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39af89382474580b/HXA/Articole/Lucru/L_tiktok/"/>
    </mc:Choice>
  </mc:AlternateContent>
  <xr:revisionPtr revIDLastSave="0" documentId="8_{66D2D0DC-6324-44E4-8961-2811CBDEBF27}" xr6:coauthVersionLast="47" xr6:coauthVersionMax="47" xr10:uidLastSave="{00000000-0000-0000-0000-000000000000}"/>
  <bookViews>
    <workbookView xWindow="-98" yWindow="-98" windowWidth="24196" windowHeight="14476" xr2:uid="{7596C8D3-20E7-4FFF-A530-0C1ABA4F77CD}"/>
  </bookViews>
  <sheets>
    <sheet name="savedrec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T2314" i="1" l="1"/>
  <c r="BF2314" i="1"/>
  <c r="BT2313" i="1"/>
  <c r="BF2313" i="1"/>
  <c r="BT2312" i="1"/>
  <c r="BF2312" i="1"/>
  <c r="BT2311" i="1"/>
  <c r="BF2311" i="1"/>
  <c r="BT2310" i="1"/>
  <c r="BF2310" i="1"/>
  <c r="BT2309" i="1"/>
  <c r="BF2309" i="1"/>
  <c r="BT2308" i="1"/>
  <c r="BF2308" i="1"/>
  <c r="BT2307" i="1"/>
  <c r="BF2307" i="1"/>
  <c r="BT2306" i="1"/>
  <c r="BF2306" i="1"/>
  <c r="BT2305" i="1"/>
  <c r="BT2304" i="1"/>
  <c r="BF2304" i="1"/>
  <c r="BT2303" i="1"/>
  <c r="BF2303" i="1"/>
  <c r="BT2302" i="1"/>
  <c r="BF2302" i="1"/>
  <c r="BT2301" i="1"/>
  <c r="BF2301" i="1"/>
  <c r="BT2300" i="1"/>
  <c r="BF2300" i="1"/>
  <c r="BT2299" i="1"/>
  <c r="BF2299" i="1"/>
  <c r="BT2298" i="1"/>
  <c r="BF2298" i="1"/>
  <c r="BT2297" i="1"/>
  <c r="BF2297" i="1"/>
  <c r="BT2296" i="1"/>
  <c r="BF2296" i="1"/>
  <c r="BT2295" i="1"/>
  <c r="BF2295" i="1"/>
  <c r="BT2294" i="1"/>
  <c r="BF2294" i="1"/>
  <c r="BT2293" i="1"/>
  <c r="BF2293" i="1"/>
  <c r="BT2292" i="1"/>
  <c r="BF2292" i="1"/>
  <c r="BT2291" i="1"/>
  <c r="BF2291" i="1"/>
  <c r="BT2290" i="1"/>
  <c r="BF2290" i="1"/>
  <c r="BT2289" i="1"/>
  <c r="BF2289" i="1"/>
  <c r="BT2288" i="1"/>
  <c r="BF2288" i="1"/>
  <c r="BT2287" i="1"/>
  <c r="BF2287" i="1"/>
  <c r="BT2286" i="1"/>
  <c r="BF2286" i="1"/>
  <c r="BT2285" i="1"/>
  <c r="BF2285" i="1"/>
  <c r="BT2284" i="1"/>
  <c r="BF2284" i="1"/>
  <c r="BT2283" i="1"/>
  <c r="BF2283" i="1"/>
  <c r="BT2282" i="1"/>
  <c r="BF2282" i="1"/>
  <c r="BT2281" i="1"/>
  <c r="BF2281" i="1"/>
  <c r="BT2280" i="1"/>
  <c r="BT2279" i="1"/>
  <c r="BF2279" i="1"/>
  <c r="BT2278" i="1"/>
  <c r="BF2278" i="1"/>
  <c r="BT2277" i="1"/>
  <c r="BF2277" i="1"/>
  <c r="BT2276" i="1"/>
  <c r="BF2276" i="1"/>
  <c r="BT2275" i="1"/>
  <c r="BF2275" i="1"/>
  <c r="BT2274" i="1"/>
  <c r="BF2274" i="1"/>
  <c r="BT2273" i="1"/>
  <c r="BF2273" i="1"/>
  <c r="BT2272" i="1"/>
  <c r="BF2272" i="1"/>
  <c r="BT2271" i="1"/>
  <c r="BF2271" i="1"/>
  <c r="BT2270" i="1"/>
  <c r="BF2270" i="1"/>
  <c r="BT2269" i="1"/>
  <c r="BF2269" i="1"/>
  <c r="BT2268" i="1"/>
  <c r="BF2268" i="1"/>
  <c r="BT2267" i="1"/>
  <c r="BF2267" i="1"/>
  <c r="BT2266" i="1"/>
  <c r="BF2266" i="1"/>
  <c r="BT2265" i="1"/>
  <c r="BF2265" i="1"/>
  <c r="BT2264" i="1"/>
  <c r="BF2264" i="1"/>
  <c r="BT2263" i="1"/>
  <c r="BF2263" i="1"/>
  <c r="BT2262" i="1"/>
  <c r="BF2262" i="1"/>
  <c r="BT2261" i="1"/>
  <c r="BF2261" i="1"/>
  <c r="BT2260" i="1"/>
  <c r="BF2260" i="1"/>
  <c r="BT2259" i="1"/>
  <c r="BF2259" i="1"/>
  <c r="BT2258" i="1"/>
  <c r="BF2258" i="1"/>
  <c r="BT2257" i="1"/>
  <c r="BF2257" i="1"/>
  <c r="BT2256" i="1"/>
  <c r="BF2256" i="1"/>
  <c r="BT2255" i="1"/>
  <c r="BF2255" i="1"/>
  <c r="BT2254" i="1"/>
  <c r="BF2254" i="1"/>
  <c r="BT2253" i="1"/>
  <c r="BF2253" i="1"/>
  <c r="BT2252" i="1"/>
  <c r="BF2252" i="1"/>
  <c r="BT2251" i="1"/>
  <c r="BF2251" i="1"/>
  <c r="BT2250" i="1"/>
  <c r="BF2250" i="1"/>
  <c r="BT2249" i="1"/>
  <c r="BF2249" i="1"/>
  <c r="BT2248" i="1"/>
  <c r="BF2248" i="1"/>
  <c r="BT2247" i="1"/>
  <c r="BF2247" i="1"/>
  <c r="BT2246" i="1"/>
  <c r="BF2246" i="1"/>
  <c r="BT2245" i="1"/>
  <c r="BF2245" i="1"/>
  <c r="BT2244" i="1"/>
  <c r="BF2244" i="1"/>
  <c r="BT2243" i="1"/>
  <c r="BF2243" i="1"/>
  <c r="BT2242" i="1"/>
  <c r="BF2242" i="1"/>
  <c r="BT2241" i="1"/>
  <c r="BF2241" i="1"/>
  <c r="BT2240" i="1"/>
  <c r="BF2240" i="1"/>
  <c r="BT2239" i="1"/>
  <c r="BF2239" i="1"/>
  <c r="BT2238" i="1"/>
  <c r="BF2238" i="1"/>
  <c r="BT2237" i="1"/>
  <c r="BF2237" i="1"/>
  <c r="BT2236" i="1"/>
  <c r="BF2236" i="1"/>
  <c r="BT2235" i="1"/>
  <c r="BF2235" i="1"/>
  <c r="BT2234" i="1"/>
  <c r="BF2234" i="1"/>
  <c r="BT2233" i="1"/>
  <c r="BF2233" i="1"/>
  <c r="BT2232" i="1"/>
  <c r="BF2232" i="1"/>
  <c r="BT2231" i="1"/>
  <c r="BF2231" i="1"/>
  <c r="BT2230" i="1"/>
  <c r="BF2230" i="1"/>
  <c r="BT2229" i="1"/>
  <c r="BF2229" i="1"/>
  <c r="BT2228" i="1"/>
  <c r="BF2228" i="1"/>
  <c r="BT2227" i="1"/>
  <c r="BF2227" i="1"/>
  <c r="BT2226" i="1"/>
  <c r="BF2226" i="1"/>
  <c r="BT2225" i="1"/>
  <c r="BF2225" i="1"/>
  <c r="BT2224" i="1"/>
  <c r="BF2224" i="1"/>
  <c r="BT2223" i="1"/>
  <c r="BF2223" i="1"/>
  <c r="BT2222" i="1"/>
  <c r="BF2222" i="1"/>
  <c r="BT2221" i="1"/>
  <c r="BF2221" i="1"/>
  <c r="BT2220" i="1"/>
  <c r="BF2220" i="1"/>
  <c r="BT2219" i="1"/>
  <c r="BF2219" i="1"/>
  <c r="BT2218" i="1"/>
  <c r="BF2218" i="1"/>
  <c r="BT2217" i="1"/>
  <c r="BF2217" i="1"/>
  <c r="BT2216" i="1"/>
  <c r="BF2216" i="1"/>
  <c r="BT2215" i="1"/>
  <c r="BF2215" i="1"/>
  <c r="BT2214" i="1"/>
  <c r="BF2214" i="1"/>
  <c r="BT2213" i="1"/>
  <c r="BF2213" i="1"/>
  <c r="BT2212" i="1"/>
  <c r="BF2212" i="1"/>
  <c r="BT2211" i="1"/>
  <c r="BT2210" i="1"/>
  <c r="BF2210" i="1"/>
  <c r="BT2209" i="1"/>
  <c r="BT2208" i="1"/>
  <c r="BF2208" i="1"/>
  <c r="BT2207" i="1"/>
  <c r="BF2207" i="1"/>
  <c r="BT2206" i="1"/>
  <c r="BF2206" i="1"/>
  <c r="BT2205" i="1"/>
  <c r="BF2205" i="1"/>
  <c r="BT2204" i="1"/>
  <c r="BF2204" i="1"/>
  <c r="BT2203" i="1"/>
  <c r="BF2203" i="1"/>
  <c r="BT2202" i="1"/>
  <c r="BF2202" i="1"/>
  <c r="BT2201" i="1"/>
  <c r="BF2201" i="1"/>
  <c r="BT2200" i="1"/>
  <c r="BF2200" i="1"/>
  <c r="BT2199" i="1"/>
  <c r="BF2199" i="1"/>
  <c r="BT2198" i="1"/>
  <c r="BF2198" i="1"/>
  <c r="BT2197" i="1"/>
  <c r="BF2197" i="1"/>
  <c r="BT2196" i="1"/>
  <c r="BF2196" i="1"/>
  <c r="BT2195" i="1"/>
  <c r="BF2195" i="1"/>
  <c r="BT2194" i="1"/>
  <c r="BF2194" i="1"/>
  <c r="BT2193" i="1"/>
  <c r="BF2193" i="1"/>
  <c r="BT2192" i="1"/>
  <c r="BF2192" i="1"/>
  <c r="BT2191" i="1"/>
  <c r="BF2191" i="1"/>
  <c r="BT2190" i="1"/>
  <c r="BF2190" i="1"/>
  <c r="BT2189" i="1"/>
  <c r="BF2189" i="1"/>
  <c r="BT2188" i="1"/>
  <c r="BF2188" i="1"/>
  <c r="BT2187" i="1"/>
  <c r="BF2187" i="1"/>
  <c r="BT2186" i="1"/>
  <c r="BF2186" i="1"/>
  <c r="BT2185" i="1"/>
  <c r="BF2185" i="1"/>
  <c r="BT2184" i="1"/>
  <c r="BF2184" i="1"/>
  <c r="BT2183" i="1"/>
  <c r="BF2183" i="1"/>
  <c r="BT2182" i="1"/>
  <c r="BF2182" i="1"/>
  <c r="BT2181" i="1"/>
  <c r="BF2181" i="1"/>
  <c r="BT2180" i="1"/>
  <c r="BF2180" i="1"/>
  <c r="BT2179" i="1"/>
  <c r="BF2179" i="1"/>
  <c r="BT2178" i="1"/>
  <c r="BF2178" i="1"/>
  <c r="BT2177" i="1"/>
  <c r="BF2177" i="1"/>
  <c r="BT2176" i="1"/>
  <c r="BF2176" i="1"/>
  <c r="BT2175" i="1"/>
  <c r="BF2175" i="1"/>
  <c r="BT2174" i="1"/>
  <c r="BF2174" i="1"/>
  <c r="BT2173" i="1"/>
  <c r="BF2173" i="1"/>
  <c r="BT2172" i="1"/>
  <c r="BF2172" i="1"/>
  <c r="BT2171" i="1"/>
  <c r="BF2171" i="1"/>
  <c r="BT2170" i="1"/>
  <c r="BF2170" i="1"/>
  <c r="BT2169" i="1"/>
  <c r="BF2169" i="1"/>
  <c r="BT2168" i="1"/>
  <c r="BF2168" i="1"/>
  <c r="BT2167" i="1"/>
  <c r="BF2167" i="1"/>
  <c r="BT2166" i="1"/>
  <c r="BF2166" i="1"/>
  <c r="BT2165" i="1"/>
  <c r="BF2165" i="1"/>
  <c r="BT2164" i="1"/>
  <c r="BF2164" i="1"/>
  <c r="BT2163" i="1"/>
  <c r="BF2163" i="1"/>
  <c r="BT2162" i="1"/>
  <c r="BF2162" i="1"/>
  <c r="BT2161" i="1"/>
  <c r="BF2161" i="1"/>
  <c r="BT2160" i="1"/>
  <c r="BF2160" i="1"/>
  <c r="BT2159" i="1"/>
  <c r="BF2159" i="1"/>
  <c r="BT2158" i="1"/>
  <c r="BF2158" i="1"/>
  <c r="BT2157" i="1"/>
  <c r="BT2156" i="1"/>
  <c r="BF2156" i="1"/>
  <c r="BT2155" i="1"/>
  <c r="BF2155" i="1"/>
  <c r="BT2154" i="1"/>
  <c r="BF2154" i="1"/>
  <c r="BT2153" i="1"/>
  <c r="BF2153" i="1"/>
  <c r="BT2152" i="1"/>
  <c r="BF2152" i="1"/>
  <c r="BT2151" i="1"/>
  <c r="BF2151" i="1"/>
  <c r="BT2150" i="1"/>
  <c r="BF2150" i="1"/>
  <c r="BT2149" i="1"/>
  <c r="BF2149" i="1"/>
  <c r="BT2148" i="1"/>
  <c r="BF2148" i="1"/>
  <c r="BT2147" i="1"/>
  <c r="BF2147" i="1"/>
  <c r="BT2146" i="1"/>
  <c r="BF2146" i="1"/>
  <c r="BT2145" i="1"/>
  <c r="BF2145" i="1"/>
  <c r="BT2144" i="1"/>
  <c r="BF2144" i="1"/>
  <c r="BT2143" i="1"/>
  <c r="BF2143" i="1"/>
  <c r="BT2142" i="1"/>
  <c r="BF2142" i="1"/>
  <c r="BT2141" i="1"/>
  <c r="BF2141" i="1"/>
  <c r="BT2140" i="1"/>
  <c r="BF2140" i="1"/>
  <c r="BT2139" i="1"/>
  <c r="BF2139" i="1"/>
  <c r="BT2138" i="1"/>
  <c r="BF2138" i="1"/>
  <c r="BT2137" i="1"/>
  <c r="BF2137" i="1"/>
  <c r="BT2136" i="1"/>
  <c r="BF2136" i="1"/>
  <c r="BT2135" i="1"/>
  <c r="BF2135" i="1"/>
  <c r="BT2134" i="1"/>
  <c r="BF2134" i="1"/>
  <c r="BT2133" i="1"/>
  <c r="BT2132" i="1"/>
  <c r="BF2132" i="1"/>
  <c r="BT2131" i="1"/>
  <c r="BF2131" i="1"/>
  <c r="BT2130" i="1"/>
  <c r="BF2130" i="1"/>
  <c r="BT2129" i="1"/>
  <c r="BF2129" i="1"/>
  <c r="BT2128" i="1"/>
  <c r="BF2128" i="1"/>
  <c r="BT2127" i="1"/>
  <c r="BF2127" i="1"/>
  <c r="BT2126" i="1"/>
  <c r="BF2126" i="1"/>
  <c r="BT2125" i="1"/>
  <c r="BF2125" i="1"/>
  <c r="BT2124" i="1"/>
  <c r="BF2124" i="1"/>
  <c r="BT2123" i="1"/>
  <c r="BF2123" i="1"/>
  <c r="BT2122" i="1"/>
  <c r="BF2122" i="1"/>
  <c r="BT2121" i="1"/>
  <c r="BF2121" i="1"/>
  <c r="BT2120" i="1"/>
  <c r="BF2120" i="1"/>
  <c r="BT2119" i="1"/>
  <c r="BF2119" i="1"/>
  <c r="BT2118" i="1"/>
  <c r="BF2118" i="1"/>
  <c r="BT2117" i="1"/>
  <c r="BF2117" i="1"/>
  <c r="BT2116" i="1"/>
  <c r="BF2116" i="1"/>
  <c r="BT2115" i="1"/>
  <c r="BF2115" i="1"/>
  <c r="BT2114" i="1"/>
  <c r="BF2114" i="1"/>
  <c r="BT2113" i="1"/>
  <c r="BF2113" i="1"/>
  <c r="BT2112" i="1"/>
  <c r="BF2112" i="1"/>
  <c r="BT2111" i="1"/>
  <c r="BT2110" i="1"/>
  <c r="BF2110" i="1"/>
  <c r="BT2109" i="1"/>
  <c r="BF2109" i="1"/>
  <c r="BT2108" i="1"/>
  <c r="BF2108" i="1"/>
  <c r="BT2107" i="1"/>
  <c r="BF2107" i="1"/>
  <c r="BT2106" i="1"/>
  <c r="BF2106" i="1"/>
  <c r="BT2105" i="1"/>
  <c r="BF2105" i="1"/>
  <c r="BT2104" i="1"/>
  <c r="BF2104" i="1"/>
  <c r="BT2103" i="1"/>
  <c r="BF2103" i="1"/>
  <c r="BT2102" i="1"/>
  <c r="BF2102" i="1"/>
  <c r="BT2101" i="1"/>
  <c r="BF2101" i="1"/>
  <c r="BT2100" i="1"/>
  <c r="BF2100" i="1"/>
  <c r="BT2099" i="1"/>
  <c r="BF2099" i="1"/>
  <c r="BT2098" i="1"/>
  <c r="BF2098" i="1"/>
  <c r="BT2097" i="1"/>
  <c r="BF2097" i="1"/>
  <c r="BT2096" i="1"/>
  <c r="BF2096" i="1"/>
  <c r="BT2095" i="1"/>
  <c r="BF2095" i="1"/>
  <c r="BT2094" i="1"/>
  <c r="BF2094" i="1"/>
  <c r="BT2093" i="1"/>
  <c r="BF2093" i="1"/>
  <c r="BT2092" i="1"/>
  <c r="BF2092" i="1"/>
  <c r="BT2091" i="1"/>
  <c r="BF2091" i="1"/>
  <c r="BT2090" i="1"/>
  <c r="BF2090" i="1"/>
  <c r="BT2089" i="1"/>
  <c r="BF2089" i="1"/>
  <c r="BT2088" i="1"/>
  <c r="BF2088" i="1"/>
  <c r="BT2087" i="1"/>
  <c r="BF2087" i="1"/>
  <c r="BT2086" i="1"/>
  <c r="BF2086" i="1"/>
  <c r="BT2085" i="1"/>
  <c r="BF2085" i="1"/>
  <c r="BT2084" i="1"/>
  <c r="BF2084" i="1"/>
  <c r="BT2083" i="1"/>
  <c r="BF2083" i="1"/>
  <c r="BT2082" i="1"/>
  <c r="BF2082" i="1"/>
  <c r="BT2081" i="1"/>
  <c r="BF2081" i="1"/>
  <c r="BT2080" i="1"/>
  <c r="BF2080" i="1"/>
  <c r="BT2079" i="1"/>
  <c r="BF2079" i="1"/>
  <c r="BT2078" i="1"/>
  <c r="BF2078" i="1"/>
  <c r="BT2077" i="1"/>
  <c r="BF2077" i="1"/>
  <c r="BT2076" i="1"/>
  <c r="BF2076" i="1"/>
  <c r="BT2075" i="1"/>
  <c r="BF2075" i="1"/>
  <c r="BT2074" i="1"/>
  <c r="BF2074" i="1"/>
  <c r="BT2073" i="1"/>
  <c r="BF2073" i="1"/>
  <c r="BT2072" i="1"/>
  <c r="BF2072" i="1"/>
  <c r="BT2071" i="1"/>
  <c r="BF2071" i="1"/>
  <c r="BT2070" i="1"/>
  <c r="BT2069" i="1"/>
  <c r="BF2069" i="1"/>
  <c r="BT2068" i="1"/>
  <c r="BF2068" i="1"/>
  <c r="BT2067" i="1"/>
  <c r="BF2067" i="1"/>
  <c r="BT2066" i="1"/>
  <c r="BF2066" i="1"/>
  <c r="BT2065" i="1"/>
  <c r="BF2065" i="1"/>
  <c r="BT2064" i="1"/>
  <c r="BF2064" i="1"/>
  <c r="BT2063" i="1"/>
  <c r="BF2063" i="1"/>
  <c r="BT2062" i="1"/>
  <c r="BF2062" i="1"/>
  <c r="BT2061" i="1"/>
  <c r="BF2061" i="1"/>
  <c r="BT2060" i="1"/>
  <c r="BF2060" i="1"/>
  <c r="BT2059" i="1"/>
  <c r="BF2059" i="1"/>
  <c r="BT2058" i="1"/>
  <c r="BF2058" i="1"/>
  <c r="BT2057" i="1"/>
  <c r="BF2057" i="1"/>
  <c r="BT2056" i="1"/>
  <c r="BF2056" i="1"/>
  <c r="BT2055" i="1"/>
  <c r="BF2055" i="1"/>
  <c r="BT2054" i="1"/>
  <c r="BF2054" i="1"/>
  <c r="BT2053" i="1"/>
  <c r="BF2053" i="1"/>
  <c r="BT2052" i="1"/>
  <c r="BT2051" i="1"/>
  <c r="BT2050" i="1"/>
  <c r="BF2050" i="1"/>
  <c r="BT2049" i="1"/>
  <c r="BF2049" i="1"/>
  <c r="BT2048" i="1"/>
  <c r="BF2048" i="1"/>
  <c r="BT2047" i="1"/>
  <c r="BF2047" i="1"/>
  <c r="BT2046" i="1"/>
  <c r="BF2046" i="1"/>
  <c r="BT2045" i="1"/>
  <c r="BF2045" i="1"/>
  <c r="BT2044" i="1"/>
  <c r="BF2044" i="1"/>
  <c r="BT2043" i="1"/>
  <c r="BF2043" i="1"/>
  <c r="BT2042" i="1"/>
  <c r="BF2042" i="1"/>
  <c r="BT2041" i="1"/>
  <c r="BF2041" i="1"/>
  <c r="BT2040" i="1"/>
  <c r="BF2040" i="1"/>
  <c r="BT2039" i="1"/>
  <c r="BF2039" i="1"/>
  <c r="BT2038" i="1"/>
  <c r="BF2038" i="1"/>
  <c r="BT2037" i="1"/>
  <c r="BT2036" i="1"/>
  <c r="BF2036" i="1"/>
  <c r="BT2035" i="1"/>
  <c r="BF2035" i="1"/>
  <c r="BT2034" i="1"/>
  <c r="BF2034" i="1"/>
  <c r="BT2033" i="1"/>
  <c r="BF2033" i="1"/>
  <c r="BT2032" i="1"/>
  <c r="BF2032" i="1"/>
  <c r="BT2031" i="1"/>
  <c r="BF2031" i="1"/>
  <c r="BT2030" i="1"/>
  <c r="BF2030" i="1"/>
  <c r="BT2029" i="1"/>
  <c r="BF2029" i="1"/>
  <c r="BT2028" i="1"/>
  <c r="BF2028" i="1"/>
  <c r="BT2027" i="1"/>
  <c r="BF2027" i="1"/>
  <c r="BT2026" i="1"/>
  <c r="BF2026" i="1"/>
  <c r="BT2025" i="1"/>
  <c r="BF2025" i="1"/>
  <c r="BT2024" i="1"/>
  <c r="BF2024" i="1"/>
  <c r="BT2023" i="1"/>
  <c r="BF2023" i="1"/>
  <c r="BT2022" i="1"/>
  <c r="BF2022" i="1"/>
  <c r="BT2021" i="1"/>
  <c r="BF2021" i="1"/>
  <c r="BT2020" i="1"/>
  <c r="BF2020" i="1"/>
  <c r="BT2019" i="1"/>
  <c r="BF2019" i="1"/>
  <c r="BT2018" i="1"/>
  <c r="BF2018" i="1"/>
  <c r="BT2017" i="1"/>
  <c r="BF2017" i="1"/>
  <c r="BT2016" i="1"/>
  <c r="BF2016" i="1"/>
  <c r="BT2015" i="1"/>
  <c r="BF2015" i="1"/>
  <c r="BT2014" i="1"/>
  <c r="BF2014" i="1"/>
  <c r="BT2013" i="1"/>
  <c r="BF2013" i="1"/>
  <c r="BT2012" i="1"/>
  <c r="BF2012" i="1"/>
  <c r="BT2011" i="1"/>
  <c r="BF2011" i="1"/>
  <c r="BT2010" i="1"/>
  <c r="BF2010" i="1"/>
  <c r="BT2009" i="1"/>
  <c r="BF2009" i="1"/>
  <c r="BT2008" i="1"/>
  <c r="BF2008" i="1"/>
  <c r="BT2007" i="1"/>
  <c r="BT2006" i="1"/>
  <c r="BF2006" i="1"/>
  <c r="BT2005" i="1"/>
  <c r="BF2005" i="1"/>
  <c r="BT2004" i="1"/>
  <c r="BF2004" i="1"/>
  <c r="BT2003" i="1"/>
  <c r="BF2003" i="1"/>
  <c r="BT2002" i="1"/>
  <c r="BF2002" i="1"/>
  <c r="BT2001" i="1"/>
  <c r="BF2001" i="1"/>
  <c r="BT2000" i="1"/>
  <c r="BF2000" i="1"/>
  <c r="BT1999" i="1"/>
  <c r="BF1999" i="1"/>
  <c r="BT1998" i="1"/>
  <c r="BF1998" i="1"/>
  <c r="BT1997" i="1"/>
  <c r="BF1997" i="1"/>
  <c r="BT1996" i="1"/>
  <c r="BF1996" i="1"/>
  <c r="BT1995" i="1"/>
  <c r="BF1995" i="1"/>
  <c r="BT1994" i="1"/>
  <c r="BF1994" i="1"/>
  <c r="BT1993" i="1"/>
  <c r="BF1993" i="1"/>
  <c r="BT1992" i="1"/>
  <c r="BF1992" i="1"/>
  <c r="BT1991" i="1"/>
  <c r="BF1991" i="1"/>
  <c r="BT1990" i="1"/>
  <c r="BF1990" i="1"/>
  <c r="BT1989" i="1"/>
  <c r="BF1989" i="1"/>
  <c r="BT1988" i="1"/>
  <c r="BF1988" i="1"/>
  <c r="BT1987" i="1"/>
  <c r="BF1987" i="1"/>
  <c r="BT1986" i="1"/>
  <c r="BF1986" i="1"/>
  <c r="BT1985" i="1"/>
  <c r="BF1985" i="1"/>
  <c r="BT1984" i="1"/>
  <c r="BF1984" i="1"/>
  <c r="BT1983" i="1"/>
  <c r="BF1983" i="1"/>
  <c r="BT1982" i="1"/>
  <c r="BF1982" i="1"/>
  <c r="BT1981" i="1"/>
  <c r="BF1981" i="1"/>
  <c r="BT1980" i="1"/>
  <c r="BF1980" i="1"/>
  <c r="BT1979" i="1"/>
  <c r="BF1979" i="1"/>
  <c r="BT1978" i="1"/>
  <c r="BF1978" i="1"/>
  <c r="BT1977" i="1"/>
  <c r="BT1976" i="1"/>
  <c r="BF1976" i="1"/>
  <c r="BT1975" i="1"/>
  <c r="BF1975" i="1"/>
  <c r="BT1974" i="1"/>
  <c r="BF1974" i="1"/>
  <c r="BT1973" i="1"/>
  <c r="BF1973" i="1"/>
  <c r="BT1972" i="1"/>
  <c r="BF1972" i="1"/>
  <c r="BT1971" i="1"/>
  <c r="BF1971" i="1"/>
  <c r="BT1970" i="1"/>
  <c r="BF1970" i="1"/>
  <c r="BT1969" i="1"/>
  <c r="BF1969" i="1"/>
  <c r="BT1968" i="1"/>
  <c r="BF1968" i="1"/>
  <c r="BT1967" i="1"/>
  <c r="BF1967" i="1"/>
  <c r="BT1966" i="1"/>
  <c r="BF1966" i="1"/>
  <c r="BT1965" i="1"/>
  <c r="BF1965" i="1"/>
  <c r="BT1964" i="1"/>
  <c r="BF1964" i="1"/>
  <c r="BT1963" i="1"/>
  <c r="BF1963" i="1"/>
  <c r="BT1962" i="1"/>
  <c r="BF1962" i="1"/>
  <c r="BT1961" i="1"/>
  <c r="BF1961" i="1"/>
  <c r="BT1960" i="1"/>
  <c r="BF1960" i="1"/>
  <c r="BT1959" i="1"/>
  <c r="BF1959" i="1"/>
  <c r="BT1958" i="1"/>
  <c r="BF1958" i="1"/>
  <c r="BT1957" i="1"/>
  <c r="BF1957" i="1"/>
  <c r="BT1956" i="1"/>
  <c r="BF1956" i="1"/>
  <c r="BT1955" i="1"/>
  <c r="BF1955" i="1"/>
  <c r="BT1954" i="1"/>
  <c r="BF1954" i="1"/>
  <c r="BT1953" i="1"/>
  <c r="BF1953" i="1"/>
  <c r="BT1952" i="1"/>
  <c r="BF1952" i="1"/>
  <c r="BT1951" i="1"/>
  <c r="BT1950" i="1"/>
  <c r="BF1950" i="1"/>
  <c r="BT1949" i="1"/>
  <c r="BF1949" i="1"/>
  <c r="BT1948" i="1"/>
  <c r="BF1948" i="1"/>
  <c r="BT1947" i="1"/>
  <c r="BF1947" i="1"/>
  <c r="BT1946" i="1"/>
  <c r="BF1946" i="1"/>
  <c r="BT1945" i="1"/>
  <c r="BF1945" i="1"/>
  <c r="BT1944" i="1"/>
  <c r="BF1944" i="1"/>
  <c r="BT1943" i="1"/>
  <c r="BF1943" i="1"/>
  <c r="BT1942" i="1"/>
  <c r="BF1942" i="1"/>
  <c r="BT1941" i="1"/>
  <c r="BF1941" i="1"/>
  <c r="BT1940" i="1"/>
  <c r="BF1940" i="1"/>
  <c r="BT1939" i="1"/>
  <c r="BF1939" i="1"/>
  <c r="BT1938" i="1"/>
  <c r="BF1938" i="1"/>
  <c r="BT1937" i="1"/>
  <c r="BF1937" i="1"/>
  <c r="BT1936" i="1"/>
  <c r="BF1936" i="1"/>
  <c r="BT1935" i="1"/>
  <c r="BF1935" i="1"/>
  <c r="BT1934" i="1"/>
  <c r="BF1934" i="1"/>
  <c r="BT1933" i="1"/>
  <c r="BF1933" i="1"/>
  <c r="BT1932" i="1"/>
  <c r="BF1932" i="1"/>
  <c r="BT1931" i="1"/>
  <c r="BF1931" i="1"/>
  <c r="BT1930" i="1"/>
  <c r="BF1930" i="1"/>
  <c r="BT1929" i="1"/>
  <c r="BF1929" i="1"/>
  <c r="BT1928" i="1"/>
  <c r="BF1928" i="1"/>
  <c r="BT1927" i="1"/>
  <c r="BF1927" i="1"/>
  <c r="BT1926" i="1"/>
  <c r="BF1926" i="1"/>
  <c r="BT1925" i="1"/>
  <c r="BF1925" i="1"/>
  <c r="BT1924" i="1"/>
  <c r="BF1924" i="1"/>
  <c r="BT1923" i="1"/>
  <c r="BF1923" i="1"/>
  <c r="BT1922" i="1"/>
  <c r="BF1922" i="1"/>
  <c r="BT1921" i="1"/>
  <c r="BF1921" i="1"/>
  <c r="BT1920" i="1"/>
  <c r="BF1920" i="1"/>
  <c r="BT1919" i="1"/>
  <c r="BF1919" i="1"/>
  <c r="BT1918" i="1"/>
  <c r="BF1918" i="1"/>
  <c r="BT1917" i="1"/>
  <c r="BF1917" i="1"/>
  <c r="BT1916" i="1"/>
  <c r="BF1916" i="1"/>
  <c r="BT1915" i="1"/>
  <c r="BF1915" i="1"/>
  <c r="BT1914" i="1"/>
  <c r="BF1914" i="1"/>
  <c r="BT1913" i="1"/>
  <c r="BF1913" i="1"/>
  <c r="BT1912" i="1"/>
  <c r="BF1912" i="1"/>
  <c r="BT1911" i="1"/>
  <c r="BF1911" i="1"/>
  <c r="BT1910" i="1"/>
  <c r="BF1910" i="1"/>
  <c r="BT1909" i="1"/>
  <c r="BF1909" i="1"/>
  <c r="BT1908" i="1"/>
  <c r="BF1908" i="1"/>
  <c r="BT1907" i="1"/>
  <c r="BF1907" i="1"/>
  <c r="BT1906" i="1"/>
  <c r="BF1906" i="1"/>
  <c r="BT1905" i="1"/>
  <c r="BF1905" i="1"/>
  <c r="BT1904" i="1"/>
  <c r="BF1904" i="1"/>
  <c r="BT1903" i="1"/>
  <c r="BF1903" i="1"/>
  <c r="BT1902" i="1"/>
  <c r="BF1902" i="1"/>
  <c r="BT1901" i="1"/>
  <c r="BF1901" i="1"/>
  <c r="BT1900" i="1"/>
  <c r="BF1900" i="1"/>
  <c r="BT1899" i="1"/>
  <c r="BF1899" i="1"/>
  <c r="BT1898" i="1"/>
  <c r="BF1898" i="1"/>
  <c r="BT1897" i="1"/>
  <c r="BF1897" i="1"/>
  <c r="BT1896" i="1"/>
  <c r="BF1896" i="1"/>
  <c r="BT1895" i="1"/>
  <c r="BF1895" i="1"/>
  <c r="BT1894" i="1"/>
  <c r="BF1894" i="1"/>
  <c r="BT1893" i="1"/>
  <c r="BF1893" i="1"/>
  <c r="BT1892" i="1"/>
  <c r="BF1892" i="1"/>
  <c r="BT1891" i="1"/>
  <c r="BF1891" i="1"/>
  <c r="BT1890" i="1"/>
  <c r="BF1890" i="1"/>
  <c r="BT1889" i="1"/>
  <c r="BF1889" i="1"/>
  <c r="BT1888" i="1"/>
  <c r="BF1888" i="1"/>
  <c r="BT1887" i="1"/>
  <c r="BF1887" i="1"/>
  <c r="BT1886" i="1"/>
  <c r="BF1886" i="1"/>
  <c r="BT1885" i="1"/>
  <c r="BT1884" i="1"/>
  <c r="BF1884" i="1"/>
  <c r="BT1883" i="1"/>
  <c r="BF1883" i="1"/>
  <c r="BT1882" i="1"/>
  <c r="BF1882" i="1"/>
  <c r="BT1881" i="1"/>
  <c r="BF1881" i="1"/>
  <c r="BT1880" i="1"/>
  <c r="BF1880" i="1"/>
  <c r="BT1879" i="1"/>
  <c r="BF1879" i="1"/>
  <c r="BT1878" i="1"/>
  <c r="BF1878" i="1"/>
  <c r="BT1877" i="1"/>
  <c r="BF1877" i="1"/>
  <c r="BT1876" i="1"/>
  <c r="BF1876" i="1"/>
  <c r="BT1875" i="1"/>
  <c r="BF1875" i="1"/>
  <c r="BT1874" i="1"/>
  <c r="BF1874" i="1"/>
  <c r="BT1873" i="1"/>
  <c r="BF1873" i="1"/>
  <c r="BT1872" i="1"/>
  <c r="BF1872" i="1"/>
  <c r="BT1871" i="1"/>
  <c r="BF1871" i="1"/>
  <c r="BT1870" i="1"/>
  <c r="BF1870" i="1"/>
  <c r="BT1869" i="1"/>
  <c r="BF1869" i="1"/>
  <c r="BT1868" i="1"/>
  <c r="BF1868" i="1"/>
  <c r="BT1867" i="1"/>
  <c r="BF1867" i="1"/>
  <c r="BT1866" i="1"/>
  <c r="BF1866" i="1"/>
  <c r="BT1865" i="1"/>
  <c r="BF1865" i="1"/>
  <c r="BT1864" i="1"/>
  <c r="BF1864" i="1"/>
  <c r="BT1863" i="1"/>
  <c r="BF1863" i="1"/>
  <c r="BT1862" i="1"/>
  <c r="BF1862" i="1"/>
  <c r="BT1861" i="1"/>
  <c r="BT1860" i="1"/>
  <c r="BF1860" i="1"/>
  <c r="BT1859" i="1"/>
  <c r="BF1859" i="1"/>
  <c r="BT1858" i="1"/>
  <c r="BF1858" i="1"/>
  <c r="BT1857" i="1"/>
  <c r="BF1857" i="1"/>
  <c r="BT1856" i="1"/>
  <c r="BF1856" i="1"/>
  <c r="BT1855" i="1"/>
  <c r="BF1855" i="1"/>
  <c r="BT1854" i="1"/>
  <c r="BF1854" i="1"/>
  <c r="BT1853" i="1"/>
  <c r="BF1853" i="1"/>
  <c r="BT1852" i="1"/>
  <c r="BF1852" i="1"/>
  <c r="BT1851" i="1"/>
  <c r="BF1851" i="1"/>
  <c r="BT1850" i="1"/>
  <c r="BT1849" i="1"/>
  <c r="BF1849" i="1"/>
  <c r="BT1848" i="1"/>
  <c r="BF1848" i="1"/>
  <c r="BT1847" i="1"/>
  <c r="BF1847" i="1"/>
  <c r="BT1846" i="1"/>
  <c r="BF1846" i="1"/>
  <c r="BT1845" i="1"/>
  <c r="BF1845" i="1"/>
  <c r="BT1844" i="1"/>
  <c r="BF1844" i="1"/>
  <c r="BT1843" i="1"/>
  <c r="BF1843" i="1"/>
  <c r="BT1842" i="1"/>
  <c r="BF1842" i="1"/>
  <c r="BT1841" i="1"/>
  <c r="BF1841" i="1"/>
  <c r="BT1840" i="1"/>
  <c r="BF1840" i="1"/>
  <c r="BT1839" i="1"/>
  <c r="BF1839" i="1"/>
  <c r="BT1838" i="1"/>
  <c r="BF1838" i="1"/>
  <c r="BT1837" i="1"/>
  <c r="BF1837" i="1"/>
  <c r="BT1836" i="1"/>
  <c r="BF1836" i="1"/>
  <c r="BT1835" i="1"/>
  <c r="BF1835" i="1"/>
  <c r="BT1834" i="1"/>
  <c r="BF1834" i="1"/>
  <c r="BT1833" i="1"/>
  <c r="BF1833" i="1"/>
  <c r="BT1832" i="1"/>
  <c r="BF1832" i="1"/>
  <c r="BT1831" i="1"/>
  <c r="BF1831" i="1"/>
  <c r="BT1830" i="1"/>
  <c r="BF1830" i="1"/>
  <c r="BT1829" i="1"/>
  <c r="BF1829" i="1"/>
  <c r="BT1828" i="1"/>
  <c r="BF1828" i="1"/>
  <c r="BT1827" i="1"/>
  <c r="BF1827" i="1"/>
  <c r="BT1826" i="1"/>
  <c r="BF1826" i="1"/>
  <c r="BT1825" i="1"/>
  <c r="BF1825" i="1"/>
  <c r="BT1824" i="1"/>
  <c r="BT1823" i="1"/>
  <c r="BF1823" i="1"/>
  <c r="BT1822" i="1"/>
  <c r="BF1822" i="1"/>
  <c r="BT1821" i="1"/>
  <c r="BF1821" i="1"/>
  <c r="BT1820" i="1"/>
  <c r="BF1820" i="1"/>
  <c r="BT1819" i="1"/>
  <c r="BF1819" i="1"/>
  <c r="BT1818" i="1"/>
  <c r="BF1818" i="1"/>
  <c r="BT1817" i="1"/>
  <c r="BF1817" i="1"/>
  <c r="BT1816" i="1"/>
  <c r="BF1816" i="1"/>
  <c r="BT1815" i="1"/>
  <c r="BF1815" i="1"/>
  <c r="BT1814" i="1"/>
  <c r="BF1814" i="1"/>
  <c r="BT1813" i="1"/>
  <c r="BF1813" i="1"/>
  <c r="BT1812" i="1"/>
  <c r="BF1812" i="1"/>
  <c r="BT1811" i="1"/>
  <c r="BF1811" i="1"/>
  <c r="BT1810" i="1"/>
  <c r="BF1810" i="1"/>
  <c r="BT1809" i="1"/>
  <c r="BF1809" i="1"/>
  <c r="BT1808" i="1"/>
  <c r="BT1807" i="1"/>
  <c r="BF1807" i="1"/>
  <c r="BT1806" i="1"/>
  <c r="BF1806" i="1"/>
  <c r="BT1805" i="1"/>
  <c r="BT1804" i="1"/>
  <c r="BF1804" i="1"/>
  <c r="BT1803" i="1"/>
  <c r="BF1803" i="1"/>
  <c r="BT1802" i="1"/>
  <c r="BF1802" i="1"/>
  <c r="BT1801" i="1"/>
  <c r="BF1801" i="1"/>
  <c r="BT1800" i="1"/>
  <c r="BF1800" i="1"/>
  <c r="BT1799" i="1"/>
  <c r="BF1799" i="1"/>
  <c r="BT1798" i="1"/>
  <c r="BF1798" i="1"/>
  <c r="BT1797" i="1"/>
  <c r="BF1797" i="1"/>
  <c r="BT1796" i="1"/>
  <c r="BF1796" i="1"/>
  <c r="BT1795" i="1"/>
  <c r="BF1795" i="1"/>
  <c r="BT1794" i="1"/>
  <c r="BF1794" i="1"/>
  <c r="BT1793" i="1"/>
  <c r="BF1793" i="1"/>
  <c r="BT1792" i="1"/>
  <c r="BF1792" i="1"/>
  <c r="BT1791" i="1"/>
  <c r="BF1791" i="1"/>
  <c r="BT1790" i="1"/>
  <c r="BT1789" i="1"/>
  <c r="BF1789" i="1"/>
  <c r="BT1788" i="1"/>
  <c r="BF1788" i="1"/>
  <c r="BT1787" i="1"/>
  <c r="BF1787" i="1"/>
  <c r="BT1786" i="1"/>
  <c r="BF1786" i="1"/>
  <c r="BT1785" i="1"/>
  <c r="BF1785" i="1"/>
  <c r="BT1784" i="1"/>
  <c r="BF1784" i="1"/>
  <c r="BT1783" i="1"/>
  <c r="BF1783" i="1"/>
  <c r="BT1782" i="1"/>
  <c r="BF1782" i="1"/>
  <c r="BT1781" i="1"/>
  <c r="BF1781" i="1"/>
  <c r="BT1780" i="1"/>
  <c r="BF1780" i="1"/>
  <c r="BT1779" i="1"/>
  <c r="BT1778" i="1"/>
  <c r="BF1778" i="1"/>
  <c r="BT1777" i="1"/>
  <c r="BF1777" i="1"/>
  <c r="BT1776" i="1"/>
  <c r="BF1776" i="1"/>
  <c r="BT1775" i="1"/>
  <c r="BF1775" i="1"/>
  <c r="BT1774" i="1"/>
  <c r="BF1774" i="1"/>
  <c r="BT1773" i="1"/>
  <c r="BF1773" i="1"/>
  <c r="BT1772" i="1"/>
  <c r="BF1772" i="1"/>
  <c r="BT1771" i="1"/>
  <c r="BF1771" i="1"/>
  <c r="BT1770" i="1"/>
  <c r="BF1770" i="1"/>
  <c r="BT1769" i="1"/>
  <c r="BF1769" i="1"/>
  <c r="BT1768" i="1"/>
  <c r="BF1768" i="1"/>
  <c r="BT1767" i="1"/>
  <c r="BF1767" i="1"/>
  <c r="BT1766" i="1"/>
  <c r="BF1766" i="1"/>
  <c r="BT1765" i="1"/>
  <c r="BF1765" i="1"/>
  <c r="BT1764" i="1"/>
  <c r="BF1764" i="1"/>
  <c r="BT1763" i="1"/>
  <c r="BF1763" i="1"/>
  <c r="BT1762" i="1"/>
  <c r="BF1762" i="1"/>
  <c r="BT1761" i="1"/>
  <c r="BF1761" i="1"/>
  <c r="BT1760" i="1"/>
  <c r="BF1760" i="1"/>
  <c r="BT1759" i="1"/>
  <c r="BF1759" i="1"/>
  <c r="BT1758" i="1"/>
  <c r="BF1758" i="1"/>
  <c r="BT1757" i="1"/>
  <c r="BT1756" i="1"/>
  <c r="BF1756" i="1"/>
  <c r="BT1755" i="1"/>
  <c r="BF1755" i="1"/>
  <c r="BT1754" i="1"/>
  <c r="BF1754" i="1"/>
  <c r="BT1753" i="1"/>
  <c r="BF1753" i="1"/>
  <c r="BT1752" i="1"/>
  <c r="BF1752" i="1"/>
  <c r="BT1751" i="1"/>
  <c r="BF1751" i="1"/>
  <c r="BT1750" i="1"/>
  <c r="BF1750" i="1"/>
  <c r="BT1749" i="1"/>
  <c r="BF1749" i="1"/>
  <c r="BT1748" i="1"/>
  <c r="BF1748" i="1"/>
  <c r="BT1747" i="1"/>
  <c r="BF1747" i="1"/>
  <c r="BT1746" i="1"/>
  <c r="BF1746" i="1"/>
  <c r="BT1745" i="1"/>
  <c r="BF1745" i="1"/>
  <c r="BT1744" i="1"/>
  <c r="BF1744" i="1"/>
  <c r="BT1743" i="1"/>
  <c r="BF1743" i="1"/>
  <c r="BT1742" i="1"/>
  <c r="BF1742" i="1"/>
  <c r="BT1741" i="1"/>
  <c r="BF1741" i="1"/>
  <c r="BT1740" i="1"/>
  <c r="BF1740" i="1"/>
  <c r="BT1739" i="1"/>
  <c r="BF1739" i="1"/>
  <c r="BT1738" i="1"/>
  <c r="BF1738" i="1"/>
  <c r="BT1737" i="1"/>
  <c r="BF1737" i="1"/>
  <c r="BT1736" i="1"/>
  <c r="BF1736" i="1"/>
  <c r="BT1735" i="1"/>
  <c r="BF1735" i="1"/>
  <c r="BT1734" i="1"/>
  <c r="BF1734" i="1"/>
  <c r="BT1733" i="1"/>
  <c r="BF1733" i="1"/>
  <c r="BT1732" i="1"/>
  <c r="BF1732" i="1"/>
  <c r="BT1731" i="1"/>
  <c r="BF1731" i="1"/>
  <c r="BT1730" i="1"/>
  <c r="BF1730" i="1"/>
  <c r="BT1729" i="1"/>
  <c r="BF1729" i="1"/>
  <c r="BT1728" i="1"/>
  <c r="BF1728" i="1"/>
  <c r="BT1727" i="1"/>
  <c r="BF1727" i="1"/>
  <c r="BT1726" i="1"/>
  <c r="BF1726" i="1"/>
  <c r="BT1725" i="1"/>
  <c r="BF1725" i="1"/>
  <c r="BT1724" i="1"/>
  <c r="BF1724" i="1"/>
  <c r="BT1723" i="1"/>
  <c r="BF1723" i="1"/>
  <c r="BT1722" i="1"/>
  <c r="BF1722" i="1"/>
  <c r="BT1721" i="1"/>
  <c r="BF1721" i="1"/>
  <c r="BT1720" i="1"/>
  <c r="BF1720" i="1"/>
  <c r="BT1719" i="1"/>
  <c r="BF1719" i="1"/>
  <c r="BT1718" i="1"/>
  <c r="BF1718" i="1"/>
  <c r="BT1717" i="1"/>
  <c r="BF1717" i="1"/>
  <c r="BT1716" i="1"/>
  <c r="BF1716" i="1"/>
  <c r="BT1715" i="1"/>
  <c r="BF1715" i="1"/>
  <c r="BT1714" i="1"/>
  <c r="BF1714" i="1"/>
  <c r="BT1713" i="1"/>
  <c r="BF1713" i="1"/>
  <c r="BT1712" i="1"/>
  <c r="BF1712" i="1"/>
  <c r="BT1711" i="1"/>
  <c r="BF1711" i="1"/>
  <c r="BT1710" i="1"/>
  <c r="BF1710" i="1"/>
  <c r="BT1709" i="1"/>
  <c r="BF1709" i="1"/>
  <c r="BT1708" i="1"/>
  <c r="BF1708" i="1"/>
  <c r="BT1707" i="1"/>
  <c r="BF1707" i="1"/>
  <c r="BT1706" i="1"/>
  <c r="BT1705" i="1"/>
  <c r="BF1705" i="1"/>
  <c r="BT1704" i="1"/>
  <c r="BT1703" i="1"/>
  <c r="BF1703" i="1"/>
  <c r="BT1702" i="1"/>
  <c r="BF1702" i="1"/>
  <c r="BT1701" i="1"/>
  <c r="BF1701" i="1"/>
  <c r="BT1700" i="1"/>
  <c r="BF1700" i="1"/>
  <c r="BT1699" i="1"/>
  <c r="BF1699" i="1"/>
  <c r="BT1698" i="1"/>
  <c r="BF1698" i="1"/>
  <c r="BT1697" i="1"/>
  <c r="BF1697" i="1"/>
  <c r="BT1696" i="1"/>
  <c r="BT1695" i="1"/>
  <c r="BF1695" i="1"/>
  <c r="BT1694" i="1"/>
  <c r="BF1694" i="1"/>
  <c r="BT1693" i="1"/>
  <c r="BF1693" i="1"/>
  <c r="BT1692" i="1"/>
  <c r="BF1692" i="1"/>
  <c r="BT1691" i="1"/>
  <c r="BF1691" i="1"/>
  <c r="BT1690" i="1"/>
  <c r="BT1689" i="1"/>
  <c r="BT1688" i="1"/>
  <c r="BF1688" i="1"/>
  <c r="BT1687" i="1"/>
  <c r="BF1687" i="1"/>
  <c r="BT1686" i="1"/>
  <c r="BF1686" i="1"/>
  <c r="BT1685" i="1"/>
  <c r="BF1685" i="1"/>
  <c r="BT1684" i="1"/>
  <c r="BF1684" i="1"/>
  <c r="BT1683" i="1"/>
  <c r="BF1683" i="1"/>
  <c r="BT1682" i="1"/>
  <c r="BF1682" i="1"/>
  <c r="BT1681" i="1"/>
  <c r="BF1681" i="1"/>
  <c r="BT1680" i="1"/>
  <c r="BF1680" i="1"/>
  <c r="BT1679" i="1"/>
  <c r="BF1679" i="1"/>
  <c r="BT1678" i="1"/>
  <c r="BF1678" i="1"/>
  <c r="BT1677" i="1"/>
  <c r="BF1677" i="1"/>
  <c r="BT1676" i="1"/>
  <c r="BF1676" i="1"/>
  <c r="BT1675" i="1"/>
  <c r="BF1675" i="1"/>
  <c r="BT1674" i="1"/>
  <c r="BF1674" i="1"/>
  <c r="BT1673" i="1"/>
  <c r="BF1673" i="1"/>
  <c r="BT1672" i="1"/>
  <c r="BT1671" i="1"/>
  <c r="BF1671" i="1"/>
  <c r="BT1670" i="1"/>
  <c r="BF1670" i="1"/>
  <c r="BT1669" i="1"/>
  <c r="BF1669" i="1"/>
  <c r="BT1668" i="1"/>
  <c r="BF1668" i="1"/>
  <c r="BT1667" i="1"/>
  <c r="BF1667" i="1"/>
  <c r="BT1666" i="1"/>
  <c r="BF1666" i="1"/>
  <c r="BT1665" i="1"/>
  <c r="BF1665" i="1"/>
  <c r="BT1664" i="1"/>
  <c r="BF1664" i="1"/>
  <c r="BT1663" i="1"/>
  <c r="BF1663" i="1"/>
  <c r="BT1662" i="1"/>
  <c r="BF1662" i="1"/>
  <c r="BT1661" i="1"/>
  <c r="BF1661" i="1"/>
  <c r="BT1660" i="1"/>
  <c r="BF1660" i="1"/>
  <c r="BT1659" i="1"/>
  <c r="BT1658" i="1"/>
  <c r="BF1658" i="1"/>
  <c r="BT1657" i="1"/>
  <c r="BF1657" i="1"/>
  <c r="BT1656" i="1"/>
  <c r="BT1655" i="1"/>
  <c r="BF1655" i="1"/>
  <c r="BT1654" i="1"/>
  <c r="BF1654" i="1"/>
  <c r="BT1653" i="1"/>
  <c r="BF1653" i="1"/>
  <c r="BT1652" i="1"/>
  <c r="BF1652" i="1"/>
  <c r="BT1651" i="1"/>
  <c r="BF1651" i="1"/>
  <c r="BT1650" i="1"/>
  <c r="BF1650" i="1"/>
  <c r="BT1649" i="1"/>
  <c r="BF1649" i="1"/>
  <c r="BT1648" i="1"/>
  <c r="BF1648" i="1"/>
  <c r="BT1647" i="1"/>
  <c r="BT1646" i="1"/>
  <c r="BF1646" i="1"/>
  <c r="BT1645" i="1"/>
  <c r="BF1645" i="1"/>
  <c r="BT1644" i="1"/>
  <c r="BF1644" i="1"/>
  <c r="BT1643" i="1"/>
  <c r="BF1643" i="1"/>
  <c r="BT1642" i="1"/>
  <c r="BF1642" i="1"/>
  <c r="BT1641" i="1"/>
  <c r="BF1641" i="1"/>
  <c r="BT1640" i="1"/>
  <c r="BF1640" i="1"/>
  <c r="BT1639" i="1"/>
  <c r="BF1639" i="1"/>
  <c r="BT1638" i="1"/>
  <c r="BF1638" i="1"/>
  <c r="BT1637" i="1"/>
  <c r="BF1637" i="1"/>
  <c r="BT1636" i="1"/>
  <c r="BF1636" i="1"/>
  <c r="BT1635" i="1"/>
  <c r="BF1635" i="1"/>
  <c r="BT1634" i="1"/>
  <c r="BF1634" i="1"/>
  <c r="BT1633" i="1"/>
  <c r="BF1633" i="1"/>
  <c r="BT1632" i="1"/>
  <c r="BF1632" i="1"/>
  <c r="BT1631" i="1"/>
  <c r="BF1631" i="1"/>
  <c r="BT1630" i="1"/>
  <c r="BF1630" i="1"/>
  <c r="BT1629" i="1"/>
  <c r="BF1629" i="1"/>
  <c r="BT1628" i="1"/>
  <c r="BF1628" i="1"/>
  <c r="BT1627" i="1"/>
  <c r="BF1627" i="1"/>
  <c r="BT1626" i="1"/>
  <c r="BF1626" i="1"/>
  <c r="BT1625" i="1"/>
  <c r="BF1625" i="1"/>
  <c r="BT1624" i="1"/>
  <c r="BF1624" i="1"/>
  <c r="BT1623" i="1"/>
  <c r="BF1623" i="1"/>
  <c r="BT1622" i="1"/>
  <c r="BF1622" i="1"/>
  <c r="BT1621" i="1"/>
  <c r="BF1621" i="1"/>
  <c r="BT1620" i="1"/>
  <c r="BF1620" i="1"/>
  <c r="BT1619" i="1"/>
  <c r="BF1619" i="1"/>
  <c r="BT1618" i="1"/>
  <c r="BF1618" i="1"/>
  <c r="BT1617" i="1"/>
  <c r="BF1617" i="1"/>
  <c r="BT1616" i="1"/>
  <c r="BF1616" i="1"/>
  <c r="BT1615" i="1"/>
  <c r="BF1615" i="1"/>
  <c r="BT1614" i="1"/>
  <c r="BF1614" i="1"/>
  <c r="BT1613" i="1"/>
  <c r="BF1613" i="1"/>
  <c r="BT1612" i="1"/>
  <c r="BT1611" i="1"/>
  <c r="BF1611" i="1"/>
  <c r="BT1610" i="1"/>
  <c r="BF1610" i="1"/>
  <c r="BT1609" i="1"/>
  <c r="BF1609" i="1"/>
  <c r="BT1608" i="1"/>
  <c r="BF1608" i="1"/>
  <c r="BT1607" i="1"/>
  <c r="BT1606" i="1"/>
  <c r="BF1606" i="1"/>
  <c r="BT1605" i="1"/>
  <c r="BF1605" i="1"/>
  <c r="BT1604" i="1"/>
  <c r="BF1604" i="1"/>
  <c r="BT1603" i="1"/>
  <c r="BF1603" i="1"/>
  <c r="BT1602" i="1"/>
  <c r="BF1602" i="1"/>
  <c r="BT1601" i="1"/>
  <c r="BF1601" i="1"/>
  <c r="BT1600" i="1"/>
  <c r="BF1600" i="1"/>
  <c r="BT1599" i="1"/>
  <c r="BF1599" i="1"/>
  <c r="BT1598" i="1"/>
  <c r="BF1598" i="1"/>
  <c r="BT1597" i="1"/>
  <c r="BF1597" i="1"/>
  <c r="BT1596" i="1"/>
  <c r="BF1596" i="1"/>
  <c r="BT1595" i="1"/>
  <c r="BF1595" i="1"/>
  <c r="BT1594" i="1"/>
  <c r="BF1594" i="1"/>
  <c r="BT1593" i="1"/>
  <c r="BF1593" i="1"/>
  <c r="BT1592" i="1"/>
  <c r="BF1592" i="1"/>
  <c r="BT1591" i="1"/>
  <c r="BF1591" i="1"/>
  <c r="BT1590" i="1"/>
  <c r="BF1590" i="1"/>
  <c r="BT1589" i="1"/>
  <c r="BF1589" i="1"/>
  <c r="BT1588" i="1"/>
  <c r="BT1587" i="1"/>
  <c r="BF1587" i="1"/>
  <c r="BT1586" i="1"/>
  <c r="BF1586" i="1"/>
  <c r="BT1585" i="1"/>
  <c r="BF1585" i="1"/>
  <c r="BT1584" i="1"/>
  <c r="BF1584" i="1"/>
  <c r="BT1583" i="1"/>
  <c r="BF1583" i="1"/>
  <c r="BT1582" i="1"/>
  <c r="BF1582" i="1"/>
  <c r="BT1581" i="1"/>
  <c r="BF1581" i="1"/>
  <c r="BT1580" i="1"/>
  <c r="BF1580" i="1"/>
  <c r="BT1579" i="1"/>
  <c r="BF1579" i="1"/>
  <c r="BT1578" i="1"/>
  <c r="BF1578" i="1"/>
  <c r="BT1577" i="1"/>
  <c r="BF1577" i="1"/>
  <c r="BT1576" i="1"/>
  <c r="BF1576" i="1"/>
  <c r="BT1575" i="1"/>
  <c r="BF1575" i="1"/>
  <c r="BT1574" i="1"/>
  <c r="BF1574" i="1"/>
  <c r="BT1573" i="1"/>
  <c r="BF1573" i="1"/>
  <c r="BT1572" i="1"/>
  <c r="BF1572" i="1"/>
  <c r="BT1571" i="1"/>
  <c r="BF1571" i="1"/>
  <c r="BT1570" i="1"/>
  <c r="BF1570" i="1"/>
  <c r="BT1569" i="1"/>
  <c r="BF1569" i="1"/>
  <c r="BT1568" i="1"/>
  <c r="BF1568" i="1"/>
  <c r="BT1567" i="1"/>
  <c r="BF1567" i="1"/>
  <c r="BT1566" i="1"/>
  <c r="BF1566" i="1"/>
  <c r="BT1565" i="1"/>
  <c r="BF1565" i="1"/>
  <c r="BT1564" i="1"/>
  <c r="BF1564" i="1"/>
  <c r="BT1563" i="1"/>
  <c r="BF1563" i="1"/>
  <c r="BT1562" i="1"/>
  <c r="BF1562" i="1"/>
  <c r="BT1561" i="1"/>
  <c r="BF1561" i="1"/>
  <c r="BT1560" i="1"/>
  <c r="BT1559" i="1"/>
  <c r="BF1559" i="1"/>
  <c r="BT1558" i="1"/>
  <c r="BF1558" i="1"/>
  <c r="BT1557" i="1"/>
  <c r="BF1557" i="1"/>
  <c r="BT1556" i="1"/>
  <c r="BF1556" i="1"/>
  <c r="BT1555" i="1"/>
  <c r="BF1555" i="1"/>
  <c r="BT1554" i="1"/>
  <c r="BF1554" i="1"/>
  <c r="BT1553" i="1"/>
  <c r="BF1553" i="1"/>
  <c r="BT1552" i="1"/>
  <c r="BF1552" i="1"/>
  <c r="BT1551" i="1"/>
  <c r="BF1551" i="1"/>
  <c r="BT1550" i="1"/>
  <c r="BF1550" i="1"/>
  <c r="BT1549" i="1"/>
  <c r="BF1549" i="1"/>
  <c r="BT1548" i="1"/>
  <c r="BF1548" i="1"/>
  <c r="BT1547" i="1"/>
  <c r="BF1547" i="1"/>
  <c r="BT1546" i="1"/>
  <c r="BF1546" i="1"/>
  <c r="BT1545" i="1"/>
  <c r="BF1545" i="1"/>
  <c r="BT1544" i="1"/>
  <c r="BF1544" i="1"/>
  <c r="BT1543" i="1"/>
  <c r="BF1543" i="1"/>
  <c r="BT1542" i="1"/>
  <c r="BF1542" i="1"/>
  <c r="BT1541" i="1"/>
  <c r="BF1541" i="1"/>
  <c r="BT1540" i="1"/>
  <c r="BF1540" i="1"/>
  <c r="BT1539" i="1"/>
  <c r="BF1539" i="1"/>
  <c r="BT1538" i="1"/>
  <c r="BF1538" i="1"/>
  <c r="BT1537" i="1"/>
  <c r="BF1537" i="1"/>
  <c r="BT1536" i="1"/>
  <c r="BF1536" i="1"/>
  <c r="BT1535" i="1"/>
  <c r="BF1535" i="1"/>
  <c r="BT1534" i="1"/>
  <c r="BF1534" i="1"/>
  <c r="BT1533" i="1"/>
  <c r="BF1533" i="1"/>
  <c r="BT1532" i="1"/>
  <c r="BF1532" i="1"/>
  <c r="BT1531" i="1"/>
  <c r="BF1531" i="1"/>
  <c r="BT1530" i="1"/>
  <c r="BF1530" i="1"/>
  <c r="BT1529" i="1"/>
  <c r="BF1529" i="1"/>
  <c r="BT1528" i="1"/>
  <c r="BF1528" i="1"/>
  <c r="BT1527" i="1"/>
  <c r="BF1527" i="1"/>
  <c r="BT1526" i="1"/>
  <c r="BF1526" i="1"/>
  <c r="BT1525" i="1"/>
  <c r="BF1525" i="1"/>
  <c r="BT1524" i="1"/>
  <c r="BF1524" i="1"/>
  <c r="BT1523" i="1"/>
  <c r="BF1523" i="1"/>
  <c r="BT1522" i="1"/>
  <c r="BF1522" i="1"/>
  <c r="BT1521" i="1"/>
  <c r="BF1521" i="1"/>
  <c r="BT1520" i="1"/>
  <c r="BF1520" i="1"/>
  <c r="BT1519" i="1"/>
  <c r="BF1519" i="1"/>
  <c r="BT1518" i="1"/>
  <c r="BF1518" i="1"/>
  <c r="BT1517" i="1"/>
  <c r="BF1517" i="1"/>
  <c r="BT1516" i="1"/>
  <c r="BF1516" i="1"/>
  <c r="BT1515" i="1"/>
  <c r="BF1515" i="1"/>
  <c r="BT1514" i="1"/>
  <c r="BF1514" i="1"/>
  <c r="BT1513" i="1"/>
  <c r="BF1513" i="1"/>
  <c r="BT1512" i="1"/>
  <c r="BF1512" i="1"/>
  <c r="BT1511" i="1"/>
  <c r="BF1511" i="1"/>
  <c r="BT1510" i="1"/>
  <c r="BT1509" i="1"/>
  <c r="BF1509" i="1"/>
  <c r="BT1508" i="1"/>
  <c r="BF1508" i="1"/>
  <c r="BT1507" i="1"/>
  <c r="BF1507" i="1"/>
  <c r="BT1506" i="1"/>
  <c r="BF1506" i="1"/>
  <c r="BT1505" i="1"/>
  <c r="BF1505" i="1"/>
  <c r="BT1504" i="1"/>
  <c r="BF1504" i="1"/>
  <c r="BT1503" i="1"/>
  <c r="BF1503" i="1"/>
  <c r="BT1502" i="1"/>
  <c r="BF1502" i="1"/>
  <c r="BT1501" i="1"/>
  <c r="BT1500" i="1"/>
  <c r="BF1500" i="1"/>
  <c r="BT1499" i="1"/>
  <c r="BF1499" i="1"/>
  <c r="BT1498" i="1"/>
  <c r="BF1498" i="1"/>
  <c r="BT1497" i="1"/>
  <c r="BF1497" i="1"/>
  <c r="BT1496" i="1"/>
  <c r="BF1496" i="1"/>
  <c r="BT1495" i="1"/>
  <c r="BF1495" i="1"/>
  <c r="BT1494" i="1"/>
  <c r="BF1494" i="1"/>
  <c r="BT1493" i="1"/>
  <c r="BF1493" i="1"/>
  <c r="BT1492" i="1"/>
  <c r="BF1492" i="1"/>
  <c r="BT1491" i="1"/>
  <c r="BF1491" i="1"/>
  <c r="BT1490" i="1"/>
  <c r="BF1490" i="1"/>
  <c r="BT1489" i="1"/>
  <c r="BF1489" i="1"/>
  <c r="BT1488" i="1"/>
  <c r="BF1488" i="1"/>
  <c r="BT1487" i="1"/>
  <c r="BF1487" i="1"/>
  <c r="BT1486" i="1"/>
  <c r="BF1486" i="1"/>
  <c r="BT1485" i="1"/>
  <c r="BF1485" i="1"/>
  <c r="BT1484" i="1"/>
  <c r="BF1484" i="1"/>
  <c r="BT1483" i="1"/>
  <c r="BF1483" i="1"/>
  <c r="BT1482" i="1"/>
  <c r="BF1482" i="1"/>
  <c r="BT1481" i="1"/>
  <c r="BF1481" i="1"/>
  <c r="BT1480" i="1"/>
  <c r="BF1480" i="1"/>
  <c r="BT1479" i="1"/>
  <c r="BF1479" i="1"/>
  <c r="BT1478" i="1"/>
  <c r="BF1478" i="1"/>
  <c r="BT1477" i="1"/>
  <c r="BF1477" i="1"/>
  <c r="BT1476" i="1"/>
  <c r="BF1476" i="1"/>
  <c r="BT1475" i="1"/>
  <c r="BF1475" i="1"/>
  <c r="BT1474" i="1"/>
  <c r="BF1474" i="1"/>
  <c r="BT1473" i="1"/>
  <c r="BF1473" i="1"/>
  <c r="BT1472" i="1"/>
  <c r="BF1472" i="1"/>
  <c r="BT1471" i="1"/>
  <c r="BF1471" i="1"/>
  <c r="BT1470" i="1"/>
  <c r="BF1470" i="1"/>
  <c r="BT1469" i="1"/>
  <c r="BF1469" i="1"/>
  <c r="BT1468" i="1"/>
  <c r="BF1468" i="1"/>
  <c r="BT1467" i="1"/>
  <c r="BF1467" i="1"/>
  <c r="BT1466" i="1"/>
  <c r="BF1466" i="1"/>
  <c r="BT1465" i="1"/>
  <c r="BF1465" i="1"/>
  <c r="BT1464" i="1"/>
  <c r="BF1464" i="1"/>
  <c r="BT1463" i="1"/>
  <c r="BF1463" i="1"/>
  <c r="BT1462" i="1"/>
  <c r="BF1462" i="1"/>
  <c r="BT1461" i="1"/>
  <c r="BF1461" i="1"/>
  <c r="BT1460" i="1"/>
  <c r="BF1460" i="1"/>
  <c r="BT1459" i="1"/>
  <c r="BF1459" i="1"/>
  <c r="BT1458" i="1"/>
  <c r="BF1458" i="1"/>
  <c r="BT1457" i="1"/>
  <c r="BF1457" i="1"/>
  <c r="BT1456" i="1"/>
  <c r="BF1456" i="1"/>
  <c r="BT1455" i="1"/>
  <c r="BF1455" i="1"/>
  <c r="BT1454" i="1"/>
  <c r="BF1454" i="1"/>
  <c r="BT1453" i="1"/>
  <c r="BF1453" i="1"/>
  <c r="BT1452" i="1"/>
  <c r="BF1452" i="1"/>
  <c r="BT1451" i="1"/>
  <c r="BF1451" i="1"/>
  <c r="BT1450" i="1"/>
  <c r="BF1450" i="1"/>
  <c r="BT1449" i="1"/>
  <c r="BF1449" i="1"/>
  <c r="BT1448" i="1"/>
  <c r="BF1448" i="1"/>
  <c r="BT1447" i="1"/>
  <c r="BF1447" i="1"/>
  <c r="BT1446" i="1"/>
  <c r="BF1446" i="1"/>
  <c r="BT1445" i="1"/>
  <c r="BF1445" i="1"/>
  <c r="BT1444" i="1"/>
  <c r="BF1444" i="1"/>
  <c r="BT1443" i="1"/>
  <c r="BF1443" i="1"/>
  <c r="BT1442" i="1"/>
  <c r="BT1441" i="1"/>
  <c r="BF1441" i="1"/>
  <c r="BT1440" i="1"/>
  <c r="BF1440" i="1"/>
  <c r="BT1439" i="1"/>
  <c r="BF1439" i="1"/>
  <c r="BT1438" i="1"/>
  <c r="BF1438" i="1"/>
  <c r="BT1437" i="1"/>
  <c r="BF1437" i="1"/>
  <c r="BT1436" i="1"/>
  <c r="BT1435" i="1"/>
  <c r="BF1435" i="1"/>
  <c r="BT1434" i="1"/>
  <c r="BF1434" i="1"/>
  <c r="BT1433" i="1"/>
  <c r="BF1433" i="1"/>
  <c r="BT1432" i="1"/>
  <c r="BF1432" i="1"/>
  <c r="BT1431" i="1"/>
  <c r="BF1431" i="1"/>
  <c r="BT1430" i="1"/>
  <c r="BT1429" i="1"/>
  <c r="BF1429" i="1"/>
  <c r="BT1428" i="1"/>
  <c r="BF1428" i="1"/>
  <c r="BT1427" i="1"/>
  <c r="BF1427" i="1"/>
  <c r="BT1426" i="1"/>
  <c r="BF1426" i="1"/>
  <c r="BT1425" i="1"/>
  <c r="BF1425" i="1"/>
  <c r="BT1424" i="1"/>
  <c r="BF1424" i="1"/>
  <c r="BT1423" i="1"/>
  <c r="BF1423" i="1"/>
  <c r="BT1422" i="1"/>
  <c r="BF1422" i="1"/>
  <c r="BT1421" i="1"/>
  <c r="BF1421" i="1"/>
  <c r="BT1420" i="1"/>
  <c r="BF1420" i="1"/>
  <c r="BT1419" i="1"/>
  <c r="BF1419" i="1"/>
  <c r="BT1418" i="1"/>
  <c r="BF1418" i="1"/>
  <c r="BT1417" i="1"/>
  <c r="BF1417" i="1"/>
  <c r="BT1416" i="1"/>
  <c r="BF1416" i="1"/>
  <c r="BT1415" i="1"/>
  <c r="BF1415" i="1"/>
  <c r="BT1414" i="1"/>
  <c r="BF1414" i="1"/>
  <c r="BT1413" i="1"/>
  <c r="BF1413" i="1"/>
  <c r="BT1412" i="1"/>
  <c r="BF1412" i="1"/>
  <c r="BT1411" i="1"/>
  <c r="BF1411" i="1"/>
  <c r="BT1410" i="1"/>
  <c r="BF1410" i="1"/>
  <c r="BT1409" i="1"/>
  <c r="BF1409" i="1"/>
  <c r="BT1408" i="1"/>
  <c r="BT1407" i="1"/>
  <c r="BF1407" i="1"/>
  <c r="BT1406" i="1"/>
  <c r="BF1406" i="1"/>
  <c r="BT1405" i="1"/>
  <c r="BF1405" i="1"/>
  <c r="BT1404" i="1"/>
  <c r="BF1404" i="1"/>
  <c r="BT1403" i="1"/>
  <c r="BF1403" i="1"/>
  <c r="BT1402" i="1"/>
  <c r="BF1402" i="1"/>
  <c r="BT1401" i="1"/>
  <c r="BF1401" i="1"/>
  <c r="BT1400" i="1"/>
  <c r="BF1400" i="1"/>
  <c r="BT1399" i="1"/>
  <c r="BF1399" i="1"/>
  <c r="BT1398" i="1"/>
  <c r="BF1398" i="1"/>
  <c r="BT1397" i="1"/>
  <c r="BF1397" i="1"/>
  <c r="BT1396" i="1"/>
  <c r="BF1396" i="1"/>
  <c r="BT1395" i="1"/>
  <c r="BF1395" i="1"/>
  <c r="BT1394" i="1"/>
  <c r="BF1394" i="1"/>
  <c r="BT1393" i="1"/>
  <c r="BF1393" i="1"/>
  <c r="BT1392" i="1"/>
  <c r="BF1392" i="1"/>
  <c r="BT1391" i="1"/>
  <c r="BF1391" i="1"/>
  <c r="BT1390" i="1"/>
  <c r="BF1390" i="1"/>
  <c r="BT1389" i="1"/>
  <c r="BT1388" i="1"/>
  <c r="BF1388" i="1"/>
  <c r="BT1387" i="1"/>
  <c r="BF1387" i="1"/>
  <c r="BT1386" i="1"/>
  <c r="BF1386" i="1"/>
  <c r="BT1385" i="1"/>
  <c r="BF1385" i="1"/>
  <c r="BT1384" i="1"/>
  <c r="BF1384" i="1"/>
  <c r="BT1383" i="1"/>
  <c r="BF1383" i="1"/>
  <c r="BT1382" i="1"/>
  <c r="BF1382" i="1"/>
  <c r="BT1381" i="1"/>
  <c r="BF1381" i="1"/>
  <c r="BT1380" i="1"/>
  <c r="BT1379" i="1"/>
  <c r="BF1379" i="1"/>
  <c r="BT1378" i="1"/>
  <c r="BF1378" i="1"/>
  <c r="BT1377" i="1"/>
  <c r="BF1377" i="1"/>
  <c r="BT1376" i="1"/>
  <c r="BF1376" i="1"/>
  <c r="BT1375" i="1"/>
  <c r="BF1375" i="1"/>
  <c r="BT1374" i="1"/>
  <c r="BF1374" i="1"/>
  <c r="BT1373" i="1"/>
  <c r="BF1373" i="1"/>
  <c r="BT1372" i="1"/>
  <c r="BF1372" i="1"/>
  <c r="BT1371" i="1"/>
  <c r="BF1371" i="1"/>
  <c r="BT1370" i="1"/>
  <c r="BF1370" i="1"/>
  <c r="BT1369" i="1"/>
  <c r="BF1369" i="1"/>
  <c r="BT1368" i="1"/>
  <c r="BF1368" i="1"/>
  <c r="BT1367" i="1"/>
  <c r="BF1367" i="1"/>
  <c r="BT1366" i="1"/>
  <c r="BF1366" i="1"/>
  <c r="BT1365" i="1"/>
  <c r="BF1365" i="1"/>
  <c r="BT1364" i="1"/>
  <c r="BF1364" i="1"/>
  <c r="BT1363" i="1"/>
  <c r="BF1363" i="1"/>
  <c r="BT1362" i="1"/>
  <c r="BF1362" i="1"/>
  <c r="BT1361" i="1"/>
  <c r="BF1361" i="1"/>
  <c r="BT1360" i="1"/>
  <c r="BF1360" i="1"/>
  <c r="BT1359" i="1"/>
  <c r="BF1359" i="1"/>
  <c r="BT1358" i="1"/>
  <c r="BF1358" i="1"/>
  <c r="BT1357" i="1"/>
  <c r="BF1357" i="1"/>
  <c r="BT1356" i="1"/>
  <c r="BF1356" i="1"/>
  <c r="BT1355" i="1"/>
  <c r="BF1355" i="1"/>
  <c r="BT1354" i="1"/>
  <c r="BF1354" i="1"/>
  <c r="BT1353" i="1"/>
  <c r="BF1353" i="1"/>
  <c r="BT1352" i="1"/>
  <c r="BF1352" i="1"/>
  <c r="BT1351" i="1"/>
  <c r="BF1351" i="1"/>
  <c r="BT1350" i="1"/>
  <c r="BF1350" i="1"/>
  <c r="BT1349" i="1"/>
  <c r="BF1349" i="1"/>
  <c r="BT1348" i="1"/>
  <c r="BF1348" i="1"/>
  <c r="BT1347" i="1"/>
  <c r="BF1347" i="1"/>
  <c r="BT1346" i="1"/>
  <c r="BF1346" i="1"/>
  <c r="BT1345" i="1"/>
  <c r="BF1345" i="1"/>
  <c r="BT1344" i="1"/>
  <c r="BF1344" i="1"/>
  <c r="BT1343" i="1"/>
  <c r="BF1343" i="1"/>
  <c r="BT1342" i="1"/>
  <c r="BF1342" i="1"/>
  <c r="BT1341" i="1"/>
  <c r="BF1341" i="1"/>
  <c r="BT1340" i="1"/>
  <c r="BF1340" i="1"/>
  <c r="BT1339" i="1"/>
  <c r="BF1339" i="1"/>
  <c r="BT1338" i="1"/>
  <c r="BF1338" i="1"/>
  <c r="BT1337" i="1"/>
  <c r="BF1337" i="1"/>
  <c r="BT1336" i="1"/>
  <c r="BF1336" i="1"/>
  <c r="BT1335" i="1"/>
  <c r="BF1335" i="1"/>
  <c r="BT1334" i="1"/>
  <c r="BF1334" i="1"/>
  <c r="BT1333" i="1"/>
  <c r="BF1333" i="1"/>
  <c r="BT1332" i="1"/>
  <c r="BF1332" i="1"/>
  <c r="BT1331" i="1"/>
  <c r="BF1331" i="1"/>
  <c r="BT1330" i="1"/>
  <c r="BF1330" i="1"/>
  <c r="BT1329" i="1"/>
  <c r="BF1329" i="1"/>
  <c r="BT1328" i="1"/>
  <c r="BF1328" i="1"/>
  <c r="BT1327" i="1"/>
  <c r="BF1327" i="1"/>
  <c r="BT1326" i="1"/>
  <c r="BF1326" i="1"/>
  <c r="BT1325" i="1"/>
  <c r="BF1325" i="1"/>
  <c r="BT1324" i="1"/>
  <c r="BF1324" i="1"/>
  <c r="BT1323" i="1"/>
  <c r="BF1323" i="1"/>
  <c r="BT1322" i="1"/>
  <c r="BT1321" i="1"/>
  <c r="BF1321" i="1"/>
  <c r="BT1320" i="1"/>
  <c r="BF1320" i="1"/>
  <c r="BT1319" i="1"/>
  <c r="BF1319" i="1"/>
  <c r="BT1318" i="1"/>
  <c r="BF1318" i="1"/>
  <c r="BT1317" i="1"/>
  <c r="BF1317" i="1"/>
  <c r="BT1316" i="1"/>
  <c r="BF1316" i="1"/>
  <c r="BT1315" i="1"/>
  <c r="BF1315" i="1"/>
  <c r="BT1314" i="1"/>
  <c r="BF1314" i="1"/>
  <c r="BT1313" i="1"/>
  <c r="BT1312" i="1"/>
  <c r="BF1312" i="1"/>
  <c r="BT1311" i="1"/>
  <c r="BF1311" i="1"/>
  <c r="BT1310" i="1"/>
  <c r="BF1310" i="1"/>
  <c r="BT1309" i="1"/>
  <c r="BF1309" i="1"/>
  <c r="BT1308" i="1"/>
  <c r="BF1308" i="1"/>
  <c r="BT1307" i="1"/>
  <c r="BF1307" i="1"/>
  <c r="BT1306" i="1"/>
  <c r="BF1306" i="1"/>
  <c r="BT1305" i="1"/>
  <c r="BF1305" i="1"/>
  <c r="BT1304" i="1"/>
  <c r="BF1304" i="1"/>
  <c r="BT1303" i="1"/>
  <c r="BF1303" i="1"/>
  <c r="BT1302" i="1"/>
  <c r="BF1302" i="1"/>
  <c r="BT1301" i="1"/>
  <c r="BF1301" i="1"/>
  <c r="BT1300" i="1"/>
  <c r="BT1299" i="1"/>
  <c r="BF1299" i="1"/>
  <c r="BT1298" i="1"/>
  <c r="BF1298" i="1"/>
  <c r="BT1297" i="1"/>
  <c r="BF1297" i="1"/>
  <c r="BT1296" i="1"/>
  <c r="BF1296" i="1"/>
  <c r="BT1295" i="1"/>
  <c r="BT1294" i="1"/>
  <c r="BF1294" i="1"/>
  <c r="BT1293" i="1"/>
  <c r="BF1293" i="1"/>
  <c r="BT1292" i="1"/>
  <c r="BF1292" i="1"/>
  <c r="BT1291" i="1"/>
  <c r="BF1291" i="1"/>
  <c r="BT1290" i="1"/>
  <c r="BF1290" i="1"/>
  <c r="BT1289" i="1"/>
  <c r="BF1289" i="1"/>
  <c r="BT1288" i="1"/>
  <c r="BF1288" i="1"/>
  <c r="BT1287" i="1"/>
  <c r="BF1287" i="1"/>
  <c r="BT1286" i="1"/>
  <c r="BF1286" i="1"/>
  <c r="BT1285" i="1"/>
  <c r="BF1285" i="1"/>
  <c r="BT1284" i="1"/>
  <c r="BF1284" i="1"/>
  <c r="BT1283" i="1"/>
  <c r="BF1283" i="1"/>
  <c r="BT1282" i="1"/>
  <c r="BF1282" i="1"/>
  <c r="BT1281" i="1"/>
  <c r="BF1281" i="1"/>
  <c r="BT1280" i="1"/>
  <c r="BF1280" i="1"/>
  <c r="BT1279" i="1"/>
  <c r="BF1279" i="1"/>
  <c r="BT1278" i="1"/>
  <c r="BF1278" i="1"/>
  <c r="BT1277" i="1"/>
  <c r="BF1277" i="1"/>
  <c r="BT1276" i="1"/>
  <c r="BF1276" i="1"/>
  <c r="BT1275" i="1"/>
  <c r="BF1275" i="1"/>
  <c r="BT1274" i="1"/>
  <c r="BF1274" i="1"/>
  <c r="BT1273" i="1"/>
  <c r="BF1273" i="1"/>
  <c r="BT1272" i="1"/>
  <c r="BT1271" i="1"/>
  <c r="BF1271" i="1"/>
  <c r="BT1270" i="1"/>
  <c r="BF1270" i="1"/>
  <c r="BT1269" i="1"/>
  <c r="BF1269" i="1"/>
  <c r="BT1268" i="1"/>
  <c r="BF1268" i="1"/>
  <c r="BT1267" i="1"/>
  <c r="BT1266" i="1"/>
  <c r="BF1266" i="1"/>
  <c r="BT1265" i="1"/>
  <c r="BF1265" i="1"/>
  <c r="BT1264" i="1"/>
  <c r="BF1264" i="1"/>
  <c r="BT1263" i="1"/>
  <c r="BF1263" i="1"/>
  <c r="BT1262" i="1"/>
  <c r="BF1262" i="1"/>
  <c r="BT1261" i="1"/>
  <c r="BF1261" i="1"/>
  <c r="BT1260" i="1"/>
  <c r="BF1260" i="1"/>
  <c r="BT1259" i="1"/>
  <c r="BF1259" i="1"/>
  <c r="BT1258" i="1"/>
  <c r="BF1258" i="1"/>
  <c r="BT1257" i="1"/>
  <c r="BF1257" i="1"/>
  <c r="BT1256" i="1"/>
  <c r="BF1256" i="1"/>
  <c r="BT1255" i="1"/>
  <c r="BF1255" i="1"/>
  <c r="BT1254" i="1"/>
  <c r="BF1254" i="1"/>
  <c r="BT1253" i="1"/>
  <c r="BF1253" i="1"/>
  <c r="BT1252" i="1"/>
  <c r="BF1252" i="1"/>
  <c r="BT1251" i="1"/>
  <c r="BF1251" i="1"/>
  <c r="BT1250" i="1"/>
  <c r="BF1250" i="1"/>
  <c r="BT1249" i="1"/>
  <c r="BF1249" i="1"/>
  <c r="BT1248" i="1"/>
  <c r="BF1248" i="1"/>
  <c r="BT1247" i="1"/>
  <c r="BF1247" i="1"/>
  <c r="BT1246" i="1"/>
  <c r="BF1246" i="1"/>
  <c r="BT1245" i="1"/>
  <c r="BF1245" i="1"/>
  <c r="BT1244" i="1"/>
  <c r="BF1244" i="1"/>
  <c r="BT1243" i="1"/>
  <c r="BF1243" i="1"/>
  <c r="BT1242" i="1"/>
  <c r="BF1242" i="1"/>
  <c r="BT1241" i="1"/>
  <c r="BF1241" i="1"/>
  <c r="BT1240" i="1"/>
  <c r="BF1240" i="1"/>
  <c r="BT1239" i="1"/>
  <c r="BF1239" i="1"/>
  <c r="BT1238" i="1"/>
  <c r="BF1238" i="1"/>
  <c r="BT1237" i="1"/>
  <c r="BF1237" i="1"/>
  <c r="BT1236" i="1"/>
  <c r="BF1236" i="1"/>
  <c r="BT1235" i="1"/>
  <c r="BF1235" i="1"/>
  <c r="BT1234" i="1"/>
  <c r="BF1234" i="1"/>
  <c r="BT1233" i="1"/>
  <c r="BF1233" i="1"/>
  <c r="BT1232" i="1"/>
  <c r="BF1232" i="1"/>
  <c r="BT1231" i="1"/>
  <c r="BF1231" i="1"/>
  <c r="BT1230" i="1"/>
  <c r="BF1230" i="1"/>
  <c r="BT1229" i="1"/>
  <c r="BF1229" i="1"/>
  <c r="BT1228" i="1"/>
  <c r="BF1228" i="1"/>
  <c r="BT1227" i="1"/>
  <c r="BF1227" i="1"/>
  <c r="BT1226" i="1"/>
  <c r="BF1226" i="1"/>
  <c r="BT1225" i="1"/>
  <c r="BT1224" i="1"/>
  <c r="BF1224" i="1"/>
  <c r="BT1223" i="1"/>
  <c r="BF1223" i="1"/>
  <c r="BT1222" i="1"/>
  <c r="BF1222" i="1"/>
  <c r="BT1221" i="1"/>
  <c r="BF1221" i="1"/>
  <c r="BT1220" i="1"/>
  <c r="BF1220" i="1"/>
  <c r="BT1219" i="1"/>
  <c r="BF1219" i="1"/>
  <c r="BT1218" i="1"/>
  <c r="BF1218" i="1"/>
  <c r="BT1217" i="1"/>
  <c r="BF1217" i="1"/>
  <c r="BT1216" i="1"/>
  <c r="BF1216" i="1"/>
  <c r="BT1215" i="1"/>
  <c r="BF1215" i="1"/>
  <c r="BT1214" i="1"/>
  <c r="BF1214" i="1"/>
  <c r="BT1213" i="1"/>
  <c r="BF1213" i="1"/>
  <c r="BT1212" i="1"/>
  <c r="BF1212" i="1"/>
  <c r="BT1211" i="1"/>
  <c r="BF1211" i="1"/>
  <c r="BT1210" i="1"/>
  <c r="BF1210" i="1"/>
  <c r="BT1209" i="1"/>
  <c r="BF1209" i="1"/>
  <c r="BT1208" i="1"/>
  <c r="BF1208" i="1"/>
  <c r="BT1207" i="1"/>
  <c r="BF1207" i="1"/>
  <c r="BT1206" i="1"/>
  <c r="BF1206" i="1"/>
  <c r="BT1205" i="1"/>
  <c r="BF1205" i="1"/>
  <c r="BT1204" i="1"/>
  <c r="BF1204" i="1"/>
  <c r="BT1203" i="1"/>
  <c r="BF1203" i="1"/>
  <c r="BT1202" i="1"/>
  <c r="BF1202" i="1"/>
  <c r="BT1201" i="1"/>
  <c r="BF1201" i="1"/>
  <c r="BT1200" i="1"/>
  <c r="BF1200" i="1"/>
  <c r="BT1199" i="1"/>
  <c r="BT1198" i="1"/>
  <c r="BF1198" i="1"/>
  <c r="BT1197" i="1"/>
  <c r="BF1197" i="1"/>
  <c r="BT1196" i="1"/>
  <c r="BF1196" i="1"/>
  <c r="BT1195" i="1"/>
  <c r="BF1195" i="1"/>
  <c r="BT1194" i="1"/>
  <c r="BF1194" i="1"/>
  <c r="BT1193" i="1"/>
  <c r="BF1193" i="1"/>
  <c r="BT1192" i="1"/>
  <c r="BF1192" i="1"/>
  <c r="BT1191" i="1"/>
  <c r="BF1191" i="1"/>
  <c r="BT1190" i="1"/>
  <c r="BF1190" i="1"/>
  <c r="BT1189" i="1"/>
  <c r="BF1189" i="1"/>
  <c r="BT1188" i="1"/>
  <c r="BF1188" i="1"/>
  <c r="BT1187" i="1"/>
  <c r="BF1187" i="1"/>
  <c r="BT1186" i="1"/>
  <c r="BF1186" i="1"/>
  <c r="BT1185" i="1"/>
  <c r="BF1185" i="1"/>
  <c r="BT1184" i="1"/>
  <c r="BF1184" i="1"/>
  <c r="BT1183" i="1"/>
  <c r="BF1183" i="1"/>
  <c r="BT1182" i="1"/>
  <c r="BF1182" i="1"/>
  <c r="BT1181" i="1"/>
  <c r="BF1181" i="1"/>
  <c r="BT1180" i="1"/>
  <c r="BF1180" i="1"/>
  <c r="BT1179" i="1"/>
  <c r="BF1179" i="1"/>
  <c r="BT1178" i="1"/>
  <c r="BF1178" i="1"/>
  <c r="BT1177" i="1"/>
  <c r="BF1177" i="1"/>
  <c r="BT1176" i="1"/>
  <c r="BF1176" i="1"/>
  <c r="BT1175" i="1"/>
  <c r="BF1175" i="1"/>
  <c r="BT1174" i="1"/>
  <c r="BF1174" i="1"/>
  <c r="BT1173" i="1"/>
  <c r="BF1173" i="1"/>
  <c r="BT1172" i="1"/>
  <c r="BF1172" i="1"/>
  <c r="BT1171" i="1"/>
  <c r="BF1171" i="1"/>
  <c r="BT1170" i="1"/>
  <c r="BF1170" i="1"/>
  <c r="BT1169" i="1"/>
  <c r="BF1169" i="1"/>
  <c r="BT1168" i="1"/>
  <c r="BF1168" i="1"/>
  <c r="BT1167" i="1"/>
  <c r="BF1167" i="1"/>
  <c r="BT1166" i="1"/>
  <c r="BF1166" i="1"/>
  <c r="BT1165" i="1"/>
  <c r="BF1165" i="1"/>
  <c r="BT1164" i="1"/>
  <c r="BF1164" i="1"/>
  <c r="BT1163" i="1"/>
  <c r="BF1163" i="1"/>
  <c r="BT1162" i="1"/>
  <c r="BF1162" i="1"/>
  <c r="BT1161" i="1"/>
  <c r="BF1161" i="1"/>
  <c r="BT1160" i="1"/>
  <c r="BF1160" i="1"/>
  <c r="BT1159" i="1"/>
  <c r="BF1159" i="1"/>
  <c r="BT1158" i="1"/>
  <c r="BF1158" i="1"/>
  <c r="BT1157" i="1"/>
  <c r="BT1156" i="1"/>
  <c r="BF1156" i="1"/>
  <c r="BT1155" i="1"/>
  <c r="BF1155" i="1"/>
  <c r="BT1154" i="1"/>
  <c r="BF1154" i="1"/>
  <c r="BT1153" i="1"/>
  <c r="BF1153" i="1"/>
  <c r="BT1152" i="1"/>
  <c r="BF1152" i="1"/>
  <c r="BT1151" i="1"/>
  <c r="BF1151" i="1"/>
  <c r="BT1150" i="1"/>
  <c r="BF1150" i="1"/>
  <c r="BT1149" i="1"/>
  <c r="BF1149" i="1"/>
  <c r="BT1148" i="1"/>
  <c r="BF1148" i="1"/>
  <c r="BT1147" i="1"/>
  <c r="BF1147" i="1"/>
  <c r="BT1146" i="1"/>
  <c r="BF1146" i="1"/>
  <c r="BT1145" i="1"/>
  <c r="BF1145" i="1"/>
  <c r="BT1144" i="1"/>
  <c r="BT1143" i="1"/>
  <c r="BF1143" i="1"/>
  <c r="BT1142" i="1"/>
  <c r="BF1142" i="1"/>
  <c r="BT1141" i="1"/>
  <c r="BF1141" i="1"/>
  <c r="BT1140" i="1"/>
  <c r="BF1140" i="1"/>
  <c r="BT1139" i="1"/>
  <c r="BF1139" i="1"/>
  <c r="BT1138" i="1"/>
  <c r="BF1138" i="1"/>
  <c r="BT1137" i="1"/>
  <c r="BF1137" i="1"/>
  <c r="BT1136" i="1"/>
  <c r="BF1136" i="1"/>
  <c r="BT1135" i="1"/>
  <c r="BT1134" i="1"/>
  <c r="BF1134" i="1"/>
  <c r="BT1133" i="1"/>
  <c r="BF1133" i="1"/>
  <c r="BT1132" i="1"/>
  <c r="BF1132" i="1"/>
  <c r="BT1131" i="1"/>
  <c r="BF1131" i="1"/>
  <c r="BT1130" i="1"/>
  <c r="BF1130" i="1"/>
  <c r="BT1129" i="1"/>
  <c r="BF1129" i="1"/>
  <c r="BT1128" i="1"/>
  <c r="BF1128" i="1"/>
  <c r="BT1127" i="1"/>
  <c r="BF1127" i="1"/>
  <c r="BT1126" i="1"/>
  <c r="BF1126" i="1"/>
  <c r="BT1125" i="1"/>
  <c r="BF1125" i="1"/>
  <c r="BT1124" i="1"/>
  <c r="BF1124" i="1"/>
  <c r="BT1123" i="1"/>
  <c r="BF1123" i="1"/>
  <c r="BT1122" i="1"/>
  <c r="BF1122" i="1"/>
  <c r="BT1121" i="1"/>
  <c r="BF1121" i="1"/>
  <c r="BT1120" i="1"/>
  <c r="BF1120" i="1"/>
  <c r="BT1119" i="1"/>
  <c r="BF1119" i="1"/>
  <c r="BT1118" i="1"/>
  <c r="BF1118" i="1"/>
  <c r="BT1117" i="1"/>
  <c r="BF1117" i="1"/>
  <c r="BT1116" i="1"/>
  <c r="BF1116" i="1"/>
  <c r="BT1115" i="1"/>
  <c r="BF1115" i="1"/>
  <c r="BT1114" i="1"/>
  <c r="BF1114" i="1"/>
  <c r="BT1113" i="1"/>
  <c r="BF1113" i="1"/>
  <c r="BT1112" i="1"/>
  <c r="BF1112" i="1"/>
  <c r="BT1111" i="1"/>
  <c r="BF1111" i="1"/>
  <c r="BT1110" i="1"/>
  <c r="BF1110" i="1"/>
  <c r="BT1109" i="1"/>
  <c r="BF1109" i="1"/>
  <c r="BT1108" i="1"/>
  <c r="BF1108" i="1"/>
  <c r="BT1107" i="1"/>
  <c r="BF1107" i="1"/>
  <c r="BT1106" i="1"/>
  <c r="BF1106" i="1"/>
  <c r="BT1105" i="1"/>
  <c r="BF1105" i="1"/>
  <c r="BT1104" i="1"/>
  <c r="BF1104" i="1"/>
  <c r="BT1103" i="1"/>
  <c r="BT1102" i="1"/>
  <c r="BF1102" i="1"/>
  <c r="BT1101" i="1"/>
  <c r="BF1101" i="1"/>
  <c r="BT1100" i="1"/>
  <c r="BF1100" i="1"/>
  <c r="BT1099" i="1"/>
  <c r="BF1099" i="1"/>
  <c r="BT1098" i="1"/>
  <c r="BF1098" i="1"/>
  <c r="BT1097" i="1"/>
  <c r="BT1096" i="1"/>
  <c r="BF1096" i="1"/>
  <c r="BT1095" i="1"/>
  <c r="BT1094" i="1"/>
  <c r="BF1094" i="1"/>
  <c r="BT1093" i="1"/>
  <c r="BF1093" i="1"/>
  <c r="BT1092" i="1"/>
  <c r="BT1091" i="1"/>
  <c r="BF1091" i="1"/>
  <c r="BT1090" i="1"/>
  <c r="BF1090" i="1"/>
  <c r="BT1089" i="1"/>
  <c r="BF1089" i="1"/>
  <c r="BT1088" i="1"/>
  <c r="BF1088" i="1"/>
  <c r="BT1087" i="1"/>
  <c r="BT1086" i="1"/>
  <c r="BF1086" i="1"/>
  <c r="BT1085" i="1"/>
  <c r="BF1085" i="1"/>
  <c r="BT1084" i="1"/>
  <c r="BF1084" i="1"/>
  <c r="BT1083" i="1"/>
  <c r="BF1083" i="1"/>
  <c r="BT1082" i="1"/>
  <c r="BF1082" i="1"/>
  <c r="BT1081" i="1"/>
  <c r="BF1081" i="1"/>
  <c r="BT1080" i="1"/>
  <c r="BF1080" i="1"/>
  <c r="BT1079" i="1"/>
  <c r="BF1079" i="1"/>
  <c r="BT1078" i="1"/>
  <c r="BF1078" i="1"/>
  <c r="BT1077" i="1"/>
  <c r="BF1077" i="1"/>
  <c r="BT1076" i="1"/>
  <c r="BF1076" i="1"/>
  <c r="BT1075" i="1"/>
  <c r="BF1075" i="1"/>
  <c r="BT1074" i="1"/>
  <c r="BF1074" i="1"/>
  <c r="BT1073" i="1"/>
  <c r="BF1073" i="1"/>
  <c r="BT1072" i="1"/>
  <c r="BF1072" i="1"/>
  <c r="BT1071" i="1"/>
  <c r="BF1071" i="1"/>
  <c r="BT1070" i="1"/>
  <c r="BT1069" i="1"/>
  <c r="BF1069" i="1"/>
  <c r="BT1068" i="1"/>
  <c r="BF1068" i="1"/>
  <c r="BT1067" i="1"/>
  <c r="BF1067" i="1"/>
  <c r="BT1066" i="1"/>
  <c r="BF1066" i="1"/>
  <c r="BT1065" i="1"/>
  <c r="BF1065" i="1"/>
  <c r="BT1064" i="1"/>
  <c r="BF1064" i="1"/>
  <c r="BT1063" i="1"/>
  <c r="BF1063" i="1"/>
  <c r="BT1062" i="1"/>
  <c r="BF1062" i="1"/>
  <c r="BT1061" i="1"/>
  <c r="BF1061" i="1"/>
  <c r="BT1060" i="1"/>
  <c r="BF1060" i="1"/>
  <c r="BT1059" i="1"/>
  <c r="BF1059" i="1"/>
  <c r="BT1058" i="1"/>
  <c r="BF1058" i="1"/>
  <c r="BT1057" i="1"/>
  <c r="BF1057" i="1"/>
  <c r="BT1056" i="1"/>
  <c r="BT1055" i="1"/>
  <c r="BF1055" i="1"/>
  <c r="BT1054" i="1"/>
  <c r="BF1054" i="1"/>
  <c r="BT1053" i="1"/>
  <c r="BT1052" i="1"/>
  <c r="BT1051" i="1"/>
  <c r="BF1051" i="1"/>
  <c r="BT1050" i="1"/>
  <c r="BF1050" i="1"/>
  <c r="BT1049" i="1"/>
  <c r="BF1049" i="1"/>
  <c r="BT1048" i="1"/>
  <c r="BF1048" i="1"/>
  <c r="BT1047" i="1"/>
  <c r="BF1047" i="1"/>
  <c r="BT1046" i="1"/>
  <c r="BF1046" i="1"/>
  <c r="BT1045" i="1"/>
  <c r="BF1045" i="1"/>
  <c r="BT1044" i="1"/>
  <c r="BF1044" i="1"/>
  <c r="BT1043" i="1"/>
  <c r="BF1043" i="1"/>
  <c r="BT1042" i="1"/>
  <c r="BF1042" i="1"/>
  <c r="BT1041" i="1"/>
  <c r="BF1041" i="1"/>
  <c r="BT1040" i="1"/>
  <c r="BF1040" i="1"/>
  <c r="BT1039" i="1"/>
  <c r="BF1039" i="1"/>
  <c r="BT1038" i="1"/>
  <c r="BF1038" i="1"/>
  <c r="BT1037" i="1"/>
  <c r="BF1037" i="1"/>
  <c r="BT1036" i="1"/>
  <c r="BF1036" i="1"/>
  <c r="BT1035" i="1"/>
  <c r="BF1035" i="1"/>
  <c r="BT1034" i="1"/>
  <c r="BF1034" i="1"/>
  <c r="BT1033" i="1"/>
  <c r="BT1032" i="1"/>
  <c r="BF1032" i="1"/>
  <c r="BT1031" i="1"/>
  <c r="BF1031" i="1"/>
  <c r="BT1030" i="1"/>
  <c r="BF1030" i="1"/>
  <c r="BT1029" i="1"/>
  <c r="BT1028" i="1"/>
  <c r="BF1028" i="1"/>
  <c r="BT1027" i="1"/>
  <c r="BF1027" i="1"/>
  <c r="BT1026" i="1"/>
  <c r="BF1026" i="1"/>
  <c r="BT1025" i="1"/>
  <c r="BF1025" i="1"/>
  <c r="BT1024" i="1"/>
  <c r="BF1024" i="1"/>
  <c r="BT1023" i="1"/>
  <c r="BF1023" i="1"/>
  <c r="BT1022" i="1"/>
  <c r="BF1022" i="1"/>
  <c r="BT1021" i="1"/>
  <c r="BF1021" i="1"/>
  <c r="BT1020" i="1"/>
  <c r="BF1020" i="1"/>
  <c r="BT1019" i="1"/>
  <c r="BF1019" i="1"/>
  <c r="BT1018" i="1"/>
  <c r="BF1018" i="1"/>
  <c r="BT1017" i="1"/>
  <c r="BF1017" i="1"/>
  <c r="BT1016" i="1"/>
  <c r="BF1016" i="1"/>
  <c r="BT1015" i="1"/>
  <c r="BF1015" i="1"/>
  <c r="BT1014" i="1"/>
  <c r="BF1014" i="1"/>
  <c r="BT1013" i="1"/>
  <c r="BF1013" i="1"/>
  <c r="BT1012" i="1"/>
  <c r="BF1012" i="1"/>
  <c r="BT1011" i="1"/>
  <c r="BF1011" i="1"/>
  <c r="BT1010" i="1"/>
  <c r="BF1010" i="1"/>
  <c r="BT1009" i="1"/>
  <c r="BF1009" i="1"/>
  <c r="BT1008" i="1"/>
  <c r="BF1008" i="1"/>
  <c r="BT1007" i="1"/>
  <c r="BF1007" i="1"/>
  <c r="BT1006" i="1"/>
  <c r="BF1006" i="1"/>
  <c r="BT1005" i="1"/>
  <c r="BF1005" i="1"/>
  <c r="BT1004" i="1"/>
  <c r="BF1004" i="1"/>
  <c r="BT1003" i="1"/>
  <c r="BF1003" i="1"/>
  <c r="BT1002" i="1"/>
  <c r="BF2" i="1"/>
  <c r="BT2" i="1"/>
  <c r="BF3" i="1"/>
  <c r="BT3" i="1"/>
  <c r="BF4" i="1"/>
  <c r="BT4" i="1"/>
  <c r="BF5" i="1"/>
  <c r="BT5" i="1"/>
  <c r="BF6" i="1"/>
  <c r="BT6" i="1"/>
  <c r="BF7" i="1"/>
  <c r="BT7" i="1"/>
  <c r="BF8" i="1"/>
  <c r="BT8" i="1"/>
  <c r="BF9" i="1"/>
  <c r="BT9" i="1"/>
  <c r="BF10" i="1"/>
  <c r="BT10" i="1"/>
  <c r="BF11" i="1"/>
  <c r="BT11" i="1"/>
  <c r="BF12" i="1"/>
  <c r="BT12" i="1"/>
  <c r="BF13" i="1"/>
  <c r="BT13" i="1"/>
  <c r="BF14" i="1"/>
  <c r="BT14" i="1"/>
  <c r="BT15" i="1"/>
  <c r="BF16" i="1"/>
  <c r="BT16" i="1"/>
  <c r="BF17" i="1"/>
  <c r="BT17" i="1"/>
  <c r="BF18" i="1"/>
  <c r="BT18" i="1"/>
  <c r="BF19" i="1"/>
  <c r="BT19" i="1"/>
  <c r="BF20" i="1"/>
  <c r="BT20" i="1"/>
  <c r="BF21" i="1"/>
  <c r="BT21" i="1"/>
  <c r="BF22" i="1"/>
  <c r="BT22" i="1"/>
  <c r="BF23" i="1"/>
  <c r="BT23" i="1"/>
  <c r="BF24" i="1"/>
  <c r="BT24" i="1"/>
  <c r="BF25" i="1"/>
  <c r="BT25" i="1"/>
  <c r="BF26" i="1"/>
  <c r="BT26" i="1"/>
  <c r="BF27" i="1"/>
  <c r="BT27" i="1"/>
  <c r="BF28" i="1"/>
  <c r="BT28" i="1"/>
  <c r="BF29" i="1"/>
  <c r="BT29" i="1"/>
  <c r="BF30" i="1"/>
  <c r="BT30" i="1"/>
  <c r="BF31" i="1"/>
  <c r="BT31" i="1"/>
  <c r="BF32" i="1"/>
  <c r="BT32" i="1"/>
  <c r="BF33" i="1"/>
  <c r="BT33" i="1"/>
  <c r="BF34" i="1"/>
  <c r="BT34" i="1"/>
  <c r="BF35" i="1"/>
  <c r="BT35" i="1"/>
  <c r="BF36" i="1"/>
  <c r="BT36" i="1"/>
  <c r="BF37" i="1"/>
  <c r="BT37" i="1"/>
  <c r="BF38" i="1"/>
  <c r="BT38" i="1"/>
  <c r="BF39" i="1"/>
  <c r="BT39" i="1"/>
  <c r="BF40" i="1"/>
  <c r="BT40" i="1"/>
  <c r="BT41" i="1"/>
  <c r="BF42" i="1"/>
  <c r="BT42" i="1"/>
  <c r="BF43" i="1"/>
  <c r="BT43" i="1"/>
  <c r="BF44" i="1"/>
  <c r="BT44" i="1"/>
  <c r="BF45" i="1"/>
  <c r="BT45" i="1"/>
  <c r="BF46" i="1"/>
  <c r="BT46" i="1"/>
  <c r="BF47" i="1"/>
  <c r="BT47" i="1"/>
  <c r="BF48" i="1"/>
  <c r="BT48" i="1"/>
  <c r="BF49" i="1"/>
  <c r="BT49" i="1"/>
  <c r="BF50" i="1"/>
  <c r="BT50" i="1"/>
  <c r="BF51" i="1"/>
  <c r="BT51" i="1"/>
  <c r="BF52" i="1"/>
  <c r="BT52" i="1"/>
  <c r="BT53" i="1"/>
  <c r="BF54" i="1"/>
  <c r="BT54" i="1"/>
  <c r="BF55" i="1"/>
  <c r="BT55" i="1"/>
  <c r="BF56" i="1"/>
  <c r="BT56" i="1"/>
  <c r="BF57" i="1"/>
  <c r="BT57" i="1"/>
  <c r="BF58" i="1"/>
  <c r="BT58" i="1"/>
  <c r="BF59" i="1"/>
  <c r="BT59" i="1"/>
  <c r="BF60" i="1"/>
  <c r="BT60" i="1"/>
  <c r="BF61" i="1"/>
  <c r="BT61" i="1"/>
  <c r="BF62" i="1"/>
  <c r="BT62" i="1"/>
  <c r="BT63" i="1"/>
  <c r="BF64" i="1"/>
  <c r="BT64" i="1"/>
  <c r="BF65" i="1"/>
  <c r="BT65" i="1"/>
  <c r="BF66" i="1"/>
  <c r="BT66" i="1"/>
  <c r="BF67" i="1"/>
  <c r="BT67" i="1"/>
  <c r="BF68" i="1"/>
  <c r="BT68" i="1"/>
  <c r="BF69" i="1"/>
  <c r="BT69" i="1"/>
  <c r="BF70" i="1"/>
  <c r="BT70" i="1"/>
  <c r="BF71" i="1"/>
  <c r="BT71" i="1"/>
  <c r="BF72" i="1"/>
  <c r="BT72" i="1"/>
  <c r="BF73" i="1"/>
  <c r="BT73" i="1"/>
  <c r="BT74" i="1"/>
  <c r="BF75" i="1"/>
  <c r="BT75" i="1"/>
  <c r="BF76" i="1"/>
  <c r="BT76" i="1"/>
  <c r="BF77" i="1"/>
  <c r="BT77" i="1"/>
  <c r="BF78" i="1"/>
  <c r="BT78" i="1"/>
  <c r="BF79" i="1"/>
  <c r="BT79" i="1"/>
  <c r="BF80" i="1"/>
  <c r="BT80" i="1"/>
  <c r="BF81" i="1"/>
  <c r="BT81" i="1"/>
  <c r="BF82" i="1"/>
  <c r="BT82" i="1"/>
  <c r="BT83" i="1"/>
  <c r="BF84" i="1"/>
  <c r="BT84" i="1"/>
  <c r="BF85" i="1"/>
  <c r="BT85" i="1"/>
  <c r="BF86" i="1"/>
  <c r="BT86" i="1"/>
  <c r="BF87" i="1"/>
  <c r="BT87" i="1"/>
  <c r="BF88" i="1"/>
  <c r="BT88" i="1"/>
  <c r="BF89" i="1"/>
  <c r="BT89" i="1"/>
  <c r="BF90" i="1"/>
  <c r="BT90" i="1"/>
  <c r="BF91" i="1"/>
  <c r="BT91" i="1"/>
  <c r="BT92" i="1"/>
  <c r="BF93" i="1"/>
  <c r="BT93" i="1"/>
  <c r="BF94" i="1"/>
  <c r="BT94" i="1"/>
  <c r="BF95" i="1"/>
  <c r="BT95" i="1"/>
  <c r="BF96" i="1"/>
  <c r="BT96" i="1"/>
  <c r="BF97" i="1"/>
  <c r="BT97" i="1"/>
  <c r="BF98" i="1"/>
  <c r="BT98" i="1"/>
  <c r="BF99" i="1"/>
  <c r="BT99" i="1"/>
  <c r="BF100" i="1"/>
  <c r="BT100" i="1"/>
  <c r="BF101" i="1"/>
  <c r="BT101" i="1"/>
  <c r="BF102" i="1"/>
  <c r="BT102" i="1"/>
  <c r="BF103" i="1"/>
  <c r="BT103" i="1"/>
  <c r="BF104" i="1"/>
  <c r="BT104" i="1"/>
  <c r="BF105" i="1"/>
  <c r="BT105" i="1"/>
  <c r="BF106" i="1"/>
  <c r="BT106" i="1"/>
  <c r="BF107" i="1"/>
  <c r="BT107" i="1"/>
  <c r="BF108" i="1"/>
  <c r="BT108" i="1"/>
  <c r="BF109" i="1"/>
  <c r="BT109" i="1"/>
  <c r="BT110" i="1"/>
  <c r="BF111" i="1"/>
  <c r="BT111" i="1"/>
  <c r="BF112" i="1"/>
  <c r="BT112" i="1"/>
  <c r="BF113" i="1"/>
  <c r="BT113" i="1"/>
  <c r="BF114" i="1"/>
  <c r="BT114" i="1"/>
  <c r="BF115" i="1"/>
  <c r="BT115" i="1"/>
  <c r="BF116" i="1"/>
  <c r="BT116" i="1"/>
  <c r="BF117" i="1"/>
  <c r="BT117" i="1"/>
  <c r="BF118" i="1"/>
  <c r="BT118" i="1"/>
  <c r="BF119" i="1"/>
  <c r="BT119" i="1"/>
  <c r="BF120" i="1"/>
  <c r="BT120" i="1"/>
  <c r="BF121" i="1"/>
  <c r="BT121" i="1"/>
  <c r="BF122" i="1"/>
  <c r="BT122" i="1"/>
  <c r="BT123" i="1"/>
  <c r="BF124" i="1"/>
  <c r="BT124" i="1"/>
  <c r="BF125" i="1"/>
  <c r="BT125" i="1"/>
  <c r="BF126" i="1"/>
  <c r="BT126" i="1"/>
  <c r="BF127" i="1"/>
  <c r="BT127" i="1"/>
  <c r="BT128" i="1"/>
  <c r="BF129" i="1"/>
  <c r="BT129" i="1"/>
  <c r="BF130" i="1"/>
  <c r="BT130" i="1"/>
  <c r="BF131" i="1"/>
  <c r="BT131" i="1"/>
  <c r="BF132" i="1"/>
  <c r="BT132" i="1"/>
  <c r="BF133" i="1"/>
  <c r="BT133" i="1"/>
  <c r="BF134" i="1"/>
  <c r="BT134" i="1"/>
  <c r="BF135" i="1"/>
  <c r="BT135" i="1"/>
  <c r="BF136" i="1"/>
  <c r="BT136" i="1"/>
  <c r="BF137" i="1"/>
  <c r="BT137" i="1"/>
  <c r="BF138" i="1"/>
  <c r="BT138" i="1"/>
  <c r="BF139" i="1"/>
  <c r="BT139" i="1"/>
  <c r="BF140" i="1"/>
  <c r="BT140" i="1"/>
  <c r="BF141" i="1"/>
  <c r="BT141" i="1"/>
  <c r="BF142" i="1"/>
  <c r="BT142" i="1"/>
  <c r="BF143" i="1"/>
  <c r="BT143" i="1"/>
  <c r="BT144" i="1"/>
  <c r="BF145" i="1"/>
  <c r="BT145" i="1"/>
  <c r="BF146" i="1"/>
  <c r="BT146" i="1"/>
  <c r="BF147" i="1"/>
  <c r="BT147" i="1"/>
  <c r="BF148" i="1"/>
  <c r="BT148" i="1"/>
  <c r="BF149" i="1"/>
  <c r="BT149" i="1"/>
  <c r="BF150" i="1"/>
  <c r="BT150" i="1"/>
  <c r="BT151" i="1"/>
  <c r="BF152" i="1"/>
  <c r="BT152" i="1"/>
  <c r="BF153" i="1"/>
  <c r="BT153" i="1"/>
  <c r="BF154" i="1"/>
  <c r="BT154" i="1"/>
  <c r="BF155" i="1"/>
  <c r="BT155" i="1"/>
  <c r="BF156" i="1"/>
  <c r="BT156" i="1"/>
  <c r="BF157" i="1"/>
  <c r="BT157" i="1"/>
  <c r="BF158" i="1"/>
  <c r="BT158" i="1"/>
  <c r="BF159" i="1"/>
  <c r="BT159" i="1"/>
  <c r="BF160" i="1"/>
  <c r="BT160" i="1"/>
  <c r="BF161" i="1"/>
  <c r="BT161" i="1"/>
  <c r="BF162" i="1"/>
  <c r="BT162" i="1"/>
  <c r="BF163" i="1"/>
  <c r="BT163" i="1"/>
  <c r="BF164" i="1"/>
  <c r="BT164" i="1"/>
  <c r="BF165" i="1"/>
  <c r="BT165" i="1"/>
  <c r="BT166" i="1"/>
  <c r="BF167" i="1"/>
  <c r="BT167" i="1"/>
  <c r="BT168" i="1"/>
  <c r="BF169" i="1"/>
  <c r="BT169" i="1"/>
  <c r="BF170" i="1"/>
  <c r="BT170" i="1"/>
  <c r="BF171" i="1"/>
  <c r="BT171" i="1"/>
  <c r="BF172" i="1"/>
  <c r="BT172" i="1"/>
  <c r="BF173" i="1"/>
  <c r="BT173" i="1"/>
  <c r="BF174" i="1"/>
  <c r="BT174" i="1"/>
  <c r="BF175" i="1"/>
  <c r="BT175" i="1"/>
  <c r="BF176" i="1"/>
  <c r="BT176" i="1"/>
  <c r="BF177" i="1"/>
  <c r="BT177" i="1"/>
  <c r="BF178" i="1"/>
  <c r="BT178" i="1"/>
  <c r="BF179" i="1"/>
  <c r="BT179" i="1"/>
  <c r="BF180" i="1"/>
  <c r="BT180" i="1"/>
  <c r="BF181" i="1"/>
  <c r="BT181" i="1"/>
  <c r="BF182" i="1"/>
  <c r="BT182" i="1"/>
  <c r="BF183" i="1"/>
  <c r="BT183" i="1"/>
  <c r="BF184" i="1"/>
  <c r="BT184" i="1"/>
  <c r="BF185" i="1"/>
  <c r="BT185" i="1"/>
  <c r="BF186" i="1"/>
  <c r="BT186" i="1"/>
  <c r="BF187" i="1"/>
  <c r="BT187" i="1"/>
  <c r="BF188" i="1"/>
  <c r="BT188" i="1"/>
  <c r="BF189" i="1"/>
  <c r="BT189" i="1"/>
  <c r="BF190" i="1"/>
  <c r="BT190" i="1"/>
  <c r="BF191" i="1"/>
  <c r="BT191" i="1"/>
  <c r="BF192" i="1"/>
  <c r="BT192" i="1"/>
  <c r="BF193" i="1"/>
  <c r="BT193" i="1"/>
  <c r="BF194" i="1"/>
  <c r="BT194" i="1"/>
  <c r="BF195" i="1"/>
  <c r="BT195" i="1"/>
  <c r="BF196" i="1"/>
  <c r="BT196" i="1"/>
  <c r="BF197" i="1"/>
  <c r="BT197" i="1"/>
  <c r="BF198" i="1"/>
  <c r="BT198" i="1"/>
  <c r="BF199" i="1"/>
  <c r="BT199" i="1"/>
  <c r="BF200" i="1"/>
  <c r="BT200" i="1"/>
  <c r="BF201" i="1"/>
  <c r="BT201" i="1"/>
  <c r="BF202" i="1"/>
  <c r="BT202" i="1"/>
  <c r="BF203" i="1"/>
  <c r="BT203" i="1"/>
  <c r="BF204" i="1"/>
  <c r="BT204" i="1"/>
  <c r="BF205" i="1"/>
  <c r="BT205" i="1"/>
  <c r="BF206" i="1"/>
  <c r="BT206" i="1"/>
  <c r="BF207" i="1"/>
  <c r="BT207" i="1"/>
  <c r="BF208" i="1"/>
  <c r="BT208" i="1"/>
  <c r="BF209" i="1"/>
  <c r="BT209" i="1"/>
  <c r="BF210" i="1"/>
  <c r="BT210" i="1"/>
  <c r="BF211" i="1"/>
  <c r="BT211" i="1"/>
  <c r="BF212" i="1"/>
  <c r="BT212" i="1"/>
  <c r="BF213" i="1"/>
  <c r="BT213" i="1"/>
  <c r="BF214" i="1"/>
  <c r="BT214" i="1"/>
  <c r="BF215" i="1"/>
  <c r="BT215" i="1"/>
  <c r="BF216" i="1"/>
  <c r="BT216" i="1"/>
  <c r="BF217" i="1"/>
  <c r="BT217" i="1"/>
  <c r="BF218" i="1"/>
  <c r="BT218" i="1"/>
  <c r="BF219" i="1"/>
  <c r="BT219" i="1"/>
  <c r="BF220" i="1"/>
  <c r="BT220" i="1"/>
  <c r="BF221" i="1"/>
  <c r="BT221" i="1"/>
  <c r="BF222" i="1"/>
  <c r="BT222" i="1"/>
  <c r="BF223" i="1"/>
  <c r="BT223" i="1"/>
  <c r="BF224" i="1"/>
  <c r="BT224" i="1"/>
  <c r="BF225" i="1"/>
  <c r="BT225" i="1"/>
  <c r="BF226" i="1"/>
  <c r="BT226" i="1"/>
  <c r="BF227" i="1"/>
  <c r="BT227" i="1"/>
  <c r="BF228" i="1"/>
  <c r="BT228" i="1"/>
  <c r="BF229" i="1"/>
  <c r="BT229" i="1"/>
  <c r="BF230" i="1"/>
  <c r="BT230" i="1"/>
  <c r="BF231" i="1"/>
  <c r="BT231" i="1"/>
  <c r="BF232" i="1"/>
  <c r="BT232" i="1"/>
  <c r="BF233" i="1"/>
  <c r="BT233" i="1"/>
  <c r="BF234" i="1"/>
  <c r="BT234" i="1"/>
  <c r="BF235" i="1"/>
  <c r="BT235" i="1"/>
  <c r="BF236" i="1"/>
  <c r="BT236" i="1"/>
  <c r="BF237" i="1"/>
  <c r="BT237" i="1"/>
  <c r="BF238" i="1"/>
  <c r="BT238" i="1"/>
  <c r="BF239" i="1"/>
  <c r="BT239" i="1"/>
  <c r="BF240" i="1"/>
  <c r="BT240" i="1"/>
  <c r="BF241" i="1"/>
  <c r="BT241" i="1"/>
  <c r="BF242" i="1"/>
  <c r="BT242" i="1"/>
  <c r="BF243" i="1"/>
  <c r="BT243" i="1"/>
  <c r="BF244" i="1"/>
  <c r="BT244" i="1"/>
  <c r="BF245" i="1"/>
  <c r="BT245" i="1"/>
  <c r="BF246" i="1"/>
  <c r="BT246" i="1"/>
  <c r="BF247" i="1"/>
  <c r="BT247" i="1"/>
  <c r="BF248" i="1"/>
  <c r="BT248" i="1"/>
  <c r="BF249" i="1"/>
  <c r="BT249" i="1"/>
  <c r="BF250" i="1"/>
  <c r="BT250" i="1"/>
  <c r="BF251" i="1"/>
  <c r="BT251" i="1"/>
  <c r="BF252" i="1"/>
  <c r="BT252" i="1"/>
  <c r="BF253" i="1"/>
  <c r="BT253" i="1"/>
  <c r="BF254" i="1"/>
  <c r="BT254" i="1"/>
  <c r="BF255" i="1"/>
  <c r="BT255" i="1"/>
  <c r="BF256" i="1"/>
  <c r="BT256" i="1"/>
  <c r="BF257" i="1"/>
  <c r="BT257" i="1"/>
  <c r="BF258" i="1"/>
  <c r="BT258" i="1"/>
  <c r="BF259" i="1"/>
  <c r="BT259" i="1"/>
  <c r="BF260" i="1"/>
  <c r="BT260" i="1"/>
  <c r="BF261" i="1"/>
  <c r="BT261" i="1"/>
  <c r="BF262" i="1"/>
  <c r="BT262" i="1"/>
  <c r="BF263" i="1"/>
  <c r="BT263" i="1"/>
  <c r="BF264" i="1"/>
  <c r="BT264" i="1"/>
  <c r="BF265" i="1"/>
  <c r="BT265" i="1"/>
  <c r="BF266" i="1"/>
  <c r="BT266" i="1"/>
  <c r="BF267" i="1"/>
  <c r="BT267" i="1"/>
  <c r="BF268" i="1"/>
  <c r="BT268" i="1"/>
  <c r="BF269" i="1"/>
  <c r="BT269" i="1"/>
  <c r="BF270" i="1"/>
  <c r="BT270" i="1"/>
  <c r="BF271" i="1"/>
  <c r="BT271" i="1"/>
  <c r="BF272" i="1"/>
  <c r="BT272" i="1"/>
  <c r="BF273" i="1"/>
  <c r="BT273" i="1"/>
  <c r="BF274" i="1"/>
  <c r="BT274" i="1"/>
  <c r="BF275" i="1"/>
  <c r="BT275" i="1"/>
  <c r="BT276" i="1"/>
  <c r="BF277" i="1"/>
  <c r="BT277" i="1"/>
  <c r="BF278" i="1"/>
  <c r="BT278" i="1"/>
  <c r="BF279" i="1"/>
  <c r="BT279" i="1"/>
  <c r="BF280" i="1"/>
  <c r="BT280" i="1"/>
  <c r="BT281" i="1"/>
  <c r="BF282" i="1"/>
  <c r="BT282" i="1"/>
  <c r="BF283" i="1"/>
  <c r="BT283" i="1"/>
  <c r="BF284" i="1"/>
  <c r="BT284" i="1"/>
  <c r="BF285" i="1"/>
  <c r="BT285" i="1"/>
  <c r="BF286" i="1"/>
  <c r="BT286" i="1"/>
  <c r="BF287" i="1"/>
  <c r="BT287" i="1"/>
  <c r="BF288" i="1"/>
  <c r="BT288" i="1"/>
  <c r="BF289" i="1"/>
  <c r="BT289" i="1"/>
  <c r="BF290" i="1"/>
  <c r="BT290" i="1"/>
  <c r="BF291" i="1"/>
  <c r="BT291" i="1"/>
  <c r="BF292" i="1"/>
  <c r="BT292" i="1"/>
  <c r="BF293" i="1"/>
  <c r="BT293" i="1"/>
  <c r="BF294" i="1"/>
  <c r="BT294" i="1"/>
  <c r="BF295" i="1"/>
  <c r="BT295" i="1"/>
  <c r="BF296" i="1"/>
  <c r="BT296" i="1"/>
  <c r="BF297" i="1"/>
  <c r="BT297" i="1"/>
  <c r="BF298" i="1"/>
  <c r="BT298" i="1"/>
  <c r="BF299" i="1"/>
  <c r="BT299" i="1"/>
  <c r="BF300" i="1"/>
  <c r="BT300" i="1"/>
  <c r="BF301" i="1"/>
  <c r="BT301" i="1"/>
  <c r="BF302" i="1"/>
  <c r="BT302" i="1"/>
  <c r="BF303" i="1"/>
  <c r="BT303" i="1"/>
  <c r="BF304" i="1"/>
  <c r="BT304" i="1"/>
  <c r="BF305" i="1"/>
  <c r="BT305" i="1"/>
  <c r="BF306" i="1"/>
  <c r="BT306" i="1"/>
  <c r="BF307" i="1"/>
  <c r="BT307" i="1"/>
  <c r="BF308" i="1"/>
  <c r="BT308" i="1"/>
  <c r="BF309" i="1"/>
  <c r="BT309" i="1"/>
  <c r="BF310" i="1"/>
  <c r="BT310" i="1"/>
  <c r="BF311" i="1"/>
  <c r="BT311" i="1"/>
  <c r="BF312" i="1"/>
  <c r="BT312" i="1"/>
  <c r="BF313" i="1"/>
  <c r="BT313" i="1"/>
  <c r="BF314" i="1"/>
  <c r="BT314" i="1"/>
  <c r="BF315" i="1"/>
  <c r="BT315" i="1"/>
  <c r="BF316" i="1"/>
  <c r="BT316" i="1"/>
  <c r="BF317" i="1"/>
  <c r="BT317" i="1"/>
  <c r="BF318" i="1"/>
  <c r="BT318" i="1"/>
  <c r="BF319" i="1"/>
  <c r="BT319" i="1"/>
  <c r="BF320" i="1"/>
  <c r="BT320" i="1"/>
  <c r="BF321" i="1"/>
  <c r="BT321" i="1"/>
  <c r="BF322" i="1"/>
  <c r="BT322" i="1"/>
  <c r="BF323" i="1"/>
  <c r="BT323" i="1"/>
  <c r="BF324" i="1"/>
  <c r="BT324" i="1"/>
  <c r="BF325" i="1"/>
  <c r="BT325" i="1"/>
  <c r="BF326" i="1"/>
  <c r="BT326" i="1"/>
  <c r="BF327" i="1"/>
  <c r="BT327" i="1"/>
  <c r="BF328" i="1"/>
  <c r="BT328" i="1"/>
  <c r="BF329" i="1"/>
  <c r="BT329" i="1"/>
  <c r="BF330" i="1"/>
  <c r="BT330" i="1"/>
  <c r="BF331" i="1"/>
  <c r="BT331" i="1"/>
  <c r="BF332" i="1"/>
  <c r="BT332" i="1"/>
  <c r="BF333" i="1"/>
  <c r="BT333" i="1"/>
  <c r="BF334" i="1"/>
  <c r="BT334" i="1"/>
  <c r="BF335" i="1"/>
  <c r="BT335" i="1"/>
  <c r="BF336" i="1"/>
  <c r="BT336" i="1"/>
  <c r="BF337" i="1"/>
  <c r="BT337" i="1"/>
  <c r="BF338" i="1"/>
  <c r="BT338" i="1"/>
  <c r="BF339" i="1"/>
  <c r="BT339" i="1"/>
  <c r="BF340" i="1"/>
  <c r="BT340" i="1"/>
  <c r="BF341" i="1"/>
  <c r="BT341" i="1"/>
  <c r="BF342" i="1"/>
  <c r="BT342" i="1"/>
  <c r="BF343" i="1"/>
  <c r="BT343" i="1"/>
  <c r="BF344" i="1"/>
  <c r="BT344" i="1"/>
  <c r="BF345" i="1"/>
  <c r="BT345" i="1"/>
  <c r="BF346" i="1"/>
  <c r="BT346" i="1"/>
  <c r="BF347" i="1"/>
  <c r="BT347" i="1"/>
  <c r="BF348" i="1"/>
  <c r="BT348" i="1"/>
  <c r="BF349" i="1"/>
  <c r="BT349" i="1"/>
  <c r="BF350" i="1"/>
  <c r="BT350" i="1"/>
  <c r="BF351" i="1"/>
  <c r="BT351" i="1"/>
  <c r="BF352" i="1"/>
  <c r="BT352" i="1"/>
  <c r="BF353" i="1"/>
  <c r="BT353" i="1"/>
  <c r="BF354" i="1"/>
  <c r="BT354" i="1"/>
  <c r="BF355" i="1"/>
  <c r="BT355" i="1"/>
  <c r="BF356" i="1"/>
  <c r="BT356" i="1"/>
  <c r="BF357" i="1"/>
  <c r="BT357" i="1"/>
  <c r="BF358" i="1"/>
  <c r="BT358" i="1"/>
  <c r="BF359" i="1"/>
  <c r="BT359" i="1"/>
  <c r="BF360" i="1"/>
  <c r="BT360" i="1"/>
  <c r="BF361" i="1"/>
  <c r="BT361" i="1"/>
  <c r="BF362" i="1"/>
  <c r="BT362" i="1"/>
  <c r="BF363" i="1"/>
  <c r="BT363" i="1"/>
  <c r="BF364" i="1"/>
  <c r="BT364" i="1"/>
  <c r="BF365" i="1"/>
  <c r="BT365" i="1"/>
  <c r="BF366" i="1"/>
  <c r="BT366" i="1"/>
  <c r="BF367" i="1"/>
  <c r="BT367" i="1"/>
  <c r="BF368" i="1"/>
  <c r="BT368" i="1"/>
  <c r="BT369" i="1"/>
  <c r="BF370" i="1"/>
  <c r="BT370" i="1"/>
  <c r="BF371" i="1"/>
  <c r="BT371" i="1"/>
  <c r="BF372" i="1"/>
  <c r="BT372" i="1"/>
  <c r="BF373" i="1"/>
  <c r="BT373" i="1"/>
  <c r="BF374" i="1"/>
  <c r="BT374" i="1"/>
  <c r="BF375" i="1"/>
  <c r="BT375" i="1"/>
  <c r="BT376" i="1"/>
  <c r="BF377" i="1"/>
  <c r="BT377" i="1"/>
  <c r="BF378" i="1"/>
  <c r="BT378" i="1"/>
  <c r="BF379" i="1"/>
  <c r="BT379" i="1"/>
  <c r="BF380" i="1"/>
  <c r="BT380" i="1"/>
  <c r="BT381" i="1"/>
  <c r="BF382" i="1"/>
  <c r="BT382" i="1"/>
  <c r="BF383" i="1"/>
  <c r="BT383" i="1"/>
  <c r="BF384" i="1"/>
  <c r="BT384" i="1"/>
  <c r="BF385" i="1"/>
  <c r="BT385" i="1"/>
  <c r="BF386" i="1"/>
  <c r="BT386" i="1"/>
  <c r="BF387" i="1"/>
  <c r="BT387" i="1"/>
  <c r="BF388" i="1"/>
  <c r="BT388" i="1"/>
  <c r="BF389" i="1"/>
  <c r="BT389" i="1"/>
  <c r="BF390" i="1"/>
  <c r="BT390" i="1"/>
  <c r="BF391" i="1"/>
  <c r="BT391" i="1"/>
  <c r="BF392" i="1"/>
  <c r="BT392" i="1"/>
  <c r="BF393" i="1"/>
  <c r="BT393" i="1"/>
  <c r="BF394" i="1"/>
  <c r="BT394" i="1"/>
  <c r="BF395" i="1"/>
  <c r="BT395" i="1"/>
  <c r="BF396" i="1"/>
  <c r="BT396" i="1"/>
  <c r="BF397" i="1"/>
  <c r="BT397" i="1"/>
  <c r="BF398" i="1"/>
  <c r="BT398" i="1"/>
  <c r="BF399" i="1"/>
  <c r="BT399" i="1"/>
  <c r="BF400" i="1"/>
  <c r="BT400" i="1"/>
  <c r="BT401" i="1"/>
  <c r="BF402" i="1"/>
  <c r="BT402" i="1"/>
  <c r="BT403" i="1"/>
  <c r="BF404" i="1"/>
  <c r="BT404" i="1"/>
  <c r="BF405" i="1"/>
  <c r="BT405" i="1"/>
  <c r="BF406" i="1"/>
  <c r="BT406" i="1"/>
  <c r="BF407" i="1"/>
  <c r="BT407" i="1"/>
  <c r="BF408" i="1"/>
  <c r="BT408" i="1"/>
  <c r="BF409" i="1"/>
  <c r="BT409" i="1"/>
  <c r="BT410" i="1"/>
  <c r="BF411" i="1"/>
  <c r="BT411" i="1"/>
  <c r="BF412" i="1"/>
  <c r="BT412" i="1"/>
  <c r="BF413" i="1"/>
  <c r="BT413" i="1"/>
  <c r="BF414" i="1"/>
  <c r="BT414" i="1"/>
  <c r="BF415" i="1"/>
  <c r="BT415" i="1"/>
  <c r="BT416" i="1"/>
  <c r="BF417" i="1"/>
  <c r="BT417" i="1"/>
  <c r="BF418" i="1"/>
  <c r="BT418" i="1"/>
  <c r="BF419" i="1"/>
  <c r="BT419" i="1"/>
  <c r="BT420" i="1"/>
  <c r="BF421" i="1"/>
  <c r="BT421" i="1"/>
  <c r="BF422" i="1"/>
  <c r="BT422" i="1"/>
  <c r="BF423" i="1"/>
  <c r="BT423" i="1"/>
  <c r="BF424" i="1"/>
  <c r="BT424" i="1"/>
  <c r="BF425" i="1"/>
  <c r="BT425" i="1"/>
  <c r="BF426" i="1"/>
  <c r="BT426" i="1"/>
  <c r="BF427" i="1"/>
  <c r="BT427" i="1"/>
  <c r="BF428" i="1"/>
  <c r="BT428" i="1"/>
  <c r="BF429" i="1"/>
  <c r="BT429" i="1"/>
  <c r="BF430" i="1"/>
  <c r="BT430" i="1"/>
  <c r="BF431" i="1"/>
  <c r="BT431" i="1"/>
  <c r="BF432" i="1"/>
  <c r="BT432" i="1"/>
  <c r="BT433" i="1"/>
  <c r="BF434" i="1"/>
  <c r="BT434" i="1"/>
  <c r="BT435" i="1"/>
  <c r="BF436" i="1"/>
  <c r="BT436" i="1"/>
  <c r="BF437" i="1"/>
  <c r="BT437" i="1"/>
  <c r="BF438" i="1"/>
  <c r="BT438" i="1"/>
  <c r="BF439" i="1"/>
  <c r="BT439" i="1"/>
  <c r="BF440" i="1"/>
  <c r="BT440" i="1"/>
  <c r="BF441" i="1"/>
  <c r="BT441" i="1"/>
  <c r="BT442" i="1"/>
  <c r="BF443" i="1"/>
  <c r="BT443" i="1"/>
  <c r="BF444" i="1"/>
  <c r="BT444" i="1"/>
  <c r="BF445" i="1"/>
  <c r="BT445" i="1"/>
  <c r="BF446" i="1"/>
  <c r="BT446" i="1"/>
  <c r="BT447" i="1"/>
  <c r="BF448" i="1"/>
  <c r="BT448" i="1"/>
  <c r="BF449" i="1"/>
  <c r="BT449" i="1"/>
  <c r="BT450" i="1"/>
  <c r="BF451" i="1"/>
  <c r="BT451" i="1"/>
  <c r="BF452" i="1"/>
  <c r="BT452" i="1"/>
  <c r="BT453" i="1"/>
  <c r="BF454" i="1"/>
  <c r="BT454" i="1"/>
  <c r="BF455" i="1"/>
  <c r="BT455" i="1"/>
  <c r="BF456" i="1"/>
  <c r="BT456" i="1"/>
  <c r="BF457" i="1"/>
  <c r="BT457" i="1"/>
  <c r="BF458" i="1"/>
  <c r="BT458" i="1"/>
  <c r="BF459" i="1"/>
  <c r="BT459" i="1"/>
  <c r="BF460" i="1"/>
  <c r="BT460" i="1"/>
  <c r="BF461" i="1"/>
  <c r="BT461" i="1"/>
  <c r="BT462" i="1"/>
  <c r="BT463" i="1"/>
  <c r="BT464" i="1"/>
  <c r="BF465" i="1"/>
  <c r="BT465" i="1"/>
  <c r="BF466" i="1"/>
  <c r="BT466" i="1"/>
  <c r="BF467" i="1"/>
  <c r="BT467" i="1"/>
  <c r="BF468" i="1"/>
  <c r="BT468" i="1"/>
  <c r="BF469" i="1"/>
  <c r="BT469" i="1"/>
  <c r="BF470" i="1"/>
  <c r="BT470" i="1"/>
  <c r="BF471" i="1"/>
  <c r="BT471" i="1"/>
  <c r="BF472" i="1"/>
  <c r="BT472" i="1"/>
  <c r="BF473" i="1"/>
  <c r="BT473" i="1"/>
  <c r="BF474" i="1"/>
  <c r="BT474" i="1"/>
  <c r="BF475" i="1"/>
  <c r="BT475" i="1"/>
  <c r="BF476" i="1"/>
  <c r="BT476" i="1"/>
  <c r="BF477" i="1"/>
  <c r="BT477" i="1"/>
  <c r="BF478" i="1"/>
  <c r="BT478" i="1"/>
  <c r="BF479" i="1"/>
  <c r="BT479" i="1"/>
  <c r="BF480" i="1"/>
  <c r="BT480" i="1"/>
  <c r="BF481" i="1"/>
  <c r="BT481" i="1"/>
  <c r="BF482" i="1"/>
  <c r="BT482" i="1"/>
  <c r="BT483" i="1"/>
  <c r="BF484" i="1"/>
  <c r="BT484" i="1"/>
  <c r="BF485" i="1"/>
  <c r="BT485" i="1"/>
  <c r="BF486" i="1"/>
  <c r="BT486" i="1"/>
  <c r="BF487" i="1"/>
  <c r="BT487" i="1"/>
  <c r="BF488" i="1"/>
  <c r="BT488" i="1"/>
  <c r="BF489" i="1"/>
  <c r="BT489" i="1"/>
  <c r="BF490" i="1"/>
  <c r="BT490" i="1"/>
  <c r="BF491" i="1"/>
  <c r="BT491" i="1"/>
  <c r="BF492" i="1"/>
  <c r="BT492" i="1"/>
  <c r="BF493" i="1"/>
  <c r="BT493" i="1"/>
  <c r="BF494" i="1"/>
  <c r="BT494" i="1"/>
  <c r="BF495" i="1"/>
  <c r="BT495" i="1"/>
  <c r="BF496" i="1"/>
  <c r="BT496" i="1"/>
  <c r="BF497" i="1"/>
  <c r="BT497" i="1"/>
  <c r="BF498" i="1"/>
  <c r="BT498" i="1"/>
  <c r="BT499" i="1"/>
  <c r="BF500" i="1"/>
  <c r="BT500" i="1"/>
  <c r="BF501" i="1"/>
  <c r="BT501" i="1"/>
  <c r="BT502" i="1"/>
  <c r="BF503" i="1"/>
  <c r="BT503" i="1"/>
  <c r="BF504" i="1"/>
  <c r="BT504" i="1"/>
  <c r="BF505" i="1"/>
  <c r="BT505" i="1"/>
  <c r="BF506" i="1"/>
  <c r="BT506" i="1"/>
  <c r="BF507" i="1"/>
  <c r="BT507" i="1"/>
  <c r="BF508" i="1"/>
  <c r="BT508" i="1"/>
  <c r="BF509" i="1"/>
  <c r="BT509" i="1"/>
  <c r="BF510" i="1"/>
  <c r="BT510" i="1"/>
  <c r="BF511" i="1"/>
  <c r="BT511" i="1"/>
  <c r="BT512" i="1"/>
  <c r="BF513" i="1"/>
  <c r="BT513" i="1"/>
  <c r="BF514" i="1"/>
  <c r="BT514" i="1"/>
  <c r="BF515" i="1"/>
  <c r="BT515" i="1"/>
  <c r="BF516" i="1"/>
  <c r="BT516" i="1"/>
  <c r="BT517" i="1"/>
  <c r="BF518" i="1"/>
  <c r="BT518" i="1"/>
  <c r="BF519" i="1"/>
  <c r="BT519" i="1"/>
  <c r="BF520" i="1"/>
  <c r="BT520" i="1"/>
  <c r="BF521" i="1"/>
  <c r="BT521" i="1"/>
  <c r="BF522" i="1"/>
  <c r="BT522" i="1"/>
  <c r="BF523" i="1"/>
  <c r="BT523" i="1"/>
  <c r="BF524" i="1"/>
  <c r="BT524" i="1"/>
  <c r="BF525" i="1"/>
  <c r="BT525" i="1"/>
  <c r="BT526" i="1"/>
  <c r="BF527" i="1"/>
  <c r="BT527" i="1"/>
  <c r="BT528" i="1"/>
  <c r="BF529" i="1"/>
  <c r="BT529" i="1"/>
  <c r="BF530" i="1"/>
  <c r="BT530" i="1"/>
  <c r="BF531" i="1"/>
  <c r="BT531" i="1"/>
  <c r="BF532" i="1"/>
  <c r="BT532" i="1"/>
  <c r="BT533" i="1"/>
  <c r="BF534" i="1"/>
  <c r="BT534" i="1"/>
  <c r="BF535" i="1"/>
  <c r="BT535" i="1"/>
  <c r="BF536" i="1"/>
  <c r="BT536" i="1"/>
  <c r="BF537" i="1"/>
  <c r="BT537" i="1"/>
  <c r="BF538" i="1"/>
  <c r="BT538" i="1"/>
  <c r="BF539" i="1"/>
  <c r="BT539" i="1"/>
  <c r="BF540" i="1"/>
  <c r="BT540" i="1"/>
  <c r="BT541" i="1"/>
  <c r="BT542" i="1"/>
  <c r="BF543" i="1"/>
  <c r="BT543" i="1"/>
  <c r="BF544" i="1"/>
  <c r="BT544" i="1"/>
  <c r="BF545" i="1"/>
  <c r="BT545" i="1"/>
  <c r="BF546" i="1"/>
  <c r="BT546" i="1"/>
  <c r="BF547" i="1"/>
  <c r="BT547" i="1"/>
  <c r="BT548" i="1"/>
  <c r="BF549" i="1"/>
  <c r="BT549" i="1"/>
  <c r="BF550" i="1"/>
  <c r="BT550" i="1"/>
  <c r="BF551" i="1"/>
  <c r="BT551" i="1"/>
  <c r="BT552" i="1"/>
  <c r="BF553" i="1"/>
  <c r="BT553" i="1"/>
  <c r="BF554" i="1"/>
  <c r="BT554" i="1"/>
  <c r="BT555" i="1"/>
  <c r="BT556" i="1"/>
  <c r="BF557" i="1"/>
  <c r="BT557" i="1"/>
  <c r="BT558" i="1"/>
  <c r="BT559" i="1"/>
  <c r="BF560" i="1"/>
  <c r="BT560" i="1"/>
  <c r="BF561" i="1"/>
  <c r="BT561" i="1"/>
  <c r="BF562" i="1"/>
  <c r="BT562" i="1"/>
  <c r="BF563" i="1"/>
  <c r="BT563" i="1"/>
  <c r="BF564" i="1"/>
  <c r="BT564" i="1"/>
  <c r="BT565" i="1"/>
  <c r="BF566" i="1"/>
  <c r="BT566" i="1"/>
  <c r="BF567" i="1"/>
  <c r="BT567" i="1"/>
  <c r="BF568" i="1"/>
  <c r="BT568" i="1"/>
  <c r="BF569" i="1"/>
  <c r="BT569" i="1"/>
  <c r="BF570" i="1"/>
  <c r="BT570" i="1"/>
  <c r="BF571" i="1"/>
  <c r="BT571" i="1"/>
  <c r="BF572" i="1"/>
  <c r="BT572" i="1"/>
  <c r="BT573" i="1"/>
  <c r="BF574" i="1"/>
  <c r="BT574" i="1"/>
  <c r="BF575" i="1"/>
  <c r="BT575" i="1"/>
  <c r="BF576" i="1"/>
  <c r="BT576" i="1"/>
  <c r="BF577" i="1"/>
  <c r="BT577" i="1"/>
  <c r="BF578" i="1"/>
  <c r="BT578" i="1"/>
  <c r="BF579" i="1"/>
  <c r="BT579" i="1"/>
  <c r="BF580" i="1"/>
  <c r="BT580" i="1"/>
  <c r="BF581" i="1"/>
  <c r="BT581" i="1"/>
  <c r="BF582" i="1"/>
  <c r="BT582" i="1"/>
  <c r="BT583" i="1"/>
  <c r="BT584" i="1"/>
  <c r="BF585" i="1"/>
  <c r="BT585" i="1"/>
  <c r="BF586" i="1"/>
  <c r="BT586" i="1"/>
  <c r="BF587" i="1"/>
  <c r="BT587" i="1"/>
  <c r="BF588" i="1"/>
  <c r="BT588" i="1"/>
  <c r="BT589" i="1"/>
  <c r="BF590" i="1"/>
  <c r="BT590" i="1"/>
  <c r="BF591" i="1"/>
  <c r="BT591" i="1"/>
  <c r="BF592" i="1"/>
  <c r="BT592" i="1"/>
  <c r="BF593" i="1"/>
  <c r="BT593" i="1"/>
  <c r="BF594" i="1"/>
  <c r="BT594" i="1"/>
  <c r="BT595" i="1"/>
  <c r="BF596" i="1"/>
  <c r="BT596" i="1"/>
  <c r="BF597" i="1"/>
  <c r="BT597" i="1"/>
  <c r="BF598" i="1"/>
  <c r="BT598" i="1"/>
  <c r="BF599" i="1"/>
  <c r="BT599" i="1"/>
  <c r="BT600" i="1"/>
  <c r="BT601" i="1"/>
  <c r="BF602" i="1"/>
  <c r="BT602" i="1"/>
  <c r="BF603" i="1"/>
  <c r="BT603" i="1"/>
  <c r="BF604" i="1"/>
  <c r="BT604" i="1"/>
  <c r="BF605" i="1"/>
  <c r="BT605" i="1"/>
  <c r="BT606" i="1"/>
  <c r="BF607" i="1"/>
  <c r="BT607" i="1"/>
  <c r="BF608" i="1"/>
  <c r="BT608" i="1"/>
  <c r="BF609" i="1"/>
  <c r="BT609" i="1"/>
  <c r="BT610" i="1"/>
  <c r="BT611" i="1"/>
  <c r="BF612" i="1"/>
  <c r="BT612" i="1"/>
  <c r="BF613" i="1"/>
  <c r="BT613" i="1"/>
  <c r="BF614" i="1"/>
  <c r="BT614" i="1"/>
  <c r="BF615" i="1"/>
  <c r="BT615" i="1"/>
  <c r="BF616" i="1"/>
  <c r="BT616" i="1"/>
  <c r="BF617" i="1"/>
  <c r="BT617" i="1"/>
  <c r="BF618" i="1"/>
  <c r="BT618" i="1"/>
  <c r="BF619" i="1"/>
  <c r="BT619" i="1"/>
  <c r="BF620" i="1"/>
  <c r="BT620" i="1"/>
  <c r="BF621" i="1"/>
  <c r="BT621" i="1"/>
  <c r="BF622" i="1"/>
  <c r="BT622" i="1"/>
  <c r="BT623" i="1"/>
  <c r="BF624" i="1"/>
  <c r="BT624" i="1"/>
  <c r="BF625" i="1"/>
  <c r="BT625" i="1"/>
  <c r="BF626" i="1"/>
  <c r="BT626" i="1"/>
  <c r="BF627" i="1"/>
  <c r="BT627" i="1"/>
  <c r="BF628" i="1"/>
  <c r="BT628" i="1"/>
  <c r="BF629" i="1"/>
  <c r="BT629" i="1"/>
  <c r="BF630" i="1"/>
  <c r="BT630" i="1"/>
  <c r="BF631" i="1"/>
  <c r="BT631" i="1"/>
  <c r="BF632" i="1"/>
  <c r="BT632" i="1"/>
  <c r="BF633" i="1"/>
  <c r="BT633" i="1"/>
  <c r="BF634" i="1"/>
  <c r="BT634" i="1"/>
  <c r="BF635" i="1"/>
  <c r="BT635" i="1"/>
  <c r="BF636" i="1"/>
  <c r="BT636" i="1"/>
  <c r="BF637" i="1"/>
  <c r="BT637" i="1"/>
  <c r="BF638" i="1"/>
  <c r="BT638" i="1"/>
  <c r="BF639" i="1"/>
  <c r="BT639" i="1"/>
  <c r="BF640" i="1"/>
  <c r="BT640" i="1"/>
  <c r="BT641" i="1"/>
  <c r="BF642" i="1"/>
  <c r="BT642" i="1"/>
  <c r="BT643" i="1"/>
  <c r="BT644" i="1"/>
  <c r="BT645" i="1"/>
  <c r="BT646" i="1"/>
  <c r="BT647" i="1"/>
  <c r="BF648" i="1"/>
  <c r="BT648" i="1"/>
  <c r="BF649" i="1"/>
  <c r="BT649" i="1"/>
  <c r="BF650" i="1"/>
  <c r="BT650" i="1"/>
  <c r="BF651" i="1"/>
  <c r="BT651" i="1"/>
  <c r="BF652" i="1"/>
  <c r="BT652" i="1"/>
  <c r="BF653" i="1"/>
  <c r="BT653" i="1"/>
  <c r="BF654" i="1"/>
  <c r="BT654" i="1"/>
  <c r="BF655" i="1"/>
  <c r="BT655" i="1"/>
  <c r="BF656" i="1"/>
  <c r="BT656" i="1"/>
  <c r="BT657" i="1"/>
  <c r="BF658" i="1"/>
  <c r="BT658" i="1"/>
  <c r="BT659" i="1"/>
  <c r="BF660" i="1"/>
  <c r="BT660" i="1"/>
  <c r="BF661" i="1"/>
  <c r="BT661" i="1"/>
  <c r="BT662" i="1"/>
  <c r="BF663" i="1"/>
  <c r="BT663" i="1"/>
  <c r="BF664" i="1"/>
  <c r="BT664" i="1"/>
  <c r="BT665" i="1"/>
  <c r="BF666" i="1"/>
  <c r="BT666" i="1"/>
  <c r="BF667" i="1"/>
  <c r="BT667" i="1"/>
  <c r="BF668" i="1"/>
  <c r="BT668" i="1"/>
  <c r="BF669" i="1"/>
  <c r="BT669" i="1"/>
  <c r="BF670" i="1"/>
  <c r="BT670" i="1"/>
  <c r="BF671" i="1"/>
  <c r="BT671" i="1"/>
  <c r="BF672" i="1"/>
  <c r="BT672" i="1"/>
  <c r="BF673" i="1"/>
  <c r="BT673" i="1"/>
  <c r="BF674" i="1"/>
  <c r="BT674" i="1"/>
  <c r="BT675" i="1"/>
  <c r="BF676" i="1"/>
  <c r="BT676" i="1"/>
  <c r="BF677" i="1"/>
  <c r="BT677" i="1"/>
  <c r="BF678" i="1"/>
  <c r="BT678" i="1"/>
  <c r="BT679" i="1"/>
  <c r="BF680" i="1"/>
  <c r="BT680" i="1"/>
  <c r="BF681" i="1"/>
  <c r="BT681" i="1"/>
  <c r="BF682" i="1"/>
  <c r="BT682" i="1"/>
  <c r="BF683" i="1"/>
  <c r="BT683" i="1"/>
  <c r="BF684" i="1"/>
  <c r="BT684" i="1"/>
  <c r="BT685" i="1"/>
  <c r="BF686" i="1"/>
  <c r="BT686" i="1"/>
  <c r="BT687" i="1"/>
  <c r="BT688" i="1"/>
  <c r="BF689" i="1"/>
  <c r="BT689" i="1"/>
  <c r="BF690" i="1"/>
  <c r="BT690" i="1"/>
  <c r="BF691" i="1"/>
  <c r="BT691" i="1"/>
  <c r="BF692" i="1"/>
  <c r="BT692" i="1"/>
  <c r="BF693" i="1"/>
  <c r="BT693" i="1"/>
  <c r="BT694" i="1"/>
  <c r="BF695" i="1"/>
  <c r="BT695" i="1"/>
  <c r="BT696" i="1"/>
  <c r="BT697" i="1"/>
  <c r="BF698" i="1"/>
  <c r="BT698" i="1"/>
  <c r="BF699" i="1"/>
  <c r="BT699" i="1"/>
  <c r="BT700" i="1"/>
  <c r="BT701" i="1"/>
  <c r="BF702" i="1"/>
  <c r="BT702" i="1"/>
  <c r="BT703" i="1"/>
  <c r="BF704" i="1"/>
  <c r="BT704" i="1"/>
  <c r="BF705" i="1"/>
  <c r="BT705" i="1"/>
  <c r="BF706" i="1"/>
  <c r="BT706" i="1"/>
  <c r="BF707" i="1"/>
  <c r="BT707" i="1"/>
  <c r="BT708" i="1"/>
  <c r="BF709" i="1"/>
  <c r="BT709" i="1"/>
  <c r="BF710" i="1"/>
  <c r="BT710" i="1"/>
  <c r="BF711" i="1"/>
  <c r="BT711" i="1"/>
  <c r="BF712" i="1"/>
  <c r="BT712" i="1"/>
  <c r="BT713" i="1"/>
  <c r="BF714" i="1"/>
  <c r="BT714" i="1"/>
  <c r="BF715" i="1"/>
  <c r="BT715" i="1"/>
  <c r="BF716" i="1"/>
  <c r="BT716" i="1"/>
  <c r="BT717" i="1"/>
  <c r="BT718" i="1"/>
  <c r="BT719" i="1"/>
  <c r="BT720" i="1"/>
  <c r="BF721" i="1"/>
  <c r="BT721" i="1"/>
  <c r="BF722" i="1"/>
  <c r="BT722" i="1"/>
  <c r="BF723" i="1"/>
  <c r="BT723" i="1"/>
  <c r="BF724" i="1"/>
  <c r="BT724" i="1"/>
  <c r="BF725" i="1"/>
  <c r="BT725" i="1"/>
  <c r="BF726" i="1"/>
  <c r="BT726" i="1"/>
  <c r="BT727" i="1"/>
  <c r="BT728" i="1"/>
  <c r="BF729" i="1"/>
  <c r="BT729" i="1"/>
  <c r="BF730" i="1"/>
  <c r="BT730" i="1"/>
  <c r="BF731" i="1"/>
  <c r="BT731" i="1"/>
  <c r="BF732" i="1"/>
  <c r="BT732" i="1"/>
  <c r="BF733" i="1"/>
  <c r="BT733" i="1"/>
  <c r="BT734" i="1"/>
  <c r="BT735" i="1"/>
  <c r="BF736" i="1"/>
  <c r="BT736" i="1"/>
  <c r="BF737" i="1"/>
  <c r="BT737" i="1"/>
  <c r="BT738" i="1"/>
  <c r="BT739" i="1"/>
  <c r="BT740" i="1"/>
  <c r="BT741" i="1"/>
  <c r="BF742" i="1"/>
  <c r="BT742" i="1"/>
  <c r="BF743" i="1"/>
  <c r="BT743" i="1"/>
  <c r="BF744" i="1"/>
  <c r="BT744" i="1"/>
  <c r="BF745" i="1"/>
  <c r="BT745" i="1"/>
  <c r="BF746" i="1"/>
  <c r="BT746" i="1"/>
  <c r="BF747" i="1"/>
  <c r="BT747" i="1"/>
  <c r="BF748" i="1"/>
  <c r="BT748" i="1"/>
  <c r="BF749" i="1"/>
  <c r="BT749" i="1"/>
  <c r="BT750" i="1"/>
  <c r="BF751" i="1"/>
  <c r="BT751" i="1"/>
  <c r="BT752" i="1"/>
  <c r="BF753" i="1"/>
  <c r="BT753" i="1"/>
  <c r="BT754" i="1"/>
  <c r="BT755" i="1"/>
  <c r="BF756" i="1"/>
  <c r="BT756" i="1"/>
  <c r="BF757" i="1"/>
  <c r="BT757" i="1"/>
  <c r="BF758" i="1"/>
  <c r="BT758" i="1"/>
  <c r="BF759" i="1"/>
  <c r="BT759" i="1"/>
  <c r="BF760" i="1"/>
  <c r="BT760" i="1"/>
  <c r="BF761" i="1"/>
  <c r="BT761" i="1"/>
  <c r="BF762" i="1"/>
  <c r="BT762" i="1"/>
  <c r="BT763" i="1"/>
  <c r="BF764" i="1"/>
  <c r="BT764" i="1"/>
  <c r="BF765" i="1"/>
  <c r="BT765" i="1"/>
  <c r="BF766" i="1"/>
  <c r="BT766" i="1"/>
  <c r="BF767" i="1"/>
  <c r="BT767" i="1"/>
  <c r="BF768" i="1"/>
  <c r="BT768" i="1"/>
  <c r="BF769" i="1"/>
  <c r="BT769" i="1"/>
  <c r="BF770" i="1"/>
  <c r="BT770" i="1"/>
  <c r="BF771" i="1"/>
  <c r="BT771" i="1"/>
  <c r="BT772" i="1"/>
  <c r="BF773" i="1"/>
  <c r="BT773" i="1"/>
  <c r="BF774" i="1"/>
  <c r="BT774" i="1"/>
  <c r="BT775" i="1"/>
  <c r="BF776" i="1"/>
  <c r="BT776" i="1"/>
  <c r="BF777" i="1"/>
  <c r="BT777" i="1"/>
  <c r="BF778" i="1"/>
  <c r="BT778" i="1"/>
  <c r="BF779" i="1"/>
  <c r="BT779" i="1"/>
  <c r="BT780" i="1"/>
  <c r="BF781" i="1"/>
  <c r="BT781" i="1"/>
  <c r="BF782" i="1"/>
  <c r="BT782" i="1"/>
  <c r="BF783" i="1"/>
  <c r="BT783" i="1"/>
  <c r="BT784" i="1"/>
  <c r="BT785" i="1"/>
  <c r="BT786" i="1"/>
  <c r="BF787" i="1"/>
  <c r="BT787" i="1"/>
  <c r="BT788" i="1"/>
  <c r="BT789" i="1"/>
  <c r="BF790" i="1"/>
  <c r="BT790" i="1"/>
  <c r="BF791" i="1"/>
  <c r="BT791" i="1"/>
  <c r="BF792" i="1"/>
  <c r="BT792" i="1"/>
  <c r="BF793" i="1"/>
  <c r="BT793" i="1"/>
  <c r="BF794" i="1"/>
  <c r="BT794" i="1"/>
  <c r="BT795" i="1"/>
  <c r="BT796" i="1"/>
  <c r="BF797" i="1"/>
  <c r="BT797" i="1"/>
  <c r="BF798" i="1"/>
  <c r="BT798" i="1"/>
  <c r="BF799" i="1"/>
  <c r="BT799" i="1"/>
  <c r="BT800" i="1"/>
  <c r="BT801" i="1"/>
  <c r="BF802" i="1"/>
  <c r="BT802" i="1"/>
  <c r="BF803" i="1"/>
  <c r="BT803" i="1"/>
  <c r="BF804" i="1"/>
  <c r="BT804" i="1"/>
  <c r="BT805" i="1"/>
  <c r="BT806" i="1"/>
  <c r="BF807" i="1"/>
  <c r="BT807" i="1"/>
  <c r="BF808" i="1"/>
  <c r="BT808" i="1"/>
  <c r="BF809" i="1"/>
  <c r="BT809" i="1"/>
  <c r="BF810" i="1"/>
  <c r="BT810" i="1"/>
  <c r="BF811" i="1"/>
  <c r="BT811" i="1"/>
  <c r="BT812" i="1"/>
  <c r="BF813" i="1"/>
  <c r="BT813" i="1"/>
  <c r="BF814" i="1"/>
  <c r="BT814" i="1"/>
  <c r="BF815" i="1"/>
  <c r="BT815" i="1"/>
  <c r="BF816" i="1"/>
  <c r="BT816" i="1"/>
  <c r="BF817" i="1"/>
  <c r="BT817" i="1"/>
  <c r="BT818" i="1"/>
  <c r="BT819" i="1"/>
  <c r="BF820" i="1"/>
  <c r="BT820" i="1"/>
  <c r="BT821" i="1"/>
  <c r="BT822" i="1"/>
  <c r="BT823" i="1"/>
  <c r="BT824" i="1"/>
  <c r="BF825" i="1"/>
  <c r="BT825" i="1"/>
  <c r="BF826" i="1"/>
  <c r="BT826" i="1"/>
  <c r="BF827" i="1"/>
  <c r="BT827" i="1"/>
  <c r="BT828" i="1"/>
  <c r="BF829" i="1"/>
  <c r="BT829" i="1"/>
  <c r="BF830" i="1"/>
  <c r="BT830" i="1"/>
  <c r="BT831" i="1"/>
  <c r="BF832" i="1"/>
  <c r="BT832" i="1"/>
  <c r="BF833" i="1"/>
  <c r="BT833" i="1"/>
  <c r="BF834" i="1"/>
  <c r="BT834" i="1"/>
  <c r="BF835" i="1"/>
  <c r="BT835" i="1"/>
  <c r="BF836" i="1"/>
  <c r="BT836" i="1"/>
  <c r="BF837" i="1"/>
  <c r="BT837" i="1"/>
  <c r="BF838" i="1"/>
  <c r="BT838" i="1"/>
  <c r="BF839" i="1"/>
  <c r="BT839" i="1"/>
  <c r="BF840" i="1"/>
  <c r="BT840" i="1"/>
  <c r="BF841" i="1"/>
  <c r="BT841" i="1"/>
  <c r="BF842" i="1"/>
  <c r="BT842" i="1"/>
  <c r="BF843" i="1"/>
  <c r="BT843" i="1"/>
  <c r="BT844" i="1"/>
  <c r="BF845" i="1"/>
  <c r="BT845" i="1"/>
  <c r="BF846" i="1"/>
  <c r="BT846" i="1"/>
  <c r="BF847" i="1"/>
  <c r="BT847" i="1"/>
  <c r="BF848" i="1"/>
  <c r="BT848" i="1"/>
  <c r="BT849" i="1"/>
  <c r="BF850" i="1"/>
  <c r="BT850" i="1"/>
  <c r="BF851" i="1"/>
  <c r="BT851" i="1"/>
  <c r="BT852" i="1"/>
  <c r="BF853" i="1"/>
  <c r="BT853" i="1"/>
  <c r="BT854" i="1"/>
  <c r="BT855" i="1"/>
  <c r="BT856" i="1"/>
  <c r="BF857" i="1"/>
  <c r="BT857" i="1"/>
  <c r="BF858" i="1"/>
  <c r="BT858" i="1"/>
  <c r="BF859" i="1"/>
  <c r="BT859" i="1"/>
  <c r="BT860" i="1"/>
  <c r="BF861" i="1"/>
  <c r="BT861" i="1"/>
  <c r="BF862" i="1"/>
  <c r="BT862" i="1"/>
  <c r="BF863" i="1"/>
  <c r="BT863" i="1"/>
  <c r="BF864" i="1"/>
  <c r="BT864" i="1"/>
  <c r="BF865" i="1"/>
  <c r="BT865" i="1"/>
  <c r="BT866" i="1"/>
  <c r="BF867" i="1"/>
  <c r="BT867" i="1"/>
  <c r="BF868" i="1"/>
  <c r="BT868" i="1"/>
  <c r="BF869" i="1"/>
  <c r="BT869" i="1"/>
  <c r="BF870" i="1"/>
  <c r="BT870" i="1"/>
  <c r="BF871" i="1"/>
  <c r="BT871" i="1"/>
  <c r="BF872" i="1"/>
  <c r="BT872" i="1"/>
  <c r="BF873" i="1"/>
  <c r="BT873" i="1"/>
  <c r="BF874" i="1"/>
  <c r="BT874" i="1"/>
  <c r="BF875" i="1"/>
  <c r="BT875" i="1"/>
  <c r="BF876" i="1"/>
  <c r="BT876" i="1"/>
  <c r="BF877" i="1"/>
  <c r="BT877" i="1"/>
  <c r="BF878" i="1"/>
  <c r="BT878" i="1"/>
  <c r="BF879" i="1"/>
  <c r="BT879" i="1"/>
  <c r="BT880" i="1"/>
  <c r="BT881" i="1"/>
  <c r="BF882" i="1"/>
  <c r="BT882" i="1"/>
  <c r="BT883" i="1"/>
  <c r="BF884" i="1"/>
  <c r="BT884" i="1"/>
  <c r="BT885" i="1"/>
  <c r="BF886" i="1"/>
  <c r="BT886" i="1"/>
  <c r="BF887" i="1"/>
  <c r="BT887" i="1"/>
  <c r="BT888" i="1"/>
  <c r="BF889" i="1"/>
  <c r="BT889" i="1"/>
  <c r="BT890" i="1"/>
  <c r="BT891" i="1"/>
  <c r="BF892" i="1"/>
  <c r="BT892" i="1"/>
  <c r="BF893" i="1"/>
  <c r="BT893" i="1"/>
  <c r="BF894" i="1"/>
  <c r="BT894" i="1"/>
  <c r="BT895" i="1"/>
  <c r="BF896" i="1"/>
  <c r="BT896" i="1"/>
  <c r="BF897" i="1"/>
  <c r="BT897" i="1"/>
  <c r="BF898" i="1"/>
  <c r="BT898" i="1"/>
  <c r="BF899" i="1"/>
  <c r="BT899" i="1"/>
  <c r="BF900" i="1"/>
  <c r="BT900" i="1"/>
  <c r="BF901" i="1"/>
  <c r="BT901" i="1"/>
  <c r="BF902" i="1"/>
  <c r="BT902" i="1"/>
  <c r="BF903" i="1"/>
  <c r="BT903" i="1"/>
  <c r="BF904" i="1"/>
  <c r="BT904" i="1"/>
  <c r="BF905" i="1"/>
  <c r="BT905" i="1"/>
  <c r="BF906" i="1"/>
  <c r="BT906" i="1"/>
  <c r="BF907" i="1"/>
  <c r="BT907" i="1"/>
  <c r="BF908" i="1"/>
  <c r="BT908" i="1"/>
  <c r="BF909" i="1"/>
  <c r="BT909" i="1"/>
  <c r="BF910" i="1"/>
  <c r="BT910" i="1"/>
  <c r="BF911" i="1"/>
  <c r="BT911" i="1"/>
  <c r="BF912" i="1"/>
  <c r="BT912" i="1"/>
  <c r="BF913" i="1"/>
  <c r="BT913" i="1"/>
  <c r="BF914" i="1"/>
  <c r="BT914" i="1"/>
  <c r="BF915" i="1"/>
  <c r="BT915" i="1"/>
  <c r="BF916" i="1"/>
  <c r="BT916" i="1"/>
  <c r="BF917" i="1"/>
  <c r="BT917" i="1"/>
  <c r="BF918" i="1"/>
  <c r="BT918" i="1"/>
  <c r="BF919" i="1"/>
  <c r="BT919" i="1"/>
  <c r="BF920" i="1"/>
  <c r="BT920" i="1"/>
  <c r="BT921" i="1"/>
  <c r="BF922" i="1"/>
  <c r="BT922" i="1"/>
  <c r="BT923" i="1"/>
  <c r="BF924" i="1"/>
  <c r="BT924" i="1"/>
  <c r="BF925" i="1"/>
  <c r="BT925" i="1"/>
  <c r="BF926" i="1"/>
  <c r="BT926" i="1"/>
  <c r="BF927" i="1"/>
  <c r="BT927" i="1"/>
  <c r="BT928" i="1"/>
  <c r="BF929" i="1"/>
  <c r="BT929" i="1"/>
  <c r="BF930" i="1"/>
  <c r="BT930" i="1"/>
  <c r="BF931" i="1"/>
  <c r="BT931" i="1"/>
  <c r="BF932" i="1"/>
  <c r="BT932" i="1"/>
  <c r="BF933" i="1"/>
  <c r="BT933" i="1"/>
  <c r="BF934" i="1"/>
  <c r="BT934" i="1"/>
  <c r="BF935" i="1"/>
  <c r="BT935" i="1"/>
  <c r="BF936" i="1"/>
  <c r="BT936" i="1"/>
  <c r="BF937" i="1"/>
  <c r="BT937" i="1"/>
  <c r="BF938" i="1"/>
  <c r="BT938" i="1"/>
  <c r="BF939" i="1"/>
  <c r="BT939" i="1"/>
  <c r="BF940" i="1"/>
  <c r="BT940" i="1"/>
  <c r="BF941" i="1"/>
  <c r="BT941" i="1"/>
  <c r="BF942" i="1"/>
  <c r="BT942" i="1"/>
  <c r="BF943" i="1"/>
  <c r="BT943" i="1"/>
  <c r="BF944" i="1"/>
  <c r="BT944" i="1"/>
  <c r="BF945" i="1"/>
  <c r="BT945" i="1"/>
  <c r="BT946" i="1"/>
  <c r="BF947" i="1"/>
  <c r="BT947" i="1"/>
  <c r="BF948" i="1"/>
  <c r="BT948" i="1"/>
  <c r="BF949" i="1"/>
  <c r="BT949" i="1"/>
  <c r="BF950" i="1"/>
  <c r="BT950" i="1"/>
  <c r="BF951" i="1"/>
  <c r="BT951" i="1"/>
  <c r="BT952" i="1"/>
  <c r="BF953" i="1"/>
  <c r="BT953" i="1"/>
  <c r="BF954" i="1"/>
  <c r="BT954" i="1"/>
  <c r="BF955" i="1"/>
  <c r="BT955" i="1"/>
  <c r="BF956" i="1"/>
  <c r="BT956" i="1"/>
  <c r="BT957" i="1"/>
  <c r="BF958" i="1"/>
  <c r="BT958" i="1"/>
  <c r="BF959" i="1"/>
  <c r="BT959" i="1"/>
  <c r="BF960" i="1"/>
  <c r="BT960" i="1"/>
  <c r="BF961" i="1"/>
  <c r="BT961" i="1"/>
  <c r="BF962" i="1"/>
  <c r="BT962" i="1"/>
  <c r="BF963" i="1"/>
  <c r="BT963" i="1"/>
  <c r="BT964" i="1"/>
  <c r="BF965" i="1"/>
  <c r="BT965" i="1"/>
  <c r="BF966" i="1"/>
  <c r="BT966" i="1"/>
  <c r="BF967" i="1"/>
  <c r="BT967" i="1"/>
  <c r="BF968" i="1"/>
  <c r="BT968" i="1"/>
  <c r="BF969" i="1"/>
  <c r="BT969" i="1"/>
  <c r="BF970" i="1"/>
  <c r="BT970" i="1"/>
  <c r="BF971" i="1"/>
  <c r="BT971" i="1"/>
  <c r="BF972" i="1"/>
  <c r="BT972" i="1"/>
  <c r="BF973" i="1"/>
  <c r="BT973" i="1"/>
  <c r="BF974" i="1"/>
  <c r="BT974" i="1"/>
  <c r="BF975" i="1"/>
  <c r="BT975" i="1"/>
  <c r="BF976" i="1"/>
  <c r="BT976" i="1"/>
  <c r="BT977" i="1"/>
  <c r="BT978" i="1"/>
  <c r="BF979" i="1"/>
  <c r="BT979" i="1"/>
  <c r="BF980" i="1"/>
  <c r="BT980" i="1"/>
  <c r="BF981" i="1"/>
  <c r="BT981" i="1"/>
  <c r="BF982" i="1"/>
  <c r="BT982" i="1"/>
  <c r="BF983" i="1"/>
  <c r="BT983" i="1"/>
  <c r="BF984" i="1"/>
  <c r="BT984" i="1"/>
  <c r="BT985" i="1"/>
  <c r="BF986" i="1"/>
  <c r="BT986" i="1"/>
  <c r="BF987" i="1"/>
  <c r="BT987" i="1"/>
  <c r="BF988" i="1"/>
  <c r="BT988" i="1"/>
  <c r="BF989" i="1"/>
  <c r="BT989" i="1"/>
  <c r="BF990" i="1"/>
  <c r="BT990" i="1"/>
  <c r="BF991" i="1"/>
  <c r="BT991" i="1"/>
  <c r="BF992" i="1"/>
  <c r="BT992" i="1"/>
  <c r="BF993" i="1"/>
  <c r="BT993" i="1"/>
  <c r="BF994" i="1"/>
  <c r="BT994" i="1"/>
  <c r="BF995" i="1"/>
  <c r="BT995" i="1"/>
  <c r="BF996" i="1"/>
  <c r="BT996" i="1"/>
  <c r="BF997" i="1"/>
  <c r="BT997" i="1"/>
  <c r="BF998" i="1"/>
  <c r="BT998" i="1"/>
  <c r="BF999" i="1"/>
  <c r="BT999" i="1"/>
  <c r="BF1000" i="1"/>
  <c r="BT1000" i="1"/>
  <c r="BF1001" i="1"/>
  <c r="BT1001" i="1"/>
</calcChain>
</file>

<file path=xl/sharedStrings.xml><?xml version="1.0" encoding="utf-8"?>
<sst xmlns="http://schemas.openxmlformats.org/spreadsheetml/2006/main" count="139006" uniqueCount="39590">
  <si>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</si>
  <si>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</si>
  <si>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</si>
  <si>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</si>
  <si>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</si>
  <si>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</si>
  <si>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</si>
  <si>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</si>
  <si>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</si>
  <si>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</si>
  <si>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</si>
  <si>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</si>
  <si>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</si>
  <si>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</si>
  <si>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</si>
  <si>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</si>
  <si>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</si>
  <si>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</si>
  <si>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</si>
  <si>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</si>
  <si>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</si>
  <si>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</si>
  <si>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</si>
  <si>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Affiliations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</si>
  <si>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</si>
  <si>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</si>
  <si>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</si>
  <si>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</si>
  <si>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</si>
  <si>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</si>
  <si>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</si>
  <si>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</si>
  <si>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</si>
  <si>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</si>
  <si>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</si>
  <si>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</si>
  <si>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</si>
  <si>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</si>
  <si>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</si>
  <si>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</si>
  <si>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</si>
  <si>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</si>
  <si>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</si>
  <si>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</si>
  <si>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</si>
  <si>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</si>
  <si>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</si>
  <si>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</si>
  <si>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</si>
  <si>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</si>
  <si>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</si>
  <si>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</si>
  <si>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</si>
  <si>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</si>
  <si>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</si>
  <si>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</si>
  <si>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</si>
  <si>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</si>
  <si>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</si>
  <si>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</si>
  <si>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</si>
  <si>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</si>
  <si>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</si>
  <si>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</si>
  <si>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</si>
  <si>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</si>
  <si>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</si>
  <si>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</si>
  <si>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</si>
  <si>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</si>
  <si>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</si>
  <si>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</si>
  <si>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J</t>
  </si>
  <si>
    <t>Vaterlaus, JM; Winter, M</t>
  </si>
  <si>
    <t/>
  </si>
  <si>
    <t>Vaterlaus, J. Mitchell; Winter, Madison</t>
  </si>
  <si>
    <t>TikTok: an exploratory study of young adults' uses and gratifications</t>
  </si>
  <si>
    <t>SOCIAL SCIENCE JOURNAL</t>
  </si>
  <si>
    <t>English</t>
  </si>
  <si>
    <t>Article; Early Access</t>
  </si>
  <si>
    <t>TikTok; social media; uses and gratifications; short-form video; qualitative</t>
  </si>
  <si>
    <t>FACEBOOK</t>
  </si>
  <si>
    <t>TikTok is a short-form video focused social media app with over 80 million active users in the United States. The current study aimed to understand young adult TikTok users' and non-users' (n = 247) motivations (to use or not use), experiences, and perceptions related to TikTok. In total, 52% of young adults reported using TikTok. Through qualitative content analysis procedures, three themes representing participants' experiences with TikTok were identified: (1) personal and relational amusement, (2) deterring qualities of TikTok, and (3) short videos with purpose. Results are discussed in relation to Uses and Gratifications theory and TikTok was found to meet realism, coolness, agency-enhancement, community building, bandwagon, interactivity, browsing/variety seeking, and play/fun gratifications. In terms of failed gratifications for past-users and non-users, TikTok was perceived to be too juvenile/cringey and providing too much (cyberbullying) or not enough agency (privacy and censorship).</t>
  </si>
  <si>
    <t>[Vaterlaus, J. Mitchell; Winter, Madison] Montana State Univ, Dept Hlth &amp; Human Dev, Coll Educ Hlth &amp; Human Dev, POB 173540, Bozeman, MT 59717 USA</t>
  </si>
  <si>
    <t>Montana State University System; Montana State University Bozeman</t>
  </si>
  <si>
    <t>Vaterlaus, JM (corresponding author), Montana State Univ, Dept Hlth &amp; Human Dev, Coll Educ Hlth &amp; Human Dev, POB 173540, Bozeman, MT 59717 USA.</t>
  </si>
  <si>
    <t>j.vaterlaus@montana.edu</t>
  </si>
  <si>
    <t>Vaterlaus, J. Mitchell/0000-0001-7139-1457</t>
  </si>
  <si>
    <t>ROUTLEDGE JOURNALS, TAYLOR &amp; FRANCIS LTD</t>
  </si>
  <si>
    <t>ABINGDON</t>
  </si>
  <si>
    <t>2-4 PARK SQUARE, MILTON PARK, ABINGDON OX14 4RN, OXON, ENGLAND</t>
  </si>
  <si>
    <t>0362-3319</t>
  </si>
  <si>
    <t>1873-5355</t>
  </si>
  <si>
    <t>SOC SCI J</t>
  </si>
  <si>
    <t>Soc. Sci. J.</t>
  </si>
  <si>
    <t>2021 AUG 23</t>
  </si>
  <si>
    <t>10.1080/03623319.2021.1969882</t>
  </si>
  <si>
    <t>AUG 2021</t>
  </si>
  <si>
    <t>Social Sciences, Interdisciplinary</t>
  </si>
  <si>
    <t>Social Science Citation Index (SSCI)</t>
  </si>
  <si>
    <t>Social Sciences - Other Topics</t>
  </si>
  <si>
    <t>UQ2JC</t>
  </si>
  <si>
    <t>2024-11-28</t>
  </si>
  <si>
    <t>WOS:000695894800001</t>
  </si>
  <si>
    <t>Li, MJ</t>
  </si>
  <si>
    <t>Li, Minjie</t>
  </si>
  <si>
    <t>TikTok and Black political consumerism: Investigating how TikTok use is linked to Black Americans' activism and identity</t>
  </si>
  <si>
    <t>JOURNAL OF INTERNATIONAL AND INTERCULTURAL COMMUNICATION</t>
  </si>
  <si>
    <t>Article</t>
  </si>
  <si>
    <t>TikTok; Black activism; political consumerism; identity; social media effects</t>
  </si>
  <si>
    <t>SOCIAL MEDIA USE; CIVIC ENGAGEMENT; PERCEIVED DIVERSITY; COMMUNICATION; FRAMEWORK; PARTICIPATION; HETEROGENEITY</t>
  </si>
  <si>
    <t>Even though TikTok has become a popular yet highly politicized social media platform for social change and mobilization, there is little research providing insights into minoritized TikTok users. By conducting a survey sampling Black TikTok users (N = 311), this study examines how Black people's TikTok use for information gathering influences their political consumerism (i.e., boycotting, buycotting), Black activism orientation, and racial identity reformation. The results revealed that TikTok use predicted Black people's engagement in political consumerism, formal Black activism, Black centrality, and Black nationalist ideology. Also, Black TikTok users' perceived TikTok network environment (i.e., TikTok network politicalness, diversity, and authenticity) was positively associated with various apsects of Black activism orientation and racial identity ideology. This study's findings on the role of Tik Tok on Black resistance, activism, and identity have crucial implications for intercultural and intracultural communication.</t>
  </si>
  <si>
    <t>[Li, Minjie] Univ Tennessee, Coll Commun &amp; Informat, Tombras Sch Advertising &amp; Publ Relat, Knoxville, TN 37231 USA</t>
  </si>
  <si>
    <t>University of Tennessee System; University of Tennessee Knoxville</t>
  </si>
  <si>
    <t>Li, MJ (corresponding author), Univ Tennessee, Coll Commun &amp; Informat, Tombras Sch Advertising &amp; Publ Relat, Knoxville, TN 37231 USA.</t>
  </si>
  <si>
    <t>minjie@utk.edu</t>
  </si>
  <si>
    <t>Li, Minjie/0000-0002-5472-646X</t>
  </si>
  <si>
    <t>1751-3057</t>
  </si>
  <si>
    <t>1751-3065</t>
  </si>
  <si>
    <t>J INT INTERCULT COMM</t>
  </si>
  <si>
    <t>J. Int. Intercult. Commun.</t>
  </si>
  <si>
    <t>APR 2</t>
  </si>
  <si>
    <t>10.1080/17513057.2024.2320928</t>
  </si>
  <si>
    <t>MAR 2024</t>
  </si>
  <si>
    <t>Communication</t>
  </si>
  <si>
    <t>Emerging Sources Citation Index (ESCI)</t>
  </si>
  <si>
    <t>SF0B3</t>
  </si>
  <si>
    <t>WOS:001181686200001</t>
  </si>
  <si>
    <t>C</t>
  </si>
  <si>
    <t>Tang, L; Omar, SZ; Bolong, J; Zawawi, JWM</t>
  </si>
  <si>
    <t>Mustaffa, CS; Ahmad, MK; Yusof, N; Tugiman, M</t>
  </si>
  <si>
    <t>Tang, Lian; Omar, Siti Zobidah; Bolong, Jusang; Zawawi, Julia Wirza Mohd</t>
  </si>
  <si>
    <t>INFLUENCE OF TIKTOK USAGE TOWARD POSITIVE EMOTION AND RELATIONSHIP</t>
  </si>
  <si>
    <t>BREAKING THE BARRIERS, INSPIRING TOMORROW</t>
  </si>
  <si>
    <t>European Proceedings of Social and Behavioural Sciences</t>
  </si>
  <si>
    <t>Proceedings Paper</t>
  </si>
  <si>
    <t>7th International Conference on Communication and Media (i-COME)</t>
  </si>
  <si>
    <t>NOV 07-08, 2020</t>
  </si>
  <si>
    <t>ELECTR NETWORK</t>
  </si>
  <si>
    <t>Attitudes toward TikTok; positive emotion; positive relationship; TikTok usage patterns; TikTok users</t>
  </si>
  <si>
    <t>TikTok is a new kind of social media. Because of its multi-functional characteristics and video streaming media form, TikTok has become universally prevalent and has attracted high number of users. Thus, an increasing number of individuals begin to utilize TikTok for different purposes, such as for entertainment, seeking information, achieving knowledge, pressure releasing, filling in leisure time and so on. However, excessive usage of TikTok has led to a series of issues as it is impacting users' emotions and relationships. For instance, some users have ignored their family and friends in their real life as a result of indulgence in TikTok, which may significantly impact on their interpersonal relationships eventually. Similarly, others feel frustrated and depressed after browsing TikTok for a long time. This research is conducted to learn more about the influence of TikTok usage toward positive emotions and relationships among TikTok users in China. Quantitative research method by survey approach is adopted in this study. A total of 244 online questionnaires are collected in this study. Data analyses including descriptive analysis, means, standard deviation, T-test, one-way ANOVA and multiple regression are employed via IBM SPSS software version 25. The results indicate that attitudes toward TikTok including both perceived usefulness and perceived ease of use significantly influence positive emotions and relationships among TikTok users in China. Finally, it is hoped that this study could remind TikTok users to view the negative effects of TikTok usage and use TikTok reasonably in the future. (C) 2021 Published by European Publisher.</t>
  </si>
  <si>
    <t>[Tang, Lian; Omar, Siti Zobidah; Bolong, Jusang; Zawawi, Julia Wirza Mohd] Univ Putra Malaysia, Serdang, Malaysia</t>
  </si>
  <si>
    <t>Universiti Putra Malaysia</t>
  </si>
  <si>
    <t>Omar, SZ (corresponding author), Univ Putra Malaysia, Serdang, Malaysia.</t>
  </si>
  <si>
    <t>tanglian108@hotmail.com; zobidah@upm.edu.my; jusang@upm.edu.my; wirza@upm.edu.my</t>
  </si>
  <si>
    <t>OMAR, SITI/AFV-9146-2022; Lian, Tang/HKH-0751-2023</t>
  </si>
  <si>
    <t>TANG, LIAN/0000-0001-5732-3204</t>
  </si>
  <si>
    <t>EUROPEAN PUBLISHER</t>
  </si>
  <si>
    <t>London</t>
  </si>
  <si>
    <t>293 Green Lanes, Palmers Green, London, *, UNITED KINGDOM</t>
  </si>
  <si>
    <t>2357-1330</t>
  </si>
  <si>
    <t>978-1-80296-109-6</t>
  </si>
  <si>
    <t>EUR PROC SOC BEHAV</t>
  </si>
  <si>
    <t>10.15405/epsbs.2021.06.02.36</t>
  </si>
  <si>
    <t>Conference Proceedings Citation Index - Social Science &amp; Humanities (CPCI-SSH)</t>
  </si>
  <si>
    <t>BS8BW</t>
  </si>
  <si>
    <t>hybrid</t>
  </si>
  <si>
    <t>WOS:000770559500036</t>
  </si>
  <si>
    <t>Cheng, ZC; Li, YL</t>
  </si>
  <si>
    <t>Cheng, Zicheng; Li, Yanlin</t>
  </si>
  <si>
    <t>Like, Comment, and Share on TikTok: Exploring the Effect of Sentiment and Second-Person View on the User Engagement with TikTok News Videos</t>
  </si>
  <si>
    <t>SOCIAL SCIENCE COMPUTER REVIEW</t>
  </si>
  <si>
    <t>TikTok news; news engagement; news publishers; sentiment analysis; facial analysis; negativity bias; second-person view</t>
  </si>
  <si>
    <t>SOCIAL MEDIA; INFORMATION; FACEBOOK; CONSUMPTION; NEGATIVITY; DIFFUSION; EMOTIONS; FEATURES; MESSAGE; ANXIETY</t>
  </si>
  <si>
    <t>TikTok-the world's most downloaded app since 2020, has become a place for more than silly dancing and lip-syncing. TikTok users are increasingly turning to TikTok for news content. Meanwhile, news publishers are embracing TikTok to reach a younger audience. We aim to examine the content strategy adopted by the most-followed news publishers on TikTok and how effective their TikTok strategy is in spurring audience engagement in terms of liking, commenting, and sharing. This study retrieved 101,292 TikTok news videos as of November 22, 2022. With the help of computer vision, natural language processing, and sentiment analysis, we found that TikTok news videos containing negative sentiment and more second-person view shots are associated with significantly higher audience engagement. In addition, this study demonstrated that the TikTok video features and engagement levels differ between the news publishers and other TikTok creators. Moderator analysis shows that both the effect of negative sentiment on engagement and the effect of the second-person view on engagement are moderated by the TikTok account type. The impact of negative sentiment and second-person view on engagement behaviors becomes smaller or even insignificant for news publisher TikTok videos. Theoretical and practical implications are discussed in this study.</t>
  </si>
  <si>
    <t>[Cheng, Zicheng] Penn State Univ, Donald P Bellisario Coll Commun, Film Video &amp; Media Studies Dept, Media Effects Res Lab, 8 Carnegie Bldg University Pk, University Pk, PA 16802 USA; [Cheng, Zicheng] Univ Salamanca, Coll Law &amp; Publ Adm, Democracy Res Unit, Polit Sci, Salamanca, Spain; [Li, Yanlin] Penn State Univ, Dept Elect Engn, University Pk, PA 16802 USA</t>
  </si>
  <si>
    <t>Pennsylvania Commonwealth System of Higher Education (PCSHE); Pennsylvania State University; Pennsylvania State University - University Park; University of Salamanca; Pennsylvania Commonwealth System of Higher Education (PCSHE); Pennsylvania State University; Pennsylvania State University - University Park</t>
  </si>
  <si>
    <t>Cheng, ZC (corresponding author), Penn State Univ, Donald P Bellisario Coll Commun, Film Video &amp; Media Studies Dept, Media Effects Res Lab, 8 Carnegie Bldg University Pk, University Pk, PA 16802 USA.</t>
  </si>
  <si>
    <t>zvc5199@psu.edu</t>
  </si>
  <si>
    <t>Cheng, Zicheng/AFR-8134-2022; Li, Yanlin/CAI-8694-2022</t>
  </si>
  <si>
    <t>Cheng, Zicheng/0000-0003-0859-0538</t>
  </si>
  <si>
    <t>SAGE PUBLICATIONS INC</t>
  </si>
  <si>
    <t>THOUSAND OAKS</t>
  </si>
  <si>
    <t>2455 TELLER RD, THOUSAND OAKS, CA 91320 USA</t>
  </si>
  <si>
    <t>0894-4393</t>
  </si>
  <si>
    <t>1552-8286</t>
  </si>
  <si>
    <t>SOC SCI COMPUT REV</t>
  </si>
  <si>
    <t>Soc. Sci. Comput. Rev.</t>
  </si>
  <si>
    <t>FEB</t>
  </si>
  <si>
    <t>10.1177/08944393231178603</t>
  </si>
  <si>
    <t>MAY 2023</t>
  </si>
  <si>
    <t>Computer Science, Interdisciplinary Applications; Information Science &amp; Library Science; Social Sciences, Interdisciplinary</t>
  </si>
  <si>
    <t>Science Citation Index Expanded (SCI-EXPANDED); Social Science Citation Index (SSCI)</t>
  </si>
  <si>
    <t>Computer Science; Information Science &amp; Library Science; Social Sciences - Other Topics</t>
  </si>
  <si>
    <t>FV7I2</t>
  </si>
  <si>
    <t>WOS:001001631000001</t>
  </si>
  <si>
    <t>Akhtar, N; Islam, T</t>
  </si>
  <si>
    <t>Akhtar, Naeem; Islam, Tahir</t>
  </si>
  <si>
    <t>Unveiling the predictors and outcomes of TikTok addiction: the moderating role of parasocial relationships</t>
  </si>
  <si>
    <t>KYBERNETES</t>
  </si>
  <si>
    <t>TikTok addiction; Technology addiction; Self-determination theory; Life satisfaction</t>
  </si>
  <si>
    <t>SOCIAL NETWORKING SITES; INTERNET ADDICTION; SMARTPHONE ADDICTION; SELF-DETERMINATION; ACADEMIC-PERFORMANCE; INTRINSIC MOTIVATION; MEDIATION MODEL; EXCESSIVE USE; PLS-SEM; LONELINESS</t>
  </si>
  <si>
    <t>PurposeTechnology addiction is an increasingly severe problem. TikTok has become increasingly popular recently, and its addiction is also a major concern. This study aims to examine the antecedents and outcomes of TikTok addiction.Design/methodology/approachThe authors collect 579 data from Chinese users using an online survey. The authors use structural equation modeling with partial least squares (PLS-SEM) to analyze data and test hypotheses.FindingsThe results illustrate that perceived enjoyment, social relationship, utilitarian need and social influence positively affect TikTok addiction. Both social anxiety and loneliness have positive effects on TikTok addiction. Moreover, parasocial relationships positively moderate the association between the antecedents of self-determination theory (SDT) (perceived enjoyment, social relationship, utilitarian needs, social influence, social anxiety and loneliness) and TikTok addiction. Meanwhile, TikTok addiction intensifies conflicts, including technology-family conflict, technology-person conflict and technology-work conflict. These conflicts reduce life satisfaction.Practical implicationsIt offers practical implications for preventing and avoiding TikTok addiction to create a healthy environment.Originality/valueThis study is one of the few to provide a complete process of TikTok addiction. It systematically investigates the antecedents and outcomes of TikTok addiction.</t>
  </si>
  <si>
    <t>[Akhtar, Naeem] Univ Engn &amp; Technol, Inst Business &amp; Management, Lahore, Pakistan; [Islam, Tahir] Leeds Trinity Univ, Leeds, England; [Islam, Tahir] Prague Univ Econ &amp; Business, Fac Management, Prague, Czech Republic; [Islam, Tahir] Silesian Tech Univ, Fac Org &amp; Management, Gliwice, Poland</t>
  </si>
  <si>
    <t>University of Engineering &amp; Technology Lahore; Leeds Trinity University; Prague University of Economics &amp; Business; Silesian University of Technology</t>
  </si>
  <si>
    <t>Islam, T (corresponding author), Leeds Trinity Univ, Leeds, England.;Islam, T (corresponding author), Prague Univ Econ &amp; Business, Fac Management, Prague, Czech Republic.;Islam, T (corresponding author), Silesian Tech Univ, Fac Org &amp; Management, Gliwice, Poland.</t>
  </si>
  <si>
    <t>kktahir@hotmail.com</t>
  </si>
  <si>
    <t>Akhtar, Naeem/AAF-2259-2019; Islam, Tahir/R-5799-2017; Akhtar, Naeem/HTP-1231-2023</t>
  </si>
  <si>
    <t>Islam, Tahir/0000-0001-8179-0654; Akhtar, Naeem/0000-0003-4730-8021</t>
  </si>
  <si>
    <t>EMERALD GROUP PUBLISHING LTD</t>
  </si>
  <si>
    <t>Leeds</t>
  </si>
  <si>
    <t>floor 5, Northspring 21-23 Wellington Street, Leeds, W YORKSHIRE, ENGLAND</t>
  </si>
  <si>
    <t>0368-492X</t>
  </si>
  <si>
    <t>1758-7883</t>
  </si>
  <si>
    <t>Kybernetes</t>
  </si>
  <si>
    <t>2023 OCT 2</t>
  </si>
  <si>
    <t>10.1108/K-04-2022-0551</t>
  </si>
  <si>
    <t>OCT 2023</t>
  </si>
  <si>
    <t>Computer Science, Cybernetics</t>
  </si>
  <si>
    <t>Science Citation Index Expanded (SCI-EXPANDED)</t>
  </si>
  <si>
    <t>Computer Science</t>
  </si>
  <si>
    <t>T1KV1</t>
  </si>
  <si>
    <t>WOS:001075653100001</t>
  </si>
  <si>
    <t>Moir, A</t>
  </si>
  <si>
    <t>Moir, Aidan</t>
  </si>
  <si>
    <t>The Use of TikTok for Political Campaigning in Canada: The Case of Jagmeet Singh</t>
  </si>
  <si>
    <t>SOCIAL MEDIA + SOCIETY</t>
  </si>
  <si>
    <t>TikTok; digital advocacy; permanent campaign; performed authenticity; social media campaigns</t>
  </si>
  <si>
    <t>SOCIAL MEDIA</t>
  </si>
  <si>
    <t>TikTok is a critical platform for political campaigns seeking to engage with new publics through digital advocacy. Jagmeet Singh, the leader of Canada's New Democratic Party, has emerged as a TikTok celebrity since establishing his profile in 2019. At the time of writing, he is the only Canadian federal party leader using TikTok with his interactions greatly surpassing those on his other social media profiles. Strategically utilizing TikTok to promote his social justice-oriented political platform and to build momentum in preparation for a snap election, his digital campaign has received extensive attention from the Canadian press. Through qualitative content analysis of his videos and news media coverage of Singh's activity on TikTok, this article questions how his TikTok profile thematically engages with social democratic politics within the context of the permanent campaign. Attention is directed toward how Singh employs TikTok's features to establish his brand of left-wing populism and advocate against systematic social inequality to appeal to TikTok's youthful demographic.</t>
  </si>
  <si>
    <t>[Moir, Aidan] Univ Toronto Scarborough, Toronto, ON, Canada</t>
  </si>
  <si>
    <t>University of Toronto; University Toronto Scarborough</t>
  </si>
  <si>
    <t>Moir, A (corresponding author), Univ Toronto Scarborough, 1265 Mil Trail, Toronto, ON M1C 1A4, Canada.</t>
  </si>
  <si>
    <t>aidan.moir@utoronto.ca</t>
  </si>
  <si>
    <t>Moir, Aidan/HSH-0044-2023</t>
  </si>
  <si>
    <t>Moir, Aidan/0000-0002-1817-2500</t>
  </si>
  <si>
    <t>SAGE PUBLICATIONS LTD</t>
  </si>
  <si>
    <t>LONDON</t>
  </si>
  <si>
    <t>1 OLIVERS YARD, 55 CITY ROAD, LONDON EC1Y 1SP, ENGLAND</t>
  </si>
  <si>
    <t>2056-3051</t>
  </si>
  <si>
    <t>SOC MEDIA SOC</t>
  </si>
  <si>
    <t>Soc. Med. Soc.</t>
  </si>
  <si>
    <t>JAN</t>
  </si>
  <si>
    <t>10.1177/20563051231157604</t>
  </si>
  <si>
    <t>9I7VE</t>
  </si>
  <si>
    <t>gold</t>
  </si>
  <si>
    <t>WOS:000939712300001</t>
  </si>
  <si>
    <t>Yu, Y; Zhao, B</t>
  </si>
  <si>
    <t>Yu, Yi; Zhao, Bo</t>
  </si>
  <si>
    <t>Can TikTok promote a healthier ageing paradigm? A case study of older digital celebrities from China</t>
  </si>
  <si>
    <t>AREA</t>
  </si>
  <si>
    <t>ageing; content recommendation algorithm; older digital celebrity</t>
  </si>
  <si>
    <t>SOCIAL MEDIA; ADULTS</t>
  </si>
  <si>
    <t>TikTok, as an emerging digital geography, has transformed remote communication to a live, instant, and uncannily realistic interaction. To explore the implications of TikTok on older adults, this paper examines the accounts of older Chinese TikTok celebrities - their participation in TikTok as well as the major discourses of ageing mediated by TikTok. An empirical study was conducted by quantitatively analysing web-scraped comments on older TikTok celebrities and by interpreting the themes present in these popular TikTok accounts. The empirical results unveil that TikTok facilitates the social interactions of older digital celebrities by creating a caring environment. However, the healthy ageing paradigm promoted by the Chinese government is also promoted by TikTok's recommendation algorithm and platform capitalism. The healthy ageing paradigm prioritises older adults who are healthy and independent, and as a result marginalises those who have a disease or disability or are dependent on others in some way. As a result, the healthy ageing paradigm promoted by TikTok constitutes another form of ageism. Responding to the call to go beyond the digital, our research contributes to digital geography by examining the geographies of ageing mediated by TikTok.</t>
  </si>
  <si>
    <t>[Yu, Yi] Sun Yat Sen Univ, Sch Geog &amp; Planning, Guangzhou, Peoples R China; [Zhao, Bo] Univ Washington, Dept Geog, Seattle, WA 98195 USA</t>
  </si>
  <si>
    <t>Sun Yat Sen University; University of Washington; University of Washington Seattle</t>
  </si>
  <si>
    <t>Yu, Y (corresponding author), Sun Yat Sen Univ, Sch Geog &amp; Planning, Guangzhou, Peoples R China.</t>
  </si>
  <si>
    <t>yuyi39@mail.sysu.edu.cn</t>
  </si>
  <si>
    <t>China Postdoctoral Science Foundation [2021M693587]; National Natural Science Foundation of China [41930646]</t>
  </si>
  <si>
    <t>China Postdoctoral Science Foundation(China Postdoctoral Science Foundation); National Natural Science Foundation of China(National Natural Science Foundation of China (NSFC))</t>
  </si>
  <si>
    <t>China Postdoctoral Science Foundation [Grant number: 2021M693587]. National Natural Science Foundation of China [Grant number: 41930646].</t>
  </si>
  <si>
    <t>WILEY</t>
  </si>
  <si>
    <t>HOBOKEN</t>
  </si>
  <si>
    <t>111 RIVER ST, HOBOKEN 07030-5774, NJ USA</t>
  </si>
  <si>
    <t>0004-0894</t>
  </si>
  <si>
    <t>1475-4762</t>
  </si>
  <si>
    <t>Area</t>
  </si>
  <si>
    <t>JUN</t>
  </si>
  <si>
    <t>10.1111/area.12777</t>
  </si>
  <si>
    <t>FEB 2022</t>
  </si>
  <si>
    <t>Geography</t>
  </si>
  <si>
    <t>1B0HI</t>
  </si>
  <si>
    <t>WOS:000757294300001</t>
  </si>
  <si>
    <t>Faltesek, D; Graalum, E; Breving, B; Knudsen, E; Lucas, J; Young, S; Zambrano, FEV</t>
  </si>
  <si>
    <t>Faltesek, Daniel; Graalum, Elizbeth; Breving, Bailey; Knudsen, Elselucia; Lucas, Jessica; Young, Sierra; Zambrano, Felix Eduardo Varas</t>
  </si>
  <si>
    <t>TikTok as Television</t>
  </si>
  <si>
    <t>TikTok; flow; Markov chain; cultural analytics; television</t>
  </si>
  <si>
    <t>As much as users and advertisers have flocked to it, TikTok has been a success. To this point, research on TikTok has been concerned with the nature of TikTok texts and the ways that laterally organized networks on TikTok have intermedia interface points. Instead of focusing on the text or the authors, this article argues that Raymond Williams concept of flow is critical for an initial characterization of a social media platform, proposing and implementing a Markov process model for critical media studies of the experience of TikTok flow. The result of this analysis challenges many commonly held ideas about what TikTok is and offers evidence that TikTok is television, not social media. We argue that this shift of perspective is important for advancing understanding of this platform.</t>
  </si>
  <si>
    <t>[Faltesek, Daniel; Graalum, Elizbeth; Breving, Bailey; Knudsen, Elselucia; Lucas, Jessica; Young, Sierra; Zambrano, Felix Eduardo Varas] Oregon State Univ, 030 Snell Hall, Corvallis, OR 97331 USA</t>
  </si>
  <si>
    <t>Oregon State University</t>
  </si>
  <si>
    <t>Faltesek, D (corresponding author), Oregon State Univ, 030 Snell Hall, Corvallis, OR 97331 USA.</t>
  </si>
  <si>
    <t>daniel.faltesek@oregonstate.edu</t>
  </si>
  <si>
    <t>Faltesek, Daniel/0000-0002-6265-518X</t>
  </si>
  <si>
    <t>JUL</t>
  </si>
  <si>
    <t>10.1177/20563051231194576</t>
  </si>
  <si>
    <t>Q7EP5</t>
  </si>
  <si>
    <t>WOS:001059120600001</t>
  </si>
  <si>
    <t>Yao, NS; Chen, J; Huang, SY; Montag, C; Elhai, JD</t>
  </si>
  <si>
    <t>Yao, Nisha; Chen, Jing; Huang, Siyuan; Montag, Christian; Elhai, Jon D.</t>
  </si>
  <si>
    <t>Depression and social anxiety in relation to problematic TikTok use severity: The mediating role of boredom proneness and distress intolerance</t>
  </si>
  <si>
    <t>COMPUTERS IN HUMAN BEHAVIOR</t>
  </si>
  <si>
    <t>Psychopathology; Problematic TikTok use; Boredom proneness; Distress intolerance</t>
  </si>
  <si>
    <t>NETWORKING SITE USE; INTERNET-USE; TOLERANCE; SCALE; SENSITIVITY; VALIDATION; DISORDERS</t>
  </si>
  <si>
    <t>With a rapid rise in TikTok use, problematic TikTok use has become a contemporary concern. However, little is known about how problematic TikTok use develops. The current study examined two important cognitive and emotional processes (i.e., boredom proneness and distress intolerance) through which depression and social anxiety may contribute to problematic TikTok use. We recruited 822 regular TikTok users from China through an online survey service provider and assessed their levels of depression, social anxiety, boredom proneness, distress intolerance, and problematic TikTok use severity on two assessment occasions with a two-month interval. Using structural equation modeling, we examined the associations between depression and social anxiety (time 1 predictors) with problematic TikTok use severity (time 2 dependent variable) through boredom proneness and distress intolerance (time 1 mediators). Results revealed a significant mediating effect of distress intolerance, whereas boredom proneness played no significant mediating role. These findings suggest that the perceived inability to withstand distress may contribute to the development of problematic TikTok use, and may explain relations between psychopathology symptoms and problematic TikTok use.</t>
  </si>
  <si>
    <t>[Yao, Nisha] Capital Univ Phys Educ &amp; Sports, Sch Kinesiol &amp; Hlth, Beijing, Peoples R China; [Chen, Jing] Shanghai Univ Sport, Res Ctr Exercise &amp; Brain Sci, Sch Psychol, Shanghai, Peoples R China; [Huang, Siyuan] Penn State Univ, Dept Psychol, University Pk, PA USA; [Montag, Christian] Ulm Univ, Inst Psychol &amp; Educ, Dept Mol Psychol, D-89081 Ulm, Germany; [Elhai, Jon D.] Univ Toledo, Dept Psychol, Toledo, OH USA; [Elhai, Jon D.] Univ Toledo, Dept Psychiat, Toledo, OH USA</t>
  </si>
  <si>
    <t>CAPITAL UNIVERSITY OF PHYSICAL EDUCATION AND SPORTS; Shanghai University of Sport; Pennsylvania Commonwealth System of Higher Education (PCSHE); Pennsylvania State University; Pennsylvania State University - University Park; Ulm University; University System of Ohio; University of Toledo; University System of Ohio; University of Toledo</t>
  </si>
  <si>
    <t>Yao, NS (corresponding author), Capital Univ Phys Educ &amp; Sports, Sch Kinesiol &amp; Hlth, Beijing, Peoples R China.;Chen, J (corresponding author), Shanghai Univ Sport, Res Ctr Exercise &amp; Brain Sci, Sch Psychol, Shanghai, Peoples R China.</t>
  </si>
  <si>
    <t>yaonisha@cupes.edu.cn; chenjingps@gmail.com</t>
  </si>
  <si>
    <t>Huang, Siyuan/AAE-7286-2022; Elhai, Jon/U-1901-2017; Yao, Nisha/IUN-2746-2023; Montag, Christian/H-6536-2019</t>
  </si>
  <si>
    <t>Elhai, Jon/0000-0001-5205-9010; Huang, Siyuan/0000-0001-6048-8763; Montag, Christian/0000-0001-8112-0837; Chen, Jing/0000-0002-3038-1786</t>
  </si>
  <si>
    <t>PERGAMON-ELSEVIER SCIENCE LTD</t>
  </si>
  <si>
    <t>OXFORD</t>
  </si>
  <si>
    <t>THE BOULEVARD, LANGFORD LANE, KIDLINGTON, OXFORD OX5 1GB, ENGLAND</t>
  </si>
  <si>
    <t>0747-5632</t>
  </si>
  <si>
    <t>1873-7692</t>
  </si>
  <si>
    <t>COMPUT HUM BEHAV</t>
  </si>
  <si>
    <t>Comput. Hum. Behav.</t>
  </si>
  <si>
    <t>AUG</t>
  </si>
  <si>
    <t>10.1016/j.chb.2023.107751</t>
  </si>
  <si>
    <t>APR 2023</t>
  </si>
  <si>
    <t>Psychology, Multidisciplinary; Psychology, Experimental</t>
  </si>
  <si>
    <t>Psychology</t>
  </si>
  <si>
    <t>P9MU0</t>
  </si>
  <si>
    <t>WOS:001053854100001</t>
  </si>
  <si>
    <t>Boffone, T</t>
  </si>
  <si>
    <t>Boffone, Trevor</t>
  </si>
  <si>
    <t>TikTok Is Theatre, Theatre Is TikTok</t>
  </si>
  <si>
    <t>THEATRE HISTORY STUDIES</t>
  </si>
  <si>
    <t>UNIV ALABAMA PRESS</t>
  </si>
  <si>
    <t>TUSCALOOSA</t>
  </si>
  <si>
    <t>BOX 870380, TUSCALOOSA, AL 35487-0380 USA</t>
  </si>
  <si>
    <t>0733-2033</t>
  </si>
  <si>
    <t>THEATRE HIST STUD</t>
  </si>
  <si>
    <t>Theatre Hist. Stud.</t>
  </si>
  <si>
    <t>10.1353/ths.2022.0028</t>
  </si>
  <si>
    <t>Theater</t>
  </si>
  <si>
    <t>Arts &amp; Humanities Citation Index (A&amp;HCI)</t>
  </si>
  <si>
    <t>8R4ET</t>
  </si>
  <si>
    <t>WOS:000927847000005</t>
  </si>
  <si>
    <t>Langlais, MR; Thaler, A; West, E</t>
  </si>
  <si>
    <t>Langlais, Michael R.; Thaler, Ashley; West, Elizabeth</t>
  </si>
  <si>
    <t>TikTok Too Much? A Qualitative Investigation of Adolescent TikTok Use, Motivation, and Consequences</t>
  </si>
  <si>
    <t>YOUTH &amp; SOCIETY</t>
  </si>
  <si>
    <t>TikTok; adolescents; wellbeing</t>
  </si>
  <si>
    <t>SOCIAL MEDIA; DESCRIPTIVE RESEARCH; FACEBOOK</t>
  </si>
  <si>
    <t>TikTok use has grown rapidly since the COVID-19 pandemic, especially among adolescents. The goal of this study is to understand how and why teenagers use TikTok and how teenagers perceive these behaviors and motivations as contributing to their mental well-being. This qualitative, descriptive study involved interviewing teenagers one-on-one via Zoom regarding their TikTok use and how they perceived TikTok as influencing their well-being (N = 31; Mage = 15.83). Thematic results revealed that teenagers mostly used TikTok to scroll, watch videos, create and send content, and meet friends. Participants primarily used TikTok for interpersonal reasons (such as entertainment) and for relational reasons (such as to communicate with others). When TikTok was used as a distraction or if they scrolled through depressing or adverse content, their mood declined, but if viewing entertaining content or connecting with others, participants perceived benefits for their well-being.</t>
  </si>
  <si>
    <t>[Langlais, Michael R.] Baylor Univ, Waco, TX 76798 USA; [Thaler, Ashley; West, Elizabeth] Florida State Univ, Tallahassee, FL USA</t>
  </si>
  <si>
    <t>Baylor University; State University System of Florida; Florida State University</t>
  </si>
  <si>
    <t>Langlais, MR (corresponding author), Baylor Univ, Dept Human Sci &amp; Design, 1224 S 8th St, Waco, TX 76798 USA.</t>
  </si>
  <si>
    <t>mickey_langlais@baylor.edu</t>
  </si>
  <si>
    <t>Langlais, Michael/0000-0001-8892-2808</t>
  </si>
  <si>
    <t>0044-118X</t>
  </si>
  <si>
    <t>1552-8499</t>
  </si>
  <si>
    <t>YOUTH SOC</t>
  </si>
  <si>
    <t>Youth Soc.</t>
  </si>
  <si>
    <t>2024 SEP 19</t>
  </si>
  <si>
    <t>10.1177/0044118X241282347</t>
  </si>
  <si>
    <t>SEP 2024</t>
  </si>
  <si>
    <t>Social Issues; Social Sciences, Interdisciplinary; Sociology</t>
  </si>
  <si>
    <t>Social Issues; Social Sciences - Other Topics; Sociology</t>
  </si>
  <si>
    <t>G4E2M</t>
  </si>
  <si>
    <t>WOS:001316184200001</t>
  </si>
  <si>
    <t>Pan, WJ; Mu, Z; Zhao, ZX; Tang, Z</t>
  </si>
  <si>
    <t>Pan, Wenjing; Mu, Zhe; Zhao, Zexuan; Tang, Zheng</t>
  </si>
  <si>
    <t>Female Users' TikTok Use and Body Image: Active Versus Passive Use and Social Comparison Processes</t>
  </si>
  <si>
    <t>CYBERPSYCHOLOGY BEHAVIOR AND SOCIAL NETWORKING</t>
  </si>
  <si>
    <t>TikTok; active use; passive use; body image; body-esteem; social comparison</t>
  </si>
  <si>
    <t>MEDIA USE; SELF-OBJECTIFICATION; UNITED-STATES; INSTAGRAM USE; ESTEEM SCALE; FACEBOOK USE; WOMENS MOOD; ADOLESCENTS; SYMPTOMS; SATISFACTION</t>
  </si>
  <si>
    <t>This study examined two ways of using the TikTok application (active vs. passive use), and their association with female users' self-esteem pertaining to appearance and weight. By adopting a cross-sectional online survey design, this study recruited 7,750 adult female TikTok users from China (Douyin), and acquired self-reported data on 2 ways of using TikTok, state-level social comparison, appearance-esteem, weight-esteem, body mass index, and age. The results indicated that passive and active TikTok uses were negatively and positively associated with participants' appearance- and weight-esteem, respectively. A mediation analysis revealed that the participants' state-level social comparison while using TikTok mediated the association between two ways of TikTok use, and their effects on appearance- and weight-esteem. These results help us understand the complicated impact of TikTok use on body image, and design campaigns for promoting body acceptance.</t>
  </si>
  <si>
    <t>[Pan, Wenjing; Mu, Zhe; Zhao, Zexuan; Tang, Zheng] Renmin Univ China, Sch Journalism &amp; Commun, Beijing, Peoples R China; [Tang, Zheng] Renmin Univ China, Sch Journalism &amp; Commun, Beijing 100872, Peoples R China</t>
  </si>
  <si>
    <t>Renmin University of China; Renmin University of China</t>
  </si>
  <si>
    <t>Tang, Z (corresponding author), Renmin Univ China, Sch Journalism &amp; Commun, Beijing 100872, Peoples R China.</t>
  </si>
  <si>
    <t>tangzheng@ruc.edu.cn</t>
  </si>
  <si>
    <t>Pan, Wenjing/0000-0003-4174-3305</t>
  </si>
  <si>
    <t>Fundamental Research Funds for the Central Universities; Renmin University of China [2022XWTD0006]</t>
  </si>
  <si>
    <t>Fundamental Research Funds for the Central Universities(Fundamental Research Funds for the Central Universities); Renmin University of China</t>
  </si>
  <si>
    <t>This research was supported by the Fundamental Research Funds for the Central Universities and the Research Funds of Renmin University of China, grant number 2022XWTD0006.</t>
  </si>
  <si>
    <t>MARY ANN LIEBERT, INC</t>
  </si>
  <si>
    <t>NEW ROCHELLE</t>
  </si>
  <si>
    <t>140 HUGUENOT STREET, 3RD FL, NEW ROCHELLE, NY 10801 USA</t>
  </si>
  <si>
    <t>2152-2715</t>
  </si>
  <si>
    <t>2152-2723</t>
  </si>
  <si>
    <t>CYBERPSYCH BEH SOC N</t>
  </si>
  <si>
    <t>Cyberpsychology Behav. Soc. Netw.</t>
  </si>
  <si>
    <t>JAN 1</t>
  </si>
  <si>
    <t>10.1089/cyber.2022.0169</t>
  </si>
  <si>
    <t>NOV 2022</t>
  </si>
  <si>
    <t>Psychology, Social</t>
  </si>
  <si>
    <t>8C9YR</t>
  </si>
  <si>
    <t>WOS:000892832600001</t>
  </si>
  <si>
    <t>Montag, C; Yang, HB; Elhai, JD</t>
  </si>
  <si>
    <t>Montag, Christian; Yang, Haibo; Elhai, Jon D.</t>
  </si>
  <si>
    <t>On the Psychology of TikTok Use: A First Glimpse From Empirical Findings</t>
  </si>
  <si>
    <t>FRONTIERS IN PUBLIC HEALTH</t>
  </si>
  <si>
    <t>Review</t>
  </si>
  <si>
    <t>TikTok; DouYin; musical; ly; personality; uses and gratification; social media; social media addiction; problematic social media use</t>
  </si>
  <si>
    <t>SOCIAL MEDIA; SELF-ESTEEM</t>
  </si>
  <si>
    <t>TikTok (in Chinese: DouYin; formerly known as musical.ly) currently represents one of the most successful Chinese social media applications in the world. Since its founding in September 2016, TikTok has seen widespread distribution, in particular, attracting young users to engage in viewing, creating, and commenting on LipSync-Videos on the app. Despite its success in terms of user numbers, psychological studies aiming at an understanding of TikTok use are scarce. This narrative review provides a comprehensive overview on the small empirical literature available thus far. In particular, insights from uses and gratification theory in the realm of TikTok are highlighted, and we also discuss aspects of the TikTok platform design. Given the many unexplored research questions related to TikTok use, it is high time to strengthen research efforts to better understand TikTok use and whether certain aspects of its use result in detrimental behavioral effects. In light of user characteristics of the TikTok platform, this research is highly relevant because TikTok users are often adolescents and therefore from a group of potentially vulnerable individuals.</t>
  </si>
  <si>
    <t>[Montag, Christian] Ulm Univ, Inst Psychol &amp; Educ, Dept Mol Psychol, Ulm, Germany; [Montag, Christian] Univ Elect Sci &amp; Technol China, Clin Hosp, MOE Key Lab Neuroinformat, Chengdu Brain Sci Inst, Chengdu, Peoples R China; [Yang, Haibo] Tianjin Normal Univ, Acad Psychol &amp; Behav, Fac Psychol, Tianjin, Peoples R China; [Elhai, Jon D.] Univ Toledo, Dept Psychol, Toledo, OH 43606 USA; [Elhai, Jon D.] Univ Toledo, Dept Psychiat, 2801 W Bancroft St, Toledo, OH 43606 USA</t>
  </si>
  <si>
    <t>Ulm University; University of Electronic Science &amp; Technology of China; Tianjin Normal University; University System of Ohio; University of Toledo; University System of Ohio; University of Toledo</t>
  </si>
  <si>
    <t>Montag, C (corresponding author), Ulm Univ, Inst Psychol &amp; Educ, Dept Mol Psychol, Ulm, Germany.;Montag, C (corresponding author), Univ Elect Sci &amp; Technol China, Clin Hosp, MOE Key Lab Neuroinformat, Chengdu Brain Sci Inst, Chengdu, Peoples R China.</t>
  </si>
  <si>
    <t>christian.montag@uni-ulm.de</t>
  </si>
  <si>
    <t>Montag, Christian/H-6536-2019; Haibo, Yang/IUO-0953-2023</t>
  </si>
  <si>
    <t>Montag, Christian/0000-0001-8112-0837; Elhai, Jon/0000-0001-5205-9010; Haibo, Yang/0000-0003-0386-5336</t>
  </si>
  <si>
    <t>FRONTIERS MEDIA SA</t>
  </si>
  <si>
    <t>LAUSANNE</t>
  </si>
  <si>
    <t>AVENUE DU TRIBUNAL FEDERAL 34, LAUSANNE, CH-1015, SWITZERLAND</t>
  </si>
  <si>
    <t>2296-2565</t>
  </si>
  <si>
    <t>FRONT PUBLIC HEALTH</t>
  </si>
  <si>
    <t>Front. Public Health</t>
  </si>
  <si>
    <t>MAR 16</t>
  </si>
  <si>
    <t>10.3389/fpubh.2021.641673</t>
  </si>
  <si>
    <t>Public, Environmental &amp; Occupational Health</t>
  </si>
  <si>
    <t>RF0CX</t>
  </si>
  <si>
    <t>gold, Green Published</t>
  </si>
  <si>
    <t>Y</t>
  </si>
  <si>
    <t>N</t>
  </si>
  <si>
    <t>WOS:000634517200001</t>
  </si>
  <si>
    <t>Schellewald, A</t>
  </si>
  <si>
    <t>Schellewald, Andreas</t>
  </si>
  <si>
    <t>Discussing the Role of TikTok Sharing Practices in Everyday Social Life</t>
  </si>
  <si>
    <t>INTERNATIONAL JOURNAL OF COMMUNICATION</t>
  </si>
  <si>
    <t>TikTok; sharing; social media; everyday life; interpersonal relationships; ethnography</t>
  </si>
  <si>
    <t>MEDIA; POLYMEDIA</t>
  </si>
  <si>
    <t>A crucial element of TikTok consumption is the act of sharing TikTok videos with others, such as friends. In this article, I draw on ethnographic fieldwork with young adult TikTok users based in the United Kingdom to investigate this practice. I show how people use TikTok's For You page as a resource to facilitate social relationships at a distance and in settings of physical copresence. I highlight how TikTok clips are shared in a phatic manner to activate social relationships, for example, by communicating messages such as thinking about you or relating to others by referencing TikTok memes in conversations. Attending to sharing practices, I argue, provides a fruitful way to understand how self-identities and interpersonal relationships are articulated in social media environments increasingly organized around the logic of personalization.</t>
  </si>
  <si>
    <t>[Schellewald, Andreas] Goldsmiths Univ London, London, England</t>
  </si>
  <si>
    <t>University of London; Goldsmiths University London</t>
  </si>
  <si>
    <t>Schellewald, A (corresponding author), Goldsmiths Univ London, London, England.</t>
  </si>
  <si>
    <t>asche003@gold.ac.uk</t>
  </si>
  <si>
    <t>USC ANNENBERG PRESS</t>
  </si>
  <si>
    <t>LOS ANGELES</t>
  </si>
  <si>
    <t>UNIV SOUTHERN CALIFORNIA, KERCKHOFF HALL, 734 W ADAMS BLVD, MC7725, LOS ANGELES, CA 90089 USA</t>
  </si>
  <si>
    <t>1932-8036</t>
  </si>
  <si>
    <t>INT J COMMUN-US</t>
  </si>
  <si>
    <t>Int. J. Commun.</t>
  </si>
  <si>
    <t>GC9F2</t>
  </si>
  <si>
    <t>WOS:001150575800061</t>
  </si>
  <si>
    <t>Gouveia, S; Chabata, TT</t>
  </si>
  <si>
    <t>Gouveia, Savanna; Chabata, Tatenda T.</t>
  </si>
  <si>
    <t>DYNAMICS OF SOCIAL MEDIA METRICS AND FASHION SUB- CULTURE AMONG YOUNG SOUTH AFRICAN TIKTOK USERS</t>
  </si>
  <si>
    <t>COMMUNITAS</t>
  </si>
  <si>
    <t>marketing communication; brand communication; Generation Z; social media; social media metrics; fashion sub-culture; TikTok</t>
  </si>
  <si>
    <t>The global effect of the social media platform TikTok has resulted in an increase in literature pertaining to the platform. Despite wide acknowledgment in social media, TikTok metrics and how these formulate fashion subcultures remains underexplored. This study explored TikTok metrics that resultantly formulate fashion sub-cultures amongst Generation Z (Gen Z) TikTok users. The proposed conceptual framework was developed to assist marketing communication managers and content strategists to explore fashion sub-culture interest via various TikTok metrics. The study followed a qualitative approach. Data was collected through structured interviews, using convenience sampling among five Gen Z participants. Thematic analysis was adopted and findings revealed that engagement metrics indicate strong potential in enabling fashion sub-culture among TikTok users. Furthermore, metrics enabled Gen Z users to discover fashion sub-culture content through hashtags, engagement in social exchanges through likes and comments, store digital fashion inspiration through saves and spread information through shares.</t>
  </si>
  <si>
    <t>[Gouveia, Savanna; Chabata, Tatenda T.] STADIO Higher Educ, Sch Fash, Dept Mkt, Centurion, South Africa</t>
  </si>
  <si>
    <t>Gouveia, S (corresponding author), STADIO Higher Educ, Sch Fash, Dept Mkt, Centurion, South Africa.</t>
  </si>
  <si>
    <t>savannagouveia@me.com; tatendac@stadio.ac.za</t>
  </si>
  <si>
    <t>UNIV ORANGE FREE STATE</t>
  </si>
  <si>
    <t>BLOEMFONTEIN</t>
  </si>
  <si>
    <t>DIV IMMUNOL/DEPT ONCOTHERAPY PO BOX 339 G62, BLOEMFONTEIN ZA-9300, SOUTH AFRICA</t>
  </si>
  <si>
    <t>1023-0556</t>
  </si>
  <si>
    <t>2415-0525</t>
  </si>
  <si>
    <t>Communitas</t>
  </si>
  <si>
    <t>10.38140/com.v28i.7461</t>
  </si>
  <si>
    <t>DP4N6</t>
  </si>
  <si>
    <t>WOS:001133248300004</t>
  </si>
  <si>
    <t>Ramati, I; Abeliovich, R</t>
  </si>
  <si>
    <t>Ramati, Ido; Abeliovich, Ruthie</t>
  </si>
  <si>
    <t>Use this sound: Networked ventriloquism on Yiddish TikTok</t>
  </si>
  <si>
    <t>NEW MEDIA &amp; SOCIETY</t>
  </si>
  <si>
    <t>Algorithmic culture; heritage; language activism; participatory culture; synthetic voice; TikTok; ventriloquism; Yiddish</t>
  </si>
  <si>
    <t>CINEMA</t>
  </si>
  <si>
    <t>This article explores body-voice entanglements in TikTok through the prism of ventriloquism. It suggests that TikTok is an app of network ventriloquism, that is, an audiovisual technology-based web of dissociations and reconfigurations of users' bodies and voices. Yiddish serves as a case study for how TikTok's features build an infrastructure for language, heritage, and cultural activism. We analyze YiddishToks as an instantiation of the ways TikTokers embody actual technolinguistic and ventriloquistic interconnections as well as bond with past generations. YiddishTokers interlace times and spaces and recontextualize Yiddish media history. TikTok's algorithm participates in this reanimation of Yiddish's past; it is a transparent, audible director that prompts the network off-stage. TikTok is an algorithmic network ventriloquism app that mediates between human and non-human voices.</t>
  </si>
  <si>
    <t>[Ramati, Ido] Hebrew Univ Jerusalem, Dept Commun &amp; Journalism &amp; Program Cultural Studie, Jerusalem, Israel; [Abeliovich, Ruthie] Univ Haifa, Theatre &amp; Performance Studies, Haifa, Israel; [Ramati, Ido] Hebrew Univ Jerusalem, Dept Commun &amp; Journalism &amp; Program Cultural Studie, IL-9190501 Jerusalem, Israel</t>
  </si>
  <si>
    <t>Hebrew University of Jerusalem; University of Haifa; Hebrew University of Jerusalem</t>
  </si>
  <si>
    <t>Ramati, I (corresponding author), Hebrew Univ Jerusalem, Dept Commun &amp; Journalism &amp; Program Cultural Studie, IL-9190501 Jerusalem, Israel.</t>
  </si>
  <si>
    <t>Ido.ramati@mail.huji.ac.il</t>
  </si>
  <si>
    <t>Ramati, Ido/GQZ-2916-2022</t>
  </si>
  <si>
    <t>Abeliovich, Ruthie/0000-0003-4121-9693</t>
  </si>
  <si>
    <t>European Research Council (ERC) under the European Union</t>
  </si>
  <si>
    <t>European Research Council (ERC) under the European Union(European Research Council (ERC))</t>
  </si>
  <si>
    <t>The author(s) disclosed receipt of the following financial support for the research, authorship, and/or publication of this article: This article is funded by the European Research Council (ERC) under the European Union's Horizon 2020 research and innovation program. Grant agreement No. 948150.</t>
  </si>
  <si>
    <t>1461-4448</t>
  </si>
  <si>
    <t>1461-7315</t>
  </si>
  <si>
    <t>NEW MEDIA SOC</t>
  </si>
  <si>
    <t>New Media Soc.</t>
  </si>
  <si>
    <t>SEP</t>
  </si>
  <si>
    <t>SI</t>
  </si>
  <si>
    <t>10.1177/14614448221135159</t>
  </si>
  <si>
    <t>E5B8T</t>
  </si>
  <si>
    <t>WOS:000888407600001</t>
  </si>
  <si>
    <t>Maghraoui, S; Khrouf, L</t>
  </si>
  <si>
    <t>Maghraoui, Souad; Khrouf, Lilia</t>
  </si>
  <si>
    <t>Cyberaddiction to TikTok during the COVID-19 pandemic</t>
  </si>
  <si>
    <t>SPANISH JOURNAL OF MARKETING-ESIC</t>
  </si>
  <si>
    <t>Cyberaddiction-TikTok-COVID-19-FOMO-attitude-intention; Attitude; Intention; COVID-19; TikTok; FOMO; Cyberaddiction</t>
  </si>
  <si>
    <t>LONELINESS; ADDICTION</t>
  </si>
  <si>
    <t>Purpose - The purpose of this study is to shed light on the determinants of TikTok cyberaddiction during the COVID-19 pandemic, as well as the resulting attitudinal and intentional reactions of users. Design/methodology/approach - An online survey of 305 young TikTok users was conducted to test the research hypotheses. Data was analyzed through a partial least sqaures approach. Findings - The results highlight the mediating role of cyberaddiction to TikTok in the relationship between psychological disorders (anxiety and loneliness) and attitude toward TikTok. Indeed, it was found that anxiety and loneliness contribute to TikTok cyberaddiction. The latter would have a positive effect on attitude toward TikTok, which decreases in the presence of fear of missing out (FOMO). It was also proven that attitude toward TikTok has a positive impact on attitude toward the brands promoted on this platform, resulting in an increase in purchasing intentions. Research limitations/implications - This study was conducted during the COVID-19 pandemic. It is therefore interesting to replicate it to see if the research model can be still validated in the absence of an emergency situation. Testing the model on a larger target, including older TikTok users, could also lead to interesting findings. Practical implications - Knowledge of the psychological factors behind cyberaddiction should not be seen as an opportunity to take advantage from addicted shoppers' vulnerability. Managers should rather limit communication campaigns on TikTok during crisis periods, undertake retargeting actions by sparing vulnerable TikTok users and avoid stimulating anxiety and loneliness which can lead to cyberaddiction and compulsive purchases. Originality/value - This study sheds light on the central role of cyberaddiction to TikTok in the relationship between psychological disorders and users' reactions, during a pandemic. It focused on the moderating role of FOMO on the relationship between determinants of cyberaddiction and attitude toward TikTok. Escape theory and attachment theory were used and adapted to the context of social media.</t>
  </si>
  <si>
    <t>[Maghraoui, Souad] Univ Sousse, ISGS, Tunis, Tunisia; [Khrouf, Lilia] Univ Manouba, ESCT, Manouba, Tunisia</t>
  </si>
  <si>
    <t>Universite de Sousse; Universite de la Manouba</t>
  </si>
  <si>
    <t>Khrouf, L (corresponding author), Univ Manouba, ESCT, Manouba, Tunisia.</t>
  </si>
  <si>
    <t>lilia.khrouf@esct.uma.tn</t>
  </si>
  <si>
    <t>Floor 5, Northspring 21-23 Wellington Street, Leeds, W YORKSHIRE, ENGLAND</t>
  </si>
  <si>
    <t>2444-9695</t>
  </si>
  <si>
    <t>2444-9709</t>
  </si>
  <si>
    <t>SPAN J MARK-ESIC</t>
  </si>
  <si>
    <t>Span. J. Mark.-ESIC</t>
  </si>
  <si>
    <t>2024 JUL 2</t>
  </si>
  <si>
    <t>10.1108/SJME-01-2023-0023</t>
  </si>
  <si>
    <t>JUL 2024</t>
  </si>
  <si>
    <t>Business; Management</t>
  </si>
  <si>
    <t>Business &amp; Economics</t>
  </si>
  <si>
    <t>F1Z4G</t>
  </si>
  <si>
    <t>WOS:001307868600001</t>
  </si>
  <si>
    <t>Zulli, D; Deyoe, D; Walker, C; Mckasy, M</t>
  </si>
  <si>
    <t>Zulli, Diana; Deyoe, Diana; Walker, Christina; Mckasy, Meaghan</t>
  </si>
  <si>
    <t>Is it funny or a trend?: Examining US news humor on TikTok</t>
  </si>
  <si>
    <t>COMMUNICATION REVIEW</t>
  </si>
  <si>
    <t>Affordances; political humor; relief theory; TikTok</t>
  </si>
  <si>
    <t>POLITICAL HUMOR; AFFINITY; PARODY</t>
  </si>
  <si>
    <t>Humor is foundational to American politics and online culture. However, the content and effects of political humor vary greatly depending on the type of humor and context in which it is deployed. TikTok is particularly known for its humorous content, and US news organizations have capitalized on TikTok's popularity by creating accounts. Using digital affordances and relief theory as theoretical lenses, we qualitatively content analyze US news organizations' TikTok videos (WaPo, NYT, WSJ, ABC, CBS, NBC, CNN, NPR), asking how US news humor manifests on TikTok and how TikTok affordances impact US news humor on the platform. We find that US news organizations' TikTok content ranges from no humor (ABC, CBS, NBC, and CNN) to explicit humor (WaPo). News organizations also incorporated small attempts at lighthearted content using TikTok features and norms.</t>
  </si>
  <si>
    <t>[Zulli, Diana; Deyoe, Diana] Purdue Univ, Brian Lamb Sch Commun, W Lafayette, IN 47907 USA; [Walker, Christina] Purdue Univ, Dept Polit Sci, W Lafayette, IN USA; [Mckasy, Meaghan] Utah Valley Univ Orem, Dept Commun, Orem, UT USA</t>
  </si>
  <si>
    <t>Purdue University System; Purdue University; Purdue University System; Purdue University</t>
  </si>
  <si>
    <t>Zulli, D (corresponding author), Purdue Univ, Brian Lamb Sch Commun, W Lafayette, IN 47907 USA.</t>
  </si>
  <si>
    <t>dzulli@purdue.edu</t>
  </si>
  <si>
    <t>1071-4421</t>
  </si>
  <si>
    <t>1547-7487</t>
  </si>
  <si>
    <t>COMMUN REV</t>
  </si>
  <si>
    <t>Commun. Rev.</t>
  </si>
  <si>
    <t>JUL 2</t>
  </si>
  <si>
    <t>10.1080/10714421.2024.2359802</t>
  </si>
  <si>
    <t>JUN 2024</t>
  </si>
  <si>
    <t>A3N7T</t>
  </si>
  <si>
    <t>WOS:001238147600001</t>
  </si>
  <si>
    <t>Miedzobrodzka, E; Du, J; van Koningsbruggen, GM</t>
  </si>
  <si>
    <t>Miedzobrodzka, Ewa; Du, Jie; van Koningsbruggen, Guido M.</t>
  </si>
  <si>
    <t>TikTok use versus TikTok self-control failure: Investigating relationships with well-being, academic performance, bedtime procrastination, and sleep quality</t>
  </si>
  <si>
    <t>ACTA PSYCHOLOGICA</t>
  </si>
  <si>
    <t>TikTok; Social media self-control failure; Well-being; Academic performance; Bedtime procrastination; Sleep quality</t>
  </si>
  <si>
    <t>SOCIAL MEDIA USAGE; MULTITASKING; HEALTH; INDEX; ADOLESCENTS; FACEBOOK; CHILDREN; GENDER</t>
  </si>
  <si>
    <t>With the global rise of TikTok popularity, the research on how TikTok use may affect its users is still limited. We aimed to contribute to this research by taking a novel approach: distinguishing between general TikTok use (duration and frequency) and TikTok self-control failure. We expected that using TikTok when it conflicts with other important goals or tasks (TikTok self-control failure) would be more strongly and negatively linked to well-being, academic performance, bedtime procrastination, and sleep quality as compared to general TikTok use. We tested our expectations in two samples: adolescents (N-1 = 249) and university students (N-2 = 222) during the COVID-19 pandemic lockdown. We found interesting relationships between TikTok use, TikTok self-control failure, and the outcome variables. However, our hypothesis was confirmed in both studies only for bedtime procrastination. We argue that this might be because bedtime procrastination could be a more 'proximal' outcome variable compared to the other tested variables. The present research offers empirical data useful for discussions regarding the potential negative effects of TikTok use on young people. It also shows that differentiating between general measures of social media use (i.e., duration and frequency) and a measure of social media self-control failure might provide more detailed insights into the relationships between variables of interest for media researchers.</t>
  </si>
  <si>
    <t>[Miedzobrodzka, Ewa] Univ Utrecht, Dept Educ, Heidelberglaan 1, NL-3584 CS Utrecht, Netherlands; [Du, Jie] Chongqing Technol &amp; Business Univ, Sch Business Adm, 19 Xuefu Ave, Chongqing 400067, Peoples R China; [van Koningsbruggen, Guido M.] Vrije Univ Amsterdam, Dept Commun Sci, Boelelaan 1105, NL-1081 HV Amsterdam, Netherlands</t>
  </si>
  <si>
    <t>Utrecht University; Chongqing Technology &amp; Business University; Vrije Universiteit Amsterdam</t>
  </si>
  <si>
    <t>Miedzobrodzka, E (corresponding author), Univ Utrecht, Dept Educ, Heidelberglaan 1, NL-3584 CS Utrecht, Netherlands.</t>
  </si>
  <si>
    <t>e.j.miedzobrodzka@uu.nl</t>
  </si>
  <si>
    <t>; van Koningsbruggen, Guido/J-4410-2012</t>
  </si>
  <si>
    <t>Miedzobrodzka, Ewa/0000-0003-2637-7781; van Koningsbruggen, Guido/0000-0001-9250-6663</t>
  </si>
  <si>
    <t>ELSEVIER</t>
  </si>
  <si>
    <t>AMSTERDAM</t>
  </si>
  <si>
    <t>RADARWEG 29, 1043 NX AMSTERDAM, NETHERLANDS</t>
  </si>
  <si>
    <t>0001-6918</t>
  </si>
  <si>
    <t>1873-6297</t>
  </si>
  <si>
    <t>ACTA PSYCHOL</t>
  </si>
  <si>
    <t>Acta Psychol.</t>
  </si>
  <si>
    <t>NOV</t>
  </si>
  <si>
    <t>10.1016/j.actpsy.2024.104565</t>
  </si>
  <si>
    <t>Psychology, Experimental</t>
  </si>
  <si>
    <t>M3N9R</t>
  </si>
  <si>
    <t>WOS:001356655600001</t>
  </si>
  <si>
    <t>Xie, ZD; Xue, SY; Gao, YK; Li, DM</t>
  </si>
  <si>
    <t>Xie, Zidian; Xue, Siyu; Gao, Yankun; Li, Dongmei</t>
  </si>
  <si>
    <t>Characterizing e-Cigarette-Related Videos on TikTok: Observational Study</t>
  </si>
  <si>
    <t>JMIR FORMATIVE RESEARCH</t>
  </si>
  <si>
    <t>e-cigarette; TikTok; video; provaping; antivaping</t>
  </si>
  <si>
    <t>HIGH-SCHOOL-STUDENTS; TOBACCO PRODUCT USE; ELECTRONIC CIGARETTES; UNITED-STATES; SOCIAL MEDIA; EXPOSURE; MIDDLE; ADOLESCENTS</t>
  </si>
  <si>
    <t>Background: As a popular social networking platform for sharing short videos, TikTok has been widely used for sharing e-cigarettes or vaping-related videos, especially among the youth.Objective: This study aims to characterize e-cigarette or vaping-related videos and their user engagement on TikTok through descriptive analysis.Methods: From TikTok, a total of 417 short videos, posted between October 4, 2018, and February 27, 2021, were collected using e-cigarette or vaping-related hashtags. Two human coders independently hand-coded the video category and the attitude toward vaping (provaping or antivaping) for each vaping-related video. The social media user engagement measures (eg, the comment count, like count, and share count) for each video category were compared within provaping and antivaping groups.Results: Among 417 vaping-related TikTok videos, 387 (92.8%) were provaping, and 30 (7.2%) were antivaping videos. Among provaping TikTok videos, the most popular category is vaping tricks (n=107, 27.65%), followed by advertisement (n=85, 21.95%), customization (n=75, 19.38%), TikTok trend (n=70, 18.09%), others (n=44, 11.37%), and education (n=6, 1.55%). By comparison, videos showing the TikTok trend had significantly higher user engagement (like count per video) than other provaping videos. Antivaping videos included 15 (50%) videos with the TikTok trend, 10 (33.33%) videos on education, and 5 (16.67%) videos about others. Videos with education have a significantly lower number of likes than other antivaping videos. Most TikTok users posting vaping-related videos are personal accounts (119/203, 58.62%).Conclusions: Vaping-related TikTok videos are dominated by provaping videos focusing on vaping tricks, advertisement, customization, and TikTok trend. Videos with the TikTok trend have higher user engagement than other video categories. Our findings provide important information on vaping-related videos shared on TikTok and their user engagement levels, which might provide valuable guidance on future policy making, such as possible restrictions on provaping videos posted on TikTok, as well as how to effectively communicate with the public about the potential health risks of vaping.</t>
  </si>
  <si>
    <t>[Xie, Zidian; Gao, Yankun; Li, Dongmei] Univ Rochester, Dept Clin &amp; Translat Res, Med Ctr, 265 Crittenden Blvd Cu 420708, Rochester, NY 14642 USA; [Xue, Siyu] Univ Rochester, Goergen Inst Data Sci, Rochester, NY 14642 USA</t>
  </si>
  <si>
    <t>University of Rochester; University of Rochester</t>
  </si>
  <si>
    <t>Li, DM (corresponding author), Univ Rochester, Dept Clin &amp; Translat Res, Med Ctr, 265 Crittenden Blvd Cu 420708, Rochester, NY 14642 USA.</t>
  </si>
  <si>
    <t>Dongmei_Li@urmc.rochester.edu</t>
  </si>
  <si>
    <t>Xue, Siyu/0000-0003-3670-1493; Xie, Zidian/0000-0002-5149-7710; Li, Dongmei/0000-0001-9140-2483</t>
  </si>
  <si>
    <t>Western New York Center for Research on Flavored Tobacco Products; National Cancer Institute of the National Institutes of Health [U54CA228110]; US Food and Drug Administration</t>
  </si>
  <si>
    <t>Western New York Center for Research on Flavored Tobacco Products; National Cancer Institute of the National Institutes of Health(United States Department of Health &amp; Human ServicesNational Institutes of Health (NIH) - USANIH National Cancer Institute (NCI)); US Food and Drug Administration(United States Department of Health &amp; Human ServicesUS Food &amp; Drug Administration (FDA))</t>
  </si>
  <si>
    <t>This study was supported by the Western New York Center for Research on Flavored Tobacco Products under cooperative agreement U54CA228110 from the National Cancer Institute of the National Institutes of Health and the US Food and Drug Administration.</t>
  </si>
  <si>
    <t>JMIR PUBLICATIONS, INC</t>
  </si>
  <si>
    <t>TORONTO</t>
  </si>
  <si>
    <t>130 QUEENS QUAY East, Unit 1100, TORONTO, ON M5A 0P6, CANADA</t>
  </si>
  <si>
    <t>2561-326X</t>
  </si>
  <si>
    <t>JMIR FORM RES</t>
  </si>
  <si>
    <t>JMIR Form. Res.</t>
  </si>
  <si>
    <t>10.2196/42346</t>
  </si>
  <si>
    <t>Health Care Sciences &amp; Services; Medical Informatics</t>
  </si>
  <si>
    <t>H8MD9</t>
  </si>
  <si>
    <t>Green Published, gold</t>
  </si>
  <si>
    <t>WOS:000998428700028</t>
  </si>
  <si>
    <t>Du, X; Liechty, T; Santos, CA; Park, J</t>
  </si>
  <si>
    <t>Du, Xin; Liechty, Toni; Santos, Carla A.; Park, Jeongeun</t>
  </si>
  <si>
    <t>'I want to record and share my wonderful journey': Chinese Millennials' production and sharing of short-form travel videos on TikTok or Douyin</t>
  </si>
  <si>
    <t>CURRENT ISSUES IN TOURISM</t>
  </si>
  <si>
    <t>TikTok; tourism experience; travel videos; Chinese Millennials; social media</t>
  </si>
  <si>
    <t>SOCIAL MEDIA; TOURISM EXPERIENCES; INVOLVEMENT; INTERVIEWS; NETWORKING; BEHAVIORS; LEISURE; LIFE</t>
  </si>
  <si>
    <t>Seeking to understand how involvement with social media influences travel experiences, the current investigation explores the reasoning and social justifications of tourists' engagement with travel videos on the short-form video sharing platform - TikTok. Using phenomenology, data consisted of semi-structured interviews with 12 tourists who had experiences consuming, producing, and sharing travel videos on TikTok. Findings suggest that consuming and creating TikTok touristic fantasies, hashtagging a #wonderfuljourney through sharing, and storing my meaningful life in a 'public' diary are three primary reasons for tourists' engagement in TikTok travel videos. Results show that the daily use of TikTok, a visual storytelling platform, has extended to the tourism context, resulting in the eroding boundaries between tourism experiences and everyday life and contributing to an understanding of the 'Leisure-Tourism' Continuum in Web 2.0. It advocates DMOs to produce tourism videos based on tourist needs and the distinctness of the platform of TikTok.</t>
  </si>
  <si>
    <t>[Du, Xin; Liechty, Toni; Santos, Carla A.; Park, Jeongeun] Univ Illinois, Dept Recreat Sport &amp; Tourism, Champaign, IL 61820 USA</t>
  </si>
  <si>
    <t>University of Illinois System; University of Illinois Urbana-Champaign</t>
  </si>
  <si>
    <t>Liechty, T (corresponding author), Univ Illinois, Dept Recreat Sport &amp; Tourism, Champaign, IL 61820 USA.</t>
  </si>
  <si>
    <t>tliechty@illinois.edu</t>
  </si>
  <si>
    <t>Park, Jeongeun/ITV-0272-2023; Santos, Carla/JXX-4862-2024</t>
  </si>
  <si>
    <t>Du, Xin/0009-0002-8629-4929</t>
  </si>
  <si>
    <t>1368-3500</t>
  </si>
  <si>
    <t>1747-7603</t>
  </si>
  <si>
    <t>CURR ISSUES TOUR</t>
  </si>
  <si>
    <t>Curr. Issues Tour.</t>
  </si>
  <si>
    <t>NOV 2</t>
  </si>
  <si>
    <t>10.1080/13683500.2020.1810212</t>
  </si>
  <si>
    <t>AUG 2020</t>
  </si>
  <si>
    <t>Hospitality, Leisure, Sport &amp; Tourism</t>
  </si>
  <si>
    <t>5K8VD</t>
  </si>
  <si>
    <t>WOS:000562814100001</t>
  </si>
  <si>
    <t>Kilinç, DD</t>
  </si>
  <si>
    <t>Kilinc, Delal Dara</t>
  </si>
  <si>
    <t>Is the information about orthodontics on Youtube and TikTok reliable for the oral health of the public? A cross sectional comparative study</t>
  </si>
  <si>
    <t>JOURNAL OF STOMATOLOGY ORAL AND MAXILLOFACIAL SURGERY</t>
  </si>
  <si>
    <t>YouTube; TikTok; Social Media; Orthodontics; Public Health</t>
  </si>
  <si>
    <t>VIDEOS</t>
  </si>
  <si>
    <t>Purpose: The aim of this study was to evaluate and compare orthodontic videos uploaded to YouTube and TikTok, the two most popular video sharing platforms, and to determine which of these platforms has more reliable and higher quality videos.Materials and Method: YouTube (www.YouTube.com) and Tiktok (www.tiktok.com) was searched for two search-terms: Orthodontics and Orthodontic Treatment. Reliability and quality of the first 120 videos for each search-term was evaluated by social media video content evaluation tools: Global Quality Score (GQS) and Reliability Score (modified DISCERN tool).Results: While YouTube videos were more informative or sharing patient experiences, TikTok videos were almost purely entertainment oriented. Tiktok videos had lower reliability. YouTube videos were rated of higher quality than Tiktok videos. GQS mean values for Youtube and TikTok were 2.90 +/- 1.35 and 2.23 +/- 1.08 respectively; and reliability (DISCERN) values were 2.42 +/- 1.70 and 1.27 +/- 1.48 respectively. GQS median values for Youtube and TikTok were 3 and 2 respectively; and reliability (DISCERN) values were 2 and 1 respectively. Most of the uploaders in both platforms were professionals.Conclusion: Neither YouTube videos nor Tiktok videos were found to be reliable or of good quality. Videos on YouTube were higher quality and more reliable than videos on TikTok. However, YouTube videos also contained unreliable information.</t>
  </si>
  <si>
    <t>[Kilinc, Delal Dara] Istanbul Aydin Univ, Dept Orthodont, Istanbul, Turkey</t>
  </si>
  <si>
    <t>Istanbul Aydin University</t>
  </si>
  <si>
    <t>Kilinç, DD (corresponding author), Istanbul Aydin Univ, Dept Orthodont, Istanbul, Turkey.</t>
  </si>
  <si>
    <t>ddarakilinc@gmail.com</t>
  </si>
  <si>
    <t>KILINÇ, DELAL/AFV-4820-2022</t>
  </si>
  <si>
    <t>Kilinc, Delal Dara/0000-0001-9009-6218</t>
  </si>
  <si>
    <t>2468-8509</t>
  </si>
  <si>
    <t>2468-7855</t>
  </si>
  <si>
    <t>J STOMATOL ORAL MAXI</t>
  </si>
  <si>
    <t>J. Stomatol. Oral Maxillofac. Surg.</t>
  </si>
  <si>
    <t>OCT</t>
  </si>
  <si>
    <t>E349</t>
  </si>
  <si>
    <t>E354</t>
  </si>
  <si>
    <t>10.1016/j.jormas.2022.04.009</t>
  </si>
  <si>
    <t>SEP 2022</t>
  </si>
  <si>
    <t>Dentistry, Oral Surgery &amp; Medicine</t>
  </si>
  <si>
    <t>5L5SM</t>
  </si>
  <si>
    <t>WOS:000870473300011</t>
  </si>
  <si>
    <t>Babar, M; Loloi, J; Patel, RD; Singh, S; Azhar, U; Maria, P; Small, A; Watts, K</t>
  </si>
  <si>
    <t>Babar, Mustufa; Loloi, Justin; Patel, Rutul D.; Singh, Sandeep; Azhar, Umair; Maria, Pedro; Small, Alexander; Watts, Kara</t>
  </si>
  <si>
    <t>Cross-sectional and comparative analysis of videos on erectile dysfunction treatment on YouTube and TikTok</t>
  </si>
  <si>
    <t>ANDROLOGIA</t>
  </si>
  <si>
    <t>erectile dysfunction; patient education; social media; TikTok; YouTube</t>
  </si>
  <si>
    <t>INFORMATION; QUALITY; MEN</t>
  </si>
  <si>
    <t>The aim of this study was to evaluate the quality of information regarding erectile dysfunction (ED) treatment on YouTube and TikTok. The term erectile dysfunction was searched on YouTube and TikTok in July 2021. The first 50 videos on each platform that met inclusion were included. Videos were sorted as reliable or unreliable based on accuracy of video content. Quality of information was evaluated using Patient Education Materials Assessment Tool (PEMAT) and 5-point modified DISCERN. TikTok videos were shorter (0.4 minutes vs. 5.2 minutes, p &lt; 0.001) and had more likes (2294 vs. 1000, p = 0.005), views per month (17,281 vs. 3521, p &lt; 0.001) and subscribers/followers (97,500 vs. 23,000, p = 0.016) than YouTube videos. TikTok videos were less reliable than YouTube videos (TikTok 5/50 [10%] vs. YouTube 21/50 [42%], p &lt; 0.001). YouTube mentioned more about phosphodiesterase type 5 inhibitors (32% vs. 10%, p = 0.007), while TikTok mentioned more about alternative supplements (36% vs. 4%, p &lt; 0.001). YouTube had a higher DISCERN (1.99 vs. 0.98, p &lt; 0.001) and PEMAT actionability scores (64.2% vs. 54.0%, p = 0.039) when compared to TikTok. YouTube videos were of higher quality than TikTok videos. Nevertheless, YouTube had a considerable amount of unreliable information. We recommend a collaborative effort from the medical community to improve information regarding ED treatment on YouTube and TikTok.</t>
  </si>
  <si>
    <t>[Babar, Mustufa; Azhar, Umair] Albert Einstein Coll Med, Bronx, NY 10467 USA; [Loloi, Justin; Maria, Pedro; Small, Alexander; Watts, Kara] Albert Einstein Coll Med, Dept Urol, Montefiore Med Ctr, 1250 Waters Pl, Bronx, NY 10461 USA; [Patel, Rutul D.] New York Inst Technol, Coll Osteopath Med, Old Westbury, NY 11568 USA; [Singh, Sandeep] DSS Urol, Queens Village, NY USA</t>
  </si>
  <si>
    <t>Yeshiva University; Montefiore Medical Center; Albert Einstein College of Medicine; Yeshiva University; Montefiore Medical Center; Albert Einstein College of Medicine; New York Institute Technology</t>
  </si>
  <si>
    <t>Watts, K (corresponding author), Albert Einstein Coll Med, Dept Urol, Montefiore Med Ctr, 1250 Waters Pl, Bronx, NY 10461 USA.</t>
  </si>
  <si>
    <t>kwatts@montefiore.org</t>
  </si>
  <si>
    <t>Patel, Rutul/0000-0003-4664-981X; Babar, Mustufa/0000-0001-8490-2260</t>
  </si>
  <si>
    <t>0303-4569</t>
  </si>
  <si>
    <t>1439-0272</t>
  </si>
  <si>
    <t>Andrologia</t>
  </si>
  <si>
    <t>e14392</t>
  </si>
  <si>
    <t>10.1111/and.14392</t>
  </si>
  <si>
    <t>Andrology</t>
  </si>
  <si>
    <t>Endocrinology &amp; Metabolism</t>
  </si>
  <si>
    <t>1I2PB</t>
  </si>
  <si>
    <t>WOS:000751150800001</t>
  </si>
  <si>
    <t>Rach, M</t>
  </si>
  <si>
    <t>Martinez-Lopez, FJ; Lopez, DL</t>
  </si>
  <si>
    <t>Rach, Markus</t>
  </si>
  <si>
    <t>The Influence of Brands and Platform Mechanics on Creator' Content Sovereignty on TikTok</t>
  </si>
  <si>
    <t>ADVANCES IN DIGITAL MARKETING AND ECOMMERCE, DMEC 2021</t>
  </si>
  <si>
    <t>Springer Proceedings in Business and Economics</t>
  </si>
  <si>
    <t>2nd International Conference on Advances in Digital Marketing and eCommerce (DMeC)</t>
  </si>
  <si>
    <t>JUN 29-30, 2021</t>
  </si>
  <si>
    <t>Barcelona, SPAIN</t>
  </si>
  <si>
    <t>TikTok; Content sovereignty; Influencer; Content creator</t>
  </si>
  <si>
    <t>TikTok, the fastest growing app of 2020, has received much attention for its growth, creativity and marketing opportunities. Much accelerated through COVID19, TikTok has grown to over 800 million monthly active users and has catapulted itself in frontline media. However, the app has also shown to tightly control its infrastructure through its algorithm centric built, its approach to content censorship and active brand management. With that, TikTok has gone different routes than many predating platforms. Through TikTok's creator marketplace and indirectly monetizing content creators through its creator fund, TikTok has also shown to hold a tight grip on content creator. For this reason, this study examines the impact of TikTok and brands on content creator' content sovereignty. Through structured interviews, this study found evidence to suggest that TikTok's influence on the content behavior of its creator exceeds that of brands. It continues to propose a conceptual model to validate the findings through an empirical research track.</t>
  </si>
  <si>
    <t>[Rach, Markus] Univ Appl Sci &amp; Arts Northwestern Switzerland FHN, Sch Business, Olten, Switzerland</t>
  </si>
  <si>
    <t>FHNW University of Applied Sciences &amp; Arts Northwestern Switzerland</t>
  </si>
  <si>
    <t>Rach, M (corresponding author), Univ Appl Sci &amp; Arts Northwestern Switzerland FHN, Sch Business, Olten, Switzerland.</t>
  </si>
  <si>
    <t>markus.rach@fhnw.ch</t>
  </si>
  <si>
    <t>Rach, Markus/JDW-6085-2023</t>
  </si>
  <si>
    <t>SPRINGER INTERNATIONAL PUBLISHING AG</t>
  </si>
  <si>
    <t>CHAM</t>
  </si>
  <si>
    <t>GEWERBESTRASSE 11, CHAM, CH-6330, SWITZERLAND</t>
  </si>
  <si>
    <t>2198-7246</t>
  </si>
  <si>
    <t>2198-7254</t>
  </si>
  <si>
    <t>978-3-030-76522-4; 978-3-030-76520-0; 978-3-030-76519-4</t>
  </si>
  <si>
    <t>SPR PROC BUS ECON</t>
  </si>
  <si>
    <t>10.1007/978-3-030-76520-0_4</t>
  </si>
  <si>
    <t>Business; Computer Science, Interdisciplinary Applications</t>
  </si>
  <si>
    <t>Conference Proceedings Citation Index - Science (CPCI-S); Conference Proceedings Citation Index - Social Science &amp; Humanities (CPCI-SSH)</t>
  </si>
  <si>
    <t>Business &amp; Economics; Computer Science</t>
  </si>
  <si>
    <t>BX6JO</t>
  </si>
  <si>
    <t>WOS:001310136600004</t>
  </si>
  <si>
    <t>Wang, SJ; Li, N; Liu, NW; Habes, M</t>
  </si>
  <si>
    <t>Wang, Shujie; Li, Ning; Liu, Niwen; Habes, Mohammed</t>
  </si>
  <si>
    <t>Transitioning from Information Sharing to Knowledge Services: Unpacking the Evolution of Rural Media Within the Context of Media Integration</t>
  </si>
  <si>
    <t>JOURNAL OF THE KNOWLEDGE ECONOMY</t>
  </si>
  <si>
    <t>Information sharing; Knowledge services; User engagement; Rural media; TikTok</t>
  </si>
  <si>
    <t>ENGAGEMENT BEHAVIOR; SATISFACTION; IDENTITIES; JOURNALISM; DRIVERS; TIKTOK; CHINA; MODEL</t>
  </si>
  <si>
    <t>TikTok, a short video-sharing platform, has captured a massive audience since its inception in 2016. This article explores the evolution of rural media in China, the burgeoning TikTok rural market, and the unique landscape of rural TikTok users. By investigating the development trajectory of TikTok and probing into the individual usage patterns, motivations, and preferences of rural TikTok users, this study aims to gain deeper insights into their distinct characteristics. Furthermore, this study employs two theoretical frameworks, the uses and gratifications theory and the media enjoyment theory, to analyze the causal relationship between Chinese TikTok rural users and their direct demands and satisfaction levels. Leveraging a combination of big data crawling and comprehensive questionnaire surveys, we provide data-driven perspectives on rural TikTok users' experiences, motivations, and challenges. Our findings reveal that TikTok has become a compelling entertainment and social interaction source for rural users, aligning with its original positioning. The adaptability of TikTok's content curation algorithms caters to diverse age groups, contributing significantly to user satisfaction. However, content quality and influencer representation disparities persist as challenges for rural TikTok users. This research offers valuable insights into the practical issues faced by rural TikTok users and presents recommendations for their enhanced engagement with the platform. By bridging the urban-rural digital divide, this study contributes to a more equitable media landscape in China and underscores the platform's role in reshaping the dynamics of knowledge dissemination and entertainment consumption in the knowledge-based economy of the twenty-first century.</t>
  </si>
  <si>
    <t>[Wang, Shujie; Li, Ning] Kangwon Natl Univ, Dept Journalism &amp; Mass Commun, Chunchon 24341, Gangwon Do, South Korea; [Liu, Niwen] Univ Putra Malaysia, Fac Modern Languages &amp; Commun, Serdang 43400, Malaysia; [Habes, Mohammed] Yarmouk Univ, Fac Mass Commun, Radio &amp; Televis Dept, Irbid 21163, Jordan</t>
  </si>
  <si>
    <t>Kangwon National University; Universiti Putra Malaysia; Yarmouk University</t>
  </si>
  <si>
    <t>Li, N (corresponding author), Kangwon Natl Univ, Dept Journalism &amp; Mass Commun, Chunchon 24341, Gangwon Do, South Korea.</t>
  </si>
  <si>
    <t>lining@kangwon.ac.kr</t>
  </si>
  <si>
    <t>Habes, Mohammed/ABL-9248-2022; Wang, Shujie/AAL-9011-2020; Liu, Niwen/ACG-0190-2022; Li, Ning/GLV-0283-2022</t>
  </si>
  <si>
    <t>Li, Ning/0000-0002-8664-5357</t>
  </si>
  <si>
    <t>SPRINGER</t>
  </si>
  <si>
    <t>NEW YORK</t>
  </si>
  <si>
    <t>ONE NEW YORK PLAZA, SUITE 4600, NEW YORK, NY, UNITED STATES</t>
  </si>
  <si>
    <t>1868-7865</t>
  </si>
  <si>
    <t>1868-7873</t>
  </si>
  <si>
    <t>J KNOWL ECON</t>
  </si>
  <si>
    <t>J. Knowl. Econ.</t>
  </si>
  <si>
    <t>2023 NOV 14</t>
  </si>
  <si>
    <t>10.1007/s13132-023-01593-2</t>
  </si>
  <si>
    <t>NOV 2023</t>
  </si>
  <si>
    <t>Economics</t>
  </si>
  <si>
    <t>X8OY9</t>
  </si>
  <si>
    <t>WOS:001100990600002</t>
  </si>
  <si>
    <t>Gu, L; Gao, X; Li, Y</t>
  </si>
  <si>
    <t>Gu, Li; Gao, Xun; Li, Yong</t>
  </si>
  <si>
    <t>What drives me to use TikTok: A latent profile analysis of users' motives</t>
  </si>
  <si>
    <t>FRONTIERS IN PSYCHOLOGY</t>
  </si>
  <si>
    <t>TikTok use; latent profile analysis; motives; uses and gratifications theory; escapist addiction</t>
  </si>
  <si>
    <t>SOCIAL MEDIA USE; FACEBOOK; COMMUNICATION; MOTIVATIONS; TINDER; AGE</t>
  </si>
  <si>
    <t>With TikTok rising in social media, the heterogeneity of users creates diversity in motives for using it. The issue of which profiles of TikTok use motives can be identified warrants greater understanding. Conducting latent profile analyses for a sample of 384 TikTok users, we identified four profiles, namely overall low motives, overall medium motives, overall high motives, and escapist addiction and novelty motives profiles. The former three profiles reflect different levels of motivations across four motives (socially rewarding self-presentation, trendiness, escapist addiction, and novelty). It is worth noting that TikTok users in the escapist addiction and novelty motives profile are mainly motivated by escapist addiction and novelty, but not socially rewarding self-presentation or trendiness motives. Through multivariate analysis of variance (MANOVA) and multinomial logistic regression, we further explore the differences in TikTok use between the profiles and the extent to which users' background characteristics and TikTok use predict their profile membership. The four profiles differ significantly in terms of the scores of almost all TikTok use motives. The frequency of TikTok use and video posting are the most notable predictors of profile membership. These results make theoretical contributions to the extant literature on social media use profiles by exploring the number and types of latent profiles of TikTok use motives, which also inform opportunities for enhancing user experience and imply tailored content recommendations to both achieve maximized gratifications and maintain mental wellbeing based on user profiles.</t>
  </si>
  <si>
    <t>[Gu, Li; Gao, Xun; Li, Yong] Guangzhou Acad Fine Arts, Sch Innovat Design, Guangzhou, Peoples R China</t>
  </si>
  <si>
    <t>Guangzhou Academy of Fine Arts</t>
  </si>
  <si>
    <t>Li, Y (corresponding author), Guangzhou Acad Fine Arts, Sch Innovat Design, Guangzhou, Peoples R China.</t>
  </si>
  <si>
    <t>412346385@qq.com</t>
  </si>
  <si>
    <t>gu, li/0000-0003-3951-2196</t>
  </si>
  <si>
    <t>Humanity and Social Science Youth Foundation of Ministry of Education of China; [22YJCZH037]</t>
  </si>
  <si>
    <t>Humanity and Social Science Youth Foundation of Ministry of Education of China;</t>
  </si>
  <si>
    <t>Funding This research was supported by the Humanity and Social Science Youth Foundation of Ministry of Education of China (22YJCZH037) to LG.</t>
  </si>
  <si>
    <t>1664-1078</t>
  </si>
  <si>
    <t>FRONT PSYCHOL</t>
  </si>
  <si>
    <t>Front. Psychol.</t>
  </si>
  <si>
    <t>DEC 1</t>
  </si>
  <si>
    <t>10.3389/fpsyg.2022.992824</t>
  </si>
  <si>
    <t>Psychology, Multidisciplinary</t>
  </si>
  <si>
    <t>6Y6IX</t>
  </si>
  <si>
    <t>WOS:000897197700001</t>
  </si>
  <si>
    <t>Wang, CH; Sher, STH; Janek, K; Salman, I; Chung, CF</t>
  </si>
  <si>
    <t>ACM</t>
  </si>
  <si>
    <t>Wang, Chun-Han; Sher, Stephen Tsung-Han; Janek, Kelly; Salman, Isabela; Chung, Chia-Fang</t>
  </si>
  <si>
    <t>TikTok Made Me Do It: Teenagers' Perception and Use of Food Content on TikTok</t>
  </si>
  <si>
    <t>PROCEEDINGS OF THE 2022 ACM INTERACTION DESIGN AND CHILDREN, IDC 2022</t>
  </si>
  <si>
    <t>21st ACM Interaction Design and Children (IDC)</t>
  </si>
  <si>
    <t>JUN 27-30, 2022</t>
  </si>
  <si>
    <t>Braga, PORTUGAL</t>
  </si>
  <si>
    <t>Assoc Comp Machinery,Honda Res Inst JP,Foundry10,Univ Minho, Inst Educacao, Centro Investigacao Estudos Crianca,Braga Municipio,Circuito Servico Educativo Braga Media Arts,Fundacao Ciencia Tecnologia,Cultura Norte,Museu Biscainhos</t>
  </si>
  <si>
    <t>teenagers; food; social media; habit; healthy eating</t>
  </si>
  <si>
    <t>SYMPTOMS</t>
  </si>
  <si>
    <t>This research explores how teenagers interacted with food-related TikTok content and how this influenced their eating behavior and practices. Using 186 surveys and five interviews, we show how teenagers think of healthy eating and what actions they took after being inspired by TikTok. We find that teenagers take inspiration from TikTok food content in different temporal stages, from immediately trying out new food items to long-term diet planning. We discuss potential design opportunities to support teenagers' social use of TikTok food content in online and offline contexts.</t>
  </si>
  <si>
    <t>[Wang, Chun-Han; Sher, Stephen Tsung-Han; Janek, Kelly; Salman, Isabela; Chung, Chia-Fang] Indiana Univ Bloomington, Bloomington, IN 47405 USA</t>
  </si>
  <si>
    <t>Indiana University System; Indiana University Bloomington</t>
  </si>
  <si>
    <t>Wang, CH (corresponding author), Indiana Univ Bloomington, Bloomington, IN 47405 USA.</t>
  </si>
  <si>
    <t>ariewang@iu.edu; stsher@iu.edu; kjanek@iu.edu; isalman@iu.edu; cfchung@iu.edu</t>
  </si>
  <si>
    <t>Wang, Chun-Han/0000-0001-9464-2706</t>
  </si>
  <si>
    <t>ASSOC COMPUTING MACHINERY</t>
  </si>
  <si>
    <t>1601 Broadway, 10th Floor, NEW YORK, NY, UNITED STATES</t>
  </si>
  <si>
    <t>978-1-4503-9197-9</t>
  </si>
  <si>
    <t>10.1145/3501712.3535290</t>
  </si>
  <si>
    <t>Computer Science, Cybernetics; Computer Science, Interdisciplinary Applications</t>
  </si>
  <si>
    <t>Conference Proceedings Citation Index - Science (CPCI-S)</t>
  </si>
  <si>
    <t>BW1BR</t>
  </si>
  <si>
    <t>WOS:001103410100039</t>
  </si>
  <si>
    <t>Wang, KX; Scherr, S</t>
  </si>
  <si>
    <t>Wang, Kexin; Scherr, Sebastian</t>
  </si>
  <si>
    <t>Dance the Night Away: How Automatic TikTok Use Creates Pre-Sleep Cognitive Arousal and Daytime Fatigue</t>
  </si>
  <si>
    <t>MOBILE MEDIA &amp; COMMUNICATION</t>
  </si>
  <si>
    <t>TikTok; Douyin; automatic use; pre-sleep cognitive arousal; fatigue</t>
  </si>
  <si>
    <t>SOCIAL MEDIA USE; SENSATION SEEKING; GRATIFICATION; PROCRASTINATION; PREDICTS; FACEBOOK; SCALE</t>
  </si>
  <si>
    <t>TikTok is one of the most popular apps. TikTok's endless stream of content, the lack time stamps or notifications of ever being all caught up, and concealing the phone's clock make it easy to lose track of time on TikTok. However, there is a lack of knowledge about how TikTok use may therefore interfere with our circadian rhythms, particularly our sleep hygiene. By focusing on pre-sleep cognitive arousal, this study aimed to close this knowledge gap by investigating the association between automatic TikTok use and daytime fatigue. We also investigated how individual preferences for sensation seeking and delayed gratification moderated this relationship. Within a sample of 1,050 TikTok/Douyin users in China, automatic TikTok use was associated with increased daytime fatigue that was mediated by higher levels of cognitive arousal before sleep. This relationship was aggravated by a preference for sensation seeking, and attenuated by a preference for delayed gratification. Above and beyond these early empirical insights, we also provide an early explanatory framework that is meant to systematize both existing and future knowledge about the use of TikTok.</t>
  </si>
  <si>
    <t>[Wang, Kexin] Zhejiang Univ, Coll Commun &amp; Int Culture, Hangzhou, Peoples R China; [Scherr, Sebastian] Texas A&amp;M Univ, Dept Commun, 202E Bolton Hall, College Stn, TX 77843 USA</t>
  </si>
  <si>
    <t>Zhejiang University; Texas A&amp;M University System; Texas A&amp;M University College Station</t>
  </si>
  <si>
    <t>Scherr, S (corresponding author), Texas A&amp;M Univ, Dept Commun, 202E Bolton Hall, College Stn, TX 77843 USA.</t>
  </si>
  <si>
    <t>scherr@tamu.edu</t>
  </si>
  <si>
    <t>Scherr, Sebastian/ABE-5525-2020</t>
  </si>
  <si>
    <t>key project of the National Social Science Fund, Research on Ethics and Norms of Public Communication in the Context of New Media [19AXW007]</t>
  </si>
  <si>
    <t>key project of the National Social Science Fund, Research on Ethics and Norms of Public Communication in the Context of New Media</t>
  </si>
  <si>
    <t>This research was supported by the key project of the National Social Science Fund, Research on Ethics and Norms of Public Communication in the Context of New Media (grant no. 19AXW007).</t>
  </si>
  <si>
    <t>2050-1579</t>
  </si>
  <si>
    <t>2050-1587</t>
  </si>
  <si>
    <t>MOB MEDIA COMMUN</t>
  </si>
  <si>
    <t>Mob. Media Commun.</t>
  </si>
  <si>
    <t>MAY</t>
  </si>
  <si>
    <t>10.1177/20501579211056116</t>
  </si>
  <si>
    <t>NOV 2021</t>
  </si>
  <si>
    <t>0O9NS</t>
  </si>
  <si>
    <t>WOS:000721917800001</t>
  </si>
  <si>
    <t>Zulkifli, A</t>
  </si>
  <si>
    <t>Zulkifli, Arief</t>
  </si>
  <si>
    <t>TikTok in 2022: Revisiting Data and Privacy</t>
  </si>
  <si>
    <t>COMPUTER</t>
  </si>
  <si>
    <t>Concerns over data privacy have continued to mount over the years amidst the prevalence of the social media networking service, TikTok. It is imperative to probe further on whether allegations and claims against TikTok hold any substance.</t>
  </si>
  <si>
    <t>[Zulkifli, Arief] RAKBank, Dubai, U Arab Emirates</t>
  </si>
  <si>
    <t>Zulkifli, A (corresponding author), RAKBank, Dubai, U Arab Emirates.</t>
  </si>
  <si>
    <t>ariefz@gmail.com</t>
  </si>
  <si>
    <t>IEEE COMPUTER SOC</t>
  </si>
  <si>
    <t>LOS ALAMITOS</t>
  </si>
  <si>
    <t>10662 LOS VAQUEROS CIRCLE, PO BOX 3014, LOS ALAMITOS, CA 90720-1314 USA</t>
  </si>
  <si>
    <t>0018-9162</t>
  </si>
  <si>
    <t>1558-0814</t>
  </si>
  <si>
    <t>Computer</t>
  </si>
  <si>
    <t>10.1109/MC.2022.3164226</t>
  </si>
  <si>
    <t>Computer Science, Hardware &amp; Architecture; Computer Science, Software Engineering</t>
  </si>
  <si>
    <t>1Y3TK</t>
  </si>
  <si>
    <t>Bronze</t>
  </si>
  <si>
    <t>WOS:000808065600010</t>
  </si>
  <si>
    <t>Carpenter, JP; Morrison, SA; Shelton, CC; Clark, N; Patel, S; Toma-Harrold, D</t>
  </si>
  <si>
    <t>Carpenter, Jeffrey P.; Morrison, Scott A.; Shelton, Catharyn C.; Clark, Nyree; Patel, Sonal; Toma-Harrold, Dani</t>
  </si>
  <si>
    <t>How and why educators use TikTok: Come for the fun, stay for the learning?</t>
  </si>
  <si>
    <t>TEACHING AND TEACHER EDUCATION</t>
  </si>
  <si>
    <t>TikTok; Social media; Professional development; Networking; Technology; Algorithm</t>
  </si>
  <si>
    <t>SOCIAL MEDIA; TEACHER-EDUCATION; AFFINITY SPACES; TWITTER; ONLINE; INSTAGRAM; TIME; CONNECTION; LITERACY; NETWORKS</t>
  </si>
  <si>
    <t>Although TikTok is among the world's most popular social media platforms, its use by educators has received limited attention. TikTok features particular opportunities and challenges that could impact educator use. This research explores educator (N = 415) TikTok use through an online survey. Participants tended to engage with the platform more for personal than professional reasons, but nonetheless found content that influenced their professional knowledge and practice. Humor was prevalent in participant TikTok engagement. Social media literacy is becoming increasingly important for educators, as participants reported various challenges associated with TikTok, and many lacked awareness of key issues with the platform.</t>
  </si>
  <si>
    <t>[Carpenter, Jeffrey P.; Morrison, Scott A.; Toma-Harrold, Dani] Elon Univ, Campus Box 2105, Elon, NC 27244 USA; [Shelton, Catharyn C.] No Arizona Univ, POB 5774, Flagstaff, AZ 86001 USA; [Clark, Nyree; Patel, Sonal] Univ Redlands, 1200 E Colton Ave, Redlands, CA 92373 USA</t>
  </si>
  <si>
    <t>Elon University; Northern Arizona University; University Redlands</t>
  </si>
  <si>
    <t>Carpenter, JP (corresponding author), Elon Univ, Campus Box 2105, Elon, NC 27244 USA.</t>
  </si>
  <si>
    <t>jcarpenter13@elon.edu</t>
  </si>
  <si>
    <t>Carpenter, Jeffrey/0000-0002-9228-3962</t>
  </si>
  <si>
    <t>0742-051X</t>
  </si>
  <si>
    <t>1879-2480</t>
  </si>
  <si>
    <t>TEACH TEACH EDUC</t>
  </si>
  <si>
    <t>Teach. Teach. Educ.</t>
  </si>
  <si>
    <t>10.1016/j.tate.2024.104530</t>
  </si>
  <si>
    <t>FEB 2024</t>
  </si>
  <si>
    <t>Education &amp; Educational Research</t>
  </si>
  <si>
    <t>OE2C2</t>
  </si>
  <si>
    <t>WOS:001205510100001</t>
  </si>
  <si>
    <t>Zheluk, A; Anderson, J; Dineen-Griffin, S</t>
  </si>
  <si>
    <t>Zheluk, Andrey; Anderson, Judith; Dineen-Griffin, Sarah</t>
  </si>
  <si>
    <t>Analysis of Acute Non-specific Back Pain Content on TikTok: An Exploratory Study</t>
  </si>
  <si>
    <t>CUREUS JOURNAL OF MEDICAL SCIENCE</t>
  </si>
  <si>
    <t>research methods and design; public health informatics; tiktok; social media analytics; lower back pain (lbp)</t>
  </si>
  <si>
    <t>INFORMATION</t>
  </si>
  <si>
    <t>Introduction In this study, we evaluated the scope of acute non-specific back pain (ANSBP) content available on TikTok (ByteDance Ltd, Beijing, China) in 2021. It is plausible that TikTok's popularity among teenagers, adolescents, and young adults may influence decision-making about what constitutes appropriate ANSBP self-care among a younger age cohort. Methods We examined 157 of the most viewed videos available through the hashtag #backpain available on TikTok in September 2021. We examined the following research questions: (1) What are the metadata characteristics of the videos in the final data set?, (2) What are the creator identities reflected in the final data set in this study?, (3) What are the ANSBP self-care content themes in the final data set?, and (4) What are the characteristics of the data set based on a low back pain reference checklist based on consensus guidelines?. Results We identified clear differences based on TikTok creator identity in our data set of most popular videos. We examined videos created by chiropractors, fitness professionals, influencers, physicians, physiotherapists, and other creator identities. We found that the TikTok videos created by chiropractors were consistently among the most viewed, most commented, and most shared. Conversely, chiropractic TikTok videos consistently had the lowest self-care reference checklist scores relative to all other disciplines. That is, TikTok videos created by chiropractors were least likely to reflect the scientific consensus on treating ANSBP. Discussion TikTok is an increasingly popular medium for disseminating short health messages. The main cohort using TikTok is young and at risk of ANSBP. However, we postulate that the messages reaching young TikTok users overall do not generally reflect the self-care advice described in consensus guidelines. Conclusion TikTok is a popular social media channel among young people. However, the most viewed TikTok videos about ANSBP are not produced by mainstream health professionals and the videos featuring the #backpain hashtag do not generally reflect contemporary evidence-based practice. There is considerable scope for mainstream health professionals to provide evidence-informed self-management and self-care content for ANSBP on TikTok.</t>
  </si>
  <si>
    <t>[Zheluk, Andrey; Anderson, Judith; Dineen-Griffin, Sarah] Charles Sturt Univ, Sch Nursing, Paramed &amp; Healthcare Sci, Bathurst, NSW, Australia</t>
  </si>
  <si>
    <t>Charles Sturt University</t>
  </si>
  <si>
    <t>Zheluk, A (corresponding author), Charles Sturt Univ, Sch Nursing, Paramed &amp; Healthcare Sci, Bathurst, NSW, Australia.</t>
  </si>
  <si>
    <t>andreyzheluk@gmail.com</t>
  </si>
  <si>
    <t>; Anderson, Judith/E-5738-2017</t>
  </si>
  <si>
    <t>Dineen-Griffin, Sarah/0000-0001-7080-0108; Anderson, Judith/0000-0002-8310-0458</t>
  </si>
  <si>
    <t>SPRINGERNATURE</t>
  </si>
  <si>
    <t>CAMPUS, 4 CRINAN ST, LONDON, N1 9XW, ENGLAND</t>
  </si>
  <si>
    <t>2168-8184</t>
  </si>
  <si>
    <t>CUREUS J MED SCIENCE</t>
  </si>
  <si>
    <t>Cureus J Med Sci</t>
  </si>
  <si>
    <t>JAN 19</t>
  </si>
  <si>
    <t>e21404</t>
  </si>
  <si>
    <t>10.7759/cureus.21404</t>
  </si>
  <si>
    <t>Medicine, General &amp; Internal</t>
  </si>
  <si>
    <t>General &amp; Internal Medicine</t>
  </si>
  <si>
    <t>YP6WQ</t>
  </si>
  <si>
    <t>WOS:000748764200022</t>
  </si>
  <si>
    <t>Rach, M; Peter, MK</t>
  </si>
  <si>
    <t>Rach, Markus; Peter, Marc K.</t>
  </si>
  <si>
    <t>How TikTok's Algorithm Beats Facebook &amp; Co. for Attention Under the Theory of Escapism: A Network Sample Analysis of Austrian, German and Swiss Users</t>
  </si>
  <si>
    <t>TikTok; Facebook; Social media; User centricity</t>
  </si>
  <si>
    <t>TikTok was the undisputed rising star of Social Media in 2020. Although the app has started to rival Facebook for attention and the entire social media landscape regarding monthly active user growth, academic research on TikTok's secret to success is still scarce. This paper seeks to contribute to research by trying to identify how TikTok outperforms its rival with an advanced algorithm and inspire more academics to investigate the subject. A literature review will provide context, followed by a study amongst TikTok users in Austria, Germany and Switzerland. Results show that TikTok has overtaken Facebook by an average of 30 min amongst teenagers' daily app usage. TikTok's matchmaking algorithm plays a major role in this battle for attention by not only focusing on a user's friendship network, but on the user's explicit behaviour. Evaluating the theory of escapism as a motivator to use the app seems to suggest that TikTok outperforms Facebook based on content related criteria. Since both applications apply matchmaking on the basis of user generated content, it is suggested that TikTok's user focused algorithm outranks that of Facebook. TikTok thus marks a trend change in social media by putting user centric algorithmic content curation before peer-network driven considerations.</t>
  </si>
  <si>
    <t>[Rach, Markus; Peter, Marc K.] Univ Appl Sci &amp; Arts Northwestern Switzerland FHN, Sch Business, Olten, Switzerland</t>
  </si>
  <si>
    <t>markus.rach@fhnw.ch; marc.peter@fhnw.ch</t>
  </si>
  <si>
    <t>10.1007/978-3-030-76520-0_15</t>
  </si>
  <si>
    <t>WOS:001310136600015</t>
  </si>
  <si>
    <t>Schluchter, T</t>
  </si>
  <si>
    <t>Schluchter, Tim</t>
  </si>
  <si>
    <t>Investigating User Perceptions of Mental Health Content on TikTok: A Comprehensive Exploration</t>
  </si>
  <si>
    <t>EXTENDED ABSTRACTS OF THE 2024 CHI CONFERENCE ON HUMAN FACTORS IN COMPUTING SYSTEMS, CHI 2024</t>
  </si>
  <si>
    <t>CHI Conference on Human Factors in Computing Sytems (CHI)</t>
  </si>
  <si>
    <t>MAY 11-16, 2024</t>
  </si>
  <si>
    <t>Honolulu, HI</t>
  </si>
  <si>
    <t>Assoc Comp Machinery,ACM SIGCHI,Apple,Google,NSF,Tianqiao &amp; Chrissy Chen Inst</t>
  </si>
  <si>
    <t>Mental Health; Social Media; Interview; TikTok; Algorithm</t>
  </si>
  <si>
    <t>This paper explores the landscape of mental health (MH) content on TikTok, a rapidly growing social media (SM) platform. Examining TikTok's unique attributes, including its algorithm, format, and user dynamics, I analyze its role in fostering open discussions on MH. Despite its potential benefits, concerns such as the algorithmic bubble, transparency issues, and misinformation spread are highlighted. My study emphasizes the intricate relationship between TikTok's algorithmic content delivery, user behavior, and MH discourse. I propose design implications to balance personalized content delivery and responsible information dissemination. Insights from in-depth interviews with experienced TikTok users in MH content provide valuable perspectives for the HCI research community to support users engaging with and consuming MH-related content on TikTok.</t>
  </si>
  <si>
    <t>[Schluchter, Tim] Univ Zurich, People &amp; Comp Lab, Zurich, Switzerland</t>
  </si>
  <si>
    <t>University of Zurich</t>
  </si>
  <si>
    <t>Schluchter, T (corresponding author), Univ Zurich, People &amp; Comp Lab, Zurich, Switzerland.</t>
  </si>
  <si>
    <t>tim.schluchter@uzh.ch</t>
  </si>
  <si>
    <t>979-8-4007-0331-7</t>
  </si>
  <si>
    <t>10.1145/3613905.3647964</t>
  </si>
  <si>
    <t>Computer Science, Cybernetics; Computer Science, Interdisciplinary Applications; Computer Science, Theory &amp; Methods</t>
  </si>
  <si>
    <t>BX0BN</t>
  </si>
  <si>
    <t>WOS:001227587701041</t>
  </si>
  <si>
    <t>Krutrök, ME</t>
  </si>
  <si>
    <t>Krutrok, Moa Eriksson</t>
  </si>
  <si>
    <t>Algorithmic Closeness in Mourning: Vernaculars of the Hashtag #grief on TikTok</t>
  </si>
  <si>
    <t>mourning practices; TikTok; platform vernaculars; visibility labor; algorithmic closeness</t>
  </si>
  <si>
    <t>BEREAVEMENT; VISIBILITY; YOUTUBE; ACCOUNT</t>
  </si>
  <si>
    <t>This study looks at how mourning is expressed using the hashtag #grief on the social media app TikTok using qualitative content analysis. In a dataset of 100 TikTok videos, this article explores how the TikTok ranking algorithms, which orders content based on previous user engagements, may connect people in mourning across the platform and how these platform-enabled interactions may shape grief expressions. The study shows how grief was narrated on TikTok, which sociotechnical templates (such as duets, stitches, and audios) were incorporated into such expressions, and how these expressions of grief challenged societal mourning norms. This article ends with a discussion about how different subcultural norms on TikTok are linked to the way in which ranking algorithms create social connections across the platform. This study proposes that the algorithmic closeness of TikTok users in grief allows them to challenge societal mourning norms in imagined safe spaces, shaped by the algorithmic ranking systems on the platform.</t>
  </si>
  <si>
    <t>[Krutrok, Moa Eriksson] Umea Univ, Ctr Digital Social Res DIGSUM, SE-90187 Umea, Sweden</t>
  </si>
  <si>
    <t>Umea University</t>
  </si>
  <si>
    <t>Krutrök, ME (corresponding author), Umea Univ, Ctr Digital Social Res DIGSUM, SE-90187 Umea, Sweden.</t>
  </si>
  <si>
    <t>moa.eriksson.krutrok@umu.se</t>
  </si>
  <si>
    <t>Eriksson Krutrok, Moa/0000-0003-3665-2476</t>
  </si>
  <si>
    <t>10.1177/20563051211042396</t>
  </si>
  <si>
    <t>UT2XM</t>
  </si>
  <si>
    <t>WOS:000697984000001</t>
  </si>
  <si>
    <t>Jia, LR; Liang, F</t>
  </si>
  <si>
    <t>Jia, Lianrui; Liang, Fan</t>
  </si>
  <si>
    <t>The globalization of TikTok: Strategies, governance and geopolitics</t>
  </si>
  <si>
    <t>JOURNAL OF DIGITAL MEDIA &amp; POLICY</t>
  </si>
  <si>
    <t>TikTok; globalization; platform governance; geopolitics; China; tech lobby; ByteDance</t>
  </si>
  <si>
    <t>POLITICS; ECONOMY; MEDIA</t>
  </si>
  <si>
    <t>This article examines the rise of TikTok in three aspects: globalization strategies, data and content policies, and geopolitical implications. Instead of focusing on app features and uses within the platform proper, we situate and critically analyse TikTok as a platform business in a global media policy and governance context. We first unpack TikTok's platformization process, tracing how TikTok gradually diversifies its business models and platform affordances to serve multisided markets. To understand TikTok's platform governance, we systematically analyse and compare its data and content policies for different regions. Crucial to its global expansion, we then look at TikTok's lobbying efforts to maintain government relations and corporate responses after facing multiple regulatory probing by various national governments. TikTok's case epitomizes problems and challenges faced by a slew of globalizing Chinese digital platforms in increasingly contested geopolitics that cut across the chasms and fault lines between the rise of China and India as emergent powers in the US-dominated global platform ecosystem.</t>
  </si>
  <si>
    <t>[Jia, Lianrui] Univ Toronto Scarborough, Dept Arts Culture &amp; Media, 1265 Mil Trail, Toronto, ON M1C 1A4, Canada; [Liang, Fan] Duke Kunshan Univ, Innovat Ctr 3038, Kunshan, Jiangsu, Peoples R China</t>
  </si>
  <si>
    <t>University of Toronto; University Toronto Scarborough; Duke Kunshan University</t>
  </si>
  <si>
    <t>Jia, LR (corresponding author), Univ Toronto Scarborough, Dept Arts Culture &amp; Media, 1265 Mil Trail, Toronto, ON M1C 1A4, Canada.</t>
  </si>
  <si>
    <t>Lianrui.jia@gmail.com; fan.liang@dukekunshan.edu.cn</t>
  </si>
  <si>
    <t>Jia, Lianrui/AAQ-4287-2021; Liang, Fan/AAV-2272-2020</t>
  </si>
  <si>
    <t>Liang, Fan/0000-0001-5169-2623; Jia, Lianrui/0000-0003-2982-6490</t>
  </si>
  <si>
    <t>INTELLECT LTD</t>
  </si>
  <si>
    <t>BRISTOL</t>
  </si>
  <si>
    <t>THE MILL, PARNALL RD, BRISTOL, BS16 3JG, ENGLAND</t>
  </si>
  <si>
    <t>2516-3523</t>
  </si>
  <si>
    <t>2516-3531</t>
  </si>
  <si>
    <t>J DIGIT MEDIA POLICY</t>
  </si>
  <si>
    <t>J. Digit. Media Policy</t>
  </si>
  <si>
    <t>10.1386/jdmp_00062_1</t>
  </si>
  <si>
    <t>TZ6UV</t>
  </si>
  <si>
    <t>WOS:000684607100005</t>
  </si>
  <si>
    <t>Zannettou, S; Nemes-Nemeth, O; Ayalon, O; Goetzen, A; Gummadi, KP; Redmiles, EM; Roesner, F</t>
  </si>
  <si>
    <t>Zannettou, Savvas; Nemes-Nemeth, Olivia; Ayalon, Oshrat; Goetzen, Angelica; Gummadi, Krishna P.; Redmiles, Elissa M.; Roesner, Franziska</t>
  </si>
  <si>
    <t>Analyzing User Engagement with TikTok's Short Format Video Recommendations using Data Donations</t>
  </si>
  <si>
    <t>PROCEEDINGS OF THE 2024 CHI CONFERENCE ON HUMAN FACTORS IN COMPUTING SYTEMS (CHI 2024)</t>
  </si>
  <si>
    <t>ACM CHI Conference on Human Factors in Computing Sytems (CHI)</t>
  </si>
  <si>
    <t>TikTok; Recommendation Algorithm; User Engagement; Data Donation</t>
  </si>
  <si>
    <t>Short-format videos have exploded on platforms like TikTok, Instagram, and YouTube. Despite this, the research community lacks large-scale empirical studies into how people engage with short-format videos and the role of recommendation systems that offer endless streams of such content. In this work, we analyze user engagement on TikTok using data we collect via a data donation system that allows TikTok users to donate their data. We recruited 347 TikTok users and collected 9.2M TikTok video recommendations they received. By analyzing user engagement, we find that the average daily usage time increases over the users' lifetime while the user attention remains stable at around 45%. We also find that users like more videos uploaded by people they follow than those recommended by people they do not follow. Our study offers valuable insights into how users engage with short-format videos on TikTok and lessons learned from designing a data donation system.</t>
  </si>
  <si>
    <t>[Zannettou, Savvas] Delft Univ Technol, Delft, Netherlands; [Zannettou, Savvas; Nemes-Nemeth, Olivia; Ayalon, Oshrat; Goetzen, Angelica; Gummadi, Krishna P.; Redmiles, Elissa M.] Max Planck Inst Informat, Saarbrucken, Germany; [Ayalon, Oshrat] Univ Haifa, Haifa, Israel; [Redmiles, Elissa M.] Georgetown Univ, Washington, DC USA; [Roesner, Franziska] Univ Washington, Seattle, WA USA</t>
  </si>
  <si>
    <t>Delft University of Technology; Max Planck Society; University of Haifa; Georgetown University; University of Washington; University of Washington Seattle</t>
  </si>
  <si>
    <t>Zannettou, S (corresponding author), Delft Univ Technol, Delft, Netherlands.;Zannettou, S (corresponding author), Max Planck Inst Informat, Saarbrucken, Germany.</t>
  </si>
  <si>
    <t>s.zannettou@tudelft.nl; onemes@mpi-sws.org; oayalon@is.haifa.ac.il; agoetzen@mpi-sws.org; gummadi@mpi-sws.org; elissa.redmiles@georgetown.edu; franzi@cs.washington.edu</t>
  </si>
  <si>
    <t>Gummadi, Krishna/0000-0003-1256-8800; Ayalon, Oshrat/0000-0002-5905-9838; Redmiles, Elissa/0000-0003-3930-8128</t>
  </si>
  <si>
    <t>979-8-4007-0330-0</t>
  </si>
  <si>
    <t>10.1145/3613904.3642433</t>
  </si>
  <si>
    <t>Computer Science, Artificial Intelligence; Computer Science, Information Systems; Computer Science, Theory &amp; Methods</t>
  </si>
  <si>
    <t>BX2GA</t>
  </si>
  <si>
    <t>hybrid, Green Submitted</t>
  </si>
  <si>
    <t>WOS:001259864900032</t>
  </si>
  <si>
    <t>Le Compte, D; Klug, D</t>
  </si>
  <si>
    <t>Ding, S; Fussell, S; Monroy-Hernandez, A; Munson, S; Shklovski, I; Naaman, M</t>
  </si>
  <si>
    <t>Le Compte, Daniel; Klug, Daniel</t>
  </si>
  <si>
    <t>It's Viral! - A Study of the Behaviors, Practices, and Motivations of TikTok Users and Social Activism</t>
  </si>
  <si>
    <t>CONFERENCE COMPANION PUBLICATION OF THE 2021 COMPUTER SUPPORTED COOPERATIVE WORK AND SOCIAL COMPUTING, CSCW 2021 COMPANION</t>
  </si>
  <si>
    <t>24th ACM Conference on Computer-Supported Cooperative Work and Social Computing (CSCW)</t>
  </si>
  <si>
    <t>OCT 23-27, 2021</t>
  </si>
  <si>
    <t>Assoc Comp Machinery,ACM SIGCHI</t>
  </si>
  <si>
    <t>COMMUNICATION; MEDIA</t>
  </si>
  <si>
    <t>Social media platforms such as Facebook and Twitter have long been used for social activism purpose, and lately the short-video app TikTok saw increased popularity for social activism content. We conducted 9 qualitative interviews with TikTok users who recently posted social activism content to better understand user motivations and creation practices when making TikTok videos related to social activism causes. We present an initial look into why TikTok is used for social activism, and what processes users use to carry out this work. Our interview analysis revealed the following five main themes: (1) motivation and inspiration for posting social activist content comes from a wide range of personal sources, (2) video creation practices largely match TikTok standards, (3) social activism has communities on TikTok that provide encouragement and discussion, (4) interaction with other activists and viewers is crucial for social activism content creation and (5) users choose TikTok for its ability to spread messages more simply and with wider range. These findings provide insight into the unique factors that TikTok brings for social activism and corroborates previous findings in understanding how social activists may use social media for their purposes.</t>
  </si>
  <si>
    <t>[Le Compte, Daniel; Klug, Daniel] Carnegie Mellon Univ, Pittsburgh, PA 15213 USA</t>
  </si>
  <si>
    <t>Carnegie Mellon University</t>
  </si>
  <si>
    <t>Le Compte, D (corresponding author), Carnegie Mellon Univ, Pittsburgh, PA 15213 USA.</t>
  </si>
  <si>
    <t>daniellecompte@cmu.edu; dklug@andrew.cmu.edu</t>
  </si>
  <si>
    <t>Klug, Daniel/0000-0003-2320-3321</t>
  </si>
  <si>
    <t>978-1-4503-8479-7</t>
  </si>
  <si>
    <t>10.1145/3462204.3481741</t>
  </si>
  <si>
    <t>Computer Science, Interdisciplinary Applications; Computer Science, Software Engineering; Social Issues</t>
  </si>
  <si>
    <t>Computer Science; Social Issues</t>
  </si>
  <si>
    <t>BV8SI</t>
  </si>
  <si>
    <t>WOS:001081877800024</t>
  </si>
  <si>
    <t>Lookingbill, V; Le, KM</t>
  </si>
  <si>
    <t>Lookingbill, Valerie; Le, Kimanh</t>
  </si>
  <si>
    <t>There's Always a Way to Get Around the Guidelines: Nonsuicidal Self-Injury and Content Moderation on TikTok</t>
  </si>
  <si>
    <t>social media; nonsuicidal self-injury; content moderation; TikTok</t>
  </si>
  <si>
    <t>DEFINITION; CONTAGION; STIGMA; HARM</t>
  </si>
  <si>
    <t>The stigmatized nature of nonsuicidal self-injury may render TikTok, a short-form, video-sharing social media platform, appealing to individuals who engage in this behavior. Since this community faces biased scrutiny based on stigmatization surrounding mental health, nonsuicidal self-injury users may turn to TikTok, which offers a space for users to engage in discussions of nonsuicidal self-injury, exchange social support, experience validation with little fear of stigmatization, and facilitate harm reduction strategies. While TikTok's Community Guidelines permit users to share personal experiences with mental health topics, TikTok explicitly bans content that shows, promotes, or shares plans for self-harm. As such, TikTok may moderate user-generated content, leading to exclusion and marginalization in this digital space. Through semi-structured interviews with 8 TikTok users and a content analysis of 150 TikTok videos, we explore how users with a history of nonsuicidal self-injury experience TikTok's algorithm to engage with content on nonsuicidal self-injury. Findings demonstrate that users understand how to circumnavigate TikTok's algorithm through hashtags, signaling, and algospeak to maintain visibility while also circumnavigating algorithmic detection on the platform. Furthermore, findings emphasize that users actively engage in self-surveillance, self-censorship, and self-policing to create a safe online community of care. Content moderation, however, can ultimately hinder progress toward the destigmatization of nonsuicidal self-injury.</t>
  </si>
  <si>
    <t>[Lookingbill, Valerie; Le, Kimanh] Univ South Carolina, Columbia, SC USA; [Lookingbill, Valerie] Univ South Carolina, Sch Informat Sci, 1501 Greene St, Columbia, SC 29208 USA</t>
  </si>
  <si>
    <t>University of South Carolina System; University of South Carolina Columbia; University of South Carolina System; University of South Carolina Columbia</t>
  </si>
  <si>
    <t>Lookingbill, V (corresponding author), Univ South Carolina, Sch Informat Sci, 1501 Greene St, Columbia, SC 29208 USA.</t>
  </si>
  <si>
    <t>lookingv@email.sc.edu</t>
  </si>
  <si>
    <t>Lookingbill, Valerie/0000-0003-1453-2633</t>
  </si>
  <si>
    <t>APR</t>
  </si>
  <si>
    <t>10.1177/20563051241254371</t>
  </si>
  <si>
    <t>RD1J9</t>
  </si>
  <si>
    <t>WOS:001225638900001</t>
  </si>
  <si>
    <t>Gulzar, T; Nazir, A; Mehmood, H; Noureen, A</t>
  </si>
  <si>
    <t>Gulzar, Tahniyat; Nazir, Arooj; Mehmood, Haziq; Noureen, Amna</t>
  </si>
  <si>
    <t>Impulsivity, Digital Maturity, and Morality of Pakistani TikTok Users</t>
  </si>
  <si>
    <t>HUMAN BEHAVIOR AND EMERGING TECHNOLOGIES</t>
  </si>
  <si>
    <t>digital maturity; impulsivity; morality; TikTok addiction</t>
  </si>
  <si>
    <t>ADDICTION</t>
  </si>
  <si>
    <t>TikTok, a popular social media network, has gained an immense worldwide following because of its entertaining short video format. The main aim of this study was to understand the dynamic association between the variables TikTok addiction, impulsivity, digital maturity, and morality in young adults. For this purpose, a quantitative study with a correlational research design was adopted. Purposive sampling was used to select 423 TikTok users from private universities, with 209 males and 214 females included. The data was collected through the TikTok Addiction Scale, which has been adapted from the Social Media Addiction Scale (Sahin, 2018), the Barratt Impulsiveness Scale Version 11 (Barratt et al., 1995), the multidimensional Digital Maturity Inventory (Laaber et al., 2023), and the Moral Character Questionnaire (Furr et al., 2022). The results showed a strong significant positive relationship between TikTok addiction and impulsivity, but significant negative correlation with digital maturity and morality. Impulsivity had a strong significant negative relationship with digital maturity and morality, whereas digital maturity had a strong positive relationship with morality. The results of this study can be helpful in raising awareness about the adverse effects of TikTok addiction and in promoting digital literacy through workshops or seminars.</t>
  </si>
  <si>
    <t>[Gulzar, Tahniyat; Nazir, Arooj] Univ Cent Punjab, Fac Humanities &amp; Social Sci, Dept Psychol, Lahore, Pakistan; [Mehmood, Haziq] Univ Management &amp; Technol, Sch Profess Psychol, Dept Appl Psychol, Lahore, Pakistan; [Noureen, Amna] Pakistan Inst Learning &amp; Living, Karachi, Pakistan</t>
  </si>
  <si>
    <t>University of Central Punjab; University of Management &amp; Technology (UMT)</t>
  </si>
  <si>
    <t>Nazir, A (corresponding author), Univ Cent Punjab, Fac Humanities &amp; Social Sci, Dept Psychol, Lahore, Pakistan.</t>
  </si>
  <si>
    <t>tahniyatkhan30@gmail.com; arooj.nazir@ucp.edu.pk; haziq.mehmood@umt.edu.pk; amnanoureen10@gmail.com</t>
  </si>
  <si>
    <t>2578-1863</t>
  </si>
  <si>
    <t>HUM BEHAV EMERG TECH</t>
  </si>
  <si>
    <t>Hum. Behav. Emerg. Tech.</t>
  </si>
  <si>
    <t>NOV 5</t>
  </si>
  <si>
    <t>10.1155/2024/6002586</t>
  </si>
  <si>
    <t>M3E6Z</t>
  </si>
  <si>
    <t>WOS:001356412100001</t>
  </si>
  <si>
    <t>Widiastuti, A; Bajari, A; Mirawati, I</t>
  </si>
  <si>
    <t>Widiastuti, Anindita; Bajari, Atwar; Mirawati, Ira</t>
  </si>
  <si>
    <t>Self-Deprecating Cyberculture on TikTok: Experiences of Young Indonesians</t>
  </si>
  <si>
    <t>self-deprecation; meme; cyberculture; TikTok; virtual ethnography</t>
  </si>
  <si>
    <t>HUMOR</t>
  </si>
  <si>
    <t>The TikTok self-deprecating (SD) cyberculture is built on the exchange of SD memes among users who deprecate aspects of themselves on a daily basis. Predominantly composed of young people, SD memes on Indonesian TikTok reflect discourses on the daily struggles faced by young Indonesians. To explore and categorize the discourses, our research conducted a 6-month virtual ethnography, analyzing 786 videos observed through a conditioned TikTok's For You Page. This study disclosed persistent discourses in the lives of young Indonesians. The article further discusses the aspects that support TikTok's SD cyberculture in revealing private struggles that young people might hesitate to share with whom they have daily interactions.</t>
  </si>
  <si>
    <t>[Widiastuti, Anindita; Bajari, Atwar; Mirawati, Ira] Univ Padjadjaran, Bandung, West Java, Indonesia</t>
  </si>
  <si>
    <t>Universitas Padjadjaran</t>
  </si>
  <si>
    <t>Widiastuti, A (corresponding author), Univ Padjadjaran, Bandung, West Java, Indonesia.</t>
  </si>
  <si>
    <t>anindita17003@mail.unpad.ac.id; atwar.bajari@unpad.ac.id; ira.mirawati@unpad.ac.id</t>
  </si>
  <si>
    <t>Bajari, Atwar/M-3335-2018</t>
  </si>
  <si>
    <t>RF5E9</t>
  </si>
  <si>
    <t>WOS:001226258200043</t>
  </si>
  <si>
    <t>Sarwatay, D; Lee, J; Kaye, DBV</t>
  </si>
  <si>
    <t>Sarwatay, Devina; Lee, Jin; Kaye, D. Bondy Valdovinos</t>
  </si>
  <si>
    <t>Exploring children's TikTok cultures in India: Negotiating access, uses, and experiences under restrictive parental mediation</t>
  </si>
  <si>
    <t>MEDIA INTERNATIONAL AUSTRALIA</t>
  </si>
  <si>
    <t>Children; digital cultures; India; social media; TikTok</t>
  </si>
  <si>
    <t>RIGHTS</t>
  </si>
  <si>
    <t>TikTok is a popular platform allowing users to view and make short videos. The platform's embeddedness among youth cultures is key to TikTok's commercial success, to attract and sustain a diverse array of international users. The discourse around children and social media especially TikTok is laced with technopanics, as is the case in India. Although sparse, literature shows children in India want to explore social media but parental mediation usually follows a restrictive style. Using a qualitative approach and multimodal methods, we unpack how children (10-18 years) in a large Indian metropolitan city use TikTok for self-presentation and creative expression while navigating restrictive parental mediation. This article helps gain in-depth understanding of children's TikTok cultures in India by foregrounding their voices and contributes to larger scholarship on youth digital cultures by focusing on their: (a) vernacular cultures on TikTok, (b) deliberations on safety and wellbeing, and (c) negotiations regarding agency and resistance.</t>
  </si>
  <si>
    <t>[Sarwatay, Devina] Univ Hyderabad, Hyderabad, India; [Lee, Jin] Curtin Univ, Perth, WA, Australia; [Kaye, D. Bondy Valdovinos] Univ Leeds, Leeds, W Yorkshire, England</t>
  </si>
  <si>
    <t>University of Hyderabad; Curtin University; University of Leeds</t>
  </si>
  <si>
    <t>Sarwatay, D (corresponding author), Univ Hyderabad, Dept Commun, Hyderabad 500046, TS, India.</t>
  </si>
  <si>
    <t>devina.sarwatay@gmail.com</t>
  </si>
  <si>
    <t>Lee, Jin/AAR-4494-2021; Sarwatay, Devina/E-7265-2015</t>
  </si>
  <si>
    <t>Lee, Jin/0000-0002-5698-5561; Sarwatay, Devina/0000-0003-3453-5786; Kaye, D. Bondy Valdovinos/0000-0002-9684-2186</t>
  </si>
  <si>
    <t>1329-878X</t>
  </si>
  <si>
    <t>2200-467X</t>
  </si>
  <si>
    <t>MEDIA INT AUST</t>
  </si>
  <si>
    <t>Media Int. Aust.</t>
  </si>
  <si>
    <t>10.1177/1329878X221127037</t>
  </si>
  <si>
    <t>8F1EY</t>
  </si>
  <si>
    <t>WOS:000857195900001</t>
  </si>
  <si>
    <t>Weimann, G; Masri, N</t>
  </si>
  <si>
    <t>Weimann, Gabriel; Masri, Natalie</t>
  </si>
  <si>
    <t>Research Note: Spreading Hate on TikTok</t>
  </si>
  <si>
    <t>STUDIES IN CONFLICT &amp; TERRORISM</t>
  </si>
  <si>
    <t>TikTok is the fastest-growing application today, attracting a huge audience of 1.5 billion active users, mostly children and teenagers. Recently, the growing presence of extremist's groups on social media platforms became more prominent and massive. Yet, while most of the scholarly attention focused on leading platforms like Twitter, Facebook or Instagram, the extremist immigration to other platforms like TikTok went unnoticed. This study is a first attempt to find the Far-right's use of TikTok: it is a descriptive analysis based on a systematic content analysis of TikTok videos, posted in early 2020. Our findings reveal the disturbing presence of Far-right extremism in videos, commentary, symbols and pictures included in TikTok's postings. While similar concerns were with regard to other social platforms, TikTok has unique features to make it more troublesome. First, unlike all other social media TikTok' s users are almost all young children, who are more naive and gullible when it comes to malicious contents. Second, TikTok is the youngest platform thus severely lagging behind its rivals, who have had more time to grapple with how to protect their users from disturbing and harmful contents. Yet, TikTok should have learned from these other platforms' experiences and apply TikTok's own Terms of Service that does not allow postings that are deliberately designed to provoke or antagonize people, or are intended to harass, harm, hurt, scare, distress, embarrass or upset people or include threats of physical violence.</t>
  </si>
  <si>
    <t>[Weimann, Gabriel; Masri, Natalie] Inst Counter Terrorism ICT, Herzliyya, Israel</t>
  </si>
  <si>
    <t>Weimann, G (corresponding author), Inst Counter Terrorism ICT, Herzliyya, Israel.</t>
  </si>
  <si>
    <t>weimann@com.haifa.ac.il</t>
  </si>
  <si>
    <t>Weimann, Gabriel/0000-0002-5491-9210</t>
  </si>
  <si>
    <t>TAYLOR &amp; FRANCIS INC</t>
  </si>
  <si>
    <t>PHILADELPHIA</t>
  </si>
  <si>
    <t>530 WALNUT STREET, STE 850, PHILADELPHIA, PA 19106 USA</t>
  </si>
  <si>
    <t>1057-610X</t>
  </si>
  <si>
    <t>1521-0731</t>
  </si>
  <si>
    <t>STUD CONFL TERROR</t>
  </si>
  <si>
    <t>Stud. Confl. Terror.</t>
  </si>
  <si>
    <t>MAY 4</t>
  </si>
  <si>
    <t>10.1080/1057610X.2020.1780027</t>
  </si>
  <si>
    <t>JUN 2020</t>
  </si>
  <si>
    <t>International Relations; Political Science</t>
  </si>
  <si>
    <t>International Relations; Government &amp; Law</t>
  </si>
  <si>
    <t>D8IA4</t>
  </si>
  <si>
    <t>WOS:000546629700001</t>
  </si>
  <si>
    <t>Döring, N</t>
  </si>
  <si>
    <t>Doering, Nicola</t>
  </si>
  <si>
    <t>Sex-Related Online Training for Professionals: TikTok</t>
  </si>
  <si>
    <t>ZEITSCHRIFT FUR SEXUALFORSCHUNG</t>
  </si>
  <si>
    <t>German</t>
  </si>
  <si>
    <t>internet; online professional training; sexual discourse; sexual and reproductive health; sexuality education</t>
  </si>
  <si>
    <t>SEXUALITY EDUCATION; PERSPECTIVE; YOUTUBE</t>
  </si>
  <si>
    <t>This practice-oriented article deals with the short video platform TikTok. It describes the functionality of the platform and summarizes the current state of TikTok research. It then focuses on sexuality education and LGBTIQ + as well as relationship and dating counseling on TikTok.</t>
  </si>
  <si>
    <t>[Doering, Nicola] Tech Univ Ilmenau, Inst Medien &amp; Kommunikat Wissensch, Ehrenbergstr 29, D-98693 Ilmenau, Germany</t>
  </si>
  <si>
    <t>Technische Universitat Ilmenau</t>
  </si>
  <si>
    <t>Döring, N (corresponding author), Tech Univ Ilmenau, Inst Medien &amp; Kommunikat Wissensch, Ehrenbergstr 29, D-98693 Ilmenau, Germany.</t>
  </si>
  <si>
    <t>nicola.doering@tu-ilmenau.de</t>
  </si>
  <si>
    <t>Döring, Nicola/ABB-8215-2020</t>
  </si>
  <si>
    <t>GEORG THIEME VERLAG KG</t>
  </si>
  <si>
    <t>STUTTGART</t>
  </si>
  <si>
    <t>RUDIGERSTR 14, D-70469 STUTTGART, GERMANY</t>
  </si>
  <si>
    <t>0932-8114</t>
  </si>
  <si>
    <t>1438-9460</t>
  </si>
  <si>
    <t>Z SEXUALFORSCH</t>
  </si>
  <si>
    <t>Z. Sex.forsch.</t>
  </si>
  <si>
    <t>10.1055/a-1874-9806</t>
  </si>
  <si>
    <t>Psychology, Clinical; Social Sciences, Interdisciplinary</t>
  </si>
  <si>
    <t>Psychology; Social Sciences - Other Topics</t>
  </si>
  <si>
    <t>4I0XD</t>
  </si>
  <si>
    <t>WOS:000850300400003</t>
  </si>
  <si>
    <t>Understanding the popularity and affordances of TikTok through user experiences</t>
  </si>
  <si>
    <t>MEDIA CULTURE &amp; SOCIETY</t>
  </si>
  <si>
    <t>algorithms; audience studies; digital culture; scrolling; TikTok</t>
  </si>
  <si>
    <t>MEDIA</t>
  </si>
  <si>
    <t>In this paper I discuss the affordances and popularity of the short-video app TikTok from an audience studies point of view. I do so by drawing on findings from ethnographic fieldwork with young adult TikTok users based in the United Kingdom that was conducted in 2020 and 2021. I trace how using the app, specifically scrolling through the TikTok For You Page, the app's algorithmic content feed, became a fixed part of the everyday routines of young adults. I show how TikTok appealed to them as a convenient means of escape and relief that they were unable to find elsewhere during and beyond times of lockdown. Further, I highlight the complex nature of TikTok as an app and the active role that users play in imagining and appropriating the app's affordances as meaningful parts of their everyday social life. Closing the paper, I reflect on future directions of TikTok scholarship by stressing the importance of situated audience studies.</t>
  </si>
  <si>
    <t>[Schellewald, Andreas] Goldsmiths Univ London, London, England; [Schellewald, Andreas] Goldsmiths Univ London, Dept Media Commun &amp; Cultural Studies, London SE14 6NW, England</t>
  </si>
  <si>
    <t>University of London; Goldsmiths University London; University of London; Goldsmiths University London</t>
  </si>
  <si>
    <t>Schellewald, A (corresponding author), Goldsmiths Univ London, Dept Media Commun &amp; Cultural Studies, London SE14 6NW, England.</t>
  </si>
  <si>
    <t>0163-4437</t>
  </si>
  <si>
    <t>1460-3675</t>
  </si>
  <si>
    <t>MEDIA CULT SOC</t>
  </si>
  <si>
    <t>Media Cult. Soc.</t>
  </si>
  <si>
    <t>10.1177/01634437221144562</t>
  </si>
  <si>
    <t>MAR 2023</t>
  </si>
  <si>
    <t>Communication; Sociology</t>
  </si>
  <si>
    <t>W9TH7</t>
  </si>
  <si>
    <t>hybrid, Green Accepted</t>
  </si>
  <si>
    <t>WOS:000950947600001</t>
  </si>
  <si>
    <t>Munro, E; Wells, G; Paciente, R; Wickens, N; Ta, D; Mandzufas, J; Lombardi, K; Woolard, A</t>
  </si>
  <si>
    <t>Munro, E.; Wells, G.; Paciente, R.; Wickens, N.; Ta, D.; Mandzufas, J.; Lombardi, K.; Woolard, A.</t>
  </si>
  <si>
    <t>Characteristics of popular diet-related TikTok videos</t>
  </si>
  <si>
    <t>PROCEEDINGS OF THE NUTRITION SOCIETY</t>
  </si>
  <si>
    <t>TikTok; diet; public health; dietitian</t>
  </si>
  <si>
    <t>[Munro, E.; Wells, G.; Paciente, R.; Wickens, N.; Ta, D.; Mandzufas, J.; Lombardi, K.; Woolard, A.] Telethon Kids Inst, Nedlands, WA 6009, Australia</t>
  </si>
  <si>
    <t>University of Western Australia; The Kids Research Institute Australia</t>
  </si>
  <si>
    <t>Mandzufas, Joelie/AFT-0615-2022</t>
  </si>
  <si>
    <t>Telethon Kids Institute RFA Collaboration Award</t>
  </si>
  <si>
    <t>This work was supported by a Telethon Kids Institute RFA Collaboration Award.</t>
  </si>
  <si>
    <t>CAMBRIDGE UNIV PRESS</t>
  </si>
  <si>
    <t>CAMBRIDGE</t>
  </si>
  <si>
    <t>EDINBURGH BLDG, SHAFTESBURY RD, CB2 8RU CAMBRIDGE, ENGLAND</t>
  </si>
  <si>
    <t>0029-6651</t>
  </si>
  <si>
    <t>1475-2719</t>
  </si>
  <si>
    <t>P NUTR SOC</t>
  </si>
  <si>
    <t>Proc. Nutr. Soc.</t>
  </si>
  <si>
    <t>OCE1</t>
  </si>
  <si>
    <t>E140</t>
  </si>
  <si>
    <t>10.1017/S0029665124001587</t>
  </si>
  <si>
    <t>Nutrition &amp; Dietetics</t>
  </si>
  <si>
    <t>PP1Q8</t>
  </si>
  <si>
    <t>WOS:001215194800164</t>
  </si>
  <si>
    <t>Lee, J; Abidin, C</t>
  </si>
  <si>
    <t>Lee, Jin; Abidin, Crystal</t>
  </si>
  <si>
    <t>Introduction to the Special Issue of TikTok and Social Movements</t>
  </si>
  <si>
    <t>TikTok; short video; social movements; social justice; social media</t>
  </si>
  <si>
    <t>CANCEL CULTURE; CARE</t>
  </si>
  <si>
    <t>This Special Issue of TikTok and Social Movements emerges from an attempt to map out the landscape of social movements happening on TikTok, drawing from the online symposium TikTok and Social Movements hosted in September 2021 by the TikTok Cultures Research Network, a research portal for interdisciplinary scholarship on TikTok cultures. The recent growing popularity of TikTok has transformed the cultures and practices of social movements worldwide. Through the platform's participatory affordances, many users find meaningful ways to engage with the platform and its cultures, by leading and participating in a variety of activist initiatives for global awareness, social change, and civic politics. Within this context, this introduction to the Special Issue titled TikTok and Social Movements begins by thinking about how social media pop cultures have served as a vehicle for mobilizing and engaging in social movements for social (in)justice and politics in the era of social media. By situating TikTok, a nascent platform and culture of short video, within the ongoing discussion of digitally mobilized movements and social justice, this introduction addresses several crucial points to consider when discussing TikTok cultures and social movements that are happening or interrupted on the platform. These points are interrogated with more details and cultural contexts in the five case studies and three expert commentaries in this Special Issue. Specifically, the collection of papers interrogate how TikTok's interactive and creative affordances have augmented and altered our cultures, practices, politics, and power dynamics of engaging with publics for various beliefs and social agendas.</t>
  </si>
  <si>
    <t>[Lee, Jin; Abidin, Crystal] Curtin Univ, Internet Studies, Perth, Australia; [Lee, Jin] Curtin Univ, Internet Studies, GPO Box U1987, Perth, WA 6845, Australia</t>
  </si>
  <si>
    <t>Curtin University; Curtin University</t>
  </si>
  <si>
    <t>Lee, J (corresponding author), Curtin Univ, Internet Studies, GPO Box U1987, Perth, WA 6845, Australia.</t>
  </si>
  <si>
    <t>ljin8788@gmail.com</t>
  </si>
  <si>
    <t>Lee, Jin/AAR-4494-2021</t>
  </si>
  <si>
    <t>Australian Research Council [DE190100789]; Curtin University of Technology Research support; MCASI; Australian Research Council [DE190100789] Funding Source: Australian Research Council</t>
  </si>
  <si>
    <t>Australian Research Council(Australian Research Council); Curtin University of Technology Research support; MCASI; Australian Research Council(Australian Research Council)</t>
  </si>
  <si>
    <t>The author(s) disclosed receipt of the following financial support for the research, authorship, and/or publication of this article: This study was supported by Australian Research Council (DE190100789), Curtin University of Technology Research support, and by MCASI and Faculty of Humanities</t>
  </si>
  <si>
    <t>10.1177/20563051231157452</t>
  </si>
  <si>
    <t>9I7TC</t>
  </si>
  <si>
    <t>WOS:000939706900001</t>
  </si>
  <si>
    <t>Biggs, H; Marcotte, A; Bardzell, S</t>
  </si>
  <si>
    <t>Biggs, Heidi; Marcotte, Alexa; Bardzell, Shaowen</t>
  </si>
  <si>
    <t>TikTok as a Stage: Performing Rural #farmqueer Utopias on TikTok</t>
  </si>
  <si>
    <t>DESIGNING INTERACTIVE SYSTEMS CONFERENCE, DIS 2023</t>
  </si>
  <si>
    <t>ACM Designing Interactive Systems Conference (DIS) on Rebuilding and Resilience</t>
  </si>
  <si>
    <t>JUL 10-14, 2023</t>
  </si>
  <si>
    <t>Pittsburgh, PA</t>
  </si>
  <si>
    <t>Assoc Comp Machinery</t>
  </si>
  <si>
    <t>Queer Utopia; TikTok; Queer Farmers; Rural HCI; Rural Queerness</t>
  </si>
  <si>
    <t>SEXUALITY; BOMBS; FOOD</t>
  </si>
  <si>
    <t>In this paper, we examine how an under-studied group in HCI, rural queer farmers, use the social media platform TikTok to perform rural queer utopias. Queer utopia, coined by queer theorist Jose Munoz, is a way of using queer aesthetics and performance to expose heterosexual norms and imagine worlds of hopeful queer alternatives. Through close reading and interpretation of TikTok, we examine content made by rural queer farmers on TikTok and ask how it enacts queer utopias. We show these farmers perform queer identity in rural farming spaces which subverts stereotypes of both who is queer and who can farm, and their videos also enact queer political utopias by connecting farming to social justice and radical sustainability. We explore how TikTok offers a sociotechnical stage where queer rural farmers can perform queer utopias in ways that celebrate creative and generative uses of platforms by queer folks.</t>
  </si>
  <si>
    <t>[Biggs, Heidi; Bardzell, Shaowen] Penn State Univ, Coll Informat Sci &amp; Technol, State Coll, PA 16801 USA; [Marcotte, Alexa] Indiana Univ Bloomington, Kinsey Inst, Bloomington, IN USA</t>
  </si>
  <si>
    <t>Pennsylvania Commonwealth System of Higher Education (PCSHE); Pennsylvania State University; Indiana University System; Indiana University Bloomington</t>
  </si>
  <si>
    <t>Biggs, H (corresponding author), Penn State Univ, Coll Informat Sci &amp; Technol, State Coll, PA 16801 USA.</t>
  </si>
  <si>
    <t>heidbigg@psu.edu; asmarcot@iu.edu; sbardzell@psu.edu</t>
  </si>
  <si>
    <t>Bardzell, Shaowen/0000-0001-7596-9244</t>
  </si>
  <si>
    <t>National Science Foundation [2219059, 2243330]</t>
  </si>
  <si>
    <t>National Science Foundation(National Science Foundation (NSF))</t>
  </si>
  <si>
    <t>Thank you to the creators on TikTok, Andrea Ironwood for letting Biggs visit her farm, and we gratefully acknowledge the support of National Science Foundation grants #2219059 and #2243330</t>
  </si>
  <si>
    <t>978-1-4503-9893-0</t>
  </si>
  <si>
    <t>10.1145/3563657.3596038</t>
  </si>
  <si>
    <t>Computer Science, Interdisciplinary Applications; Computer Science, Theory &amp; Methods; Ergonomics</t>
  </si>
  <si>
    <t>Computer Science; Engineering</t>
  </si>
  <si>
    <t>BV9SJ</t>
  </si>
  <si>
    <t>WOS:001090855700063</t>
  </si>
  <si>
    <t>Deng, T; Vargas-Bianchi, L; Mensa, M</t>
  </si>
  <si>
    <t>Deng, Tao; Vargas-Bianchi, Lizardo; Mensa, Marta</t>
  </si>
  <si>
    <t>Cross-Cultural comparison of TikTok uses and gratifications</t>
  </si>
  <si>
    <t>BEHAVIOUR &amp; INFORMATION TECHNOLOGY</t>
  </si>
  <si>
    <t>Cross-cultural comparison; Tiktok; social media; uses and gratifications; individualism; uncertainty avoidance</t>
  </si>
  <si>
    <t>MEASUREMENT INVARIANCE; SOCIAL MEDIA; CENTENNIALS; MOTIVATIONS</t>
  </si>
  <si>
    <t>This cross-cultural study examines the differences in TikTok use among users from the United States, Spain, and Chile. A survey, in English, European Spanish, and Latin American Spanish respectively, was administered to 556 TikTok users across the three countries. These users shared similar demographic characteristics, and multigroup measurement models were established to support cross-country measurement invariance. Our results show that Chilean TikTokers are the least engaged on the platform, but have more followers on average than their American and Spanish counterparts. Additionally, users' motivations for and uses of TikTok are associated with their countries' national cultural values. For instance, TikTok users in Chile and Spain, which are collectivistic societies, view the platform as a socialisation tool more than users in the individualistic United States. Lastly, Chileans, who have a high uncertainty avoidance level, tend to avoid self-expression and archiving on TikTok compared to Americans, who have a low uncertainty avoidance level.</t>
  </si>
  <si>
    <t>[Deng, Tao] DePaul Univ, Coll Commun, 1 E Jackson Blvd, Chicago, IL 60604 USA; [Vargas-Bianchi, Lizardo] Univ Lima, Escuela Posgrad, Lima, Peru; [Mensa, Marta] Univ North Texas, Mayborn Sch Journalism, Denton, TX USA</t>
  </si>
  <si>
    <t>DePaul University; Universidad de Lima; University of North Texas System; University of North Texas Denton</t>
  </si>
  <si>
    <t>Deng, T (corresponding author), DePaul Univ, Coll Commun, 1 E Jackson Blvd, Chicago, IL 60604 USA.</t>
  </si>
  <si>
    <t>tao.deng@depaul.edu</t>
  </si>
  <si>
    <t>Vargas-Bianchi, Lizardo/HTP-0903-2023; Mensa, Marta/AFU-1567-2022</t>
  </si>
  <si>
    <t>Deng, Tao/0000-0002-4901-3940; Vargas-Bianchi, Lizardo/0000-0002-9027-7673; Mensa, Marta/0000-0002-8239-3674</t>
  </si>
  <si>
    <t>TAYLOR &amp; FRANCIS LTD</t>
  </si>
  <si>
    <t>2-4 PARK SQUARE, MILTON PARK, ABINGDON OR14 4RN, OXON, ENGLAND</t>
  </si>
  <si>
    <t>0144-929X</t>
  </si>
  <si>
    <t>1362-3001</t>
  </si>
  <si>
    <t>BEHAV INFORM TECHNOL</t>
  </si>
  <si>
    <t>Behav. Inf. Technol.</t>
  </si>
  <si>
    <t>SEP 9</t>
  </si>
  <si>
    <t>10.1080/0144929X.2023.2270534</t>
  </si>
  <si>
    <t>Computer Science, Cybernetics; Ergonomics</t>
  </si>
  <si>
    <t>G7H4Q</t>
  </si>
  <si>
    <t>WOS:001085841100001</t>
  </si>
  <si>
    <t>Fadhli, R; Ibrahim, C; Igiriza, M; Ilmi, B</t>
  </si>
  <si>
    <t>Fadhli, Rahmat; Ibrahim, Cecep; Igiriza, Miftahunnisa; Ilmi, Bachrul</t>
  </si>
  <si>
    <t>How Libraries in Indonesia Use TikTok: A Content Analysis of Library Accounts on the Platform</t>
  </si>
  <si>
    <t>INVESTIGACION BIBLIOTECOLOGICA</t>
  </si>
  <si>
    <t>Content analysis; Library; Social media</t>
  </si>
  <si>
    <t>SOCIAL MEDIA; INFORMATION; ENGAGEMENT</t>
  </si>
  <si>
    <t>The objective of this study is to examine Indonesian libraries' TikTok accounts. The research was carried out on 12 TikTok accounts with a total of 688 posts to gain a better understanding of TikTok content, the type of information published, and follower engagement on posts. Data was collected by observing all TikTok accounts and posts. The result showed that most libraries began using TikTok in 2020, in response to the growing number of TikTok users and the shift during the pandemic. The most common types of published data are library collection information and other information. Announcements, services, and library facilities are the three types of information that receive the most engagement. This study has practical implications for libraries that use TikTok as a social media alternative. TikTok will allow them to reach younger audiences, boost creativity, spread joy, and save libraries' money. Based on the findings of this study, librarians can consider the format of published information. This study offers insights on the social media platform TikTok as a new opportunity to promote libraries. It emphasizes the enormous potential for using social media platforms such as this to gain more attention and bring libraries closer to patrons.</t>
  </si>
  <si>
    <t>[Fadhli, Rahmat] Fac Educ Sci &amp; Psychol, Dept Educ Management, Res Grp Lib Management, Depok, Indonesia; [Ibrahim, Cecep] Fac Social &amp; Polit Sci, Dept Lib &amp; Informat Sci, Depok, Indonesia; [Igiriza, Miftahunnisa] Fac Law Social &amp; Polit Sci, Dept Lib Sci, Yogyakarta, Indonesia; [Ilmi, Bachrul] Univ Sebelas Maret, Vocat Sch, Dept Lib Sci, Kota Surakarta, Indonesia</t>
  </si>
  <si>
    <t>Sebelas Maret University</t>
  </si>
  <si>
    <t>Fadhli, R (corresponding author), Fac Educ Sci &amp; Psychol, Dept Educ Management, Res Grp Lib Management, Depok, Indonesia.</t>
  </si>
  <si>
    <t>rahmat.fadhli@uny.ac.id; cecep.ibrahim@uho.ac.id; Miftahunnisa.igiriza@ecampus.ut.ac.id; bachrul.ilmi@staff.uns.ac.id</t>
  </si>
  <si>
    <t>Ibrahim, Cecep/KEJ-0429-2024</t>
  </si>
  <si>
    <t>Ibrahim, Cecep/0000-0001-8699-3573; Fadhli, Rahmat/0000-0002-6647-6525; Ilmi, Bachrul/0000-0002-7119-6237; Igiriza, Miftahunnisa'/0000-0002-0437-3731</t>
  </si>
  <si>
    <t>UNIV NACIONAL AUTONOMA MEXICO</t>
  </si>
  <si>
    <t>MEXICO CITY</t>
  </si>
  <si>
    <t>CIUDAD UNIV, CENTRO UNIV BIBLIOTECOLOGICAS, TORRE II HUMANIDADES, PISO 11, 12 &amp; 13, MEXICO CITY, CP 04510, MEXICO</t>
  </si>
  <si>
    <t>0187-358X</t>
  </si>
  <si>
    <t>2448-8321</t>
  </si>
  <si>
    <t>INVESTIG BIBLIOTECOL</t>
  </si>
  <si>
    <t>Investig. Bibliotecol.</t>
  </si>
  <si>
    <t>JUL-SEP</t>
  </si>
  <si>
    <t>10.22201/iibi.24488321xe.2023.96.58764</t>
  </si>
  <si>
    <t>Information Science &amp; Library Science</t>
  </si>
  <si>
    <t>Q1NH6</t>
  </si>
  <si>
    <t>WOS:001055250400002</t>
  </si>
  <si>
    <t>Moffett, KW; Rice, LL</t>
  </si>
  <si>
    <t>Moffett, Kenneth W.; Rice, Laurie L.</t>
  </si>
  <si>
    <t>TikTok and Civic Activity Among Young Adults</t>
  </si>
  <si>
    <t>political science; TikTok; civic engagement; social media; political participation; 2020 election; young voters</t>
  </si>
  <si>
    <t>SOCIAL MEDIA USE; POLITICAL-PARTICIPATION; MATCHING ESTIMATORS; CAUSAL INFERENCE; ONLINE; ENGAGEMENT; MODEL; MOBILIZATION; MULTIVARIATE; IDENTITY</t>
  </si>
  <si>
    <t>TikTok is known for its lighthearted dance and lip-synch videos, yet videos with the hashtag #politics have garnered nearly 14 billion views. Does young adults' politically oriented expression on TikTok lead to increased civic engagement offline? TikTok helps incorporate young adults into political social networks that may encourage additional civic activity. In addition, the playful, humorous nature of TikTok-based political expression encourages young adults to develop participatory, political selves. Using data from a 2020 survey of Americans between 18 and 25 years old, we find that posting political videos on TikTok connects with higher offline civic engagement. The results suggest that playful political expression is an important feature for promoting young adult civic engagement.</t>
  </si>
  <si>
    <t>[Moffett, Kenneth W.; Rice, Laurie L.] Southern Illinois Univ Edwardsville, Dept Polit Sci, Edwardsville, IL USA; [Moffett, Kenneth W.] Southern Illinois Univ Edwardsville, Dept Polit Sci, 3234 Peck Hall,Box 1453, Edwardsville, IL 62026 USA</t>
  </si>
  <si>
    <t>Southern Illinois University System; Southern Illinois University Edwardsville; Southern Illinois University System; Southern Illinois University Edwardsville</t>
  </si>
  <si>
    <t>Moffett, KW (corresponding author), Southern Illinois Univ Edwardsville, Dept Polit Sci, 3234 Peck Hall,Box 1453, Edwardsville, IL 62026 USA.</t>
  </si>
  <si>
    <t>kmoffet@siue.edu</t>
  </si>
  <si>
    <t>Moffett, Kenneth/AAE-7911-2020; Rice, Laurie/AAX-2449-2021</t>
  </si>
  <si>
    <t>Rice, Laurie/0000-0002-1672-448X; Moffett, Kenneth/0000-0002-8704-3067</t>
  </si>
  <si>
    <t>Southern Illinois University Edwardsville Department of Political Science</t>
  </si>
  <si>
    <t>The author(s) disclosed receipt of the followingfinancial support for the research, authorship, and/orpublication of this article: This work was supported by the Southern Illinois University Edwardsville Department of Political Science.</t>
  </si>
  <si>
    <t>10.1177/08944393231188470</t>
  </si>
  <si>
    <t>JUL 2023</t>
  </si>
  <si>
    <t>ML8G0</t>
  </si>
  <si>
    <t>WOS:001025324400001</t>
  </si>
  <si>
    <t>Zhang, X; Feng, SY; Peng, R; Li, HS</t>
  </si>
  <si>
    <t>Zhang, Xing; Feng, Siyuan; Peng, Rui; Li, Hansen</t>
  </si>
  <si>
    <t>Using Structural Equation Modeling to Examine Pathways between Physical Activity and Sleep Quality among Chinese TikTok Users</t>
  </si>
  <si>
    <t>INTERNATIONAL JOURNAL OF ENVIRONMENTAL RESEARCH AND PUBLIC HEALTH</t>
  </si>
  <si>
    <t>TikTok; physical activity; sleep quality; mental health problems; structural equation model; mediation</t>
  </si>
  <si>
    <t>SOCIAL MEDIA USE; SMARTPHONE ADDICTION; INTERNET ADDICTION; GENDER-DIFFERENCES; PERCEIVED STRESS; SELF-EFFICACY; MENTAL-HEALTH; DEPRESSION; ANXIETY; EXERCISE</t>
  </si>
  <si>
    <t>TikTok, the most popular social media, brings various benefits to nowadays living. However, the problematic use of TikTok has also elicited a range of health problems, such as sleep problems. Physical activity (PA) appears to play a protective role in the problematic use of TikTok and its health consequences, but the pathways between PA and sleep health are understudied. Therefore, we aimed to propose a framework to check whether PA can benefit the sleep health of TikTok users by reducing bedtime delays for TikTok. Stress and mental health issues were also considered as they are potential mediators between PA and sleep health and may also influence the problematic use of smartphones. A cross-sectional investigation that involved 660 Chinese TikTok users was conducted in April 2021. The volume of PA, perceived stress (PSS-10), depression (PHQ-9), anxiety (GAD-7), bedtime delay for TikTok use, and sleep quality (PSQI) were investigated through an online questionnaire survey. Structural equation modeling was employed to examine pathways from PA to sleep quality through stress, mental health issues (depression and anxiety), and bedtime delay for TikTok. We found that PA exerted a significant effect on sleep quality through indirect pathways (beta = -0.056, p = 0.001). Stress was a critical mediator of all indirect pathways, and the pathway mediated by stress and mental health issues made a major contribution to the total effect (beta = -0.048, p = 0.002). The identified pathways mediated by bedtime delay for TikTok were relatively weak but significant. PA showed a distinct effect on bedtime delay for TikTok through stress and mental health issues (beta = -0.043, p = 0.001). In conclusion, our framework highlights some pathways to understanding the benefits of PA on TikTok users' sleep quality. Future research is warranted to explore extra indirect pathways and re-examine the causal relationships between variables.</t>
  </si>
  <si>
    <t>[Zhang, Xing] Chengdu Sport Univ, Dept Basketball &amp; Volleyball, Chengdu 610041, Peoples R China; [Feng, Siyuan] Univ Wisconsin, Lab Genet, Madison, WI 53706 USA; [Peng, Rui] McGill Univ, Dept Chem, Montreal, PQ H3A 0B8, Canada; [Li, Hansen] Southwest Univ, Coll Phys Educ, Inst Sports Sci, Chongqing 400715, Peoples R China</t>
  </si>
  <si>
    <t>Chengdu Sport University; University of Wisconsin System; University of Wisconsin Madison; McGill University; Southwest University - China</t>
  </si>
  <si>
    <t>Li, HS (corresponding author), Southwest Univ, Coll Phys Educ, Inst Sports Sci, Chongqing 400715, Peoples R China.</t>
  </si>
  <si>
    <t>starz-94@foxmail.com; siyuan.feng@wisc.edu; pengr_uestc@163.com; hanson-swu@foxmail.com</t>
  </si>
  <si>
    <t>Feng, Siyuan/ITT-1738-2023</t>
  </si>
  <si>
    <t>MDPI</t>
  </si>
  <si>
    <t>BASEL</t>
  </si>
  <si>
    <t>ST ALBAN-ANLAGE 66, CH-4052 BASEL, SWITZERLAND</t>
  </si>
  <si>
    <t>1660-4601</t>
  </si>
  <si>
    <t>INT J ENV RES PUB HE</t>
  </si>
  <si>
    <t>Int. J. Environ. Res. Public Health</t>
  </si>
  <si>
    <t>10.3390/ijerph19095142</t>
  </si>
  <si>
    <t>Environmental Sciences; Public, Environmental &amp; Occupational Health</t>
  </si>
  <si>
    <t>Environmental Sciences &amp; Ecology; Public, Environmental &amp; Occupational Health</t>
  </si>
  <si>
    <t>1E8JH</t>
  </si>
  <si>
    <t>WOS:000794727200001</t>
  </si>
  <si>
    <t>Kaye, DBV; Rodriguez, A; Langton, K; Wikström, P</t>
  </si>
  <si>
    <t>Kaye, D. Bondy Valdovinos; Rodriguez, Aleesha; Langton, Katrin; Wikstrom, Patrik</t>
  </si>
  <si>
    <t>You Made This? I Made This: Practices of Authorship and (Mis)Attribution on TikTok</t>
  </si>
  <si>
    <t>TikTok; attribution; copyright; platformization; aural memes</t>
  </si>
  <si>
    <t>MORAL RIGHTS; COPYRIGHT; ARTISTS</t>
  </si>
  <si>
    <t>In 2019, TikTok captivated international attention as a breakout short-video platform with numerous features that facilitates recreating popular videos with ease. TikTok's platform feature use this sound affords the creative reuse of audio clips or songs from videos that users were just watching. TikTok employs an automated system to identify original creators but the system frequently obscures or misattributes the original source of the audio. Subsequent creators may then use sounds without any connection to the original author. In response, creators have developed unique platform practices to overcome cultures of misattribution engendered on TikTok. This study employs a mixed-methods approach to investigate novel attributional platform practices relating to authorship and attribution on TikTok. Using a bespoke data scraping tool, quantitative content analysis, and a series of qualitative case studies, this study explores the contradictory logic of authorship and how (mis)attribution is shaping cultural production and platform practices on TikTok.</t>
  </si>
  <si>
    <t>[Kaye, D. Bondy Valdovinos; Rodriguez, Aleesha; Langton, Katrin; Wikstrom, Patrik] Queensland Univ Technol, Brisbane, Qld, Australia</t>
  </si>
  <si>
    <t>Queensland University of Technology (QUT)</t>
  </si>
  <si>
    <t>Kaye, DBV (corresponding author), Queensland Univ Technol, Brisbane, Qld, Australia.</t>
  </si>
  <si>
    <t>bondykaye@gmail.com; Aleesha.rodriguez@hdr.qut.edu.au; K2.langton@qut.edu.au; patrik.wikstrom@qut.edu.au</t>
  </si>
  <si>
    <t>Wikstrom, Patrik/0000-0003-4720-0416; Rodriguez, Aleesha/0000-0002-9898-2561; Kaye, D. Bondy Valdovinos/0000-0002-9684-2186</t>
  </si>
  <si>
    <t>XO1HN</t>
  </si>
  <si>
    <t>WOS:000729944300052</t>
  </si>
  <si>
    <t>Nienstedt, C; Smith, N; Braithwaite, H; Gilbert, B; Wright, RR</t>
  </si>
  <si>
    <t>Nienstedt, Christian; Smith, Nathan; Braithwaite, Hannah; Gilbert, Ben; Wright, Robert R.</t>
  </si>
  <si>
    <t>Swiping Away Your Well-Being? Examining Well-Being Indicators Among TikTok Account Holders</t>
  </si>
  <si>
    <t>PSI CHI JOURNAL OF PSYCHOLOGICAL RESEARCH</t>
  </si>
  <si>
    <t>social media; TikTok; health and wellness; behavior</t>
  </si>
  <si>
    <t>SOCIAL-COMPARISON ORIENTATION; POOR SLEEP QUALITY; BODY-IMAGE; MEDIA USE; PHYSICAL-ACTIVITY; EATING BEHAVIORS; INSTAGRAM USE; INTERNET USE; FACEBOOK; CHILDREN</t>
  </si>
  <si>
    <t>Social media platforms continue to increase in popularity and number. Although many associations between social media and user health interactions have been explored, little to no research has investigated TikTok, a recently released social media platform, and its individual interactions with user mental and physical well-being variables. To address this gap, we administered an online questionnaire to a group of college students (n = 407) at Brigham Young University - Idaho about their social media use, mental, and physical well-being. We observed potential differences among TikTok account holders and non-TikTok users using a series of independent-samples t tests with Bonferroni correction. Although TikTok account holders reported higher negative mental well-being indicators than their nonuser counterparts in almost all measured areas, these relationships were only consistent among female TikTok account holders. Conversely, our findings of significantly higher reported consumption of sugary drinks across our entire sample, t(403) = 3.41, p = .001, d = 0.33, only maintained significance among male participants, t(141) = 3.04, p &lt; .001, d = 0.50. As such, female TikTok account holders reported consistently worse mental health and well-being indicators than non-TikTok users. Building on our findings, we call for future research to better understand the nature of these relationships for both TikTok and other social media users'.</t>
  </si>
  <si>
    <t>[Nienstedt, Christian; Smith, Nathan; Braithwaite, Hannah; Gilbert, Ben; Wright, Robert R.] Brigham Young Univ Idaho, Dept Psychol, 525 South Ctr St,MS 2140, Rexburg, ID 83460 USA</t>
  </si>
  <si>
    <t>Brigham Young University</t>
  </si>
  <si>
    <t>Nienstedt, C (corresponding author), Brigham Young Univ Idaho, Dept Psychol, 525 South Ctr St,MS 2140, Rexburg, ID 83460 USA.</t>
  </si>
  <si>
    <t>cnienstedt97@gmail.com</t>
  </si>
  <si>
    <t>Department of Psychology at Brigham Young University - Idaho</t>
  </si>
  <si>
    <t>We declare no conflict of interest. Support for this study came from the Department of Psychology at Brigham Young University - Idaho. Special thanks to Stephie L. San Diego and Ashley M. Shin for their input in early stages of this study.</t>
  </si>
  <si>
    <t>Psi Chi - Int Honor Soc Psychology</t>
  </si>
  <si>
    <t>Chattanooga</t>
  </si>
  <si>
    <t>651 East 4th Street, Suite 600, Chattanooga, Tennessee, UNITED STATES</t>
  </si>
  <si>
    <t>2164-8204</t>
  </si>
  <si>
    <t>2325-7342</t>
  </si>
  <si>
    <t>PSI CHI J PSYCHOL R</t>
  </si>
  <si>
    <t>Psi Chi J. Psychol. Res.</t>
  </si>
  <si>
    <t>SUM</t>
  </si>
  <si>
    <t>10.24839/2325-7342.JN28.2.96</t>
  </si>
  <si>
    <t>F0D5W</t>
  </si>
  <si>
    <t>WOS:001306616300002</t>
  </si>
  <si>
    <t>Issar, S</t>
  </si>
  <si>
    <t>Issar, Shiv</t>
  </si>
  <si>
    <t>The Social Construction of Algorithms in Everyday Life: Examining TikTok Users' Understanding of the Platform's Algorithm</t>
  </si>
  <si>
    <t>INTERNATIONAL JOURNAL OF HUMAN-COMPUTER INTERACTION</t>
  </si>
  <si>
    <t>TikTok; algorithm; social construction; algorithmic lore; technology; folk theories</t>
  </si>
  <si>
    <t>VISIBILITY; IDENTITY; MEDIA</t>
  </si>
  <si>
    <t>This article explores the social construction of algorithms on TikTok through through the lens of algorithmic experiences in everyday life. The TikTok algorithm is a social construct that exists due to a range of psychosocial, socioeconomic, and sociopolitical experiences that are utilized in narratives about what is perceived by the platform's users as algorithmic. Through a qualitative analysis of 100 TikTok videos, this article evaluates how variations in TikTok users' levels of algorithm awareness affect their understanding of the platform's algorithm. The implications of this analysis extend beyond TikTok and highlight the importance of developing algorithmic literacies and understanding the relationship between algorithm awareness and trust in algorithmic systems. Overall, this study provides critical insights into the complex nature of algorithmic culture, underscoring the need for a greater understanding of algorithmic systems in contemporary society.</t>
  </si>
  <si>
    <t>[Issar, Shiv] Univ Oregon, Dept Sociol, Eugene, OR 97403 USA</t>
  </si>
  <si>
    <t>University of Oregon</t>
  </si>
  <si>
    <t>Issar, S (corresponding author), Univ Oregon, Dept Sociol, Eugene, OR 97403 USA.</t>
  </si>
  <si>
    <t>sissar@uoregon.edu</t>
  </si>
  <si>
    <t>Issar, Shiv/G-9500-2019</t>
  </si>
  <si>
    <t>Issar, Shiv/0000-0003-1244-2212</t>
  </si>
  <si>
    <t>1044-7318</t>
  </si>
  <si>
    <t>1532-7590</t>
  </si>
  <si>
    <t>INT J HUM-COMPUT INT</t>
  </si>
  <si>
    <t>Int. J. Hum.-Comput. Interact.</t>
  </si>
  <si>
    <t>SEP 16</t>
  </si>
  <si>
    <t>10.1080/10447318.2023.2233138</t>
  </si>
  <si>
    <t>G4C0C</t>
  </si>
  <si>
    <t>WOS:001023855300001</t>
  </si>
  <si>
    <t>Mendelson, EA</t>
  </si>
  <si>
    <t>Mendelson, Emily A.</t>
  </si>
  <si>
    <t>Sensemaking and public intimacy on TikTok: How viral videos influence interpersonal relationships offline</t>
  </si>
  <si>
    <t>Interpersonal relationships; intimate publics; mimesis; public intimacy; sensemaking; social media; social scripts; TikTok</t>
  </si>
  <si>
    <t>CULTURE</t>
  </si>
  <si>
    <t>Digital communication technologies transform social relationships by networking strangers into mediated intimate publics. Guided by the question of what happens when displays of public intimacy go viral, I analyze communicative methods within intimate publics on TikTok through an exploratory, qualitative case study of the viral couch guy meme. Results indicate that users on TikTok participate in intimate publics through the uploading of original content, duplication and replication of content, commenting, and lurking. Utilizing sensemaking as an analytic, first, I demonstrate how TikTok's platform affordances transform displays of public intimacy into public extimacy, transforming TikTok into a space where social scripts and relationship expectations are negotiated. Second, I offer a preliminary organizational structure of communicative actions within the couch guy public on TikTok. Overall, this article concludes that participation in mediated publics has the potential to influence interpersonal relationships offline.</t>
  </si>
  <si>
    <t>[Mendelson, Emily A.] Univ Illinois, Urbana, IL 61801 USA; [Mendelson, Emily A.] Univ Illinois, Dept Commun, Urbana, IL 61801 USA</t>
  </si>
  <si>
    <t>University of Illinois System; University of Illinois Urbana-Champaign; University of Illinois System; University of Illinois Urbana-Champaign</t>
  </si>
  <si>
    <t>Mendelson, EA (corresponding author), Univ Illinois, Dept Commun, Urbana, IL 61801 USA.</t>
  </si>
  <si>
    <t>emilyamendelson@gmail.com</t>
  </si>
  <si>
    <t>Mendelson, Emily/0000-0002-8729-603X</t>
  </si>
  <si>
    <t>DEC</t>
  </si>
  <si>
    <t>10.1177/14614448231163231</t>
  </si>
  <si>
    <t>L1V5H</t>
  </si>
  <si>
    <t>WOS:000973530000001</t>
  </si>
  <si>
    <t>Lemana, HE II; Ulla, MB; Kohnke, L</t>
  </si>
  <si>
    <t>Lemana, Henry E.; Ulla, Mark B.; Kohnke, Lucas</t>
  </si>
  <si>
    <t>TikTok for language teachers: Affordances of TikTok on teachers' identity and emotional vulnerability</t>
  </si>
  <si>
    <t>HELIYON</t>
  </si>
  <si>
    <t>Emotional vulnerability; Professional identity; Teachers on TikTok; TikTok; Teacher identity</t>
  </si>
  <si>
    <t>This qualitative study examines how five secondary school TESOL teachers in Thailand use TikTok to express their emotions and shape their professional identities. The research uses semistructured interviews and thematic analysis to explore the platform's role as an emotional outlet and a medium for enhancing teacher-student relationships. Findings indicate that TikTok helps teachers manage work-related stress and allows them to present authentic selves, facilitating deeper connections with students. This interaction further informs their pedagogical practices and supports their professional identity development. The study suggests that TikTok's ability to bridge emotional expression with professional engagement offers valuable insights for integrating social media into educational frameworks. Recommendations are provided for leveraging these platforms to enhance teachers' well-being and instructional strategies, highlighting the need for further research with a broader sample. This study demonstrates the potential of social media to impact teaching dynamics and professional growth.</t>
  </si>
  <si>
    <t>[Lemana, Henry E.; Ulla, Mark B.] Walailak Univ, Thai Buri, Thailand; [Kohnke, Lucas] Educ Univ Hong Kong, Hong Kong, Peoples R China</t>
  </si>
  <si>
    <t>Education University of Hong Kong (EdUHK)</t>
  </si>
  <si>
    <t>Ulla, MB (corresponding author), Walailak Univ, Thai Buri, Thailand.</t>
  </si>
  <si>
    <t>henry.le@wu.ac.th; mark.ul@mail.wu.ac.th; lucaskohnke@gmail.com</t>
  </si>
  <si>
    <t>Kohnke, Lucas/R-5263-2019; Lemana, Henry II/KZU-3908-2024; Ulla, Mark Bedoya/N-7703-2018</t>
  </si>
  <si>
    <t>Ulla, Mark Bedoya/0000-0003-1005-5120; Kohnke, Lucas/0000-0001-6717-5719</t>
  </si>
  <si>
    <t>Walailak University Internal Research Fund [WU66256]</t>
  </si>
  <si>
    <t>Walailak University Internal Research Fund</t>
  </si>
  <si>
    <t>This research has been funded by the Walailak University Internal Research Fund (WU66256) .</t>
  </si>
  <si>
    <t>CELL PRESS</t>
  </si>
  <si>
    <t>50 HAMPSHIRE ST, FLOOR 5, CAMBRIDGE, MA 02139 USA</t>
  </si>
  <si>
    <t>2405-8440</t>
  </si>
  <si>
    <t>Heliyon</t>
  </si>
  <si>
    <t>JUL 30</t>
  </si>
  <si>
    <t>e34388</t>
  </si>
  <si>
    <t>10.1016/j.heliyon.2024.e34388</t>
  </si>
  <si>
    <t>Multidisciplinary Sciences</t>
  </si>
  <si>
    <t>Science &amp; Technology - Other Topics</t>
  </si>
  <si>
    <t>YO6S8</t>
  </si>
  <si>
    <t>WOS:001269473000001</t>
  </si>
  <si>
    <t>Carter, PN; Hall, EE; Ketcham, CJ; Ahmed, OH</t>
  </si>
  <si>
    <t>Carter, Peyton N.; Hall, Eric E.; Ketcham, Caroline J.; Ahmed, Osman H.</t>
  </si>
  <si>
    <t>Not Just for Dancing? A Content Analysis of Concussion and Head Injury Videos on TikTok</t>
  </si>
  <si>
    <t>FRONTIERS IN SPORTS AND ACTIVE LIVING</t>
  </si>
  <si>
    <t>social media; concussion; head injury; healthcare education; public health</t>
  </si>
  <si>
    <t>KNOWLEDGE TRANSFER; SPORTS CONCUSSION; SOCIAL MEDIA; MANAGEMENT</t>
  </si>
  <si>
    <t>Social media platforms are an accessible and increasingly used way for the public to gather healthcare-related information, including on sports injuries. TikTok is currently one of the fastest-growing social media platforms worldwide, and it is especially popular amongst adolescents and young adults. The widespread use and popularity of TikTok suggests that this platform has potential to be a source for healthcare information for younger individuals. The aim of this study was to gain a preliminary understanding of the concussion/head injury-related information on TikTok, and to gauge if TikTok could serve as a platform for concussion education. This exploratory study used a systematic search strategy to understand more about how concussion is being portrayed through TikTok videos. Using the keywords concussion and head injury, 200 videos were downloaded from TikTok and 43 videos were excluded. Of the 92 videos retrieved using the keyword concussion, 95% (n = 88) had more than 100,000 views and 6% (n = 10) had been viewed more than 10 million times. Over half, 54% (n = 50) of the concussion videos depicted individuals playing around and getting hit in the head, whilst only 1% (n = 1) of the TikTok videos were categorized as explaining concussion facts. The large numbers of views of concussion-related TikTok videos demonstrates the popularity of this platform and indicates that healthcare organizations should consider TikTok as a potential means for concussion education amongst younger individuals.</t>
  </si>
  <si>
    <t>[Carter, Peyton N.; Hall, Eric E.; Ketcham, Caroline J.] Elon Univ, Dept Exercise Sci, Elon, NC USA; [Carter, Peyton N.; Hall, Eric E.; Ketcham, Caroline J.; Ahmed, Osman H.] Elon Univ, Elon BrainCARE Res Inst, Elon, NC 27244 USA; [Ahmed, Osman H.] Univ Hosp Dorset NHS Fdn Trust, Dept Physiotherapy, Poole, Dorset, England; [Ahmed, Osman H.] Univ Portsmouth, Sch Sport Hlth &amp; Exercise Sci, Portsmouth, Hants, England</t>
  </si>
  <si>
    <t>Elon University; Elon University; University of Portsmouth</t>
  </si>
  <si>
    <t>Ahmed, OH (corresponding author), Elon Univ, Elon BrainCARE Res Inst, Elon, NC 27244 USA.;Ahmed, OH (corresponding author), Univ Hosp Dorset NHS Fdn Trust, Dept Physiotherapy, Poole, Dorset, England.;Ahmed, OH (corresponding author), Univ Portsmouth, Sch Sport Hlth &amp; Exercise Sci, Portsmouth, Hants, England.</t>
  </si>
  <si>
    <t>osman.hassan.ahmed@gmail.com</t>
  </si>
  <si>
    <t>2624-9367</t>
  </si>
  <si>
    <t>FRONT SPORTS ACT LIV</t>
  </si>
  <si>
    <t>Front. Sports Act. Living</t>
  </si>
  <si>
    <t>OCT 27</t>
  </si>
  <si>
    <t>10.3389/fspor.2021.692613</t>
  </si>
  <si>
    <t>Sport Sciences</t>
  </si>
  <si>
    <t>WW0BG</t>
  </si>
  <si>
    <t>WOS:000717591800001</t>
  </si>
  <si>
    <t>Ahmed, H</t>
  </si>
  <si>
    <t>Ahmed, Hamzah</t>
  </si>
  <si>
    <t>Descaling psoriasis narratives on TikTok: A cross-sectional study</t>
  </si>
  <si>
    <t>SKIN RESEARCH AND TECHNOLOGY</t>
  </si>
  <si>
    <t>Letter</t>
  </si>
  <si>
    <t>Dermatology; Psoriasis; TikTok</t>
  </si>
  <si>
    <t>[Ahmed, Hamzah] Univ Birmingham, Birmingham, England</t>
  </si>
  <si>
    <t>University of Birmingham</t>
  </si>
  <si>
    <t>Ahmed, H (corresponding author), Univ Birmingham, Birmingham, England.</t>
  </si>
  <si>
    <t>hamzah75680@outlook.com</t>
  </si>
  <si>
    <t>Ahmed, Hamzah/0009-0004-7000-5752</t>
  </si>
  <si>
    <t>0909-752X</t>
  </si>
  <si>
    <t>1600-0846</t>
  </si>
  <si>
    <t>SKIN RES TECHNOL</t>
  </si>
  <si>
    <t>Skin Res. Technol.</t>
  </si>
  <si>
    <t>e13877</t>
  </si>
  <si>
    <t>10.1111/srt.13877</t>
  </si>
  <si>
    <t>Dermatology</t>
  </si>
  <si>
    <t>ZE6Q1</t>
  </si>
  <si>
    <t>hybrid, Green Published</t>
  </si>
  <si>
    <t>WOS:001273663200001</t>
  </si>
  <si>
    <t>Stephenson, S; Page, CN; Wei, M; Kapadia, A; Roesner, F</t>
  </si>
  <si>
    <t>Stephenson, Sophie; Page, Christopher Nathaniel; Wei, Miranda; Kapadia, Apu; Roesner, Franziska</t>
  </si>
  <si>
    <t>Sharenting on TikTok: Exploring Parental Sharing Behaviors and the Discourse Around Children's Online Privacy</t>
  </si>
  <si>
    <t>sharenting; TikTok; social media; privacy; children; youth; parents</t>
  </si>
  <si>
    <t>DECISIONS</t>
  </si>
  <si>
    <t>Since the inception of social media, parents have been sharing information about their children online. Unfortunately, this sharenting can expose children to several online and offline risks. Although researchers have studied sharenting on multiple platforms, sharenting on short-form video platforms like TikTok-where posts can contain detailed information, spread quickly, and spark considerable engagement-is understudied. Thus, we provide a targeted exploration of sharenting on TikTok. We analyzed 328 TikTok videos that demonstrate sharenting and 438 videos where TikTok creators discuss sharenting norms. Our results indicate that sharenting on TikTok indeed creates several risks for children, not only within individual posts but also in broader patterns of sharenting that arise when parents repeatedly use children to generate viral content. At the same time, creators voiced sharenting concerns and boundaries that reflect what has been observed on other platforms, indicating the presence of cross-platform norms. Promisingly, we observed that TikTok users are engaging in thoughtful conversations around sharenting and beginning to shift norms toward safer sharenting. We offer concrete suggestions for designers and platforms based on our findings.</t>
  </si>
  <si>
    <t>[Stephenson, Sophie] Univ Wisconsin Madison, Madison, WI 53706 USA; [Page, Christopher Nathaniel; Kapadia, Apu] Indiana Univ, Bloomington, IN USA; [Wei, Miranda; Roesner, Franziska] Univ Washington, Seattle, WA USA</t>
  </si>
  <si>
    <t>University of Wisconsin System; University of Wisconsin Madison; Indiana University System; Indiana University Bloomington; University of Washington; University of Washington Seattle</t>
  </si>
  <si>
    <t>Stephenson, S (corresponding author), Univ Wisconsin Madison, Madison, WI 53706 USA.</t>
  </si>
  <si>
    <t>sophie.stephenson@cs.wisc.edu; cnpage@iu.edu; weimf@cs.washington.edu; kapadia@iu.edu; franzi@cs.washington.edu</t>
  </si>
  <si>
    <t>Kapadia, Apu/0000-0003-4142-8444</t>
  </si>
  <si>
    <t>Center for Privacy and Security for Marginalized and Vulnerable Populations (PRISM); National Science Foundation [2205171, 2207019]; NSF [2222242]</t>
  </si>
  <si>
    <t>Center for Privacy and Security for Marginalized and Vulnerable Populations (PRISM); National Science Foundation(National Science Foundation (NSF)); NSF(National Science Foundation (NSF))</t>
  </si>
  <si>
    <t>We thank the anonymous reviewers, whose comments helped us improve the paper. Additional thanks to Akira Ohiso for creating the illustrations for Fig. 1 and Fig. 3. We appreciate Susan Zvacek, Majed Almansoori, Rose Ceccio, Rahul Chatterjee, Inyoung Cheong, and Rachel McAmis for providing feedback on the draft. This work was done as part of the Center for Privacy and Security for Marginalized and Vulnerable Populations (PRISM), supported by the National Science Foundation under Awards 2205171 and 2207019. This work was also supported in part by the NSF under Award 2222242.</t>
  </si>
  <si>
    <t>10.1145/3613904.3642447</t>
  </si>
  <si>
    <t>WOS:001259864901004</t>
  </si>
  <si>
    <t>Bengi, VU; Atagün, ÖS; Sen, SC; Özcan, E; Paksoy, T; Güler, ÖS</t>
  </si>
  <si>
    <t>Bengi, Vahdi Umut; Atagun, Ozlem Sarac; Sen, Seval Ceylan; Ozcan, Erkan; Paksoy, Tugce; Guler, Ozlem Sebnem</t>
  </si>
  <si>
    <t>How much information regarding gingival enlargement can we get from TikTok and YouTube?</t>
  </si>
  <si>
    <t>SPECIAL CARE IN DENTISTRY</t>
  </si>
  <si>
    <t>gingival enlargement; Global Quality Score (GQS); oral health; social media; TikTok; YouTube</t>
  </si>
  <si>
    <t>Aims: This study aimed to evaluate and compare the reliability and quality of the information about gingival enlargements on YouTube and TikTok.Methods: Two popular video sites, YouTube and TikTok, were searched for gingival enlargement and gingival hyperplasia. The reliability and quality of the first 300 videos for each search term, which is 1200 videos in total, were evaluated by social media video content evaluation tools: Global Quality Score (GQS) for quality and modified DISCERN for reliability.Results: Health professionals uploaded 68.6% of the videos on YouTube and 54.5% on TikTok. It was observed that 50% of TikTok videos and 65.9% of YouTube videos were educational. In terms of quality, 2.7% of the videos on YouTube are of excellent quality, while in TikTok there are no videos of perfect quality. TikTok videos had considerably more views, likes, viewing rates, and interaction index scores than YouTube videos (P &lt; 0.01).Conclusions: The videos and pieces of information on YouTube are more reliable and accurate in terms of gingival enlargement when compared to TikTok. Nevertheless, it was discovered that videos on both platforms were of poor reliability and quality in general.</t>
  </si>
  <si>
    <t>[Bengi, Vahdi Umut; Atagun, Ozlem Sarac; Sen, Seval Ceylan; Ozcan, Erkan; Guler, Ozlem Sebnem] Univ Hlth Sci, Gulhane Fac Dent, Dept Periodontol, Ankara, Turkiye; [Paksoy, Tugce] Univ Hlth Sci, Hamidiye Fac Dent, Dept Periodontol, Istanbul, Turkiye</t>
  </si>
  <si>
    <t>University of Health Sciences Turkey; University of Health Sciences Turkey</t>
  </si>
  <si>
    <t>Sen, SC (corresponding author), Univ Hlth Sci, Gulhane Fac Dent, Dept Periodontol, Ankara, Turkiye.</t>
  </si>
  <si>
    <t>dt.sceylan@hotmail.com</t>
  </si>
  <si>
    <t>ceylan şen, seval/JTU-9293-2023; Paksoy, Tuğçe/GVR-7554-2022; Bengi, Vahdi/HKP-2134-2023</t>
  </si>
  <si>
    <t>0275-1879</t>
  </si>
  <si>
    <t>1754-4505</t>
  </si>
  <si>
    <t>SPEC CARE DENT</t>
  </si>
  <si>
    <t>Spec. Care Dent.</t>
  </si>
  <si>
    <t>10.1111/scd.12957</t>
  </si>
  <si>
    <t>JAN 2024</t>
  </si>
  <si>
    <t>YV8B1</t>
  </si>
  <si>
    <t>WOS:001136653800001</t>
  </si>
  <si>
    <t>Geng, W; Tinmaz, H</t>
  </si>
  <si>
    <t>Geng, Wei; Tinmaz, Hasan</t>
  </si>
  <si>
    <t>A case study on the impact of the TikTok use of Chinese university students</t>
  </si>
  <si>
    <t>INTERNATIONAL JOURNAL OF TECHNOLOGY ENHANCED LEARNING</t>
  </si>
  <si>
    <t>academic performance; TikTok; social media; university student; higher education; China</t>
  </si>
  <si>
    <t>Among the existing studies, there are fewer articles analysing the effects of TikTok on academic performance of Chinese university students, mostly analysing the physical and psychological effects on university students. Thus, the authors conducted the research on impact of the TikTok use of Chinese university students' academic performance. Data was collected from a university in the city of Taiyuan (China) by using a survey of 37 questions (n = 231). The results showed that positive effects of TikTok seemed to outnumber the negative effects among students. However, there were no statistically significant differences between the good and negative effects of TikTok on students' academic outcomes, according to the findings. We recommend that educators and students may use TikTok as a source of knowledge and communication to make the learning process easier and more effective.</t>
  </si>
  <si>
    <t>[Geng, Wei] Woosong Univ, Gen Grad Sch, Daejeon, South Korea; [Tinmaz, Hasan] Woosong Univ, Endicott Coll Int Studies, AI &amp; Big Data Dept, Daejeon, South Korea</t>
  </si>
  <si>
    <t>Woosong University; Woosong University</t>
  </si>
  <si>
    <t>Tinmaz, H (corresponding author), Woosong Univ, Endicott Coll Int Studies, AI &amp; Big Data Dept, Daejeon, South Korea.</t>
  </si>
  <si>
    <t>geng.wei.242402@hotmail.com; htinmaz@endicott.ac.kr</t>
  </si>
  <si>
    <t>Tinmaz, Hasan/JXX-8781-2024; Geng, Wei/KYQ-4201-2024</t>
  </si>
  <si>
    <t>Geng, Wei/0000-0002-5602-1359</t>
  </si>
  <si>
    <t>Woosong University Academic Research</t>
  </si>
  <si>
    <t>This research was funded by Woosong University Academic Research in 2023.</t>
  </si>
  <si>
    <t>INDERSCIENCE ENTERPRISES LTD</t>
  </si>
  <si>
    <t>GENEVA</t>
  </si>
  <si>
    <t>WORLD TRADE CENTER BLDG, 29 ROUTE DE PRE-BOIS, CASE POSTALE 856, CH-1215 GENEVA, SWITZERLAND</t>
  </si>
  <si>
    <t>1753-5255</t>
  </si>
  <si>
    <t>1753-5263</t>
  </si>
  <si>
    <t>INT J TECHNOL ENHANC</t>
  </si>
  <si>
    <t>Int. J. Technol. Enhanc. Learn.</t>
  </si>
  <si>
    <t>10.1504/IJTEL.2024.139700</t>
  </si>
  <si>
    <t>YK1M4</t>
  </si>
  <si>
    <t>WOS:001268291300008</t>
  </si>
  <si>
    <t>Lewis, M; Grantham, S</t>
  </si>
  <si>
    <t>Lewis, Monique; Grantham, Susan</t>
  </si>
  <si>
    <t>From Fork Hands to Microchips: An Analysis of Trending #CovidVaccine Content on TikTok</t>
  </si>
  <si>
    <t>TikTok; COVID-19; vaccine; trending hashtags; public health communication</t>
  </si>
  <si>
    <t>TikTok has grown in popularity and has become a platform where users engage with information about COVID-19 in diverse and playful ways. As of July 2021, TikTok videos posted with the hashtag #CovidVaccine collectively received more than 1.4B views, making it the most prominent COVID-related hashtag on TikTok. This study investigates the discourse about COVID-19 vaccination on TikTok by analyzing 100 top TikTok videos that used the hashtag #CovidVaccine. The findings show an overwhelming number of the trending videos were created by citizens who did not identify themselves as professionals or experts, with a low contribution from mega-influencers compared with other influencer types. Content was largely positive in tone toward COVID-19 vaccines, with neutral videos less prominent, offering an agnostic tone about the vaccines. This study highlights some of the challenges and opportunities facing health communicators who seek to better understand TikTok and its audiences and find creative ways to communicate vaccine advocacy on such a pathos-centric, ambiguous platform.</t>
  </si>
  <si>
    <t>[Lewis, Monique; Grantham, Susan] Griffith Univ, Nathan, Australia</t>
  </si>
  <si>
    <t>Griffith University</t>
  </si>
  <si>
    <t>Lewis, M (corresponding author), Griffith Univ, Nathan, Australia.</t>
  </si>
  <si>
    <t>drmoniquelewis@gmail.com; s.grantham@griffith.edu.au</t>
  </si>
  <si>
    <t>Lewis, Monique/JVN-8029-2024</t>
  </si>
  <si>
    <t>T7KQ9</t>
  </si>
  <si>
    <t>WOS:001079739800093</t>
  </si>
  <si>
    <t>Petrovic, S</t>
  </si>
  <si>
    <t>Petrovic, Sonja</t>
  </si>
  <si>
    <t>From karaoke to lip-syncing: performance communities and TikTok use in Japan</t>
  </si>
  <si>
    <t>content analysis; karaoke; hashtags; Japanese users; TikTok; walkthrough method</t>
  </si>
  <si>
    <t>This paper discusses the versatile use of TikTok among Japanese media users in the context of the platform's increased appeal during the COVID-19 pandemic. Japanese users have adopted global trends of sharing creative content under prominent hashtags to spread a sense of togetherness in a time of social isolation. As social forms of entertainment are disrupted and paused, the practice of singing and dancing on TikTok is substituted for the joy of singing in a karaoke bar. This study adopts a walkthrough method to provide an analysis of TikTok's sociotechnical affordances and employs a content analysis for close reading of users' videos and their accompanying captions and hashtags. The study reveals that the socialities previously afforded by karaoke cultures linger in TikTok song and idol dance challenges and duets, hashtag initiatives mimicking karaoke practices, and users' endeavours to become 'TikTok famous'.</t>
  </si>
  <si>
    <t>[Petrovic, Sonja] Univ Melbourne, Melbourne, Vic, Australia</t>
  </si>
  <si>
    <t>University of Melbourne</t>
  </si>
  <si>
    <t>Petrovic, S (corresponding author), Univ Melbourne, Sch Culture &amp; Commun, Teaching Associate Media &amp; Commun, Melbourne, Vic, Australia.</t>
  </si>
  <si>
    <t>sonja.petrovic@unimelb.edu.au</t>
  </si>
  <si>
    <t>Petrovic, Sonja/0000-0001-6389-5751</t>
  </si>
  <si>
    <t>1329878X221106565</t>
  </si>
  <si>
    <t>10.1177/1329878X221106565</t>
  </si>
  <si>
    <t>JUN 2022</t>
  </si>
  <si>
    <t>WOS:000810968900001</t>
  </si>
  <si>
    <t>Peterson-Salahuddin, C</t>
  </si>
  <si>
    <t>Peterson-Salahuddin, Chelsea</t>
  </si>
  <si>
    <t>News for (Me and) You: Exploring the Reporting Practices of Citizen Journalists on TikTok</t>
  </si>
  <si>
    <t>JOURNALISM STUDIES</t>
  </si>
  <si>
    <t>TikTok; citizen journalism; gatekeeping; gatewatching; newsworthiness; news values; algorithmic folk theories; misinformation</t>
  </si>
  <si>
    <t>SOCIAL MEDIA; PARTICIPATORY JOURNALISM; COMMUNITY; COMMUNICATION; PERSPECTIVES; INSTAGRAM</t>
  </si>
  <si>
    <t>The social media platform TikTok is increasingly becoming an important space for sharing and finding news and information, especially for younger people. Most scholarly research examining news sharing on TikTok has focused on practices by professional journalists and news organizations; however, these are only a small percentage of the actors who make up the news information sharing ecosystem on the platform. In particular, citizen journalists play a large role in creating and disseminating news on TikTok. Thus, I interviewed 14 TikTok citizen journalists to understand their news reporting practices. Findings suggest TikTok citizen journalists are guided by the platform logics and concerns around misinformation in the content they post on the platform. This study contributes to the literature on the role of citizen journalists and social media in shaping news disseminated online.</t>
  </si>
  <si>
    <t>[Peterson-Salahuddin, Chelsea] Univ Michigan, Sch Informat Ann Arbor, Ann Arbor, MI 48109 USA</t>
  </si>
  <si>
    <t>University of Michigan System; University of Michigan</t>
  </si>
  <si>
    <t>Peterson-Salahuddin, C (corresponding author), Univ Michigan, Sch Informat Ann Arbor, Ann Arbor, MI 48109 USA.</t>
  </si>
  <si>
    <t>caaps@umich.edu</t>
  </si>
  <si>
    <t>Peterson-Salahuddin, Chelsea/KBQ-5513-2024</t>
  </si>
  <si>
    <t>Peterson-Salahuddin, Chelsea/0000-0001-7006-3259</t>
  </si>
  <si>
    <t>1461-670X</t>
  </si>
  <si>
    <t>1469-9699</t>
  </si>
  <si>
    <t>JOURNALISM STUD</t>
  </si>
  <si>
    <t>Journal. Stud.</t>
  </si>
  <si>
    <t>JUL 3</t>
  </si>
  <si>
    <t>10.1080/1461670X.2023.2293829</t>
  </si>
  <si>
    <t>DEC 2023</t>
  </si>
  <si>
    <t>XM6Z9</t>
  </si>
  <si>
    <t>WOS:001128532100001</t>
  </si>
  <si>
    <t>Grantham, S</t>
  </si>
  <si>
    <t>Grantham, Susan</t>
  </si>
  <si>
    <t>The rise of TikTok elections: the Australian Labor Party's use of TikTok in the 2022 federal election campaigning</t>
  </si>
  <si>
    <t>COMMUNICATION RESEARCH AND PRACTICE</t>
  </si>
  <si>
    <t>TikTok; election campaigns; social media; political campaigns; politics; negative campaigning</t>
  </si>
  <si>
    <t>TikTok is an influential social media platform. During the 2022 Australian Federal election, the major political parties used TikTok as a campaigning tool. This research analysed the TikTok videos from the Australian Labor Party (ALP). The analysis primarily considered how the posts use visibility labour and other TikTok-based performance tools. It was found that they actively engaged in visibility labour, and employed popular culture to frame political issues. For youth who may not be politically active, cultural references can serve as a shared symbolic resource, aiding them in navigating political expression. This makes such references crucial, as they can help engage young users. Although TikTok utilises a short-form approach, the videos can contain substantial content that has the power to persuade viewers. The ALP used popular culture trends and more traditional techniques such as negative campaigning and humour, to attract supporter attention, denigrate the opposition and, attract the attention of all voters.</t>
  </si>
  <si>
    <t>[Grantham, Susan] Griffith Univ, Ctr Social &amp; Cultural Res, Brisbane, Australia</t>
  </si>
  <si>
    <t>Grantham, S (corresponding author), Griffith Univ, Ctr Social &amp; Cultural Res, Brisbane, Australia.</t>
  </si>
  <si>
    <t>s.grantham@griffith.edu.au</t>
  </si>
  <si>
    <t>Grantham, Susan/0000-0003-1255-1590</t>
  </si>
  <si>
    <t>2204-1451</t>
  </si>
  <si>
    <t>2206-3374</t>
  </si>
  <si>
    <t>COMMUN RES PRACT</t>
  </si>
  <si>
    <t>Commun. Res. Pract.</t>
  </si>
  <si>
    <t>10.1080/22041451.2024.2349451</t>
  </si>
  <si>
    <t>MAY 2024</t>
  </si>
  <si>
    <t>ZZ7D7</t>
  </si>
  <si>
    <t>WOS:001234504500001</t>
  </si>
  <si>
    <t>Yun, SNR; Garzon, MC; Morel, KD</t>
  </si>
  <si>
    <t>Yun, Sonora; Garzon, Maria C.; Morel, Kimberly D.</t>
  </si>
  <si>
    <t>An analysis of information about infantile hemangiomas on TikTok: A cross-sectional study</t>
  </si>
  <si>
    <t>PEDIATRIC DERMATOLOGY</t>
  </si>
  <si>
    <t>dermatology; infantile hemangioma; parents; social media; TikTok</t>
  </si>
  <si>
    <t>The video app TikTok, a controversial platform, has increasingly been utilized for the dissemination of health-related topics. In this study, the quality of information on the top 50 most viewed TikTok videos on infantile hemangiomas (IHs) labeled #hemangioma was analyzed. The results showed that the videos were skewed toward more severe subtypes of IH, and most were directed at raising awareness about IH or combating stigmatizing attitudes toward birthmarks. Providers should be aware that social media applications such as TikTok are a commonly used venue for parents to cope and connect but may relay inaccurate or misleading information.</t>
  </si>
  <si>
    <t>[Yun, Sonora] Columbia Univ, Vagelos Coll Phys &amp; Surg, New York, NY 10027 USA; [Garzon, Maria C.; Morel, Kimberly D.] Columbia Univ, Vagelos Coll Phys &amp; Surg, Dept Dermatol, New York, NY USA; [Garzon, Maria C.; Morel, Kimberly D.] Columbia Univ, Vagelos Coll Phys &amp; Surg, Dept Pediat, New York, NY USA</t>
  </si>
  <si>
    <t>Columbia University; Columbia University; Columbia University</t>
  </si>
  <si>
    <t>Yun, SNR (corresponding author), Columbia Univ, Vagelos Coll Phys &amp; Surg, New York, NY 10027 USA.</t>
  </si>
  <si>
    <t>sy2900@cumc.columbia.edu</t>
  </si>
  <si>
    <t>0736-8046</t>
  </si>
  <si>
    <t>1525-1470</t>
  </si>
  <si>
    <t>PEDIATR DERMATOL</t>
  </si>
  <si>
    <t>Pediatr. Dermatol.</t>
  </si>
  <si>
    <t>MAR</t>
  </si>
  <si>
    <t>10.1111/pde.15545</t>
  </si>
  <si>
    <t>Dermatology; Pediatrics</t>
  </si>
  <si>
    <t>LJ3U0</t>
  </si>
  <si>
    <t>WOS:001160973400001</t>
  </si>
  <si>
    <t>Jacobs, KW; Klapak, B; Morford, ZH; Snyder, R</t>
  </si>
  <si>
    <t>Jacobs, Kenneth W.; Klapak, Brian; Morford, Zachary H.; Snyder, Ryan</t>
  </si>
  <si>
    <t>The effects of response disequilibrium on social media use: A laboratory analogue</t>
  </si>
  <si>
    <t>BEHAVIOURAL PROCESSES</t>
  </si>
  <si>
    <t>Commodity substitution; Disequilibrium models; Response deprivation hypothesis; Response disequilibrium theory; Social media use; TikTok</t>
  </si>
  <si>
    <t>DEPRIVATION; REINFORCEMENT</t>
  </si>
  <si>
    <t>Response disequilibrium is the perturbation of unconstrained behavior with a contingency. For example, the imposition of advertisements before or after viewing TikTok videos. The purpose of this laboratory analogue was to determine the effects of two such response disequilibrium conditions: (1) which required participants to view 5 s increments of advertisements to access 2 s increments of TikTok videos and (2) which required participants to view 5 s increments of TikTok videos to access 15 s increments of advertisements. The disequilibrium condition in (1) is called a response deficit due to the restricted access to TikTok videos relative to baseline while (2) is called a response excess due to the overabundance of advertisements relative to baseline. Additionally, participants had access to a third activity that was freely available throughout. Participants could browse images of TikTok video thumbnails while in deficit and excess. As predicted, participants increased their viewing of advertisements when TikTok was in deficit and decreased their viewing of TikTok when advertisements were in excess. Furthermore, some participants substituted TikTok with browsing during the excess of advertisements. This investigation has implications for a behavioral economic analysis of social media use and the contingency management of time spent on these platforms.</t>
  </si>
  <si>
    <t>[Jacobs, Kenneth W.; Klapak, Brian; Snyder, Ryan] Salem State Univ, 352 Lafayette St, Salem, MA 01970 USA; [Morford, Zachary H.] Centria Healthcare, 27777 Inkster Rd, Suite 100, Farmington Hills, MI 48334 USA</t>
  </si>
  <si>
    <t>Massachusetts System of Public Higher Education; Salem State University</t>
  </si>
  <si>
    <t>Jacobs, KW (corresponding author), Salem State Univ, 352 Lafayette St, Salem, MA 01970 USA.</t>
  </si>
  <si>
    <t>kjacobs@salemstate.edu</t>
  </si>
  <si>
    <t>0376-6357</t>
  </si>
  <si>
    <t>1872-8308</t>
  </si>
  <si>
    <t>BEHAV PROCESS</t>
  </si>
  <si>
    <t>Behav. Processes</t>
  </si>
  <si>
    <t>10.1016/j.beproc.2024.104995</t>
  </si>
  <si>
    <t>Psychology, Biological; Behavioral Sciences; Zoology</t>
  </si>
  <si>
    <t>Psychology; Behavioral Sciences; Zoology</t>
  </si>
  <si>
    <t>JI6E2</t>
  </si>
  <si>
    <t>WOS:001172567200001</t>
  </si>
  <si>
    <t>Literat, I; Boxman-Shabtai, L; Kligler-Vilenchik, N</t>
  </si>
  <si>
    <t>Literat, Ioana; Boxman-Shabtai, Lillian; Kligler-Vilenchik, Neta</t>
  </si>
  <si>
    <t>Protesting the Protest Paradigm: TikTok as a Space for Media Criticism</t>
  </si>
  <si>
    <t>INTERNATIONAL JOURNAL OF PRESS-POLITICS</t>
  </si>
  <si>
    <t>media criticism; protest paradigm; social media; TikTok; Black Lives Matter; Capitol riot</t>
  </si>
  <si>
    <t>SOCIAL MEDIA; PUBLIC SPHERE; PERSPECTIVES; AFFORDANCES; MOVEMENTS</t>
  </si>
  <si>
    <t>Though news representations of protest have been studied extensively, little is known about how media audiences critique such representations. Focusing on TikTok as a space for media criticism, this article examines how users employ the app to respond to representations of protest in mainstream news media. Content collected in the spring of 2021 illuminated two very distinct foci of discussion about news representations of protest: the Black Lives Matter movement and the Capitol riot. Our qualitative content analysis of TikTok videos and their related comments demonstrates how users employed TikTok's creative affordances to dissect specific news representations, critique the media apparatus, and expand news narratives. These findings shed light on the complex role of TikTok as a platform for media criticism-one that can be used for both democratic and non-democratic ends.</t>
  </si>
  <si>
    <t>[Literat, Ioana] Columbia Univ, Commun Media &amp; Learning Technol Design Program, Teachers Coll, Columbia, SC USA; [Literat, Ioana] Columbia Univ, Media &amp; Social Change Lab, Teachers Coll, Columbia, SC USA; [Boxman-Shabtai, Lillian] Hebrew Univ Jerusalem, Dept Commun &amp; Journalism, Jerusalem, Israel; [Kligler-Vilenchik, Neta] Hebrew Univ Jerusalem, Dept Commun &amp; Journalism, Jerusalem, Israel; [Kligler-Vilenchik, Neta] Stanford Univ, Ctr Adv Study Behav Sci, Stanford, CA 94305 USA</t>
  </si>
  <si>
    <t>Columbia University; Columbia University; Hebrew University of Jerusalem; Hebrew University of Jerusalem; Stanford University</t>
  </si>
  <si>
    <t>Literat, I (corresponding author), Columbia Univ, Teachers Coll, 525 W 120th St,Box 019, New York, NY 10027 USA.</t>
  </si>
  <si>
    <t>literat@tc.columbia.edu</t>
  </si>
  <si>
    <t>Kligler-Vilenchik, Neta/J-3472-2019</t>
  </si>
  <si>
    <t>Boxman-Shabtai, Lillian/0000-0003-4893-6425; Kligler-Vilenchik, Neta/0000-0003-3470-3305; Literat, Ioana/0000-0001-8192-769X</t>
  </si>
  <si>
    <t>1940-1612</t>
  </si>
  <si>
    <t>1940-1620</t>
  </si>
  <si>
    <t>INT J PRESS/POLIT</t>
  </si>
  <si>
    <t>Int. J. Press-Polit.</t>
  </si>
  <si>
    <t>10.1177/19401612221117481</t>
  </si>
  <si>
    <t>AUG 2022</t>
  </si>
  <si>
    <t>Communication; Political Science</t>
  </si>
  <si>
    <t>Communication; Government &amp; Law</t>
  </si>
  <si>
    <t>9S8BN</t>
  </si>
  <si>
    <t>WOS:000834560000001</t>
  </si>
  <si>
    <t>Shi, J; Ali, M; Chew, F</t>
  </si>
  <si>
    <t>Shi, Jian; Ali, Mohammad; Chew, Fiona</t>
  </si>
  <si>
    <t>Understanding gratifications for engaging with short-video: a comparison of TikTok use in the USA and China</t>
  </si>
  <si>
    <t>INTERNATIONAL JOURNAL OF MOBILE COMMUNICATIONS</t>
  </si>
  <si>
    <t>TikTok mobile app; uses and gratifications theory; UGT; survey; short-video engagement; comparison; USA; China</t>
  </si>
  <si>
    <t>SOCIAL MEDIA; PARTICIPATION; SOCIABILITY; PERFORMANCE; CONSUMPTION; ENGAGEMENT; FACEBOOK; TRUST</t>
  </si>
  <si>
    <t>As one of the first comparative TikTok studies, we examine TikTok mobile app users' gratifications sought, gratifications obtained, and engagement in the USA and China to conceptualise a new comprehensive gratifications engagement model. This study comprises an original survey conducted in the USA (N = 148) and China (N = 150) in 2018. Our theoretical model predicted three TikTok engagement typologies among American and Chinese users, further providing evidence of the cross-cultural application of uses and gratifications theory. Overall, TikTok users tend to be more active in promoting themselves engaged in TikTok's video content than traditional short-video app (e.g., Snapchat) users. Our findings show that gratifications sought to play a more important role in the American engagement effects model than in the Chinese model. The outcomes of this study could be utilised by corporate brands to create better appeal strategies for customer engagement with the TikTok app.</t>
  </si>
  <si>
    <t>[Shi, Jian; Ali, Mohammad; Chew, Fiona] Syracuse Univ, SI Newhouse Sch Publ Commun, 215 Univ Pl, Syracuse, NY 13210 USA</t>
  </si>
  <si>
    <t>Syracuse University</t>
  </si>
  <si>
    <t>Shi, J (corresponding author), Syracuse Univ, SI Newhouse Sch Publ Commun, 215 Univ Pl, Syracuse, NY 13210 USA.</t>
  </si>
  <si>
    <t>jshi34@syr.edu; mali12@syr.edu; cmrfchew@syr.edu</t>
  </si>
  <si>
    <t>S.I. Newhouse School of Public Communications, Syracuse University</t>
  </si>
  <si>
    <t>This work was partially supported by a faculty seed project grant awarded to co-author, Fiona Chew by the S.I. Newhouse School of Public Communications, Syracuse University.</t>
  </si>
  <si>
    <t>1470-949X</t>
  </si>
  <si>
    <t>1741-5217</t>
  </si>
  <si>
    <t>INT J MOB COMMUN</t>
  </si>
  <si>
    <t>Int. J. Mob. Commun.</t>
  </si>
  <si>
    <t>10.1504/IJMC.2024.136627</t>
  </si>
  <si>
    <t>HT0K8</t>
  </si>
  <si>
    <t>WOS:001161637200002</t>
  </si>
  <si>
    <t>Podosokorsky, NN</t>
  </si>
  <si>
    <t>Podosokorsky, Nikolai N.</t>
  </si>
  <si>
    <t>Soft Power of TikTok: The Social Network That Conquered the World</t>
  </si>
  <si>
    <t>NAUKA TELEVIDENIYA-THE ART AND SCIENCE OF TELEVISION</t>
  </si>
  <si>
    <t>Russian</t>
  </si>
  <si>
    <t>TikTok; new media; blogging; China; PRC; social networks; video platforms; vloggers; TikTokers; censorship; Danya Milokhin; media manipulation</t>
  </si>
  <si>
    <t>This article discusses the rise of TikTok, a relatively young but extremely popular Chinese social network for sharing short-form original videos (mostly entertaining). By the end of 2021, TikTok had surpassed the American search engine Google as the most visited website on the Internet. With its billion unique visitors each month, it is the only top 10 website whose parent company (ByteDance) is located outside the U.S. In the article, I analyze the specifics of TikTok's presence in the Russian segment of the Internet, its gradual politicization, and the problems the platform has faced over the last two years. In 2021, TikTok surpassed VKontakte, the most popular social network in Russia, in terms of time spent using the app. And, although the service had some friction with the Russian authorities, there is still no full-fledged replacement for it. So far, Yappy-the Russian analog for TikTok-does not look like its serious competitor at all. The article covers what concerns the authorities of other countries have about this social network, and how TikTok in general affects Internet culture. I look into the values propagated by TikTok among young people. In the conclusion, I put forward a hypothesis, which requires further study, that TikTok is now a super effective world-scale soft power tool of the People's Republic of China.</t>
  </si>
  <si>
    <t>[Podosokorsky, Nikolai N.] Yaroslav Wise Novgorod State Univ, Higher Humanitarian Sch Antonovo, Sankt Peterburgskaya 41, Veliky Novgorod 173021, Russia</t>
  </si>
  <si>
    <t>Yaroslav the Wise Novgorod State University</t>
  </si>
  <si>
    <t>Podosokorsky, NN (corresponding author), Yaroslav Wise Novgorod State Univ, Higher Humanitarian Sch Antonovo, Sankt Peterburgskaya 41, Veliky Novgorod 173021, Russia.</t>
  </si>
  <si>
    <t>n.podosokorskiy@gmal.com</t>
  </si>
  <si>
    <t>GUMANITARNII INST TELEVIDENIYA &amp; RADIOVESCHANIYA IMENI M A LITOVCHINA-GITR</t>
  </si>
  <si>
    <t>MOSCOW</t>
  </si>
  <si>
    <t>KHOROVSHEVSKOE SHOSSE, D 32A, MOSCOW, MOSVA, RUSSIA</t>
  </si>
  <si>
    <t>1994-9529</t>
  </si>
  <si>
    <t>2587-9782</t>
  </si>
  <si>
    <t>NAUKA TELEVIDENIYA</t>
  </si>
  <si>
    <t>Nauka Televidenya</t>
  </si>
  <si>
    <t>10.30628/1994-9529-2022-18.2-117-146</t>
  </si>
  <si>
    <t>Film, Radio, Television</t>
  </si>
  <si>
    <t>Film, Radio &amp; Television</t>
  </si>
  <si>
    <t>7Z6FE</t>
  </si>
  <si>
    <t>WOS:000915652300005</t>
  </si>
  <si>
    <t>Zhang, YB; Liu, CL; Lang, CM</t>
  </si>
  <si>
    <t>Zhang, Yanbo; Liu, Chuanlan; Lang, Chunmin</t>
  </si>
  <si>
    <t>How luxury fashion brands leverage TikTok to captivate young consumers: an exploratory investigation using video analytics</t>
  </si>
  <si>
    <t>JOURNAL OF MARKETING ANALYTICS</t>
  </si>
  <si>
    <t>Marketing analytics; Social media video analytics; TikTok; Luxury fashion brand; Consumer engagement; Young consumer</t>
  </si>
  <si>
    <t>SOCIAL MEDIA; CUSTOMER ENGAGEMENT; FUNDAMENTAL PROPOSITIONS; MARKETING ANALYTICS; PURCHASE INTENTION; PERSPECTIVE; FRAMEWORK; PLATFORM</t>
  </si>
  <si>
    <t>Fashion brands including luxury brands are embracing TikTok to access young consumers, but there is a notable absence of research on how luxury fashion brands can leverage TikTok. Video analytics is crucial for understanding marketing communications via TikTok, a video-based social media platform. This study aims to examine how luxury brands establish their presence and effectively attract and engage with young consumers on TikTok through social media video analytics. A multiple case study approach was employed on the selected four luxury fashion brands. Data were collected from the selected brands' official accounts, endorsed users' accounts, and related hashtag links on TikTok. A three-stage content analysis of social media video analytics was conducted. The common and customized strategies employed across the selected brands on TikTok were identified, respectively. The findings revealed that young consumers prefer high-quality videos regarding branding messages, branded challenges, and influencers-led branded content. A consumer-brand engagement framework was proposed based on the data analysis. This research contributes to understanding how TikTok benefits the fashion industry and offers theoretical and practical insights for fashion brands to better harness TikTok. This study represents a pioneering endeavor in exploring social media video analytics, contributing to the advancement of marketing analytics literature.</t>
  </si>
  <si>
    <t>[Zhang, Yanbo; Liu, Chuanlan; Lang, Chunmin] Louisiana State Univ, Dept Text Apparel Design &amp; Merchandising, 215A,Human Ecol Bldg, Baton Rouge, LA 70803 USA</t>
  </si>
  <si>
    <t>Louisiana State University System; Louisiana State University</t>
  </si>
  <si>
    <t>Zhang, YB (corresponding author), Louisiana State Univ, Dept Text Apparel Design &amp; Merchandising, 215A,Human Ecol Bldg, Baton Rouge, LA 70803 USA.</t>
  </si>
  <si>
    <t>yzha197@lsu.edu</t>
  </si>
  <si>
    <t>Liu, Chuanlan/LFS-8504-2024; Zhang, Yanbo/KJL-0491-2024</t>
  </si>
  <si>
    <t>Zhang, Yanbo/0009-0006-2299-3172; Liu, Chuanlan/0000-0002-8800-3112</t>
  </si>
  <si>
    <t>PALGRAVE MACMILLAN LTD</t>
  </si>
  <si>
    <t>BASINGSTOKE</t>
  </si>
  <si>
    <t>BRUNEL RD BLDG, HOUNDMILLS, BASINGSTOKE RG21 6XS, HANTS, ENGLAND</t>
  </si>
  <si>
    <t>2050-3318</t>
  </si>
  <si>
    <t>2050-3326</t>
  </si>
  <si>
    <t>J MARK ANAL</t>
  </si>
  <si>
    <t>J. Market. Anal.</t>
  </si>
  <si>
    <t>2024 JAN 6</t>
  </si>
  <si>
    <t>10.1057/s41270-023-00276-w</t>
  </si>
  <si>
    <t>Business</t>
  </si>
  <si>
    <t>EE3H8</t>
  </si>
  <si>
    <t>WOS:001137198900001</t>
  </si>
  <si>
    <t>Pryde, S; Prichard, I</t>
  </si>
  <si>
    <t>Pryde, Samantha; Prichard, Ivanka</t>
  </si>
  <si>
    <t>TikTok on the clock but the #fitspo don't stop: The impact of TikTok fitspiration videos on women's body image concerns</t>
  </si>
  <si>
    <t>BODY IMAGE</t>
  </si>
  <si>
    <t>Body image; Fit ideal internalisation; Appearance comparison; Fitspiration; Social media; TikTok; Women</t>
  </si>
  <si>
    <t>ECOLOGICAL MOMENTARY ASSESSMENT; SELF-OBJECTIFICATION; APPEARANCE COMPARISONS; IDEAL INTERNALIZATION; MEDIATING ROLE; INSTAGRAM USE; SOCIAL MEDIA; EXERCISE; THINSPIRATION; DISSATISFACTION</t>
  </si>
  <si>
    <t>Fitspiration is a popular social media trend that aims to inspire individuals to improve their health and fitness through diet and exercise. However, viewing fitspiration content on Instagram has been identified as a contributor to negative body image, especially for young women. With the growing popularity of the video sharing platform TikTok and concerns over its content, the present study aimed to experimentally examine the effect of exposure to fitspiration TikTok videos on young women's body dissatisfaction, appearance comparison and mood. The roles of state appearance comparison as a mediator and trait fit ideal internalisation as a moderator were also considered. Young women (18-25, N = 120) from Australia were randomly allocated to view a set of fitspiration videos or a set of art control videos from TikTok. Results indicated that exposure to fitspiration TikTok videos increased state appearance comparison and state negative mood relative to art TikTok videos but did not directly increase state body dissatisfaction. State appearance comparison significantly mediated the effect of TikTok videos on body dissatisfaction and mood, however, there was no moderating effect of trait fit ideal internalisation. These findings highlight the importance of state appearance comparison in relation to viewing fitspiration content on TikTok. (c) 2022 Elsevier Ltd. All rights reserved.</t>
  </si>
  <si>
    <t>[Pryde, Samantha] Flinders Univ S Australia, Coll Educ Psychol Social Work, Psychol, Adelaide, SA, Australia; [Pryde, Samantha; Prichard, Ivanka] Flinders Univ S Australia, Caring Futures Inst, Adelaide, SA, Australia; [Prichard, Ivanka] Flinders Univ S Australia, Coll Nursing Hlth Sci, Hlth &amp; Exercise Sci, Adelaide, SA, Australia; [Prichard, Ivanka] Flinders Univ S Australia, SHAPE Res Ctr, Adelaide, SA, Australia</t>
  </si>
  <si>
    <t>Flinders University South Australia; Flinders University South Australia; Flinders University South Australia; Flinders University South Australia</t>
  </si>
  <si>
    <t>Pryde, S (corresponding author), Flinders Univ S Australia, Coll Educ Psychol Social Work, Psychol, Adelaide, SA, Australia.</t>
  </si>
  <si>
    <t>samantha.pryde@flinders.edu.au</t>
  </si>
  <si>
    <t>Pryde, Samantha/0009-0003-7488-1306; Prichard, Ivanka/0000-0001-8892-9129</t>
  </si>
  <si>
    <t>1740-1445</t>
  </si>
  <si>
    <t>1873-6807</t>
  </si>
  <si>
    <t>Body Image</t>
  </si>
  <si>
    <t>10.1016/j.bodyim.2022.09.004</t>
  </si>
  <si>
    <t>Psychology, Clinical; Psychiatry; Psychology, Multidisciplinary</t>
  </si>
  <si>
    <t>Psychology; Psychiatry</t>
  </si>
  <si>
    <t>DE8E2</t>
  </si>
  <si>
    <t>WOS:001130437000004</t>
  </si>
  <si>
    <t>Zeng, J; Abidin, C; Schäfer, MS</t>
  </si>
  <si>
    <t>Zeng, Jing; Abidin, Crystal; Schafer, Mike S.</t>
  </si>
  <si>
    <t>Research Perspectives on TikTok and Its Legacy Apps</t>
  </si>
  <si>
    <t>TikTok; short-video platform; social media; digital culture</t>
  </si>
  <si>
    <t>TikTok, a short-video app featuring video content between 15 and 60 seconds long, has in the last few years become immensely popular around the world. Because of its Chinese ownership and popularity among underage users, however, the platform has attracted criticism and been subject to close scrutiny. Despite these hurdles, TikTok has emerged as a hub for creativity and is being used by educators and governments to reach out to the younger demographic. This Special Section is among the first collections of articles in the growing field of studies on TikTok and its legacy apps. It provides a glimpse of the nascent framings, approaches, methodologies, and applications of TikTok studies in the field of social media scholarship.</t>
  </si>
  <si>
    <t>[Zeng, Jing; Schafer, Mike S.] Univ Zurich, Zurich, Switzerland; [Abidin, Crystal] Curtin Univ, Perth, WA, Australia</t>
  </si>
  <si>
    <t>University of Zurich; Curtin University</t>
  </si>
  <si>
    <t>Zeng, J (corresponding author), Univ Zurich, Zurich, Switzerland.</t>
  </si>
  <si>
    <t>j.zeng@ikmz.uzh.ch; Crystal.Abidin@curtin.edu.au; m.schaefer@ikmz.uzh.ch</t>
  </si>
  <si>
    <t>Schafer, Mike/F-7238-2010; zeng, jing/JDW-4350-2023</t>
  </si>
  <si>
    <t>WOS:000729944300050</t>
  </si>
  <si>
    <t>Shao, JH; Zhao, ML; Lyu, Y; Chen, YG</t>
  </si>
  <si>
    <t>Shao, Jinhua; Zhao, Meiling; Lyu, Yan; Chen, Yugang</t>
  </si>
  <si>
    <t>WhY DO USERS KEEP COMING BACK TO TIKTOK? UNDERSTANDING USERS' MOTIVATION TOWARD ThE CONTINUOUS USE INTENTION OF ChINESE ADOLESCENT SOCIAL MEDIA USERS</t>
  </si>
  <si>
    <t>INNOVATIVE MARKETING</t>
  </si>
  <si>
    <t>TikTok; use motivation; self-expression; user; satisfaction; entertainment; information seeking; communication; passing time</t>
  </si>
  <si>
    <t>GRATIFICATIONS; FACEBOOK; SELF; INTERNET; SITES; WEB</t>
  </si>
  <si>
    <t>In recent years, the TikTok platform has made a significant impact in the social media market worldwide, now holding a large market share in the short video service market popular with young people. Despite all this success, there is little research on how Internet users become loyal to TikTok. Hence, this study proposes a framework based on the use and gratification theory to evaluate the antecedents of adolescents' continuous use motivations and behavior, and how they influence teenagers' continuous use of TikTok. The survey population for this study was reached both online and offline. A total of 362 adolescent Chinese users of the TikTok platform were surveyed. The results show that self-expression, entertainment, information seeking, communication, and passing time were derived as adolescents' motivations to use TikTok. Among these motivations, entertainment, communication, and passing time positively affect user satisfaction with TikTok. Furthermore, user satisfaction and loyalty positively affect the intention to continue using TikTok. Finally, this study advances understanding of adolescents' use motivation of TikTok and provides new reference material for the continuous innovation of the short video format.</t>
  </si>
  <si>
    <t>[Shao, Jinhua; Lyu, Yan] Anhui Univ Sci &amp; Technol, Sch Humanities &amp; Social Sci, Huainan, Peoples R China; [Zhao, Meiling] Hainan Trop Ocean Univ, Coll Tourism, Sanya, Peoples R China; [Chen, Yugang] East China Univ Technol, Sch Art, Nanchang, Jiangxi, Peoples R China</t>
  </si>
  <si>
    <t>Anhui University of Science &amp; Technology; Hainan Tropical Ocean University; East China University of Technology</t>
  </si>
  <si>
    <t>Zhao, ML (corresponding author), Hainan Trop Ocean Univ, Coll Tourism, Sanya, Peoples R China.</t>
  </si>
  <si>
    <t>Shao, Jinhua/JCD-8455-2023</t>
  </si>
  <si>
    <t>Shao, Jinhua/0009-0009-5498-4782</t>
  </si>
  <si>
    <t>Research Project of Anhui University of Science and Technology in 2023 [2023yjrc30]; Research Projects of Humanities and Social Sciences in Colleges and Universities in Anhui Province [SK2020A0199]</t>
  </si>
  <si>
    <t>Research Project of Anhui University of Science and Technology in 2023; Research Projects of Humanities and Social Sciences in Colleges and Universities in Anhui Province</t>
  </si>
  <si>
    <t>This study appreciated the partial financial support from Research Project of Anhui University of Science and Technology in 2023 (Project topic: Research on the construction and improvement strategy of mobile shopping experience evaluation system from the perspective of experience economy; Grant number: 2023yjrc30) and Key Research Projects of Humanities and Social Sciences in Colleges and Universities in Anhui Province (Project topic: Research on the Management Mechanism and Practical Path of Anhui Free Trade Zone; Grant number: SK2020A0199) .</t>
  </si>
  <si>
    <t>LLC CPC BUSINESS PERSPECTIVES</t>
  </si>
  <si>
    <t>SUMY</t>
  </si>
  <si>
    <t>HRYHORII SKOVORODA LN, 10, SUMY, 40022, UKRAINE</t>
  </si>
  <si>
    <t>1814-2427</t>
  </si>
  <si>
    <t>1816-6326</t>
  </si>
  <si>
    <t>INNOV MARKET</t>
  </si>
  <si>
    <t>Innovation Marketing</t>
  </si>
  <si>
    <t>10.21511/im.19(3).2023.12</t>
  </si>
  <si>
    <t>W7JB3</t>
  </si>
  <si>
    <t>WOS:001093339300012</t>
  </si>
  <si>
    <t>Plötz, S; Martinez, LM; Martinez, LF; Ramos, FR</t>
  </si>
  <si>
    <t>Martinez-Lopez, FJ</t>
  </si>
  <si>
    <t>Plotz, Susanne; Martinez, Luisa M.; Martinez, Luis F.; Ramos, Filipe R.</t>
  </si>
  <si>
    <t>The Influence of TikTok Videos on German Gen Z Consumers' Attitude and Purchase Intention Towards Sustainable Brands</t>
  </si>
  <si>
    <t>ADVANCES IN DIGITAL MARKETING AND ECOMMERCE, DMEC 2023</t>
  </si>
  <si>
    <t>4th International Conference on Advances in Digital Marketing and eCommerce (DMeC)</t>
  </si>
  <si>
    <t>JUN 28-29, 2023</t>
  </si>
  <si>
    <t>Consumer behavior; consumer attitude; purchase intention; sustainability; sustainable brands; TikTok; social media; online advertisements; germany</t>
  </si>
  <si>
    <t>GREEN CONSUMER; SOCIAL MEDIA; TRUST; CONSUMPTION; FACEBOOK</t>
  </si>
  <si>
    <t>Recently, Gen Z has become the largest group of consumers worldwide and as they are being digitally driven by social media, this is the best way to reach them. One social media app has become popular for this generation - TikTok. Another characteristic most Gen Z individuals show is their cheerful outlook towards sustainability. Thus, this study investigates the influence of TikTok videos on Gen Z consumers' attitude and purchase intentions towards sustainable brands. Primary data were collected using a self-administered online questionnaire with 241 valid responses from Gen Z TikTok users in Germany. The research findings show that TikTok has an influence on Gen Z consumers' behavior. Therefore, it is recommended that sustainable brands promote their products on TikTok. This study can help marketers and researchers in comprehending the consumers' attitude towards TikTok videos and understanding how to use it as a base for future studies and development of strategies that appeal to Gen Z's demands.</t>
  </si>
  <si>
    <t>[Plotz, Susanne; Martinez, Luis F.] Univ Nova Lisboa, Nova Sch Business &amp; Econ, Carcavelos, Portugal; [Martinez, Luisa M.] Inst Portugues Adm Mkt IPAM Lisboa, Lisbon, Portugal; [Martinez, Luisa M.] UNIDCOM IADE, Unidade Invest Design &amp; Comunicacao, Lisbon, Portugal; [Ramos, Filipe R.] Univ Lisbon, Fac Ciencias, CEAUL Ctr Estat &amp; Aplicacoes, Lisbon, Portugal</t>
  </si>
  <si>
    <t>Universidade Nova de Lisboa; Universidade Europeia; Universidade de Lisboa</t>
  </si>
  <si>
    <t>Martinez, LF (corresponding author), Univ Nova Lisboa, Nova Sch Business &amp; Econ, Carcavelos, Portugal.</t>
  </si>
  <si>
    <t>luis.martinez@novasbe.pt</t>
  </si>
  <si>
    <t>Martinez, Luis/V-6776-2019; Martinez, Luisa/CAI-2927-2022; Ramos, Filipe R./AAG-2623-2021</t>
  </si>
  <si>
    <t>Martinez, Luis/0000-0002-9554-5374; Ramos, Filipe R./0000-0002-8326-3310</t>
  </si>
  <si>
    <t>978-3-031-31838-2; 978-3-031-31836-8; 978-3-031-31835-1</t>
  </si>
  <si>
    <t>10.1007/978-3-031-31836-8_27</t>
  </si>
  <si>
    <t>BX6JL</t>
  </si>
  <si>
    <t>WOS:001310121900027</t>
  </si>
  <si>
    <t>Nazarov, D; Nazarov, A; Nazarova, A</t>
  </si>
  <si>
    <t>IEEE</t>
  </si>
  <si>
    <t>Nazarov, Dmitry; Nazarov, Anton; Nazarova, Aleksandra</t>
  </si>
  <si>
    <t>Model of Fuzzy Assessment of The Account's Content in The TikTok Social Network</t>
  </si>
  <si>
    <t>2021 IEEE 15TH INTERNATIONAL CONFERENCE ON APPLICATION OF INFORMATION AND COMMUNICATION TECHNOLOGIES (AICT2021)</t>
  </si>
  <si>
    <t>International Conference on Application of Information and Communication Technologies</t>
  </si>
  <si>
    <t>IEEE 15th International Conference on Application of Information and Communication Technologies (AICT)</t>
  </si>
  <si>
    <t>OCT 13-15, 2021</t>
  </si>
  <si>
    <t>IEEE,ADA Univ,George Washington Univ,Inst Informat Sci &amp; Technologies Alessandro Faedo</t>
  </si>
  <si>
    <t>TikTok; fuzzyTech; fuzzy model; followers; beauty; trends; social networks</t>
  </si>
  <si>
    <t>The authors conducted a study evaluating the content of various accounts on the TikTok social network, taking into account the growth in the number of subscribers. The toolkit of the TikTok network was studied, and the main factors that affect the quality of an individual's account content were identified. As a result, a fuzzy model was built for assessing the content, qualitative and quantitative analysis of its results was processed.</t>
  </si>
  <si>
    <t>[Nazarov, Dmitry; Nazarov, Anton; Nazarova, Aleksandra] Ural State Univ Econ, Dept Business Informat, Ekaterinburg, Russia</t>
  </si>
  <si>
    <t>Ural State University of Economics</t>
  </si>
  <si>
    <t>Nazarov, D (corresponding author), Ural State Univ Econ, Dept Business Informat, Ekaterinburg, Russia.</t>
  </si>
  <si>
    <t>slup2005@mail.ru; nazarovad@usue.ru; aleksandranazarova2002@mail.ru</t>
  </si>
  <si>
    <t>Nazarov, Anton/AAB-4596-2021</t>
  </si>
  <si>
    <t>345 E 47TH ST, NEW YORK, NY 10017 USA</t>
  </si>
  <si>
    <t>2378-8232</t>
  </si>
  <si>
    <t>2472-8586</t>
  </si>
  <si>
    <t>978-1-6654-3640-3</t>
  </si>
  <si>
    <t>I C APPL INF COMM TE</t>
  </si>
  <si>
    <t>10.1109/AICT52784.2021.9620309</t>
  </si>
  <si>
    <t>Computer Science, Information Systems; Telecommunications</t>
  </si>
  <si>
    <t>Computer Science; Telecommunications</t>
  </si>
  <si>
    <t>BT8GH</t>
  </si>
  <si>
    <t>WOS:000853096900019</t>
  </si>
  <si>
    <t>Chaihanchanchai, P; Anantachart, S</t>
  </si>
  <si>
    <t>Chaihanchanchai, Papaporn; Anantachart, Saravudh</t>
  </si>
  <si>
    <t>An empirical evidence of factors underlying TikTok usage: A serial mediation analysis</t>
  </si>
  <si>
    <t>JOURNAL OF MARKETING COMMUNICATIONS</t>
  </si>
  <si>
    <t>TikTok; consumer behavior; user engagement; emotion; perceived value</t>
  </si>
  <si>
    <t>BRAND ENGAGEMENT; SOCIAL MEDIA; PERCEIVED VALUE; CUSTOMER SATISFACTION; DISCRIMINANT VALIDITY; MOBILE VALUE; GRATIFICATIONS; ACCEPTANCE; EMOTIONS; ANTECEDENTS</t>
  </si>
  <si>
    <t>The number of TikTok users across the world continues to grow, making it an emerging social media platform for brands and social media businesses. Understanding psychological factors driving TikTok usage is imperative. This study delves into the sequential mediating effect of user engagement and positive emotions on the perceived value-usage intention link. Conducting an online survey with 442 TikTok users, results reveal a robust correlation between perceived value and user engagement, fostering positive emotions and reinforcing intention to use TikTok. The study, contributing empirical evidence, addresses the less-explored intersection of social media and cyberspace psychology within the evolving media landscape.</t>
  </si>
  <si>
    <t>[Chaihanchanchai, Papaporn; Anantachart, Saravudh] Chulalongkorn Univ, Advertising &amp; Brand Commun Program, Fac Commun Arts, Bangkok 10330, Thailand</t>
  </si>
  <si>
    <t>Chulalongkorn University</t>
  </si>
  <si>
    <t>Anantachart, S (corresponding author), Chulalongkorn Univ, Advertising &amp; Brand Commun Program, Fac Commun Arts, Bangkok 10330, Thailand.</t>
  </si>
  <si>
    <t>saravudh.a@chula.ac.th</t>
  </si>
  <si>
    <t>Chaihanchanchai, Papaporn/GYJ-6191-2022; Anantachart, Saravudh/AAP-5478-2020</t>
  </si>
  <si>
    <t>Chaihanchanchai, Papaporn/0000-0002-6809-941X; Anantachart, Saravudh/0000-0002-8810-0780</t>
  </si>
  <si>
    <t>1352-7266</t>
  </si>
  <si>
    <t>1466-4445</t>
  </si>
  <si>
    <t>J MARK COMMUN</t>
  </si>
  <si>
    <t>J. Market. Commun.</t>
  </si>
  <si>
    <t>2024 OCT 25</t>
  </si>
  <si>
    <t>10.1080/13527266.2024.2419024</t>
  </si>
  <si>
    <t>OCT 2024</t>
  </si>
  <si>
    <t>Business; Communication</t>
  </si>
  <si>
    <t>Business &amp; Economics; Communication</t>
  </si>
  <si>
    <t>K0G6M</t>
  </si>
  <si>
    <t>WOS:001340759000001</t>
  </si>
  <si>
    <t>Kamran, S</t>
  </si>
  <si>
    <t>Kamran, Sidra</t>
  </si>
  <si>
    <t>The Thermometer Broke! Digital Purdah, Class, and Gender Transgressions on Pakistani TikTok</t>
  </si>
  <si>
    <t>Muslim women; sexuality; social media; veiling; working class</t>
  </si>
  <si>
    <t>WOMEN</t>
  </si>
  <si>
    <t>Research on women's social media practices in Muslim societies has primarily focused on middle-class or elite women, such as influencers, activists, and members of online communities. However, we know little about working-class women's use of social media in Muslim contexts. Using ethnography and interviews, I analyze TikTok's early popularity with working-class women in Pakistan and report three main findings. First, TikTok's initial reception in Pakistan was fractured across class lines; whereas middle-class and elite women dismissed it, working-class women flocked to it, and TikTok became associated with a low-class femininity. Second, women engaged in a range of gender transgressions on TikTok. Third, women simultaneously crafted new practices of digital purdah, or veiling, on TikTok. I contribute to scholarship on digital purdah by, first, showing how women combine tools available on TikTok with other veiling strategies to conceal their identity while expressing their sexuality and second, arguing that digital purdah is compatible, rather than incongruous, with gender transgressions on TikTok. By showing how co-constituted class and gender dynamics shaped the simultaneous popularity and moral disapproval of TikTok in Pakistan, I argue for increased attention to class dynamics in studies of new social media platforms.</t>
  </si>
  <si>
    <t>[Kamran, Sidra] Lewis &amp; Clark Coll, Portland, OR 97219 USA; [Kamran, Sidra] Lewis &amp; Clark Coll, Dept Sociol &amp; Anthropol, 615 S Palatine Hill Rd, Portland, OR 97219 USA</t>
  </si>
  <si>
    <t>Kamran, S (corresponding author), Lewis &amp; Clark Coll, Dept Sociol &amp; Anthropol, 615 S Palatine Hill Rd, Portland, OR 97219 USA.</t>
  </si>
  <si>
    <t>sidrak@lclark.edu</t>
  </si>
  <si>
    <t>Kamran, Sidra/0000-0001-5312-1293</t>
  </si>
  <si>
    <t>10.1177/20563051231182359</t>
  </si>
  <si>
    <t>J5XF0</t>
  </si>
  <si>
    <t>WOS:001010336800001</t>
  </si>
  <si>
    <t>TikTok's Spiral of Antisemitism</t>
  </si>
  <si>
    <t>JOURNALISM AND MEDIA</t>
  </si>
  <si>
    <t>social media; hate speech; TikTok; antisemitism</t>
  </si>
  <si>
    <t>TIK TOK</t>
  </si>
  <si>
    <t>The growing presence of antisemitism on social media platforms has become more prominent in recent years. Yet, while most of the scholarly attention has been focused on leading platforms like Twitter, Facebook, or Instagram, the extremist immigration to other platforms like TikTok went unnoticed. TikTok is the fastest-growing application today, attracting a huge audience of 1.2 billion active users, mostly children and teenagers. This report is based on two studies, conducted in 2020 and 2021, applying a systematic content analysis of TikTok videos, comments, and even usernames. Data were collected twice, in two four-month periods, February-May 2020 and February-May 2021, to allow for comparisons of changes and trends over time. Our findings highlighted the alarming presence of extreme antisemitic messages in video clips, songs, comments, texts, pictures, and symbols presented in TikTok's content. TikTok's algorithm is even more disconcerting since it leads to a spiral of hate: it pushes users who unintentionally view disturbing content to view more. Considering TikTok's young demographic, these findings are more than alarming; TikTok even fails to apply its own Terms of Service, which do not allow content deliberately designed to provoke or antagonize people, or are intended to harass, harm, hurt, scare, distress, embarrass or upset people or include threats of physical violence.</t>
  </si>
  <si>
    <t>[Weimann, Gabriel] Univ Haifa, Dept Commun, IL-31905 Haifa, Israel; [Weimann, Gabriel; Masri, Natalie] Reichman Univ, Sammy Ofer Sch Commun, IL-4610101 Herzliyya, Israel</t>
  </si>
  <si>
    <t>University of Haifa; Reichman University</t>
  </si>
  <si>
    <t>Weimann, G (corresponding author), Univ Haifa, Dept Commun, IL-31905 Haifa, Israel.;Weimann, G; Masri, N (corresponding author), Reichman Univ, Sammy Ofer Sch Commun, IL-4610101 Herzliyya, Israel.</t>
  </si>
  <si>
    <t>weimann@com.haifa.ac.il; nataliemasri@me.com</t>
  </si>
  <si>
    <t>2673-5172</t>
  </si>
  <si>
    <t>JOURNAL MEDIA</t>
  </si>
  <si>
    <t>Journal. Media</t>
  </si>
  <si>
    <t>10.3390/journalmedia2040041</t>
  </si>
  <si>
    <t>AM0X0</t>
  </si>
  <si>
    <t>WOS:001118775000001</t>
  </si>
  <si>
    <t>Steinke, J; Gilbert, C; Coletti, A; Levin, SH; Suk, J; Oeldorf-Hirsch, A</t>
  </si>
  <si>
    <t>Steinke, Jocelyn; Gilbert, Christine; Coletti, Amanda; Levin, Sara Holland; Suk, Jiyoun; Oeldorf-Hirsch, Anne</t>
  </si>
  <si>
    <t>Women in STEM on TikTok: Advancing Visibility and Voice Through STEM Identity Expression</t>
  </si>
  <si>
    <t>TikTok; women in STEM; identity; social identity theory; engagement</t>
  </si>
  <si>
    <t>SOCIAL MEDIA ENGAGEMENT; SCIENCE IDENTITY; CAREER CHOICE; SELF-EFFICACY; SCIENTISTS; GENDER; EXPERIENCES; STUDENTS; COMMUNICATION; STEREOTYPES</t>
  </si>
  <si>
    <t>This study investigated portrayals of women in STEM on TikTok focusing on their self-presentation of identity and use of platform features to promote audience engagement. This quantitative content analysis examined TikTok posts (N = 400) from a 3-month sample of 100 TikTok accounts by individuals identified as women in STEM. Results for STEM-focused posts showed that these content creators provided positive portrayals of their work as women in STEM and frequent displays of their STEM identity, particularly displays of STEM competence and self-recognition. However, findings also indicated that this TikTok community displayed other social group identities less frequently and used relatively few TikTok platform features that would likely enhance audience engagement. Results suggest that positive portrayals of women in STEM on TikTok are helpful for challenging gender-STEM stereotypes, but the dearth of displays of social group identities highlights a need for more diverse women in STEM role models on TikTok. In addition, the infrequent use of popular platform features appears to be a missed opportunity for broader audience engagement. Implications for social media science influencers, science communicators, and informal STEM outreach professionals are discussed.</t>
  </si>
  <si>
    <t>[Steinke, Jocelyn; Coletti, Amanda; Levin, Sara Holland; Suk, Jiyoun; Oeldorf-Hirsch, Anne] Univ Connecticut, Dept Commun, Unit 1259, 234 Arjona, 337 Mansfield Rd, Storrs 06269, CT USA; [Gilbert, Christine] SUNY Stony Brook, Stony Brook, NY USA</t>
  </si>
  <si>
    <t>University of Connecticut; State University of New York (SUNY) System; Stony Brook University</t>
  </si>
  <si>
    <t>Steinke, J (corresponding author), Univ Connecticut, Dept Commun, Unit 1259, 234 Arjona, 337 Mansfield Rd, Storrs 06269, CT USA.</t>
  </si>
  <si>
    <t>Jocelyn.steinke@uconn.edu</t>
  </si>
  <si>
    <t>Oeldorf-Hirsch, Anne/G-5343-2015</t>
  </si>
  <si>
    <t>Gilbert, Christine/0000-0003-4180-5254; Steinke, Jocelyn/0000-0001-9332-6955; Holland Levin, Sara/0009-0007-0585-6405; Suk, Jiyoun/0000-0003-4690-2395</t>
  </si>
  <si>
    <t>Research in Academic Themes grant from the College of Liberal Arts and Sciences (CLAS) at the University of Connecticut, Storrs</t>
  </si>
  <si>
    <t>The author(s) disclosed receipt of the following financial support for the research, authorship, and/or publication of this article: Funding was provided by a Research in Academic Themes grant from the College of Liberal Arts and Sciences (CLAS) at the University of Connecticut, Storrs.</t>
  </si>
  <si>
    <t>10.1177/20563051241274675</t>
  </si>
  <si>
    <t>C8V9Q</t>
  </si>
  <si>
    <t>WOS:001292100100001</t>
  </si>
  <si>
    <t>Josties, B</t>
  </si>
  <si>
    <t>Josties, Bettine</t>
  </si>
  <si>
    <t>Becoming spectacle and performing back: a Black disabled woman's performance practices on TikTok</t>
  </si>
  <si>
    <t>INFORMATION COMMUNICATION &amp; SOCIETY</t>
  </si>
  <si>
    <t>Tiktok; disability entrepreneurialism; disability resistance; critical digital labor studies; disability studies; Black feminisms</t>
  </si>
  <si>
    <t>DISABILITY</t>
  </si>
  <si>
    <t>This paper discusses a young Black disabled woman's performance practices on TikTok through the lens of critical digital labor studies, disability studies, and Black feminist writings. Starting from the observation that this woman, whom I call Kyla in the paper, deliberately stages her disability - an amputated leg - on TikTok, not least to prove that this can make her an 'influencer,' I analyze how Kyla engages her amputated/prosthetic leg in TikTok dance content, how she navigates the attention she receives in reaction to this, including some people's ableist call for 'story time,' in which she is supposed to tell the story of 'what happened to her leg,' and, finally, how she 'performs back' at her audience, society at large, and TikTok itself through producing performative content that reveals and problematizes what it means for her, as a young Black disabled woman, to produce content on TikTok and live with a disability in the US today. Building upon this analysis, I argue that Kyla's content production practices critically and creatively engage the fine line between the possibility of disability entrepreneurialism and disability resistance on TikTok and thus effectively 'crip' the platform.</t>
  </si>
  <si>
    <t>[Josties, Bettine] New Sch Social Res, Dept Sociol, 6E 16th St,9th floor, New York, NY 10003 USA</t>
  </si>
  <si>
    <t>The New School</t>
  </si>
  <si>
    <t>Josties, B (corresponding author), New Sch Social Res, Dept Sociol, 6E 16th St,9th floor, New York, NY 10003 USA.</t>
  </si>
  <si>
    <t>bettine.josties@gmail.com</t>
  </si>
  <si>
    <t>Josties, Bettine/LBH-0496-2024</t>
  </si>
  <si>
    <t>1369-118X</t>
  </si>
  <si>
    <t>1468-4462</t>
  </si>
  <si>
    <t>INFORM COMMUN SOC</t>
  </si>
  <si>
    <t>Info. Commun. Soc.</t>
  </si>
  <si>
    <t>2024 MAY 14</t>
  </si>
  <si>
    <t>10.1080/1369118X.2024.2352636</t>
  </si>
  <si>
    <t>QQ8J9</t>
  </si>
  <si>
    <t>WOS:001222424100001</t>
  </si>
  <si>
    <t>Communicative Forms on TikTok: Perspectives From Digital Ethnography</t>
  </si>
  <si>
    <t>TikTok; short-video; forms of communication; digital ethnography; digital culture</t>
  </si>
  <si>
    <t>TikTok is an app that allows people to create, share, and consume short-video content. Although only available internationally since 2017, it has already been downloaded more than 2 billion times and has around 800 million active users. Public interest in the fleeting and seemingly random video clips that TikTok hosts is high. In fact, it has grown steadily since the time of the Twitter-owned short-video app Vine that ended its service in 2016 with only a quarter of TikTok's current userbase. However, despite this steady growth in popularity, observations and theorizations of short-video apps like TikTok remain lacking. In this article, I thus seek to address this lack by critically discussing how to study short-video communications from the bottom up and by presenting the results of an exploratory investigation into TikTok and its communicative forms. Doing so, this article contributes to opening a space for serious engagement with this burgeoning yet understudied element of digital culture in the future.</t>
  </si>
  <si>
    <t>RV6GK</t>
  </si>
  <si>
    <t>WOS:000645928600083</t>
  </si>
  <si>
    <t>Steen, E; Yurechko, K; Klug, D</t>
  </si>
  <si>
    <t>Steen, Ella; Yurechko, Kathryn; Klug, Daniel</t>
  </si>
  <si>
    <t>You Can (Not) Say What You Want: Using Algospeak to Contest and Evade Algorithmic Content Moderation on TikTok</t>
  </si>
  <si>
    <t>TikTok; content moderation; algorithmic literacy; communicative practice; qualitative user study</t>
  </si>
  <si>
    <t>LANGUAGE</t>
  </si>
  <si>
    <t>Social media users have long been aware of opaque content moderation systems and how they shape platform environments. On TikTok, creators increasingly utilize algospeak to circumvent unjust content restriction, meaning, they change or invent words to prevent TikTok's content moderation algorithm from banning their video (e.g., le$bean for lesbian). We interviewed 19 TikTok creators about their motivations and practices of using algospeak in relation to their experience with TikTok's content moderation. Participants largely anticipated how TikTok's algorithm would read their videos, and used algospeak to evade unjustified content moderation while simultaneously ensuring target audiences can still find their videos. We identify non-contextuality, randomness, inaccuracy, and bias against marginalized communities as major issues regarding freedom of expression, equality of subjects, and support for communities of interest. Using algospeak, we argue for a need to improve contextually informed content moderation to valorize marginalized and tabooed audiovisual content on social media.</t>
  </si>
  <si>
    <t>[Steen, Ella] Gordon Coll, Wenham, MA USA; [Yurechko, Kathryn] Washington &amp; Lee Univ, Washington, DC USA; [Klug, Daniel] Carnegie Mellon Univ, Moffett Field, CA USA; [Klug, Daniel] Carnegie Mellon Univ, Software &amp; Societal Syst Dept, TCS Hall 430,4665 Forbes Ave, Pittsburgh, PA 15213 USA</t>
  </si>
  <si>
    <t>Washington &amp; Lee University; Carnegie Mellon University; Carnegie Mellon University</t>
  </si>
  <si>
    <t>Klug, D (corresponding author), Carnegie Mellon Univ, Software &amp; Societal Syst Dept, TCS Hall 430,4665 Forbes Ave, Pittsburgh, PA 15213 USA.</t>
  </si>
  <si>
    <t>dklug@cs.cmu.edu</t>
  </si>
  <si>
    <t>Yurechko, Kathryn/0000-0003-4056-0806; Klug, Daniel/0000-0003-2320-3321</t>
  </si>
  <si>
    <t>10.1177/20563051231194586</t>
  </si>
  <si>
    <t>Q5FB0</t>
  </si>
  <si>
    <t>WOS:001057765300001</t>
  </si>
  <si>
    <t>Miao, WS; Huang, DL; Huang, Y</t>
  </si>
  <si>
    <t>Miao, Weishan; Huang, Dianlin; Huang, Ying</t>
  </si>
  <si>
    <t>More than business: The de-politicisation and re-politicisation of TikTok in the media discourses of China, America and India (2017-2020)</t>
  </si>
  <si>
    <t>geo-politics; internationalisation; media discourse; the Chinese Internet; TikTok</t>
  </si>
  <si>
    <t>INTERNET</t>
  </si>
  <si>
    <t>Although TikTok has in recent years become a highly popular yet controversial digital platform, few empirical studies have examined its development and the challenges it faces. In this article, we investigate how major media in China, the United States and India have interpreted and responded to the rise of TikTok, based on an analysis of news articles from 2017 to 2020. We identify the dynamic discursive practices of the de-politicisation and re-politicisation of TikTok before and after 2020. In the earlier stage, rather than being framed as a political issue, TikTok was depicted as an unexpected business miracle. However, since 2020, TikTok has been increasingly embedded in the escalating geo-political tensions between China and the other two countries. By highlighting how TikTok shifted from being an ambitious digital platform to a state-centred security issue, we suggest that the political dimension, especially the state-enterprise relationship, is crucial to understanding the discourse regarding internationalisation of the Chinese Internet.</t>
  </si>
  <si>
    <t>[Miao, Weishan] Chinese Acad Social Sci, Inst Journalism &amp; Commun, Beijing, Peoples R China; [Huang, Dianlin] Commun Univ China, Beijing, Peoples R China; [Huang, Ying] Beijing Inst Graph Commun, Beijing, Peoples R China</t>
  </si>
  <si>
    <t>Chinese Academy of Social Sciences; Communication University of China; Beijing Institute of Graphic Communication</t>
  </si>
  <si>
    <t>Huang, DL (corresponding author), Commun Univ China, Inst Commun Studies, Beijing 100024, Peoples R China.</t>
  </si>
  <si>
    <t>dianlinhuang@cuc.edu.cn</t>
  </si>
  <si>
    <t>Miao, Weishan/HPF-1322-2023</t>
  </si>
  <si>
    <t>Huang, Dianlin/0000-0002-4747-7901</t>
  </si>
  <si>
    <t>National Social Science Foundation of China [20BXW037, 19ZDA331, 21@ZH021]; Fundamental Research Funds for the Central Universities [CUC210B002]; Ph.D. Research Foundation Project of Beijing Institute of Graphic Communication Digital Media and Everyday Life [27170120003/016]</t>
  </si>
  <si>
    <t>National Social Science Foundation of China(National Office of Philosophy and Social Sciences); Fundamental Research Funds for the Central Universities(Fundamental Research Funds for the Central Universities); Ph.D. Research Foundation Project of Beijing Institute of Graphic Communication Digital Media and Everyday Life</t>
  </si>
  <si>
    <t>The author(s) disclosed receipt of the following financial support for the research, authorship, and/or publication of this article: This study was supported by the National Social Science Foundation of China (20BXW037, 19ZDA331, 21@ZH021), the Fundamental Research Funds for the Central Universities (no. CUC210B002), and the Ph.D. Research Foundation Project of Beijing Institute of Graphic Communication Digital Media and Everyday Life (No.27170120003/016).</t>
  </si>
  <si>
    <t>1329878X211013919</t>
  </si>
  <si>
    <t>10.1177/1329878X211013919</t>
  </si>
  <si>
    <t>MAY 2021</t>
  </si>
  <si>
    <t>WOS:000652896900001</t>
  </si>
  <si>
    <t>Shah, BMK; Karia, S; Mandalia, B; Shah, NL; De Sousa, A</t>
  </si>
  <si>
    <t>Shah, Bhumika; Karia, Sagar; Mandalia, Bilvesh; Shah, Nilesh; De Sousa, Avinash</t>
  </si>
  <si>
    <t>An Exploratory Survey on the Knowledge, Attitudes, and Perceptions toward TikTok</t>
  </si>
  <si>
    <t>ANNALS OF INDIAN PSYCHIATRY</t>
  </si>
  <si>
    <t>Attitudes; college students; knowledge; perceptions; TikTok</t>
  </si>
  <si>
    <t>Background: TikTok is a mobile application that had become very popular among youth in college and adults alike. Many people have used TikTok as an alternate form of social media and share videos from there on different social media platforms. This study was aimed as survey to ascertain the knowledge, attitudes, and practices toward TikTok as an application. Methodology: A semi-structured questionnaire was prepared to consist of questions regarding demographic details, knowledge regarding TikTok, frequency of usage of TikTok, attitudes toward its use and suggestions for change required in it. The questionnaire was circulated among students through e-mails and Whatsapp. The form was distributed three times in all within a gap of 7 days. The data collected were subjected to descriptive statistical analysis and percentages. Results: Seven hundred students in all were mailed and received the questionnaire. We received 583 responses, of which 81 responses being incomplete were removed, and the final analysis was done with 502 responses. Three hundred and three (60.4%) participants felt that it could be used for entertainment and only 11 (2.2%) mentioned education or awareness. Two hundred and seventy-two (54.2%) participants felt that TikTok use could be a media for boosting self-esteem and self-image. Conclusion: Further studies in detail about various facets of TikTok need to be studied in diverse population to generalize our findings and know how this application has influenced the youth in various sectors.</t>
  </si>
  <si>
    <t>[Shah, Bhumika; Mandalia, Bilvesh] Desousa Fdn, Mumbai, Maharashtra, India; [Karia, Sagar; Shah, Nilesh; De Sousa, Avinash] Lokmanya Tilak Municipal Gen Hosp &amp; Med Coll, Dept Psychiat, Mumbai, Maharashtra, India; [De Sousa, Avinash] Carmel 18 St,Francis Rd,Off SV Rd, Mumbai 400054, Maharashtra, India</t>
  </si>
  <si>
    <t>De Sousa, A (corresponding author), Carmel 18 St,Francis Rd,Off SV Rd, Mumbai 400054, Maharashtra, India.</t>
  </si>
  <si>
    <t>avinashdes888@gmail.com</t>
  </si>
  <si>
    <t>Mandalia, Bilvesh/HHZ-5081-2022; Desousa, Avinash/AAX-1095-2021</t>
  </si>
  <si>
    <t>WOLTERS KLUWER MEDKNOW PUBLICATIONS</t>
  </si>
  <si>
    <t>MUMBAI</t>
  </si>
  <si>
    <t>WOLTERS KLUWER INDIA PVT LTD , A-202, 2ND FLR, QUBE, C T S NO 1498A-2 VILLAGE MAROL, ANDHERI EAST, MUMBAI, Maharashtra, INDIA</t>
  </si>
  <si>
    <t>2588-8358</t>
  </si>
  <si>
    <t>2588-8366</t>
  </si>
  <si>
    <t>ANN INDIAN PSYCH</t>
  </si>
  <si>
    <t>Ann. Indian Psychiatr.</t>
  </si>
  <si>
    <t>10.4103/aip.aip_46_21</t>
  </si>
  <si>
    <t>Psychiatry</t>
  </si>
  <si>
    <t>6C7DI</t>
  </si>
  <si>
    <t>WOS:000882169600013</t>
  </si>
  <si>
    <t>Chen, H; Ma, DL; Sharma, B</t>
  </si>
  <si>
    <t>Chen, Huan; Ma, Dalong; Sharma, Bhakti</t>
  </si>
  <si>
    <t>Short video marketing strategy: evidence from successful entrepreneurs on TikTok</t>
  </si>
  <si>
    <t>JOURNAL OF RESEARCH IN MARKETING AND ENTREPRENEURSHIP</t>
  </si>
  <si>
    <t>Social media marketing; TikTok; Entrepreneurship; Entrepreneurial marketing; Small and medium-sized enterprise marketing</t>
  </si>
  <si>
    <t>SOCIAL MEDIA; GRATIFICATIONS; TWITTER; MANAGEMENT; BEHAVIOR</t>
  </si>
  <si>
    <t>PurposeThis study aims to delve into entrepreneurs' perceptions and interpretations of short video marketing on TikTok.Design/methodology/approachIn light of the study's exploratory nature, a qualitative approach was used. The authors conducted in-depth interviews with 17 entrepreneurs to uncover their insights on short video marketing via TikTok. Data analysis was carried out using thematic analysis and NVivo, and rigorous measures were in place to ensure the quality of the study.FindingsThis study's findings suggested that entrepreneurs' usage of TikTok is customer-oriented, with the purposes of promoting their businesses, generating word-of-mouth and managing customer relationships. As such, the gratification of connection with their audience, entertainment and information provision needs motivate entrepreneurs' use of TikTok for social media marketing. Additionally, entrepreneurs' use of TikTok may also contribute to their gratification of creativity and spontaneity needs, which may otherwise be limited in the context of other social media platforms.Originality/valueThis study expands the previous literature on entrepreneurship, social media marketing and the uses and gratification approach by revealing the specifics, nuances and dynamics of TikTok marketing from the entrepreneurs' emic perspective.</t>
  </si>
  <si>
    <t>[Chen, Huan; Sharma, Bhakti] Univ Florida, Dept Advertising, Gainesville, FL 32611 USA; [Ma, Dalong] Univ Northern Colorado, Dept Management, Greeley, CO USA</t>
  </si>
  <si>
    <t>State University System of Florida; University of Florida; University of Northern Colorado</t>
  </si>
  <si>
    <t>Chen, H (corresponding author), Univ Florida, Dept Advertising, Gainesville, FL 32611 USA.</t>
  </si>
  <si>
    <t>huanchen@jou.ufl.edu</t>
  </si>
  <si>
    <t>Chen, Huan/AEW-7257-2022</t>
  </si>
  <si>
    <t>Chen, Huan/0000-0003-2240-7381</t>
  </si>
  <si>
    <t>1471-5201</t>
  </si>
  <si>
    <t>1471-521X</t>
  </si>
  <si>
    <t>J RES MARK ENTREP</t>
  </si>
  <si>
    <t>J. Res. Mark. Entrep.</t>
  </si>
  <si>
    <t>2023 OCT 30</t>
  </si>
  <si>
    <t>10.1108/JRME-11-2022-0134</t>
  </si>
  <si>
    <t>W4AO2</t>
  </si>
  <si>
    <t>WOS:001091071000001</t>
  </si>
  <si>
    <t>Jordan, GL; García, MDCD; Esteban, PS; Martín, AS; Sánchez, PM; Cubo, MJ; Cano, MM; Del Barrio, JAG; Ayesa-Arriola, R</t>
  </si>
  <si>
    <t>Llado Jordan, G.; Diaz Garcia, M. D. C.; Sanchez Esteban, P.; Santos Martin, A.; Mediavilla Sanchez, P.; Jimenez Cubo, M.; Miguel Cano, M.; Gomez Del Barrio, J. A.; Ayesa-Arriola, R.</t>
  </si>
  <si>
    <t>Tiktok, a vehicle for Pro-Ana and Pro-Mia content boosted by the COVID-19 pandemic</t>
  </si>
  <si>
    <t>EUROPEAN PSYCHIATRY</t>
  </si>
  <si>
    <t>TikTok; eating disorders; Pro-Ana; Pro-Mia</t>
  </si>
  <si>
    <t>[Llado Jordan, G.; Diaz Garcia, M. D. C.; Mediavilla Sanchez, P.; Gomez Del Barrio, J. A.; Ayesa-Arriola, R.] Valdecilla Biomed Res Inst, Idival, Santander, Spain; [Sanchez Esteban, P.; Santos Martin, A.; Jimenez Cubo, M.; Miguel Cano, M.] Miguel Cervantes European Univ, Uemc, Valladolid, Spain</t>
  </si>
  <si>
    <t>Hospital Universitario Marques de Valdecilla (HUMV); Miguel de Cervantes European University (UEMC)</t>
  </si>
  <si>
    <t>Ayesa-Arriola, Rosa/AFS-1408-2022; Gomez del Barrio, Andres/AGS-3856-2022</t>
  </si>
  <si>
    <t>Gomez del Barrio, Andres/0000-0002-0843-2575</t>
  </si>
  <si>
    <t>0924-9338</t>
  </si>
  <si>
    <t>1778-3585</t>
  </si>
  <si>
    <t>EUR PSYCHIAT</t>
  </si>
  <si>
    <t>Eur. Psychiat.</t>
  </si>
  <si>
    <t>EPV0286</t>
  </si>
  <si>
    <t>S703</t>
  </si>
  <si>
    <t>10.1192/j.eurpsy.2021.1862</t>
  </si>
  <si>
    <t>UP6WN</t>
  </si>
  <si>
    <t>gold, Green Accepted</t>
  </si>
  <si>
    <t>WOS:000695518700062</t>
  </si>
  <si>
    <t>Kanner, J; Waghmarae, S; Nemirovsky, A; Wang, S; Loeb, S; Malik, R</t>
  </si>
  <si>
    <t>Kanner, Jenna; Waghmarae, Suneet; Nemirovsky, Amy; Wang, Shu; Loeb, Stacy; Malik, Rena</t>
  </si>
  <si>
    <t>TikTok and YouTube Videos on Overactive Bladder Exhibit Poor Quality and Diversity</t>
  </si>
  <si>
    <t>UROLOGY PRACTICE</t>
  </si>
  <si>
    <t>urinary bladder; overactive; social media; female urogenital diseases</t>
  </si>
  <si>
    <t>Introduction: We sought to assess the quality, understandability, actionability, and diversity of speakers in videos on TikTok and YouTube regarding overactive bladder.Methods: Using Application Program Interface, the top 500 TikTok and 120 YouTube videos on overactive bladder were retrieved. Videos unrelated to overactive bladder, those not in English, longer than 10 minutes, or lacking both text and audio were excluded. Surgical technique videos for providers were also excluded. Videos were scored by trained raters using 2 validated instruments: PEMAT (Agency for Healthcare Research and Quality's Patient Education Materials Assessment Tool) for actionability and understandability, and the DISCERN instrument for quality of consumer health information. We also examined for evidence of misinformation and commercial bias.Results: One hundred thirty-six TikTok videos and 75 YouTube videos met inclusion criteria. Eighty-eight percent of TikTok videos had poor PEMAT actionability scores (a score below 75%), as compared to 60% of YouTube videos. Both YouTube and TikTok videos scored low on PEMAT understandability. Ninety-eight percent of TikTok videos and 65% of YouTube videos were poor quality (DISCERN score &lt;3). YouTube videos had higher actionability and quality than TikTok videos (P &lt; .001) but did not differ on understandability (P = .769). Twenty-three percent of TikTok and 11% of YouTube videos had high misinformation (score &gt;3). Commercial bias was present in 10% of TikTok and 19% of YouTube videos.Conclusions: Actionability, understandability, and quality for overactive bladder-related content is poor on YouTube and TikTok. With increasing access to social media, it is important that health care providers and organizations invest resources in patient education on health literacy.</t>
  </si>
  <si>
    <t>[Kanner, Jenna; Waghmarae, Suneet] Univ Maryland, Sch Med, Sch Med, Baltimore, MD USA; [Nemirovsky, Amy; Wang, Shu; Malik, Rena] Univ Maryland, Dept Urol, Baltimore, MD USA; [Loeb, Stacy] NYU, Dept Urol &amp; Populat Hlth, New York, NY USA; [Loeb, Stacy] Manhattan Vet Affairs Med Ctr, Dept Surg Urol, New York, NY USA; [Kanner, Jenna] Univ Maryland, Sch Med, 655 Baltimore St S, Baltimore, MD 21201 USA</t>
  </si>
  <si>
    <t>University System of Maryland; University of Maryland Baltimore; University System of Maryland; University of Maryland Baltimore; New York University; University System of Maryland; University of Maryland Baltimore</t>
  </si>
  <si>
    <t>Kanner, J (corresponding author), Univ Maryland, Sch Med, 655 Baltimore St S, Baltimore, MD 21201 USA.</t>
  </si>
  <si>
    <t>jkanner@som.umaryland.edu; suneet.waghmarae@som.umaryland.edu; amy.nemirovsky@som.umaryland.edu; sh.wang@som.umaryland.edu; stacyloeb@gmail.com; rmalik@som.umaryland.edu</t>
  </si>
  <si>
    <t>Nemirovsky, Amy/0000-0003-1726-3424; Kanner, Jenna/0000-0002-9883-9159; Loeb, Stacy/0000-0003-3933-9207</t>
  </si>
  <si>
    <t>LIPPINCOTT WILLIAMS &amp; WILKINS</t>
  </si>
  <si>
    <t>TWO COMMERCE SQ, 2001 MARKET ST, PHILADELPHIA, PA 19103 USA</t>
  </si>
  <si>
    <t>2352-0779</t>
  </si>
  <si>
    <t>2352-0787</t>
  </si>
  <si>
    <t>UROL PRACT</t>
  </si>
  <si>
    <t>Urol. Pract.</t>
  </si>
  <si>
    <t>10.1097/UPJ.0000000000000423</t>
  </si>
  <si>
    <t>Urology &amp; Nephrology</t>
  </si>
  <si>
    <t>T2LV1</t>
  </si>
  <si>
    <t>WOS:001076357400024</t>
  </si>
  <si>
    <t>Ma, YL; Hu, Y</t>
  </si>
  <si>
    <t>Ma, Yulun; Hu, Yue</t>
  </si>
  <si>
    <t>Business Model Innovation and Experimentation in Transforming Economies: ByteDance and TikTok</t>
  </si>
  <si>
    <t>MANAGEMENT AND ORGANIZATION REVIEW</t>
  </si>
  <si>
    <t>business model innovation; globalization; international strategy; TikTok; transitional economy</t>
  </si>
  <si>
    <t>Firms from transforming economies can leverage the characteristics of their location to develop innovative business models before internationalizing. This note showcases ByteDance's innovative business model for its TikTok app, which became one of the most downloaded apps globally. ByteDance used its large and increasingly demanding home market to experiment with creative combinations of business model elements to develop a unique business proposition that positions the TikTok app as a hybrid of social networking and video-sharing. In addition, TikTok benefitted from China's IT strength supported by national high-tech policy to an AI-based recommendation algorithm as a non-location bound resource. TikTok shows that firms from transforming economies can launch successful global products through business model innovation.</t>
  </si>
  <si>
    <t>[Ma, Yulun; Hu, Yue] Vrije Univ Amersterdam, Amsterdam, Netherlands</t>
  </si>
  <si>
    <t>Ma, YL (corresponding author), Vrije Univ Amersterdam, Amsterdam, Netherlands.</t>
  </si>
  <si>
    <t>yulun.ma@vu.nl; yue.hu@vu.nl</t>
  </si>
  <si>
    <t>胡, 月/KYD-7474-2024</t>
  </si>
  <si>
    <t>China Scholarship Council (CSC) [201807720029, 201807720033]</t>
  </si>
  <si>
    <t>China Scholarship Council (CSC)(China Scholarship Council)</t>
  </si>
  <si>
    <t>Yulun Ma and Yue Hu were funded by the China Scholarship Council (CSC) for their PhD research (Grant number: 201807720029 and 201807720033).</t>
  </si>
  <si>
    <t>1740-8776</t>
  </si>
  <si>
    <t>1740-8784</t>
  </si>
  <si>
    <t>MANAGE ORGAN REV</t>
  </si>
  <si>
    <t>Manag. Organ. Rev.</t>
  </si>
  <si>
    <t>PII S1740877620000698</t>
  </si>
  <si>
    <t>10.1017/mor.2020.69</t>
  </si>
  <si>
    <t>Management</t>
  </si>
  <si>
    <t>SL0KY</t>
  </si>
  <si>
    <t>WOS:000656606700009</t>
  </si>
  <si>
    <t>Davis, HA; Kells, MR; Roske, C; Holzman, S; Wildes, JE</t>
  </si>
  <si>
    <t>Davis, Heather A.; Kells, Meredith R.; Roske, Chloe; Holzman, Sam; Wildes, Jennifer E.</t>
  </si>
  <si>
    <t>A reflexive thematic analysis of #WhatIEatInADay on TikTok</t>
  </si>
  <si>
    <t>EATING BEHAVIORS</t>
  </si>
  <si>
    <t>Social media; Eating disorders; TikTok; Body image</t>
  </si>
  <si>
    <t>ASSOCIATION; FAT</t>
  </si>
  <si>
    <t>Eating-related content is common on TikTok, a popular video-based social media platform, but studies of eatingrelated content on TikTok are limited. Given the documented association between social media use and disordered eating, investigation of eating-related content on TikTok is needed. One subset of popular eating-related content is What I Eat in a Day (#WhatIEatInADay), in which a creator documents the food they eat over the assumed span of a single day. We sought to evaluate the content of TikTok #WhatIEatInADay videos (N = 100) using reflexive thematic analysis. Two primary types of videos emerged. First, Lifestyle videos (N = 60), which included aesthetic elements, presentations of clean eating, stylized meals, promotion of weight loss and the thin ideal, normalization of eating as a fat woman, and disordered eating content. Second, Eating Only videos (N = 40), which were primarily focused on food, and included upbeat music, an emphasis on highly palatable foods, displays of irony, emojis, and excessive consumption of food. Because viewing eating-related social media content has been associated with disordered eating, both types of TikTok #WhatIEatInADay videos may be harmful to vulnerable youth. Given the popularity of TikTok and #WhatIEatinADay, clinicians and researchers should consider the potential impact of this trend. Future research should examine the impact of viewing TikTok #WhatIEatInADay videos on disordered eating risk factors and behaviors.</t>
  </si>
  <si>
    <t>[Davis, Heather A.] Virginia Polytech Inst &amp; State Univ, Dept Psychol, Blacksburg, VA USA; [Kells, Meredith R.] Univ Rochester, Sch Nursing, Rochester, NY USA; [Roske, Chloe] Albert Einstein Coll Med, Dept Psychiat &amp; Behav Sci, Bronx, NY USA; [Holzman, Sam; Wildes, Jennifer E.] Univ Chicago Med &amp; Biol Sci, Dept Psychiat &amp; Behav Neurosci, Chicago, IL USA; [Davis, Heather A.] Virginia Tech, Dept Psychol, 319 Williams Hall,890 Drillfield Dr, Blacksburg, VA 24061 USA</t>
  </si>
  <si>
    <t>Virginia Polytechnic Institute &amp; State University; University of Rochester; Montefiore Medical Center; Albert Einstein College of Medicine; Yeshiva University; Virginia Polytechnic Institute &amp; State University</t>
  </si>
  <si>
    <t>Davis, HA (corresponding author), Virginia Tech, Dept Psychol, 319 Williams Hall,890 Drillfield Dr, Blacksburg, VA 24061 USA.</t>
  </si>
  <si>
    <t>heatherdavis@vt.edu</t>
  </si>
  <si>
    <t>Kells, Meredith/AAM-6521-2021; Davis, Heather/HIK-1790-2022</t>
  </si>
  <si>
    <t>Roske, Chloe/0000-0002-3365-7485; Wildes, Jennifer/0000-0003-0950-4347; Kells, Meredith/0000-0002-9982-9964</t>
  </si>
  <si>
    <t>Na- tional Institute of Mental Health [T32 MH082761]</t>
  </si>
  <si>
    <t>Na- tional Institute of Mental Health(United States Department of Health &amp; Human ServicesNational Institutes of Health (NIH) - USANIH National Institute of Mental Health (NIMH))</t>
  </si>
  <si>
    <t>Funding This work was supported by a grant (T32 MH082761) from the Na- tional Institute of Mental Health.</t>
  </si>
  <si>
    <t>1471-0153</t>
  </si>
  <si>
    <t>1873-7358</t>
  </si>
  <si>
    <t>EAT BEHAV</t>
  </si>
  <si>
    <t>Eat. Behav.</t>
  </si>
  <si>
    <t>10.1016/j.eatbeh.2023.101759</t>
  </si>
  <si>
    <t>JUN 2023</t>
  </si>
  <si>
    <t>Psychology, Clinical; Psychiatry</t>
  </si>
  <si>
    <t>K5BK3</t>
  </si>
  <si>
    <t>Bronze, Green Accepted</t>
  </si>
  <si>
    <t>WOS:001016588600001</t>
  </si>
  <si>
    <t>Pleasants, E; Whitfield, B; Pleasure, ZH; Smith, C; Norrell, E; Fallon, C; Lindberg, L</t>
  </si>
  <si>
    <t>Pleasants, E.; Whitfield, B.; Pleasure, Z. H.; Smith, C.; Norrell, E.; Fallon, C.; Lindberg, L.</t>
  </si>
  <si>
    <t>IS TIKTOK THE NEW CONTRACEPTIVE COUNSELOR? DESCRIBING CONTRACEPTIVE SIDE EFFECTS DISCOURSE ON TIKTOK</t>
  </si>
  <si>
    <t>CONTRACEPTION</t>
  </si>
  <si>
    <t>[Pleasants, E.] Univ N Carolina, Chapel Hill, NC 27515 USA</t>
  </si>
  <si>
    <t>University of North Carolina; University of North Carolina Chapel Hill</t>
  </si>
  <si>
    <t>ELSEVIER SCIENCE INC</t>
  </si>
  <si>
    <t>STE 800, 230 PARK AVE, NEW YORK, NY 10169 USA</t>
  </si>
  <si>
    <t>0010-7824</t>
  </si>
  <si>
    <t>1879-0518</t>
  </si>
  <si>
    <t>Contraception</t>
  </si>
  <si>
    <t>P053</t>
  </si>
  <si>
    <t>Obstetrics &amp; Gynecology</t>
  </si>
  <si>
    <t>I5G0B</t>
  </si>
  <si>
    <t>WOS:001330525700075</t>
  </si>
  <si>
    <t>McLaughlin, B; Cloudy, J; Hunter, J; Potter, B</t>
  </si>
  <si>
    <t>McLaughlin, Bryan; Cloudy, Joshua; Hunter, Jeff; Potter, Brittany</t>
  </si>
  <si>
    <t>Stitch incoming: political engagement and aggression on TikTok</t>
  </si>
  <si>
    <t>TikTok; aggression; cross-cutting political talk; imagined audience; social media</t>
  </si>
  <si>
    <t>SELF-PRESENTATION; SOCIAL MEDIA; FACEBOOK; TWITTER; AFFORDANCES; INCIVILITY; ONLINE; AUDIENCE; CONTEXT; PARTY</t>
  </si>
  <si>
    <t>This study examined how TikTok use relates to political engagement and aggression. Due to different imagined audiences , we expected TikTok use to be more strongly related with contentious political engagement than use of other social media platforms, such as Facebook and Twitter. In order to test these expectations, we conducted a survey with 700 U.S. adults. Results show that TikTok, Facebook, and Twitter use is positively related to online political engagement, but the nature of this engagement is very different. Facebook use is related to talking politics with friends and family, while TikTok use is related to talking with those who hold opposing views. Further, Facebook use is negatively related to agreeing that it is acceptable to be aggressive in political conversations, while TikTok use is positively related to believing that it is acceptable to be aggressive and to holding feelings of hatred for political opponents. Twitter use is unrelated to these outcome variables. These results suggest that TikTok users are more likely to partake in derisive and contentious political engagement.</t>
  </si>
  <si>
    <t>[McLaughlin, Bryan; Cloudy, Joshua; Potter, Brittany] Texas Tech Univ, Coll Media &amp; Commun, Lubbock, TX USA; [Hunter, Jeff] New Mexico State Univ, Dept Journalism &amp; Media Studies, Las Cruces, NM USA; [McLaughlin, Bryan] Coll Media &amp; Commun, Box 43082, Lubbock, TX 79409 USA</t>
  </si>
  <si>
    <t>Texas Tech University System; Texas Tech University; New Mexico State University</t>
  </si>
  <si>
    <t>McLaughlin, B (corresponding author), Coll Media &amp; Commun, Box 43082, Lubbock, TX 79409 USA.</t>
  </si>
  <si>
    <t>bryan.mclaughlin@ttu.edu</t>
  </si>
  <si>
    <t>Cloudy, Joshua/0000-0002-5788-1879; McLaughlin, Bryan/0000-0002-3710-1521</t>
  </si>
  <si>
    <t>2024 MAY 16</t>
  </si>
  <si>
    <t>10.1080/0144929X.2024.2354436</t>
  </si>
  <si>
    <t>QZ6R4</t>
  </si>
  <si>
    <t>WOS:001224735800001</t>
  </si>
  <si>
    <t>Schluchter, T; Ahmed, N; Huang, EM</t>
  </si>
  <si>
    <t>Assoc Computing Machinery</t>
  </si>
  <si>
    <t>Schluchter, Tim; Ahmed, Nimra; Huang, Elaine M.</t>
  </si>
  <si>
    <t>It Actually Affected My Relationship: A Qualitative Analysis of Affordances and Attitudes Towards Mental Health Content on TikTok</t>
  </si>
  <si>
    <t>PROCEEDINGS OF THE 2024 CONFERENCE ON MENSCH UND COMPUTER, MUC 2024</t>
  </si>
  <si>
    <t>Conference on Mensch und Computer (MuC)</t>
  </si>
  <si>
    <t>SEP 01-04, 2024</t>
  </si>
  <si>
    <t>Karlsruhe, GERMANY</t>
  </si>
  <si>
    <t>ACM SIGCHI</t>
  </si>
  <si>
    <t>This paper investigates the factors and platform-specific affordances that contribute to the popularity of mental health (MH) content on TikTok, a topic of growing importance within Human-Computer Interaction (HCI) due to its impact on public MH literacy and individual well-being. Diverging from studies that focus predominantly on the For You Page algorithm, this research employs qualitative methods to explore a broader array of features that facilitate the platform's success in MH discussions. Through semi-structured interviews with fourteen TikTok users, including viewers and creators, this study examines how TikTok's community, algorithmic recommendations, interactive features, and engaging environment support the sharing and consumption of MH content. Additionally, it explores user perceptions and attitudes towards TikTok as an MH platform, revealing various opinions, impacts, and experiences. Our findings highlight how TikTok fosters a unique space for MH discussions and provide design considerations for optimizing such platforms for MH communication.</t>
  </si>
  <si>
    <t>[Schluchter, Tim; Ahmed, Nimra; Huang, Elaine M.] Univ Zurich, People &amp; Comp Lab, Zurich, Switzerland</t>
  </si>
  <si>
    <t>tim.schluchter@uzh.ch; nimra@ifi.uzh.ch; huang@ifi.uzh.ch</t>
  </si>
  <si>
    <t>Ahmed, Nimra/0000-0002-1609-2937</t>
  </si>
  <si>
    <t>979-8-4007-0998-2</t>
  </si>
  <si>
    <t>10.1145/3670653.3677501</t>
  </si>
  <si>
    <t>Computer Science, Artificial Intelligence; Computer Science, Cybernetics; Computer Science, Interdisciplinary Applications; Computer Science, Theory &amp; Methods</t>
  </si>
  <si>
    <t>BX5ZU</t>
  </si>
  <si>
    <t>WOS:001305932500047</t>
  </si>
  <si>
    <t>Mandzufas, J; Lim, N; Johnston, R; Lombardi, K; Trapp, GSA</t>
  </si>
  <si>
    <t>Mandzufas, J.; Lim, N.; Johnston, R.; Lombardi, K.; Trapp, G. S. A.</t>
  </si>
  <si>
    <t>'I'm on board with the borg' : encouraging risky alcohol use on TikTok</t>
  </si>
  <si>
    <t>Alcohol; TikTok; social media; borg</t>
  </si>
  <si>
    <t>[Mandzufas, J.; Johnston, R.; Lombardi, K.; Trapp, G. S. A.] Telethon Kids Inst, Nedlands, WA 6009, Australia; [Lim, N.] Univ Western Australia, Nedlands, WA 6009, Australia</t>
  </si>
  <si>
    <t>University of Western Australia; The Kids Research Institute Australia; University of Western Australia</t>
  </si>
  <si>
    <t>Mandzufas, J (corresponding author), Telethon Kids Inst, Nedlands, WA 6009, Australia.</t>
  </si>
  <si>
    <t>E129</t>
  </si>
  <si>
    <t>10.1017/S0029665124001472</t>
  </si>
  <si>
    <t>WOS:001215194800044</t>
  </si>
  <si>
    <t>Kauffman, L; Weisberg, EM; Fishman, EK</t>
  </si>
  <si>
    <t>Kauffman, Lilly; Weisberg, Edmund M.; Fishman, Elliot K.</t>
  </si>
  <si>
    <t>TikTok for Radiology Education: Is Now the Right Time?</t>
  </si>
  <si>
    <t>CURRENT PROBLEMS IN DIAGNOSTIC RADIOLOGY</t>
  </si>
  <si>
    <t>TikTok is the fastest growing social media app in the world and is designed to be social and promote discovery. We have used various social media sites (i.e., Facebook, Twitter, YouTube, Instagram, and Pinterest) for radiology education for several years, and created a TikTok account in March 2020 (@CTisus) to determine its suitability for expanding our audience for radiology education. Since we create video content for our website and other social media outlets, we have posted those videos to TikTok, opting not to create anything specifically for TikTok. For the hashtag #radiology (which currently has 388.2 million views), we viewed the first 100 videos shown per TikTok's algorithm. About half the videos (n=46) were about radiology work life, including remarks by patients or basic information about becoming a radiology technologist. Twenty-four videos were radiology-related jokes. Seven videos showed radiology equipment, mainly how MRI scanners interact with metal. Ultimately, only eight were professional English-language videos pertaining to radiology education. Though the appeal of TikTok is clear based on popularity, potentially offensive, inappropriate, or irrelevant videos can appear. TikTok for radiology, then, should come with a disclaimer. But TikTok should not be summarily dismissed as a silly dancing app. Educators can reach a substantial audience, especially those in the earliest stages of their medical education. Though it is currently not the most suitable app for medical professionals, TikTok warrants consideration for use in radiology education as long as it is used with caution. (c) 2022 Elsevier Inc. All rights reserved.</t>
  </si>
  <si>
    <t>[Kauffman, Lilly; Weisberg, Edmund M.; Fishman, Elliot K.] Johns Hopkins Univ Hosp, Russell H Morgan Dept Radiol &amp; Radiol Sci, Baltimore, MD USA; [Weisberg, Edmund M.] Johns Hopkins Univ Hosp, 601North Caroline St,JHOC 3262, Baltimore, MD 21287 USA</t>
  </si>
  <si>
    <t>Johns Hopkins University; Johns Hopkins Medicine; Johns Hopkins University; Johns Hopkins Medicine</t>
  </si>
  <si>
    <t>Weisberg, EM (corresponding author), Johns Hopkins Univ Hosp, 601North Caroline St,JHOC 3262, Baltimore, MD 21287 USA.</t>
  </si>
  <si>
    <t>eweisbe1@jhmi.edu</t>
  </si>
  <si>
    <t>Weisberg, Edmund/0000-0002-2514-1219</t>
  </si>
  <si>
    <t>MOSBY-ELSEVIER</t>
  </si>
  <si>
    <t>360 PARK AVENUE SOUTH, NEW YORK, NY 10010-1710 USA</t>
  </si>
  <si>
    <t>0363-0188</t>
  </si>
  <si>
    <t>CURR PROBL DIAGN RAD</t>
  </si>
  <si>
    <t>Curr. Probl. Diagn. Radiol.</t>
  </si>
  <si>
    <t>NOV-DEC</t>
  </si>
  <si>
    <t>10.1067/j.cpradiol.2022.06.001</t>
  </si>
  <si>
    <t>OCT 2022</t>
  </si>
  <si>
    <t>Radiology, Nuclear Medicine &amp; Medical Imaging</t>
  </si>
  <si>
    <t>5S7WR</t>
  </si>
  <si>
    <t>WOS:000875395600005</t>
  </si>
  <si>
    <t>Sulibhavi, A; Isaacson, G</t>
  </si>
  <si>
    <t>Sulibhavi, Anita; Isaacson, Glenn</t>
  </si>
  <si>
    <t>TikTok Tonsils</t>
  </si>
  <si>
    <t>ENT-EAR NOSE &amp; THROAT JOURNAL</t>
  </si>
  <si>
    <t>Editorial Material</t>
  </si>
  <si>
    <t>tonsil; tonsillitis; pediatric; tiktok; media</t>
  </si>
  <si>
    <t>There has been a subjective increase in the number of patients presenting for tonsil stones to our pediatric otolaryngology clinic. This may be related to frequent viewing of videos on the social media application, TikTok, pertaining to tonsil stones.</t>
  </si>
  <si>
    <t>[Sulibhavi, Anita; Isaacson, Glenn] Temple Univ, Lewis Katz Sch Med, Dept Otolaryngol Head &amp; Neck Surg, Philadelphia, PA 19122 USA; [Isaacson, Glenn] Temple Univ, Dept Pediat, Lewis Katz Sch Med, 3440 North Broad St,Kresge 3rd Floor, Philadelphia, PA 19140 USA</t>
  </si>
  <si>
    <t>Pennsylvania Commonwealth System of Higher Education (PCSHE); Temple University; Pennsylvania Commonwealth System of Higher Education (PCSHE); Temple University</t>
  </si>
  <si>
    <t>Isaacson, G (corresponding author), Temple Univ, Lewis Katz Sch Med, Dept Otolaryngol Head &amp; Neck Surg, Philadelphia, PA 19122 USA.;Isaacson, G (corresponding author), Temple Univ, Dept Pediat, Lewis Katz Sch Med, 3440 North Broad St,Kresge 3rd Floor, Philadelphia, PA 19140 USA.</t>
  </si>
  <si>
    <t>glenn.isaacson@temple.edu</t>
  </si>
  <si>
    <t>0145-5613</t>
  </si>
  <si>
    <t>1942-7522</t>
  </si>
  <si>
    <t>ENT-EAR NOSE THROAT</t>
  </si>
  <si>
    <t>ENT-Ear Nose Throat J.</t>
  </si>
  <si>
    <t>NP183</t>
  </si>
  <si>
    <t>NP184</t>
  </si>
  <si>
    <t>10.1177/01455613211038340</t>
  </si>
  <si>
    <t>SEP 2021</t>
  </si>
  <si>
    <t>Otorhinolaryngology</t>
  </si>
  <si>
    <t>KL8K3</t>
  </si>
  <si>
    <t>WOS:000703235900001</t>
  </si>
  <si>
    <t>Hartung, C; Hendry, NA; Albury, K; Johnston, S; Welch, R</t>
  </si>
  <si>
    <t>Hartung, Catherine; Hendry, Natalie Ann; Albury, Kath; Johnston, Sasha; Welch, Rosie</t>
  </si>
  <si>
    <t>Teachers of TikTok: Glimpses and gestures in the performance of professional identity</t>
  </si>
  <si>
    <t>teacher practice; TikTok; social media; teacherpreneurs; professional identity; influencers</t>
  </si>
  <si>
    <t>SOCIAL MEDIA; ETHICAL DILEMMAS; COMMUNITIES; VISIBILITY; ENGAGEMENT; EDUCATION; HEALTH</t>
  </si>
  <si>
    <t>During a tumultuous period marked by a global pandemic, forced lockdowns, and educational institutions going 'digital by default', TikTok has emerged as a key platform for teachers to connect and share their experiences. These digital practices have been widely celebrated for providing teachers with an outlet during a challenging time, though little is known about the particulars of TikTok's appeal among teachers and their followers. This article focuses on a teacher from South Australia, 'Mr Luke', whose upbeat TikTok videos capturing '#teacherlife' have seen him grow a significant following. Drawing on interviews with Mr Luke and an Australian pre-service teacher who follows him, we consider their thoughts on TikTok and its relationship to professional practice. We identify key factors that have enabled TikTok's popularity among educators, with implications for both teacher education and social media scholarship.</t>
  </si>
  <si>
    <t>[Hartung, Catherine; Albury, Kath; Johnston, Sasha] Swinburne Univ Technol, Hawthorn, Vic, Australia; [Hendry, Natalie Ann] Univ Melbourne, Melbourne, Vic, Australia; [Welch, Rosie] Monash Univ, Clayton, Vic, Australia</t>
  </si>
  <si>
    <t>Swinburne University of Technology; University of Melbourne; Monash University</t>
  </si>
  <si>
    <t>Hartung, C (corresponding author), Swinburne Univ Technol, Dept Educ, John St, Hawthorn, Vic 3122, Australia.</t>
  </si>
  <si>
    <t>chartung@swin.edu.au</t>
  </si>
  <si>
    <t>; Welch, Rosie/A-9346-2017</t>
  </si>
  <si>
    <t>Hendry, Natalie Ann/0000-0002-2591-420X; Welch, Rosie/0000-0002-5485-1463</t>
  </si>
  <si>
    <t>Department of Social Sciences, Media, Film and Education, Swinburne University of Technology</t>
  </si>
  <si>
    <t>The author disclosed receipt of the following financial support for the research, authorship, and/or publication of this article: This research was supported by seed-funding from the Department of Social Sciences, Media, Film and Education, Swinburne University of Technology.</t>
  </si>
  <si>
    <t>1329878X211068836</t>
  </si>
  <si>
    <t>10.1177/1329878X211068836</t>
  </si>
  <si>
    <t>JAN 2022</t>
  </si>
  <si>
    <t>WOS:000740767100001</t>
  </si>
  <si>
    <t>Scherr, S; Wang, KX</t>
  </si>
  <si>
    <t>Scherr, Sebastian; Wang, Kexin</t>
  </si>
  <si>
    <t>Explaining the success of social media with gratification niches: Motivations behind daytime, nighttime, and active use of TikTok in China</t>
  </si>
  <si>
    <t>TikTok; douyin; Uses and gratifications; Gratification niches; Motives for social media use; Social media; China</t>
  </si>
  <si>
    <t>GENDER-DIFFERENCES; INTERNET USE; FACEBOOK; NETWORKING; ADDICTION; COMPETITION; PREDICTORS; ENGAGEMENT; NARCISSISM; MOTIVES</t>
  </si>
  <si>
    <t>Drawing from niche theory and the uses and gratifications approach, this study explores the gratification niches of TikTok as a new social media app. As a first step, we developed a catalogue of motives for using TikTok to assess users' gratifications. As a second step, we explored the predictive value of these motives for TikTok's competitive displacement potential among its users during the day and night and actively posting content. In a sample of N = 1051 TikTok users in China, parallel analysis revealed four distinct gratifications for TikTok use: socially rewarding self-presentation, trendiness, escapist addiction, and novelty. Age-gender stratified analyses showed that novelty was the most relevant motives for using TikTok across all users. Age was positively correlated with trendiness and negatively correlated with escapist addiction. We could only observe one gender difference for addictive escapism being more relevant for women. Finally, TikTok's potential for competitive displacement of other social media apps seemed to be time-of-day-specific with trendiness driving daytime use, novelty driving nighttime use, and posting TikTok videos being driven by socially rewarding self-presentations. Our findings therefore come with implications for theorizing on comparative social media uses and gratifications.</t>
  </si>
  <si>
    <t>[Scherr, Sebastian] Texas A&amp;M Univ, Dept Commun, College Stn, TX 77843 USA; [Wang, Kexin] Zhejiang Univ, Coll Media &amp; Int Culture, Hangzhou, Zhejiang, Peoples R China</t>
  </si>
  <si>
    <t>Texas A&amp;M University System; Texas A&amp;M University College Station; Zhejiang University</t>
  </si>
  <si>
    <t>Wang, KX (corresponding author), Zhejiang Univ, Coll Media &amp; Int Culture, Hangzhou, Zhejiang, Peoples R China.</t>
  </si>
  <si>
    <t>scherr@tamu.edu; wangkexin0809@zju.edu.cn</t>
  </si>
  <si>
    <t>This research was supported by the key project of the National Social Science Fund, Research on Ethics and Norms of Public Communication in the Context of New Media (No. 19AXW007) .</t>
  </si>
  <si>
    <t>10.1016/j.chb.2021.106893</t>
  </si>
  <si>
    <t>JUN 2021</t>
  </si>
  <si>
    <t>UD8EI</t>
  </si>
  <si>
    <t>WOS:000687435800016</t>
  </si>
  <si>
    <t>Taylor, SH; Brisini, KSC</t>
  </si>
  <si>
    <t>Taylor, Samuel Hardman; Brisini, Kellie St. Cyr</t>
  </si>
  <si>
    <t>Parenting the TikTok algorithm: An algorithm awareness as process approach to online risks and opportunities</t>
  </si>
  <si>
    <t>Handling Editor: Jen-Her Wu</t>
  </si>
  <si>
    <t>DIGITAL SKILLS; MEDIATION; ADOLESCENTS</t>
  </si>
  <si>
    <t>Teens inhabit an algorithmically curated digital world. Thus, algorithm awareness has emerged as a critical digital skill for parents of teens to mitigate online risks and maximize online opportunities. This study explores how parents' algorithm awareness of the TikTok For You feed relates to perceived online risks and opportunities as well as parental mediation strategies. A survey of U.S. parents found that greater algorithm awareness on TikTok was associated with more negative attitudes about the TikTok algorithm via the mediator of perceived TikTok risks. Parents with negative attitudes about algorithms on TikTok were more likely to prohibit their teenager from using TikTok, but algorithm awareness and attitudes were unassociated with other parental mediation strategies. This study contributes to research on digital parenting practices, suggesting that (a) perceptions of risks, not opportunities, frame the algorithm awareness process for parents and (b) algorithm awareness may operate differently than other digital skills.</t>
  </si>
  <si>
    <t>[Taylor, Samuel Hardman] Univ Illinois, Chicago, IL 60607 USA; [Brisini, Kellie St. Cyr] Louisiana State Univ, Prairieville, LA USA</t>
  </si>
  <si>
    <t>University of Illinois System; University of Illinois Chicago; University of Illinois Chicago Hospital; Louisiana State University System; Louisiana State University</t>
  </si>
  <si>
    <t>Taylor, SH (corresponding author), Univ Illinois, Chicago, IL 60607 USA.</t>
  </si>
  <si>
    <t>samuelht@uic.edu; kbrisini@lsu.edu</t>
  </si>
  <si>
    <t>Taylor, Samuel/0000-0002-1014-4513; Brisini, Kellie/0000-0002-9682-2820</t>
  </si>
  <si>
    <t>10.1016/j.chb.2023.107975</t>
  </si>
  <si>
    <t>W5JB7</t>
  </si>
  <si>
    <t>WOS:001091976600001</t>
  </si>
  <si>
    <t>Kennedy, M</t>
  </si>
  <si>
    <t>Kennedy, Melanie</t>
  </si>
  <si>
    <t>'If the rise of the TikTok dance and e-girl aesthetic has taught us anything, it's that teenage girls rule the internet right now': TikTok celebrity, girls and the Coronavirus crisis</t>
  </si>
  <si>
    <t>EUROPEAN JOURNAL OF CULTURAL STUDIES</t>
  </si>
  <si>
    <t>Celebrity; Charli D'Amelio; Coronavirus; girls; TikTok</t>
  </si>
  <si>
    <t>During the global lockdowns brought about by the Coronavirus crisis, TikTok saw a phenomenal rise in users and cultural visibility. This short essay argues that the media attention paid to TikTok during this time can be read as a celebration of girlhood in the face of the pandemic, and can be seen to contribute to the transformation of girls' 'bedroom culture' (McRobbie and Garber, 2006) from a space previously conceptualised as private and safe from judgement, to one of public visibility, surveillance and evaluation. Focusing on Charli D'Amelio, this essay argues that the increasing visibility of TikTok and rising celebrity of D'Amelio during the Coronavirus crisis continues and intensifies the longer history of young female celebrity culture, and obscures the dangers and impacts faced by girls around the world who are situated outside of the ideals embodied in TikTok stars like D'Amelio.</t>
  </si>
  <si>
    <t>[Kennedy, Melanie] Univ Leicester, Media &amp; Commun, Leicester, Leics, England</t>
  </si>
  <si>
    <t>University of Leicester</t>
  </si>
  <si>
    <t>Kennedy, M (corresponding author), Univ Leicester, Sch Media Commun &amp; Sociol, Bankfield House,132 New Walk, Leicester LE1 7JA, Leics, England.</t>
  </si>
  <si>
    <t>mjk29@le.ac.uk</t>
  </si>
  <si>
    <t>Kennedy, Melanie/0000-0002-5284-9036</t>
  </si>
  <si>
    <t>1367-5494</t>
  </si>
  <si>
    <t>1460-3551</t>
  </si>
  <si>
    <t>EUR J CULT STUD</t>
  </si>
  <si>
    <t>Eur. J. Cult. Stud.</t>
  </si>
  <si>
    <t>10.1177/1367549420945341</t>
  </si>
  <si>
    <t>JUL 2020</t>
  </si>
  <si>
    <t>Cultural Studies</t>
  </si>
  <si>
    <t>Social Science Citation Index (SSCI); Arts &amp; Humanities Citation Index (A&amp;HCI)</t>
  </si>
  <si>
    <t>OM3CS</t>
  </si>
  <si>
    <t>WOS:000554523800001</t>
  </si>
  <si>
    <t>Fiallos, A; Figueroa, S</t>
  </si>
  <si>
    <t>Vaca, C; Riofrio, D; Pincay, J; Teran, L</t>
  </si>
  <si>
    <t>Fiallos, Angel; Figueroa, Stalin</t>
  </si>
  <si>
    <t>Detection of Educational Influencers and Communities on TikTok</t>
  </si>
  <si>
    <t>2023 NINTH INTERNATIONAL CONFERENCE ON EDEMOCRACY &amp; EGOVERNMENT, ICEDEG</t>
  </si>
  <si>
    <t>International Conference on eDemocracy and eGovernment ICEDEG</t>
  </si>
  <si>
    <t>9th International Conference on eDemocracy and eGovernment, (ICEDEG)</t>
  </si>
  <si>
    <t>APR 03-05, 2023</t>
  </si>
  <si>
    <t>Quito, ECUADOR</t>
  </si>
  <si>
    <t>IEEE,IEEE Region 9,IEEE Comp Soc, E Govt Special Tech Community,Escuela Super Politecnica Litoral,Escuela Politecnica Nacl,Inst Altos Estudios Nacl,Univ Americas,Univ Tecnica Ambato,Univ Fribourg,Univ San Francisco Quito</t>
  </si>
  <si>
    <t>Social Network Analysis; topic modelling; TikTok</t>
  </si>
  <si>
    <t>TikTok is a video-sharing social networking service that has rapidly grown in recent years. TikTok reached 1.2 billion monthly active users in Q4 2021 and is expected to reach 1.8 billion by the end of 2022. TikTok, compared to other social networks, has a higher audience engagement, allowing information to be broadcasted quickly and effectively. In order to facilitate communities' exploration and topics identification, we present a study that includes the social networks analysis techniques in conjunction with the statistical and machine learning approaches applied to TikTok #learnontiktok campaign data to explore and provide insightful and valuable information about influencers, groups and educational areas and thus develop a data-driven culture for decision making.</t>
  </si>
  <si>
    <t>[Fiallos, Angel] Univ Ecotec, Fac Ciencias Econ &amp; Empresariales, Samborondon, Ecuador; [Figueroa, Stalin] Univ Alcala, Ingn Informac &amp; Conocimiento, Alcala De Henares, Spain</t>
  </si>
  <si>
    <t>Universidad de Alcala</t>
  </si>
  <si>
    <t>Fiallos, A (corresponding author), Univ Ecotec, Fac Ciencias Econ &amp; Empresariales, Samborondon, Ecuador.</t>
  </si>
  <si>
    <t>afialloso@ecotec.edu.ec; stalin.figueroa@edu.uah.es</t>
  </si>
  <si>
    <t>FIALLOS ORDOÑEZ, ANGEL GONZALO/KCK-5717-2024</t>
  </si>
  <si>
    <t>FIGUEROA, STALIN/0000-0002-0574-5488; Fiallos, Angel/0000-0002-7828-1207</t>
  </si>
  <si>
    <t>10662 LOS VAQUEROS CIRCLE, PO BOX 3014, LOS ALAMITOS, CA 90720-1264 USA</t>
  </si>
  <si>
    <t>2573-2005</t>
  </si>
  <si>
    <t>2573-1998</t>
  </si>
  <si>
    <t>979-8-3503-2450-1</t>
  </si>
  <si>
    <t>INT CONF EDEMOC EGOV</t>
  </si>
  <si>
    <t>10.1109/ICEDEG58167.2023.10122011</t>
  </si>
  <si>
    <t>Computer Science, Information Systems; Communication; Computer Science, Interdisciplinary Applications; Political Science; Public Administration</t>
  </si>
  <si>
    <t>Computer Science; Communication; Government &amp; Law; Public Administration</t>
  </si>
  <si>
    <t>BV2NQ</t>
  </si>
  <si>
    <t>WOS:001008282100006</t>
  </si>
  <si>
    <t>Rauchberg, JS</t>
  </si>
  <si>
    <t>Rauchberg, Jessica Sage</t>
  </si>
  <si>
    <t>A different girl, but she's nothing new: Olivia Rodrigo and posting imitation pop on TikTok</t>
  </si>
  <si>
    <t>FEMINIST MEDIA STUDIES</t>
  </si>
  <si>
    <t>Celebrity image; influencer; Olivia Rodrigo; social media; TikTok</t>
  </si>
  <si>
    <t>Olivia Rodrigo is a Filipina American pop star who used the micro-vlogging network TikTok to launch her music career in early 2021. Though Rodrigo received criticism for copying other musicians' work, I argue that Rodrigo's authenticity is predicated on her use of transparent content creation on her TikTok account to connect with her young, global audience. Using Rodrigo's TikTok as a case study, this commentary essay introduces the concept of imitation pop to interrogate the relationship between influencing, pastiche, and the curation of celebrity image on social media platforms.</t>
  </si>
  <si>
    <t>[Rauchberg, Jessica Sage] McMaster Univ, Dept Commun Studies &amp; Media Arts, 1280 Main St West,Togo Salmon Hall 331, Hamilton, ON L8S 4L8, Canada</t>
  </si>
  <si>
    <t>McMaster University</t>
  </si>
  <si>
    <t>Rauchberg, JS (corresponding author), McMaster Univ, Dept Commun Studies &amp; Media Arts, 1280 Main St West,Togo Salmon Hall 331, Hamilton, ON L8S 4L8, Canada.</t>
  </si>
  <si>
    <t>jess.rauchberg@gmail.com</t>
  </si>
  <si>
    <t>Rauchberg, Jess/0000-0003-2513-5107</t>
  </si>
  <si>
    <t>Feminist Media Studies editorial team</t>
  </si>
  <si>
    <t>The author would like to thank the Feminist Media Studies editorial team for supporting the manuscript and Ryan A. D'Souza, Beatriz A. Nieto Fernandez, and Clementine Oberst for their helpful guidance and feedback on earlier drafts of the essay.</t>
  </si>
  <si>
    <t>1468-0777</t>
  </si>
  <si>
    <t>1471-5902</t>
  </si>
  <si>
    <t>FEM MEDIA STUD</t>
  </si>
  <si>
    <t>Fem. Media Stud.</t>
  </si>
  <si>
    <t>JUL 4</t>
  </si>
  <si>
    <t>10.1080/14680777.2022.2093251</t>
  </si>
  <si>
    <t>JUL 2022</t>
  </si>
  <si>
    <t>Communication; Women's Studies</t>
  </si>
  <si>
    <t>4Y7TR</t>
  </si>
  <si>
    <t>WOS:000830627600001</t>
  </si>
  <si>
    <t>Lin, J; Swart, J; Zeng, GH</t>
  </si>
  <si>
    <t>Lin, Jian; Swart, Joelle; Zeng, Guohua</t>
  </si>
  <si>
    <t>Theorising TikTok cultures: Neuro-images in the era of short videos</t>
  </si>
  <si>
    <t>algorithms; digital culture; neuro images; platform; short videos; TikTok</t>
  </si>
  <si>
    <t>MUSIC</t>
  </si>
  <si>
    <t>Instead of viewing TikTok as a platform, in this article we borrow Dutch film theorist Patricia Pisters's concept of neuro-images to approach TikTok as a cultural form that is deeply participatory, platform contingent, and algorithmically engraved. In the co-production between algorithms and users, TikTok becomes an enormous database and generates personalised narratives about individuals and the world onto and through its 'brain-screen' interfaces, which simulate our conscious and unconscious mind, and actualise the idea of creativity based on repetition. TikTok thus enables a quasi-automated cinema, whose non-stopping filming of everyday lives does not seek to reduce desires and tastes into a singular and coherent structure, but instead uncovers, releases and contains them in its vast database and interfaces, leading to a fluid and modulating categorisation of identities. It is within this quasi-automated, deeply participatory digital cinema that TikTok constitutes neuro-images, producing a distinctive experience of time, and unpredictable and unstable futures.</t>
  </si>
  <si>
    <t>[Lin, Jian] Chinese Univ Hong Kong, Hong Kong, Peoples R China; [Swart, Joelle] Univ Groningen, Groningen, Netherlands; [Zeng, Guohua] Chinese Acad Social Sci, Beijing, Peoples R China; [Lin, Jian] Chinese Univ Hong Kong, Sch Journalism &amp; Commun, New Asia Coll, Shatin, Room 419,Humanities Bldg, Hong Kong, Peoples R China</t>
  </si>
  <si>
    <t>Chinese University of Hong Kong; University of Groningen; Chinese Academy of Social Sciences; Chinese University of Hong Kong</t>
  </si>
  <si>
    <t>Lin, J (corresponding author), Chinese Univ Hong Kong, Sch Journalism &amp; Commun, New Asia Coll, Shatin, Room 419,Humanities Bldg, Hong Kong, Peoples R China.</t>
  </si>
  <si>
    <t>jianlin1@cuhk.edu.hk</t>
  </si>
  <si>
    <t>Lin, Jian/AAE-1280-2019; Swart, Joelle/LQK-4311-2024</t>
  </si>
  <si>
    <t>Swart, Joelle/0000-0003-2326-8424; Lin, Jian/0000-0003-0436-0858</t>
  </si>
  <si>
    <t>ICOG research</t>
  </si>
  <si>
    <t>The author(s) disclosed receipt of the following financial support for the research, authorship, and/or publication of this article: This study receives funding from the ICOG research grants in times of COVID-19 at the University of Groningen</t>
  </si>
  <si>
    <t>10.1177/01634437231202167</t>
  </si>
  <si>
    <t>Green Published</t>
  </si>
  <si>
    <t>WOS:001079725100001</t>
  </si>
  <si>
    <t>Graefen, B; Emeakoroha, U; Qasmieh, S; Fazal, N</t>
  </si>
  <si>
    <t>Graefen, Bahar; Emeakoroha, Uzoma; Qasmieh, Samah; Fazal, Nadeem</t>
  </si>
  <si>
    <t>The Impact of TikTok on Pharmacy Education: Enhancing Drug Information Mastery Through Video Learning</t>
  </si>
  <si>
    <t>ARCHIVES OF PHARMACY PRACTICE</t>
  </si>
  <si>
    <t>TikTok; Pharmacy education; Distance learning; Social media; Educational innovation</t>
  </si>
  <si>
    <t>TikTok, a well-known application for creating and posting short videos on social media, is an untested educational tool. This study examines ways in which TikTok has impacted pharmacy education with a specific focus on learning concerning drugs. The study compared two groups to see if there are differences between the group using traditional learning strategies - such as textbooks and online resources - and the group using the TikTok platform. Multiple-choice tests were used to evaluate the performance of the two groups. Results show a statistically significant difference between traditional and TikTok-supported learning groups regarding academic performance, highlighting the potential of TikTok-supported learning for improving learning outcomes. These results make valuable contributions to the study of teaching methods and provide evidence of encouraging impacts for implementing advanced social media-based learning strategies in traditional learning environments. This highlights the value of studying diverse and motivating techniques to improve student learning, particularly in pharmacy education.</t>
  </si>
  <si>
    <t>[Graefen, Bahar; Emeakoroha, Uzoma; Qasmieh, Samah; Fazal, Nadeem] Chicago State Univ, Coll Hlth Sci &amp; Pharm, Chicago, IL 60628 USA</t>
  </si>
  <si>
    <t>Chicago State University</t>
  </si>
  <si>
    <t>Graefen, B (corresponding author), Chicago State Univ, Coll Hlth Sci &amp; Pharm, Chicago, IL 60628 USA.</t>
  </si>
  <si>
    <t>bahar.graefen@gmail.com</t>
  </si>
  <si>
    <t>ARCHIVES GLOBAL PROFESSIONALS</t>
  </si>
  <si>
    <t>KARACHI</t>
  </si>
  <si>
    <t>ARCHIVES GLOBAL PROFESSIONALS, KARACHI, PAKISTAN</t>
  </si>
  <si>
    <t>2320-5210</t>
  </si>
  <si>
    <t>2045-080X</t>
  </si>
  <si>
    <t>ARCH PHARM PRACT</t>
  </si>
  <si>
    <t>Arch. Pharm. Pract.</t>
  </si>
  <si>
    <t>OCT-DEC</t>
  </si>
  <si>
    <t>10.51847/GJXdvZJz7N</t>
  </si>
  <si>
    <t>Pharmacology &amp; Pharmacy</t>
  </si>
  <si>
    <t>Z4VQ8</t>
  </si>
  <si>
    <t>WOS:001112074400007</t>
  </si>
  <si>
    <t>Huebner, EJ</t>
  </si>
  <si>
    <t>Huebner, Emma June</t>
  </si>
  <si>
    <t>TikTok and museum education: A visual content analysis</t>
  </si>
  <si>
    <t>INTERNATIONAL JOURNAL OF EDUCATION THROUGH ART</t>
  </si>
  <si>
    <t>social media; short-form videos; art museums; teaching practices; educational tool; youth; case study</t>
  </si>
  <si>
    <t>ART</t>
  </si>
  <si>
    <t>Although TikTok has been downloaded 2.6 billion times and is widely used around the world, cultural organizations have been slow to join the trend. The few museums that use the app have had contrasting approaches to their content creation. This study employs a case study methodology to examine the use of TikTok by the Uffizi Gallery (Florence) and the Rijksmuseum (Amsterdam) through a visual content analysis of their posts. Considering theories of learning and teaching in the museum, as well as of connectivism, the central guiding questions are: how are museums using TikTok? In what ways do these short-form videos connect visitors with their collections? What are the implications for museum education? The findings from this study reveal that museums use either expository and didactic teaching practices on TikTok or performative TikTok practices, which include collaboration with youth. The study has implications for museum educators who wish to use TikTok as an educational tool.</t>
  </si>
  <si>
    <t>[Huebner, Emma June] Concordia Univ, Dept Art Educ, Fac Fine Arts, 1455 Blvd Maisonneuve O, Montreal, PQ H3G 1M8, Canada</t>
  </si>
  <si>
    <t>Concordia University - Canada</t>
  </si>
  <si>
    <t>Huebner, EJ (corresponding author), Concordia Univ, Dept Art Educ, Fac Fine Arts, 1455 Blvd Maisonneuve O, Montreal, PQ H3G 1M8, Canada.</t>
  </si>
  <si>
    <t>emmajune.huebner@mail.concordia.ca</t>
  </si>
  <si>
    <t>Huebner, Emma June/0000-0003-4921-3376</t>
  </si>
  <si>
    <t>1743-5234</t>
  </si>
  <si>
    <t>2040-090X</t>
  </si>
  <si>
    <t>INT J EDUC ART</t>
  </si>
  <si>
    <t>Int. J. Educ. Art</t>
  </si>
  <si>
    <t>JUN 1</t>
  </si>
  <si>
    <t>10.1386/eta_00095_1</t>
  </si>
  <si>
    <t>1W6LP</t>
  </si>
  <si>
    <t>WOS:000806884700006</t>
  </si>
  <si>
    <t>Gillis, B; VanAntwerp, J; Scott, E; Peltz, J</t>
  </si>
  <si>
    <t>Gillis, Brian; VanAntwerp, Joycelyn; Scott, Emily; Peltz, Jack</t>
  </si>
  <si>
    <t>TIKTOK MADE ME DO IT: AN ANALYSIS OF THE SCIENTIFIC EVIDENCE SUPPORTING TIKTOK'S RECOMMENDATIONS FOR BETTER SLEEP</t>
  </si>
  <si>
    <t>SLEEP</t>
  </si>
  <si>
    <t>38th Annual Meeting of the Associated-Professional-Sleep-Societies (APSS)</t>
  </si>
  <si>
    <t>JUN 01-05, 2024</t>
  </si>
  <si>
    <t>Houston, TX</t>
  </si>
  <si>
    <t>Assoc Professional Sleep Soc</t>
  </si>
  <si>
    <t>[Gillis, Brian; VanAntwerp, Joycelyn; Scott, Emily] Auburn Univ, Auburn, AL USA; [Peltz, Jack] State Univ New York Brockport, Brockport, NY USA</t>
  </si>
  <si>
    <t>Auburn University System; Auburn University; State University of New York (SUNY) System; State University of New York (SUNY) Brockport</t>
  </si>
  <si>
    <t>OXFORD UNIV PRESS INC</t>
  </si>
  <si>
    <t>CARY</t>
  </si>
  <si>
    <t>JOURNALS DEPT, 2001 EVANS RD, CARY, NC 27513 USA</t>
  </si>
  <si>
    <t>0161-8105</t>
  </si>
  <si>
    <t>1550-9109</t>
  </si>
  <si>
    <t>Sleep</t>
  </si>
  <si>
    <t>zsae067.01093</t>
  </si>
  <si>
    <t>10.1093/sleep/zsae067.01093</t>
  </si>
  <si>
    <t>Clinical Neurology; Neurosciences</t>
  </si>
  <si>
    <t>Science Citation Index Expanded (SCI-EXPANDED); Conference Proceedings Citation Index - Science (CPCI-S)</t>
  </si>
  <si>
    <t>Neurosciences &amp; Neurology</t>
  </si>
  <si>
    <t>XM7R3</t>
  </si>
  <si>
    <t>WOS:001262172000202</t>
  </si>
  <si>
    <t>Zheng, DX; Ning, AY; Levoska, MA; Xiang, L; Wong, C; Scott, JF</t>
  </si>
  <si>
    <t>Zheng, David X.; Ning, Anne Y.; Levoska, Melissa A.; Xiang, Laura; Wong, Christina; Scott, Jeffrey F.</t>
  </si>
  <si>
    <t>Acne and social media: A cross-sectional study of content quality on TikTok</t>
  </si>
  <si>
    <t>acne treatment; acne vulgaris; TikTok; TikTok and acne treatment</t>
  </si>
  <si>
    <t>Our objective was to assess the quality of acne-related medical information present on TikTok, the world's fastest growing social media platform. We queried the TikTok mobile application for videos tagged with #acne on May 1, 2020, and assessed the top 100 videos meeting inclusion criteria for content quality using DISCERN, a validated and reliable instrument for evaluating consumer health information. The mean content quality rating of videos was 2.03 (SD 0.47) which, according to the DISCERN instrument, indicates information with serious to potentially important shortcomings. Dermatologists should be aware that adolescents are using TikTok to gather acne-related information, and should prioritize acne education in this patient demographic due to the generally low content quality of such information.</t>
  </si>
  <si>
    <t>[Zheng, David X.; Ning, Anne Y.; Xiang, Laura] Case Western Reserve Univ, Sch Med, Dept Dermatol, Cleveland, OH 44106 USA; [Levoska, Melissa A.; Wong, Christina] Case Western Reserve Univ, Univ Hosp Cleveland, Med Ctr, Dept Dermatol, Cleveland, OH 44106 USA; [Scott, Jeffrey F.] Johns Hopkins Univ, Sch Med, Dept Dermatol, Baltimore, MD 21205 USA</t>
  </si>
  <si>
    <t>University System of Ohio; Case Western Reserve University; University System of Ohio; Case Western Reserve University; Case Western Reserve University Hospital; University Hospitals of Cleveland; Johns Hopkins University</t>
  </si>
  <si>
    <t>Zheng, DX (corresponding author), Univ Hosp Cleveland, Med Ctr, 11100 Euclid Ave, Cleveland, OH 44106 USA.</t>
  </si>
  <si>
    <t>dxz281@case.edu</t>
  </si>
  <si>
    <t>Levoska, Melissa/0000-0002-2848-759X; Xiang, Laura/0000-0002-0536-2858; Zheng, David/0000-0002-3351-023X</t>
  </si>
  <si>
    <t>10.1111/pde.14471</t>
  </si>
  <si>
    <t>NOV 2020</t>
  </si>
  <si>
    <t>QM1MX</t>
  </si>
  <si>
    <t>WOS:000593029600001</t>
  </si>
  <si>
    <t>Rahimullah, NA; Damayanti, SB; Izra, AA; Handayani, PW</t>
  </si>
  <si>
    <t>Rahimullah, Nadia Adilah; Damayanti, Sinta Bela; Izra, Aisyah Amyra; Handayani, Putu Wuri</t>
  </si>
  <si>
    <t>Assessing the factors influencing users accessing higher education content on TikTok</t>
  </si>
  <si>
    <t>COGENT EDUCATION</t>
  </si>
  <si>
    <t>social media; TikTok; continuance intention; higher education content; Indonesia</t>
  </si>
  <si>
    <t>TECHNOLOGY ACCEPTANCE MODEL; E-LEARNING SYSTEM; CONTINUANCE INTENTION; BEHAVIORAL INTENTION; INFORMATION QUALITY; DECISION-MAKING; SATISFACTION; INTERACTIVITY; SUCCESS; UNIVERSITY</t>
  </si>
  <si>
    <t>As its number of users increases, TikTok needs to focus on user retention. One such effort involves answering educational needs through social media. The purpose of this study is to analyze the factors affecting the continuance intention of TikTok users to obtain higher educational content. Data from this study were collected through online questionnaires from a total of 629 respondents. Then, the respondents' data were processed using covariance-based structural equation modeling. This study found that the perceived usefulness and satisfaction affect TikTok users' continuance intention towards higher educational content. This study suggests that TikTok should develop functionality and features that are more aligned with user preferences for accessing higher educational content.</t>
  </si>
  <si>
    <t>[Rahimullah, Nadia Adilah; Damayanti, Sinta Bela; Izra, Aisyah Amyra; Handayani, Putu Wuri] Univ Indonesia, Fac Comp Sci, Informat Syst Dept, Depok, Indonesia; [Handayani, Putu Wuri] Univ Indonesia, Fac Comp Sci, Depok, Indonesia</t>
  </si>
  <si>
    <t>University of Indonesia; University of Indonesia</t>
  </si>
  <si>
    <t>Handayani, PW (corresponding author), Univ Indonesia, Fac Comp Sci, Depok, Indonesia.</t>
  </si>
  <si>
    <t>putu.wuri@cs.ui.ac.id</t>
  </si>
  <si>
    <t>Handayani, Putu Wuri/GNP-8239-2022</t>
  </si>
  <si>
    <t>Kementerian Pendidikan, Kebudayaan, Riset dan Teknologi; [NKB-788/UN2.RST/HKP.05.00/2022]</t>
  </si>
  <si>
    <t>Kementerian Pendidikan, Kebudayaan, Riset dan Teknologi;</t>
  </si>
  <si>
    <t>This work was supported by the Kementerian Pendidikan, Kebudayaan, Riset dan Teknologi [NKB-788/UN2.RST/HKP.05.00/2022].</t>
  </si>
  <si>
    <t>TAYLOR &amp; FRANCIS AS</t>
  </si>
  <si>
    <t>OSLO</t>
  </si>
  <si>
    <t>KARL JOHANS GATE 5, NO-0154 OSLO, NORWAY</t>
  </si>
  <si>
    <t>2331-186X</t>
  </si>
  <si>
    <t>COGENT EDUC</t>
  </si>
  <si>
    <t>Cogent Educ.</t>
  </si>
  <si>
    <t>DEC 31</t>
  </si>
  <si>
    <t>10.1080/2331186X.2022.2148498</t>
  </si>
  <si>
    <t>6M8FC</t>
  </si>
  <si>
    <t>WOS:000889096800001</t>
  </si>
  <si>
    <t>Stein, K; Yao, YY; Aitamurto, T</t>
  </si>
  <si>
    <t>Stein, Krysten; Yao, Yueyang; Aitamurto, Tanja</t>
  </si>
  <si>
    <t>Examining Communicative Forms in #TikTokDocs' Sexual Health Videos</t>
  </si>
  <si>
    <t>digital health communication; digital health promotion; communicative forms; memetic dimensions; sexual health; women's health; TikTok</t>
  </si>
  <si>
    <t>SOCIAL MEDIA; ENTERTAINMENT-EDUCATION; COVID-19 INFORMATION; WEB 2.0; PHYSICIANS; FACEBOOK; ONLINE; YOUTUBE; DOCTOR</t>
  </si>
  <si>
    <t>We build on the theoretical framework of communicative forms and memetic dimensions to examine how obstetrics and gynecology (OBGYN) doctors' TikTok videos function as digital artifacts to educate and engage with youth culture. The framework of communicative forms defines TikTok as a communicative environment with unique practices, technological affordances, aesthetics, and digital culture. The three memetic dimensions of content, form, and stance refer to the ideas, configurations, and positions conveyed by memes that are shown on TikTok. We identified interrelated memetic ways OBGYN TikTok Docs deliver sexual health information using five communicative forms (explanatory, documentary, comedic, communal, and interactive). Our findings show that the relatability of OBGYN TikTok Docs was a key element in each communicative form and was crafted by a combination of the three memetic dimensions. In using various communicative forms, the boundaries of health education and entertainment are blurred. Through this blurring, the videos portray a dual-sided presentation of OBGYN TikTok docs, showing them as authentic health professionals and relatable people.</t>
  </si>
  <si>
    <t>[Stein, Krysten; Yao, Yueyang; Aitamurto, Tanja] Univ Illinois, Chicago, IL 60607 USA</t>
  </si>
  <si>
    <t>University of Illinois System; University of Illinois Chicago; University of Illinois Chicago Hospital</t>
  </si>
  <si>
    <t>Stein, K (corresponding author), Univ Illinois, Chicago, IL 60607 USA.</t>
  </si>
  <si>
    <t>kstein22@uic.edu; yyao27@uic.edu; tanjaa@uic.edu</t>
  </si>
  <si>
    <t>0X3CS</t>
  </si>
  <si>
    <t>WOS:000789589100078</t>
  </si>
  <si>
    <t>Chu, SC; Deng, T; Mundel, J</t>
  </si>
  <si>
    <t>Chu, Shu-Chuan; Deng, Tao; Mundel, Juan</t>
  </si>
  <si>
    <t>The impact of personalization on viral behavior intentions on TikTok: The role of perceived creativity, authenticity, and need for uniqueness</t>
  </si>
  <si>
    <t>TikTok; personalization; perceived creativity; authenticity; need for uniqueness; and viral behavioral intentions</t>
  </si>
  <si>
    <t>SOCIAL MEDIA; WEB PERSONALIZATION; CONSUMER RESPONSES; EMOTIONAL APPEAL; BRAND; MESSAGES; SCARCITY; FEATURES; MODEL; TRUST</t>
  </si>
  <si>
    <t>TikTok represents a new form of marketing communication technology due to its features and attributes. However, despite its ability to share brands' viral content, scant research has examined TikTok as an advertising vehicle and its implications for viral advertising campaigns. Drawing on the Elaboration Likelihood Model and the concept of self-relevance, the present study explores the impact of perceived personalization of TikTok content on perceived creativity, authenticity, and viral behavioral intentions. The relationships between perceived creativity and authenticity and between viral behavioral intentions and purchase intentions are also examined. The results show that the personalization of TikTok content is positively related to perceived creativity and authenticity, which consequently lead to viral behavior intention on TikTok. In addition, perceived creativity of TikTok content is positively related to authenticity. The findings also suggest that need for uniqueness moderates the relationship between personalization and viral behavioral intentions. Overall, the results of this study provide new insights into the roles of perceived creativity, authenticity, and need for uniqueness in the impact of TikTok's personalized content on viral behavioral intentions. Theoretical and practical implications for advertisers are discussed.</t>
  </si>
  <si>
    <t>[Chu, Shu-Chuan; Deng, Tao] DePaul Univ, Coll Commun, 1 E Jackson Blvd, Chicago, IL 60604 USA; [Mundel, Juan] Arizona State Univ, Walter Cronkite Sch Journalism &amp; Mass Commun, Phoenix, AZ USA</t>
  </si>
  <si>
    <t>DePaul University; Arizona State University; Arizona State University-Downtown Phoenix</t>
  </si>
  <si>
    <t>Chu, SC (corresponding author), DePaul Univ, Coll Commun, 1 E Jackson Blvd, Chicago, IL 60604 USA.</t>
  </si>
  <si>
    <t>SCHU7@depaul.edu</t>
  </si>
  <si>
    <t>Mundel, Juan/L-6465-2019</t>
  </si>
  <si>
    <t>JAN 2</t>
  </si>
  <si>
    <t>10.1080/13527266.2022.2098364</t>
  </si>
  <si>
    <t>UO4Y2</t>
  </si>
  <si>
    <t>WOS:001248998200005</t>
  </si>
  <si>
    <t>Heyang, T; Martin, R</t>
  </si>
  <si>
    <t>Heyang, Tuomeiciren; Martin, Rose</t>
  </si>
  <si>
    <t>Teaching through TikTok: a duoethnographic exploration of pedagogical approaches using TikTok in higher dance education in China and Norway during a global pandemic</t>
  </si>
  <si>
    <t>RESEARCH IN DANCE EDUCATION</t>
  </si>
  <si>
    <t>COVID-19; dance; duoethnography; higher education; TikTok</t>
  </si>
  <si>
    <t>Considering the COVID-19 pandemic, teaching, and learning encounters in higher education have changed. Online teaching has become routine and a variety of virtual learning platforms are being explored. Within this article we, two higher dance education teachers and researchers, reflect on using TikTok in our work. Taking a duoethnographic approach, we explore engagement with TikTok in our contexts of teaching in higher education institutions in China and Norway. From our duoethnographic dialogue we discuss how TikTok offers an example of a posthuman educational encounter. From there, the idea of how a platform such as TikTok might be able to create a space and place for teaching and learning within a higher education setting is unpacked. Then a reflection on disciplinary specific contribution is given, asking: what can dance offer to the conversation about using a social media platform such as TikTok within higher education? Through reflecting on our pedagogical experiences and cultures, this article reveals that while queries surround the use of social media platforms such as TikTok in higher education, there are benefits in experimentation with such platforms. Specifically, there is value considering the interaction between the human and non-human aspects of teaching and learning in higher education settings.</t>
  </si>
  <si>
    <t>[Heyang, Tuomeiciren] Chengdu Univ, Coll Chinese &amp; ASEAN Arts, Sch Music &amp; Dance, Dance Dept, Chengdu, Sichuan, Peoples R China; [Martin, Rose] Norwegian Univ Sci &amp; Technol, Dept Teacher Educ, Arts Educ, Trondheim, Norway</t>
  </si>
  <si>
    <t>Chengdu University; Norwegian University of Science &amp; Technology (NTNU)</t>
  </si>
  <si>
    <t>Martin, R (corresponding author), Norwegian Univ Sci &amp; Technol, Dept Teacher Educ, Arts Educ, Trondheim, Norway.</t>
  </si>
  <si>
    <t>rosemary.k.martin@ntnu.no</t>
  </si>
  <si>
    <t>College of Chinese &amp; ASEAN Art for disciplinary development projects</t>
  </si>
  <si>
    <t>This work was supported by the College of Chinese &amp; ASEAN Art for disciplinary development projects;</t>
  </si>
  <si>
    <t>1464-7893</t>
  </si>
  <si>
    <t>1470-1111</t>
  </si>
  <si>
    <t>RES DANC EDUC</t>
  </si>
  <si>
    <t>Res. Danc. Educ.</t>
  </si>
  <si>
    <t>10.1080/14647893.2022.2114446</t>
  </si>
  <si>
    <t>Dance</t>
  </si>
  <si>
    <t>D9Q3I</t>
  </si>
  <si>
    <t>WOS:000865377500001</t>
  </si>
  <si>
    <t>John, J; Gupta, R; Jhaveri, P; Leon, EM; Cox, E; Raskin, J; Khatter, NJ; Sayal, R; Folbe, A</t>
  </si>
  <si>
    <t>John, Jithin; Gupta, Rohun; Jhaveri, Pushtee; Leon, Eduardo M.; Cox, Eric; Raskin, Jonathan; Khatter, Neil J.; Sayal, Ricky; Folbe, Adam</t>
  </si>
  <si>
    <t>Tonsillectomy and social media: An investigative analysis of educational tonsillectomy content on TikTok</t>
  </si>
  <si>
    <t>HEALTH SCIENCE REPORTS</t>
  </si>
  <si>
    <t>otolaryngology; social media; TikTok; tonsillectomy; video platform</t>
  </si>
  <si>
    <t>[John, Jithin; Gupta, Rohun; Raskin, Jonathan; Khatter, Neil J.] Oakland Univ, Sch Med, William Beaumont Sch Med, 586 Pioneer Dr, Rochester, MI 48309 USA; [Jhaveri, Pushtee] Univ Georgia, Dept Arts &amp; Sci, Athens, GA 30602 USA; [Leon, Eduardo M.; Cox, Eric; Folbe, Adam] Beaumont Hlth Syst, Dept Otolaryngol, Royal Oak, MI USA; [Sayal, Ricky] ENT Specialists PC, Novi, MI USA</t>
  </si>
  <si>
    <t>Oakland University; University System of Georgia; University of Georgia; Beaumont Health</t>
  </si>
  <si>
    <t>John, J (corresponding author), Oakland Univ, Sch Med, William Beaumont Sch Med, 586 Pioneer Dr, Rochester, MI 48309 USA.</t>
  </si>
  <si>
    <t>jithinjohn@oakland.edu</t>
  </si>
  <si>
    <t>Gupta, Rohun/HQY-7933-2023</t>
  </si>
  <si>
    <t>Gupta, Rohun/0000-0003-1491-2441; John, Jithin/0000-0002-9781-5390</t>
  </si>
  <si>
    <t>2398-8835</t>
  </si>
  <si>
    <t>HEALTH SCI REP-US</t>
  </si>
  <si>
    <t>Health Sci. Rep.</t>
  </si>
  <si>
    <t>e618</t>
  </si>
  <si>
    <t>10.1002/hsr2.618</t>
  </si>
  <si>
    <t>Public, Environmental &amp; Occupational Health; Medicine, General &amp; Internal</t>
  </si>
  <si>
    <t>Public, Environmental &amp; Occupational Health; General &amp; Internal Medicine</t>
  </si>
  <si>
    <t>2J7QD</t>
  </si>
  <si>
    <t>WOS:000815845800001</t>
  </si>
  <si>
    <t>Liu, ZY; Chen, YW; Lin, Y; Ai, MM; Lian, DL; Zhang, YH; Shen, YX; Yu, F</t>
  </si>
  <si>
    <t>Liu, Zeyang; Chen, Yiwen; Lin, Ying; Ai, Maomao; Lian, Dongling; Zhang, Yuanhui; Shen, Yanxiong; Yu, Feng</t>
  </si>
  <si>
    <t>YouTube/ Bilibili/ TikTok videos as sources of medical information on laryngeal carcinoma: cross-sectional content analysis study</t>
  </si>
  <si>
    <t>BMC PUBLIC HEALTH</t>
  </si>
  <si>
    <t>Laryngeal cancer; Social media; Patient education; Public education; Public health; Information quality; YouTube; TikTok; Bilibili</t>
  </si>
  <si>
    <t>QUALITY; EDUCATION</t>
  </si>
  <si>
    <t>Background YouTube, a widely recognized global video platform, is inaccessible in China, whereas Bilibili and TikTok are popular platforms for long and short videos, respectively. There are many videos related to laryngeal carcinoma on these platforms. This study aims to identify upload sources, contents, and feature information of these videos on YouTube, Bilibili, and TikTok, and further evaluate the video quality.Methods On January 1, 2024, we searched the top 100 videos by default sort order (300 videos in total) with the terms laryngeal carcinoma and throat cancer on YouTube, (sic)(sic) on Bilibili and TikTok. Videos were screened for relevance and similarity. Video characteristics were documented, and quality was assessed by using the Patient Education Materials Assessment Tool (PEMAT), Video Information and Quality Index (VIQI), Global Quality Score (GQS), and modified DISCERN (mDISCERN).Results The analysis included 99 YouTube videos, 76 from Bilibili, and 73 from TikTok. Median video lengths were 193 s (YouTube), 136 s (Bilibili), and 42 s (TikTok). TikTok videos demonstrated higher audience interaction. Bilibili had the lowest ratio of original contents (69.7%). Treatment was the most popular topic on YouTube and Bilibili, while that was the prognosis on TikTok. Solo narration was the most common video style across all platforms. Video uploaders were predominantly non-profit organizations (YouTube), self-media (Bilibili), and doctors (TikTok), with TikTok authors having the highest certification rate (83.3%). Video quality, assessed using PEMAT, VIQI, GQS, and mDISCERN, varied across platforms, with YouTube generally showing the highest scores. Videos from professional authors performed better than videos from non-professionals based on the GQS and mDISCERN scores. Spearman correlation analysis showed no strong relationships between the video quality and the audience interaction.Conclusions Videos on social media platforms can help the public learn about the knowledge of laryngeal cancer to some extent. TikTok achieves the best flow, but videos on YouTube are of the best quality. However, the video quality across all platforms still needs enhancement. We need more professional uploaders to ameliorate the video quality related to laryngeal carcinoma. Content creators also should be aware of the certification, the originality, and the style of video shooting. As for the platforms, refining the algorithm will allow users to receive more high-quality videos.</t>
  </si>
  <si>
    <t>[Liu, Zeyang; Chen, Yiwen; Lin, Ying; Ai, Maomao; Lian, Dongling; Zhang, Yuanhui; Shen, Yanxiong; Yu, Feng] Jinan Univ, Guangzhou Red Cross Hosp, Inst Otorhinolaryngol Head &amp; Neck Surg, Guangzhou, Peoples R China</t>
  </si>
  <si>
    <t>Jinan University</t>
  </si>
  <si>
    <t>Yu, F (corresponding author), Jinan Univ, Guangzhou Red Cross Hosp, Inst Otorhinolaryngol Head &amp; Neck Surg, Guangzhou, Peoples R China.</t>
  </si>
  <si>
    <t>fishwoo@sina.com</t>
  </si>
  <si>
    <t>YU, FENG/JWO-2638-2024</t>
  </si>
  <si>
    <t>Natural Science Foundation of Guangdong Province</t>
  </si>
  <si>
    <t>Natural Science Foundation of Guangdong Province(National Natural Science Foundation of Guangdong Province)</t>
  </si>
  <si>
    <t>The authors would like to express their gratitude to the video uploaders for their contributions to public health.</t>
  </si>
  <si>
    <t>BMC</t>
  </si>
  <si>
    <t>CAMPUS, 4 CRINAN ST, LONDON N1 9XW, ENGLAND</t>
  </si>
  <si>
    <t>1471-2458</t>
  </si>
  <si>
    <t>BMC Public Health</t>
  </si>
  <si>
    <t>JUN 14</t>
  </si>
  <si>
    <t>10.1186/s12889-024-19077-6</t>
  </si>
  <si>
    <t>UP1L6</t>
  </si>
  <si>
    <t>Green Submitted, gold, Green Published</t>
  </si>
  <si>
    <t>WOS:001249168000002</t>
  </si>
  <si>
    <t>Dong, ZW; Xie, T</t>
  </si>
  <si>
    <t>Dong, Zhiwen; Xie, Tian</t>
  </si>
  <si>
    <t>Why do people love short-form videos? The motivations for using Chinese TikTok (Douyin) and implications for well-being</t>
  </si>
  <si>
    <t>CURRENT PSYCHOLOGY</t>
  </si>
  <si>
    <t>Motive; TikTok (Douyin); Well-being; Life satisfaction; Affect balance; Loneliness</t>
  </si>
  <si>
    <t>SOCIAL MEDIA; FACEBOOK; LONELINESS; GRATIFICATIONS; SYMPTOMS; ANXIETY; MASS</t>
  </si>
  <si>
    <t>Short-form video SNS such as TikTok has gained popularity worldwide. However, there remains a limited understanding of why individuals watch and submit short videos on these platforms, as well as how the motives for short-form video SNS use relate to their well-being. To catch up with the development of SNS context, TikTok (Douyin), one of the most popular short-form videos SNS in China, was taken as an example to explore users' motivation and well-being. Integrating the uses and gratifications theory with the in-depth interview (N = 238), the initial TikTok Use Motive Scale (including the TikTok Watching Motive Sub-Scale, and TikTok Shooting and Submitting Motive Sub-Scale) was developed firstly, and secondly exploratory factor analysis for watching (N = 2,263), and shooting and submitting (N = 3,217) short-form videos, and finally confirmatory factory analysis (N = 2,092). Six motives for watching (seeking novelty, habit, relationship maintenance, releasing pressure, killing time, and escapism) and three motives for shooting and submitting (pursuing fame, recording and sharing, and satisfying curiosity) short-form videos were identified. Moreover, the relationship between the TikTok use motives and well-being was explored, and the implications of the findings were discussed.</t>
  </si>
  <si>
    <t>[Dong, Zhiwen; Xie, Tian] Wuhan Univ, Sch Journalism &amp; Commun, Wuhan 430072, Peoples R China; [Dong, Zhiwen] Peking Univ, Sch Psychol &amp; Cognit Sci, Beijing Key Lab Behav &amp; Mental Hlth, Beijing 100871, Peoples R China</t>
  </si>
  <si>
    <t>Wuhan University; Peking University</t>
  </si>
  <si>
    <t>Xie, T (corresponding author), Wuhan Univ, Sch Journalism &amp; Commun, Wuhan 430072, Peoples R China.</t>
  </si>
  <si>
    <t>thanksky520@126.com</t>
  </si>
  <si>
    <t>Dong, Zhiwen/0000-0002-4668-7341</t>
  </si>
  <si>
    <t>MOE (Ministry of Education of China) Social Science Research Institute Grants</t>
  </si>
  <si>
    <t>The authors would like to thank Dong Liu, a professor at School of Journalism and Communication, Renmin University of China for providing comments on the early edition of the manuscript.</t>
  </si>
  <si>
    <t>1046-1310</t>
  </si>
  <si>
    <t>1936-4733</t>
  </si>
  <si>
    <t>CURR PSYCHOL</t>
  </si>
  <si>
    <t>Curr. Psychol.</t>
  </si>
  <si>
    <t>10.1007/s12144-024-05927-4</t>
  </si>
  <si>
    <t>APR 2024</t>
  </si>
  <si>
    <t>ZO7A2</t>
  </si>
  <si>
    <t>WOS:001208647000006</t>
  </si>
  <si>
    <t>Tintiangko, J; Fung, AYH; Leo-Liu, J</t>
  </si>
  <si>
    <t>Tintiangko, Jeremy; Fung, Anthony Y. H.; Leo-Liu, Jindong</t>
  </si>
  <si>
    <t>Compelled TikTok creators? The ambivalent affordances of the short video app for Filipino musicians</t>
  </si>
  <si>
    <t>affordances; algorithmic folk theories; creative and cultural labor; digital platforms; musicians; platformization; short video app; TikTok</t>
  </si>
  <si>
    <t>SOCIAL MEDIA; ENTREPRENEURS</t>
  </si>
  <si>
    <t>This study is concerned with the incorporation of TikTok by Filipino musicians in their performances, promotion strategies, and other career-related endeavors. As the music artists are compelled, whether consciously or otherwise, to adhere to the logics of the platform, we critically evaluate its implications on their experiences as creative workers. As revealed, the use of TikTok by Filipino musicians fosters the construction of a new cultural logic and format that enhances music content and narratives as they engage in novel creative pursuits as well as participate in nascent forms of audience relations. Yet the prevalence of TikTok use within the music industry also engenders a new range of obligations that reinforce existing pressures on musicians. This study sheds light on the ambivalent role of TikTok as a platform that could potentially liberate and amplify independent and creative cultural production while also generating new sources of tension for creative workers.</t>
  </si>
  <si>
    <t>[Tintiangko, Jeremy; Fung, Anthony Y. H.; Leo-Liu, Jindong] Chinese Univ Hong Kong, Hong Kong, Peoples R China; [Tintiangko, Jeremy] Chinese Univ Hong Kong, New Asia Coll, Sch Journalism &amp; Commun, Shatin, Room 206-207,Humanities Bldg,, Hong Kong, Peoples R China</t>
  </si>
  <si>
    <t>Chinese University of Hong Kong; Chinese University of Hong Kong</t>
  </si>
  <si>
    <t>Tintiangko, J (corresponding author), Chinese Univ Hong Kong, New Asia Coll, Sch Journalism &amp; Commun, Shatin, Room 206-207,Humanities Bldg,, Hong Kong, Peoples R China.</t>
  </si>
  <si>
    <t>jeremytintiangko@link.cuhk.edu.hk</t>
  </si>
  <si>
    <t>Fung, Anthony/N-5677-2016; Liu, Jindong/AFG-6210-2022</t>
  </si>
  <si>
    <t>Fung, Anthony/0000-0002-5760-9816; Liu, Jindong/0000-0002-5456-0148; Tintiangko, Jeremy/0000-0002-6718-3919</t>
  </si>
  <si>
    <t>10.1177/01634437231174356</t>
  </si>
  <si>
    <t>WOS:001000940900001</t>
  </si>
  <si>
    <t>Wang, J</t>
  </si>
  <si>
    <t>Wang, Jue</t>
  </si>
  <si>
    <t>Bridging the Self's worlds: Young girls' creative TikTok expressions of multimodal literacy during Covid-19</t>
  </si>
  <si>
    <t>JOURNAL OF EARLY CHILDHOOD LITERACY</t>
  </si>
  <si>
    <t>Home literacy environment; literacy strategies; multimodal literacy; popular media; young girls</t>
  </si>
  <si>
    <t>This study investigates three young Chinese girls' active play on TikTok as a way to engage in global communication during the Covid-19 lockdown in China. In particular, this paper aims to navigate how the girls position themselves in TikTok multimodal literacy play, as well as to inquire into how they practice literacy to deny, negotiate, and/or accept the beauty norms in TikTok virtual space. Situating and exploring these young girls' stories, the author shares findings from multiple rounds of virtual interviews during the pandemic that highlight the girls' creativity through multimodal literacy engagement on TikTok; their playful thinking that adopted the pandemic as a way of life and empowered the girls despite uncertainties, doubts, and tensions; and their complex beauty values negotiations embedded in the experiences of the girls' vibrant interactions on TikTok. Inspired by the girls' literacy practices and gender negotiations, TikTok's influences on norms of beauty and feminine appearance are discussed. Interrogating the limits of this platform, this work recognizes the possibilities of young girls' multimodal literacy experiences while encouraging further negotiations, reimaginations, and growth in their celebrations of social media like TikTok.</t>
  </si>
  <si>
    <t>[Wang, Jue] Univ Idaho, 875 Perimeter Dr,MS 3082, Moscow, ID 83844 USA</t>
  </si>
  <si>
    <t>University of Idaho</t>
  </si>
  <si>
    <t>Wang, J (corresponding author), Univ Idaho, 875 Perimeter Dr,MS 3082, Moscow, ID 83844 USA.</t>
  </si>
  <si>
    <t>juewang@uidaho.edu</t>
  </si>
  <si>
    <t>Wang, Jue/0009-0007-2912-9560</t>
  </si>
  <si>
    <t>1468-7984</t>
  </si>
  <si>
    <t>1741-2919</t>
  </si>
  <si>
    <t>J EARLY CHILD LIT</t>
  </si>
  <si>
    <t>J. Early Child. Lit.</t>
  </si>
  <si>
    <t>2024 AUG 2</t>
  </si>
  <si>
    <t>10.1177/14687984241270820</t>
  </si>
  <si>
    <t>AUG 2024</t>
  </si>
  <si>
    <t>A5K6P</t>
  </si>
  <si>
    <t>WOS:001282921400001</t>
  </si>
  <si>
    <t>Blackburn, MR; Hogg, RC</t>
  </si>
  <si>
    <t>Blackburn, Madison R.; Hogg, Rachel C.</t>
  </si>
  <si>
    <t>#ForYou? the impact of pro-ana TikTok content on body image dissatisfaction and internalisation of societal beauty standards</t>
  </si>
  <si>
    <t>PLOS ONE</t>
  </si>
  <si>
    <t>EATING ATTITUDES TEST; MEDIA IMAGES; ADOLESCENT GIRLS; WOMEN; THIN; PERFECTIONISM; DISTURBANCE; SYMPTOMS; DISORDER; SATISFACTION</t>
  </si>
  <si>
    <t>Videos glamourising disordered eating practices and body image concerns readily circulate on TikTok. Minimal empirical research has investigated the impact of TikTok content on body image and eating behaviour. The present study aimed to fill this gap in current research by examining the influence of pro-anorexia TikTok content on young women's body image and degree of internalisation of beauty standards, whilst also exploring the impact of daily time spent on TikTok and the development of disordered eating behaviours. An experimental and cross-sectional design was used to explore body image and internalisation of beauty standards in relation to pro-anorexia TikTok content. Time spent on TikTok was examined in relation to the risk of developing orthorexia nervosa. A sample of 273 female-identifying persons aged 18-28 years were exposed to either pro-anorexia or neutral TikTok content. Pre- and post-test measures of body image and internalisation of beauty standards were obtained. Participants were divided into four groups based on average daily time spent on TikTok. Women exposed to pro-anorexia content displayed the greatest decrease in body image satisfaction and an increase in internalisation of societal beauty standards. Women exposed to neutral content also reported a decrease in body image satisfaction. Participants categorised as high and extreme daily TikTok users reported greater average disordered eating behaviour on the EAT-26 than participants with low and moderate use, however this finding was not statistically significant in relation to orthorexic behaviours. This research has implications for the mental health of young female TikTok users, with exposure to pro-anorexia content having immediate consequences for internalisation and body image dissatisfaction, potentially increasing one's risk of developing disordered eating beliefs and behaviours.</t>
  </si>
  <si>
    <t>[Blackburn, Madison R.; Hogg, Rachel C.] Charles Sturt Univ, Fac Business, Sch Psychol Justice &amp; Behav Sci, Wagga Wagga, NSW, Australia</t>
  </si>
  <si>
    <t>Hogg, RC (corresponding author), Charles Sturt Univ, Fac Business, Sch Psychol Justice &amp; Behav Sci, Wagga Wagga, NSW, Australia.</t>
  </si>
  <si>
    <t>rhogg@csu.edu.au</t>
  </si>
  <si>
    <t>Hogg, Rachel/0000-0002-2844-8064</t>
  </si>
  <si>
    <t>We acknowledge the financial support provided by Charles Sturt University.</t>
  </si>
  <si>
    <t>PUBLIC LIBRARY SCIENCE</t>
  </si>
  <si>
    <t>SAN FRANCISCO</t>
  </si>
  <si>
    <t>1160 BATTERY STREET, STE 100, SAN FRANCISCO, CA 94111 USA</t>
  </si>
  <si>
    <t>1932-6203</t>
  </si>
  <si>
    <t>PLoS One</t>
  </si>
  <si>
    <t>AUG 7</t>
  </si>
  <si>
    <t>e0307597</t>
  </si>
  <si>
    <t>10.1371/journal.pone.0307597</t>
  </si>
  <si>
    <t>C3Y8Q</t>
  </si>
  <si>
    <t>WOS:001288760100047</t>
  </si>
  <si>
    <t>Mandzufas, J; Winter, D; Foster, S; Hickling, S; Trapp, GSA</t>
  </si>
  <si>
    <t>Mandzufas, J.; Winter, D.; Foster, S.; Hickling, S.; Trapp, G. S. A.</t>
  </si>
  <si>
    <t>What can TikTok tell us about the food practices of the residents of tiny apartments?</t>
  </si>
  <si>
    <t>apartment; TikTok; kitchen; food practices</t>
  </si>
  <si>
    <t>HOME</t>
  </si>
  <si>
    <t>[Mandzufas, J.; Winter, D.; Hickling, S.; Trapp, G. S. A.] Telethon Kids Inst, Nedlands 6009, Australia; [Foster, S.] RMIT Univ, Melbourne, Vic 3085, Australia</t>
  </si>
  <si>
    <t>University of Western Australia; The Kids Research Institute Australia; Royal Melbourne Institute of Technology (RMIT)</t>
  </si>
  <si>
    <t>Mandzufas, J (corresponding author), Telethon Kids Inst, Nedlands 6009, Australia.</t>
  </si>
  <si>
    <t>E155</t>
  </si>
  <si>
    <t>10.1017/S0029665124001733</t>
  </si>
  <si>
    <t>WOS:001215194800108</t>
  </si>
  <si>
    <t>Ritter, A; Stephan, R</t>
  </si>
  <si>
    <t>Ritter, Andreas; Stephan, Ringo</t>
  </si>
  <si>
    <t>Pro familia Berlin goes TikTok - an Example of Contemporary Sexual Education</t>
  </si>
  <si>
    <t>TikTok; digital media; sex education; social media; video production</t>
  </si>
  <si>
    <t>Since winter 2021, pro familia Berlin runs its own TikTok channel ( https://www.tiktok.com/@profamilia_berlin ). The channel has more than 60 videos on sexual health topics. It has collected about 35 000 followers and almost 400 000 likes. Videos on penis lies and condom use have gone viral with several million views. This practice-oriented article describes how the channel was created. It also describes lessons learned about content production and audience response. Recommendations for sex education professionals who want to get involved with TikTok are derived.</t>
  </si>
  <si>
    <t>[Ritter, Andreas; Stephan, Ringo] Pro Familia Berlin eV, Kalckreuthstr 4, D-10777 Berlin, Germany</t>
  </si>
  <si>
    <t>Ritter, A (corresponding author), Pro Familia Berlin eV, Kalckreuthstr 4, D-10777 Berlin, Germany.</t>
  </si>
  <si>
    <t>andreas.ritter@profamilia.de</t>
  </si>
  <si>
    <t>10.1055/a-2283-4009</t>
  </si>
  <si>
    <t>UI4Q0</t>
  </si>
  <si>
    <t>WOS:001247417900007</t>
  </si>
  <si>
    <t>Kassamali, B; Villa-Ruiz, C; Mazori, DR; Min, M; Cobos, GA; La-Chance, AH</t>
  </si>
  <si>
    <t>Kassamali, Bina; Villa-Ruiz, Camila; Mazori, Daniel R.; Min, Michelle; Cobos, Gabriela A.; La-Chance, Avery H.</t>
  </si>
  <si>
    <t>Characterizing top educational TikTok videos by dermatologists in response to TikTok and dermatology: An opportunity for public health engagement''</t>
  </si>
  <si>
    <t>JOURNAL OF THE AMERICAN ACADEMY OF DERMATOLOGY</t>
  </si>
  <si>
    <t>[Kassamali, Bina; Villa-Ruiz, Camila; Mazori, Daniel R.; Min, Michelle; Cobos, Gabriela A.; La-Chance, Avery H.] Harvard Med Sch, Brigham &amp; Womens Hosp, Dept Dermatol, Boston, MA 02115 USA; [Villa-Ruiz, Camila] Ponce Hlth Sci Univ, Sch Med, Ponce, PR USA</t>
  </si>
  <si>
    <t>Harvard University; Harvard Medical School; Brigham &amp; Women's Hospital; Ponce Health Sciences University</t>
  </si>
  <si>
    <t>La-Chance, AH (corresponding author), Brigham &amp; Womens Hosp, Dept Dermatol, 221 Longwood Ave, Boston, MA 02115 USA.</t>
  </si>
  <si>
    <t>alachance@bwh.harvard.edu</t>
  </si>
  <si>
    <t>0190-9622</t>
  </si>
  <si>
    <t>1097-6787</t>
  </si>
  <si>
    <t>J AM ACAD DERMATOL</t>
  </si>
  <si>
    <t>J. Am. Acad. Dermatol.</t>
  </si>
  <si>
    <t>E27</t>
  </si>
  <si>
    <t>E28</t>
  </si>
  <si>
    <t>10.1016/j.jaad.2021.01.060</t>
  </si>
  <si>
    <t>SP8OD</t>
  </si>
  <si>
    <t>WOS:000659921800016</t>
  </si>
  <si>
    <t>Su, CMZ; Kaye, BV</t>
  </si>
  <si>
    <t>Su, Chunmeizi; Kaye, Bondy Valdovinos</t>
  </si>
  <si>
    <t>Borderline practices on Douyin/TikTok: Content transfer and algorithmic manipulation</t>
  </si>
  <si>
    <t>algorithmic platformization; creative labour; content monetisation; platform governance</t>
  </si>
  <si>
    <t>PLATFORMS; POLITICS</t>
  </si>
  <si>
    <t>TikTok continues to be the top downloaded app in many countries around the world as the short video consumption craze continues. But TikTok has also come under harsh scrutiny for its Chinese origins and data security. For TikTok, the journey of globalization has involved a painful contest with governments, geopolitical manoeuvrers, and, ultimately, finding platform regulation loopholes. TikTok's sister app, Douyin, shares identical digital architectures, but follows different trajectories of development in China. Through interviews with Chinese influencers and media practitioners, along with a content analysis of policy documents and industry reports, this paper identifies and analyzes the borderline practices that have occurred on Douyin - including content transfers, and algorithmic platformization - and evaluates the potential for these practices to be replicated on TikTok.</t>
  </si>
  <si>
    <t>[Su, Chunmeizi] Univ Sydney, John Wolley Bldg, Sydney, NSW 2006, Australia; [Kaye, Bondy Valdovinos] Univ Leeds, Leeds, England</t>
  </si>
  <si>
    <t>University of Sydney; University of Leeds</t>
  </si>
  <si>
    <t>Su, CMZ (corresponding author), Univ Sydney, John Wolley Bldg, Sydney, NSW 2006, Australia.</t>
  </si>
  <si>
    <t>chunmeizi.su@sydney.edu.au</t>
  </si>
  <si>
    <t>Su, Chunmeizi/HJA-8476-2022</t>
  </si>
  <si>
    <t>Su, Chunmeizi/0000-0002-6166-5044</t>
  </si>
  <si>
    <t>10.1177/01634437231168308</t>
  </si>
  <si>
    <t>WOS:000971828700001</t>
  </si>
  <si>
    <t>Nguyen, N; Haddadin, CM; Nelson, AL</t>
  </si>
  <si>
    <t>Nguyen, N.; Haddadin, C. M.; Nelson, A. L.</t>
  </si>
  <si>
    <t>TIKTOK, IT'S THAT TIME OF MONTH: A QUALITATIVE EVALUATION OF TIKTOK AS A SOURCE OF INFORMATION ON MENSTRUATION</t>
  </si>
  <si>
    <t>JOURNAL OF INVESTIGATIVE MEDICINE</t>
  </si>
  <si>
    <t>Western Medical Research Conference (WRMC)</t>
  </si>
  <si>
    <t>JAN 19-23, 2023</t>
  </si>
  <si>
    <t>Carmel, CA</t>
  </si>
  <si>
    <t>[Nguyen, N.; Haddadin, C. M.; Nelson, A. L.] Western Univ Hlth Sci, Pomona, CA USA; [Nguyen, N.; Haddadin, C. M.; Nelson, A. L.] Western Univ Hlth Sci, Pomona, CA USA</t>
  </si>
  <si>
    <t>Western University of Health Sciences; Western University of Health Sciences</t>
  </si>
  <si>
    <t>1081-5589</t>
  </si>
  <si>
    <t>1708-8267</t>
  </si>
  <si>
    <t>J INVEST MED</t>
  </si>
  <si>
    <t>J. Investigative Med.</t>
  </si>
  <si>
    <t>NP630</t>
  </si>
  <si>
    <t>Medicine, General &amp; Internal; Medicine, Research &amp; Experimental</t>
  </si>
  <si>
    <t>General &amp; Internal Medicine; Research &amp; Experimental Medicine</t>
  </si>
  <si>
    <t>E0GO0</t>
  </si>
  <si>
    <t>WOS:000972423800512</t>
  </si>
  <si>
    <t>Rehman, S; Almasri, W; Shaik, M; Zakria, YF; Alazawi, N; Warren, BJ</t>
  </si>
  <si>
    <t>Rehman, Sheema; Almasri, Wesam; Shaik, Moaid; Zakria, Yusra F.; Alazawi, Neam; Warren, Bradley J.</t>
  </si>
  <si>
    <t>Analysis of Popular Gastroesophageal Reflux Disease Content on TikTok</t>
  </si>
  <si>
    <t>content creators; education; discern; tiktok; gerd</t>
  </si>
  <si>
    <t>PATIENT EDUCATION; INFORMATION; DISCERN</t>
  </si>
  <si>
    <t>Researchers used the TikTok platform to investigate the quality of select TikTok educational content regarding gastroesophageal reflux disease (GERD). One hundred TikTok videos that fit the inclusion criteria were analyzed using DISCERN, a tool that evaluates the quality of consumer health information on the internet. There was no substantial difference in DISCERN scores between physicians and non-physician content creators. Nevertheless, both groups consistently scored low (&lt;3) in areas such as providing sources of information, indicating the publication date of their sources, discussing treatment risks, and outlining potential consequences if no treatment is pursued.</t>
  </si>
  <si>
    <t>[Rehman, Sheema] Henry Ford Hlth Syst, Internal Med, Detroit, MI USA; [Almasri, Wesam; Zakria, Yusra F.] Oakland Univ William Beaumont Sch Med, Preclerkship, Auburn Hills, MI 48309 USA; [Shaik, Moaid] Michigan State Univ, Coll Osteopath Med, E Lansing, MI USA; [Alazawi, Neam] Ascension Providence Hosp, Gastroenterol, Southfield, MI USA; [Warren, Bradley J.] Henry Ford Hlth Syst, Gastroenterol, Detroit, MI USA</t>
  </si>
  <si>
    <t>Henry Ford Health System; Henry Ford Hospital; Oakland University; Michigan State University; Michigan State University College of Osteopathic Medicine; Henry Ford Health System; Henry Ford Hospital</t>
  </si>
  <si>
    <t>Almasri, W (corresponding author), Oakland Univ William Beaumont Sch Med, Preclerkship, Auburn Hills, MI 48309 USA.</t>
  </si>
  <si>
    <t>walmasri@oakland.edu</t>
  </si>
  <si>
    <t>JUN 20</t>
  </si>
  <si>
    <t>e62762</t>
  </si>
  <si>
    <t>10.7759/cureus.62762</t>
  </si>
  <si>
    <t>WP1A6</t>
  </si>
  <si>
    <t>WOS:001255975000027</t>
  </si>
  <si>
    <t>Zhao, HY; Wagner, C</t>
  </si>
  <si>
    <t>Zhao, Hongying; Wagner, Christian</t>
  </si>
  <si>
    <t>Factors influencing TikTok-based user purchase intention: comparison between potential customers and repeat customers</t>
  </si>
  <si>
    <t>INTERNET RESEARCH</t>
  </si>
  <si>
    <t>TikTok; Purchase intention; Commitment; User experience; Customer types</t>
  </si>
  <si>
    <t>COMMITMENT; EXPERIENCE; MANAGEMENT; TRUST</t>
  </si>
  <si>
    <t>PurposeThe purpose of this paper is to examine how different types of user experience in TikTok impact purchase intention via commitment to the influencer and commitment to the platform, with customer type included to determine moderating effects. Three types of user experience are considered: information experience, entertainment experience and parasocial-relationship-based experience.Design/methodology/approachThis study collected 458 valid questionnaires from TikTok users, employing the structural equation modeling approach to examine the proposed research model.FindingsInformation experience, entertainment experience and parasocial-relationship-based experience are found to critically stimulate user commitment to the influencer and commitment to the platform, in turn driving TikTok-based purchase intention. Tests incorporating customer type reveal that commitment to the influencer more strongly influences the purchase intention of repeat customers, with commitment to the platform more likely to stimulate purchase intention among potential customers.Research limitations/implicationsOn a theoretical level, the paper is among the first to examine TikTok-based user purchase intention with customer type as a moderator. On a practical level, the results can guide marketers to effectively promote products using TikTok and inspire TikTok managers to develop customized strategies to stimulate initial and repeat sales.Originality/valueTikTok is moving to the stage of commercialization and monetization by introducing e-commerce features. Although this move should cultivate particularly fertile ground for companies to sell products, TikTok user purchase behavior has yet to receive sufficient research attention, with little currently known about their purchase motivations. The current study uncovers the significant antecedents of users' purchase intention through TikTok, and further reveals the motivational differences among potential and repeat customers.</t>
  </si>
  <si>
    <t>[Zhao, Hongying] Dalian Univ Technol, Sch Econ &amp; Management, Dalian, Peoples R China; [Wagner, Christian] City Univ Hong Kong, Sch Creat Media, Kowloon Tong, Hong Kong, Peoples R China</t>
  </si>
  <si>
    <t>Dalian University of Technology; City University of Hong Kong</t>
  </si>
  <si>
    <t>Zhao, HY (corresponding author), Dalian Univ Technol, Sch Econ &amp; Management, Dalian, Peoples R China.</t>
  </si>
  <si>
    <t>hongyzhao@dlut.edu.cn; c.wagner@cityu.edu.hk</t>
  </si>
  <si>
    <t>Wagner, Christian/H-6310-2012</t>
  </si>
  <si>
    <t>Wagner, Christian/0000-0003-0907-8552; ZHAO, Hongying/0000-0001-7506-6934</t>
  </si>
  <si>
    <t>National Natural Science Foundation of China [72304057]; Centre for Applied Computing and Interactive Media, City University of Hong Kong [9610535, 9678312]</t>
  </si>
  <si>
    <t>National Natural Science Foundation of China(National Natural Science Foundation of China (NSFC)); Centre for Applied Computing and Interactive Media, City University of Hong Kong</t>
  </si>
  <si>
    <t>This work was supported by the National Natural Science Foundation of China (Grant number:72304057) and Centre for Applied Computing and Interactive Media, City University of Hong Kong (Project number: 9610535 and 9678312). The funding agencies had no direct role in the conduct of the study; the collection, management, analyses or interpretation of the data; or preparation or approval of the manuscript.</t>
  </si>
  <si>
    <t>1066-2243</t>
  </si>
  <si>
    <t>INTERNET RES</t>
  </si>
  <si>
    <t>Internet Res.</t>
  </si>
  <si>
    <t>NOV 25</t>
  </si>
  <si>
    <t>10.1108/INTR-07-2022-0542</t>
  </si>
  <si>
    <t>Business; Computer Science, Information Systems; Telecommunications</t>
  </si>
  <si>
    <t>Business &amp; Economics; Computer Science; Telecommunications</t>
  </si>
  <si>
    <t>M7H4M</t>
  </si>
  <si>
    <t>WOS:001128915000001</t>
  </si>
  <si>
    <t>De Leyn, T; De Wolf, R; Vanden Abeele, M; De Marez, L</t>
  </si>
  <si>
    <t>De Leyn, Tom; De Wolf, Ralf; Vanden Abeele, Mariek; De Marez, Lieven</t>
  </si>
  <si>
    <t>In-between child's play and teenage pop culture: tweens, TikTok &amp; privacy</t>
  </si>
  <si>
    <t>JOURNAL OF YOUTH STUDIES</t>
  </si>
  <si>
    <t>tweens; TikTok; privacy; imagined affordances; networked publics; media go-along</t>
  </si>
  <si>
    <t>ONLINE</t>
  </si>
  <si>
    <t>TikTok's popularity ignites anxieties about youths' privacy on the short-video sharing social media platform. This is especially true for 8-12-year-old 'tweens'. This study draws from in-depth interviews with tweens and their parents to explore perceptions of tweenhood, TikTok and privacy. In our investigation, we move beyond a developmental framework on childhood by taking into account how life stage categories are socio-culturally constructed. The results indicate a dialectical relationship between TikTok and tweenhood: Participants construct TikTok as a liminal networked public that is in-between child's play and teenage pop culture. This dialectical relationship subsequently informs how parents conceptualize and manage tweens' privacy on TikTok. Parents' assumptions about their children's privacy practices, however, do not necessarily match tweens' capabilities to negotiate boundaries between the public and private. Overall, our findings reveal that socio-cultural imaginations of life stage categories and networked publics shape privacy discourses and practices.</t>
  </si>
  <si>
    <t>[De Leyn, Tom; De Wolf, Ralf; Vanden Abeele, Mariek; De Marez, Lieven] Univ Ghent, Dept Commun Sci, Imec Mict UGent, Ghent, Belgium; [Vanden Abeele, Mariek] Tilburg Univ, Tilburg Sch Humanities &amp; Digital Sci, Dept Culture Studies, Tilburg, Netherlands</t>
  </si>
  <si>
    <t>Ghent University; Tilburg University</t>
  </si>
  <si>
    <t>De Leyn, T (corresponding author), Univ Ghent, Dept Commun Sci, Imec Mict UGent, Ghent, Belgium.</t>
  </si>
  <si>
    <t>tom.deleyn@ugent.be</t>
  </si>
  <si>
    <t>Abeele, Mariek/P-9485-2019; DeLeyn, Tom/LSM-1637-2024</t>
  </si>
  <si>
    <t>Vanden Abeele, Mariek M. P./0000-0003-1806-6991; De Leyn, Tom/0000-0002-8503-6496; De Marez, Lieven/0000-0001-7716-4079</t>
  </si>
  <si>
    <t>Research Foundation Flanders (FWO) [G048618N]</t>
  </si>
  <si>
    <t>Research Foundation Flanders (FWO)(FWO)</t>
  </si>
  <si>
    <t>This work was supported by the Research Foundation Flanders (FWO) under Grant number G048618N.</t>
  </si>
  <si>
    <t>1367-6261</t>
  </si>
  <si>
    <t>1469-9680</t>
  </si>
  <si>
    <t>J YOUTH STUD</t>
  </si>
  <si>
    <t>J. Youth Stud.</t>
  </si>
  <si>
    <t>SEP 14</t>
  </si>
  <si>
    <t>10.1080/13676261.2021.1939286</t>
  </si>
  <si>
    <t>5C8NJ</t>
  </si>
  <si>
    <t>WOS:000659750700001</t>
  </si>
  <si>
    <t>Cervi, L; Divon, T</t>
  </si>
  <si>
    <t>Cervi, Laura; Divon, Tom</t>
  </si>
  <si>
    <t>Playful Activism: Memetic Performances of Palestinian Resistance in TikTok #Challenges</t>
  </si>
  <si>
    <t>TikTok; playful activism; affordances; memes; performance; Palestinians; #gazaunderattack</t>
  </si>
  <si>
    <t>COMMUNICATION; TWITTER; PUBLICS; MEDIA</t>
  </si>
  <si>
    <t>Palestinians have long been using social media as a tool for activism. Each platform provides unique socio-technological affordances that shape users' communicative practices as networked publics. Focusing on the video-sharing platform TikTok, which has taken a serious turn in recent years, this article examines how Palestinian users performed playful acts of resistance during the escalation of violence between Palestinians and Israelis in May 2021. Applying a multimodal analysis to 500 TikTok videos posted during the conflict under #gazaunderattack, we identify three memetic templates (#challenge)-(1) lip-syncing, (2) duets, and (3) point-of-view-that unfold the ways TikTok's design and its play-based affordances ignite affective streams of audiovisual content that render playful activism in times of conflict. Driven by TikTok's culture of imitation and competition, playful activism enables the participation of ordinary users in political emerging events with the help of looping meme videos composed of collaborative, dialogic, and communal socio-technical functions. Playful activism transforms users' ritualized performances into powerful political instruments on TikTok and makes democratic participation more relatable, tangible, and accessible to various audiences.</t>
  </si>
  <si>
    <t>[Cervi, Laura] Autonomous Univ Barcelona, Barcelona, Spain; [Divon, Tom] Hebrew Univ Jerusalem, Jerusalem, Israel</t>
  </si>
  <si>
    <t>Autonomous University of Barcelona; Hebrew University of Jerusalem</t>
  </si>
  <si>
    <t>Divon, T (corresponding author), Hebrew Univ Jerusalem, Jerusalem, Israel.</t>
  </si>
  <si>
    <t>tom.divon@mail.huji.ac.il</t>
  </si>
  <si>
    <t>cervi, laura/S-2216-2018</t>
  </si>
  <si>
    <t>CERVI, LAURA/0000-0002-0376-0609; Divon, Tom/0000-0002-7034-615X</t>
  </si>
  <si>
    <t>10.1177/20563051231157607</t>
  </si>
  <si>
    <t>9R0YX</t>
  </si>
  <si>
    <t>WOS:000945383400001</t>
  </si>
  <si>
    <t>Zulkifli, NN; Letchumanan, M; Kamarudin, S; Halim, NDA; Hashim, S</t>
  </si>
  <si>
    <t>Iyer, S; Shih, JL; Chen, W; MdKhambari, MN</t>
  </si>
  <si>
    <t>Zulkifli, Nurul Nadwa; Letchumanan, Malathi; Kamarudin, Shafinah; Halim, Noor Dayana Abd; Hashim, Suhaizal</t>
  </si>
  <si>
    <t>A Review: The Effectiveness of Using TikTok in Teaching and Learning</t>
  </si>
  <si>
    <t>30TH INTERNATIONAL CONFERENCE ON COMPUTERS IN EDUCATION, ICCE 2022, VOL 2</t>
  </si>
  <si>
    <t>30th International Conference on Computers in Education (ICCE)</t>
  </si>
  <si>
    <t>NOV 28-DEC 02, 2022</t>
  </si>
  <si>
    <t>Univ Putra Malaysia, Fac Educ Studies, Kuala Lumpur, MALAYSIA</t>
  </si>
  <si>
    <t>Asia Pacific Soc Comp Educ,Open Learning,Tourism Malaysia</t>
  </si>
  <si>
    <t>Univ Putra Malaysia, Fac Educ Studies</t>
  </si>
  <si>
    <t>TikTok; Education; Effectiveness; Review</t>
  </si>
  <si>
    <t>Social media platforms such as YouTube, Facebook, Telegram, and so on have influenced pedagogical practices in improving student learning. However, there is limited literature on the use of the TikTok application in teaching and learning and whether this platform helps students or is only for entertainment. The TikTok application is one of the social media platforms for sharing short videos that are rapidly increasing in popularity. Therefore, this study reviewed recent literature on the effectiveness of using TikTok in teaching and learning from primary to higher education learning. Seven research articles were identified as relevant to this review through the predetermined criteria. The purpose, method, subjects and outcome of the studies were reviewed. It indicated that a complex subject like chemistry could attract the public to enjoy learning chemistry at home and improve undergraduate students learning. Other than that, learning skills like dance and sports through TikTok also positively impacts students. Language subjects like English as a Second Language utilise TikTok to enhance students' listening, writing and comprehension skills. Future educators in primary, secondary, and higher education may think about integrating TikTok into their teaching and learning strategies to stimulate the creation of original videos that adhere to instructional design principles.</t>
  </si>
  <si>
    <t>[Zulkifli, Nurul Nadwa] Univ Putra Malaysia, Fac Human Management &amp; Sci, Serdang, Malaysia; [Zulkifli, Nurul Nadwa; Letchumanan, Malathi] Univ Putra Malaysia, Inst Math Res, Serdang, Malaysia; [Kamarudin, Shafinah] Univ Putra Malaysia, Fac Comp Sci &amp; Informat Technol, Serdang, Malaysia; [Halim, Noor Dayana Abd] Univ Teknol Malaysia, Sch Educ, Skudai, Malaysia; [Hashim, Suhaizal] Univ Tun Hussein Onn Malaysia, Fac Tech &amp; Vocat Educ, Parit Raja, Malaysia</t>
  </si>
  <si>
    <t>Universiti Putra Malaysia; Universiti Putra Malaysia; Universiti Putra Malaysia; Universiti Teknologi Malaysia; University of Tun Hussein Onn Malaysia</t>
  </si>
  <si>
    <t>Zulkifli, NN (corresponding author), Univ Putra Malaysia, Fac Human Management &amp; Sci, Serdang, Malaysia.;Zulkifli, NN (corresponding author), Univ Putra Malaysia, Inst Math Res, Serdang, Malaysia.</t>
  </si>
  <si>
    <t>nurulnadwa@upm.edu.my</t>
  </si>
  <si>
    <t>Letchumanan, Malathi/ABA-3335-2021; Zulkifli, Nurul/AAP-6055-2020; Hashim, Suhaizal/AAK-7956-2021; KAMARUDIN, SHAFINAH/AHD-8414-2022</t>
  </si>
  <si>
    <t>Universiti Putra Malaysia under IPM [GP-IPM/2020/9694300]</t>
  </si>
  <si>
    <t>Universiti Putra Malaysia under IPM</t>
  </si>
  <si>
    <t>This work was supported/funded by the Universiti Putra Malaysia under IPM Grant (GP-IPM/2020/9694300).</t>
  </si>
  <si>
    <t>ASIA PACIFIC SOC COMPUTERS IN EDUCATION - APSCE</t>
  </si>
  <si>
    <t>TAOYUAN CITY</t>
  </si>
  <si>
    <t>NO 300, JUNGDA RD, JHONGLI DISTRICT, TAOYUAN CITY, 320, TAIWAN</t>
  </si>
  <si>
    <t>978-626-968-900-2</t>
  </si>
  <si>
    <t>Computer Science, Interdisciplinary Applications; Computer Science, Software Engineering; Education, Scientific Disciplines</t>
  </si>
  <si>
    <t>Computer Science; Education &amp; Educational Research</t>
  </si>
  <si>
    <t>BW9GV</t>
  </si>
  <si>
    <t>WOS:001214137600037</t>
  </si>
  <si>
    <t>Zamora-Medina, R; Suminas, A; Fahmy, SS</t>
  </si>
  <si>
    <t>Zamora-Medina, Rocko; Suminas, Andrius; Fahmy, Shahira S.</t>
  </si>
  <si>
    <t>Securing the Youth Vote: A Comparative Analysis of Digital Persuasion on TikTok Among Political Actors</t>
  </si>
  <si>
    <t>MEDIA AND COMMUNICATION</t>
  </si>
  <si>
    <t>digital persuasion; personalization; political communication; social media; TikTok; visual framing</t>
  </si>
  <si>
    <t>PERSONALIZATION; FACEBOOK; ENGAGEMENT; INSTAGRAM; TWITTER</t>
  </si>
  <si>
    <t>In the context of pop politics and politainment, the irruption of TikTok has changed the landscape of social media and become the fastest-growing application among young people. Based on the peculiarities of the social platform's affordances and the political personalization approach, we explore the differences between political parties and political leaders in terms of digital persuasion on TikTok in Spain and Poland. This work contributes to the scarce knowledge about the strategic use of TikTok for political purposes. It also attempts to fill the gap in the comparative research into the practical uses of TikTok in different political contexts. The study explores the three classical persuasion appeals-pathos, ethos, and logos-based on a visual, quantitative analysis of N = 372 videos posted on the official TikTok profiles of the main political parties and leaders from January 1st to March 31st, 2022. Differences were found in how political parties and political leaders used TikTok's affordances as well as in the main rhetorical resource they use to persuade. We noted the use of more rational resources (logos) in the case of political parties and more emotional resources (pathos) for political leaders. Further, the rare presence of the personality in the videos of the political actors (ethos), along with their unusual privatization role, indicate that personalization on TikTok is far from being considered as part of their digital persuasion strategy.</t>
  </si>
  <si>
    <t>[Zamora-Medina, Rocko] Univ Murcia, Dept Commun, Murcia, Spain; [Suminas, Andrius] Vilnius Univ, Fac Commun, Vilnius, Lithuania; [Fahmy, Shahira S.] Amer Univ Cairo, Dept Journalism &amp; Mass Commun, Cairo, Egypt</t>
  </si>
  <si>
    <t>University of Murcia; Vilnius University; Egyptian Knowledge Bank (EKB); American University Cairo</t>
  </si>
  <si>
    <t>Zamora-Medina, R (corresponding author), Univ Murcia, Dept Commun, Murcia, Spain.</t>
  </si>
  <si>
    <t>rzamoramedina@um.es</t>
  </si>
  <si>
    <t>Suminas, Andrius/AAH-9689-2019; ZAMORA MEDINA, ROCIO/K-3828-2013</t>
  </si>
  <si>
    <t>ZAMORA MEDINA, ROCIO/0000-0002-0541-2456</t>
  </si>
  <si>
    <t>project titled Politainment' in the Face of Media Fragmentation: Disintermediation, Engagement and Polarisation - Spanish Ministry of Science and Innovation [PID2020-114193RB-I00]; EU COST network INDCOR-COST Action Interactive Digital Narratives for Complexity Representations [CA18230]</t>
  </si>
  <si>
    <t>project titled Politainment' in the Face of Media Fragmentation: Disintermediation, Engagement and Polarisation - Spanish Ministry of Science and Innovation; EU COST network INDCOR-COST Action Interactive Digital Narratives for Complexity Representations</t>
  </si>
  <si>
    <t>This work was supported by a project titled Politainment' in the Face of Media Fragmentation: Disintermediation, Engagement and Polarisation (PID2020-114193RB-I00), funded by the Spanish Ministry of Science and Innovation. Research for this article was conducted while the authors were active members of the EU COST network INDCOR-COST Action CA18230 Interactive Digital Narratives for Complexity Representations.</t>
  </si>
  <si>
    <t>COGITATIO PRESS</t>
  </si>
  <si>
    <t>LISBON</t>
  </si>
  <si>
    <t>RUA FIALHO ALMEIDA 14, 2 ESQ, LISBON, 1070-129, PORTUGAL</t>
  </si>
  <si>
    <t>2183-2439</t>
  </si>
  <si>
    <t>MEDIA COMMUN-LISBON</t>
  </si>
  <si>
    <t>Media Commun.</t>
  </si>
  <si>
    <t>10.17645/mac.v11i2.6348</t>
  </si>
  <si>
    <t>H5NQ4</t>
  </si>
  <si>
    <t>WOS:000996431600010</t>
  </si>
  <si>
    <t>Thau, T</t>
  </si>
  <si>
    <t>Thau, Tena</t>
  </si>
  <si>
    <t>An Ode to the TikTok Dance</t>
  </si>
  <si>
    <t>THINK-PHILOSOPHY FOR EVERYONE</t>
  </si>
  <si>
    <t>dance; political polarization; social media; well-being</t>
  </si>
  <si>
    <t>A philosophical argument for more TikTok dancing.</t>
  </si>
  <si>
    <t>[Thau, Tena] London Sch Econ, Dept Philosophy Log &amp; Sci Method, London, England</t>
  </si>
  <si>
    <t>University of London; London School Economics &amp; Political Science</t>
  </si>
  <si>
    <t>Thau, T (corresponding author), London Sch Econ, Dept Philosophy Log &amp; Sci Method, London, England.</t>
  </si>
  <si>
    <t>t.thau@lse.ac.uk</t>
  </si>
  <si>
    <t>1477-1756</t>
  </si>
  <si>
    <t>1755-1196</t>
  </si>
  <si>
    <t>THINK-PHILOS EVERYON</t>
  </si>
  <si>
    <t>Think-Philos. Everyone</t>
  </si>
  <si>
    <t>10.1017/S1477175622000288</t>
  </si>
  <si>
    <t>Philosophy</t>
  </si>
  <si>
    <t>L2LE4</t>
  </si>
  <si>
    <t>WOS:001021616900011</t>
  </si>
  <si>
    <t>Meza, RM; Mogos, AA; Prundaru, G</t>
  </si>
  <si>
    <t>Meza, Radu M.; Mogos, Andreea-Alina; Prundaru, George</t>
  </si>
  <si>
    <t>Idols of Promotion and Authenticity on TikTok</t>
  </si>
  <si>
    <t>authenticity; celebrity; idols; ordinariness; promotion; semantic networks; social media celebrities; TikTok</t>
  </si>
  <si>
    <t>COMMUNICATION; SPACE</t>
  </si>
  <si>
    <t>TikTok's rapid growth in the past few years, especially in the younger demographic, may signal a market shift. With children, teens, and young adults reportedly making up 40% to 60% of its user base, the platform is becoming the strongest challenger to YouTube, Facebook, and Instagram. The most followed TikTok celebrities are mostly young people who have either grown up with the platform or recently extended their popularity from other platforms to reach new audiences. This research investigates the discursive strategies and persona performances employed by the top 25 TikTok celebrities under the age of 25 in both popular content and content marked as advertising. A large sample of TikTok content metadata was collected using API interrogation. From each of the 25 young TikTok celebrities, up to 1,000 videos per user (N = 22,650) are explored using quantitative approaches. Two subsamples are analysed using visual, rhetorical, and narrative analysis to evaluate the most popular content (N-p = 226) and content marked as advertising using the TikTok ad flagging (N-a = 213). The findings include the identification of seven persona performance types and a significant difference in terms of performed ordinariness in content marked as advertising.</t>
  </si>
  <si>
    <t>[Meza, Radu M.; Mogos, Andreea-Alina; Prundaru, George] Babes Bolyai Univ, Dept Journalism &amp; Digital Media, Cluj Napoca, Romania</t>
  </si>
  <si>
    <t>Babes Bolyai University from Cluj</t>
  </si>
  <si>
    <t>Meza, RM (corresponding author), Babes Bolyai Univ, Dept Journalism &amp; Digital Media, Cluj Napoca, Romania.</t>
  </si>
  <si>
    <t>radu.meza@ubbcluj.ro</t>
  </si>
  <si>
    <t>Mogos, Andreea Alina/HDO-4972-2022; Meza, Radu/C-2976-2012</t>
  </si>
  <si>
    <t>Prundaru, George/0000-0001-9531-7964; Mogos, Andreea Alina/0000-0003-2977-2381</t>
  </si>
  <si>
    <t>10.17645/mac.v11i4.7123</t>
  </si>
  <si>
    <t>HC4D3</t>
  </si>
  <si>
    <t>Green Published, Green Submitted, gold</t>
  </si>
  <si>
    <t>WOS:001157268200007</t>
  </si>
  <si>
    <t>Abidin, C; Lee, J</t>
  </si>
  <si>
    <t>Abidin, Crystal; Lee, Jin</t>
  </si>
  <si>
    <t>K-pop TikTok: TikTok's expansion into South Korea, TikTok Stage, and platformed glocalization</t>
  </si>
  <si>
    <t>TikTok Stage; South Korea; K-pop; challenges; platformed glocalization; COVID-19</t>
  </si>
  <si>
    <t>SOCIAL MEDIA; LABOR; AGE</t>
  </si>
  <si>
    <t>We examine how TikTok expanded into the South Korean landscape by utilizing K-pop as a vehicle, thus demonstrating the theory of 'platformed glocalization'. After several failed attempts to enter the Korean market - having been stigmatized as a 'vulgar Chinese app' - TikTok Korea eventually launched a successful event series known as 'TikTok Stage' to leverage on the gaps in the K-pop market arising from the COVID-19 pandemic. While 'platformization' has been studied as the pervasive reach and impact of platforms on cultures, we showcase the potential for a variant that we term 'platformed glocalization', usually observed when domestic market cultures and their associated socio-politics are particularly strong. We investigate K-pop stars and fans' 'promotional labour' during the events, which is essential in the process of platformed glocalization. We discuss how the mainstream entertainment industry and newly emerging social media platforms work in tandem to produce a market-specific mobilization of digital cultures.</t>
  </si>
  <si>
    <t>[Abidin, Crystal; Lee, Jin] Curtin Univ, Bentley, Australia; [Lee, Jin] Curtin Univ, Internet Studies, Bentley, Australia</t>
  </si>
  <si>
    <t>Lee, J (corresponding author), Curtin Univ, Internet Studies, Bentley, Australia.</t>
  </si>
  <si>
    <t>Lee, Jin/0000-0002-5698-5561; Abidin, Crystal/0000-0002-5346-6977</t>
  </si>
  <si>
    <t>Australian Research Council [DE190100789]; TikTok Cultures Research Network; Faculty of Humanities at Curtin University; MCASI; Australian Research Council [DE190100789] Funding Source: Australian Research Council</t>
  </si>
  <si>
    <t>Australian Research Council(Australian Research Council); TikTok Cultures Research Network; Faculty of Humanities at Curtin University; MCASI; Australian Research Council(Australian Research Council)</t>
  </si>
  <si>
    <t>This article draws from Abidin's research on digital cultures in the Asia Pacific region between 2019 and 2022, during which several grants supported the fieldwork. In particular, Abidin would like to acknowledge the most recent funding from the Australian Research Council (DE190100789) for supporting research on Social Media Influencers as Conduits of Knowledge in Australia and Asia, as well as support from the TikTok Cultures Research Network. Lee also would like to acknowledge a research support package from MCASI and the Faculty of Humanities at Curtin University.</t>
  </si>
  <si>
    <t>10.1177/1329878X231186445</t>
  </si>
  <si>
    <t>O9ER4</t>
  </si>
  <si>
    <t>WOS:001027194100001</t>
  </si>
  <si>
    <t>Boeker, M; Urman, A</t>
  </si>
  <si>
    <t>Boeker, Maximilian; Urman, Aleksandra</t>
  </si>
  <si>
    <t>An Empirical Investigation of Personalization Factors on TikTok</t>
  </si>
  <si>
    <t>PROCEEDINGS OF THE ACM WEB CONFERENCE 2022 (WWW'22)</t>
  </si>
  <si>
    <t>31st ACM Web Conference (WWW)</t>
  </si>
  <si>
    <t>APR 25-29, 2022</t>
  </si>
  <si>
    <t>Assoc Comp Machinery,ACM SIGWEB,LIRIS,Univ Lyon,Inst Natl Sci Appliquees,Eurecom</t>
  </si>
  <si>
    <t>TikTok; algorithm audit; recommender systems; personalization; social media</t>
  </si>
  <si>
    <t>TikTok currently is the fastest growing social media platform with over 1 billion active monthly users of which the majority is from generation Z. Arguably, its most important success driver is its recommendation system. Despite the importance of TikTok's algorithm to the platform's success and content distribution, little work has been done on the empirical analysis of the algorithm. Our work lays the foundation to fill this research gap. Using a sock-puppet audit methodology with a custom algorithm developed by us, we tested and analysed the effect of the language and location used to access TikTok, follow- and like-feature, as well as how the recommended content changes as a user watches certain posts longer than others. We provide evidence that all the tested factors influence the content recommended to TikTok users. Further, we identified that the follow-feature has the strongest influence, followed by the like-feature and video view rate. We also discuss the implications of our findings in the context of the formation of filter bubbles on TikTok and the proliferation of problematic content.</t>
  </si>
  <si>
    <t>[Boeker, Maximilian; Urman, Aleksandra] Univ Zurich, Zurich, Switzerland; [Boeker, Maximilian] Tech Univ Munich, Munich, Germany</t>
  </si>
  <si>
    <t>University of Zurich; Technical University of Munich</t>
  </si>
  <si>
    <t>Boeker, M (corresponding author), Univ Zurich, Zurich, Switzerland.;Boeker, M (corresponding author), Tech Univ Munich, Munich, Germany.</t>
  </si>
  <si>
    <t>maximilian.boeker@gmail.com; urman@ifi.uzh.ch</t>
  </si>
  <si>
    <t>Urman, Aleksandra/AAD-2217-2020</t>
  </si>
  <si>
    <t>978-1-4503-9096-5</t>
  </si>
  <si>
    <t>10.1145/3485447.3512102</t>
  </si>
  <si>
    <t>Computer Science, Cybernetics; Computer Science, Software Engineering; Computer Science, Theory &amp; Methods</t>
  </si>
  <si>
    <t>BT8BZ</t>
  </si>
  <si>
    <t>Green Submitted</t>
  </si>
  <si>
    <t>WOS:000852713002035</t>
  </si>
  <si>
    <t>Mansour, MR; Abushukur, Y; Potts, GA</t>
  </si>
  <si>
    <t>Mansour, Meghan R.; Abushukur, Yasmine; Potts, Geoffrey A.</t>
  </si>
  <si>
    <t>Keratosis pilaris on TikTok: A cross-sectional analysis of trending content</t>
  </si>
  <si>
    <t>JAAD INTERNATIONAL</t>
  </si>
  <si>
    <t>health literacy; keratosispilaris; patient education materials; social media; TikTok</t>
  </si>
  <si>
    <t>INFORMATION; DISCERN</t>
  </si>
  <si>
    <t>[Mansour, Meghan R.; Abushukur, Yasmine] Oakland Univ, William Beaumont Sch Med, 586 Pioneer Dr, Rochester, MI 48309 USA; [Potts, Geoffrey A.] Wayne State Univ, Dept Dermatol, Dearborn, MI USA</t>
  </si>
  <si>
    <t>Oakland University; Wayne State University</t>
  </si>
  <si>
    <t>Mansour, MR (corresponding author), Oakland Univ, William Beaumont Sch Med, 586 Pioneer Dr, Rochester, MI 48309 USA.</t>
  </si>
  <si>
    <t>meghanmansour@oakland.edu</t>
  </si>
  <si>
    <t>Mansour, Meghan/0009-0008-2705-8612</t>
  </si>
  <si>
    <t>2666-3287</t>
  </si>
  <si>
    <t>JAAD INT</t>
  </si>
  <si>
    <t>JAAD Int.</t>
  </si>
  <si>
    <t>10.1016/j.jdin.2022.06.015</t>
  </si>
  <si>
    <t>TX8G2</t>
  </si>
  <si>
    <t>WOS:001244643600030</t>
  </si>
  <si>
    <t>Kulaga, W</t>
  </si>
  <si>
    <t>Kulaga, Wojciech</t>
  </si>
  <si>
    <t>Revolutionizing Visual Communication and Digital Creative Engagement: The Game-Changing Impact of TikTok</t>
  </si>
  <si>
    <t>PRZEGLAD SOCJOLOGII JAKOSCIOWEJ</t>
  </si>
  <si>
    <t>TikTok; multimodal; analysis; qualitative; methodology; social media; visual; communication</t>
  </si>
  <si>
    <t>TikTok, a swiftly expanding social media platform, has emerged as a potent catalyst in transforming the realm of visual communication and digital interaction. This paper explores the evolving landscape of TikTok, focusing on its technological advancements, emerging forms of expression, and distinctive features in reshaping visual communication. It delves into the platform's unique capabilities for audiovisual messages, highlighting its transformative impact on digital culture. Through its unique blend of short-form videos, innovative build-in editing tools, and algorithmic recommendation system, TikTok has democratized content creation and consumption, enabling users worldwide to engage in creative expression and communitybuilding. The aim of this paper is to qualitatively and exploratively delve into the structures of TikTok messages and the forms of visual communication that appear on it. The author employed deep observation and multimodal analysis for this purpose.</t>
  </si>
  <si>
    <t>[Kulaga, Wojciech] Jagiellonian Univ, Doctoral Sch Social Sci, Krakow, Poland</t>
  </si>
  <si>
    <t>Jagiellonian University</t>
  </si>
  <si>
    <t>Kulaga, W (corresponding author), Jagiellonian Univ, Doctoral Sch Social Sci, Krakow, Poland.</t>
  </si>
  <si>
    <t>wojciech.kulaga@doctoral.uj.edu.pl</t>
  </si>
  <si>
    <t>LODZ UNIV PRESS</t>
  </si>
  <si>
    <t>LODZ</t>
  </si>
  <si>
    <t>ul. Pomorska 171/173, LODZ, POLAND</t>
  </si>
  <si>
    <t>1733-8069</t>
  </si>
  <si>
    <t>PRZEGL SOC JAKOSC</t>
  </si>
  <si>
    <t>Przegl. Soc. Jakosc.</t>
  </si>
  <si>
    <t>AUG 31</t>
  </si>
  <si>
    <t>10.18778/1733-8069.20.3.10</t>
  </si>
  <si>
    <t>G7M0Z</t>
  </si>
  <si>
    <t>WOS:001318423000010</t>
  </si>
  <si>
    <t>Klug, D; Steen, E; Yurechko, K</t>
  </si>
  <si>
    <t>Klug, Daniel; Steen, Ella; Yurechko, Kathryn</t>
  </si>
  <si>
    <t>How Algorithm Awareness Impacts Algospeak Use on TikTok</t>
  </si>
  <si>
    <t>COMPANION OF THE WORLD WIDE WEB CONFERENCE, WWW 2023</t>
  </si>
  <si>
    <t>32nd World Wide Web Conference (WWW)</t>
  </si>
  <si>
    <t>APR 30-MAY 04, 2023</t>
  </si>
  <si>
    <t>Austin, TX</t>
  </si>
  <si>
    <t>Assoc Comp Machinery,Amazon Science,Baidu,Megagon Labs,Zhipu AI,Google,Booking Com,eBay,Bloomberg Engn,Netflix,ACM SIGWEB,Univ Texas Austin, Sch Informat,Data World,Inst Fdn Machine Learning</t>
  </si>
  <si>
    <t>TikTok; content moderation; algorithmic literacy; communicative practice; qualitative interviews</t>
  </si>
  <si>
    <t>Algospeak refers to social media users intentionally altering or substituting words when creating or sharing online content, for example, using 'le$bean' for 'lesbian'. This study discusses the characteristics of algospeak as a computer-mediated language phenomenon on TikTok with regards to users' algorithmic literacy and their awareness of how the platform's algorithms work. We then present results from an interview study with TikTok creators on their motivations to utilize algospeak. Our results indicate that algospeak is used to oppose TikTok's algorithmic moderation system in order to prevent unjust content violations and shadowbanning when posting about benign yet seemingly unwanted subjects on TikTok. In this, we find that although algospeak helps to prevent consequences, it often impedes the creation of quality content. We provide an adapted definition of algospeak and new insights into user-platform interactions in the context of algorithmic systems and algorithm awareness.</t>
  </si>
  <si>
    <t>[Klug, Daniel] Carnegie Mellon Univ, Pittsburgh, PA 15213 USA; [Steen, Ella] Gordon Coll, Wenham, MA USA; [Yurechko, Kathryn] Washington &amp; Lee Univ, Lexington, VA 24450 USA</t>
  </si>
  <si>
    <t>Carnegie Mellon University; Washington &amp; Lee University</t>
  </si>
  <si>
    <t>Klug, D (corresponding author), Carnegie Mellon Univ, Pittsburgh, PA 15213 USA.</t>
  </si>
  <si>
    <t>dklug@cs.cmu.edu; ella.steen@gordon.edu; yurechkok24@mail.wlu.edu</t>
  </si>
  <si>
    <t>Klug, Daniel/0000-0003-2320-3321; Yurechko, Kathryn/0000-0003-4056-0806</t>
  </si>
  <si>
    <t>978-1-4503-9416-1</t>
  </si>
  <si>
    <t>10.1145/3543873.3587355</t>
  </si>
  <si>
    <t>Computer Science, Artificial Intelligence; Computer Science, Interdisciplinary Applications</t>
  </si>
  <si>
    <t>BW2SF</t>
  </si>
  <si>
    <t>WOS:001124276300057</t>
  </si>
  <si>
    <t>Colombo, E; Giorgi, G; Rebughini, PA</t>
  </si>
  <si>
    <t>Colombo, Enzo; Giorgi, Giulia; Rebughini, Paola Alessandra</t>
  </si>
  <si>
    <t>When the war strikes back: TikTok's domestication of the Russo-Ukrainian conflict among youth</t>
  </si>
  <si>
    <t>digital methods; domestication; Russia; TikTok; Ukraine; war; youth</t>
  </si>
  <si>
    <t>This article explores how the Russo-Ukrainian conflict is represented through videos circulating on TikTok and how the consumption of this content impacts young people's imaginary of war. After 2 years since the outbreak of the war in Ukraine, the centrality of TikTok in the communication around this conflict has become apparent. In this study, we are interested in the 'domesticating' effect produced by the circulation and consumption of content circulated on TikTok and the effects this may have on young people - the larger segment of the platform's user base. Using insights from the qualitative analysis of 826 TikTok videos and 2 focus groups conducted with Italian high school students, we found that TikTok contributes to the domestication of war through 3 narrative strategies: the spectacularization of the technical aspects of war, the representation of war as part of the everyday life, and various affordance-mediated attempts of aestheticization. The representations of the conflict vehiculated through TikTok videos make war something familiar and normalized in the eyes of our interviewees. The idea of a war in the near future as something that may realistically happen strongly emerge from the focus groups, alongside with different ways to cope with this idea.</t>
  </si>
  <si>
    <t>[Colombo, Enzo; Giorgi, Giulia; Rebughini, Paola Alessandra] Univ Milan, Via Conservatorio 7, I-20122 Milan, Italy</t>
  </si>
  <si>
    <t>University of Milan</t>
  </si>
  <si>
    <t>Giorgi, G (corresponding author), Univ Milan, Via Conservatorio 7, I-20122 Milan, Italy.</t>
  </si>
  <si>
    <t>giulia.giorgi1@unimi.it</t>
  </si>
  <si>
    <t>Giorgi, Giulia/LCE-0348-2024; colombo, enzo/E-2769-2017</t>
  </si>
  <si>
    <t>2024 OCT 6</t>
  </si>
  <si>
    <t>10.1177/01634437241282905</t>
  </si>
  <si>
    <t>I4X8P</t>
  </si>
  <si>
    <t>WOS:001330310800001</t>
  </si>
  <si>
    <t>Ji-Xu, A; Htet, KZ; Leslie, KS</t>
  </si>
  <si>
    <t>Ji-Xu, Antonio; Htet, Kyaw Zin; Leslie, Kieron S.</t>
  </si>
  <si>
    <t>Monkeypox Content on TikTok: Cross-sectional Analysis</t>
  </si>
  <si>
    <t>JOURNAL OF MEDICAL INTERNET RESEARCH</t>
  </si>
  <si>
    <t>TikTok; social media; monkeypox; mpox; pandemic; epidemic; infectious disease; outbreak; quality assessment; content analysis</t>
  </si>
  <si>
    <t>[Ji-Xu, Antonio] Univ Calif Davis, Dept Dermatol, 3301 C St,Suite 1400, Sacramento, CA 95816 USA; [Htet, Kyaw Zin] Tulane Univ, Sch Med, New Orleans, LA USA; [Leslie, Kieron S.] Univ Calif San Francisco, Dept Dermatol, San Francisco, CA USA</t>
  </si>
  <si>
    <t>University of California System; University of California Davis; Tulane University; University of California System; University of California San Francisco</t>
  </si>
  <si>
    <t>Ji-Xu, A (corresponding author), Univ Calif Davis, Dept Dermatol, 3301 C St,Suite 1400, Sacramento, CA 95816 USA.</t>
  </si>
  <si>
    <t>antoniojixu@gmail.com</t>
  </si>
  <si>
    <t>Htet, Kyaw Zin/0000-0002-4376-8031</t>
  </si>
  <si>
    <t>1438-8871</t>
  </si>
  <si>
    <t>J MED INTERNET RES</t>
  </si>
  <si>
    <t>J. Med. Internet Res.</t>
  </si>
  <si>
    <t>JAN 17</t>
  </si>
  <si>
    <t>e44697</t>
  </si>
  <si>
    <t>10.2196/44697</t>
  </si>
  <si>
    <t>J4JG7</t>
  </si>
  <si>
    <t>WOS:001009286700002</t>
  </si>
  <si>
    <t>Maddox, J; Gill, F</t>
  </si>
  <si>
    <t>Maddox, Jessica; Gill, Fiona</t>
  </si>
  <si>
    <t>Assembling Sides of TikTok: Examining Community, Culture, and Interface through a BookTok Case Study</t>
  </si>
  <si>
    <t>TikTok; communities; BookTok; publishing; search; algorithms; publics; imaginaries; content creation; production; consumption; affordances; interface</t>
  </si>
  <si>
    <t>COMMUNICATIVE FORMS; MEDIA</t>
  </si>
  <si>
    <t>The term side has emerged to describe communities on the short-form video app TikTok. But what discursive work does the metaphor of side do to describe online communities? Through a case study with a textual analysis of the culture, technology, interface, and platform vernaculars present in reading fandom TikTok, BookTok, we explore how user practice and app features intertwine to establish sides of TikTok as relational, individualistically positioned, and exclusionary. In the process, we also present a cursory charting of the BookTok community. Unpacking the construction and implications of this metaphor matters because it shows the distinctive and exclusionary work done by the term side, not just across TikTok but within collectives as well. Who TikTok believes to be the typical member of a side has implications for discrimination and exclusion on the app, as it feeds into existing divisiveness in communities and the app's tendency to suppress people of color, LGBTQ individuals, and disabled individuals.</t>
  </si>
  <si>
    <t>[Maddox, Jessica] Univ Alabama, Coll Commun &amp; Informat Sci, Digital Media Technol, Tuscaloosa, AL USA; [Gill, Fiona] Univ Alabama, Culverhouse Coll Business, Management Informat Syst, Tuscaloosa, AL USA; [Maddox, Jessica] Univ Alabama, 430C Reese Phifer Hall,Box 870172, Tuscaloosa, AL 35487 USA</t>
  </si>
  <si>
    <t>University of Alabama System; University of Alabama Tuscaloosa; University of Alabama System; University of Alabama Tuscaloosa; University of Alabama System; University of Alabama Tuscaloosa</t>
  </si>
  <si>
    <t>Maddox, J (corresponding author), Univ Alabama, 430C Reese Phifer Hall,Box 870172, Tuscaloosa, AL 35487 USA.</t>
  </si>
  <si>
    <t>JLMaddox@ua.edu</t>
  </si>
  <si>
    <t>10.1177/20563051231213565</t>
  </si>
  <si>
    <t>Z1XG8</t>
  </si>
  <si>
    <t>WOS:001110074400001</t>
  </si>
  <si>
    <t>Radin, AGB; Light, CJ</t>
  </si>
  <si>
    <t>Radin, Abigail G. B.; Light, Caitlin J.</t>
  </si>
  <si>
    <t>TikTok: An Emergent Opportunity for Teaching and Learning Science Communication Online</t>
  </si>
  <si>
    <t>JOURNAL OF MICROBIOLOGY &amp; BIOLOGY EDUCATION</t>
  </si>
  <si>
    <t>social media; science communication; TikTok; online learning; professional skills; 21st century STEM; course-based undergraduate research experience</t>
  </si>
  <si>
    <t>[Radin, Abigail G. B.; Light, Caitlin J.] SUNY Binghamton, Year Res Immers Program 1, Binghamton, NY 13902 USA</t>
  </si>
  <si>
    <t>State University of New York (SUNY) System; Binghamton University, SUNY</t>
  </si>
  <si>
    <t>Light, CJ (corresponding author), SUNY Binghamton, Year Res Immers Program 1, Binghamton, NY 13902 USA.</t>
  </si>
  <si>
    <t>clight@binghamton.edu</t>
  </si>
  <si>
    <t>Light, Caitlin/0000-0001-9281-9037</t>
  </si>
  <si>
    <t>AMER SOC MICROBIOLOGY</t>
  </si>
  <si>
    <t>WASHINGTON</t>
  </si>
  <si>
    <t>1752 N ST NW, WASHINGTON, DC 20036-2904 USA</t>
  </si>
  <si>
    <t>1935-7877</t>
  </si>
  <si>
    <t>1935-7885</t>
  </si>
  <si>
    <t>J MICROBIOL BIOL EDU</t>
  </si>
  <si>
    <t>J. Microbiol. Biol. Educ.</t>
  </si>
  <si>
    <t>APR 29</t>
  </si>
  <si>
    <t>10.1128/jmbe.00236-21</t>
  </si>
  <si>
    <t>Education, Scientific Disciplines</t>
  </si>
  <si>
    <t>0Z6ZJ</t>
  </si>
  <si>
    <t>WOS:000791223700042</t>
  </si>
  <si>
    <t>Dera, J</t>
  </si>
  <si>
    <t>Dera, Jeroen</t>
  </si>
  <si>
    <t>Your voice brings calmness to the chaos in my mind: exploring the uses of poetry on TikTok</t>
  </si>
  <si>
    <t>JOURNAL OF POETRY THERAPY</t>
  </si>
  <si>
    <t>TikTok; #BookTok; poetry; literary culture; digital culture</t>
  </si>
  <si>
    <t>This article provides a first exploratory analysis of how poetry functions on TikTok, where the #poetry hashtag has generated tens of billions of views so far. Using three case studies, namely the Dutch poetry account @lotweijers, the English account @marthalilli, and the hashtag #sylviaplath, it demonstrates the form poetry takes on TikTok and the discourse about the genre that emerges in user comments. The analyses show that the relational aspect of accessible poems plays a significant role in how poetry functions on TikTok. However, while many TikTokers use poetry in an affective, relational, and therapeutic manner, there are also users who take a more cognitive approach to the genre, focusing on interpretations and ideological discussions about poetry. In this sense, the article nuances the idea that literary practices on TikTok are equivalent to instant satisfaction.</t>
  </si>
  <si>
    <t>[Dera, Jeroen] Radboud Univ Nijmegen, Radboud Inst Culture &amp; Hist, Dept Modern Languages &amp; Cultures, Nijmegen, Netherlands; [Dera, Jeroen] Radboud Univ Nijmegen, Postbox 9103, NL-6500 HD Nijmegen, Netherlands</t>
  </si>
  <si>
    <t>Radboud University Nijmegen; Radboud University Nijmegen</t>
  </si>
  <si>
    <t>Dera, J (corresponding author), Radboud Univ Nijmegen, Postbox 9103, NL-6500 HD Nijmegen, Netherlands.</t>
  </si>
  <si>
    <t>jeroen.dera@ru.nl</t>
  </si>
  <si>
    <t>Uses of Literature in the Classroom: Legitimizing Litera-ture in Upper-Secondary Education by the Dutch Research Council (NWO) [VI.Veni.201C.046]</t>
  </si>
  <si>
    <t>Uses of Literature in the Classroom: Legitimizing Litera-ture in Upper-Secondary Education by the Dutch Research Council (NWO)</t>
  </si>
  <si>
    <t>This study (publication) is part of the project Uses of Literature in the Classroom: Legitimizing Litera-ture in Upper-Secondary Education (with project number VI.Veni.201C.046 of the research pro-gramme VENI- SGW) which is (partly) financed by the Dutch Research Council (NWO). Special thanks go to Femke ter Haar for her assistance during data collection.</t>
  </si>
  <si>
    <t>0889-3675</t>
  </si>
  <si>
    <t>1567-2344</t>
  </si>
  <si>
    <t>J POETRY THER</t>
  </si>
  <si>
    <t>J. Poetry Ther.</t>
  </si>
  <si>
    <t>2024 FEB 27</t>
  </si>
  <si>
    <t>10.1080/08893675.2024.2323198</t>
  </si>
  <si>
    <t>JK2F9</t>
  </si>
  <si>
    <t>WOS:001172989500001</t>
  </si>
  <si>
    <t>Ozkent, MS; Kilinç, MT</t>
  </si>
  <si>
    <t>Ozkent, Mehmet Serkan; Kilinc, Muzaffer Tansel</t>
  </si>
  <si>
    <t>Female urinary incontinence on TikTok and YouTube: is online video content sufficient?</t>
  </si>
  <si>
    <t>INTERNATIONAL UROGYNECOLOGY JOURNAL</t>
  </si>
  <si>
    <t>Female urinary incontinence; YouTube; TikTok; Video content; Social media platforms</t>
  </si>
  <si>
    <t>CONSUMER HEALTH INFORMATION; SOCIAL MEDIA; QUALITY; MISINFORMATION</t>
  </si>
  <si>
    <t>Introduction and hypothesisThe objective of the study is to evaluate the reliability and quality of the most-viewed female urinary incontinence-related TikTok and YouTube posts. Our second goal is to analyze the differences in the quality and content of videos between these platforms.MethodsWe searched for the keyword female urinary incontinence on TikTok and YouTube on 1 March 2023. We sorted the videos that appeared out of searches for this keyword by top results on TikTok and by relevance on YouTube. We excluded the videos that were not in English, whose narrator was unclear, unrelated videos, advertising videos, and duplicate videos. In this study, we included the top 50 videos on both platforms that were directly related to female urinary incontinence. The characteristics of the videos, such as likes, video duration, views, and type of narrator (patient, physician, nonphysician practitioner, and health care company), and DISCERN scores were analyzed.ResultsWe observed that the median view count (p&lt;0.001) and the median video duration (p&lt;0.001) were higher and longer respectively on YouTube than on TikTok. In addition, the median DISCERN score of these videos was higher on YouTube than on TikTok (p&lt;0.001). Similarly, the overall quality of videos was higher on YouTube than on TikTok (p=0.002). Only in two TikTok and two YouTube videos have the narrators cited a reference.ConclusionsOur findings emphasize the present lack of high-quality content available on TikTok and YouTube from both health care and nonhealth care experts. To address this lack of information, health care providers, especially urologists, should take an active role in creating video content.</t>
  </si>
  <si>
    <t>[Ozkent, Mehmet Serkan; Kilinc, Muzaffer Tansel] Konya City Hosp, Dept Urol, TR-42020 Konya, Turkiye</t>
  </si>
  <si>
    <t>Ozkent, MS (corresponding author), Konya City Hosp, Dept Urol, TR-42020 Konya, Turkiye.</t>
  </si>
  <si>
    <t>msozkent@gmail.com</t>
  </si>
  <si>
    <t>Özkent, Mehmet/AAJ-9851-2020; Kılınç, Muzaffer Tansel/IWD-9881-2023</t>
  </si>
  <si>
    <t>kilinc, tansel/0000-0002-1024-3394; OZKENT, MEHMET SERKAN/0000-0002-6613-0671</t>
  </si>
  <si>
    <t>SPRINGER LONDON LTD</t>
  </si>
  <si>
    <t>236 GRAYS INN RD, 6TH FLOOR, LONDON WC1X 8HL, ENGLAND</t>
  </si>
  <si>
    <t>0937-3462</t>
  </si>
  <si>
    <t>1433-3023</t>
  </si>
  <si>
    <t>INT UROGYNECOL J</t>
  </si>
  <si>
    <t>Int. Urogynecol. J.</t>
  </si>
  <si>
    <t>10.1007/s00192-023-05607-0</t>
  </si>
  <si>
    <t>Obstetrics &amp; Gynecology; Urology &amp; Nephrology</t>
  </si>
  <si>
    <t>CF3K7</t>
  </si>
  <si>
    <t>WOS:001033645200002</t>
  </si>
  <si>
    <t>Rejeb, A; Rejeb, K; Appolloni, A; Treiblmaier, H</t>
  </si>
  <si>
    <t>Rejeb, Abderahman; Rejeb, Karim; Appolloni, Andrea; Treiblmaier, Horst</t>
  </si>
  <si>
    <t>Foundations and knowledge clusters in TikTok (Douyin) research: evidence from bibliometric and topic modelling analyses</t>
  </si>
  <si>
    <t>MULTIMEDIA TOOLS AND APPLICATIONS</t>
  </si>
  <si>
    <t>TikTok; Public health; Body image; Bibliometrics; Topic modeling</t>
  </si>
  <si>
    <t>SOCIAL MEDIA; COVID-19 INFORMATION; SHORT VIDEO; MANAGEMENT; DOMAIN; VISUALIZATION; OPPORTUNITIES; ENGAGEMENT; BUSINESS; SCIENCE</t>
  </si>
  <si>
    <t>The goal of this study is to comprehensively analyze the dynamics and structure of TikTok research since its initial development. The scholarly composition of articles dealing with TikTok was dissected via a bibliometric study based on a corpus of 542 journal articles from the Scopus database. The results show that TikTok research has flourished in recent years and also demonstrate that the authors' collaboration networks are disjointed, indicating a lack of cooperation among TikTok researchers. Furthermore, the analysis reveals that research collaboration among academic institutions reflects the North-South divide, also highlighting a limited research collaboration between institutions in developed and developing countries. Based on the keyword co-occurrence network and topic modeling, TikTok research revolves mainly around five thematic areas, including public health, health communication and education, platform governance, body image, and its impact on children and students. Based on these findings, numerous suggestions for further research are offered. As far as the authors are aware, this is the first application of bibliometrics and topic modeling to assess the growth of TikTok research and reveal the intellectual base of this knowledge domain.</t>
  </si>
  <si>
    <t>[Rejeb, Abderahman] Univ Roma Tor Vergata, Fac Econ, Dept Management &amp; Law, Via Columbia 2, I-00133 Rome, Italy; [Rejeb, Karim] Univ Carthage, Fac Sci Bizerte, Zarzouna 7021, Bizerte, Tunisia; [Appolloni, Andrea] Univ Roma Tor Vergata, Fac Econ, Dept Management &amp; Law, Via Columbia 2, I-00133 Rome, Italy; [Treiblmaier, Horst] Modul Univ Vienna, Sch Int Management, Kahlenberg 1, A-1190 Vienna, Austria</t>
  </si>
  <si>
    <t>University of Rome Tor Vergata; Universite de Carthage; University of Rome Tor Vergata</t>
  </si>
  <si>
    <t>Treiblmaier, H (corresponding author), Modul Univ Vienna, Sch Int Management, Kahlenberg 1, A-1190 Vienna, Austria.</t>
  </si>
  <si>
    <t>horst.treiblmaier@modul.ac.at</t>
  </si>
  <si>
    <t>Treiblmaier, Horst/X-1282-2019; Appolloni, Andrea/L-3607-2014</t>
  </si>
  <si>
    <t>Appolloni, Andrea/0000-0001-5741-398X</t>
  </si>
  <si>
    <t>MODUL University Vienna GmbH</t>
  </si>
  <si>
    <t>No Statement Available</t>
  </si>
  <si>
    <t>DORDRECHT</t>
  </si>
  <si>
    <t>VAN GODEWIJCKSTRAAT 30, 3311 GZ DORDRECHT, NETHERLANDS</t>
  </si>
  <si>
    <t>1380-7501</t>
  </si>
  <si>
    <t>1573-7721</t>
  </si>
  <si>
    <t>MULTIMED TOOLS APPL</t>
  </si>
  <si>
    <t>Multimed. Tools Appl.</t>
  </si>
  <si>
    <t>10.1007/s11042-023-16768-x</t>
  </si>
  <si>
    <t>SEP 2023</t>
  </si>
  <si>
    <t>Computer Science, Information Systems; Computer Science, Software Engineering; Computer Science, Theory &amp; Methods; Engineering, Electrical &amp; Electronic</t>
  </si>
  <si>
    <t>KF5H9</t>
  </si>
  <si>
    <t>WOS:001070386400002</t>
  </si>
  <si>
    <t>Mudra, I; Kitsa, M</t>
  </si>
  <si>
    <t>Mudra, Iryna; Kitsa, Mariana</t>
  </si>
  <si>
    <t>What, How and Why? Tiktok As a Promising Channel for Media Promotion</t>
  </si>
  <si>
    <t>MEDIA LITERACY AND ACADEMIC RESEARCH</t>
  </si>
  <si>
    <t>Audience; Content; Media; Popularization; Themes; TikTok; Video</t>
  </si>
  <si>
    <t>In the article we examined the role of the social network TikTok (for the global news media The use of TikTok by the top 50 global news media was analysed. We found that only 14 of them had verified accounts on this social network and that only 13 of 50 were in actual usage. In the research the amount of videos on TikTok was outlined, their themes, their aims as well as their strategies. It was investigated that in order to be successful and to have a large amount of revisions and comments, media should create specific videos, which are unique and authentic, especially for this social network. The means and elements of the videos which were suitable for TikTok were examined. In particular, such important means are music, speakers, subtitles, as well as themes, mood and graphics. It was concluded that TikTok is a perspective platform for popularization of the content of media, attracting new audiences and explaining complicated themes for young people.</t>
  </si>
  <si>
    <t>[Mudra, Iryna; Kitsa, Mariana] Natl Univ Lviv Polytech, Dept Journalism &amp; Mass Commun, 1-3 Kniazia Romana St, Lvov, Ukraine</t>
  </si>
  <si>
    <t>Ministry of Education &amp; Science of Ukraine; Lviv Polytechnic National University</t>
  </si>
  <si>
    <t>Mudra, I (corresponding author), Natl Univ Lviv Polytech, Dept Journalism &amp; Mass Commun, 1-3 Kniazia Romana St, Lvov, Ukraine.</t>
  </si>
  <si>
    <t>iryna.m.mudra@lpnu.com; mariana.o.kitsa@lpnu.ua</t>
  </si>
  <si>
    <t>Mudra, Iryna/AHC-3466-2022; Kitsa, Mariana/Q-1025-2017</t>
  </si>
  <si>
    <t>UNIV SS CYRIL &amp; METHODIUS TRNAVA</t>
  </si>
  <si>
    <t>TRNAVA</t>
  </si>
  <si>
    <t>NAMESTIE JOZEFA HERDU 2, TRNAVA, 91701, SLOVAKIA</t>
  </si>
  <si>
    <t>2585-8726</t>
  </si>
  <si>
    <t>2585-9188</t>
  </si>
  <si>
    <t>MEDIA LIT ACAD RES</t>
  </si>
  <si>
    <t>Media Lit. Acad. Res.</t>
  </si>
  <si>
    <t>7D4YX</t>
  </si>
  <si>
    <t>WOS:000900498700015</t>
  </si>
  <si>
    <t>Mesquita, DC</t>
  </si>
  <si>
    <t>Mesquita, Daniella Chagas</t>
  </si>
  <si>
    <t>Welcome to the LGBTQIA+ side of TikTok: Genders and sexualities in algorithmic mediations</t>
  </si>
  <si>
    <t>SIMBIOTICA</t>
  </si>
  <si>
    <t>tiktok; LGBTQIA+; gender; sexuality</t>
  </si>
  <si>
    <t>The main screen of the Chinese application TikTok, used to create and share short videos, is called for you, which is where the algorithm directs videos, according to what it assumes to be interesting to the person watching. TikTok's conventional content is composed of challenges, choreographies and celebrity impersonations, in addition to these, there is alternative content that, when directed by the algorithm, produces what people in the application call sides. One of these sides of TikTok is LGBTQIA+. In this anthropological essay I discuss how gender and sexuality are experienced in the LGBTQIA+ side of TikTok. At the end of the text, I consider that the algorithm enables the interaction, discussion and experimentation of gender and sexuality in more fluid ways, which subvert the expectation of heteronormativity.</t>
  </si>
  <si>
    <t>[Mesquita, Daniella Chagas] Univ Fed Parana, Programa Posgrad Antropol &amp; Arqueol, Antropol, Curitiba, Parana, Brazil; [Mesquita, Daniella Chagas] Univ Fed Grande Dourados UFGD, Dept Ciencias Sociais, Dourados, MS, Brazil</t>
  </si>
  <si>
    <t>Universidade Federal do Parana; Universidade Federal da Grande Dourados</t>
  </si>
  <si>
    <t>Mesquita, DC (corresponding author), Univ Fed Parana, Programa Posgrad Antropol &amp; Arqueol, Antropol, Curitiba, Parana, Brazil.;Mesquita, DC (corresponding author), Univ Fed Grande Dourados UFGD, Dept Ciencias Sociais, Dourados, MS, Brazil.</t>
  </si>
  <si>
    <t>daniellacmesquitaf@hotmail.com</t>
  </si>
  <si>
    <t>UNIV FEDERAL ESPIRITO SANTO</t>
  </si>
  <si>
    <t>VITORIA</t>
  </si>
  <si>
    <t>CAMPUS UNIV, AVENIDA FERNANDO FERRARI, VITORIA, ES 29060-900, BRAZIL</t>
  </si>
  <si>
    <t>2316-1620</t>
  </si>
  <si>
    <t>Simbiotica</t>
  </si>
  <si>
    <t>SEP-DEC</t>
  </si>
  <si>
    <t>10.47456/simbitica.v10i3.39203</t>
  </si>
  <si>
    <t>DW5Z1</t>
  </si>
  <si>
    <t>WOS:001135145400004</t>
  </si>
  <si>
    <t>Wei, MQ; Li, Y; Zhang, T; Liu, XR</t>
  </si>
  <si>
    <t>Wei, Mingqiu; Li, Yi; Zhang, Tong; Liu, Xuerui</t>
  </si>
  <si>
    <t>How values are co-created by tourists and TikTok that are conducive to destination promotion: Evidence from Chongqing</t>
  </si>
  <si>
    <t>JOURNAL OF VACATION MARKETING</t>
  </si>
  <si>
    <t>TikTok; destination promotion; ritualized experience; value co-creation; platform ecosystem</t>
  </si>
  <si>
    <t>WORD-OF-MOUTH; SOCIAL MEDIA; EXPERIENTIAL VALUE; CHINESE TOURISTS; HOSPITALITY; INVOLVEMENT; IDENTITY; TRAVEL; SATISFACTION; SERVICES</t>
  </si>
  <si>
    <t>The active involvement of a massive number of tourists on social media such as TikTok may facilitate the popularity of the destination. However, there is an insufficient theoretical discussion on how tourists interact with TikTok, and further affects destination promotion. Based on the perspective of value co-creation theory, this study took Chongqing, China, as a case study location, exploring the phenomenon of value co-creation between tourists and TikTok. The findings reveal that the interaction between tourists and TikTok is a process of ritualized experience in three stages where tourists wander between real and imaginary, online and offline. It specifically includes online faith formation, offline pilgrimage, and online preaching. The interaction also results in a platform ecosystem composed of tourists, online users, TikTok, and the destination, enabling the generation of a tourist-centered and multi-dimensional value co-creation network, consisting of attraction value co-creation, experience value co-creation, and flow value co-creation. The co-created values jointly promote tourist experience, TikTok vitality, and destination image popularity. The proposed framework of value co-creation in destination promotion provides both theoretical and managerial implications.</t>
  </si>
  <si>
    <t>[Wei, Mingqiu; Liu, Xuerui] Southeast Univ, Nanjing, Peoples R China; [Li, Yi] Zhejiang Univ, Zhejiang, Peoples R China; [Zhang, Tong] Nanjing Univ Finance &amp; Econ, Nanjing, Peoples R China; [Liu, Xuerui] Southeast Univ, Sch Humanity, Dept Tourism, Nanjing 211189, Jiangsu, Peoples R China</t>
  </si>
  <si>
    <t>Southeast University - China; Zhejiang University; Nanjing University of Finance &amp; Economics; Southeast University - China</t>
  </si>
  <si>
    <t>Liu, XR (corresponding author), Southeast Univ, Sch Humanity, Dept Tourism, Nanjing 211189, Jiangsu, Peoples R China.</t>
  </si>
  <si>
    <t>xueruiliu@seu.edu.cn</t>
  </si>
  <si>
    <t>Wei, Mingqiu/KGD-9649-2024; Zhang, Tong/JFB-0767-2023</t>
  </si>
  <si>
    <t>National Natural Science Foundation of China [72302044, 42201254]; Fundamental Research Funds for the Central Universities of China [2242023S20022, 2242023S20026]</t>
  </si>
  <si>
    <t>National Natural Science Foundation of China(National Natural Science Foundation of China (NSFC)); Fundamental Research Funds for the Central Universities of China(Fundamental Research Funds for the Central Universities)</t>
  </si>
  <si>
    <t>The author(s) disclosed receipt of the following financial support for the research, authorship,and/or publication of this article: This paper and research project are funded by the National Natural Science Foundation of China (Project Account Code:72302044, 42201254), and the Fundamental Research Funds for the Central Universities of China (Project Account Code:2242023S20022, 2242023S20026)</t>
  </si>
  <si>
    <t>1356-7667</t>
  </si>
  <si>
    <t>1479-1870</t>
  </si>
  <si>
    <t>J VACAT MARK</t>
  </si>
  <si>
    <t>J. Vacat. Mark.</t>
  </si>
  <si>
    <t>2023 NOV 7</t>
  </si>
  <si>
    <t>10.1177/13567667231210591</t>
  </si>
  <si>
    <t>Business; Hospitality, Leisure, Sport &amp; Tourism</t>
  </si>
  <si>
    <t>Business &amp; Economics; Social Sciences - Other Topics</t>
  </si>
  <si>
    <t>X4YA9</t>
  </si>
  <si>
    <t>WOS:001098511000001</t>
  </si>
  <si>
    <t>Allem, JP; Dormanesh, A; Chu, M; Donaldson, SI</t>
  </si>
  <si>
    <t>Allem, Jon-Patrick; Dormanesh, Allison; Chu, Maya; Donaldson, Scott I.</t>
  </si>
  <si>
    <t>A thematic analysis of Puff Bar-related content on TikTok</t>
  </si>
  <si>
    <t>SUBSTANCE USE &amp; MISUSE</t>
  </si>
  <si>
    <t>Puff Bar; TikTok; e-cigarettes; social media; adolescents; young adults</t>
  </si>
  <si>
    <t>Background: Puff Bar has rapidly captured a large proportion of the disposable e-cigarette market. To stay abreast of the rapidly changing e-cigarette-product landscape, researchers have turned to social media platforms to monitor e-cigarette-related discussions and marketing trends. TikTok is the latest social media platform to capture the attention of adolescents and young adults; however, e-cigarette-related research using TikTok is limited. Objectives: This study examined Puff Bar-related posts on TikTok to identify themes and user engagement. Methods: Data were collected by scraping publicly available TikTok posts that contained the hashtag #puffplus, between January 31, 2020 and May 4, 2021 (n = 581). The research team used an inductive approach to identify 19 themes from the data. User engagement with posts including the number of likes, shares, plays, and comments was also collected. Results: The most prevalent themes included Music at 75.39% (438/581), followed by Flavors at 51.64% (300/581), Youth/Young Adults at 42.86% (249/581), Tobacco Use at 41.14% (239/581), Nicotine Concentration at 35.11% (204/581), Humor at 19.45% (113/581) and Product Review at 19.1% (111/581). Cessation 1.38% (8/581) and Health Warnings 2.58% (15/581) were two themes rarely observed but commonly engaged with by TikTok users. Conclusions: Health communication strategists should prepare to address TikTok's popularity to combat its contribution to the online e-cigarette environment. Future research should determine the impact of exposure to Puff Bar-related content on TikTok on adolescents' and young adults' attitudes and behaviors.</t>
  </si>
  <si>
    <t>[Allem, Jon-Patrick; Dormanesh, Allison; Chu, Maya; Donaldson, Scott I.] Univ Southern Calif, Keck Sch Med, Los Angeles, CA USA; [Allem, Jon-Patrick] Univ Southern Calif, Keck Sch Med, 1845 N Soto St,3rd Floor,SSB 312D, Los Angeles, CA 90032 USA</t>
  </si>
  <si>
    <t>University of Southern California; University of Southern California</t>
  </si>
  <si>
    <t>Allem, JP (corresponding author), Univ Southern Calif, Keck Sch Med, 1845 N Soto St,3rd Floor,SSB 312D, Los Angeles, CA 90032 USA.</t>
  </si>
  <si>
    <t>allem@usc.edu</t>
  </si>
  <si>
    <t>Chu, Maya/0000-0001-8674-6740</t>
  </si>
  <si>
    <t>California Tobacco Control Branch, Center for Healthy Communities of the California Department of Public Health [21-10032]</t>
  </si>
  <si>
    <t>California Tobacco Control Branch, Center for Healthy Communities of the California Department of Public Health</t>
  </si>
  <si>
    <t>This publication was funded by the California Tobacco Control Branch, Center for Healthy Communities of the California Department of Public Health through contract number 21-10032 Tobacco Industry Monitoring Evaluation (TIME). The findings and conclusions in this article are those of the authors and do not necessarily represent the views or opinions of the California Department of Public Health or the California Health and Human Services Agency.</t>
  </si>
  <si>
    <t>1082-6084</t>
  </si>
  <si>
    <t>1532-2491</t>
  </si>
  <si>
    <t>SUBST USE MISUSE</t>
  </si>
  <si>
    <t>Subst. Use Misuse</t>
  </si>
  <si>
    <t>10.1080/10826084.2023.2201837</t>
  </si>
  <si>
    <t>Substance Abuse; Psychiatry; Psychology</t>
  </si>
  <si>
    <t>AS0E6</t>
  </si>
  <si>
    <t>WOS:000975110400001</t>
  </si>
  <si>
    <t>Gilmore, R; Beezhold, J; Selwyn, V; Howard, R; Bartolome, I; Henderson, N</t>
  </si>
  <si>
    <t>Gilmore, R.; Beezhold, J.; Selwyn, V.; Howard, R.; Bartolome, I.; Henderson, N.</t>
  </si>
  <si>
    <t>Is TikTok increasing the number of self-diagnoses of ADHD in young people?</t>
  </si>
  <si>
    <t>30th European Congress of Psychiatry</t>
  </si>
  <si>
    <t>JUN 04-07, 2022</t>
  </si>
  <si>
    <t>TikTok; e-mental health; adhd; Child and adolescent psychiatry</t>
  </si>
  <si>
    <t>[Gilmore, R.; Beezhold, J.; Selwyn, V.; Howard, R.; Bartolome, I.; Henderson, N.] Univ East Anglia, Norwich Med Sch, Norwich, Norfolk, England</t>
  </si>
  <si>
    <t>University of East Anglia</t>
  </si>
  <si>
    <t>EPV0663</t>
  </si>
  <si>
    <t>S571</t>
  </si>
  <si>
    <t>10.1192/j.eurpsy.2022.1463</t>
  </si>
  <si>
    <t>Science Citation Index Expanded (SCI-EXPANDED); Social Science Citation Index (SSCI); Conference Proceedings Citation Index - Science (CPCI-S)</t>
  </si>
  <si>
    <t>6Z7QC</t>
  </si>
  <si>
    <t>WOS:000897965701702</t>
  </si>
  <si>
    <t>Hellemans, J; Willems, K; Brengman, M</t>
  </si>
  <si>
    <t>Hellemans, Johan; Willems, Kim; Brengman, Malaika</t>
  </si>
  <si>
    <t>The New Adult on the Block: Daily Active Users of TikTok Compared to Facebook, Twitter, and Instagram During the COVID-19 Crisis in Belgium</t>
  </si>
  <si>
    <t>Social Network Sites; Facebook; Twitter; Instagram; TikTok; COVID-19</t>
  </si>
  <si>
    <t>SOCIAL NETWORK SITES; CONTEXT COLLAPSE; INTERNET</t>
  </si>
  <si>
    <t>It is believed that due to quarantine regulations during the covid-19 crisis, more people are attracted to social media. Especially TikTok seems to be linked to this crisis, given its rise to fame during the same period. However, to date, very little is known about TikTok regarding the number of users or usage characteristics. While considered a Social Network Site (SNS) oriented toward a younger audience of kids and teens, we hypothesized that TikTok would find its way to mainstream adult audiences, given the increasing attention devoted to this particular SNS in popular media. Cross-sectional data from 2500 Belgians (age between 18-64 years old) during the covid-19 crisis in 2020 show an expanding adoption of TikTok in daily active users (DAU). Further logistic regression analyses on the number of DAU show individual differences in sociodemographic background comparing SNS Facebook, Twitter, Instagram, and TikTok. The adult's resulting profile on TikTok is younger, less graduated, with a lower income, living in urban areas, and having kids. Contrary to expectations, we did not find a gender effect nor a student effect. While not yet at the level of Facebook and Instagram, TikTok succeeded to quickly gain momentum in the adult space, to a level that is reaching that of a longer-standing platform like Twitter.</t>
  </si>
  <si>
    <t>[Hellemans, Johan; Willems, Kim; Brengman, Malaika] Vrije Univ Brussel, Dept Business, Mkt Cluster, Brussels, Belgium</t>
  </si>
  <si>
    <t>Vrije Universiteit Brussel</t>
  </si>
  <si>
    <t>Hellemans, J (corresponding author), Vrije Univ Brussel, Dept Business, Mkt Cluster, Brussels, Belgium.</t>
  </si>
  <si>
    <t>Johan.hellemans@vub.be</t>
  </si>
  <si>
    <t>Willems, Kim/0000-0002-0941-8599; Brengman, Malaika/0000-0001-9860-7107; Hellemans, Johan/0000-0002-8320-656X</t>
  </si>
  <si>
    <t>10.1007/978-3-030-76520-0_10</t>
  </si>
  <si>
    <t>WOS:001310136600010</t>
  </si>
  <si>
    <t>Mendelson, EA; Smith, JK</t>
  </si>
  <si>
    <t>Mendelson, Emily A.; Smith, Jacob Kenton</t>
  </si>
  <si>
    <t>Mediated Sexual and Romantic Learning on TikTok: The Dating Wrapped Trend</t>
  </si>
  <si>
    <t>social media; relationships; sensemaking; TikTok; intimacy</t>
  </si>
  <si>
    <t>INTIMACY; PRIVACY; CONTEXT; FRIENDS</t>
  </si>
  <si>
    <t>The Dating Wrapped trend on TikTok takes inspiration from Spotify's annual Wrapped event where Spotify users are presented with their year-end listening statistics. Dating Wrapped repackages fundamental components of Spotify's Wrapped-a focus on aesthetics, PowerPoint-like presentation of information, and quantification of personal experiences-but does so in the context of interpersonal relationships as a dating year-in-review video on TikTok. This article applies a content analysis and critical thematic analysis to 54 TikTok videos with the hashtag DatingWrapped as a way to understand how sensemaking about sexual and romantic relationships occurs when individuals create content centered around self-disclosures of intimate experiences. Ultimately, we argue that trends such as Dating Wrapped provide opportunities for personal expression among emerging adults who use TikTok, the efficacy of which is enhanced by attention to data visualization within its presentation format. Second, TikTok trends centered around interpersonal relationships may influence the formation of sexual and romantic identities through processes of mediated learning about relationships.</t>
  </si>
  <si>
    <t>[Mendelson, Emily A.] Univ Illinois, Commun, Champaign, IL USA; [Smith, Jacob Kenton] Univ North Carolina Chapel Hill, Commun, Chapel Hill, IL USA</t>
  </si>
  <si>
    <t>Smith, JK (corresponding author), Univ North Carolina Chapel Hill, Dept Commun, 222 East Cameron Ave, Chapel Hill, NC 27599 USA.</t>
  </si>
  <si>
    <t>Jacob.K.12456@gmail.com</t>
  </si>
  <si>
    <t>10.1177/20563051241279255</t>
  </si>
  <si>
    <t>G2W2S</t>
  </si>
  <si>
    <t>WOS:001315289800001</t>
  </si>
  <si>
    <t>Zeng, J; Schäfer, MS; Allgaier, J</t>
  </si>
  <si>
    <t>Zeng, Jing; Schafer, Mike S.; Allgaier, Joachim</t>
  </si>
  <si>
    <t>Reposting Till Albert Einstein Is TikTok Famous: The Memetic Construction of Science on TikTok</t>
  </si>
  <si>
    <t>TikTok; science communication; memes; youth digital culture; short videos</t>
  </si>
  <si>
    <t>CLIMATE-CHANGE; SOCIAL MEDIA; COMMUNICATION; ONLINE; JOURNALISM; COVERAGE; VACCINES; EXPERTS; VIDEOS; WORLD</t>
  </si>
  <si>
    <t>Since its launch in 2018, TikTok has become one of the fastest growing social media applications in the world, being particularly popular among young people. Memetic videos, which often feature lip-syncing, dance routines, and comedic skits, are a defining feature of the platform. This study used quantitative content analysis and qualitative thematic analysis to examine science memes, an increasingly popular genre of memes on TikTok, by analyzing 1,368 TikTok videos that feature science-related content. The results of the study uncover the most influential science-content creators, the most prevalent content in science memes, and three vernacular styles of science memes on TikTok. The results expand the existing science-communication scholarship focusing on the context of social media. Understanding the role of memetic science content on short-video platforms, as well as in the youth digital culture in general, also provides valuable insights into how science communicators can better engage with members of the young generation.</t>
  </si>
  <si>
    <t>[Zeng, Jing; Schafer, Mike S.] Univ Zurich, Zurich, Switzerland; [Allgaier, Joachim] Fulda Univ Appl Sci, Fulda, Germany</t>
  </si>
  <si>
    <t>j.zeng@ikmz.uzh.ch; m.schaefer@ikmz.uzh.ch; joachim.allgaier@oe.hs-fulda.de</t>
  </si>
  <si>
    <t>zeng, jing/JDW-4350-2023; Schafer, Mike/F-7238-2010</t>
  </si>
  <si>
    <t>Zeng, Jing/0000-0001-5970-7172</t>
  </si>
  <si>
    <t>WOS:000729944300053</t>
  </si>
  <si>
    <t>De Los Santos, M; Klug, D</t>
  </si>
  <si>
    <t>De Los Santos, Maya; Klug, Daniel</t>
  </si>
  <si>
    <t>The TikTok Tradeoff: Compelling Algorithmic Content at the Expense of Personal Privacy</t>
  </si>
  <si>
    <t>PROCEEDINGS OF THE 20TH INTERNATIONAL CONFERENCE ON MOBILE AND UBIQUITOUS MULTIMEDIA, MUM 2021</t>
  </si>
  <si>
    <t>20th International Conference on Mobile and Ubiquitous Multimedia (MUM)</t>
  </si>
  <si>
    <t>DEC 05-08, 2021</t>
  </si>
  <si>
    <t>KU Leuven, ELECTR NETWORK</t>
  </si>
  <si>
    <t>Dept Comp Sci,FWO,FNRS,SIGCHI</t>
  </si>
  <si>
    <t>KU Leuven</t>
  </si>
  <si>
    <t>social media; TikTok; privacy; user perception; algorithm</t>
  </si>
  <si>
    <t>This paper presents the results of an interview study with twelve TikTok users to explore user awareness, perception, and experiences with the app's algorithm in the context of privacy. The social media entertainment app TikTok collects user data to cater individualized video feeds based on users' engagement with presented content which is regulated in a complex and overly long privacy policy. Our results demonstrate that participants generally have very little knowledge of the actual privacy regulations which is argued for with the benefit of receiving free entertaining content. However, participants experienced privacy-related downsides when algorithmically catered video content increasingly adapted to their biography, interests, or location and they in turn realized the detail of personal data that TikTok had access to. This illustrates the tradeoff users have to make between allowing TikTok to access their personal data and having favorable video consumption experiences on the app.</t>
  </si>
  <si>
    <t>[De Los Santos, Maya] Northeastern Univ, Boston, MA 02115 USA; [Klug, Daniel] Carnegie Mellon Univ, Pittsburgh, PA 15213 USA</t>
  </si>
  <si>
    <t>Northeastern University; Carnegie Mellon University</t>
  </si>
  <si>
    <t>De Los Santos, M (corresponding author), Northeastern Univ, Boston, MA 02115 USA.</t>
  </si>
  <si>
    <t>delossantos.m@northeastern.edu; dklug@andrew.cmu.edu</t>
  </si>
  <si>
    <t>978-1-4503-8643-2</t>
  </si>
  <si>
    <t>10.1145/3490632.3497864</t>
  </si>
  <si>
    <t>Computer Science, Interdisciplinary Applications; Engineering, Electrical &amp; Electronic</t>
  </si>
  <si>
    <t>BW1WM</t>
  </si>
  <si>
    <t>WOS:001112164200035</t>
  </si>
  <si>
    <t>Negreira-Rey, MC; Vázquez-Herrero, J; López-García, X</t>
  </si>
  <si>
    <t>Negreira-Rey, Maria-Cruz; Vazquez-Herrero, Jorge; Lopez-Garcia, Xose</t>
  </si>
  <si>
    <t>Blurring Boundaries Between Journalists and TikTokers: Journalistic Role Performance on TikTok</t>
  </si>
  <si>
    <t>influencer; journalism; journalist; social media; TikTok</t>
  </si>
  <si>
    <t>In recent years, media has adapted to the logic of each new social network to respond to renewed consumption habits and journalists have developed new roles on these platforms. TikTok is an emerging platform with its own influencer culture and in which the main audiences are the millennial and centennial generations. The main objective of this study is to analyze the presence of journalists on TikTok through the type of content and strategies used in adapting to this platform. The research is based on methodological triangulation. First, a database of journalists on TikTok (n(1) = 212) was developed and the profiles were reviewed. Second, a questionnaire survey (n(2) = 63) was developed. Finally, a content analysis (n(3) = 520) of profiles exceeding 100,000 followers was conducted. This research provides a first description of the activity of journalists on TikTok, where a variety of roles, usages, and strategies are identified, beyond those of their profession. They join the of-the-moment platform with different purposes (to inform, entertain, or introduce themselves) and targets (new audiences, young people, fans). Journalists adapt their presence to the TikTok social media logic, seeking a space of influence on a platform that is the natural habitat of younger generations.</t>
  </si>
  <si>
    <t>[Negreira-Rey, Maria-Cruz; Vazquez-Herrero, Jorge; Lopez-Garcia, Xose] Univ Santiago de Compostela, Dept Commun Sci, Santiago De Compostela, Spain</t>
  </si>
  <si>
    <t>Universidade de Santiago de Compostela</t>
  </si>
  <si>
    <t>Vázquez-Herrero, J (corresponding author), Univ Santiago de Compostela, Dept Commun Sci, Santiago De Compostela, Spain.</t>
  </si>
  <si>
    <t>jorge.vazquez@usc.es</t>
  </si>
  <si>
    <t>Vázquez-Herrero, Jorge/ITT-4798-2023; Negreira-Rey, María-Cruz/AAZ-7722-2020; Lopez, Xose/I-4418-2019</t>
  </si>
  <si>
    <t>Vazquez Herrero, Jorge/0000-0002-9081-3018; Lopez, Xose/0000-0002-1873-8260; Negreira Rey, Maria Cruz/0000-0001-8945-2641</t>
  </si>
  <si>
    <t>Ministry of Science, Innovation and Universities (Government of Spain); ERDF structural fund within the research project Digital Native Media in Spain: Storytelling Formats and Mobile Strategy [RTI2018-093346-B-C33]</t>
  </si>
  <si>
    <t>Ministry of Science, Innovation and Universities (Government of Spain)(Spanish Government); ERDF structural fund within the research project Digital Native Media in Spain: Storytelling Formats and Mobile Strategy</t>
  </si>
  <si>
    <t>This work was supported by the Ministry of Science, Innovation and Universities (Government of Spain) and the ERDF structural fund within the research project Digital Native Media in Spain: Storytelling Formats and Mobile Strategy (RTI2018-093346-B-C33) .</t>
  </si>
  <si>
    <t>10.17645/mac.v10i1.4699</t>
  </si>
  <si>
    <t>ZJ6SS</t>
  </si>
  <si>
    <t>WOS:000762434300003</t>
  </si>
  <si>
    <t>Su, CMZ; Tang, WJ</t>
  </si>
  <si>
    <t>Su, Chunmeizi; Tang, Wenjia</t>
  </si>
  <si>
    <t>Data sovereignty and platform neutrality - A comparative study on TikTok's data policy</t>
  </si>
  <si>
    <t>GLOBAL MEDIA AND CHINA</t>
  </si>
  <si>
    <t>data sovereignty; platform neutrality; nation-states; platform regulation; TikTok</t>
  </si>
  <si>
    <t>ECONOMY</t>
  </si>
  <si>
    <t>Digital sovereignty has attracted growing attention as governments around the world attempted to exert national influence over international platforms. Agenda of nation-states becomes apparent when the Chinese-based platform TikTok achieved global success. Under geopolitical, social and cultural dynamics, this paper examines the data sovereignty of TikTok, its sister app Douyin and its international competitor Facebook, aiming at differentiating data related policies between TikTok, Douyin and other global platforms. This study employs comparative views to comprehend data privacy, data portability and data storage. The preliminary finding suggests a stakeholder approach to balancing governance and sovereignty.</t>
  </si>
  <si>
    <t>[Su, Chunmeizi; Tang, Wenjia] Univ Sydney, Sydney, Australia; [Su, Chunmeizi] Univ Sydney, Camperdown, Sydney, NSW 2006, Australia</t>
  </si>
  <si>
    <t>University of Sydney; University of Sydney</t>
  </si>
  <si>
    <t>Su, CMZ (corresponding author), Univ Sydney, Camperdown, Sydney, NSW 2006, Australia.</t>
  </si>
  <si>
    <t>; Su, Chunmeizi/HJA-8476-2022</t>
  </si>
  <si>
    <t>Tang, Wenjia/0000-0003-1641-7348; Su, Chunmeizi/0000-0002-6166-5044</t>
  </si>
  <si>
    <t>2059-4364</t>
  </si>
  <si>
    <t>2059-4372</t>
  </si>
  <si>
    <t>GLOB MEDIA CHINA</t>
  </si>
  <si>
    <t>Glob. Media China</t>
  </si>
  <si>
    <t>10.1177/20594364231154340</t>
  </si>
  <si>
    <t>9U0VN</t>
  </si>
  <si>
    <t>WOS:000947440000005</t>
  </si>
  <si>
    <t>Hagar, N; Diakopoulos, N</t>
  </si>
  <si>
    <t>Hagar, Nick; Diakopoulos, Nicholas</t>
  </si>
  <si>
    <t>Algorithmic indifference: The dearth of news recommendations on TikTok</t>
  </si>
  <si>
    <t>Algorithm audit; computational social science; digital journalism; news exposure; social media; TikTok</t>
  </si>
  <si>
    <t>SOCIAL MEDIA; NEWSPAPERS</t>
  </si>
  <si>
    <t>The role of recommendation systems in news consumption has been hotly contested. From one perspective, the combination of personalized recommendations and practically limitless content diminishes news consumption, as people turn to more entertaining fare. From another, algorithmic systems and social networks heighten incidental exposure, raising opportunities for news consumption regardless of explicit individual interest. In this work, we examine the potential for algorithmic exposure to news on TikTok, a massively popular social network built around short-form video. In the context of US-based news audiences, we examine the accounts TikTok recommends, the videos it shows new users, and its trending hashtags. We find almost no evidence of proactive news exposure on TikTok's behalf. We also find that, while TikTok's algorithms respond slightly to active signals of news interest from simulated users, that response does not lead to increased exposure to credible news content. These findings highlight a lack of algorithmic news distribution on TikTok.</t>
  </si>
  <si>
    <t>[Hagar, Nick] Northwestern Univ, Evanston, IL USA; [Diakopoulos, Nicholas] Northwestern Univ, Commun Studies &amp; Comp Sci, Evanston, IL USA; [Hagar, Nick] Northwestern Univ, Commun Studies, Evanston, IL 60208 USA</t>
  </si>
  <si>
    <t>Northwestern University; Northwestern University; Northwestern University</t>
  </si>
  <si>
    <t>Hagar, N (corresponding author), Northwestern Univ, Commun Studies, Evanston, IL 60208 USA.</t>
  </si>
  <si>
    <t>nhagar@u.northwestern.edu</t>
  </si>
  <si>
    <t>Diakopoulos, Nicholas/0000-0001-5005-6123</t>
  </si>
  <si>
    <t>2023 AUG 30</t>
  </si>
  <si>
    <t>10.1177/14614448231192964</t>
  </si>
  <si>
    <t>AUG 2023</t>
  </si>
  <si>
    <t>R1NH9</t>
  </si>
  <si>
    <t>WOS:001062074200001</t>
  </si>
  <si>
    <t>Dave, L; Lipner, SR</t>
  </si>
  <si>
    <t>Dave, Loma; Lipner, Shari R.</t>
  </si>
  <si>
    <t>Cross-Sectional Analysis of Characteristics of Dermatologists and Sponsored Content on TikTok™</t>
  </si>
  <si>
    <t>JOURNAL OF CUTANEOUS MEDICINE AND SURGERY</t>
  </si>
  <si>
    <t>social media; TikTok; dermatologists; resident training; ethics; sponsors; ethics; dermatoethics; advertising</t>
  </si>
  <si>
    <t>[Dave, Loma] SUNY Upstate Sch Med, Syracuse, NY USA; [Lipner, Shari R.] Weill Cornell Med, New York, NY USA</t>
  </si>
  <si>
    <t>Cornell University; Weill Cornell Medicine</t>
  </si>
  <si>
    <t>Lipner, SR (corresponding author), Weill Cornell Med, Dept Dermatol, 1305 York Ave,9th Floor, New York, NY 10021 USA.</t>
  </si>
  <si>
    <t>shl9032@med.cornell.edu</t>
  </si>
  <si>
    <t>Lipner, Shari/AAK-8943-2020</t>
  </si>
  <si>
    <t>Dave, Loma/0000-0001-8066-5229</t>
  </si>
  <si>
    <t>1203-4754</t>
  </si>
  <si>
    <t>1615-7109</t>
  </si>
  <si>
    <t>J CUTAN MED SURG</t>
  </si>
  <si>
    <t>J. Cutan. Med. Surg.</t>
  </si>
  <si>
    <t>10.1177/12034754221083975</t>
  </si>
  <si>
    <t>3P7QY</t>
  </si>
  <si>
    <t>WOS:000763497800001</t>
  </si>
  <si>
    <t>Owens, E</t>
  </si>
  <si>
    <t>Owens, Emilie</t>
  </si>
  <si>
    <t>Teens on TikTok: Understanding Young People's Digital Agency as Practice</t>
  </si>
  <si>
    <t>INTERNATIONAL RESEARCH IN CHILDRENS LITERATURE</t>
  </si>
  <si>
    <t>Children's media; TikTok; practice theory; teenagers; media practice</t>
  </si>
  <si>
    <t>This article explores how young people - specifically teenagers between thirteen and nineteen years of age - choose to use the digital video-sharing app TikTok. A framework is proposed that moves away from discourses of media panic and toward understandings of media practice, analysing two videos created by teenagers to develop a vocabulary for identifying the diverse and nuanced ways in which young people negotiate their social lives through the use of TikTok.</t>
  </si>
  <si>
    <t>[Owens, Emilie] Univ Oslo, Dept ofMedia &amp; Communicat, Oslo, Norway</t>
  </si>
  <si>
    <t>University of Oslo</t>
  </si>
  <si>
    <t>Owens, E (corresponding author), Univ Oslo, Dept ofMedia &amp; Communicat, Oslo, Norway.</t>
  </si>
  <si>
    <t>EDINBURGH UNIV PRESS</t>
  </si>
  <si>
    <t>EDINBURGH</t>
  </si>
  <si>
    <t>THE TUN-HOLYROOD RD, 12 2F JACKSONS ENTRY, EDINBURGH EH8 8PJ, SCOTLAND</t>
  </si>
  <si>
    <t>1755-6198</t>
  </si>
  <si>
    <t>1755-6201</t>
  </si>
  <si>
    <t>INT RES CHILD LIT</t>
  </si>
  <si>
    <t>Int. Res. Child. Lit.</t>
  </si>
  <si>
    <t>10.3366/ircl.2024.0562</t>
  </si>
  <si>
    <t>Literature</t>
  </si>
  <si>
    <t>TQ2K1</t>
  </si>
  <si>
    <t>WOS:001242657400006</t>
  </si>
  <si>
    <t>Hayes, C; Stott, K; Lamb, KJ; Hurst, GA</t>
  </si>
  <si>
    <t>Hayes, Clare; Stott, Katherine; Lamb, Katie J.; Hurst, Glenn A.</t>
  </si>
  <si>
    <t>Making Every Second Count: Utilizing TikTok and Systems Thinking to Facilitate Scientific Public Engagement and Contextualization of Chemistry at Home</t>
  </si>
  <si>
    <t>JOURNAL OF CHEMICAL EDUCATION</t>
  </si>
  <si>
    <t>Internet/Web-Based Learning; Public Understanding/Outreach; General Public; Elementary/Middle School Science; High School/Introductory Chemistry</t>
  </si>
  <si>
    <t>VALORIZATION</t>
  </si>
  <si>
    <t>TikTok is a social media video-based phone application which enables creative and engaging videos to be shared on social media platforms worldwide. TikTok has been applied to create fun, exciting, and engaging 15-60 s long chemistry outreach educational videos, to encourage public dissemination of science with a systems thinking approach. With the creation of an online TikTok account called The Chemistry Collective by undergraduate students, 16 educational videos were created, with approximately 8,500 views. Upon surveying participants, viewers of these TikTok videos strongly agreed that they had learned something new about chemistry since watching these videos (4.66/5.00) and had an increased interest in chemistry (82.7% agreed). As such, TikTok can be used to enhance public and undergraduate student engagement with chemistry and science education, together with facilitating the ability of the public to understand how chemistry can be fun, can be performed at home, and is part of our daily lives.</t>
  </si>
  <si>
    <t>[Hayes, Clare; Stott, Katherine; Lamb, Katie J.; Hurst, Glenn A.] Univ York, Green Chem Ctr Excellence, Dept Chem, York YO10 5DD, N Yorkshire, England</t>
  </si>
  <si>
    <t>University of York - UK</t>
  </si>
  <si>
    <t>Lamb, KJ; Hurst, GA (corresponding author), Univ York, Green Chem Ctr Excellence, Dept Chem, York YO10 5DD, N Yorkshire, England.</t>
  </si>
  <si>
    <t>katie.lamb@york.ac.uk; glenn.hurst@york.ac.uk</t>
  </si>
  <si>
    <t>Hurst, Glenn/W-3125-2019; Lamb, Katie Joanna/H-1940-2019</t>
  </si>
  <si>
    <t>Hurst, Glenn/0000-0002-0786-312X; Lamb, Katie Joanna/0000-0002-5244-5015</t>
  </si>
  <si>
    <t>AMER CHEMICAL SOC</t>
  </si>
  <si>
    <t>1155 16TH ST, NW, WASHINGTON, DC 20036 USA</t>
  </si>
  <si>
    <t>0021-9584</t>
  </si>
  <si>
    <t>1938-1328</t>
  </si>
  <si>
    <t>J CHEM EDUC</t>
  </si>
  <si>
    <t>J. Chem. Educ.</t>
  </si>
  <si>
    <t>OCT 13</t>
  </si>
  <si>
    <t>10.1021/acs.jchemed.0c00511</t>
  </si>
  <si>
    <t>Chemistry, Multidisciplinary; Education, Scientific Disciplines</t>
  </si>
  <si>
    <t>Chemistry; Education &amp; Educational Research</t>
  </si>
  <si>
    <t>OF1CA</t>
  </si>
  <si>
    <t>WOS:000580953900053</t>
  </si>
  <si>
    <t>Tee, WY; Teo, SC; Liew, TW</t>
  </si>
  <si>
    <t>Tee, Wan Ying; Teo, Siew Chein; Liew, Tze Wei</t>
  </si>
  <si>
    <t>EXPLORING THE TIKTOK INFLUENCES ON CONSUMER IMPULSIVE PURCHASE BEHAVIOUR</t>
  </si>
  <si>
    <t>INTERNATIONAL JOURNAL OF BUSINESS AND SOCIETY</t>
  </si>
  <si>
    <t>TikTok; S-O-R model; impulsive purchase; perceived usefulness; perceived enjoyment</t>
  </si>
  <si>
    <t>BUYING BEHAVIOR; MOBILE COMMERCE; ACCEPTANCE</t>
  </si>
  <si>
    <t>TikTok is one of the most widely used platforms popular among young adults and teenagers and had over 800 million monthly active users in 2020. TikTok enjoys significant user acquisition growth with a rise in brands appearing on the platform. This study explores how TikTok influences consumer impulse purchase behaviour in Malaysia through the lens of the Stimulus-Organism-Response (S-O-R) model comprising product-related visual appeal and product feasibility (stimuli), perceived enjoyment, and perceived usefulness (Organism), and impulsive purchase intention (Response). SPSS and Smart PLS analysed data per one hundred sixty-nine responses from close-ended questionnaires distributed across online channels. The findings indicate that visual appeal and product feasibility positively influence perceived enjoyment and perceived usefulness. The data affirms the positive effect of perceived enjoyment and perceived usefulness among TikTok users on their impulsive buying behaviour. In addition to theoretical implications and suggestions for broadening the research domain, this paper offers practical recommendations for marketers to leverage TikTok's ability to drive impulsive purchase behaviour.</t>
  </si>
  <si>
    <t>[Tee, Wan Ying; Teo, Siew Chein; Liew, Tze Wei] Multimedia Univ, Fac Business, Melaka, Malaysia; [Teo, Siew Chein] Multimedia Univ, Fac Business, Jalan Ayer Keroh Lama, Melaka, Malaysia</t>
  </si>
  <si>
    <t>Multimedia University; Multimedia University</t>
  </si>
  <si>
    <t>Teo, SC (corresponding author), Multimedia Univ, Fac Business, Jalan Ayer Keroh Lama, Melaka, Malaysia.</t>
  </si>
  <si>
    <t>scteo@mmu.edu.my</t>
  </si>
  <si>
    <t>Teo, Siew/B-3548-2010</t>
  </si>
  <si>
    <t>UNIV MALAYSIA SARAWAK, FAC ECONOMICS &amp; BUSINESS</t>
  </si>
  <si>
    <t>SARAWAK</t>
  </si>
  <si>
    <t>KOTA SAMARAHAN, SARAWAK, 94300, MALAYSIA</t>
  </si>
  <si>
    <t>1511-6670</t>
  </si>
  <si>
    <t>INT J BUS SOC</t>
  </si>
  <si>
    <t>Int. J. Bus. Soc.</t>
  </si>
  <si>
    <t>10.33736/ijbs.5600.2023</t>
  </si>
  <si>
    <t>O3NV4</t>
  </si>
  <si>
    <t>WOS:001042927200003</t>
  </si>
  <si>
    <t>Balci, S; Akgul, TE; Astam, FK</t>
  </si>
  <si>
    <t>Balci, Sukru; Akgul, Tugce Esin; Astam, Fatma Kubra</t>
  </si>
  <si>
    <t>The Use of TikTok by University Youth: The Relationship Between Emotional and Social Loneliness and TikTok Addiction</t>
  </si>
  <si>
    <t>TURKIYE ILETISIM ARASTIRMALARI DERGISI-TURKISH REVIEW OF COMMUNICATION STUDIES</t>
  </si>
  <si>
    <t>Turkish</t>
  </si>
  <si>
    <t>TikTok; TikTok Addiction; Loneliness; Emotional Loneliness; Social Loneliness</t>
  </si>
  <si>
    <t>Interdisciplinary studies are being conducted to explain problematic social media usage behaviors exhibited by individuals across various platforms in social networks. When social media usage becomes unconscious and excessive, this behavior is evaluated as addiction. Behavioral addiction is explained by associating it with numerous psychological variables. In this study, TikTok has been examined in terms of addiction as a problematic online behavior and from the perspectives of emotional as well as social loneliness, highlighting its distinguishing features from other social media platforms. Accordingly, the research aims to uncover the effects of emotional and social loneliness on TikTok addiction and contribute to digital addiction awareness. Data from a field study involving 550 university students (from Anadolu University, Osmangazi University, and Eski &amp; scedil;ehir Technical University) in Eski &amp; scedil;ehir were collected using face-to-face survey technique. The results of the study revealed gender differences, indicating that men tend to exhibit higher levels of social loneliness and emotional family loneliness compared to women, with an observed significance in determining loneliness as a factor in TikTok addiction.</t>
  </si>
  <si>
    <t>[Balci, Sukru] Selcuk Univ, Iletisim Fak, Gazetecilik Bolumu, Konya, Turkiye; [Akgul, Tugce Esin] Osmaniye Korkut Ata Univ, Pazarlama Reklamcilik Bolumu, Osmaniye, Turkiye; [Astam, Fatma Kubra] Kutahya Dumlupinar Univ, Inst Grad Educ, Basin Yayin Anabilim Dali, Kutahya, Turkiye</t>
  </si>
  <si>
    <t>Selcuk University; Osmaniye Korkut Ata University; Dumlupinar University</t>
  </si>
  <si>
    <t>Balci, S (corresponding author), Selcuk Univ, Iletisim Fak, Gazetecilik Bolumu, Konya, Turkiye.</t>
  </si>
  <si>
    <t>sukrubalci@selcuk.edu.tr; tesinakgul@osmaniye.edu.tr; fatmakubraastam@anadolu.edu.tr</t>
  </si>
  <si>
    <t>MARMARA UNIV, FAC COMMUNICATION</t>
  </si>
  <si>
    <t>ISTANBUL</t>
  </si>
  <si>
    <t>NISANTASI CAMPUS COMMUNICATION FAC, BUYUKCIFTLIK ST NO 6 NISANTASI, SISLI, ISTANBUL, 34365, Turkiye</t>
  </si>
  <si>
    <t>2630-6220</t>
  </si>
  <si>
    <t>TURK ILET ARASTIRMAL</t>
  </si>
  <si>
    <t>Turk. Ilet. Arastirmalari</t>
  </si>
  <si>
    <t>10.17829/turcom.1373818</t>
  </si>
  <si>
    <t>C5N1S</t>
  </si>
  <si>
    <t>WOS:001289822700001</t>
  </si>
  <si>
    <t>Gu, SH; Ping, JF; Xu, MX; Zhou, YF</t>
  </si>
  <si>
    <t>Gu, Shuhan; Ping, Jianfan; Xu, Mingxia; Zhou, Yanfeng</t>
  </si>
  <si>
    <t>TikTok browsing for anxiety relief in the preoperative period: A randomized clinical trial</t>
  </si>
  <si>
    <t>COMPLEMENTARY THERAPIES IN MEDICINE</t>
  </si>
  <si>
    <t>Preoperative anxiety; Anesthesia; Enhanced recovery after surgery; TikTok</t>
  </si>
  <si>
    <t>SURGICAL-PATIENTS; MUSIC</t>
  </si>
  <si>
    <t>Objective: The purpose of this study was to determine the effect of browsing TikTok for 20 min on patients' preoperative anxiety. Method: A randomized controlled trial was conducted at the Department of Anesthesiology of The First Affiliated Hospital, Zhejiang University School of Medicine from January 2021 to March 2021. The 80 patients were randomly divided into two groups. The experimental group browsed TikTok for 20 min, but the control group did not. Preoperative anxiety was measured with the help of the Amsterdam Preoperative Anxiety and Information Scale (APAIS) and anxiety visual analog test (AVAT). Preoperative anxiety, systolic blood pressure (SBP), diastolic blood pressure (DBP) and heart rate (HR) were checked before and after 20 min of TikTok browsing. Patient satisfaction with anesthesia was evaluated as the patient entered and exited the operating room. Results: The pretest APAIS scores, AVAT scores, vital signs and patient satisfaction were similar in both groups (p &gt; 0.05). Compared with the control group, patient anxiety levels and systolic blood pressure decreased significantly after 20 min of TikTok browsing (p &lt; 0.05), and patient satisfaction with anesthesia was significantly higher (p &lt; 0.05). In the experimental group, after patients browsed TikTok for 20 min, all of the physiological and behavioral variables of anxiety were significantly reduced (p &lt; 0.05). Conclusions: TikTok is a popular, simple, effective, noninvasive and inexpensive method for decreasing preoperative anxiety, and browsing TikTok can lower a patient's blood pressure and heart rate to some extent.</t>
  </si>
  <si>
    <t>[Gu, Shuhan; Ping, Jianfan; Xu, Mingxia; Zhou, Yanfeng] Zhejiang Univ, Affiliated Hosp 1, Dept Anesthesiol, Sch Med, Hangzhou, Zhejiang, Peoples R China</t>
  </si>
  <si>
    <t>Zhejiang University</t>
  </si>
  <si>
    <t>Zhou, YF (corresponding author), Zhejiang Univ, Affiliated Hosp 1, Dept Anesthesiol, Sch Med, Hangzhou, Zhejiang, Peoples R China.</t>
  </si>
  <si>
    <t>shuhangu@zju.edu.cn; pingjianfan@163.com; mingxia1109696236@foxmail.com; zhouyf11@zju.edu.cn</t>
  </si>
  <si>
    <t>CHURCHILL LIVINGSTONE</t>
  </si>
  <si>
    <t>JOURNAL PRODUCTION DEPT, ROBERT STEVENSON HOUSE, 1-3 BAXTERS PLACE, LEITH WALK, EDINBURGH EH1 3AF, MIDLOTHIAN, SCOTLAND</t>
  </si>
  <si>
    <t>0965-2299</t>
  </si>
  <si>
    <t>1873-6963</t>
  </si>
  <si>
    <t>COMPLEMENT THER MED</t>
  </si>
  <si>
    <t>Complement. Ther. Med.</t>
  </si>
  <si>
    <t>10.1016/j.ctim.2021.102749</t>
  </si>
  <si>
    <t>Integrative &amp; Complementary Medicine</t>
  </si>
  <si>
    <t>TQ7EX</t>
  </si>
  <si>
    <t>WOS:000678443800014</t>
  </si>
  <si>
    <t>Abdullah, NE; Mohamad, F; Kamal, MAA; Isa, IAM</t>
  </si>
  <si>
    <t>Abdullah, Nor Eleyana; Mohamad, Faizah; Kamal, Mafarhanatul Akmal Ahmad; Isa, Ilham Alia Mat</t>
  </si>
  <si>
    <t>The Acceptance of TikTok as a Tool in English Language Learning among University Students</t>
  </si>
  <si>
    <t>ARAB WORLD ENGLISH JOURNAL</t>
  </si>
  <si>
    <t>acceptance; English language learning; Technology Acceptance Model; TikTok</t>
  </si>
  <si>
    <t>TikTok is considered a potential tool for enhancing the development of students' language skills and proficiency. However, research on the extent of students' acceptance of using it as a language learning tool is limited. Therefore, this study aimed to examine the level of acceptance of TikTok in English language learning and the factors contributing to the actual use of TikTok among undergraduate students in Malaysia. This study employed quantitative research methodology by disseminating a 32-item questionnaire to 200 undergraduate students at a public Malaysian university via a Google Form link. Sections A, B, C, D, E, and F of the questionnaire sought responses on the demographic profile, perceived usefulness, ease of use, attitudes, behavioural intention, and actual use of TikTok in English language acquisition, respectively. The findings revealed that the average scores for the individual items and the overall scores for each component being studied were within the range of 3 to 4.1 on a 5-point Likert scale. This result indicated that the student's level of acceptance was above average. Students' behavioural intentions were also found to be the most significant factor in determining whether or not TikTok was used for English language instruction. Students acknowledged the use of TikTok in English language learning, suggesting that it could be used as a pedagogical instrument in English language classrooms. Consequently, the findings highlight TikTok's potential as a language learning tool in English language courses, as it strengthens educational platforms and enhances instruction by giving students more ways to learn languages.</t>
  </si>
  <si>
    <t>[Abdullah, Nor Eleyana; Mohamad, Faizah; Kamal, Mafarhanatul Akmal Ahmad; Isa, Ilham Alia Mat] Univ Teknol MARA, Acad Language Studies, Shah Alam, Selangor, Malaysia</t>
  </si>
  <si>
    <t>Universiti Teknologi MARA</t>
  </si>
  <si>
    <t>Kamal, MAA (corresponding author), Univ Teknol MARA, Acad Language Studies, Shah Alam, Selangor, Malaysia.</t>
  </si>
  <si>
    <t>mafarhanatulakmal@uitm.edu.my</t>
  </si>
  <si>
    <t>AHMAD KAMAL, MAFARHANATUL AKMAL/JAD-0911-2023</t>
  </si>
  <si>
    <t>AHMAD KAMAL, MAFARHANATUL AKMAL/0000-0001-9216-478X</t>
  </si>
  <si>
    <t>KUALA LUMPUR</t>
  </si>
  <si>
    <t>JALAN 34-24 WANGSA MAJU, KUALA LUMPUR, 53300, MALAYSIA</t>
  </si>
  <si>
    <t>2229-9327</t>
  </si>
  <si>
    <t>ARAB WORLD ENGL J</t>
  </si>
  <si>
    <t>Arab World Engl. J.</t>
  </si>
  <si>
    <t>10.24093/awej/vol14no3.29</t>
  </si>
  <si>
    <t>Language &amp; Linguistics</t>
  </si>
  <si>
    <t>Linguistics</t>
  </si>
  <si>
    <t>HY5T4</t>
  </si>
  <si>
    <t>gold, Green Submitted</t>
  </si>
  <si>
    <t>WOS:001163091800027</t>
  </si>
  <si>
    <t>Galamgam, J; Jia, JL</t>
  </si>
  <si>
    <t>Galamgam, Jayden; Jia, Justin L.</t>
  </si>
  <si>
    <t>Accutane Check: Insights into youth sentiment toward isotretinoin from a TikTok trend</t>
  </si>
  <si>
    <t>Accutane; acne; emerging technology; inflammatory disorders; isotretinoin; pediatric dermatology; social media; TikTok; youth</t>
  </si>
  <si>
    <t>Social media platforms such as TikTok allow patients to exchange and share health information. In this study, we sought to understand how teenagers and young adults utilize TikTok to engage with acne and isotretinoin information. Analysis of the top 50 TikTok videos on an isotretinoin trend demonstrated over 18-million likes and 137-thousand comments. Most videos focused on before and after improvement in acne severity while video comments primarily discussed side effects and personal anecdotes. Dermatologists should be aware of trending content on social media to better understand how youth patients and patient's families may receive medical information regarding isotretinoin outside of dermatology clinics.</t>
  </si>
  <si>
    <t>[Galamgam, Jayden] Harbor UCLA Med Ctr, Div Dermatol, 1000 W Carson St Box 458, Torrance, CA 90502 USA; [Galamgam, Jayden; Jia, Justin L.] Stanford Univ, Sch Med, Dept Dermatol, Program Clin Res &amp; Technol, Stanford, CA 94305 USA; [Jia, Justin L.] Stanford Univ, Dept Dermatol, Sch Med, Stanford, CA 94305 USA</t>
  </si>
  <si>
    <t>University of California System; University of California Los Angeles; University of California Los Angeles Medical Center; Stanford University; Stanford University</t>
  </si>
  <si>
    <t>Galamgam, J (corresponding author), Harbor UCLA Med Ctr, Div Dermatol, 1000 W Carson St Box 458, Torrance, CA 90502 USA.</t>
  </si>
  <si>
    <t>jgalamgam@dhs.lacounty.gov</t>
  </si>
  <si>
    <t>Galamgam, Jayden/HTO-5823-2023</t>
  </si>
  <si>
    <t>Jia, Justin/0000-0003-4843-4548</t>
  </si>
  <si>
    <t>10.1111/pde.14660</t>
  </si>
  <si>
    <t>UI7IH</t>
  </si>
  <si>
    <t>WOS:000661294000001</t>
  </si>
  <si>
    <t>Song, L; Ray, A</t>
  </si>
  <si>
    <t>Song, Lin; Ray, Avishek</t>
  </si>
  <si>
    <t>How can a small app piss off an entire country?: India's TikTok ban in the light of everyday techno-nationalism</t>
  </si>
  <si>
    <t>INTER-ASIA CULTURAL STUDIES</t>
  </si>
  <si>
    <t>TikTok; digital territories; techno-nationalism; class; cringeworthiness; imagined community; India-China conflict</t>
  </si>
  <si>
    <t>NARENDRA MODI; SOCIAL MEDIA; HINDUTVA</t>
  </si>
  <si>
    <t>In this paper, we employ everyday techno-nationalism as a critical lens to unpack the Indian government's ban of TikTok in 2020. We focus on social media discussions of the ban on Quora and Reddit, and examine how TikTok is perceived as a Chinese platform as contrasted, but simultaneously integral, to a techno-nationalist imagination of Indian-ness. We put forward two arguments based on our findings. First, we suggest that TikTok's Chineseness is a populist affective outcome of the discursive articulation of Indian nationhood, achieved by the effective use of an us-versus-them rhetoric, which signifies a process of digital territorialization amid globalized media flows. Second, we observe that the classist-casteist narrative underscoring TikTok's association with cringeworthiness marginalizes the working-class content creators - so prominently visibilized by TikTok - both from the media landscape and the nationalist imagination. Fundamentally, India's TikTok ban raises questions about statist interventions into people's media practices; and as importantly, their own understanding and use of digital technology, which, ironically, within a globalized era, seems to be only notionally more connected, but practically more partisan than ever.</t>
  </si>
  <si>
    <t>[Song, Lin] Jinan Univ, Sch Journalism &amp; Commun, Guangzhou, Peoples R China; [Ray, Avishek] Natl Inst Technol Silchar, Dept Humanities &amp; Social Sci, Silchar, India</t>
  </si>
  <si>
    <t>Jinan University; National Institute of Technology (NIT System); National Institute of Technology Silchar</t>
  </si>
  <si>
    <t>Ray, A (corresponding author), Natl Inst Technol Silchar, Dept Humanities &amp; Social Sci, Silchar, India.</t>
  </si>
  <si>
    <t>avishekray@hum.nits.ac.in</t>
  </si>
  <si>
    <t>Song, Lin/ABA-8683-2020</t>
  </si>
  <si>
    <t>Social Science Foundation of Ministry of Education of China [22C10559023]; Social Science Co-construction Project of Guangdong Province [GD22XXW03]</t>
  </si>
  <si>
    <t>Social Science Foundation of Ministry of Education of China(Ministry of Education, China); Social Science Co-construction Project of Guangdong Province</t>
  </si>
  <si>
    <t>This project was supported by Social Science Foundation of Ministry of Education of China (22C10559023) and Social Science Co-construction Project of Guangdong Province (GD22XXW03).</t>
  </si>
  <si>
    <t>1464-9373</t>
  </si>
  <si>
    <t>1469-8447</t>
  </si>
  <si>
    <t>INTER-ASIA CULT STUD</t>
  </si>
  <si>
    <t>Inter-Asia Cult. Stud.</t>
  </si>
  <si>
    <t>10.1080/14649373.2023.2209424</t>
  </si>
  <si>
    <t>Anthropology; Cultural Studies; Asian Studies</t>
  </si>
  <si>
    <t>K7XF1</t>
  </si>
  <si>
    <t>WOS:001018524800002</t>
  </si>
  <si>
    <t>Balanzategui, J</t>
  </si>
  <si>
    <t>Balanzategui, Jessica</t>
  </si>
  <si>
    <t>Skinamarink and the algorithmic uncanny interface between children's and horror film TikTok cultures</t>
  </si>
  <si>
    <t>INTERNATIONAL JOURNAL OF CULTURAL STUDIES</t>
  </si>
  <si>
    <t>TikTok; children's cultures; horror films; Skinamarink; algorithmic uncanny; cult films; genre</t>
  </si>
  <si>
    <t>Skinamarink, the surprise micro-budget horror film sensation of 2023, gained unexpected international exposure by going viral on TikTok after the film was accidentally leaked online. The film's virality was propelled by an algorithmically driven cross-pollination between forces at seemingly oppositional ends of the taste-cultural spectrum - horror film and children's cultures. Extending theorisations of the digital and algorithmic uncanny, the article outlines how the TikTok algorithm and young platform users collaborated to position a film regarded as one of the most terrifying of the year as a participatory 'challenge' that adopts TikTok dynamics popular with children such as 'intensified play'.</t>
  </si>
  <si>
    <t>[Balanzategui, Jessica] RMIT Univ, Media &amp; Cinema, Melbourne, Australia</t>
  </si>
  <si>
    <t>Royal Melbourne Institute of Technology (RMIT)</t>
  </si>
  <si>
    <t>Balanzategui, J (corresponding author), RMIT Univ, 124 La Trobe St, Melbourne 3000, Australia.</t>
  </si>
  <si>
    <t>jessica.balanzategui@rmit.edu.au</t>
  </si>
  <si>
    <t>1367-8779</t>
  </si>
  <si>
    <t>1460-356X</t>
  </si>
  <si>
    <t>INT J CULTURAL STUD</t>
  </si>
  <si>
    <t>Int. J. Cult. Stud.</t>
  </si>
  <si>
    <t>2024 OCT 8</t>
  </si>
  <si>
    <t>10.1177/13678779241273462</t>
  </si>
  <si>
    <t>I5Y5A</t>
  </si>
  <si>
    <t>WOS:001331013000001</t>
  </si>
  <si>
    <t>Mishra, M; Yan, P; Schroeder, R</t>
  </si>
  <si>
    <t>Mishra, Megha; Yan, Pu; Schroeder, Ralph</t>
  </si>
  <si>
    <t>TikTok Politics: Tit for Tat on the India-China Cyberspace Frontier</t>
  </si>
  <si>
    <t>TikTok; India; China; geopolitics; cybernationalism</t>
  </si>
  <si>
    <t>TikTok has enjoyed wide popularity in the Global South. But in the summer of 2020, a titfor-tat altercation erupted over the use of the app in India against the backdrop of a border dispute between India and China. India banned TikTok, along with other Chinese mobile applications. This ban raised larger ongoing issues around user privacy, cybersecurity threats, and content regulation issues on social media platforms and telecommunications equipment around the world. In this article, we explore these issues and the wider debates on social media. To do so, we interviewed policy makers and academics, as well as representatives from India's technology industry. We also applied computational linguistic analysis to 6,388 Twitter posts about the ban by Indian users. The discourses on Twitter show intense nationalistic rhetoric and that Indian Twitter users were vocal in urging the government to ban TikTok. In-depth expert interviews suggested intense geopolitical conflicts behind the TikTok ban. We situate these findings with a broader analysis of the current geopolitics of social media platforms.</t>
  </si>
  <si>
    <t>[Mishra, Megha] Deloitte, London, England; [Yan, Pu] Peking Univ, Beijing, Peoples R China; [Schroeder, Ralph] Univ Oxford, Oxford, England</t>
  </si>
  <si>
    <t>Deloitte Touche Tohmatsu Limited; Peking University; University of Oxford</t>
  </si>
  <si>
    <t>Mishra, M (corresponding author), Deloitte, London, England.</t>
  </si>
  <si>
    <t>megha.mishra2016@gmail.com; puyan@pku.edu.cn; ralph.schroeder@oii.ox.ac.uk</t>
  </si>
  <si>
    <t>Yan, Pu/HCI-9239-2022</t>
  </si>
  <si>
    <t>WOS:000789589100053</t>
  </si>
  <si>
    <t>Febriandika, NR; Utami, AP; Millatina, AN</t>
  </si>
  <si>
    <t>Febriandika, Nur Rizqi; Utami, Alfinna Putri; Millatina, Afifah Nur</t>
  </si>
  <si>
    <t>Online impulse buying on TikTok platform: Evidence from Indonesia</t>
  </si>
  <si>
    <t>consumer behavior; impulse buying; e-commerce; TikTok</t>
  </si>
  <si>
    <t>CUSTOMER SATISFACTION; SALES PROMOTION; WEBSITE QUALITY; MODERATING ROLE; BEHAVIOR; COMMERCE; MOOD</t>
  </si>
  <si>
    <t>TikTok Shop boosts TikTok's huge potential as an e-commerce platform that encourages sellers and buyers to increase the number of transactions. The emergence of this feature encourages the online impulse buying phenomenon on the TikTok platform. This study aims to examine the factors that influence online impulse buying on TikTok in Indonesia through the constructs of brand review, sales promotion, customer satisfaction, religiosity, and brand expectation. This quantitative research uses a questionnaire that is distributed randomly online and collected from 312 respondents in Indonesia. Using structural equation modeling (SEM), data analysis was conducted and hypotheses were examined. The results show that customer satisfaction (beta : 0.501) and brand review (beta: 0.358) play an important role in increasing brand expectation. At the same time, sales promotion (rho-value &gt; 0.05) has no impact on brand expectation. This study highlights that religiosity (beta: -0.239) and brand expectation (beta: -0.510) can reduce online impulse buying behavior. Brand expectation (beta: -0.510) is the most dominant variable in reducing online impulse buying behavior on TikTok.</t>
  </si>
  <si>
    <t>[Febriandika, Nur Rizqi; Utami, Alfinna Putri] Univ Muhammadiyah Surakarta, Univ Muhammadiyah Surakarta, Fac Islamic Studies, Dept Islamic Econ Law, Surakarta, Indonesia; [Millatina, Afifah Nur] Univ Muhammadiyah Malang, Fac Islamic Studies, Dept Islamic Econ, Malang, Indonesia</t>
  </si>
  <si>
    <t>Universitas Muhammadiyah Surakarta; Universitas Muhammadiyah Malang</t>
  </si>
  <si>
    <t>Febriandika, NR (corresponding author), Univ Muhammadiyah Surakarta, Univ Muhammadiyah Surakarta, Fac Islamic Studies, Dept Islamic Econ Law, Surakarta, Indonesia.</t>
  </si>
  <si>
    <t>Febriandika, Nur Rizqi/0000-0001-9063-6990</t>
  </si>
  <si>
    <t>10.21511/im.19(3).2023.17</t>
  </si>
  <si>
    <t>WOS:001093339300017</t>
  </si>
  <si>
    <t>Southerton, C</t>
  </si>
  <si>
    <t>Southerton, Clare</t>
  </si>
  <si>
    <t>Lip-Syncing and Saving Lives: Healthcare Workers on TikTok</t>
  </si>
  <si>
    <t>TikTok; health information; COVID-19; microcelebrity; infodemic</t>
  </si>
  <si>
    <t>SOCIAL MEDIA; ATMOSPHERES</t>
  </si>
  <si>
    <t>While TikTok's popularity has risen dramatically during the COVID-19 pandemic, so too has concern about misinformation about the virus on the app. Many accounts of the infodemic-the war against misinformation being waged alongside the pandemic-call for an emphasis on authority and prioritizing content from official accounts on social media platforms. However, even before the pandemic, health professionals have spread information by drawing on their personality, as well as their medical expertise, as creators on TikTok. Drawing on a digital ethnography project, this article considers what could be learned about the infodemic from existing health information-sharing communities and creators on TikTok and examines the affective spaces of information they cultivate. Findings from this ethnography reveal that health information sharing practices on TikTok use playfulness, memes, and other platform elements, alongside familiar techniques of highlighting one's expertise and relatability as a healthcare worker.</t>
  </si>
  <si>
    <t>[Southerton, Clare] Univ New South Wales, Sydney, NSW, Australia</t>
  </si>
  <si>
    <t>University of New South Wales Sydney</t>
  </si>
  <si>
    <t>Southerton, C (corresponding author), Univ New South Wales, Sydney, NSW, Australia.</t>
  </si>
  <si>
    <t>Southerton, Clare/AAC-2485-2019</t>
  </si>
  <si>
    <t>Southerton, Clare/0000-0002-5812-9785</t>
  </si>
  <si>
    <t>WOS:000729944300054</t>
  </si>
  <si>
    <t>Nazarov, D; Nazarov, A</t>
  </si>
  <si>
    <t>Almeida, JPA; Bork, D; Guizzardi, G; Montali, M; Proper, HA; Sales, TP</t>
  </si>
  <si>
    <t>Nazarov, Dmitry; Nazarov, Anton</t>
  </si>
  <si>
    <t>A fuzzy model for assessing the content's quality impact on the growth of users on the TikTok social network</t>
  </si>
  <si>
    <t>2021 IEEE 23RD CONFERENCE ON BUSINESS INFORMATICS, CBI 2021, VOL 2</t>
  </si>
  <si>
    <t>Conference on Business Informatics</t>
  </si>
  <si>
    <t>IEEE 23rd Conference on Business Informatics (CBI)</t>
  </si>
  <si>
    <t>SEP 01-03, 2021</t>
  </si>
  <si>
    <t>IEEE,IEEE Comp Soc</t>
  </si>
  <si>
    <t>TikTok; fuzzyTech; fuzzy model; followers; beaty; trends; social networks</t>
  </si>
  <si>
    <t>In this article, the authors conducted an evaluating study on the impact of content quality on subscriber growth inside the TikTok social network. To achieve this goal, the essence of the TikTok network was analyzed, and the main variables that affect the quality of content and promotion were identified. As a result, a fuzzy model for assessing the impact was built, and qualitative and quantitative analysis of its work was carried out.</t>
  </si>
  <si>
    <t>[Nazarov, Dmitry; Nazarov, Anton] Ural State Univ Econ, Dept Business Informat, Ekaterinburg, Russia</t>
  </si>
  <si>
    <t>slup2005@mail.ru; nazarovad@usue.ru</t>
  </si>
  <si>
    <t>2378-1963</t>
  </si>
  <si>
    <t>978-1-6654-2069-3</t>
  </si>
  <si>
    <t>CONF BUS INFORM</t>
  </si>
  <si>
    <t>10.1109/CBI52690.2021.10071</t>
  </si>
  <si>
    <t>Business; Computer Science, Information Systems; Computer Science, Interdisciplinary Applications; Operations Research &amp; Management Science</t>
  </si>
  <si>
    <t>Business &amp; Economics; Computer Science; Operations Research &amp; Management Science</t>
  </si>
  <si>
    <t>BT7FK</t>
  </si>
  <si>
    <t>WOS:000848188800023</t>
  </si>
  <si>
    <t>Mcmullen, E; Towheed, S; Abdi, P; Metko, D; Mehta, S; Yilmaz, O; Donovan, J</t>
  </si>
  <si>
    <t>Mcmullen, Eric; Towheed, Shahnawaz; Abdi, Parsa; Metko, Dea; Mehta, Shanti; Yilmaz, Orhan; Donovan, Jeffrey</t>
  </si>
  <si>
    <t>Perspectives of patients with alopecia areata: a cross-sectional analysis of YouTube and TikTok responses</t>
  </si>
  <si>
    <t>INTERNATIONAL JOURNAL OF DERMATOLOGY</t>
  </si>
  <si>
    <t>Letter; Early Access</t>
  </si>
  <si>
    <t>alopecia areata; YouTube; TikTok; patient perspective; social media</t>
  </si>
  <si>
    <t>[Mcmullen, Eric] Univ Toronto, Dept Med, Div Dermatol, Toronto, ON, Canada; [Towheed, Shahnawaz; Metko, Dea] Mem Univ Newfoundland, Fac Med, St John, NF, Canada; [Abdi, Parsa] McMaster Univ, Michael G DeGroote Sch Med, Hamilton, ON, Canada; [Mehta, Shanti] Univ Toronto, Temerty Fac Med, Toronto, ON, Canada; [Yilmaz, Orhan] Univ Saskatchewan, Coll Med, Saskatoon, SK, Canada; [Donovan, Jeffrey] Univ British Columbia, Dept Dermatol, Vancouver, BC, Canada; [Donovan, Jeffrey] Donovan Hair Clin, Whistler, BC, Canada</t>
  </si>
  <si>
    <t>University of Toronto; Memorial University Newfoundland; McMaster University; University of Toronto; University of Saskatchewan; University of British Columbia</t>
  </si>
  <si>
    <t>Mcmullen, E (corresponding author), Univ Toronto, Dept Med, Div Dermatol, Toronto, ON, Canada.</t>
  </si>
  <si>
    <t>eric.mcmullen@medportal.ca</t>
  </si>
  <si>
    <t>Abdi, Parsa/0000-0001-8724-3969; Metko, Dea/0000-0001-6617-6621; Towheed, Shahnawaz/0009-0005-8349-8039; McMullen, Eric/0000-0001-9961-7999; Mehta, Shanti/0009-0005-2771-266X</t>
  </si>
  <si>
    <t>0011-9059</t>
  </si>
  <si>
    <t>1365-4632</t>
  </si>
  <si>
    <t>INT J DERMATOL</t>
  </si>
  <si>
    <t>Int. J. Dermatol.</t>
  </si>
  <si>
    <t>2024 OCT 23</t>
  </si>
  <si>
    <t>10.1111/ijd.17530</t>
  </si>
  <si>
    <t>J9P4W</t>
  </si>
  <si>
    <t>WOS:001340309800001</t>
  </si>
  <si>
    <t>Zyda, M</t>
  </si>
  <si>
    <t>Zyda, Michael</t>
  </si>
  <si>
    <t>Hubris-From the Metaverse to ChatGPT to TikTok's Time of Tribulation</t>
  </si>
  <si>
    <t>This month's hubris: The Metaverse is dead, ChatGPT is the bomb diggity, and it's TikTok's Time of Tribulation.</t>
  </si>
  <si>
    <t>[Zyda, Michael] Univ Southern Calif, Comp Sci Games Program, Los Angeles, CA 90089 USA; [Zyda, Michael] Univ Southern Calif, Dept Comp Sci, Los Angeles, CA 90089 USA</t>
  </si>
  <si>
    <t>Zyda, M (corresponding author), Univ Southern Calif, Comp Sci Games Program, Los Angeles, CA 90089 USA.;Zyda, M (corresponding author), Univ Southern Calif, Dept Comp Sci, Los Angeles, CA 90089 USA.</t>
  </si>
  <si>
    <t>zyda@mikezyda.com</t>
  </si>
  <si>
    <t>Zyda, Mike/LFU-7145-2024</t>
  </si>
  <si>
    <t>Zyda, Mike/0000-0002-7154-9231</t>
  </si>
  <si>
    <t>10.1109/MC.2023.3267986</t>
  </si>
  <si>
    <t>J9MH6</t>
  </si>
  <si>
    <t>WOS:001012789800018</t>
  </si>
  <si>
    <t>Qin, Y; Omar, B; Musetti, A</t>
  </si>
  <si>
    <t>Qin, Yao; Omar, Bahiyah; Musetti, Alessandro</t>
  </si>
  <si>
    <t>The addiction behavior of short-form video app TikTok: The information quality and system quality perspective</t>
  </si>
  <si>
    <t>TikTok; information quality; system quality; flow; addiction; S-O-R model; quantitative research</t>
  </si>
  <si>
    <t>SOCIAL MEDIA; INTERNET ADDICTION; CUSTOMER EXPERIENCE; FLOW EXPERIENCE; ANTECEDENTS; INTENTION; USAGE; USERS; ASSOCIATION; MOTIVATION</t>
  </si>
  <si>
    <t>TikTok has one of the most advanced algorithm systems and is the most addictive as compared to other social media platforms. While research on social media addiction is abundant, we know much less about how the TikTok information system environment affects users' internal states of enjoyment, concentration, and time distortion (which scholars define as the flow experience), which in turn influences their addiction behavior. To fill this gap, this study collects responses from 659 adolescents in China aged between 10 and 19 years old, and the data is then analyzed using Partial Least Square (PLS). We find that the system quality has a stronger influence than information quality in determining adolescents' experience with TikTok and that the flow experience has significant direct and indirect effects on TikTok addiction behavior. Notably, this study finds that TikTok addiction is determined by users' mental concentration on the medium and its content. Several theoretical insights from the stimulus-organism-response (S-O-R) model and the flow theory are used to explain the findings.</t>
  </si>
  <si>
    <t>[Qin, Yao; Omar, Bahiyah] Univ Sains Malaysia USM, Sch Commun, George Town, Penang, Malaysia; [Musetti, Alessandro] Univ Parma, Dept Humanities, Social Sci &amp; Cultural Ind, Parma, Italy</t>
  </si>
  <si>
    <t>Universiti Sains Malaysia; University of Parma</t>
  </si>
  <si>
    <t>Omar, B (corresponding author), Univ Sains Malaysia USM, Sch Commun, George Town, Penang, Malaysia.</t>
  </si>
  <si>
    <t>bahiyah@usm.my</t>
  </si>
  <si>
    <t>Omar, Bahiyah/ITV-5238-2023; Musetti, Alessandro/N-8615-2015; Omar, Bahiyah/I-1960-2012</t>
  </si>
  <si>
    <t>Omar, Bahiyah/0000-0001-6484-6441</t>
  </si>
  <si>
    <t>SEP 6</t>
  </si>
  <si>
    <t>10.3389/fpsyg.2022.932805</t>
  </si>
  <si>
    <t>5P1KW</t>
  </si>
  <si>
    <t>WOS:000872919300001</t>
  </si>
  <si>
    <t>Nguyen, C; Tran, T; Nguyen, T</t>
  </si>
  <si>
    <t>Nguyen, Cuong; Tran, Thao; Nguyen, Tien</t>
  </si>
  <si>
    <t>FACTORS AFFECTING USERS' BRAND AWARENESS THROUGH SOCIAL MEDIA MARKETING ON TIKTOK</t>
  </si>
  <si>
    <t>brand; trends; e-WOM; influencer; entertainment; interactivity; storytelling; marketing communications</t>
  </si>
  <si>
    <t>WORD-OF-MOUTH; EQUITY; LOYALTY; IMPACT</t>
  </si>
  <si>
    <t>TikTok is increasingly influential in promoting brand awareness and boosting purchase intention. From a social media marketing perspective, brand awareness significantly influences consumers' purchasing decisions. The primary objective of this study is to investigate and measure the factors influencing the brand awareness of TikTok users through social media marketing communications. The paper employs exploratory factor analysis, Cronbach's Alpha test, and regression analysis to test the hypotheses. 24 observed variables were divided into six groups. Each variable was assessed using a 5 -point Likert scale. The sample size includes 240 valid responses from TikTok users collected via convenience sampling. The questionnaire was distributed to TikTok users from Vietnam via the link on Google Forms. The collected data were processed by SPSS 20 software. The results suggest that six independent variables positively affect brand recognition via social media marketing on TikTok, with a 95% confidence interval at Sig. = 0.000 (0.05). Each of the six variables positively impacts initial expectations and is statistically significant at 1%. The results show that trends (Beta = 0.299) are the most decisive factors impacting brand awareness of TikTok users. Besides, electronic word of mouth (Beta = 0.242), influencer (Beta = 0.220), entertainment (Beta = 0.206), interaction (Beta = 0.200), and storytelling (Beta = 0.179) also positively affect the brand awareness of TikTok users. Limitations and further research suggest that marketers should investigate the role of artificial intelligence (AI) in the consumer's brand awareness -constructing process.</t>
  </si>
  <si>
    <t>[Nguyen, Cuong] Ind Univ Ho Chi Minh City, Fac Commerce &amp; Tourism, Ho Chi Minh City 70000, Vietnam; [Tran, Thao] Ind Univ Ho Chi Minh City, Fac Business Adm, Ho Chi Minh City, Vietnam; [Nguyen, Tien] Ind Univ Ho Chi Minh City, Fac Business Adm, Business Adm, Ho Chi Minh City, Vietnam</t>
  </si>
  <si>
    <t>Industrial University of Ho Chi Minh City; Industrial University of Ho Chi Minh City; Industrial University of Ho Chi Minh City</t>
  </si>
  <si>
    <t>Nguyen, C (corresponding author), Ind Univ Ho Chi Minh City, Fac Commerce &amp; Tourism, Ho Chi Minh City 70000, Vietnam.</t>
  </si>
  <si>
    <t>Nguyen, Cuong/AAK-4916-2020</t>
  </si>
  <si>
    <t>Nguyen, Cuong/0000-0001-7842-0564</t>
  </si>
  <si>
    <t>10.21511/im.20(1).2024.11</t>
  </si>
  <si>
    <t>JF8L3</t>
  </si>
  <si>
    <t>WOS:001171843200004</t>
  </si>
  <si>
    <t>Marketing a (high school) musical on TikTok</t>
  </si>
  <si>
    <t>STUDIES IN MUSICAL THEATRE</t>
  </si>
  <si>
    <t>musical theatre; high school theatre; Generation Z; social media; Gen Z; Grease</t>
  </si>
  <si>
    <t>This article explores the intersections between TikTok, musical theatre and youth cultures. Since its international debut in 2017, TikTok has become closely associated with teenagers and twenty-somethings who use the social media platform as a critical site to create, present and experience identities and generational culture at large. Musical theatre has been central to this cultural work. Teenage theatre makers, for example, use TikTok as a marketing tool that can be replicated by professional theatre companies and productions. I present an autoethnographic account of my work with high school students to market an all-school production of the musical Grease and use the experience to question the ways emerging digital platforms such as TikTok inform new, accessible ways of collaborating, experiencing, appreciating, conceptualizing and documenting musical theatre.</t>
  </si>
  <si>
    <t>[Boffone, Trevor] Univ Houston, Agnes Arnold Hall, Houston, TX 77204 USA</t>
  </si>
  <si>
    <t>University of Houston System; University of Houston</t>
  </si>
  <si>
    <t>Boffone, T (corresponding author), Univ Houston, Agnes Arnold Hall, Houston, TX 77204 USA.</t>
  </si>
  <si>
    <t>trevor.boffone@gmail.com</t>
  </si>
  <si>
    <t>1750-3159</t>
  </si>
  <si>
    <t>1750-3167</t>
  </si>
  <si>
    <t>STUD MUSICAL THEATRE</t>
  </si>
  <si>
    <t>Stud. Musical Theatre</t>
  </si>
  <si>
    <t>10.1386/smt_00157_1</t>
  </si>
  <si>
    <t>L7Y9R</t>
  </si>
  <si>
    <t>WOS:001352854100003</t>
  </si>
  <si>
    <t>Zhu, C; Fong, LHN; Gao, HC; Buhalis, D; Shang, ZY</t>
  </si>
  <si>
    <t>Zhu, Chris; Fong, Lawrence Hoc Nang; Gao, Huicai; Buhalis, Dimitrios; Shang, Ziye</t>
  </si>
  <si>
    <t>How does celebrity involvement influence travel intention? The case of promoting Chengdu on TikTok</t>
  </si>
  <si>
    <t>INFORMATION TECHNOLOGY &amp; TOURISM</t>
  </si>
  <si>
    <t>TikTok; Celebrity involvement; Object-based authenticity; Existential authenticity; Travel intention</t>
  </si>
  <si>
    <t>EXISTENTIAL AUTHENTICITY; HERITAGE SITES; DESTINATION; LOYALTY; EWOM</t>
  </si>
  <si>
    <t>This study examines the predicting effect of celebrity involvement on destination authenticity (object-based authenticity and existential authenticity) and hence travel intention in the context of TikTok tourism promotional videos. Data collected from 225 survey respondents indicated that celebrity involvement increases perceived destination authenticities (object-based and existential authenticity) and hence travel intention after watching TikTok celebrity videos. Furthermore, destination authenticities mediate the positive relationship between celebrity involvement and travel intention. The findings contribute to knowledge about social media marketing in tourism literature by blending authenticity theory and celebrity involvement in the context of TikTok celebrity promotions. Meaningful implications are provided for destination marketers.</t>
  </si>
  <si>
    <t>[Zhu, Chris] Macao Inst Tourism Studies, Sch Tourism Management, Macau, Peoples R China; [Fong, Lawrence Hoc Nang] Univ Macau, Fac Business Adm, Macau, Peoples R China; [Fong, Lawrence Hoc Nang] Univ Macau, Ctr Cognit &amp; Brain Sci, Macau, Peoples R China; [Gao, Huicai; Buhalis, Dimitrios] Hong Kong Polytech Univ, Sch Hotel &amp; Tourism Management, Hong Kong, Peoples R China; [Buhalis, Dimitrios] Bournemouth Univ, Business Sch, Bournemouth, Dorset, England; [Shang, Ziye] City Univ Macau, Fac Int Tourism &amp; Management, Macau, Peoples R China</t>
  </si>
  <si>
    <t>Macao University of Tourism; University of Macau; University of Macau; Hong Kong Polytechnic University; Bournemouth University; City University of Macau</t>
  </si>
  <si>
    <t>Gao, HC (corresponding author), Hong Kong Polytech Univ, Sch Hotel &amp; Tourism Management, Hong Kong, Peoples R China.</t>
  </si>
  <si>
    <t>H210052@ift.edu.mo; lawrencefong@um.edu.mo; huicai.gao@connect.polyu.hk; dimitrios.buhalis@polyu.edu.hk; ziye_shang@outlook.com</t>
  </si>
  <si>
    <t>Fong, Lawrence/L-7933-2013; Shang, Ziye/CAH-1963-2022; Buhalis, Dimitrios/C-2045-2008</t>
  </si>
  <si>
    <t>Buhalis, Dimitrios/0000-0001-9148-6090; Gao, Huicai/0000-0002-4952-4708</t>
  </si>
  <si>
    <t>SPRINGER HEIDELBERG</t>
  </si>
  <si>
    <t>HEIDELBERG</t>
  </si>
  <si>
    <t>TIERGARTENSTRASSE 17, D-69121 HEIDELBERG, GERMANY</t>
  </si>
  <si>
    <t>1098-3058</t>
  </si>
  <si>
    <t>1943-4294</t>
  </si>
  <si>
    <t>INF TECHNOL TOUR</t>
  </si>
  <si>
    <t>Inf. Technol. Tour.</t>
  </si>
  <si>
    <t>10.1007/s40558-022-00233-w</t>
  </si>
  <si>
    <t>6B8XR</t>
  </si>
  <si>
    <t>WOS:000838486900001</t>
  </si>
  <si>
    <t>Lopez, DC; Freire, M; Barros, K</t>
  </si>
  <si>
    <t>Lopez, Debora-Cristina; Freire, Marcelo; Barros, Kelen</t>
  </si>
  <si>
    <t>Mapping science communication modalities on TikTok: a descriptive analysis of the hashtag #CienciaNoTikTok</t>
  </si>
  <si>
    <t>REVISTA MEDITERRANEA COMUNICACION-JOURNAL OF COMMUNICATION</t>
  </si>
  <si>
    <t>Spanish</t>
  </si>
  <si>
    <t>Science communication; affordances; TikTok; automated analysis; semantic networks</t>
  </si>
  <si>
    <t>This article explores the complexities of digital sociability and the manifestation of science on social networks, focusing in particular on TikTok in Brazil. The authors conduct a scope literature review on the theme of digital social networks, TikTok, and science communication. The study proposes a mapping of the communicative strategies for this purpose on TikTok, using data from 250 highlighted videos in #ciencianotiktok to understand the engagement and circulation tactics adopted by science communicators. The aim is to understand who the speakers are, to identify their communicative modalities, how they adapt to the platform's grammars, and their main strategies of circulation and interaction with the public.</t>
  </si>
  <si>
    <t>[Lopez, Debora-Cristina; Freire, Marcelo; Barros, Kelen] Univ Fed Ouro Preto, Ouro Preto, Brazil</t>
  </si>
  <si>
    <t>Universidade Federal de Ouro Preto</t>
  </si>
  <si>
    <t>Lopez, DC (corresponding author), Univ Fed Ouro Preto, Ouro Preto, Brazil.</t>
  </si>
  <si>
    <t>debora.lopez@ufop.edu.br; marcelofreire@ufop.edu.br; kelen.barros@aluno.ufop.edu.br</t>
  </si>
  <si>
    <t>Lopez, Debora/H-9881-2013; Freire, Marcelo/KFO-2984-2024</t>
  </si>
  <si>
    <t>UNIV ALICANTE</t>
  </si>
  <si>
    <t>ALICANTE</t>
  </si>
  <si>
    <t>APARTADO DE CORREOS 99, ALICANTE, 3080, SPAIN</t>
  </si>
  <si>
    <t>1989-872X</t>
  </si>
  <si>
    <t>REV MEDITERR COMUN</t>
  </si>
  <si>
    <t>Rev. Mediterr. Comun.</t>
  </si>
  <si>
    <t>JAN-JUN</t>
  </si>
  <si>
    <t>10.14198/MEDCOM.25508</t>
  </si>
  <si>
    <t>UM3J0</t>
  </si>
  <si>
    <t>WOS:001248434900009</t>
  </si>
  <si>
    <t>Harriger, JA; Wick, MR; Sherline, CM; Kunz, AL</t>
  </si>
  <si>
    <t>Harriger, Jennifer A.; Wick, Madeline R.; Sherline, Christina M.; Kunz, Abbey L.</t>
  </si>
  <si>
    <t>The body positivity movement is not all that positive on TikTok: A content analysis of body positive TikTok videos</t>
  </si>
  <si>
    <t>Body positivity; TikTok; Social media; Body image; Positive body image</t>
  </si>
  <si>
    <t>SOCIAL MEDIA; FITSPIRATION IMAGERY; SATISFACTION; IMPACT; AGREEMENT; EXERCISE; BEAUTY; SKINNY; KAPPA; WOMEN</t>
  </si>
  <si>
    <t>This analysis examined the content of 342 body positive videos on TikTok. Videos were gathered by searching #body positivity and coded for diversity, positive body image messages, negative appearance -focused messages, other relevant themes, and contradictory messaging. Results demonstrate that body positivity videos on TikTok often portrayed young, White women with unrealistic beauty ideals. Approximately 93% of the videos embodied Western culturally based beauty ideals somewhat or to a great extent, while 32% of the videos portrayed larger bodies. Only 32.2% of the videos contained explicit positive body image messaging, and negative appearance-focused themes or objectifying content was rare. Contradictory messaging was not present. Overall, body positive videos on TikTok rarely displayed features aligned with positive body image and promoted unrealistic beauty ideals but also rarely included explicit negative appearance-focused messaging. Future research examining effects of exposure to body positivity messaging on TikTok, in comparison to other social media platforms, is warranted.&amp; COPY; 2023 Elsevier Ltd. All rights reserved.</t>
  </si>
  <si>
    <t>[Harriger, Jennifer A.; Sherline, Christina M.; Kunz, Abbey L.] Pepperdine Univ, Social Sci Div, Malibu, CA 90263 USA; [Wick, Madeline R.] Florida State Univ, Dept Psychol, Tallahassee, FL USA</t>
  </si>
  <si>
    <t>Pepperdine University; State University System of Florida; Florida State University</t>
  </si>
  <si>
    <t>Harriger, JA (corresponding author), Pepperdine Univ, Social Sci Div, Malibu, CA 90263 USA.</t>
  </si>
  <si>
    <t>jennifer.harriger@pepperdine.edu</t>
  </si>
  <si>
    <t>10.1016/j.bodyim.2023.06.003</t>
  </si>
  <si>
    <t>M9EL3</t>
  </si>
  <si>
    <t>WOS:001033171100001</t>
  </si>
  <si>
    <t>Li, ZL; Huang, YZ; Yang, YR; Lai, XM</t>
  </si>
  <si>
    <t>Li, Zhaoliang; Huang, Yanzhong; Yang, Yurong; Lai, Xiaomin</t>
  </si>
  <si>
    <t>Can TikTok be a good way to extend the adoption of green control techniques? Evidence from rural China</t>
  </si>
  <si>
    <t>ASIAN JOURNAL OF TECHNOLOGY INNOVATION</t>
  </si>
  <si>
    <t>Green control techniques; digital agriculture extension; TikTok; agricultural digitalisation; China</t>
  </si>
  <si>
    <t>TECHNOLOGY ADOPTION; FARMERS; IMPACT; KNOWLEDGE; BEHAVIOR; IPM</t>
  </si>
  <si>
    <t>In the context of agricultural digitalisation in China, TikTok is becoming widely popular in rural areas and a novel way for agricultural technology extension. Based on survey data on 770 rice and wheat farmers in Hubei and Henan provinces in China, the endogenous switching probit model was used to verify the influence of TikTok usage on the adoption of Green Control Techniques (GCT). We found that farmers' adoption probability of GCT will be significantly increased by 9.3-11.8% with their use of TikTok to browse GCT content. This shows that TikTok is an effective way to extend GCT. Furthermore, TikTok can complement traditional offline training as a digital agriculture extension for small-scale, older, and non-plain-area farmers, who are often of unequal status and are unable to obtain government agricultural extension services. These findings evaluate the effectiveness of short video software as a digital agriculture extension platform, which contributes to the rapid and effective extension of GCT. It is suggested that more GCT online promotion platforms should be built and applied in China.</t>
  </si>
  <si>
    <t>[Li, Zhaoliang; Huang, Yanzhong; Yang, Yurong; Lai, Xiaomin] Wuhan Inst Technol, Sch Law &amp; Business, Wuhan, Peoples R China; [Li, Zhaoliang] Huazhong Agr Univ, Coll Econ &amp; Management, Wuhan, Peoples R China; [Huang, Yanzhong] Wuhan Inst ofTechnol, Sch Law &amp; Business, 206, Guanggu 1st Rd,Donghu New Technol Dev Zone, Wuhan, Hubei, Peoples R China</t>
  </si>
  <si>
    <t>Wuhan Institute of Technology; Huazhong Agricultural University</t>
  </si>
  <si>
    <t>Huang, YZ (corresponding author), Wuhan Inst ofTechnol, Sch Law &amp; Business, 206, Guanggu 1st Rd,Donghu New Technol Dev Zone, Wuhan, Hubei, Peoples R China.</t>
  </si>
  <si>
    <t>huangyanzhong@wit.edu.cn</t>
  </si>
  <si>
    <t>Li, Zhaoliang/AFV-2619-2022; Huang, Yanzhong/HDO-8396-2022</t>
  </si>
  <si>
    <t>Huang, Yanzhong/0000-0002-9856-3922</t>
  </si>
  <si>
    <t>National Natural Science Foundation of China [71933004, 71803145, 72203163]; Major Program of Philosophy and Social Sciences of the Ministry of Education of China [21JZD030]; Postdoctoral Research Foundation of China [2021m701339]; Education Science Planning Project of Hubei Province [2022GB034]; Science and Technology Research Project of the Department of Education of Hubei Province [Q20221503]; Teaching Research Project of Wuhan Institute of Technology [X202039, X2017056]; Scientific Research Fund of Wuhan Institute of Technology [22QD45, K202241]; Higher Education Research Project of Wuhan Institute of Technology [2022YB08]</t>
  </si>
  <si>
    <t>National Natural Science Foundation of China(National Natural Science Foundation of China (NSFC)); Major Program of Philosophy and Social Sciences of the Ministry of Education of China(Ministry of Education, China); Postdoctoral Research Foundation of China(China Postdoctoral Science Foundation); Education Science Planning Project of Hubei Province; Science and Technology Research Project of the Department of Education of Hubei Province; Teaching Research Project of Wuhan Institute of Technology; Scientific Research Fund of Wuhan Institute of Technology; Higher Education Research Project of Wuhan Institute of Technology</t>
  </si>
  <si>
    <t>This work was supported by the National Natural Science Foundation of China [71933004; 71803145; 72203163], the Major Program of Philosophy and Social Sciences of the Ministry of Education of China [21JZD030], the Postdoctoral Research Foundation of China [2021m701339] , the Education Science Planning Project of Hubei Province [2022GB034], the Science and Technology Research Project of the Department of Education of Hubei Province [Q20221503], the Teaching Research Project of Wuhan Institute of Technology [X202039; X2017056], the Scientific Research Fund of Wuhan Institute of Technology [22QD45; K202241], and the Higher Education Research Project of Wuhan Institute of Technology [2022YB08].</t>
  </si>
  <si>
    <t>1976-1597</t>
  </si>
  <si>
    <t>2158-6721</t>
  </si>
  <si>
    <t>ASIAN J TECHNOL INNO</t>
  </si>
  <si>
    <t>Asian J. Technol. Innov.</t>
  </si>
  <si>
    <t>SEP 2</t>
  </si>
  <si>
    <t>10.1080/19761597.2022.2148704</t>
  </si>
  <si>
    <t>Business; Economics</t>
  </si>
  <si>
    <t>GZ7C0</t>
  </si>
  <si>
    <t>WOS:000889486900001</t>
  </si>
  <si>
    <t>Stephan, AP; Hauc, SC; Marks, VA; Bercik, R; Rickey, L</t>
  </si>
  <si>
    <t>Stephan, Alicia P.; Hauc, Sacha C.; Marks, Victoria A.; Bercik, Richard; Rickey, Leslie</t>
  </si>
  <si>
    <t>TikTok misinformation and user engagement in female pelvic floor conditions</t>
  </si>
  <si>
    <t>NEUROUROLOGY AND URODYNAMICS</t>
  </si>
  <si>
    <t>female pelvic floor; misinformation; social media; TikTok; urogynecology</t>
  </si>
  <si>
    <t>INFORMATION; QUALITY</t>
  </si>
  <si>
    <t>Importance Social media platforms are increasingly utilized to distribute medical information. Our study emphasizes the need for accuracy in pelvic health education on social media and the involvement of female pelvic floor (FPF) specialists in content creation. Aims In this cross-sectional study, we assessed the FPF TikTok videos with the highest engagement for quality of information and misinformation and investigated the relationship between misinformation and user engagement. Methods We collected all TikTok videos on the US app with hashtags related to FPF conditions, including 76 on pelvic organ prolapse, 323 on urinary tract infection, 84 on overactive bladder, and 972 on incontinence. The top 20 videos for each FPF condition were selected based on highest engagement, and 74 videos total met inclusion criteria. TikTok videos were scored with the validated DISCERN instrument for quality of consumer health information and a 5-point Likert scale for misinformation. The correlation between misinformation and user engagement was assessed. Results Our analysis revealed positive correlations among higher average misinformation scores and shares (r = 0.37, p &lt; 0.001), likes (r = 0.23, p = 0.004), and overall engagement (r = 0.25, p = 0.002) in FPF TikTok videos as a group, likely driven by the #UTI category. Most TikTok videos (96%) had poor quality of information (DISCERN score &lt; 3), and 18% of TikTok videos contained misinformation. Conclusion The poor quality and prevalence of misinformation in FPF-related TikTok videos with the highest engagement raise concerns about the propagation of nonevidence-based health information.</t>
  </si>
  <si>
    <t>[Stephan, Alicia P.; Hauc, Sacha C.; Marks, Victoria A.] Yale Sch Med, New Haven, CT USA; [Bercik, Richard; Rickey, Leslie] Yale Sch Med, Dept Obstet Gynecol &amp; Reprod Sci, New Haven, CT USA; [Bercik, Richard; Rickey, Leslie] Yale Sch Med, Dept Urol, New Haven, CT USA; [Rickey, Leslie] Dept Urol, 310 Cedar St,FMB Fl 3rd,Ste 329, New Haven, CT 06510 USA; [Rickey, Leslie] Dept Obstet Gynecol &amp; Reprod Sci, 310 Cedar St,FMB Fl 3rd,Ste 329, New Haven, CT 06510 USA</t>
  </si>
  <si>
    <t>Yale University; Yale University; Yale University</t>
  </si>
  <si>
    <t>Rickey, L (corresponding author), Dept Urol, 310 Cedar St,FMB Fl 3rd,Ste 329, New Haven, CT 06510 USA.;Rickey, L (corresponding author), Dept Obstet Gynecol &amp; Reprod Sci, 310 Cedar St,FMB Fl 3rd,Ste 329, New Haven, CT 06510 USA.</t>
  </si>
  <si>
    <t>leslie.rickey@yale.edu</t>
  </si>
  <si>
    <t>Stephan, Alicia/0000-0003-3430-0944</t>
  </si>
  <si>
    <t>National Institute of Diabetes and Digestive and Kidney Diseases [T35DK104689]; National Institute of Diabetes and Digestive and Kidney Diseases of the National Institutes of Health</t>
  </si>
  <si>
    <t>National Institute of Diabetes and Digestive and Kidney Diseases(United States Department of Health &amp; Human ServicesNational Institutes of Health (NIH) - USANIH National Institute of Diabetes &amp; Digestive &amp; Kidney Diseases (NIDDK)); National Institute of Diabetes and Digestive and Kidney Diseases of the National Institutes of Health(United States Department of Health &amp; Human ServicesNational Institutes of Health (NIH) - USANIH National Institute of Diabetes &amp; Digestive &amp; Kidney Diseases (NIDDK))</t>
  </si>
  <si>
    <t>Research reported in this publication was supported by the National Institute of Diabetes and Digestive and Kidney Diseases of the National Institutes of Health under Award Number T35DK104689. The content is solely the responsibility of the authors and does not necessarily represent the official views of the National Institutes of Health.</t>
  </si>
  <si>
    <t>0733-2467</t>
  </si>
  <si>
    <t>1520-6777</t>
  </si>
  <si>
    <t>NEUROUROL URODYNAM</t>
  </si>
  <si>
    <t>Neurourol. Urodyn.</t>
  </si>
  <si>
    <t>10.1002/nau.25519</t>
  </si>
  <si>
    <t>K0V0N</t>
  </si>
  <si>
    <t>WOS:001237632900001</t>
  </si>
  <si>
    <t>Tan, KH; Rajendran, A; Muslim, N; Alias, J; Yusof, NA</t>
  </si>
  <si>
    <t>Tan, Kim Hua; Rajendran, Agila; Muslim, Nazri; Alias, Jamsari; Yusof, Nor Afian</t>
  </si>
  <si>
    <t>The Potential of TikTok's Key Features as a Pedagogical Strategy for ESL Classrooms</t>
  </si>
  <si>
    <t>SUSTAINABILITY</t>
  </si>
  <si>
    <t>TikTok features; education; pedagogical strategies; virtual learning environment</t>
  </si>
  <si>
    <t>SOCIAL MEDIA; EDUCATION</t>
  </si>
  <si>
    <t>The predominance of the use of the English language on social media entails its potential usefulness in regard to ESL learning. Amongst all social media platforms, none can boast the ubiquity of TikTok. This application has been, and continues to be, one of the largest and most influential social media platforms, as well as a massive success across a range of fields with the most active users in the world. In the field of education, it has the potential to enhance educational pedagogies. Although TikTok has various features aligned to language learning, TikTok's application within the education field is still largely unexplored. This scoping review aims to identify the key features of TikTok that can be used to enhance pedagogical strategies in sustaining the teaching of language skills in ESL classrooms. Although studies have been conducted on this subject, they have often lacked clarity and also lacked the possibility of synthesis in regard to the contribution of this platform to language education. Thus, this scoping review is conducted in order to identify the useful TikTok elements that strengthened pedagogical strategies in ESL classrooms. A total of 60 publications with publication dates spanning from 2018 to 2021 were chosen from searches on the EBSCOhost, Google Scholar, and ERIC databases in order to illustrate the current state. The outcome of using the identified features of TikTok and key pedagogical TikTok strategies for the purposes of ESL learning were the two themes used to synthesize the data. Findings indicated that video-related features and the duet challenge feature in TikTok have potential in promoting engaging and meaningful learning, in the context of a virtual environment. This potential has enabled the use of major pedagogical strategies, such as digital assignment; active learning; collaborative and team-based learning; experiential learning; and incidental and constructive learning. Although using TikTok is beneficial for the purposes of language learning, the findings of this study also revealed several limitations associated with the platform, such as users' behavior, poor infrastructure, and an absence of online discussion forums. This review contains suggestions for the purposes of assisting teachers in terms of maximizing their use of TikTok, via overcoming the challenges that were highlighted in previous studies.</t>
  </si>
  <si>
    <t>[Tan, Kim Hua; Muslim, Nazri; Alias, Jamsari; Yusof, Nor Afian] Univ Kebangsaan Malaysia, Pusat Pengajian Citra Univ, Bangi 43600, Malaysia; [Rajendran, Agila] Univ Kebangsaan Malaysia, Fac Educ, Bangi 4360, Malaysia</t>
  </si>
  <si>
    <t>Universiti Kebangsaan Malaysia; Universiti Kebangsaan Malaysia</t>
  </si>
  <si>
    <t>Tan, KH; Muslim, N (corresponding author), Univ Kebangsaan Malaysia, Pusat Pengajian Citra Univ, Bangi 43600, Malaysia.</t>
  </si>
  <si>
    <t>kimmy@ukm.edu.my; nazrim@ukm.edu.my</t>
  </si>
  <si>
    <t>Muslim, Nazri/AAS-1373-2020; YUSOF, NOR AFIAN/JXM-7139-2024; Tan, Kim Hua/E-9956-2017</t>
  </si>
  <si>
    <t>Tan, Kim Hua/0000-0003-3787-5006; Yusof, Nor Afian/0000-0002-9183-8727</t>
  </si>
  <si>
    <t>2071-1050</t>
  </si>
  <si>
    <t>SUSTAINABILITY-BASEL</t>
  </si>
  <si>
    <t>Sustainability</t>
  </si>
  <si>
    <t>10.3390/su142416876</t>
  </si>
  <si>
    <t>Green &amp; Sustainable Science &amp; Technology; Environmental Sciences; Environmental Studies</t>
  </si>
  <si>
    <t>Science &amp; Technology - Other Topics; Environmental Sciences &amp; Ecology</t>
  </si>
  <si>
    <t>7I9RQ</t>
  </si>
  <si>
    <t>WOS:000904226600001</t>
  </si>
  <si>
    <t>Sha, P; Dong, XY</t>
  </si>
  <si>
    <t>Sha, Peng; Dong, Xiaoyu</t>
  </si>
  <si>
    <t>Research on Adolescents Regarding the Indirect Effect of Depression, Anxiety, and Stress between TikTok Use Disorder and Memory Loss</t>
  </si>
  <si>
    <t>TikTok use disorder; depression; anxiety; stress; digit span</t>
  </si>
  <si>
    <t>NATIONAL COMORBIDITY SURVEY; WORKING-MEMORY; SOCIAL-NETWORKING; INTERNET-USE; ADDICTION; SYMPTOMS; ASSOCIATIONS; PREVALENCE; GENDER; SCALES</t>
  </si>
  <si>
    <t>This research involved the participation of 3036 Chinese students in the first and second years of senior high school. The adolescents were active users of TikTok. The mediating effect of depression, anxiety, and stress between TikTok use disorder and memory loss was investigated. A forward and backward digit span test was applied to measure memory loss. Structural equation modeling (SEM) was established, and SPSS Amos was used for analysis. The results show a partial mediation effect of depression and anxiety between TikTok use disorder and forward digit span. A partial mediation effect of depression, anxiety, and stress between TikTok use disorder and backward digit span is also shown. These results also show gender differences. Attention should be given to male students, who have more depression, anxiety, and stress than female students; they also have more memory loss.</t>
  </si>
  <si>
    <t>[Sha, Peng; Dong, Xiaoyu] Southwest Univ, Sch Journalism &amp; Commun, Chongqing 400715, Peoples R China</t>
  </si>
  <si>
    <t>Southwest University - China</t>
  </si>
  <si>
    <t>Sha, P (corresponding author), Southwest Univ, Sch Journalism &amp; Commun, Chongqing 400715, Peoples R China.</t>
  </si>
  <si>
    <t>shapeng@swu.edu.cn; dongxy@swu.edu.cn</t>
  </si>
  <si>
    <t>DONG, XIAOYU/AAS-7163-2021</t>
  </si>
  <si>
    <t>China Postdoctoral Science Foundation [2019T120799]</t>
  </si>
  <si>
    <t>China Postdoctoral Science Foundation(China Postdoctoral Science Foundation)</t>
  </si>
  <si>
    <t>This research was funded by China Postdoctoral Science Foundation, special funded project: 2019T120799.</t>
  </si>
  <si>
    <t>10.3390/ijerph18168820</t>
  </si>
  <si>
    <t>UG3XB</t>
  </si>
  <si>
    <t>WOS:000689188500001</t>
  </si>
  <si>
    <t>Gao, SY; Tsai, YY; Huang, JH; Ma, YX; Wu, TL</t>
  </si>
  <si>
    <t>Gao, Sun-Yu; Tsai, Yi-Ying; Huang, Jian-Hao; Ma, Yan-Xia; Wu, Tai-liang</t>
  </si>
  <si>
    <t>TikTok for developing learning motivation and oral proficiency in MICE learners</t>
  </si>
  <si>
    <t>JOURNAL OF HOSPITALITY LEISURE SPORT &amp; TOURISM EDUCATION</t>
  </si>
  <si>
    <t>TikTok; MICE; Learning motivation; Oral proficiency; Quasi -experimental design</t>
  </si>
  <si>
    <t>ENGLISH; QUESTIONNAIRE; STUDENTS; TOURISM; SCHOOL</t>
  </si>
  <si>
    <t>This study aimed to investigate the efficacy of TikTok as a video aid on MICE (Meetings, Incentive Travel, Conferences and Exhibitions) learners' learning motivation and oral proficiency. The study sample include 60 MICE learners. Participants were equally divided into control and experimental groups, with 30 MICE learners in each group. The experimental group was taught with TikTok, while the control group was instructed by traditional teaching methods. Pre-test and post-test were performed for both groups. The survey results showed that MICE learners who underwent the TikTok experiment had significantly improved learning motivation and oral proficiency compared to their counterparts who used only the traditional teaching method. This study proposed to embed TikTok as a video aid in the classroom for MICE education to improve learning motivation and oral proficiency among MICE learners.</t>
  </si>
  <si>
    <t>[Gao, Sun-Yu; Huang, Jian-Hao; Ma, Yan-Xia] Dhurakij Pundit Univ, 110 1 4 Pracha Chuen Rd,Thung Song Hong, Bangkok 10210, Thailand; [Tsai, Yi-Ying] Tamkang Univ, Dept Int Business, 151 Yingzhuan Rd, New Taipei 251301, Taiwan; [Wu, Tai-liang] Tainan Univ Technol, Dept Appl English, Tourism Coll, 529 Zhongzheng Rd, Tainan 710302, Taiwan; [Tsai, Yi-Ying] Tamkang Univ, Dept Int Business, New Taipei, Taiwan</t>
  </si>
  <si>
    <t>Dhurakij Pundit University; Tamkang University; Tamkang University</t>
  </si>
  <si>
    <t>Tsai, YY (corresponding author), Tamkang Univ, Dept Int Business, New Taipei, Taiwan.</t>
  </si>
  <si>
    <t>yytsai@mail.tku.edu.tw</t>
  </si>
  <si>
    <t>GAO, Sun-Yu/GXI-0470-2022; HUANG, JIANHAO/LIF-7373-2024</t>
  </si>
  <si>
    <t>Tsai, yi ying/0000-0002-7875-6735; GAO, Sun-Yu/0000-0002-3191-584X; Huang, Jian-Hao/0000-0002-8059-7657</t>
  </si>
  <si>
    <t>ELSEVIER SCI LTD</t>
  </si>
  <si>
    <t>THE BOULEVARD, LANGFORD LANE, KIDLINGTON, OXFORD OX5 1GB, OXON, ENGLAND</t>
  </si>
  <si>
    <t>1473-8376</t>
  </si>
  <si>
    <t>J HOSP LEIS SPORT TO</t>
  </si>
  <si>
    <t>J. Hosp. Leis. Sport Tour. Educ.</t>
  </si>
  <si>
    <t>10.1016/j.jhlste.2022.100415</t>
  </si>
  <si>
    <t>JAN 2023</t>
  </si>
  <si>
    <t>Education &amp; Educational Research; Hospitality, Leisure, Sport &amp; Tourism</t>
  </si>
  <si>
    <t>Education &amp; Educational Research; Social Sciences - Other Topics</t>
  </si>
  <si>
    <t>J4QS6</t>
  </si>
  <si>
    <t>WOS:001009480800001</t>
  </si>
  <si>
    <t>Benjamin, SJ; Botes, V; Biswas, PK</t>
  </si>
  <si>
    <t>Benjamin, Samuel Jebaraj; Botes, Vida; Biswas, Pallab Kumar</t>
  </si>
  <si>
    <t>Does the presence of Mom in conversations and bios in TikTok affect firm value?</t>
  </si>
  <si>
    <t>APPLIED ECONOMICS</t>
  </si>
  <si>
    <t>Mom on TikTok; firm value; themes; social media; G10; G32; M21; O30</t>
  </si>
  <si>
    <t>WORD-OF-MOUTH; SOCIAL MEDIA CONVERSATIONS; IMPACT; PRODUCTIVITY; NEWS</t>
  </si>
  <si>
    <t>TikTok has become a useful tool for businesses eager to capitalize on the platform's expanding user base. Mothers have been using TikTok to share their experiences raising children, trying new meals, shopping, etc. Mothers are, therefore, increasingly seen as a firm's business and marketing ideal. This study empirically evaluates whether investors value the frequent occurrence of the word 'Mom' in postings or online bios on TikTok. Based on a sample of Fortune 500 companies, our results firstly imply that 'Mom' on TikTok is linked to a greater firm value. We next look into whether investors value the intersection of 'Mom' on TikTok and particular themes indicators taken directly from TikTok. The study finds that, 'Mom' only has a positive effect on firm value in companies where the themes of promotion, location, quality, and convenience are present in significant quantities. However, the positive relationship between 'Mom' and firm value is consistently significant for one theme-service-both in the high and low subsamples. Hence, companies can align with core values related to mothers' concerns and interests and explore strategic opportunities for engaging with mothers, fostering positive perceptions and support among investors and encouraging further research in this field.</t>
  </si>
  <si>
    <t>[Benjamin, Samuel Jebaraj; Botes, Vida] Univ Waikato, Sch Accounting Finance &amp; Econ, Hamilton, ON, Canada; [Biswas, Pallab Kumar] Univ Otago, Dept Accountancy &amp; Finance, Dunedin, New Zealand</t>
  </si>
  <si>
    <t>University of Otago</t>
  </si>
  <si>
    <t>Benjamin, SJ (corresponding author), Univ Waikato, Sch Accounting Finance &amp; Econ, Hamilton 3216, New Zealand.</t>
  </si>
  <si>
    <t>samuel.benjamin@waikato.ac.nz</t>
  </si>
  <si>
    <t>Botes, Vida/ABB-9118-2020; Botes, Vida/B-5924-2014</t>
  </si>
  <si>
    <t>Biswas, Pallab Kumar/0000-0003-3551-6368; Botes, Vida/0000-0002-9454-7482</t>
  </si>
  <si>
    <t>University of Waikato Research Grant</t>
  </si>
  <si>
    <t>This work was supported by the University of Waikato Research Grant</t>
  </si>
  <si>
    <t>0003-6846</t>
  </si>
  <si>
    <t>1466-4283</t>
  </si>
  <si>
    <t>APPL ECON</t>
  </si>
  <si>
    <t>Appl. Econ.</t>
  </si>
  <si>
    <t>DEC 19</t>
  </si>
  <si>
    <t>10.1080/00036846.2023.2295307</t>
  </si>
  <si>
    <t>L3Z9M</t>
  </si>
  <si>
    <t>WOS:001128554700001</t>
  </si>
  <si>
    <t>Rejeb, A; Rejeb, K; Appolloni, A; Treiblmaier, H; Iranmanesh, M</t>
  </si>
  <si>
    <t>Rejeb, Abderahman; Rejeb, Karim; Appolloni, Andrea; Treiblmaier, Horst; Iranmanesh, Mohammad</t>
  </si>
  <si>
    <t>Mapping the scholarly landscape of TikTok (Douyin): A bibliometric exploration of research topics and trends</t>
  </si>
  <si>
    <t>DIGITAL BUSINESS</t>
  </si>
  <si>
    <t>TikTok; Public health; Social attachment; Consumer behavior; Bibliometrics</t>
  </si>
  <si>
    <t>SOCIAL MEDIA; INTENTION; INFORMATION; INSTAGRAM; FACEBOOK; VIDEOS; SCOPUS; MEMES</t>
  </si>
  <si>
    <t>The TikTok platform has become widely popular among younger generations and has influenced various industries and aspects of life. This systematic literature review, using bibliometric methods, aims to examine the evolution of TikTok research from its initial development to its current status. A total of 402 journal articles from 2019 to 2022 were systematically selected from the Web of Science Core Collection. Descriptive statistical analysis identified the most contributing academic institutions, nations, journals, scholars, and influential studies. Using CiteSpace, three visualization types were implemented: cluster views, timezone views, and timeline views. The study results indicate that several TikTok research clusters exist, which summarize important topics such as the platform's overall impact on society, politics, culture, as well as human-centric issues such as social attachment, functional tics, and their implications for public health. According to the co-word analysis, TikTok research revolves around body consciousness, social behavior, consumer behavior, and news media. The comprehensive mapping of TikTok research provides valuable insights into the current state of knowledge and identifies numerous relevant technical and social areas for future investigation. As the first bibliometric review of TikTok research, this study offers an important foundation for future scholarly inquiry in various areas.</t>
  </si>
  <si>
    <t>[Rejeb, Abderahman] Szecheny Istvan Univ, Fac Business Econ, Gyor, Hungary; [Rejeb, Karim] Univ Carthage, Fac Sci Bizerte, Tunis, Tunisia; [Appolloni, Andrea] Tor Vergata Univ Rome, Sch Econ, Dept Management &amp; Law, Via Columbia 2, I-00133 Rome, Italy; [Treiblmaier, Horst] Modul Univ Vienna, Sch Int Management, Vienna, Austria; [Iranmanesh, Mohammad] La Trobe Univ, La Trobe Business Sch, Melbourne, Vic 3086, Australia</t>
  </si>
  <si>
    <t>Universite de Carthage; University of Rome Tor Vergata; La Trobe University</t>
  </si>
  <si>
    <t>Treiblmaier, H (corresponding author), Modul Univ Vienna, Sch Int Management, Vienna, Austria.</t>
  </si>
  <si>
    <t>karim.rejeb@fsb.ucar.tn; andrea.appolloni@uniroma2.it; horst.treiblmaier@modul.ac.at; iranmanesh@latrobe.edu.au</t>
  </si>
  <si>
    <t>interests or personal relationships that could have appeared to influence the work reported in this paper.</t>
  </si>
  <si>
    <t>2666-9544</t>
  </si>
  <si>
    <t>DIGIT BUS</t>
  </si>
  <si>
    <t>Digit. Bus.</t>
  </si>
  <si>
    <t>10.1016/j.digbus.2024.100075</t>
  </si>
  <si>
    <t>E4M1X</t>
  </si>
  <si>
    <t>WOS:001302753500001</t>
  </si>
  <si>
    <t>Oh, J; Jin, EJ; Zhuo, SR</t>
  </si>
  <si>
    <t>Oh, Jeeyun; Jin, Eunjoo; Zhuo, Shuer</t>
  </si>
  <si>
    <t>How Perceived Humor Motivates and Demotivates Information Processing of TikTok Videos: The Moderating Role of TikTok Gratifications</t>
  </si>
  <si>
    <t>HEALTH COMMUNICATION</t>
  </si>
  <si>
    <t>SOURCE LIKABILITY; PERSUASION; FUNNY; METAANALYSIS; ELABORATION; DETERMINANT; HAPPINESS; MESSAGES; IMPACT; WORKS</t>
  </si>
  <si>
    <t>TikTok has been an innovative platform for distributing health messages with its wide appeal to younger audiences. The current study examines how the perceived humor of TikTok videos that promote COVID-19 vaccination influences persuasion through cognitive and affective mechanisms. In a survey study (N = 186), perceived humor was a positive predictor of source liking and happiness but was also associated with message discounting. Both source liking and happiness indirectly encouraged pro-vaccination attitudes by motivating message elaboration. In contrast, message discounting reduced elaboration, which discouraged pro-vaccination attitudes. Especially, those who watch TikTok for information gratification counterargued more as perceived humor increased.</t>
  </si>
  <si>
    <t>[Oh, Jeeyun; Zhuo, Shuer] Univ Texas Austin, Moody Coll Commun, Stan Richards Sch Advertising &amp; Publ Relat, 300 W Dean Keeton A1200, Austin, TX 78712 USA; [Jin, Eunjoo] Univ Houston, Jack J Valenti Sch Commun, Houston, TX USA</t>
  </si>
  <si>
    <t>University of Texas System; University of Texas Austin; University of Houston System; University of Houston</t>
  </si>
  <si>
    <t>Oh, J (corresponding author), Univ Texas Austin, Moody Coll Commun, Stan Richards Sch Advertising &amp; Publ Relat, 300 W Dean Keeton A1200, Austin, TX 78712 USA.</t>
  </si>
  <si>
    <t>jeeyunoh@utexas.edu</t>
  </si>
  <si>
    <t>Oh, Jeeyun/0000-0003-4729-1370</t>
  </si>
  <si>
    <t>1041-0236</t>
  </si>
  <si>
    <t>1532-7027</t>
  </si>
  <si>
    <t>HEALTH COMMUN</t>
  </si>
  <si>
    <t>Health Commun.</t>
  </si>
  <si>
    <t>2024 AUG 9</t>
  </si>
  <si>
    <t>10.1080/10410236.2024.2389353</t>
  </si>
  <si>
    <t>Communication; Health Policy &amp; Services</t>
  </si>
  <si>
    <t>Communication; Health Care Sciences &amp; Services</t>
  </si>
  <si>
    <t>C0Z6Z</t>
  </si>
  <si>
    <t>WOS:001286737400001</t>
  </si>
  <si>
    <t>Pineda, K; Perrotti, AM; Poursardar, F; Graber, D; Jayarathna, S</t>
  </si>
  <si>
    <t>Pineda, Kayla; Perrotti, Anne M.; Poursardar, Faryaneh; Graber, Danielle; Jayarathna, Sampath</t>
  </si>
  <si>
    <t>Using BERT to Understand TikTok Users' ADHD Discussion</t>
  </si>
  <si>
    <t>2023 IEEE 24TH INTERNATIONAL CONFERENCE ON INFORMATION REUSE AND INTEGRATION FOR DATA SCIENCE, IRI</t>
  </si>
  <si>
    <t>IEEE International Conference on Information Reuse and Integration</t>
  </si>
  <si>
    <t>IEEE 24th International Conference on Information Reuse and Integration for Data Science (IRI)</t>
  </si>
  <si>
    <t>AUG 04-06, 2023</t>
  </si>
  <si>
    <t>Bellevue, WA</t>
  </si>
  <si>
    <t>IEEE,IEEE Comp Soc,Soc Informat Reuse &amp; Integrat,IEEE TCMC</t>
  </si>
  <si>
    <t>ADHD; TikTok; web scraping; BERT; multilabel classification</t>
  </si>
  <si>
    <t>The rapid rise in popularity of the social media platform TikTok has allowed information to reach a wider audience at a faster rate compared to traditional news outlets. With this growth, more young people are connected with each other, allowing discussion on issues of mental health, a once stigmatized topic, to grow among young people. However, not all information about mental health issues is done properly or accurately. A commonly discussed mental health issue on TikTok is Attention-Deficit/Hyperactivity Disorder, known as ADHD. In this paper, we briefly describe how ADHD is portrayed on TikTok. Then, we analyze ADHD discussion around themes of self-diagnosis, symptoms, and self-help through text analysis using BERT. We analyze the common responses to ADHD TikToks and set up a multi-label classifier to understand the general range of responses.</t>
  </si>
  <si>
    <t>[Pineda, Kayla; Poursardar, Faryaneh; Jayarathna, Sampath] Old Dominion Univ, Comp Sci, Norfolk, VA 23529 USA; [Perrotti, Anne M.] Old Dominion Univ, Commun Disorders &amp; Special Educ, Norfolk, VA USA; [Graber, Danielle] Christopher Newport Univ, Comp Sci, Newport News, VA 23606 USA</t>
  </si>
  <si>
    <t>Old Dominion University; Old Dominion University</t>
  </si>
  <si>
    <t>Pineda, K (corresponding author), Old Dominion Univ, Comp Sci, Norfolk, VA 23529 USA.</t>
  </si>
  <si>
    <t>kpine003@odu.edu; APerrott@odu.edu; poursardar@cs.odu.edu; danielle.graber.19@cnu.edu; sampath@cs.odu.edu</t>
  </si>
  <si>
    <t>Jayarathna, Sampath/AAM-6816-2021; Poursardar, Faryaneh/LQL-1869-2024</t>
  </si>
  <si>
    <t>2835-5768</t>
  </si>
  <si>
    <t>979-8-3503-3458-6</t>
  </si>
  <si>
    <t>Infor Reuse and Inte</t>
  </si>
  <si>
    <t>10.1109/IRI58017.2023.00043</t>
  </si>
  <si>
    <t>Computer Science, Information Systems; Computer Science, Interdisciplinary Applications; Computer Science, Theory &amp; Methods</t>
  </si>
  <si>
    <t>BV6WD</t>
  </si>
  <si>
    <t>WOS:001063198500036</t>
  </si>
  <si>
    <t>Al-Megren, S; Majrashi, K; Allwihan, R</t>
  </si>
  <si>
    <t>Al-Megren, Shiroq; Majrashi, Khalid; Allwihan, Ragad</t>
  </si>
  <si>
    <t>The Dementia Diva Strikes Again!: A Thematic Analysis of How Informal Carers of Persons with Dementia Use TikTok</t>
  </si>
  <si>
    <t>EXTENDED ABSTRACTS OF 23RD INTERNATIONAL CONFERENCE ON MOBILE HUMAN-COMPUTER INTERACTION (MOBILEHCI 2021): MOBILE APART, MOBILE TOGETHER</t>
  </si>
  <si>
    <t>23rd ACM International Conference on Mobile Human-Computer Interaction (MobileHCI) - Mobile Apart, Mobile Together</t>
  </si>
  <si>
    <t>SEP 27-OCT 01, 2021</t>
  </si>
  <si>
    <t>ACM,SIGCHI,Univ Toulouse III Paul Sabatier,Verizon Media</t>
  </si>
  <si>
    <t>Family caregivers; Informal caregivers; Dementia; Alzheimer's; TikTok; Thematic analysis; Inductive analysis; Social media use</t>
  </si>
  <si>
    <t>CAREGIVERS</t>
  </si>
  <si>
    <t>Informal carers of persons with dementia often resort to social media to alleviate their sense of social isolation and cultivate their platform to share their experience in care. The present study performed a preliminary analysis on how TikTok creators share their personal experience caring for a loved one with dementia through content shared under the hashtag #dementiacaregiver. We performed a systemic review and inductive thematic analysis of 447 TikTok posts. The content under #dementiacaregiver was interpreted to form five primary themes: (1) realities of caregiving, (2) a little levity, (3) advice for caring, (4) engagement with viewers, and (5) sensory stimulation. TikTok seems to have provided carers with a tool for artistic and social expression that fostered a sense of community and a place for remote belonging.</t>
  </si>
  <si>
    <t>[Al-Megren, Shiroq] MIT, Mech Engn Dept, Cambridge, MA 02139 USA; [Majrashi, Khalid] Inst Publ Adm, Dept Informat Technol, Riyadh, Saudi Arabia; [Allwihan, Ragad] King Saud Bin Abdulaziz Univ Hlth Sci, Univ Preprofess Program, King Abdullah Int Med Res Ctr, Jeddah, Saudi Arabia</t>
  </si>
  <si>
    <t>Massachusetts Institute of Technology (MIT); Institute of Public Administration - Saudi Arabia; King Saud Bin Abdulaziz University for Health Sciences</t>
  </si>
  <si>
    <t>Al-Megren, S (corresponding author), MIT, Mech Engn Dept, Cambridge, MA 02139 USA.</t>
  </si>
  <si>
    <t>shiroq@mit.edu</t>
  </si>
  <si>
    <t>Majrashi, Khalid/JXN-3021-2024; Allwihan, Ragad/HPG-6235-2023</t>
  </si>
  <si>
    <t>978-1-4503-8329-5</t>
  </si>
  <si>
    <t>10.1145/3447527.3474857</t>
  </si>
  <si>
    <t>Computer Science, Cybernetics; Computer Science, Information Systems; Telecommunications</t>
  </si>
  <si>
    <t>BS6JL</t>
  </si>
  <si>
    <t>Green Published, Bronze</t>
  </si>
  <si>
    <t>WOS:000748916000010</t>
  </si>
  <si>
    <t>Su, YR; Baker, BJ; Doyle, JP; Yan, MM</t>
  </si>
  <si>
    <t>Su, Yiran; Baker, Bradley J.; Doyle, Jason P.; Yan, Meimei</t>
  </si>
  <si>
    <t>Fan Engagement in 15 Seconds: Athletes' Relationship Marketing During a Pandemic via TikTok</t>
  </si>
  <si>
    <t>INTERNATIONAL JOURNAL OF SPORT COMMUNICATION</t>
  </si>
  <si>
    <t>athlete branding; COVID-19; social media; sport consumers</t>
  </si>
  <si>
    <t>As COVID-19 lockdowns force most sport leagues into hiatus, engaging fans has emerged as a key challenge confronting the sport industry. While navigating social distancing protocols, athletes are experimenting with new ways to connect with their fans. Alongside established social media platforms (e.g., Twitter, Facebook, and Instagram), TikTok, a short-form video-sharing platform, has gained prominence in terms of registered users and shared content. Yet, little is known about the utility of TikTok as an athlete branding tool. This study uses a netnographic approach to explore the use of TikTok among athletes (N = 10) during the COVID-19 pandemic. Findings reveal that athlete-generated TikTok videos are characterized as playful and authentic. While athletes are recent adopters of TikTok, this emerging social media platform can be profitably integrated into their online branding strategies. Communicating via TikTok presents opportunities for athletes to foster existing fan relationships, promote branded content, and appeal to new fan segments. Overall, athletes and sport practitioners can leverage these findings to create content for an audience that is attracted to novelty and the activities of athletes extending beyond game highlights or interviews.</t>
  </si>
  <si>
    <t>[Su, Yiran; Yan, Meimei] Univ Georgia, Dept Kinesiol, Athens, GA 30602 USA; [Baker, Bradley J.] Univ Massachusetts, Mark H McCormack Dept Sport Management, Amherst, MA 01003 USA; [Doyle, Jason P.] Griffith Univ, Dept Tourism Sport &amp; Hotel Management, Nathan, Qld, Australia</t>
  </si>
  <si>
    <t>University System of Georgia; University of Georgia; University of Massachusetts System; University of Massachusetts Amherst; Griffith University</t>
  </si>
  <si>
    <t>Su, YR (corresponding author), Univ Georgia, Dept Kinesiol, Athens, GA 30602 USA.</t>
  </si>
  <si>
    <t>yiransu@uga.edu</t>
  </si>
  <si>
    <t>Doyle, Jason/KRP-3244-2024; Su, Yiran/AAZ-8521-2020; Baker, Bradley/HSH-5434-2023</t>
  </si>
  <si>
    <t>doyle, jason/0000-0002-5049-9407</t>
  </si>
  <si>
    <t>HUMAN KINETICS PUBL INC</t>
  </si>
  <si>
    <t>CHAMPAIGN</t>
  </si>
  <si>
    <t>1607 N MARKET ST, PO BOX 5076, CHAMPAIGN, IL 61820-2200 USA</t>
  </si>
  <si>
    <t>1936-3915</t>
  </si>
  <si>
    <t>1936-3907</t>
  </si>
  <si>
    <t>INT J SPORT COMMUN</t>
  </si>
  <si>
    <t>Int. J. Sport Commun.</t>
  </si>
  <si>
    <t>10.1123/ijsc.2020-0238</t>
  </si>
  <si>
    <t>NT9JO</t>
  </si>
  <si>
    <t>WOS:000573255600018</t>
  </si>
  <si>
    <t>McCashin, D; Murphy, CM</t>
  </si>
  <si>
    <t>McCashin, Darragh; Murphy, Colette M.</t>
  </si>
  <si>
    <t>Using TikTok for public and youth mental health - A systematic review and content analysis</t>
  </si>
  <si>
    <t>CLINICAL CHILD PSYCHOLOGY AND PSYCHIATRY</t>
  </si>
  <si>
    <t>Review; tiktok; psychology; qualitative; children</t>
  </si>
  <si>
    <t>COVID-19 INFORMATION; VIDEOS</t>
  </si>
  <si>
    <t>Globally, TikTok is now the fastest growing social media platform among children and young people; but it remains surprisingly under-researched in psychology and psychiatry. This is despite the fact that social media platforms have been subject to intense academic and societal scrutiny regarding their potentially adverse effects on youth mental health and wellbeing, notwithstanding the inconsistent findings across the literature. In this two part study, we conducted a systematic review concerning studies that have examined TikTok for any public health or mental health purpose; and a follow-up content analysis of TikTok within an Irish context. For study 1, a predetermined search strategy covering representative public and mental health terminology was applied to six databases - PSYCINFO, Google Scholar, PUBMED, Wiley, Journal of Medical Internet Research, ACM - within the period 2016 to 2021. Included studies were limited to English-speaking publications of any design where TikTok was the primary focus of the study. The quality appraisal tool by Dunne et al., (2018) was applied to all included studies. For study 2, we replicated our search strategy from study 1, and converted this terminology to TikTok hashtags to search within TikTok in combination with Irish-specific hashtags. As quantified by the app, the top two most liked videos were selected for inclusion across the following three targeted groups: official public health accounts; registered Irish charities; and personal TikTok creators. A full descriptive analysis was applied in both studies. Study 1 found 24 studies that covered a range of public and mental health issues: COVID-19 (n = 10), dermatology (n = 7), eating disorders (n = 1), cancer (n = 1), tics (n = 1), radiology (n = 1), sexual health (n = 1), DNA (n = 1), and public health promotion (n = 1). Studies were predominately from the USA, applied a content analysis design, and were of acceptable quality overall. In study 2, 29 Irish TikTok accounts were analysed, including the accounts of public health authorities (n = 2), charity or non-profit (n = 5), and personal TikTok creators (n = 22). The overall engagement data from these accounts represented a significant outreach to younger populations: total likes n = 2,588,181; total comments n = 13,775; and total shares n = 21,254. TikTok has been utilised for a range of public health purposes, but remains poorly engaged by institutional accounts. The various mechanisms for connecting with younger audiences presents a unique opportunity for youth mental health practitioners to consider, yet there were distinct differences in how TikTok accounts used platform features to interact. Overall, there is an absence of high quality mixed methodological evaluations of TikTok content for public and mental health, despite it being the most used platform for children and young people.</t>
  </si>
  <si>
    <t>[McCashin, Darragh; Murphy, Colette M.] Dublin City Univ, Sch Psychol, Glasnevin Campus, Dublin 9, Ireland</t>
  </si>
  <si>
    <t>Dublin City University</t>
  </si>
  <si>
    <t>McCashin, D (corresponding author), Dublin City Univ, Sch Psychol, Glasnevin Campus, Dublin 9, Ireland.</t>
  </si>
  <si>
    <t>darragh.mccashin@dcu.ie</t>
  </si>
  <si>
    <t>McCashin, Darragh/0000-0003-2686-2111</t>
  </si>
  <si>
    <t>1359-1045</t>
  </si>
  <si>
    <t>1461-7021</t>
  </si>
  <si>
    <t>CLIN CHILD PSYCHOL P</t>
  </si>
  <si>
    <t>Clin. Child Psychol. Psychiatry</t>
  </si>
  <si>
    <t>10.1177/13591045221106608</t>
  </si>
  <si>
    <t>Psychology, Clinical; Psychology, Developmental; Psychiatry; Psychology</t>
  </si>
  <si>
    <t>8M4WX</t>
  </si>
  <si>
    <t>WOS:000811265800001</t>
  </si>
  <si>
    <t>Fong, SF; Ong, YX; Ating, R; Besa, MS</t>
  </si>
  <si>
    <t>Fong, Sook Fun; Ong, Yi Xuan; Ating, Rashid; Besa, Maricar S.</t>
  </si>
  <si>
    <t>Exploring the intermediary effects of TikTok on Generation Z's visit intention</t>
  </si>
  <si>
    <t>Social media influencer; self-efficacy; perceived playfulness; perceived usefulness; visit intention; domestic tourism; TikTok</t>
  </si>
  <si>
    <t>TECHNOLOGY ACCEPTANCE; EMPIRICAL-EXAMINATION; PERCEIVED USEFULNESS; SELF-EFFICACY; SOCIAL MEDIA; CREDIBILITY; ADOPTION; TAM; PLAYFULNESS; PERCEPTIONS</t>
  </si>
  <si>
    <t>Short video applications, specifically TikTok, have been widely used in the tourism industry to engage audiences during COVID-19 and the post-pandemic era. However, there is limited research on TikTok's influence on domestic tourism recovery post-COVID. Guided by the technology acceptance model (TAM), social cognitive theory, and source credibility model, this study proposes a research model to examine the effectiveness of social media influencer TikTok videos on Generation Z's visit intentions towards domestic tourism destinations in Malaysia. 201 Generation Z Malaysians participated in the self-administered online questionnaire and data were analysed using IBM SPSS and SmartPLS 4.0. The study highlighted the significant mediating effect of self-efficacy in the extended TAM model, indicating the influences of TikTok-related perceptions and SMI credibility in enhancing the audience's self-efficacy to travel to the marketed destination. This study extends existing TAM research on utilising TikTok videos with SMI as a domestic destination marketing tool in the post-COVID-19 era, offering valuable insights to practitioners on harnessing the strengths of TikTok as an effective destination marketing tool and fostering a sense of self-efficacy among tourists, thereby contributing to the sustainable recovery of the industry.</t>
  </si>
  <si>
    <t>[Fong, Sook Fun] Univ Reading Malaysia, Gelang Patah, Malaysia; [Ong, Yi Xuan] Nanyang Technol Univ, Singapore, Singapore; [Ating, Rashid] Univ Malaya, Kuala Lumpur, Malaysia; [Besa, Maricar S.] Lyceum Philippines Univ, Manila, Philippines; [Ong, Yi Xuan] Nanyang Technol Univ, Wee Kim Wee Sch Commun &amp; Informat, 31 Nanyang Link, Singapore 637718, Singapore</t>
  </si>
  <si>
    <t>Nanyang Technological University; Universiti Malaya; Lyceum of the Philippines University; Nanyang Technological University</t>
  </si>
  <si>
    <t>Ong, YX (corresponding author), Nanyang Technol Univ, Wee Kim Wee Sch Commun &amp; Informat, 31 Nanyang Link, Singapore 637718, Singapore.</t>
  </si>
  <si>
    <t>yixuanong91@gmail.com</t>
  </si>
  <si>
    <t>Fong, Sook Fun/AAJ-8810-2020; Ong, Yi Xuan/AFX-6652-2022; Ating, Rashid/Z-1641-2018</t>
  </si>
  <si>
    <t>Fong, Sook Fun/0000-0001-6684-7683; Ong, Yi Xuan/0000-0001-9499-9799; Ating, Rashid/0000-0001-6716-8500</t>
  </si>
  <si>
    <t>2024 JAN 31</t>
  </si>
  <si>
    <t>10.1177/13567667241229449</t>
  </si>
  <si>
    <t>GR7H0</t>
  </si>
  <si>
    <t>WOS:001154459900001</t>
  </si>
  <si>
    <t>Dolev-Cohen, M; Brief, L; Cucci, G</t>
  </si>
  <si>
    <t>Dolev-Cohen, Michal; Brief, Limor; Cucci, Gaia</t>
  </si>
  <si>
    <t>#Sexuality: Sexuality Education Content in TikTok Israel Videos</t>
  </si>
  <si>
    <t>SEXUALITY &amp; CULTURE-AN INTERDISCIPLINARY JOURNAL</t>
  </si>
  <si>
    <t>TikTok; Sexuality; Sexuality education; Adolescents</t>
  </si>
  <si>
    <t>ADOLESCENTS; INTERNET; HEALTH; SEX; KNOWLEDGE; SATISFACTION; MEDIA</t>
  </si>
  <si>
    <t>The Internet has emerged as a significant source of knowledge about sexuality, particularly because of its anonymity and easy accessibility. The present study examined the sexual content found on TikTok, a social media platform popular with adolescents. The main research question focused on the types of sexual content and messages prevalent on TikTok. The study also explored the identity of those who share information about sexuality on TikTok, the most popular content consumed, and notable omissions. To address these inquiries, we conducted a content analysis of the top 100 videos tagged with the hashtag #sexuality on TikTok. The findings revealed eight recurring themes in the videos. Content creators on TikTok (TikTokers) promoted a positive perspective on sex, emphasizing pleasure and attraction as an alternative to traditional sexuality education, which tends to focus on the risks associated with teenage sexuality. The relationships portrayed in the videos rely on stereotypical gender norms, and the limited duration of the videos allows providing only superficial information. Topics such as watching porn or using contraceptives, which are considered important aspects of comprehensive sexuality education, were scarce or absent on the TikTok videos sampled. This study can help teachers and counsellors responsible for sexuality education programs better understand the content to which adolescents are exposed, enabling them to adapt their conversations and interactions with students accordingly.</t>
  </si>
  <si>
    <t>[Dolev-Cohen, Michal; Brief, Limor] Oranim Acad Coll Educ, Educ Counseling Program, Tivon, Israel; [Cucci, Gaia] Univ Cattolica Sacro Cuore, Dept Psychol, Ctr Res Dev &amp; Educ Dynam CRIdee, Milan, Italy</t>
  </si>
  <si>
    <t>Catholic University of the Sacred Heart</t>
  </si>
  <si>
    <t>Dolev-Cohen, M (corresponding author), Oranim Acad Coll Educ, Educ Counseling Program, Tivon, Israel.</t>
  </si>
  <si>
    <t>michal@netvision.net.il</t>
  </si>
  <si>
    <t>Dolev-Cohen, Michal/ABC-4977-2020; Dolev-Cohen, Michal/KLY-9115-2024</t>
  </si>
  <si>
    <t>Dolev-Cohen, Michal/0000-0003-2311-170X</t>
  </si>
  <si>
    <t>1095-5143</t>
  </si>
  <si>
    <t>1936-4822</t>
  </si>
  <si>
    <t>SEX CULT</t>
  </si>
  <si>
    <t>Sex. Cult.</t>
  </si>
  <si>
    <t>10.1007/s12119-023-10170-3</t>
  </si>
  <si>
    <t>XO1S9</t>
  </si>
  <si>
    <t>WOS:001100385000001</t>
  </si>
  <si>
    <t>Pham, L; Schneier, E; Dafonte, N; Posner, K; Thiemann, D; Vaidya, P; Timmapuri, S</t>
  </si>
  <si>
    <t>Pham, Liem; Schneier, Ezra; Dafonte, Natalia; Posner, Kevin; Thiemann, Daniel; Vaidya, Pranay; Timmapuri, Sarah</t>
  </si>
  <si>
    <t>TikTok and Cardiovascular Health: An Analysis of TikTok as a Potential Outlet to Increase Cardiovascular Health Literacy</t>
  </si>
  <si>
    <t>CIRCULATION</t>
  </si>
  <si>
    <t>American-Heart-Association's Epidemiology and Prevention/Lifestyle and Cardiometabolic Health Scientific Sessions</t>
  </si>
  <si>
    <t>NOV 11-13, 2023</t>
  </si>
  <si>
    <t>Philadelphia, PA</t>
  </si>
  <si>
    <t>Amer Heart Assoc</t>
  </si>
  <si>
    <t>Cardiovascular health; Mobile health; Health literacy; Health promotion; Cardiovascular</t>
  </si>
  <si>
    <t>Dafonte, Natalia/0000-0001-7430-3723</t>
  </si>
  <si>
    <t>0009-7322</t>
  </si>
  <si>
    <t>1524-4539</t>
  </si>
  <si>
    <t>Circulation</t>
  </si>
  <si>
    <t>NOV 7</t>
  </si>
  <si>
    <t>A13187</t>
  </si>
  <si>
    <t>10.1161/circ.148.suppl_1.13187</t>
  </si>
  <si>
    <t>Cardiac &amp; Cardiovascular Systems; Peripheral Vascular Disease</t>
  </si>
  <si>
    <t>Cardiovascular System &amp; Cardiology</t>
  </si>
  <si>
    <t>HE7V1</t>
  </si>
  <si>
    <t>WOS:001157891302123</t>
  </si>
  <si>
    <t>Fraticelli, L; Smentek, C; Tardivo, D; Masson, J; Clement, C; Roy, S; Dussart, C; Bourgeois, D; Carrouel, F</t>
  </si>
  <si>
    <t>Fraticelli, Laurie; Smentek, Colette; Tardivo, Delphine; Masson, Julien; Clement, Celine; Roy, Sylvain; Dussart, Claude; Bourgeois, Denis; Carrouel, Florence</t>
  </si>
  <si>
    <t>Characterizing the Content Related to Oral Health Education on TikTok</t>
  </si>
  <si>
    <t>oral health education; TikTok; young adult; prevention; social media</t>
  </si>
  <si>
    <t>INFORMATION; HYGIENE; GOVERNMENT; EFFICACY; ONLINE; ADULTS</t>
  </si>
  <si>
    <t>Neglecting oral hygiene in adolescents negatively affects dental caries and periodontal diseases, in addition to social and emotional well-being. Thus, the TikTok platform (ByteDance, Beijing, China)as a social media could be a powerful channel to provide health-related information and educational content. This study aims to assess the quality of the TikTok videos corresponding to #oralhealtheducation. Sixty-nine videos were identified. Three oral health professionals (OHP), three health education professionals (HEP), and ten of TikTok's target audience watched and evaluated the videos from a qualitative questionnaire. OHP detected false or incorrect information in 11.6% (8/69) of the videos. At least two HEPs reported being unable to detect this type of content or whether the video met dental ethics standards in both the videos. Disagreement was observed among the professionals themselves. The evaluation indicated that TikTok's target audience was satisfied with the products viewed with an average score of &gt;2.5, unlike the professionals, whose average score was &lt;2.5 on a scale of 0 to 5. Users are advised to think critically and to consider the content of TikTok oral health videos with caution. The involvement of health professionals in the writing and validation of the videos could be an added value to positively respond to the needs of the adolescents.</t>
  </si>
  <si>
    <t>[Fraticelli, Laurie; Smentek, Colette; Masson, Julien; Clement, Celine; Roy, Sylvain; Dussart, Claude; Bourgeois, Denis; Carrouel, Florence] Univ Lyon, Univ Claude Bernard Lyon 1, Res Unit, Hlth,Syst,Proc,UR 4129, F-69008 Lyon, France; [Tardivo, Delphine] Aix Marseille Univ, ADES, UMR 7268, F-13344 Marseille, France; [Clement, Celine] Univ Lorraine, Interpsy Lab, EA 4432, F-54015 Nancy, France</t>
  </si>
  <si>
    <t>Universite Claude Bernard Lyon 1; Aix-Marseille Universite; Centre National de la Recherche Scientifique (CNRS); Universite Bordeaux-Montaigne; CNRS - Institute of Ecology &amp; Environment (INEE); Universite de Lorraine</t>
  </si>
  <si>
    <t>Carrouel, F (corresponding author), Univ Lyon, Univ Claude Bernard Lyon 1, Res Unit, Hlth,Syst,Proc,UR 4129, F-69008 Lyon, France.</t>
  </si>
  <si>
    <t>laurie.fraticelli@univ-lyon1.fr; colettesmentek@yahoo.fr; delphine.tardivo@protonmail.com; julien.masson@univ-lyon1.fr; celine.clement@univ-lorraine.fr; sroy.psychologue@wanadoo.fr; claude.dussart@univ-lyon1.fr; denis.bourgeois@univ-lyon1.fr; florence.carrouel@univ-lyon1.fr</t>
  </si>
  <si>
    <t>Bourgeois, Denis/ABI-3060-2020; CLEMENT, celine/AAP-7274-2021; Carrouel, Florence/X-4952-2019; TARDIVO, Delphine/GLT-6563-2022; Dussart, claude/S-4689-2017; Fraticelli, Laurie/AHA-3973-2022</t>
  </si>
  <si>
    <t>, Julien Masson/0009-0008-4589-4139; Carrouel, Florence/0000-0002-6823-1636; SMENTEK, Colette/0000-0002-7266-3351; TARDIVO, Delphine/0000-0003-2952-4425; Bourgeois, Denis/0000-0003-4754-2512; Dussart, claude/0000-0002-1091-9139; CLEMENT, celine/0000-0001-9681-0208; Fraticelli, Laurie/0000-0002-2647-658X</t>
  </si>
  <si>
    <t>10.3390/ijerph182413260</t>
  </si>
  <si>
    <t>XZ8EU</t>
  </si>
  <si>
    <t>WOS:000737881100001</t>
  </si>
  <si>
    <t>Tolson, H; Wenger, D; Mccune, M; Alzahrani, F; Dupuy, E</t>
  </si>
  <si>
    <t>Tolson, Hannah; Wenger, Danielle; Mccune, Mariana; Alzahrani, Fatmah; Dupuy, Elizabeth</t>
  </si>
  <si>
    <t>TikTok as a Source of Medical Information: Port Wine Stain Birthmarks and Treatment Using Vascular Lasers</t>
  </si>
  <si>
    <t>tiktok; healthcare technology; social media; healthcare delivery; dermatology</t>
  </si>
  <si>
    <t>Background: As social media usage grows, more patients are turning to various platforms to gain and share medical information. One platform, TikTok, has become immensely popular, with over one billion users. Despite its potential use as an educational tool, TikTok can be unreliable and misleading as a medical information source. Objective: We aim to discuss the information available on TikTok regarding laser treatment for port wine stains (PWS).Methods: Two independent reviewers analyzed 200 TikTok videos with the hashtags #portwinestainlaser or #portwinestaintreatment, examining the video creator's role (e.g., patient, parent, physician, or other), tone towards PWS and treatment options, and content (e.g., educational or non-educational, mention of any treatment risks). Results: Most videos were produced by non-medical professionals (83%), and only a small number discussed the potential adverse effects of PWS treatment options (15%).Conclusion: While TikTok may have a role in educating patients about certain dermatologic conditions and treatment options, it is important to encourage patients to seek medical advice from a qualified medical professional before making any treatment decisions. Furthermore, the future of patient education may need to evolve to include social media platforms.</t>
  </si>
  <si>
    <t>[Tolson, Hannah; Mccune, Mariana] Univ Arizona, Dermatol, Coll Med, Phoenix, AZ 85724 USA; [Wenger, Danielle] Univ Arizona, Med, Coll Med, Phoenix, AZ USA; [Alzahrani, Fatmah; Dupuy, Elizabeth] Phoenix Childrens Hosp, Pediat Dermatol, Phoenix, AZ USA</t>
  </si>
  <si>
    <t>University of Arizona; University of Arizona; Phoenix Children's Hospital</t>
  </si>
  <si>
    <t>Tolson, H (corresponding author), Univ Arizona, Dermatol, Coll Med, Phoenix, AZ 85724 USA.</t>
  </si>
  <si>
    <t>htolson@arizona.edu</t>
  </si>
  <si>
    <t>SEP 12</t>
  </si>
  <si>
    <t>e45119</t>
  </si>
  <si>
    <t>10.7759/cureus.45119</t>
  </si>
  <si>
    <t>Y7CM8</t>
  </si>
  <si>
    <t>WOS:001106802900018</t>
  </si>
  <si>
    <t>Lin, J; de Kloet, J</t>
  </si>
  <si>
    <t>Lin, Jian; de Kloet, Jeroen</t>
  </si>
  <si>
    <t>TikTok and the platformisation from China: Geopolitical anxieties, repetitive creativities and future imaginaries</t>
  </si>
  <si>
    <t>China; future; geopolitics; platformization from China; repetitive creativity; TikTok</t>
  </si>
  <si>
    <t>In this special issue, we explore the geopolitics, aesthetics and future potentiality surrounding TikTok to assess the possibility and implications of a new phase of digital globalisation. A phase in which China-based innovative platform technologies, infused with state power, generate and potentially disrupt digital cultures in places outside China. We will further explore this in the next part of this introduction, showing how the global rise of TikTok is feeding into increasing geopolitical anxieties worldwide. At the same time, we argue for the need to diversify our approaches to TikTok and platform studies - the latter field is very much dominated by questions around production, monetisation, data and political economy. More approaches, focusing on aesthetics, visual culture and users, are needed. In the second part of this introduction, we mobilise the notion of repetitive creativities as a way to engage with the aesthetic affordances of TikTok. This brings us to our conclusion, in which we allude to the possibility that TikTok can be seen as a kind of silly archive, offering glimpses of a future that is not yet here, but that may well come.</t>
  </si>
  <si>
    <t>[Lin, Jian] Chinese Univ Hong Kong, Hong Kong, Peoples R China; [de Kloet, Jeroen] Univ Amsterdam, Amsterdam, Netherlands; [Lin, Jian] Chinese Univ Hong Kong, Sch Journalism &amp; Commun, Sha Tin, Room 419,Humanities Bldg, Hong Kong, Peoples R China</t>
  </si>
  <si>
    <t>Chinese University of Hong Kong; University of Amsterdam; Chinese University of Hong Kong</t>
  </si>
  <si>
    <t>Lin, J (corresponding author), Chinese Univ Hong Kong, Sch Journalism &amp; Commun, Sha Tin, Room 419,Humanities Bldg, Hong Kong, Peoples R China.</t>
  </si>
  <si>
    <t>Lin, Jian/AAE-1280-2019</t>
  </si>
  <si>
    <t>de Kloet, Jeroen/0000-0003-2314-5424; Lin, Jian/0000-0003-0436-0858</t>
  </si>
  <si>
    <t>10.1177/01634437231209203</t>
  </si>
  <si>
    <t>WOS:001087536300001</t>
  </si>
  <si>
    <t>Leveille, AD</t>
  </si>
  <si>
    <t>Leveille, Abigail D.</t>
  </si>
  <si>
    <t>Tell Me You Have ADHD Without Telling Me You Have ADHD: Neurodivergent Identity Performance on TikTok</t>
  </si>
  <si>
    <t>TikTok; identity; neurodivergent; performance; ADHD</t>
  </si>
  <si>
    <t>TWITTER; HUMOR</t>
  </si>
  <si>
    <t>User-generated content about attention-deficit/hyperactivity disorder (ADHD) is one of the most popular health topics on TikTok. Because most creators are lay people, yet they attract a wide audience, concerns have been raised about the accuracy of the information shared. Through critical discourse analysis of #actuallyADHD and #ADHDprobs videos, this study examines the content of these videos as they relate to creators' ADHD self-disclosure. Analysis showed that platform affordances and performance practices of videos focused on humor and personal experiences rather than educational medical content. I argue that in user-generated ADHD TikTok videos the performance strategies of creators and platform affordances of TikTok indicate these videos function as identity work rather than health information.</t>
  </si>
  <si>
    <t>[Leveille, Abigail D.] Univ Illinois, 1007 W Harrison St, Chicago, IL 60607 USA</t>
  </si>
  <si>
    <t>Leveille, AD (corresponding author), Univ Illinois, 1007 W Harrison St, Chicago, IL 60607 USA.</t>
  </si>
  <si>
    <t>alevei2@uic.edu</t>
  </si>
  <si>
    <t>10.1177/20563051241269260</t>
  </si>
  <si>
    <t>C6I0P</t>
  </si>
  <si>
    <t>WOS:001290374100001</t>
  </si>
  <si>
    <t>Barnes, D</t>
  </si>
  <si>
    <t>Barnes, Dylan</t>
  </si>
  <si>
    <t>Indigenous knowledge and creativities online: TikTok as a relational tool within the Indigenous art process</t>
  </si>
  <si>
    <t>ALTERNATIVE-AN INTERNATIONAL JOURNAL OF INDIGENOUS PEOPLES</t>
  </si>
  <si>
    <t>Aboriginal art; Indigenous; relationality; social media; storytelling; TikTok</t>
  </si>
  <si>
    <t>This article explores the potential of TikTok videos as a method of relational engagement for Indigenous artists. The concept of relationality is the foundation of Indigenous artistic practices, through which Indigenous art is representative of an ongoing process of knowledge sharing and connection rather than a final product. Within this process, art is given meaning through the extensive relationships that inform its stories and symbolism such as the artist's connections, ancestral knowledges, and both Indigenous and non-Indigenous audiences. The ways that Indigenous artists share their art on platforms such as TikTok play a key role in the Indigenous art process. Using data produced through content analysis of three TikTok videos, this article highlights the various ways that Indigenous artists use TikTok videos and its functions as a means of sharing knowledge, locating their identities, and maintaining extensive relationalities with themselves, community, Country, and ancestors.</t>
  </si>
  <si>
    <t>[Barnes, Dylan] Macquarie Univ, Dept Crit Indigenous Studies, Level 4,25B Wallys Walk,Wallumattagal Campus, Sydney, NSW 2109, Australia</t>
  </si>
  <si>
    <t>Macquarie University</t>
  </si>
  <si>
    <t>Barnes, D (corresponding author), Macquarie Univ, Dept Crit Indigenous Studies, Level 4,25B Wallys Walk,Wallumattagal Campus, Sydney, NSW 2109, Australia.</t>
  </si>
  <si>
    <t>Dylan.barnes@mq.edu.au</t>
  </si>
  <si>
    <t>Barnes, Dylan/0009-0006-3900-1934</t>
  </si>
  <si>
    <t>1177-1801</t>
  </si>
  <si>
    <t>1174-1740</t>
  </si>
  <si>
    <t>ALTERNATIVE</t>
  </si>
  <si>
    <t>Alternative</t>
  </si>
  <si>
    <t>10.1177/11771801241246731</t>
  </si>
  <si>
    <t>Ethnic Studies</t>
  </si>
  <si>
    <t>TS1B0</t>
  </si>
  <si>
    <t>WOS:001207987400001</t>
  </si>
  <si>
    <t>Teachable moments: TikTok social drama as a site of Black feminist intellectual production</t>
  </si>
  <si>
    <t>Social drama; social media; TikTok; Black feminism; Critical Technocultural Discourse Analysis</t>
  </si>
  <si>
    <t>This paper mobilizes Turner's concept of 'social drama' - dramatic social events marked by conflict, antagonism, and competition through which communities articulate social norms - to examine how users engage in drama to negotiate the intersecting race, gender, and sexual power dynamics on TikTok. Through an analysis of two TikTok social dramas, I demonstrate how the technological affordances of the platform shape how users respond to drama and argue TikTok's predominantly younger use-base utilize the platform to discuss, negotiate, and put in place socially progressive norms around racism, sexism, and homophobia. Further, I show how these dramas create opportunities for Black and of color women, femme, and queer TikTok users to engage in digital Black feminism by drawing on their lived experiences and using platform affordances to comment on the situation and educate other users. The paper concludes by considering the role of platform social dramas in bringing both opportunity and harm to marginalized users.</t>
  </si>
  <si>
    <t>[Peterson-Salahuddin, Chelsea] Univ Michigan, Sch Informat, 105 S State St,Off 4374, Ann Arbor, MI 48109 USA</t>
  </si>
  <si>
    <t>Peterson-Salahuddin, C (corresponding author), Univ Michigan, Sch Informat, 105 S State St,Off 4374, Ann Arbor, MI 48109 USA.</t>
  </si>
  <si>
    <t>2024 AUG 10</t>
  </si>
  <si>
    <t>10.1080/1369118X.2024.2388093</t>
  </si>
  <si>
    <t>C2K8U</t>
  </si>
  <si>
    <t>WOS:001287706400001</t>
  </si>
  <si>
    <t>McDonnell, EJ; Eagle, T; Sinlapanuntakul, P; Moon, SH; Ringland, KE; Froehlich, JE; Findlater, L</t>
  </si>
  <si>
    <t>McDonnell, Emma J.; Eagle, Tessa; Sinlapanuntakul, Pitch; Moon, Soo Hyun; Ringland, Kathryn E.; Froehlich, Jon E.; Findlater, Leah</t>
  </si>
  <si>
    <t>Caption It in an AccessibleWay That Is Also Enjoyable: Characterizing User-Driven Captioning Practices on TikTok</t>
  </si>
  <si>
    <t>PROCEEDINGS OF THE 2024 CHI CONFERENCE ON HUMAN FACTORS IN COMPUTING SYTEMS, CHI 2024</t>
  </si>
  <si>
    <t>captioning; TikTok; accessibility; user-generated video</t>
  </si>
  <si>
    <t>TELEVISION</t>
  </si>
  <si>
    <t>As user-generated video dominates media landscapes, it poses an accessibility challenge. While disability advocacy groups globally have secured hard-won accessibility regulations for broadcast media, no such regulation of user-generated content exists. Yet, one major player in this shift, TikTok, has a culture of user-generated, creative captioning. We sought to understand how TikTok videos are captioned and the impact current practices have on those who need captions to access audio content. Therefore, we conducted a content analysis of 300 open-captioned TikToks and contextualized these fndings by interviewing nine caption users. We found that the current state of TikTok captioning does facilitate access to the platform but that a user-generated, social video-specifc standard for captioning could improve caption quality and expand access. We contribute an empirical account of the state of TikTok captioning and outline steps toward a standard for user-generated captioning.</t>
  </si>
  <si>
    <t>[McDonnell, Emma J.; Sinlapanuntakul, Pitch; Moon, Soo Hyun; Findlater, Leah] Univ Washington, Human Centered Design &amp;Engn, Seattle, WA 98195 USA; [Eagle, Tessa; Ringland, Kathryn E.] Univ Calif Santa Cruz, Santa Cruz, CA USA; [Froehlich, Jon E.] Univ Washington, Paul G Allen Sch Comp Sci &amp; Engn, Seattle, WA USA</t>
  </si>
  <si>
    <t>University of Washington; University of Washington Seattle; University of California System; University of California Santa Cruz; University of Washington; University of Washington Seattle</t>
  </si>
  <si>
    <t>McDonnell, EJ (corresponding author), Univ Washington, Human Centered Design &amp;Engn, Seattle, WA 98195 USA.</t>
  </si>
  <si>
    <t>ejm249@uw.edu; teagle@ucsc.edu; wspitch@uw.edu; msoohyun88@gmail.com; kringlan@ucsc.edu; jonf@cs.uw.edu; leahkf@uw.edu</t>
  </si>
  <si>
    <t>Froehlich, Jon/0000-0001-8291-3353; Ringland, Kathryn/0000-0002-3760-1390; Findlater, Leah/0000-0002-5619-4452; Eagle, Tessa/0000-0001-8777-7725; McDonnell, Emma/0000-0001-7976-0886</t>
  </si>
  <si>
    <t>National Science Foundation [IIS-1763199]; National Science Foundation Graduate Research Fellowship Program [DGE-2140004]; University of Washington's CREATE center</t>
  </si>
  <si>
    <t>National Science Foundation(National Science Foundation (NSF)); National Science Foundation Graduate Research Fellowship Program(National Science Foundation (NSF)); University of Washington's CREATE center</t>
  </si>
  <si>
    <t>We thank our colleagues Aashaka Desai and Steven Goodman for their support and input over the course of this study. Our work was made possible by captioners, interpreters, and the University of Washington's Deaf and hard of hearing services coordinator, Dimitri Azadi. We thank our participants for their invaluable insights. This work was partly supported by the National Science Foundation under Grant No. IIS-1763199, the National Science Foundation Graduate Research Fellowship Program under Grant No. DGE-2140004, and by the University of Washington's CREATE center.</t>
  </si>
  <si>
    <t>10.1145/3613904.3642177</t>
  </si>
  <si>
    <t>BX1ZC</t>
  </si>
  <si>
    <t>WOS:001255317905020</t>
  </si>
  <si>
    <t>Michell, AG</t>
  </si>
  <si>
    <t>Michell, Adrianna Grace</t>
  </si>
  <si>
    <t>On losing the dispensable sense: TikTok imitation publics and COVID-19 smell loss challenges</t>
  </si>
  <si>
    <t>community and interaction online; covid-19 pandemic; imitation publics; smell; social media; TikTok</t>
  </si>
  <si>
    <t>The enduring effects of COVID-19 have called into question many of the assumptions upon which media and cultural studies rest, including a fundamental mode of perception: the sense of smell. In dialog with the field of sensory studies, this paper traces digital smell loss (anosmia) communities from pre-pandemic Facebook groups to mid-pandemic TikTok challenges. This article considers digital smell loss communities on TikTok as imitation publics characterized by repetition. Via replicable TikTok challenges, digital smell-loss communities reckoned with the unmooring effects of a seemingly mild symptom. By exploring how formulaic smell-loss challenges generated support and facilitated community-building, this article demands greater attention to a sense often considered 'disposable'.</t>
  </si>
  <si>
    <t>[Michell, Adrianna Grace] Univ Toronto, Toronto, ON, Canada; [Michell, Adrianna Grace] Univ Toronto, 170 St George St, 6th Floor, Toronto, ON M5R 2M8, Canada</t>
  </si>
  <si>
    <t>University of Toronto; University of Toronto</t>
  </si>
  <si>
    <t>Michell, AG (corresponding author), Univ Toronto, 170 St George St, 6th Floor, Toronto, ON M5R 2M8, Canada.</t>
  </si>
  <si>
    <t>adrianna.michell@mail.utoronto.ca</t>
  </si>
  <si>
    <t>Michell, Adrianna/0000-0003-1897-5052</t>
  </si>
  <si>
    <t>10.1177/01634437221146904</t>
  </si>
  <si>
    <t>F3OX0</t>
  </si>
  <si>
    <t>WOS:000912558100001</t>
  </si>
  <si>
    <t>Siles, I; Valerio-Alfaro, L; Meléndez-Moran, A</t>
  </si>
  <si>
    <t>Siles, Ignacio; Valerio-Alfaro, Luciana; Melendez-Moran, Ariana</t>
  </si>
  <si>
    <t>Learning to like TikTok . . . and not: Algorithm awareness as process</t>
  </si>
  <si>
    <t>Algorithms; awareness; diaries; folk theories; Latin America; personalization; process; rhythm; temporality; TikTok</t>
  </si>
  <si>
    <t>This article analyzes algorithm awareness as a process-a series of activities intended to reach a goal over time. It examines how a group of Costa Ricans understood, felt about, and related to TikTok and its algorithms as they began using the app for the first time. Data come from diary entries completed by 43 participants about their use of TikTok over a month and seven focus groups with these diarists. The article discusses five activities through which users expressed developing forms of awareness of TikToks' algorithms and enacted various rhythms in the experience of the app: managing expectations about what TikTok is and how it works; training the app; experiencing a sense of algorithmic personalization; dealing with oscillations in the pertinence of recommendations; and showing various forms of rejection of TikTok. The article then considers some implications of bringing time to the fore in the study of algorithm awareness.</t>
  </si>
  <si>
    <t>[Siles, Ignacio; Valerio-Alfaro, Luciana; Melendez-Moran, Ariana] Univ Costa Rica, San Jose, Costa Rica</t>
  </si>
  <si>
    <t>Universidad Costa Rica</t>
  </si>
  <si>
    <t>Siles, I (corresponding author), Univ Costa Rica, Sch Commun, San Jose 115012060, Costa Rica.</t>
  </si>
  <si>
    <t>ignacio.siles@ucr.ac.cr</t>
  </si>
  <si>
    <t>Siles, Ignacio/ABF-6087-2020</t>
  </si>
  <si>
    <t>10.1177/14614448221138973</t>
  </si>
  <si>
    <t>DEC 2022</t>
  </si>
  <si>
    <t>G4D0X</t>
  </si>
  <si>
    <t>WOS:000896764200001</t>
  </si>
  <si>
    <t>Alley, A; Hanshew, J</t>
  </si>
  <si>
    <t>Alley, Adam; Hanshew, Jody</t>
  </si>
  <si>
    <t>A long article about short videos: A content analysis of US academic libraries' use of TikTok</t>
  </si>
  <si>
    <t>JOURNAL OF ACADEMIC LIBRARIANSHIP</t>
  </si>
  <si>
    <t>Social media; Academic libraries; TikTok; Content analysis; User engagement</t>
  </si>
  <si>
    <t>TikTok, a social media platform that focuses on short form videos, has gained a high level of popularity, particularly among young adults. Because libraries are always looking for ways to engage with their patrons, the popularity among this demographic provides an opportunity for college and university libraries to do so. This study analyzed and categorized the videos within 15 academic library TikTok accounts in order to answer two questions: 1) How do academic libraries use TikTok? and 2) Is there a correlation between content category and user interaction on academic library TikTok accounts? The results show that humanizing or fun videos were most utilized by academic libraries, followed by videos including or highlighting collections and spaces. Results also demonstrated that humanizing and fun videos received the highest amount of user engagement. This differs from previous studies on other types of social media wherein news and announcements or events were often the dominant categories.</t>
  </si>
  <si>
    <t>[Alley, Adam; Hanshew, Jody] Emory &amp; Henry Coll, 30480 Armbrister Dr, Emory, VA 24327 USA</t>
  </si>
  <si>
    <t>Hanshew, J (corresponding author), Emory &amp; Henry Coll, 30480 Armbrister Dr, Emory, VA 24327 USA.</t>
  </si>
  <si>
    <t>aalley@ehc.edu; jhanshew@ehc.edu</t>
  </si>
  <si>
    <t>Hanshew, Jody/JNE-8202-2023</t>
  </si>
  <si>
    <t>0099-1333</t>
  </si>
  <si>
    <t>1879-1999</t>
  </si>
  <si>
    <t>J ACAD LIBR</t>
  </si>
  <si>
    <t>J. Acad. Librariansh.</t>
  </si>
  <si>
    <t>10.1016/j.acalib.2022.102611</t>
  </si>
  <si>
    <t>5O5XJ</t>
  </si>
  <si>
    <t>WOS:000872545600004</t>
  </si>
  <si>
    <t>Fung, A; Hu, YY</t>
  </si>
  <si>
    <t>Fung, Anthony; Hu, Yunyi</t>
  </si>
  <si>
    <t>Douyin, storytelling, and national discourse</t>
  </si>
  <si>
    <t>INTERNATIONAL COMMUNICATION OF CHINESE CULTURE</t>
  </si>
  <si>
    <t>TikTok; Douyin; Social media; National discourse; Technology innovation</t>
  </si>
  <si>
    <t>SOCIAL MEDIA; POSITIVE ENERGY; CHINA</t>
  </si>
  <si>
    <t>Following its debut in China, TikTok has become the first short video platform to gain global popularity. The world's obsession with TikTok can be attributed to its creative methods for content generation and dissemination. These attributes heralded the arrival of a new era in which, with the rise of grassroots creators on short video platforms, cultural production and consumption have been profoundly changed. Through examining Douyin (the Chinese version of TikTok), this study delves into the important but under-investigated consensus-building function of TikTok/Douyin to unveil how social media can be used to create a citizens' platform for unity and cohesion. TikTok has led a new generation of global culture not through content innovation but through technology innovation; this has improved China's soft power through strengthening its digital power. This paper provides insights onto the role of digital innovation in national discourse.</t>
  </si>
  <si>
    <t>[Fung, Anthony; Hu, Yunyi] Chinese Univ Hong Kong, Hong Kong, Peoples R China</t>
  </si>
  <si>
    <t>Chinese University of Hong Kong</t>
  </si>
  <si>
    <t>Fung, A (corresponding author), Chinese Univ Hong Kong, Hong Kong, Peoples R China.</t>
  </si>
  <si>
    <t>anthonyfung@cuhk.edu.hk</t>
  </si>
  <si>
    <t>Fung, Anthony/N-5677-2016; Hu, Yunyi/GXF-9055-2022</t>
  </si>
  <si>
    <t>Hu, Yunyi/0000-0002-5651-0283</t>
  </si>
  <si>
    <t>Key Fund of the National Social Science Foundation of China [18ZD12]</t>
  </si>
  <si>
    <t>Key Fund of the National Social Science Foundation of China(National Office of Philosophy and Social Sciences)</t>
  </si>
  <si>
    <t>This research project is funded by a grant from the Key Fund of the National Social Science Foundation of China: Arts category (18ZD12).</t>
  </si>
  <si>
    <t>2197-4233</t>
  </si>
  <si>
    <t>2197-4241</t>
  </si>
  <si>
    <t>INT COMMUN CHIN CULT</t>
  </si>
  <si>
    <t>Int. Commun. Chin. Cult.</t>
  </si>
  <si>
    <t>3-4</t>
  </si>
  <si>
    <t>10.1007/s40636-022-00259-z</t>
  </si>
  <si>
    <t>Area Studies; Asian Studies</t>
  </si>
  <si>
    <t>7I0NU</t>
  </si>
  <si>
    <t>WOS:000903593500002</t>
  </si>
  <si>
    <t>Ramsden, E; Talbot, CV</t>
  </si>
  <si>
    <t>Ramsden, Ethan; Talbot, Catherine V.</t>
  </si>
  <si>
    <t>The Role of TikTok in Students' Health and Wellbeing</t>
  </si>
  <si>
    <t>INTERNATIONAL JOURNAL OF MENTAL HEALTH AND ADDICTION</t>
  </si>
  <si>
    <t>Students; Social media; TikTok; Wellbeing; Algorithm</t>
  </si>
  <si>
    <t>SOCIAL MEDIA USE; MIDDLE-INCOME COUNTRIES; MENTAL-HEALTH; COLLEGE-STUDENTS; NETWORKING SITES; SELF-HARM; EDUCATIONAL-ATTAINMENT; RISK-FACTORS; ADOLESCENTS; DISORDERS</t>
  </si>
  <si>
    <t>Students are exposed to various academic, financial and psychosocial stressors while studying at a university, and have increasingly turned to social media to alleviate stress and access social support. While evidence suggests that social networking sites may promote health awareness and health-protective behaviours, little research has explored TikTok, a relatively new platform with over 800 million active users. Seven university students (6 females, 1 non-binary; all White British; mean age = 20.57) were interviewed about their experiences on TikTok, their motivations behind using it and its effects on their psychological wellbeing. A thematic analysis of this data revealed that while TikTok use temporarily relieved academic stress, it also encouraged addictive behaviour and upward social comparisons. These differential effects were largely mediated by TikTok's algorithm, which recommended content based on users' previous interactions.</t>
  </si>
  <si>
    <t>[Ramsden, Ethan] Cambian Wing Coll, Cambian Grp, Bournemouth, England; [Talbot, Catherine V.] Bournemouth Univ, Dept Psychol, Bournemouth, England</t>
  </si>
  <si>
    <t>Bournemouth University</t>
  </si>
  <si>
    <t>Ramsden, E (corresponding author), Cambian Wing Coll, Cambian Grp, Bournemouth, England.</t>
  </si>
  <si>
    <t>ramsdenethan5@gmail.com; ctalbot@bournemouth.ac.uk</t>
  </si>
  <si>
    <t>Talbot, Catherine/Y-8699-2019</t>
  </si>
  <si>
    <t>1557-1874</t>
  </si>
  <si>
    <t>1557-1882</t>
  </si>
  <si>
    <t>INT J MENT HEALTH AD</t>
  </si>
  <si>
    <t>Int. J. Mental Health Addict.</t>
  </si>
  <si>
    <t>2024 JAN 5</t>
  </si>
  <si>
    <t>10.1007/s11469-023-01224-6</t>
  </si>
  <si>
    <t>Psychology, Clinical; Substance Abuse; Psychiatry</t>
  </si>
  <si>
    <t>Psychology; Substance Abuse; Psychiatry</t>
  </si>
  <si>
    <t>EC6X1</t>
  </si>
  <si>
    <t>WOS:001136765800001</t>
  </si>
  <si>
    <t>DeMasters, C; Morgan, K; Schwoerer, K; Wiley, K</t>
  </si>
  <si>
    <t>DeMasters, Chelsea; Morgan, Katherine; Schwoerer, Kayla; Wiley, Kimberly</t>
  </si>
  <si>
    <t>Forging Connections: Nonprofits, TikTok, and Authentic Engagement - A Mixed-Methods Study</t>
  </si>
  <si>
    <t>JOURNAL OF PUBLIC AND NONPROFIT AFFAIRS</t>
  </si>
  <si>
    <t>nonprofits; social media; microvlogs; TikTok</t>
  </si>
  <si>
    <t>SOCIAL MEDIA; ORGANIZATIONS; STAKEHOLDERS; INFORMATION; COMMUNITY</t>
  </si>
  <si>
    <t>TikTok, a social media platform designed for sharing short videos (microvlogs), provides an opportunity to learn how nonprofits adapt and implement social media strategies. Similarly, exploring nonprofits' behavior on TikTok is useful for analyzing the impact that strategy has on the content nonprofits produce and user engagement. Using a mixedmethods design, this study analyzed data from 29 interviews and 575 microvlogs to answer three questions. First, how are nonprofits incorporating microvlogging into their social media strategy? Second, applying the hierarchy of engagement framework, do nonprofits produce social media content aligned with their expressed strategy? Finally, does alignment between strategy and output affect user engagement? The findings indicate that, unlike Facebook and Twitter/X, nonprofits on TikTok harness community-building content to facilitate information sharing and action. Strategy-output alignment significantly increases user engagement, but only for community-building content. Thus, social media strategy may be less important than authenticity on TikTok.</t>
  </si>
  <si>
    <t>[DeMasters, Chelsea] Univ Florida, Dept Family Youth &amp; Community Sci, Gainesville, FL 32611 USA; [Morgan, Katherine] Univ Florida, Disabil Resource Ctr Hlth Sci Programs, Gainesville, FL USA; [Schwoerer, Kayla] SUNY Albany, Dept Publ Adm &amp; Policy, Albany, NY USA; [Wiley, Kimberly] Univ Florida, Dept Family Youth &amp; Community Sci, Nonprofit Leadership &amp; Community Dev, Gainesville, FL USA</t>
  </si>
  <si>
    <t>State University System of Florida; University of Florida; State University System of Florida; University of Florida; State University of New York (SUNY) System; University at Albany, SUNY; State University System of Florida; University of Florida</t>
  </si>
  <si>
    <t>DeMasters, C (corresponding author), Univ Florida, Dept Family Youth &amp; Community Sci, Gainesville, FL 32611 USA.</t>
  </si>
  <si>
    <t>Wiley, Kimberly/AEK-5346-2022; Schwoerer, Kayla/AAB-5600-2022</t>
  </si>
  <si>
    <t>Schwoerer, Kayla/0000-0002-9856-7587; Wiley, Kimberly/0000-0002-5921-5837</t>
  </si>
  <si>
    <t>Acknowledgments The authors would like to thank the UF Nonprofit &amp; Advocacy Lab coding team for its contribution to building the TikTok data set: Isaiah Arias, Marlen Barajas Espinosa, Brianna Burte, Alanna Koch, Fraleigh Krause, Micayla Richardson, and Talia Skollar. The team also thanks David Campbell for his generous feedback on this project.</t>
  </si>
  <si>
    <t>MIDWEST PUBLIC AFFAIRS CONFERENCE</t>
  </si>
  <si>
    <t>RALEIGH</t>
  </si>
  <si>
    <t>MIDWEST PUBLIC AFFAIRS CONFERENCE, RALEIGH, NC 00000 USA</t>
  </si>
  <si>
    <t>2381-3717</t>
  </si>
  <si>
    <t>J PUBLIC NONPROFIT A</t>
  </si>
  <si>
    <t>J. Public Nonprofit Aff.</t>
  </si>
  <si>
    <t>SPR</t>
  </si>
  <si>
    <t>10.20899/jpna.dky82f18</t>
  </si>
  <si>
    <t>Public Administration</t>
  </si>
  <si>
    <t>D0D1S</t>
  </si>
  <si>
    <t>WOS:001292969100003</t>
  </si>
  <si>
    <t>Literat, I; Kligler-Vilenchik, N</t>
  </si>
  <si>
    <t>Literat, Ioana; Kligler-Vilenchik, Neta</t>
  </si>
  <si>
    <t>TikTok as a Key Platform for Youth Political Expression: Reflecting on the Opportunities and Stakes Involved</t>
  </si>
  <si>
    <t>TikTok; musical; ly; youth; political expression; activism</t>
  </si>
  <si>
    <t>Reflecting on 6 years of our research-which began on musical.ly and transitioned into TikTok-we argue that TikTok is a vital space to study social movements due to its centrality in youth lives and its ability to give voice to youth political expression in richly creative ways. We see the political expression happening on TikTok as a harbinger of the changing nature of this phenomenon, and a necessary impetus to broaden our understandings of activism and political expression today. At the same time, we must also consider the implications of TikTok becoming such a valuable space for youth politics and activism, in terms of the kinds of expression it affords or constrains, and the power it gives the platform. In closing, we encourage scholars to maintain a balanced and constructive approach in researching the platform, and embrace the messiness and complexity inherent in this endeavor-which mirrors the messiness and complexity of the platform itself.</t>
  </si>
  <si>
    <t>[Literat, Ioana] Columbia Univ, Teachers Coll, Commun Media &amp; Learning Technol Design program, New York, NY USA; [Kligler-Vilenchik, Neta] Hebrew Univ Jerusalem, Dept Commun &amp; Journalism, Jerusalem, Israel; [Literat, Ioana] Columbia Univ, Teachers Coll, 525 West 120th St,Box 019, New York, NY 10027 USA</t>
  </si>
  <si>
    <t>Columbia University; Columbia University Teachers College; Hebrew University of Jerusalem; Columbia University; Columbia University Teachers College</t>
  </si>
  <si>
    <t>Literat, I (corresponding author), Columbia Univ, Teachers Coll, 525 West 120th St,Box 019, New York, NY 10027 USA.</t>
  </si>
  <si>
    <t>Literat, Ioana/0000-0001-8192-769X; Kligler-Vilenchik, Neta/0000-0003-3470-3305</t>
  </si>
  <si>
    <t>10.1177/20563051231157595</t>
  </si>
  <si>
    <t>9I7UA</t>
  </si>
  <si>
    <t>WOS:000939709300001</t>
  </si>
  <si>
    <t>Merga, MK</t>
  </si>
  <si>
    <t>Merga, Margaret Kristin</t>
  </si>
  <si>
    <t>TikTok and digital health literacy: A systematic review</t>
  </si>
  <si>
    <t>IFLA JOURNAL-INTERNATIONAL FEDERATION OF LIBRARY ASSOCIATIONS</t>
  </si>
  <si>
    <t>Review; Early Access</t>
  </si>
  <si>
    <t>Digital health literacy; health information; health literacy; social media; TikTok</t>
  </si>
  <si>
    <t>Individuals need digital health literacy in order to locate, comprehend and evaluate the credibility of online health information. Users of the social media platform TikTok may commonly encounter health information whether they seek it or not. The interplay between TikTok and digital health literacy is not well understood, and thus 170 million US-based users are approaching a nation-wide ban on TikTok without a solid research-informed understanding of what this means for those using this platform to source health information and to engage with an online health community relevant to their health needs. This systematic review captures the small pool of relevant peer-reviewed research, using an additional layer of quality control through journal checking as a novel addition. The key preoccupations and findings in this literature are related to implications for US users in the event of a TikTok ban, as well as the needs of library-based educators globally.</t>
  </si>
  <si>
    <t>[Merga, Margaret Kristin] Univ Notre Dame, Sch Educ, Notre Dame, IN USA</t>
  </si>
  <si>
    <t>University of Notre Dame</t>
  </si>
  <si>
    <t>Merga, MK (corresponding author), Univ Notre Dame Australia, Sch Educ, 2 Mouat St, Fremantle, WA 6160, Australia.</t>
  </si>
  <si>
    <t>margaret.merga@nd.edu.au</t>
  </si>
  <si>
    <t>Merga, Margaret/AAW-2536-2020</t>
  </si>
  <si>
    <t>Merga, Margaret/0000-0002-9009-3700</t>
  </si>
  <si>
    <t>0340-0352</t>
  </si>
  <si>
    <t>1745-2651</t>
  </si>
  <si>
    <t>IFLA J-INT FED LIBR</t>
  </si>
  <si>
    <t>IFLA J.-Int. Fed. Libr. Assoc.</t>
  </si>
  <si>
    <t>2024 NOV 6</t>
  </si>
  <si>
    <t>10.1177/03400352241286175</t>
  </si>
  <si>
    <t>NOV 2024</t>
  </si>
  <si>
    <t>L2Y5Y</t>
  </si>
  <si>
    <t>WOS:001349428600001</t>
  </si>
  <si>
    <t>Abidin, C; Lee, J; Kaye, DBV</t>
  </si>
  <si>
    <t>Abidin, Crystal; Lee, Jin; Kaye, D. Bondy Valdovinos</t>
  </si>
  <si>
    <t>Introduction to the Media International Australia special issue on TikTok cultures in the Asia Pacific</t>
  </si>
  <si>
    <t>TikTok; Short video; Asia Pacific; COVID-19; Social media</t>
  </si>
  <si>
    <t>The editors of this Feature Topic are founding members of the TikTok Cultures Research Network that focuses on culturally-situated and qualitatively-grounded scholarship on TikTok in the Asia Pacific region. This Feature Topic collection for Media International Australia is our second in a string of Special Issues on TikTok, each primed to interrogate the platform from different scholarly vantage points while remaining committed to surfacing, highlighting, and strengthening research from, by, and about contexts in the margins. In this Feature Topic issue, we focus on the Asia Pacific region to understand the socio-cultural impacts, creative circumventions, and agentic employments of TikTok since its installation. Given the timing of symposium and intellectual inquiries, these studies have also naturally considered the cascading impacts and consequences of the COVID-19 pandemic on platform use, meaning making, and the habitable spaces we make for ourselves and for each other in times of crisis.</t>
  </si>
  <si>
    <t>[Abidin, Crystal; Lee, Jin] Curtin Univ, Perth, WA, Australia; [Kaye, D. Bondy Valdovinos] Univ Leeds, Leeds, France</t>
  </si>
  <si>
    <t>Curtin University</t>
  </si>
  <si>
    <t>Abidin, C (corresponding author), Curtin Univ, Internet Studies, GPO Box 1987, Perth, WA 6845, Australia.</t>
  </si>
  <si>
    <t>crystalabidin@gmail.com</t>
  </si>
  <si>
    <t>Australian Research Council [DE190100789]; Faculty of Humanities, Curtin University; Australian Research Council [DE190100789] Funding Source: Australian Research Council</t>
  </si>
  <si>
    <t>Australian Research Council(Australian Research Council); Faculty of Humanities, Curtin University; Australian Research Council(Australian Research Council)</t>
  </si>
  <si>
    <t>The authors disclosed receipt of the following financial support for the research, authorship, and/or publication of this article: This work was supported by the Australian Research Council (grant number DE190100789). The event on which this Feature Topic collection is based was supported by Strategic Research Investment by the Faculty of Humanities, Curtin University.</t>
  </si>
  <si>
    <t>10.1177/1329878X221130126</t>
  </si>
  <si>
    <t>WOS:000869419300001</t>
  </si>
  <si>
    <t>Kirkpatrick, CE; Lawrie, LL</t>
  </si>
  <si>
    <t>Kirkpatrick, Ciera E.; Lawrie, LaRissa L.</t>
  </si>
  <si>
    <t>TikTok as a Source of Health Information and Misinformation for Young Women in the United States: Survey Study</t>
  </si>
  <si>
    <t>JMIR INFODEMIOLOGY</t>
  </si>
  <si>
    <t>credibility perceptions; health information; health misinformation; information seeking; misinformation perceptions; public; health; social media; strategic communication; third -person effect; TikTok</t>
  </si>
  <si>
    <t>GENDER-DIFFERENCES</t>
  </si>
  <si>
    <t>Background: TikTok is one of the most -used and fastest-growing social media platforms in the world, and recent reports indicate that it has become an increasingly popular source of news and information in the United States. These trends have important implications for public health because an abundance of health information exists on the platform. Women are among the largest group of TikTok users in the United States and may be especially affected by the dissemination of health information on TikTok. Prior research has shown that women are not only more likely to look for information on the internet but are also more likely to have their health-related behaviors and perceptions affected by their involvement with social media. Objective: We conducted a survey of young women in the United States to better understand their use of TikTok for health information as well as their perceptions of TikTok's health information and health communication sources. Methods: A web-based survey of US women aged 18 to 29 years (N=1172) was conducted in April -May 2023. The sample was recruited from a Qualtrics research panel and 2 public universities in the United States. Results: The results indicate that the majority of young women in the United States who have used TikTok have obtained health information from the platform either intentionally (672/1026, 65.5%) or unintentionally (948/1026, 92.4%). Age (959/1026, 93.47%; r =0.30; P &lt;.001), education (959/1026, 93.47%; rho=0.10; P =.001), and TikTok intensity (ie, participants' emotional connectedness to TikTok and TikTok's integration into their daily lives; 959/1026, 93.47%; r =0.32; P &lt;.001) were positively correlated with overall credibility perceptions of the health information. Nearly the entire sample reported that they think that misinformation is prevalent on TikTok to at least some extent (1007/1026, 98.15%), but a third-person effect was found because the young women reported that they believe that other people are more susceptible to health misinformation on TikTok than they personally are ( t 1025 =21.16; P &lt;.001). Both health professionals and general users were common sources of health information on TikTok: 93.08% (955/1026) of the participants indicated that they had obtained health information from a health professional, and 93.86% (963/1026) indicated that they had obtained health information from a general user. The respondents showed greater preference for health information from health professionals (vs general users; t 1025 =23.75; P &lt;.001); the respondents also reported obtaining health information from health professionals more often than from general users ( t 1025 =8.13; P &lt;.001), and they were more likely to act on health information from health professionals (vs general users; t 1025 =12.74; P &lt;.001). Conclusions: The findings suggest that health professionals and health communication scholars need to proactively consider using TikTok as a platform for disseminating health information to young women because young women are obtaining health information from TikTok and prefer information from health professionals.</t>
  </si>
  <si>
    <t>[Kirkpatrick, Ciera E.] Univ Nebraska Lincoln, Coll Journalism &amp; Mass Commun, 331 Andersen Hall, Lincoln, NE 68588 USA; [Lawrie, LaRissa L.] Univ Missouri, Sch Journalism, Columbia, MO USA</t>
  </si>
  <si>
    <t>University of Nebraska System; University of Nebraska Lincoln; University of Missouri System; University of Missouri Columbia</t>
  </si>
  <si>
    <t>Kirkpatrick, CE (corresponding author), Univ Nebraska Lincoln, Coll Journalism &amp; Mass Commun, 331 Andersen Hall, Lincoln, NE 68588 USA.</t>
  </si>
  <si>
    <t>ciera.kirkpatrick@unl.edu</t>
  </si>
  <si>
    <t>Kirkpatrick, Ciera/GOG-8671-2022</t>
  </si>
  <si>
    <t>Lawrie, LaRissa/0000-0002-1756-2240; Kirkpatrick, Ciera/0000-0002-2598-753X</t>
  </si>
  <si>
    <t>Association for Education in Journalism and Mass Communication</t>
  </si>
  <si>
    <t>This study was supported by an Emerging Scholars grant from the Association for Education in Journalism and Mass Communication.</t>
  </si>
  <si>
    <t>2564-1891</t>
  </si>
  <si>
    <t>JMIR INFODEMIOL</t>
  </si>
  <si>
    <t>JMIR Infodemiology</t>
  </si>
  <si>
    <t>e54663</t>
  </si>
  <si>
    <t>10.2196/54663</t>
  </si>
  <si>
    <t>Health Care Sciences &amp; Services; Public, Environmental &amp; Occupational Health</t>
  </si>
  <si>
    <t>SN1L2</t>
  </si>
  <si>
    <t>WOS:001235038600001</t>
  </si>
  <si>
    <t>Barta, S; Belanche, D; Fernández, A; Flavián, M</t>
  </si>
  <si>
    <t>Barta, Sergio; Belanche, Daniel; Fernandez, Ana; Flavian, Marta</t>
  </si>
  <si>
    <t>Influencer marketing on TikTok: The effectiveness of humor and followers' hedonic experience</t>
  </si>
  <si>
    <t>JOURNAL OF RETAILING AND CONSUMER SERVICES</t>
  </si>
  <si>
    <t>TikTok; Influencer marketing; Humor; Opinion leadership; Social Media; Online video</t>
  </si>
  <si>
    <t>WORD-OF-MOUTH; CUSTOMER ENGAGEMENT; CONSUMER CHOICE; OPINION LEADERS; PERSUASION; ONLINE; FACEBOOK; PARTICIPANTS; INSTAGRAM; INTENTION</t>
  </si>
  <si>
    <t>This work examines the determinants of the success of influencer marketing on the youth-focused TikTok, the fastest growing social network. It analyses the effects of influencers' account characteristics (originality, quality, quantity and humor) on their followers' hedonic experience and perceived opinion leadership, and how these impact on their intentions to follow influencers' accounts and advice. A survey of followers of a popular Spanish TikTok influencer showed that originality and opinion leadership play important roles and that, because TikTok is distinctive, humor increased the effectiveness of messages (through hedonic experience). Suggestions are made to advance the understanding of this novel phenomenon.</t>
  </si>
  <si>
    <t>[Barta, Sergio; Belanche, Daniel; Fernandez, Ana; Flavian, Marta] Univ Zaragoza, Fac Econ &amp; Business, Gran Via 2, Zaragoza 50005, Spain</t>
  </si>
  <si>
    <t>University of Zaragoza</t>
  </si>
  <si>
    <t>Belanche, D (corresponding author), Univ Zaragoza, Fac Econ &amp; Business, Gran Via 2, Zaragoza 50005, Spain.</t>
  </si>
  <si>
    <t>sbarta@unizar.es; belan@unizar.es; anafernandezizq@gmail.com; mflavian@unizar.es</t>
  </si>
  <si>
    <t>Barta, Sergio/AAM-4276-2021; Flavián, Marta/AAC-3951-2022; Belanche Gracia, Daniel/D-2200-2016</t>
  </si>
  <si>
    <t>Belanche Gracia, Daniel/0000-0002-2291-1409; Barta, Sergio/0000-0001-8353-3870</t>
  </si>
  <si>
    <t>Spanish Ministry of Science, Innovation and Universities [PID2019-105468RB-I00, FPU 18/02037]; European Social Fund; Government of Aragon [S20_20R, 2020-2024 BOA CUS/581/2020]</t>
  </si>
  <si>
    <t>Spanish Ministry of Science, Innovation and Universities(Spanish Government); European Social Fund(European Social Fund (ESF)); Government of Aragon(Gobierno de Aragon)</t>
  </si>
  <si>
    <t>This work was supported by the Spanish Ministry of Science, Innovation and Universities under Grant PID2019-105468RB-I00 and FPU 18/02037; European Social Fund and the Government of Aragon (METODO Research Group S20_20R, and pre-doctoral grant 2020-2024 BOA CUS/581/2020).</t>
  </si>
  <si>
    <t>0969-6989</t>
  </si>
  <si>
    <t>1873-1384</t>
  </si>
  <si>
    <t>J RETAIL CONSUM SERV</t>
  </si>
  <si>
    <t>J. Retail. Consum. Serv.</t>
  </si>
  <si>
    <t>10.1016/j.jretconser.2022.103149</t>
  </si>
  <si>
    <t>6C6TR</t>
  </si>
  <si>
    <t>Green Published, hybrid</t>
  </si>
  <si>
    <t>WOS:000882144500013</t>
  </si>
  <si>
    <t>Al Hassan, S; Ghannam, AB; Saade, JS</t>
  </si>
  <si>
    <t>Al Hassan, Sally; Bou Ghannam, Alaa; Saade, Joanna S.</t>
  </si>
  <si>
    <t>A Response to: Letter to the Editor Regarding an Emerging Ophthalmology Challenge: A Narrative Review of TikTok Trends Impacting Eye Health Among Children and Adolescents</t>
  </si>
  <si>
    <t>OPHTHALMOLOGY AND THERAPY</t>
  </si>
  <si>
    <t>Pediatric ophthalmology; Social media; Tiktok</t>
  </si>
  <si>
    <t>[Al Hassan, Sally; Bou Ghannam, Alaa; Saade, Joanna S.] Amer Univ Beirut Med Ctr, Dept Ophthalmol Cornea &amp; Refract Surg, Beirut, Lebanon</t>
  </si>
  <si>
    <t>American University of Beirut</t>
  </si>
  <si>
    <t>Saade, JS (corresponding author), Amer Univ Beirut Med Ctr, Dept Ophthalmol Cornea &amp; Refract Surg, Beirut, Lebanon.</t>
  </si>
  <si>
    <t>js62@aub.edu.lb</t>
  </si>
  <si>
    <t>SPRINGER INT PUBL AG</t>
  </si>
  <si>
    <t>2193-8245</t>
  </si>
  <si>
    <t>2193-6528</t>
  </si>
  <si>
    <t>OPHTHALMOL THER</t>
  </si>
  <si>
    <t>OPHTHALMOL. THER.</t>
  </si>
  <si>
    <t>10.1007/s40123-024-00990-3</t>
  </si>
  <si>
    <t>Ophthalmology</t>
  </si>
  <si>
    <t>D4S1G</t>
  </si>
  <si>
    <t>WOS:001265430900002</t>
  </si>
  <si>
    <t>Auf, AIAI; Alblowi, YH; Alkhaldi, RO; Thabet, SA; Alabdali, AAH; Binshalhoub, FH; Alzahrani, KAS; Alzahrani, RAI</t>
  </si>
  <si>
    <t>Auf, Anas Ibn Auf Abbas Ibn; Alblowi, Yassmeen Hmoud; Alkhaldi, Raghad Oudah; Thabet, Salman Anwar; Alabdali, Ahmed Ali H.; Binshalhoub, Fahad Hisham; Alzahrani, Khalid Ali S.; Alzahrani, Reem Abdulrhman I.</t>
  </si>
  <si>
    <t>Social Comparison and Body Image in Teenage Users of the TikTok App</t>
  </si>
  <si>
    <t>saudi arabia; teenagers; body image; social comparison; prevalence; tiktok</t>
  </si>
  <si>
    <t>MEDIA; SELF</t>
  </si>
  <si>
    <t>Background and aim: The TikTok app is one of the video-based social media platforms that is currently trending and commonly used by teenagers. The data about teenage users of the TikTok app are limited. This study aimed to estimate the prevalence of TikTok app use among teenagers in Saudi Arabia and to investigate the association between TikTok app use and the social comparison and the body image of the study population. Further, to explore the potential associations between the social comparison and the body image of the TikTok app users and their different characteristics.Methods: This cross-sectional survey study was conducted all over Saudi Arabia. The study included male and female teenagers, aged 12-19 years. The researchers used a structured, self-administered questionnaire to collect data, and it was disseminated using different social media platforms. The social comparison was measured using the questionnaire of the Iowa-Netherlands Comparison Orientation Measure, and the body image was measured using the Measurement of the Body Image Scale. The data were analyzed using the SPSS software version 26 (Chicago, IL: SSPS Inc.). Continuous variables were compared using the Student's t-test, Mann-Whitney U test, or Kruskal-Wallis tests, whereas categorical variables were compared using the Chi-square or Fisher's exact tests as appropriate. Spearman's rank correlation was applied to investigate the association between body image and social comparison scores among TikTok app users and non-users.Results: This study included 384 Saudi teenagers. Females (n=260) outnumbered males (n=124) (67.7% and 32.3%, respectively), and the mean of their age was 16.3 +/- 2.0 years. The researchers found a high prevalence (343/384, 89.3%) of TikTok app use among the studied teenagers. There was a significantly high median of the social comparison score among the TikTok app users (33.0, IQR: 28.0-38.0) compared to the non-users (28.0, IQR: 26.0-34.0), p=0.005. TikTok app users also showed a significantly lower median body image score (64.0, IQR: 54.0-72.0) in comparison to the non-users (67.0, IQR: 58.0-73.0), p=0.037. The correlation between social comparison and body image among teenagers using TikTok showed a negative relationship, but it was not significant (p=0.110). However, a significant negative weak relationship was found between body image and comparison of abilities (rs coefficient=-0.113, p=0.037).Conclusions: The findings of the current study indicate a high prevalence of TikTok use among teenagers in Saudi Arabia. The use of TikTok was associated with a high social comparison and a negative body image, with more than half of the users expressing a negative body image. Comparison of abilities was associated with an increased level of body dissatisfaction. These findings emphasize the need for the development and implementation of public health policies and awareness programs to promote body acceptance, especially for young people across the country. Future studies should focus on the long-term impact of TikTok use on psychological health.</t>
  </si>
  <si>
    <t>[Auf, Anas Ibn Auf Abbas Ibn] Minist Hlth, Dept Psychiat, Erada &amp; Mental Hlth Complex, Taif, Saudi Arabia; [Auf, Anas Ibn Auf Abbas Ibn] Eastern Sudan Coll Med Sci &amp; Technol, Dept Psychiat, Port Sudan, Sudan; [Alblowi, Yassmeen Hmoud] King Khalid Hosp, Minist Hlth, Dept Emergency Med, Tabuk, Saudi Arabia; [Alkhaldi, Raghad Oudah] Taif Univ, Fac Med, Dept Med, Taif, Saudi Arabia; [Thabet, Salman Anwar] Mental Hlth Hosp, Dept Psychiat, Minist Hlth, Jeddah, Saudi Arabia; [Alabdali, Ahmed Ali H.] Minist Hlth, Dept Emergency Med, Erada &amp; Mental Hlth Complex, Al Baha, Saudi Arabia; [Binshalhoub, Fahad Hisham] Imam Mohammad Ibn Saud Islamic Univ, Fac Med, Dept Med, Riyadh, Saudi Arabia; [Alzahrani, Khalid Ali S.; Alzahrani, Reem Abdulrhman I.] Al Baha Univ, Fac Med, Dept Med, Al Baha, Saudi Arabia</t>
  </si>
  <si>
    <t>Ministry of Health - Saudi Arabia; King Khalid Hospital; King Saud University; King Khalid University Hospital; Ministry of Health - Saudi Arabia; Taif University; Ministry of Health - Saudi Arabia; Ministry of Health - Saudi Arabia; Imam Mohammad Ibn Saud Islamic University (IMSIU); Al Baha University</t>
  </si>
  <si>
    <t>Alabdali, AAH (corresponding author), Minist Hlth, Dept Emergency Med, Erada &amp; Mental Hlth Complex, Al Baha, Saudi Arabia.</t>
  </si>
  <si>
    <t>ahmed.alabdali@gmx.com</t>
  </si>
  <si>
    <t>NOV 3</t>
  </si>
  <si>
    <t>e48227</t>
  </si>
  <si>
    <t>10.7759/cureus.48227</t>
  </si>
  <si>
    <t>Y6NV4</t>
  </si>
  <si>
    <t>WOS:001106416900016</t>
  </si>
  <si>
    <t>Caldeiro-Pedreira, MC; Yot-Domínguez, C</t>
  </si>
  <si>
    <t>Caldeiro-Pedreira, Mari -Carmen; Yot-Dominguez, Carmen</t>
  </si>
  <si>
    <t>Uses of TikTok in education. A systematic review of the didactic possibilities of TikTok</t>
  </si>
  <si>
    <t>ANALISI-QUADERNS DE COMUNICACIO I CULTURA</t>
  </si>
  <si>
    <t>Internet; social network; TikTok; teaching; education</t>
  </si>
  <si>
    <t>Access to the internet at increasingly younger ages and the possibility of registering on social media networks opens the door to new ways of teaching and learning actively and in accordance with the characteristics of the digital society. Looking at the current situation, the focus is on TikTok, one of the most frequently downloaded networks and one of the ones with the largest number of followers. The need to delineate the potential of its educational use gives rise to this systematic review. This theoretical study provides an analysis of the most recent SCOPUS literature (published between 2020 and 2023, mainly in English). A total of 133 records were retrieved from this database using a controlled search. Of these, 25 documents were analysed to identify the characteristics of TikTok that are conducive to its didactic application, the uses recently given to the tool in education, and the specific guidelines that can be deduced for the responsible use of TikTok in the educational environment. Given the possible risks, problems and limitations inherent in deploying this platform, the varied uses identified in the review demonstrate its impact on motivation and learning, especially its contribution to the development of digital skills and responsible usage by students working with TikTok in the classroom. In view of the results of this analysis, it is recommended to develop teacher literacy and educational communication in higher education as a way to use TikTok for learning purposes.</t>
  </si>
  <si>
    <t>[Caldeiro-Pedreira, Mari -Carmen] Univ Santiago Compostela, Santiago, Spain; [Yot-Dominguez, Carmen] Univ Seville, Seville, Spain</t>
  </si>
  <si>
    <t>Universidade de Santiago de Compostela; University of Sevilla</t>
  </si>
  <si>
    <t>Caldeiro-Pedreira, MC (corresponding author), Univ Santiago Compostela, Santiago, Spain.</t>
  </si>
  <si>
    <t>mcarmen.caldeiro@usc.es; carmenyot@us.es</t>
  </si>
  <si>
    <t>Yot, Carmen/F-6117-2011</t>
  </si>
  <si>
    <t>UNIV AUTONOMA BARCELONA</t>
  </si>
  <si>
    <t>CERDANYOLA DEL VALLES</t>
  </si>
  <si>
    <t>Edifici A, CERDANYOLA DEL VALLES, BARCELONA 08193, SPAIN</t>
  </si>
  <si>
    <t>0211-2175</t>
  </si>
  <si>
    <t>2340-5236</t>
  </si>
  <si>
    <t>ANALISI</t>
  </si>
  <si>
    <t>Analisi</t>
  </si>
  <si>
    <t>10.5565/rev/analisi.3630</t>
  </si>
  <si>
    <t>EW0X6</t>
  </si>
  <si>
    <t>WOS:001141862900007</t>
  </si>
  <si>
    <t>Vasconcellos, PHS; Lara, PDA; Marques-Neto, HT</t>
  </si>
  <si>
    <t>Vasconcellos, Paulo H. S.; Lara, Pedro Diogenes A.; Marques-Neto, Humberto T.</t>
  </si>
  <si>
    <t>Analyzing Polarization And Toxicity On Political Debate In Brazilian TikTok Videos Transcriptions</t>
  </si>
  <si>
    <t>PROCEEDINGS OF THE 15TH ACM WEB SCIENCE CONFERENCE, WEBSCI 2023</t>
  </si>
  <si>
    <t>15th ACM Web Science Conference (WebSci)</t>
  </si>
  <si>
    <t>APR 30-MAY 01, 2023</t>
  </si>
  <si>
    <t>Assoc Comp Machinery,ACM Special Interest Grp Hypertext &amp; Web</t>
  </si>
  <si>
    <t>Political Polarization; Political Toxicity; Online Social Networks; Text Analysis; Topic Modeling; TikTok</t>
  </si>
  <si>
    <t>With the rise of TikTok's popularity, there is an opportunity to understand how political communication has been made on this platform based on short videos. In addition to understanding what topics and themes are discussed on TikTok, we also analyzed the polarization and toxic behavior of its users. However, this great opportunity brings a challenge as well. As TikTok is a video platform, the largest content information is in the video itself, so it is necessary to extract this information from video data and features. In this paper, we propose a methodology to extract topics from TikTok video transcriptions in order to identify polarization and toxicity in their contents, by using techniques that range from web crawling to speech recognition algorithms. By providing a robust audio cleaning pipeline, it's possible to generate a less noisy dataset, by removing silence and music segments. We validate our methodology by practically applying it to create topics in order to identify signs of political polarization and toxicity in 8,329 Brazilian political TikTok videos, collected over the last two years. Our work shows that it is possible to extract coherent and meaningful topics from TikTok videos, even with the challenges spoken texts bring. We point out that topics related to religion and social classes contain a higher percentage of toxicity and polarization, as well as opposite hashtags, such as direita (Right-wing) and esquerda (Left-wing).</t>
  </si>
  <si>
    <t>[Vasconcellos, Paulo H. S.; Lara, Pedro Diogenes A.; Marques-Neto, Humberto T.] Pontifical Catholic Univ Minas Gerais PUC Minas, Belo Horizonte, MG, Brazil</t>
  </si>
  <si>
    <t>Pontificia Universidade Catolica de Minas Gerais</t>
  </si>
  <si>
    <t>Vasconcellos, PHS (corresponding author), Pontifical Catholic Univ Minas Gerais PUC Minas, Belo Horizonte, MG, Brazil.</t>
  </si>
  <si>
    <t>phsamus@gmail.com; pedro.lara@sga.pucminas.br; humberto@pucminas.br</t>
  </si>
  <si>
    <t>Marques-Neto, Humberto/AAP-9602-2020</t>
  </si>
  <si>
    <t>Marques-Neto, Humberto/0000-0002-3164-8323</t>
  </si>
  <si>
    <t>FAPEMIG [PPM-00253-18]; CNPq</t>
  </si>
  <si>
    <t>FAPEMIG(Fundacao de Amparo a Pesquisa do Estado de Minas Gerais (FAPEMIG)); CNPq(Conselho Nacional de Desenvolvimento Cientifico e Tecnologico (CNPQ))</t>
  </si>
  <si>
    <t>This work was supported by FAPEMIG (PPM-00253-18), CNPq, and PUC Minas.</t>
  </si>
  <si>
    <t>979-8-4007-0089-7</t>
  </si>
  <si>
    <t>10.1145/3578503.3583613</t>
  </si>
  <si>
    <t>Computer Science, Information Systems; History &amp; Philosophy Of Science; Social Sciences, Interdisciplinary</t>
  </si>
  <si>
    <t>Computer Science; History &amp; Philosophy of Science; Social Sciences - Other Topics</t>
  </si>
  <si>
    <t>BW2MC</t>
  </si>
  <si>
    <t>WOS:001118948600004</t>
  </si>
  <si>
    <t>Golden, P; Danks, D</t>
  </si>
  <si>
    <t>ASSOC COMP MACHINERY</t>
  </si>
  <si>
    <t>Golden, Paige; Danks, David</t>
  </si>
  <si>
    <t>Ethical Obligations to Provide Novelty</t>
  </si>
  <si>
    <t>AIES '21: PROCEEDINGS OF THE 2021 AAAI/ACM CONFERENCE ON AI, ETHICS, AND SOCIETY</t>
  </si>
  <si>
    <t>4th AAAI/ACM Conference on AI, Ethics, and Society (AIES)</t>
  </si>
  <si>
    <t>MAY 19-21, 2021</t>
  </si>
  <si>
    <t>AAAI,Assoc Comp Machinery,ACM SIGAI</t>
  </si>
  <si>
    <t>Recommender systems; TikTok; Ethical obligations; Interest-based analysis</t>
  </si>
  <si>
    <t>TikTok is a popular platform that enables users to see tailored content feeds, particularly short videos with novel content. In recent years, TikTok has been criticized at times for presenting users with overly homogenous feeds, thereby reducing the diversity of content with which each user engages. In this paper, we consider whether TikTok has an ethical obligation to employ a novelty bias in its content recommendation engine. We explicate the principal morally relevant values and interests of key stakeholders, and observe that key empirical questions must be answered before a precise recommendation can be provided. We argue that TikTok's own values and interests mean that its actions should be largely driven by the values and interests of its users and creators. Unlike some other content platforms, TikTok's ethical obligations are not at odds with the values of its users, and so whether it is obligated to include a novelty bias depends on what will actually advance its users' interests.</t>
  </si>
  <si>
    <t>[Golden, Paige] Univ Penn, Philosophy Polit &amp; Econ, Philadelphia, PA 19104 USA; [Danks, David] Carnegie Mellon Univ, Philosophy &amp; Psychol, Pittsburgh, PA 15213 USA</t>
  </si>
  <si>
    <t>University of Pennsylvania; Carnegie Mellon University</t>
  </si>
  <si>
    <t>Golden, P (corresponding author), Univ Penn, Philosophy Polit &amp; Econ, Philadelphia, PA 19104 USA.</t>
  </si>
  <si>
    <t>email@email.com; ddanks@cmu.edu</t>
  </si>
  <si>
    <t>978-1-4503-8473-5</t>
  </si>
  <si>
    <t>10.1145/3461702.3462555</t>
  </si>
  <si>
    <t>Computer Science, Artificial Intelligence</t>
  </si>
  <si>
    <t>BS7UX</t>
  </si>
  <si>
    <t>WOS:000767973400058</t>
  </si>
  <si>
    <t>Parisi, L; Mulargia, S; Comunello, F; Bernardini, V; Bussoletti, A; Nisi, CR; Russo, L; Campagna, I; Lanfranchi, B; Croci, I; Grassucci, E; Gesualdo, F</t>
  </si>
  <si>
    <t>Parisi, Lorenza; Mulargia, Simone; Comunello, Francesca; Bernardini, Vittoria; Bussoletti, Arianna; Nisi, Carla Rita; Russo, Luisa; Campagna, Ilaria; Lanfranchi, Barbara; Croci, Ileana; Grassucci, Eleonora; Gesualdo, Francesco</t>
  </si>
  <si>
    <t>Exploring the vaccine conversation on TikTok in Italy: beyond classic vaccine stances</t>
  </si>
  <si>
    <t>Vaccines; COVID-19; Vaccine hesitancy; Communication; Social media; TikTok; Irony</t>
  </si>
  <si>
    <t>COVID-19 VACCINE; MISINFORMATION; ASSOCIATION; REFUSAL</t>
  </si>
  <si>
    <t>TikTok, a social media platform for creating and sharing short videos, has seen a surge in popularity during the COVID-19 pandemic. To analyse the Italian vaccine conversation on TikTok, we downloaded a sample of videos with a high play count (Top Videos), identified through an unofficial Application Programming Interface (consistent with TikTok's Terms of Service), and collected public videos from vaccine sceptic users through snowball sampling (Vaccine Sceptics' videos). The videos were analysed using qualitative and quantitative methods, in terms of vaccine stance, tone of voice, topic, conformity with TikTok style, and other characteristics. The final datasets consisted of 754 Top Videos (by 510 single users) plus 180 Vaccine Sceptics' videos (by 29 single users), posted between January 2020 and March 2021. In 40.5% of the Top Videos the stance was promotional, 33.9% were indefinite-ironic, 11.3% were neutral, 9.7% were discouraging, and 3.1% were ambiguous (i.e. expressing an ambivalent stance towards vaccines); 43% of promotional videos were from healthcare professionals. More than 95% of the Vaccine Sceptic videos were discouraging. Multiple correspondence analysis showed that, compared to other stances, promotional videos were more frequently created by healthcare professionals and by females, and their most frequent topic was herd immunity. Discouraging videos were associated with a polemical tone of voice and their topics were conspiracy and freedom of choice. Our analysis shows that Italian vaccine-sceptic users on TikTok are limited in number and vocality, and the large proportion of videos with an indefinite-ironic stance might imply that the incidence of affective polarisation could be lower on TikTok, compared to other social media, in the Italian context. Safety is the most frequent concern of users, and we recorded an interesting presence of healthcare professionals among the creators. TikTok should be considered as a medium for vaccine communication and for vaccine promotion campaigns.</t>
  </si>
  <si>
    <t>[Parisi, Lorenza] Link Campus Univ, Human Sci Dept, Rome, Italy; [Mulargia, Simone] LUMSA Univ, Dept Human Studies Commun Educ &amp; Psychol, Borgo S Angelo 13, I-00193 Rome, Italy; [Comunello, Francesca; Bernardini, Vittoria; Bussoletti, Arianna; Nisi, Carla Rita] Sapienza Univ Rome, Dept Commun &amp; Social Res, Piazzale Aldo Moro 5, I-00185 Rome, Italy; [Russo, Luisa; Campagna, Ilaria; Lanfranchi, Barbara; Croci, Ileana; Grassucci, Eleonora; Gesualdo, Francesco] IRCCS, Bambino Gesu Childrens Hosp, Predict &amp; Prevent Med Res Unit, Piazza S Onofrio 4, I-00165 Rome, Italy; [Grassucci, Eleonora] Sapienza Univ Rome, Dept Informat Engn Elect &amp; Telecommun, Piazzale Aldo Moro 5, I-00185 Rome, Italy</t>
  </si>
  <si>
    <t>Universita LUMSA; Sapienza University Rome; IRCCS Bambino Gesu; Sapienza University Rome</t>
  </si>
  <si>
    <t>Gesualdo, F (corresponding author), IRCCS, Bambino Gesu Childrens Hosp, Predict &amp; Prevent Med Res Unit, Piazza S Onofrio 4, I-00165 Rome, Italy.</t>
  </si>
  <si>
    <t>francesco.gesualdo@opbg.net</t>
  </si>
  <si>
    <t>MULARGIA, Simone/JTD-2578-2023; Croci, Ileana/AAA-5255-2020; Gesualdo, Francesco/H-9221-2012; Grassucci, Eleonora/AAV-7908-2021; Campagna, Ilaria/AAI-2078-2019; Bussoletti, Arianna/HOH-3165-2023; BERNARDINI, VITTORIA/KOZ-8965-2024</t>
  </si>
  <si>
    <t>BERNARDINI, VITTORIA/0000-0002-7976-1368; Grassucci, Eleonora/0000-0003-4626-4506; COMUNELLO, Francesca/0000-0001-5845-5807; Bussoletti, Arianna/0000-0003-3179-5013</t>
  </si>
  <si>
    <t>MAY 12</t>
  </si>
  <si>
    <t>10.1186/s12889-023-15748-y</t>
  </si>
  <si>
    <t>G0ST3</t>
  </si>
  <si>
    <t>WOS:000986365200004</t>
  </si>
  <si>
    <t>Zhu, R; Fong, LHN; Gao, HC; Liu, CYN</t>
  </si>
  <si>
    <t>Zhu, Chris; Fong, Lawrence Hoc Nang; Gao, Huicai; Liu, Christy Ying Ni</t>
  </si>
  <si>
    <t>When TikTok meets celebrity: an investigation of how celebrity attachment influences visit intention</t>
  </si>
  <si>
    <t>Celebrity attachment; TikTok; sense of presence; telepresence; enjoyment; Chengdu</t>
  </si>
  <si>
    <t>WORD-OF-MOUTH; VIRTUAL-REALITY; SOCIAL MEDIA; TOURISM; INVOLVEMENT; EXPERIENCE; DIMENSIONS; ATTITUDE; BIASES</t>
  </si>
  <si>
    <t>Considering the rapid development of TikTok short videos combining celebrities and tourist destinations, this study aims to examine how attachment to TikTok celebrities enhances visit intention. Presence theory (Sense of Presence and Telepresence) was applied to construct the theoretical framework. 276 survey data were collected from respondents who had watched TikTok-Chengdu celebrity travel videos but had not visited Chengdu, China. Results indicated that celebrity attachment positively predicts sense of presence and telepresence. Furthermore, sense of presence and telepresence positively predict tourist enjoyment, and telepresence has a greater impact. Moreover, tourist enjoyment positively predicts their intention to visit Chengdu. Theoretical and managerial contributions are presented.</t>
  </si>
  <si>
    <t>[Zhu, Chris] Macao Inst Tourism Studies, Sch Tourism Management, Macau, Peoples R China; [Fong, Lawrence Hoc Nang] Univ Macau, Fac Business Adm, Macau, Peoples R China; [Fong, Lawrence Hoc Nang] Univ Macau, Ctr Cognit &amp; Brain Sci, Macau, Peoples R China; [Gao, Huicai] Hong Kong Polytech Univ, Sch Hotel &amp; Tourism Management, Hong Kong, Peoples R China; [Liu, Christy Ying Ni] Macau Univ Sci &amp; Technol, Fac Hospitality &amp; Tourism Management, Macau, Peoples R China</t>
  </si>
  <si>
    <t>Macao University of Tourism; University of Macau; University of Macau; Hong Kong Polytechnic University; Macau University of Science &amp; Technology</t>
  </si>
  <si>
    <t>huicai.gao@connect.polyu.hk</t>
  </si>
  <si>
    <t>; Fong, Lawrence Hoc Nang/L-7933-2013</t>
  </si>
  <si>
    <t>Zhu, Chris/0000-0003-2475-4897; Gao, Huicai/0000-0002-4952-4708; Fong, Lawrence Hoc Nang/0000-0001-7107-3360</t>
  </si>
  <si>
    <t>10.1080/13683500.2022.2097058</t>
  </si>
  <si>
    <t>O2AD7</t>
  </si>
  <si>
    <t>WOS:000821401100001</t>
  </si>
  <si>
    <t>Oh, J; Zhuo, SR; Jin, EJ</t>
  </si>
  <si>
    <t>Oh, Jeeyun; Zhuo, Shuer; Jin, Eunjoo</t>
  </si>
  <si>
    <t>Surprise of Serious COVID-19 Vaccination Messages on TikTok: The Effect of Expectancy Violation on Message Effectiveness</t>
  </si>
  <si>
    <t>SCIENCE COMMUNICATION</t>
  </si>
  <si>
    <t>TikTok; expectancy violation theory; COVID-19; vaccine intention; vaccine attitude</t>
  </si>
  <si>
    <t>POLITICAL HUMOR; COMMUNICATION; COMPENSATION; EXPRESSIONS; INSTAGRAM; FACEBOOK; IMPACT; FUNNY; NORMS; TONE</t>
  </si>
  <si>
    <t>TikTok is a social media channel for light entertainment and humor. Then what happens when TikTok tries to persuade users with serious health messages? A between-subject study (N = 189) induced expectancy violation by using six COVID-19 vaccination videos with a varied level of seriousness. Among those who held stronger perceptions of TikTok as an entertainment channel, the seriousness of videos was associated with increased expectancy violation and message effectiveness. Those who held more negative vaccine attitudes experienced greater expectancy violation as video seriousness increased, and expectancy violation was a positive predictor for message effectiveness and vaccine-related intentions among this group.</t>
  </si>
  <si>
    <t>[Oh, Jeeyun; Zhuo, Shuer] Univ Texas Austin, Stan Richards Sch Advertising &amp; Publ Relat, Austin, TX 78712 USA; [Jin, Eunjoo] Univ Houston, Jack J Valenti Sch Commun, Houston, TX USA; [Oh, Jeeyun] Univ Texas Austin, Moody Coll Commun, Stan Richards Sch Advertising &amp; Publ Relat, 300 West Dean Keeton,A1200,DMC 4-320, Austin, TX 78712 USA</t>
  </si>
  <si>
    <t>University of Texas System; University of Texas Austin; University of Houston System; University of Houston; University of Texas System; University of Texas Austin</t>
  </si>
  <si>
    <t>Oh, J (corresponding author), Univ Texas Austin, Moody Coll Commun, Stan Richards Sch Advertising &amp; Publ Relat, 300 West Dean Keeton,A1200,DMC 4-320, Austin, TX 78712 USA.</t>
  </si>
  <si>
    <t>; Jin, Eunjoo/KIM-2388-2024</t>
  </si>
  <si>
    <t>Oh, Jeeyun/0000-0003-4729-1370; Jin, Eunjoo/0000-0003-4058-922X</t>
  </si>
  <si>
    <t>1075-5470</t>
  </si>
  <si>
    <t>1552-8545</t>
  </si>
  <si>
    <t>SCI COMMUN</t>
  </si>
  <si>
    <t>Sci. Commun.</t>
  </si>
  <si>
    <t>10.1177/10755470231198213</t>
  </si>
  <si>
    <t>T8YF6</t>
  </si>
  <si>
    <t>WOS:001074693100001</t>
  </si>
  <si>
    <t>Duong, HL; Tran, MT; Vo, TKO; Tran, TKC</t>
  </si>
  <si>
    <t>Duong, Hoai Lan; Tran, Minh Tung; Vo, Thi Kim Oanh; Tran, Thi Kim Cuc</t>
  </si>
  <si>
    <t>Social media and privacy concerns: exploring university student's privacy concerns in TikTok platform in Vietnam</t>
  </si>
  <si>
    <t>JOURNAL OF INFORMATION COMMUNICATION &amp; ETHICS IN SOCIETY</t>
  </si>
  <si>
    <t>Social media; Social influence; Privacy concern; TikTok; peer perception</t>
  </si>
  <si>
    <t>ONLINE; TRUST; FACEBOOK; ANTECEDENTS; NETWORKS; SITES; PROTECTION; INTENTION; CONSUMERS; LOCATION</t>
  </si>
  <si>
    <t>PurposeThis paper aims to investigate the extent of personal privacy concerns expressed by university students in Vietnam while using TikTok, the influence of peer interactions and social norms on privacy attitudes and behaviors and the strategies used by university students in Vietnam to mitigate privacy risks on TikTok.Design/methodology/approachA qualitative approach using semi-structured interviews was used to gather data on the following: the degree to which Vietnamese university students express concerns about their personal privacy while using TikTok; how peer interactions and social norms influence privacy attitudes and behaviors; and the strategies these students use to mitigate privacy risks on the platform.FindingsFindings indicate that although university students exhibit a relatively low level of concern regarding their personal privacy on TikTok, peer influences and societal norms significantly shape their attitudes and behaviors on the platform. Moreover, students use several strategies to mitigate privacy risks, such as selective content sharing and refraining from engaging with unknown links.Practical implicationsThese insights provide valuable implications for the development of targeted interventions and educational initiatives aimed at fostering a more privacy-conscious TikTok user community among university students in Vietnam.Originality/valueThis research fills a critical gap in the existing literature by focusing on the influence of social norms and peer influences on privacy attitudes and behaviors on social media platforms. While prior studies have explored various factors impacting privacy concerns on social media, the role of social dynamics has been understudied. Moreover, the research specifically addresses the lack of investigation into privacy concerns on TikTok, a platform rapidly gaining popularity among younger demographics.</t>
  </si>
  <si>
    <t>[Duong, Hoai Lan; Tran, Thi Kim Cuc] FPT Univ, Media Dept, Swinburne Vietnam, Hanoi, Vietnam; [Tran, Minh Tung] FPT Univ, Hanoi, Vietnam; [Vo, Thi Kim Oanh] FPT Univ, Business Dept, Swinburne Vietnam, Hanoi, Vietnam</t>
  </si>
  <si>
    <t>FPT University; FPT University; FPT University</t>
  </si>
  <si>
    <t>Duong, HL (corresponding author), FPT Univ, Media Dept, Swinburne Vietnam, Hanoi, Vietnam.</t>
  </si>
  <si>
    <t>landh4@fe.edu.vn; tungtm6@fe.edu.vn; oanhvtk8@fe.edu.vn; cucttk2@fe.edu.vn</t>
  </si>
  <si>
    <t>Tran, Minh Tung/HNC-0538-2023</t>
  </si>
  <si>
    <t>, Dr. Tran Minh Tung (PhD, DBA, EdD)/0000-0002-4238-882X</t>
  </si>
  <si>
    <t>Funding: The authors declare that no funding was received for the research, authorship and/or publication of this article. Disclosure of interest: The authors declare that they have no conflicts of interest regarding the publication of this manuscript.</t>
  </si>
  <si>
    <t>1477-996X</t>
  </si>
  <si>
    <t>1758-8871</t>
  </si>
  <si>
    <t>J INF COMMUN ETHICS</t>
  </si>
  <si>
    <t>J. Inf. Commun. Ethics Soc.</t>
  </si>
  <si>
    <t>NOV 22</t>
  </si>
  <si>
    <t>10.1108/JICES-04-2024-0045</t>
  </si>
  <si>
    <t>Ethics</t>
  </si>
  <si>
    <t>M6C5I</t>
  </si>
  <si>
    <t>WOS:001303695900001</t>
  </si>
  <si>
    <t>Dhadly, PK; Kinnear, A; Bodell, LP</t>
  </si>
  <si>
    <t>Dhadly, Parveen K.; Kinnear, Abbigail; Bodell, Lindsay P.</t>
  </si>
  <si>
    <t>#BoPo: Does viewing body positive TikTok content improve body satisfaction and mood?</t>
  </si>
  <si>
    <t>Body positivity; TikTok; Body image; Body satisfaction; Affect; Social media</t>
  </si>
  <si>
    <t>SOCIAL MEDIA LITERACY; IDEAL INTERNALIZATION; INSTAGRAM IMAGES; EATING PATHOLOGY; THIN-IDEAL; DISSATISFACTION; IMPACT; FITSPIRATION; VALIDATION; ESTEEM</t>
  </si>
  <si>
    <t>Body positivity - often referenced on social media as #BoPo - encourages acceptance towards all body types, including one's own body, and challenges the societal ideal of the very thin body. The current study examined whether viewing body-positive TikTok content improves state mood and body satisfaction. Participants were female undergraduate students (N = 156) who completed an online study where they were randomly assigned to view either body-positive, body-focused, or control TikTok videos for five minutes. Before and after viewing the TikTok content, participants completed questionnaire items to assess state affect and body satisfaction alongside other variables. Mixed between-within subject ANOVAs demonstrated that participants in the body-positive condition experienced an increase in body satisfaction and a decrease in negative affect after viewing the body-positive TikTok videos. In contrast, those in the body-focused condition experienced a decline in body satisfaction and positive affect and an increase in negative affect. This study provides preliminary evidence that TikTok content may be used as a positive outlet for body image, depending on the type of content being viewed.</t>
  </si>
  <si>
    <t>[Dhadly, Parveen K.; Kinnear, Abbigail; Bodell, Lindsay P.] Univ Western Ontario, Dept Psychol, 361 Windermere Rd,Westminister Hall,Rm 324E, London, ON N6A 3K7, Canada</t>
  </si>
  <si>
    <t>Western University (University of Western Ontario)</t>
  </si>
  <si>
    <t>Bodell, LP (corresponding author), Univ Western Ontario, Dept Psychol, 361 Windermere Rd,Westminister Hall,Rm 324E, London, ON N6A 3K7, Canada.</t>
  </si>
  <si>
    <t>lbodell@uwo.ca</t>
  </si>
  <si>
    <t>10.1016/j.eatbeh.2023.101747</t>
  </si>
  <si>
    <t>J9AE4</t>
  </si>
  <si>
    <t>WOS:001012470800001</t>
  </si>
  <si>
    <t>Jang, CW; Kim, M; Kang, SW; Cho, HE</t>
  </si>
  <si>
    <t>Jang, Chan Woong; Kim, Myungsang; Kang, Seong-Woong; Cho, Han Eol</t>
  </si>
  <si>
    <t>Reliability, Quality, and Educational Suitability of TikTok Videos as a Source of Information about Scoliosis Exercises: A Cross-Sectional Study</t>
  </si>
  <si>
    <t>HEALTHCARE</t>
  </si>
  <si>
    <t>education; exercise; idiopathic scoliosis; PSSE; Tiktok</t>
  </si>
  <si>
    <t>SOCIAL MEDIA; OF-LIFE</t>
  </si>
  <si>
    <t>This study aimed to systematically assess the informational reliability, quality, and educational suitability of videos introducing scoliosis exercises on TikTok. We retrieved and screened 1904 TikTok videos with the hashtags: #scoliosis, #scoliosisexercise, and #scoliosistips, before collecting a final sample of 171 scoliosis exercises in March 2022. Then, two independent raters assessed the reliability and quality of the videos using the DISCERN instrument and evaluated the educational suitability of the information using Scoliosis Exercise Education Score (SEES; exercise cycle, target, effect, precaution, and rationale). None of the videos were rated as excellent or good according to DISCERN. The mean SEES score was 2.02 out of 5. Videos uploaded by health organizations had significantly lower DISCERN and SEES scores than those by general users and healthcare professionals. Regarding the propriety of physiotherapeutic scoliosis-specific exercises (PSSE), DISCERN and SEES scores were significantly higher in the PSSE proper group than in the PSSE non-proper group. Although TikTok has become a popular source of scoliosis-related information, the overall information quality, reliability, and educational suitability of videos on scoliosis exercises in TikTok appear to be low, suggesting that TikTok is not suitable source for obtaining scoliosis exercise information.</t>
  </si>
  <si>
    <t>[Jang, Chan Woong; Kim, Myungsang; Kang, Seong-Woong; Cho, Han Eol] Yonsei Univ, Gangnam Severance Hosp, Rehabil Inst Neuromuscular Dis, Dept Rehabil Med,Coll Med, Seoul 03722, South Korea</t>
  </si>
  <si>
    <t>Yonsei University; Yonsei University Health System</t>
  </si>
  <si>
    <t>Kang, SW; Cho, HE (corresponding author), Yonsei Univ, Gangnam Severance Hosp, Rehabil Inst Neuromuscular Dis, Dept Rehabil Med,Coll Med, Seoul 03722, South Korea.</t>
  </si>
  <si>
    <t>kswoong@yuhs.ac; wtzephyr@yuhs.ac</t>
  </si>
  <si>
    <t>Cho, Han Eol/ABB-2969-2021</t>
  </si>
  <si>
    <t>Jang, Chan Woong/0000-0002-5037-0080; Kang, Seong-Woong/0000-0002-7279-3893; CHO, HAN EOL/0000-0001-5625-3013</t>
  </si>
  <si>
    <t>Rehabilitation Institute of Neu-romuscular Disease, Yonsei University College of Medicine</t>
  </si>
  <si>
    <t>This work was supported by the Rehabilitation Institute of Neu-romuscular Disease, Yonsei University College of Medicine.</t>
  </si>
  <si>
    <t>2227-9032</t>
  </si>
  <si>
    <t>HEALTHCARE-BASEL</t>
  </si>
  <si>
    <t>Healthcare</t>
  </si>
  <si>
    <t>10.3390/healthcare10091622</t>
  </si>
  <si>
    <t>Health Care Sciences &amp; Services; Health Policy &amp; Services</t>
  </si>
  <si>
    <t>Health Care Sciences &amp; Services</t>
  </si>
  <si>
    <t>4T5XM</t>
  </si>
  <si>
    <t>WOS:000858189700001</t>
  </si>
  <si>
    <t>King-O'Riain, RC</t>
  </si>
  <si>
    <t>King-O'Riain, Rebecca Chiyoko</t>
  </si>
  <si>
    <t>#Wasian Check: Remixing 'Asian plus White' Multiraciality on TikTok</t>
  </si>
  <si>
    <t>GENEALOGY</t>
  </si>
  <si>
    <t>wasian; #wasian; mixed-race; Asian; TikTok; transconnective; digital media; social media</t>
  </si>
  <si>
    <t>PERSPECTIVES</t>
  </si>
  <si>
    <t>TikTok is the fastest growing short video application and immensely popular with younger generations to express their thoughts, ideas, and most relevant to this issue, their identities including mixed-race identity. This paper asks: How did young mixed-race people choose to express their identity on TikTok in the #wasian trend and how does the app shape these mixed-race identity expressions? The answer lies in how the emotional affordances of TikTok app itself shape how it is used by creators in mimicking and mimetic ways and how people respond, through video and text. The article argues that the #wasian trends reinforce the racial and genealogical legacy of mixedness, often through showing parents or blood relatives, which is in creative tension with simultaneously remixing and asserting racial multiplicity. The claim to wasianess moves the private sphere (bedroom culture, family and notions of race) into the public and in so doing creates new potentialities for the creation of a global #wasian community on TikTok.</t>
  </si>
  <si>
    <t>[King-O'Riain, Rebecca Chiyoko] Maynooth Univ, Dept Sociol, Maynooth, Kildare, Ireland</t>
  </si>
  <si>
    <t>Maynooth University</t>
  </si>
  <si>
    <t>King-O'Riain, RC (corresponding author), Maynooth Univ, Dept Sociol, Maynooth, Kildare, Ireland.</t>
  </si>
  <si>
    <t>rebecca.king-oriain@mu.ie</t>
  </si>
  <si>
    <t>King-O'Riain, Rebecca/AGH-0045-2022</t>
  </si>
  <si>
    <t>King-O'Riain, Rebecca Chiyoko/0000-0002-4573-9218</t>
  </si>
  <si>
    <t>2313-5778</t>
  </si>
  <si>
    <t>GENEALOGY-BASEL</t>
  </si>
  <si>
    <t>Genealogy</t>
  </si>
  <si>
    <t>10.3390/genealogy6020055</t>
  </si>
  <si>
    <t>Ethnic Studies; Family Studies; Sociology</t>
  </si>
  <si>
    <t>2O5EG</t>
  </si>
  <si>
    <t>WOS:000819080600001</t>
  </si>
  <si>
    <t>Liu, QQ; Li, JJ</t>
  </si>
  <si>
    <t>Liu, Qingqi; Li, Jingjing</t>
  </si>
  <si>
    <t>A one-year longitudinal study on the mediating role of problematic TikTok use and gender differences in the association between academic stress and academic procrastination</t>
  </si>
  <si>
    <t>HUMANITIES &amp; SOCIAL SCIENCES COMMUNICATIONS</t>
  </si>
  <si>
    <t>INTERNET ADDICTION; COLLEGE-STUDENTS; PSYCHOLOGICAL DISTRESS; YOUNG-ADULTS; SELF-CONTROL; DEPRESSION; FREQUENCY; SYMPTOMS; PATTERNS</t>
  </si>
  <si>
    <t>The present study tested the mediating role of problematic TikTok use in the relationship between academic stress and academic procrastination, as well as any gender differences. A total of 590 Chinese university students, aged between 17 and 24 years, completed questionnaires measuring their levels of academic stress and academic procrastination at Time 1 (T1), reported on problematic TikTok use at Time 2 (T2) six months later, and academic procrastination at Time 3 (T3) another six months later, while also providing demographic information. The results revealed significant positive associations between T1 academic stress, T1 academic procrastination, T2 problematic TikTok use, and T3 academic procrastination. Moreover, after controlling for age, urban-rural background, family income, TikTok use time, and T1 academic procrastination, T2 problematic TikTok use was found to mediate the longitudinal relationship between T1 academic stress and T3 academic procrastination. Furthermore, gender played a significant moderating role, with the mediating effect being observed only among male university students. The present study is one of the first to explore how problematic TikTok use and gender contribute to the longitudinal effects of academic stress on academic procrastination. The results offer valuable insights into strategies for preventing and managing problematic TikTok use and academic procrastination among university students.</t>
  </si>
  <si>
    <t>[Liu, Qingqi] Beijing Normal Univ Zhuhai, Fac Arts &amp; Sci, Dept Psychol, Zhuhai, Peoples R China; [Liu, Qingqi; Li, Jingjing] Beijing Normal Univ Zhuhai, Coll Educ Future, Zhuhai, Peoples R China; [Li, Jingjing] Guangdong Open Univ, Sch Cultural Commun &amp; Design, Guangzhou, Peoples R China; [Li, Jingjing] Lingnan Normal Univ, Sch Educ Sci, Zhanjiang, Peoples R China</t>
  </si>
  <si>
    <t>Beijing Normal University; Beijing Normal University Zhuhai; Beijing Normal University; Beijing Normal University Zhuhai; LingNan Normal University</t>
  </si>
  <si>
    <t>Li, JJ (corresponding author), Beijing Normal Univ Zhuhai, Coll Educ Future, Zhuhai, Peoples R China.;Li, JJ (corresponding author), Guangdong Open Univ, Sch Cultural Commun &amp; Design, Guangzhou, Peoples R China.;Li, JJ (corresponding author), Lingnan Normal Univ, Sch Educ Sci, Zhanjiang, Peoples R China.</t>
  </si>
  <si>
    <t>202238039072@mail.bnu.edu.cn</t>
  </si>
  <si>
    <t>Liu, Qingqi/0000-0001-5169-8689</t>
  </si>
  <si>
    <t>Research Project of the Philosophy and Social Science of Guangdong Province [GD20CXL05]; Discipline Co-construction Project of Philosophy and Social Science of Guangdong Province [GD23XJY75]</t>
  </si>
  <si>
    <t>Research Project of the Philosophy and Social Science of Guangdong Province; Discipline Co-construction Project of Philosophy and Social Science of Guangdong Province</t>
  </si>
  <si>
    <t>This work was supported by the Research Project of the Philosophy and Social Science of Guangdong Province (No. GD20CXL05) and the Discipline Co-construction Project of Philosophy and Social Science of Guangdong Province (No. GD23XJY75).</t>
  </si>
  <si>
    <t>2662-9992</t>
  </si>
  <si>
    <t>HUM SOC SCI COMMUN</t>
  </si>
  <si>
    <t>Hum. Soc. Sci. Commun.</t>
  </si>
  <si>
    <t>SEP 4</t>
  </si>
  <si>
    <t>10.1057/s41599-024-03654-6</t>
  </si>
  <si>
    <t>Humanities, Multidisciplinary; Social Sciences, Interdisciplinary</t>
  </si>
  <si>
    <t>Arts &amp; Humanities - Other Topics; Social Sciences - Other Topics</t>
  </si>
  <si>
    <t>E7A9Q</t>
  </si>
  <si>
    <t>WOS:001304507700004</t>
  </si>
  <si>
    <t>Chong, KL</t>
  </si>
  <si>
    <t>Chong, Ka Leong</t>
  </si>
  <si>
    <t>Exploring managerial perspectives in TikTok adoption for luxury hotel brand communication</t>
  </si>
  <si>
    <t>TOURISM AND HOSPITALITY RESEARCH</t>
  </si>
  <si>
    <t>TikTok; luxury hotels; brand communication; social media marketing; luxury branding</t>
  </si>
  <si>
    <t>VALUE CO-CREATION; SOCIAL MEDIA; QUALITATIVE RESEARCH; COMMUNITIES; FRAMEWORK; PLATFORM</t>
  </si>
  <si>
    <t>This study explores the perspectives of luxury hotel managers regarding the adoption of TikTok as a brand communication tool. Through qualitative analysis, key decision-makers articulate their nuanced viewpoints, concerns, and aspirations regarding TikTok integration into branding strategies. The findings reveal that luxury hotel managers perceive TikTok's universal appeal, positive user engagement, and cost-effectiveness as advantageous for reaching diverse audiences. However, they also recognize the challenge of maintaining consistent brand representation and controlling negative impacts due to the platform's potential for virality. Creativity and novelty emerge as crucial elements for effective brand communication, highlighting the importance of innovative storytelling and visually captivating presentations. Moreover, targeted engagement and brand affinity are emphasized, underscoring the significance of tailored messaging and loyalty-building initiatives. Nevertheless, challenges arise in aligning luxury with TikTok's perceived mass-market association, necessitating finesse to navigate the tension between accessibility and exclusivity. Overall, this study sheds light on the complex process of cultivating upscale vibes on TikTok and the strategic shift required to redefine luxury narratives on a platform known for its broad user base. The practical insights offered here are valuable for luxury hotel managers, marketers, and researchers seeking to understand TikTok's role in luxury brand communication.</t>
  </si>
  <si>
    <t>[Chong, Ka Leong] Sunway Univ, Sch Hospitality, Subang Jaya, Malaysia</t>
  </si>
  <si>
    <t>Sunway University</t>
  </si>
  <si>
    <t>Chong, KL (corresponding author), Sunway Univ, Sch Hospitality &amp; Serv Management, 5 Jalan Univ, Subang Jaya 47500, Malaysia.</t>
  </si>
  <si>
    <t>danielc@sunway.edu.my</t>
  </si>
  <si>
    <t>1467-3584</t>
  </si>
  <si>
    <t>1742-9692</t>
  </si>
  <si>
    <t>TOUR HOSP RES</t>
  </si>
  <si>
    <t>Tour. Hosp. Res.</t>
  </si>
  <si>
    <t>2024 JUL 19</t>
  </si>
  <si>
    <t>10.1177/14673584241263009</t>
  </si>
  <si>
    <t>ZK2N6</t>
  </si>
  <si>
    <t>WOS:001275128700001</t>
  </si>
  <si>
    <t>Gray, JE</t>
  </si>
  <si>
    <t>Gray, Joanne E.</t>
  </si>
  <si>
    <t>The geopolitics of 'platforms': the TikTok challenge</t>
  </si>
  <si>
    <t>INTERNET POLICY REVIEW</t>
  </si>
  <si>
    <t>TikTok; Platforms; Competition; China; Geopolitics</t>
  </si>
  <si>
    <t>INTERNET; FACEBOOK</t>
  </si>
  <si>
    <t>In the international digital platform market, a handful of US companies enjoy immense cultural, economic and political power. The short form video platform TikTok provides significant competition to these US incumbents but so far policymakers have focused on the geopolitical implications of TikTok. This paper provides a content analysis of government and company sources, issued between April and August 2020, to systematically establish the geopolitics of the TikTok controversy. It is important to identify geopolitical motivations because they can obscure other factors relevant to platform politics, such as the value of competition in a highly concentrated international platform market. The paper concludes by outlining a research agenda for enhancing competition and avoiding the solidification of conventional geopolitical power dynamics in the international digital platform market.</t>
  </si>
  <si>
    <t>[Gray, Joanne E.] Queensland Univ Technol, Brisbane, Qld, Australia</t>
  </si>
  <si>
    <t>Gray, JE (corresponding author), Queensland Univ Technol, Brisbane, Qld, Australia.</t>
  </si>
  <si>
    <t>joanne.e.gray@qut.edu.au</t>
  </si>
  <si>
    <t>Gray, Joanne/0000-0001-5425-4979</t>
  </si>
  <si>
    <t>ALEXANDER VON HUMBOLDT INST INTERNET &amp; SOC</t>
  </si>
  <si>
    <t>BERLIN</t>
  </si>
  <si>
    <t>OBERWALLSTRASSE 9, BERLIN, 10117, GERMANY</t>
  </si>
  <si>
    <t>2197-6775</t>
  </si>
  <si>
    <t>INTERNET POLICY REV</t>
  </si>
  <si>
    <t>Internet Policy Rev.</t>
  </si>
  <si>
    <t>e1557</t>
  </si>
  <si>
    <t>10.14763/2021.2.1557</t>
  </si>
  <si>
    <t>Communication; Law</t>
  </si>
  <si>
    <t>TU2BN</t>
  </si>
  <si>
    <t>WOS:000680844700007</t>
  </si>
  <si>
    <t>Akinbola, B</t>
  </si>
  <si>
    <t>Akinbola, Bimbola</t>
  </si>
  <si>
    <t>#AfricanAunties: performing diasporic digital disbelongings on TikTok</t>
  </si>
  <si>
    <t>TEXT AND PERFORMANCE QUARTERLY</t>
  </si>
  <si>
    <t>Disbelonging; digital performance; kinship; African aunties; TikTok</t>
  </si>
  <si>
    <t>The African aunties hashtag has over 21 million views on the video-sharing app TikTok. Akinbola examines how African women and girls embody and perform the African auntie on TikTok, focusing on three types of videos: Deprecating auntie performances, celebratory auntie performances, and re-staged encounters with aunties. Specifically analyzing videos created by and/or featuring African women and girls, Akinbola argues that these content creators practice digital disbelonging by embracing the personal and cultural importance of their African aunties, while explicitly rejecting the forms of gendered surveillance, discipline and shame that shape their day to day lives.</t>
  </si>
  <si>
    <t>[Akinbola, Bimbola] Northwestern Univ, Performance Studies, Evanston, IL 60201 USA</t>
  </si>
  <si>
    <t>Northwestern University</t>
  </si>
  <si>
    <t>Akinbola, B (corresponding author), Northwestern Univ, Performance Studies, Evanston, IL 60201 USA.</t>
  </si>
  <si>
    <t>bimbola.akinbola@northwestern.edu</t>
  </si>
  <si>
    <t>1046-2937</t>
  </si>
  <si>
    <t>1479-5760</t>
  </si>
  <si>
    <t>TEXT PERFORM Q</t>
  </si>
  <si>
    <t>Text Perform. Q.</t>
  </si>
  <si>
    <t>10.1080/10462937.2022.2044071</t>
  </si>
  <si>
    <t>MAR 2022</t>
  </si>
  <si>
    <t>Humanities, Multidisciplinary</t>
  </si>
  <si>
    <t>Arts &amp; Humanities - Other Topics</t>
  </si>
  <si>
    <t>2T6HB</t>
  </si>
  <si>
    <t>WOS:000763856300001</t>
  </si>
  <si>
    <t>Rodriguez, A; Zhao, XY</t>
  </si>
  <si>
    <t>Rodriguez, Aleesha; Zhao, Xinyu</t>
  </si>
  <si>
    <t>Pushing against the panic: Considering the positives of TikTok and children</t>
  </si>
  <si>
    <t>social media; moral panic; digital childhoods; children's agency; TikTok; children</t>
  </si>
  <si>
    <t>This short commentary is intended to be provocative, as we argue the importance of considering 'other' aspects of children's everyday experiences of TikTok. We argue the need to be cautious about how the risks of TikTok, and digital platforms at large, for children are often amplified at the expense of erasing public awareness about the joy, connection, and creativity that many children and young people also experience on these emerging platforms. Through this work, we call for a shift in perspective in our research community: a shift that moves away from the assumptions (re)produced by policymakers and media, towards an approach grounded in children's everyday experiences so as to consider the implications of TikTok for children in a positive and generative manner.</t>
  </si>
  <si>
    <t>[Rodriguez, Aleesha] Queensland Univ Technol, Australian Res Council Ctr Excellence Digital Chil, Brisbane, Australia; [Zhao, Xinyu] Deakin Univ, Australian Res Council Ctr Excellence Digital Chil, Geelong, Australia</t>
  </si>
  <si>
    <t>Queensland University of Technology (QUT); Deakin University</t>
  </si>
  <si>
    <t>Rodriguez, A (corresponding author), Queensland Univ Technol, QUT 149 Victoria Pk Rd, Kelvin Grove, QLD, Australia.</t>
  </si>
  <si>
    <t>a2.rodriguez@qut.edu.au</t>
  </si>
  <si>
    <t>Zhao, Xinyu/ACZ-7215-2022</t>
  </si>
  <si>
    <t>Australian Research Council Centre of Excellence for the Digital Child [CE200100022]</t>
  </si>
  <si>
    <t>Australian Research Council Centre of Excellence for the Digital Child(Australian Research Council)</t>
  </si>
  <si>
    <t>The authors disclosed receipt of the following financial support for the research, authorship, and/or publication of this article: This work was supported by the Australian Research Council Centre of Excellence for the Digital Child (grant number CE200100022).</t>
  </si>
  <si>
    <t>2024 SEP 2</t>
  </si>
  <si>
    <t>10.1177/13678779241276011</t>
  </si>
  <si>
    <t>E5R5Y</t>
  </si>
  <si>
    <t>WOS:001303575500001</t>
  </si>
  <si>
    <t>Bhupalam, V; Awad, N; Hetzel, J</t>
  </si>
  <si>
    <t>Bhupalam, Vishnu; Awad, Nardin; Hetzel, John</t>
  </si>
  <si>
    <t>Omission of risk undermines the value of content created by nonphysicians: A cross-sectional analysis of chemical peel videos on TikTok</t>
  </si>
  <si>
    <t>chemical peel; content quality; dermatology; education; health information; social media; TikTok</t>
  </si>
  <si>
    <t>[Bhupalam, Vishnu] Univ Cent Florida, Coll Med, Dept Dermatol, Orlando, FL USA; [Bhupalam, Vishnu; Awad, Nardin; Hetzel, John] Ctr Clin &amp; Cosmet Res, Aventura, FL USA; [Awad, Nardin] Dartmouth Hitchcock Med Ctr, Dept Dermatol, Lebanon, NH USA; [Hetzel, John] Augusta Univ, Med Coll Georgia, Dept Med, Augusta, GA USA</t>
  </si>
  <si>
    <t>State University System of Florida; University of Central Florida; Dartmouth College; University System of Georgia; Augusta University</t>
  </si>
  <si>
    <t>Bhupalam, V (corresponding author), Univ Cent Florida, Coll Med, 6850 Lake Nona Blvd, Orlando, FL 32827 USA.</t>
  </si>
  <si>
    <t>vishnubhupalam@ucf.edu</t>
  </si>
  <si>
    <t>10.1016/j.jdin.2024.08.001</t>
  </si>
  <si>
    <t>I5P9H</t>
  </si>
  <si>
    <t>WOS:001330789200001</t>
  </si>
  <si>
    <t>Song, SJ; Xue, X; Zhao, YC; Li, JH; Zhu, QH; Zhao, MM</t>
  </si>
  <si>
    <t>Song, Shijie; Xue, Xiang; Zhao, Yuxiang Chris; Li, Jinhao; Zhu, Qinghua; Zhao, Mingming</t>
  </si>
  <si>
    <t>Short-Video Apps as a Health Information Source for Chronic Obstructive Pulmonary Disease: Information Quality Assessment of TikTok Videos</t>
  </si>
  <si>
    <t>COPD; information quality; social media; short-video apps; TikTok</t>
  </si>
  <si>
    <t>PATIENT EDUCATION; COPD; YOUTUBE; IMPACT</t>
  </si>
  <si>
    <t>Background: Chronic obstructive pulmonary disease (COPD) has become one of the most critical public health problems worldwide. Because many COPD patients are using video-based social media to search for health information, there is an urgent need to assess the information quality of COPD videos on social media. Recently, the short-video app TikTok has demonstrated huge potential in disseminating health information and there are currently many COPD videos available on TikTok; however, the information quality of these videos remains unknown. Objective: The aim of this study was to investigate the information quality of COPD videos on TikTok. Methods: In December 2020, we retrieved and screened 300 videos from TikTok and collected a sample of 199 COPD-related videos in Chinese for data extraction. We extracted the basic video information, coded the content, and identified the video sources. Two independent raters assessed the information quality of each video using the DISCERN instrument. Results: COPD videos on TikTok came mainly from two types of sources: individual users (n=168) and organizational users (n=31). The individual users included health professionals, individual science communicators, and general TikTok users, whereas the organizational users consisted of for-profit organizations, nonprofit organizations, and news agencies. For the 199 videos, the mean scores of the DISCERN items ranged from 3.42 to 4.46, with a total mean score of 3.75. Publication reliability (P=.04) and overall quality (P=.02) showed significant differences across the six types of sources, whereas the quality of treatment choices showed only a marginally significant difference (P=.053) across the different sources. Conclusions: The overall information quality of COPD videos on TikTok is satisfactory, although the quality varies across different sources and according to specific quality dimensions. Patients should be selective and cautious when watching COPD videos on TikTok.</t>
  </si>
  <si>
    <t>[Song, Shijie] Hohai Univ, Business Sch, Nanjing, Peoples R China; [Xue, Xiang; Zhu, Qinghua] Nanjing Univ, Sch Informat Management, Nanjing, Peoples R China; [Zhao, Yuxiang Chris] Nanjing Univ Sci &amp; Technol, Sch Econ &amp; Management, Nanjing, Peoples R China; [Li, Jinhao] Nanjing Univ Sci &amp; Technol, Sino French Engineer Sch, Nanjing, Peoples R China; [Zhao, Mingming] Gaochun Peoples Hosp, Dept Pulm &amp; Crit Care Med, Maoshan Rd 53, Nanjing 211300, Peoples R China</t>
  </si>
  <si>
    <t>Hohai University; Nanjing University; Nanjing University of Science &amp; Technology; Nanjing University of Science &amp; Technology</t>
  </si>
  <si>
    <t>Zhao, MM (corresponding author), Gaochun Peoples Hosp, Dept Pulm &amp; Crit Care Med, Maoshan Rd 53, Nanjing 211300, Peoples R China.</t>
  </si>
  <si>
    <t>mingtze80@163.com</t>
  </si>
  <si>
    <t>Zhao, Mingming/GWN-2646-2022; Zhao, Yuxiang/AFN-0341-2022; Song, Shijie/ABE-1182-2020</t>
  </si>
  <si>
    <t>Xue, Xiang/0000-0002-1075-2121; Song, Shijie/0000-0002-4544-2027; Li, Jinhao/0000-0001-6297-6285; Zhao, Yuxiang (Chris)/0000-0001-9281-3030</t>
  </si>
  <si>
    <t>National Science Foundation of China [72174083, 72074112, 71774083]; Postgraduate Research &amp; Practice Innovation Program of Jiangsu Province [KYCX19_0022]</t>
  </si>
  <si>
    <t>National Science Foundation of China(National Natural Science Foundation of China (NSFC)); Postgraduate Research &amp; Practice Innovation Program of Jiangsu Province</t>
  </si>
  <si>
    <t>We thank Dr Ya Zhang for her contribution to the data analysis and the anonymous reviewers and editors for their helpful comments on the manuscript. The study is supported by the National Science Foundation of China (grant numbers 72174083, 72074112, and 71774083) and the Postgraduate Research &amp; Practice Innovation Program of Jiangsu Province (grant number KYCX19_0022) .</t>
  </si>
  <si>
    <t>DEC 20</t>
  </si>
  <si>
    <t>e28318</t>
  </si>
  <si>
    <t>10.2196/28318</t>
  </si>
  <si>
    <t>YD3XZ</t>
  </si>
  <si>
    <t>WOS:000740350700008</t>
  </si>
  <si>
    <t>Duguay, S</t>
  </si>
  <si>
    <t>Duguay, Stefanie</t>
  </si>
  <si>
    <t>TikTok's Queer Potential: Identity, Methods, Movements</t>
  </si>
  <si>
    <t>identity; publics; sexuality; digital methods; social media</t>
  </si>
  <si>
    <t>This commentary piece considers TikTok's queer potential in terms of the platform's use and subversion for the purposes of queer movements and worldmaking. It considers how TikTok's affordances, features, and algorithmic functionalities both facilitate and hamper the expression of lesbian, gay, bisexual, transgender, queer and other diverse (LGBTQ+) identities and the formation of queer publics. As such, it proposes that queer methodologies, invoking multiple approaches infused with an ethics of care and attention to platform specificity, can be applied to examine the hurdles TikTok poses for LGBTQ+ people as well as how individuals appropriate the app for their purposes. By considering how queer identities, publics, and methods play out on TikTok, it becomes possible to locate the app's existing and potential role in the realization of queer movements and futures.</t>
  </si>
  <si>
    <t>[Duguay, Stefanie] Concordia Univ, Montreal, PQ, Canada; [Duguay, Stefanie] Concordia Univ, Dept Commun Studies, 7141 Sherbrooke St West, Montreal, PQ H4B 1R6, Canada</t>
  </si>
  <si>
    <t>Concordia University - Canada; Concordia University - Canada</t>
  </si>
  <si>
    <t>Duguay, S (corresponding author), Concordia Univ, Dept Commun Studies, 7141 Sherbrooke St West, Montreal, PQ H4B 1R6, Canada.</t>
  </si>
  <si>
    <t>stefanie.duguay@concordia.ca</t>
  </si>
  <si>
    <t>Duguay, Stefanie/ITU-7459-2023</t>
  </si>
  <si>
    <t>Concordia University Research Chair (New Scholar) award; Fonds de recherche du Quebec - Societe et culture [2023-NP-311362]</t>
  </si>
  <si>
    <t>Concordia University Research Chair (New Scholar) award; Fonds de recherche du Quebec - Societe et culture</t>
  </si>
  <si>
    <t>The author(s) disclosed receipt of the following financial support for the research, authorship, and/or publication of this article: The author's research is supported by a Concordia University Research Chair (New Scholar) award and a grant from the Fonds de recherche du Quebec - Societe et culture (2023-NP-311362).</t>
  </si>
  <si>
    <t>10.1177/20563051231157594</t>
  </si>
  <si>
    <t>9D9YI</t>
  </si>
  <si>
    <t>WOS:000936451600001</t>
  </si>
  <si>
    <t>Schwab-Reese, L; Renner, LM; Quang, D; Carlyle, K; Nair, I; Chase, K; Demaria, AL</t>
  </si>
  <si>
    <t>Schwab-Reese, Laura; Renner, Lynette M.; Quang, Duyen; Carlyle, Kellie; Nair, Isha; Chase, Kendall; Demaria, Andrea L.</t>
  </si>
  <si>
    <t>If I Stay Silent, It Doesn't Help Anyone: Understanding How People Use TikTok to Talk About Sexual Violence</t>
  </si>
  <si>
    <t>VIOLENCE AGAINST WOMEN</t>
  </si>
  <si>
    <t>TikTok; sexual violence; sexual assault; disclosure; social media</t>
  </si>
  <si>
    <t>DISCLOSURE; INFORMATION; BARRIERS; ABUSE</t>
  </si>
  <si>
    <t>TikTok is the second most popular social media platform among American teenagers, suggesting it may be a way to reach young people with sexual violence-related messages. This qualitative content analysis focused on what TikTok users share about sexual violence. The content of the videos fell into two primary types of information, people sharing experiences of sexual violence (i.e., what happened, how they responded, impacts of experiences) and people sharing other information related to sexual violence (i.e., education, raising awareness). The study results demonstrate that people use TikTok as a platform to share their messages about sexual violence-related topics, underscoring the potential of this platform for prevention and recovery messages targeted toward individuals who directly or indirectly experience sexual violence.</t>
  </si>
  <si>
    <t>[Schwab-Reese, Laura; Demaria, Andrea L.] Purdue Univ, publ Hlth, W Lafayette, IN USA; [Renner, Lynette M.] Univ Minnesota, Sch Social Work, St Paul, MN USA; [Quang, Duyen] Purdue Univ, Sch Hlth Sci, W Lafayette, IN USA; [Carlyle, Kellie] Virginia Commonwealth Univ, Sch Populat Hlth, Richmond, VA USA; [Nair, Isha; Chase, Kendall] Purdue Univ, Coll Hlth &amp; Human Sci, W Lafayette, IN USA</t>
  </si>
  <si>
    <t>Purdue University System; Purdue University; University of Minnesota System; University of Minnesota Twin Cities; Purdue University System; Purdue University; Virginia Commonwealth University; Purdue University System; Purdue University</t>
  </si>
  <si>
    <t>Schwab-Reese, L (corresponding author), Purdue Univ, Dept Publ Hlth, 812 W State St,MTHW 214F, W Lafayette, IN 47907 USA.</t>
  </si>
  <si>
    <t>lschwabr@purdue.edu</t>
  </si>
  <si>
    <t>Renner, Lynette/AAL-7392-2020</t>
  </si>
  <si>
    <t>Schwab-Reese, Laura/0000-0002-9174-1730</t>
  </si>
  <si>
    <t>Bill and Melinda Gates Institute for Population and Reproductive Health</t>
  </si>
  <si>
    <t>The authors disclosed receipt of the following financial support for the research, authorship, and/or publication of this article. This work was supported by the Bill and Melinda Gates Institute for Population and Reproductive Health.</t>
  </si>
  <si>
    <t>1077-8012</t>
  </si>
  <si>
    <t>1552-8448</t>
  </si>
  <si>
    <t>VIOLENCE AGAINST WOM</t>
  </si>
  <si>
    <t>Violence Against Women</t>
  </si>
  <si>
    <t>2024 SEP 12</t>
  </si>
  <si>
    <t>10.1177/10778012241279106</t>
  </si>
  <si>
    <t>Women's Studies</t>
  </si>
  <si>
    <t>F9V6C</t>
  </si>
  <si>
    <t>WOS:001313215400001</t>
  </si>
  <si>
    <t>Shen, Z</t>
  </si>
  <si>
    <t>Shen, Zheng</t>
  </si>
  <si>
    <t>Street Art on TikTok: Engaging with Digital Cosmopolitanism</t>
  </si>
  <si>
    <t>COSMOPOLITAN CIVIL SOCIETIES-AN INTERDISCIPLINARY JOURNAL</t>
  </si>
  <si>
    <t>Street Art; Digital Cosmopolitanism; TikTok; Transcultural Engagement; Text Mining</t>
  </si>
  <si>
    <t>SOCIAL MEDIA; CONSUMER ENGAGEMENT; TWITTER; SPACE</t>
  </si>
  <si>
    <t>With the rapid development of digital technology, digital cosmopolitans are engaging in street art from the real world to a range of social media. In this study, TikTok, one of the new and important communication channels, is the main source of data to explore how to increase transcultural engagement in digital cosmopolitanism. To limit data to be studied, Jingxuan Peng, who is a TikTok influencer, was observed and used as a case study to understand the relationship between street artists and digital cosmopolitans. As a result, a total of 243 videos and corresponding engagement responses were collected and investigated through text mining analysis. The findings show that TikTok can help increase social interactions between street artists and digital cosmopolitans, and that its content has varying levels of positive impact on transcultural engagement in digital cosmopolitanism.</t>
  </si>
  <si>
    <t>[Shen, Zheng] Zhejiang Sci Tech Univ, Hangzhou, Peoples R China; [Shen, Zheng] Zhejiang Sci Tech Univ, 8,Taikang Rd Donghu St, Hangzhou, Peoples R China</t>
  </si>
  <si>
    <t>Zhejiang Sci-Tech University; Zhejiang Sci-Tech University</t>
  </si>
  <si>
    <t>Shen, Z (corresponding author), Zhejiang Sci Tech Univ, 8,Taikang Rd Donghu St, Hangzhou, Peoples R China.</t>
  </si>
  <si>
    <t>janeshen@zstu.edu.cn</t>
  </si>
  <si>
    <t>Shen, Zheng/ABD-7069-2021</t>
  </si>
  <si>
    <t>shen, zheng/0000-0003-2348-5189</t>
  </si>
  <si>
    <t>UNIV TECHNOLOGY, SYDNEY-UTS EPRESS</t>
  </si>
  <si>
    <t>SYDNEY</t>
  </si>
  <si>
    <t>BROADWAY, PO BOX 123, SYDNEY, NSW 2007, AUSTRALIA</t>
  </si>
  <si>
    <t>1837-5391</t>
  </si>
  <si>
    <t>COSMOP CIV SOC</t>
  </si>
  <si>
    <t>Cosmop. Civ. Soc.</t>
  </si>
  <si>
    <t>10.5130/ccs.v14.i2.8017</t>
  </si>
  <si>
    <t>Sociology</t>
  </si>
  <si>
    <t>6Q2IG</t>
  </si>
  <si>
    <t>WOS:000891440000001</t>
  </si>
  <si>
    <t>Escamilla-Fajardo, P; Alguacil, M; López-Carril, S</t>
  </si>
  <si>
    <t>Escamilla-Fajardo, Paloma; Alguacil, Mario; Lopez-Carril, Samuel</t>
  </si>
  <si>
    <t>Incorporating TikTok in higher education: Pedagogical perspectives from a corporal expression sport sciences course</t>
  </si>
  <si>
    <t>TikTok; Social media; Higher education; Educational innovation; Mobile learning</t>
  </si>
  <si>
    <t>SOCIAL MEDIA; TWITTER; ENGAGEMENT; COMMUNICATION; INNOVATION; KNOWLEDGE; FACEBOOK; USAGE</t>
  </si>
  <si>
    <t>Social media have revolutionised the way humans communicate and socialise. Education is also changing; social media are transforming educational environments, and online or blended learning are increasingly used. The COVID-19 pandemic has further accelerated this change. In this paper, we present an educational innovation where TikTok (a social media that is based on creating and sharing 15-60-s video, which has experienced a significant breakthrough during the COVID-19 pandemic) is used as a pedagogical tool. 65 Spanish sport science students participated in this study. A mixed research method was designed to analyse the effect of TikTok use on students. The SPSS 23.0 and NVivo12 software were employed to analyse the data, including the paired sample t-test. The main results indicate that the use of TikTok promotes student motivation, creates an engaging learning environment, and encourages the development of skills such as creativity and curiosity. Therefore, TikTok is recommended to be introduced as a teaching-learning tool in corporal expression courses of the sport science Bachelor's degree owing to its positive educational potential and because TikTok suits the expressive and creative content of the course through music and movement.</t>
  </si>
  <si>
    <t>[Escamilla-Fajardo, Paloma; Alguacil, Mario; Lopez-Carril, Samuel] Univ Valencia, Dept Phys Educ &amp; Sport, Gasco Oliag 3, Valencia 46020, Spain</t>
  </si>
  <si>
    <t>University of Valencia</t>
  </si>
  <si>
    <t>Alguacil, M (corresponding author), Univ Valencia, Dept Phys Educ &amp; Sport, Gasco Oliag 3, Valencia 46020, Spain.</t>
  </si>
  <si>
    <t>mario.alguacil@uv.es</t>
  </si>
  <si>
    <t>Alguacil, Mario/U-9064-2019; Escamilla, Paloma/AAI-2734-2020; López Carril, Samuel/HHZ-5367-2022</t>
  </si>
  <si>
    <t>Lopez-Carril, Samuel/0000-0001-5278-057X; Alguacil, Mario/0000-0002-4832-2290; Escamilla Fajardo, Paloma/0000-0002-4518-5569</t>
  </si>
  <si>
    <t>Spanish Ministry of Science, Innovation and Universities [FPU15/05670]</t>
  </si>
  <si>
    <t>Spanish Ministry of Science, Innovation and Universities(Spanish Government)</t>
  </si>
  <si>
    <t>The third author of this work is grateful for the support of the predoctoral contract FPU15/05670'' granted by the Spanish Ministry of Science, Innovation and Universities.</t>
  </si>
  <si>
    <t>10.1016/j.jhlste.2021.100302</t>
  </si>
  <si>
    <t>FEB 2021</t>
  </si>
  <si>
    <t>SE2DO</t>
  </si>
  <si>
    <t>WOS:000651883800012</t>
  </si>
  <si>
    <t>Amin, S; Chae, SW; Washington, PY; Okamoto, SK; Youkey, T; Pokhrel, P</t>
  </si>
  <si>
    <t>Amin, Samia; Chae, Si woo; Washington, Peter Y.; Okamoto, Scott K.; Youkey, Tsering; Pokhrel, Pallav</t>
  </si>
  <si>
    <t>A mixed-method exploration of #vapingcessation videos on TikTok</t>
  </si>
  <si>
    <t>JOURNAL OF ADDICTIVE DISEASES</t>
  </si>
  <si>
    <t>Cessation; E-cigarettes; Quit; TikTok; Vaping</t>
  </si>
  <si>
    <t>E-CIGARETTE USE; ASSOCIATION; YOUTUBE; ADULTS</t>
  </si>
  <si>
    <t>BackgroundE-cigarette use has risen rapidly, especially among young people. TikTok is one of the most commonly used social media platforms among young people. The representation of vaping cessation messages in TikTok content remains unexplored. We aimed to address this gap by analyzing the vaping cessation content prevalent on TikTok.MethodsThis cross-sectional mixed methods study analyzed the top 100 TikTok videos-determined based on view-counts-related to vaping cessation. Our quantitative analysis examined video characteristics, while our qualitative analysis identified key thematic representations.ResultsThe final sample included 87 videos, with a combined total of over 100 billion views. Most videos were created by regular users (general TikTok content creators) rather than those identifying as health experts or professionals such as doctors, acupuncturists or dental hygienists. Very few posts mentioned evidence-based cessation aids or support. Videos scored high on understandability but low on actionability based on standardized criteria. Qualitative analysis identified nine key themes: motivations for quitting, barriers to quitting, use of aids and strategies, relapse experiences, identity and self-image, celebrating cessation success, emotional journey of quitting vaping, seeking social support, and limited mentions of healthcare providers.ConclusionsTikTok appears to be a useful influential forum for studying quitting behavior through the sharing of personal experiences and perspectives on vaping cessation. Opportunities exist to integrate evidence-based messaging and support into this platform. Findings can inform social media interventions designed to counter pro-vaping content and promote quitting e-cigarette use.ImplicationsPartnerships among health professionals, public health experts, and social media influencers may be leveraged to disseminate proven vaping cessation techniques on leading social media platforms such as TikTok.</t>
  </si>
  <si>
    <t>[Amin, Samia; Chae, Si woo; Okamoto, Scott K.; Youkey, Tsering; Pokhrel, Pallav] Univ Hawaii Manoa, Univ Hawaii Canc Ctr, Populat Sci Program, 701 Ilalo St, Honolulu, HI USA; [Washington, Peter Y.] Univ Hawaii Manoa, Informat &amp; Comp Sci, Honolulu, HI USA</t>
  </si>
  <si>
    <t>University of Hawaii System; University of Hawaii Manoa; Cancer Research Center of Hawaii; University of Hawaii System; University of Hawaii Manoa</t>
  </si>
  <si>
    <t>Amin, S (corresponding author), Univ Hawaii Canc Ctr, Honolulu, HI 96813 USA.</t>
  </si>
  <si>
    <t>samin@cc.hawaii.edu</t>
  </si>
  <si>
    <t>Amin, Samia/ABC-2082-2020</t>
  </si>
  <si>
    <t>Amin, Samia/0000-0001-9526-1606</t>
  </si>
  <si>
    <t>1055-0887</t>
  </si>
  <si>
    <t>1545-0848</t>
  </si>
  <si>
    <t>J ADDICT DIS</t>
  </si>
  <si>
    <t>J. Addict. Dis.</t>
  </si>
  <si>
    <t>2024 OCT 5</t>
  </si>
  <si>
    <t>10.1080/10550887.2024.2414139</t>
  </si>
  <si>
    <t>Substance Abuse</t>
  </si>
  <si>
    <t>I7D9V</t>
  </si>
  <si>
    <t>WOS:001331838400001</t>
  </si>
  <si>
    <t>Southwick, L; Francisco, A; Bradley, M; Klinger, E; Guntuku, SC</t>
  </si>
  <si>
    <t>Southwick, Lauren; Francisco, Ashley; Bradley, Megan; Klinger, Elissa; Chandra Guntuku, Sharath</t>
  </si>
  <si>
    <t>Characterizing Responses to COVID-19 Vaccine Promotion on TikTok</t>
  </si>
  <si>
    <t>AMERICAN JOURNAL OF HEALTH PROMOTION</t>
  </si>
  <si>
    <t>COVID-19; social media; awareness; strategies; digital data; TikTok; vaccine; COVID-19 vaccine; community; specific settings; adolescents; age specific; specific populations</t>
  </si>
  <si>
    <t>PUBLIC SENTIMENT; ADOLESCENTS</t>
  </si>
  <si>
    <t>Purpose The Alabama Department of Public Health (ADPH) sponsored a TikTok contest to improve vaccination rates among young people. This analysis sought to advance understanding of COVID-19 vaccine perceptions among ADPH contestants and TikTok commenters. Approach This exploratory content analysis characterized sentiment and imagery in the TikTok videos and comments. Videos were coded by two reviewers and engagement metrics were collected for each video. Setting Publicly available TikTok videos entered into ADPH's contest with the hashtags #getvaccinatedAL and #ADPH between July 16 - August 6, 2021. Participants ADPH contestants (n = 44) and TikTok comments (n = 502). Method A content analysis was conducted; videos were coded by two reviewers and engagement metrics was collected for each video (e.g., reason for vaccination, content, type of vaccination received). Video comments were analyzed using VADER, a lexicon and rule-based sentiment analysis tool). Results Of 44 videos tagged with #getvaccinatedAL and #ADPH, 37 were related to the contest. Of the 37 videos, most cited family/friends and civic duty as their reason to get the COVID-19 vaccine. Videos were shared an average of 9 times and viewed 977 times. 70% of videos had comments, ranging from 0-61 (mean 44). Words used most in positively coded comments included, beautiful, smiling face emoji with 3 hearts, masks, and good.; whereas words used most in negatively coded comments included baby, me, chips, and cold. Conclusion Understanding COVID-19 vaccine sentiment expressed on social media platforms like TikTok can be a powerful tool and resource for public health messaging.</t>
  </si>
  <si>
    <t>[Southwick, Lauren; Bradley, Megan; Klinger, Elissa; Chandra Guntuku, Sharath] Univ Penn, Penn Med Ctr Digital Hlth, Philadelphia, PA USA; [Southwick, Lauren; Bradley, Megan; Klinger, Elissa] Univ Penn, Penn Med Ctr Hlth Care Innovat, Philadelphia, PA USA; [Francisco, Ashley; Chandra Guntuku, Sharath] Univ Penn, Dept Comp &amp; Informat Sci, Philadelphia, PA USA; [Chandra Guntuku, Sharath] Univ Penn, Perelman Sch Med, Philadelphia, PA USA; [Southwick, Lauren] Univ Penn, Univ Penn Hlth Syst, Ctr Digital Hlth, 3400 Civ Ctr Blvd, Philadelphia, PA 19104 USA</t>
  </si>
  <si>
    <t>University of Pennsylvania; University of Pennsylvania; University of Pennsylvania; University of Pennsylvania; University of Pennsylvania</t>
  </si>
  <si>
    <t>Southwick, L (corresponding author), Univ Penn, Univ Penn Hlth Syst, Ctr Digital Hlth, 3400 Civ Ctr Blvd, Philadelphia, PA 19104 USA.</t>
  </si>
  <si>
    <t>Lauren.southwick@pennmedicine.upenn.edu</t>
  </si>
  <si>
    <t>Guntuku, Sharath Chandra/U-6314-2019</t>
  </si>
  <si>
    <t>Guntuku, Sharath Chandra/0000-0002-2929-0035; Bradley, Megan/0000-0002-8287-3934</t>
  </si>
  <si>
    <t>0890-1171</t>
  </si>
  <si>
    <t>2168-6602</t>
  </si>
  <si>
    <t>AM J HEALTH PROMOT</t>
  </si>
  <si>
    <t>Am. J. Health Promot.</t>
  </si>
  <si>
    <t>10.1177/08901171221141974</t>
  </si>
  <si>
    <t>K2TE6</t>
  </si>
  <si>
    <t>WOS:000896894000001</t>
  </si>
  <si>
    <t>Vizcaíno-Verdú, A; Aguaded, I</t>
  </si>
  <si>
    <t>Vizcaino-Verdu, Arantxa; Aguaded, Ignacio</t>
  </si>
  <si>
    <t>#ThislsMeChallenge and Music for Empowerment of Marginalized Groups on TikTok</t>
  </si>
  <si>
    <t>#ThislsMeChallenge; empowerment; marginalized groups; social media; TikTok; transmedia music; video activism</t>
  </si>
  <si>
    <t>IDENTITY</t>
  </si>
  <si>
    <t>Media convergence is generating many collective performances on social media, where the rise of short-form videos has created a new opportunity for the empowerment of society on online platforms. In this context, TikTok appears as an application for creative expression through music clips and lip-syncs. Through the #ThislsMeChallenge hashtag, which introduces the musical theme of The Greatest Showman film, we analyze a new online practice within messages from traditionally marginalized groups throughout individual and collective life events. In order to understand TikTok as a music venue for social empowerment, we conducted a quantitative content analysis of 100 TikTok posts under the hashtag, and an artificial intelligence sentiment analysis across 8,877 comments. The results show a wide range of performance work that addresses issues of gender, sexual orientation, racial discrimination, and other types of current hate speech. In short, we conclude that TikTok has become a platform that seems to motivate activism and empowerment of marginalized groups through music frameworks that challenge social discrimination.</t>
  </si>
  <si>
    <t>[Vizcaino-Verdu, Arantxa; Aguaded, Ignacio] Univ Huelva, Dept Pedag, Huelva, Spain</t>
  </si>
  <si>
    <t>Universidad de Huelva</t>
  </si>
  <si>
    <t>Vizcaíno-Verdú, A (corresponding author), Univ Huelva, Dept Pedag, Huelva, Spain.</t>
  </si>
  <si>
    <t>arantxa.vizcaino@dedu.uhu.es</t>
  </si>
  <si>
    <t>Vizcaíno-Verdú, Arantxa/AGW-9688-2022; Vizcaino-Verdu, Arantxa/Q-4126-2018; AGUADED, Ignacio/R-4281-2016</t>
  </si>
  <si>
    <t>Vizcaino-Verdu, Arantxa/0000-0001-9399-2077; AGUADED, Ignacio/0000-0002-0229-1118</t>
  </si>
  <si>
    <t>Alfamed (Euro-American Research Network) - Spanish Ministry of Science, Innovation and Universities [RTI2018-093303-B-I00]; European Regional Development Fund (ERDF); Andalusian Regional Government [P18-RT-756]; R+D-i Project (2020-2022) , entitled Instagrammers and youtu-bers for the transmedia empowerment of Andalusian citizens</t>
  </si>
  <si>
    <t>Alfamed (Euro-American Research Network) - Spanish Ministry of Science, Innovation and Universities; European Regional Development Fund (ERDF)(European Union (EU)); Andalusian Regional Government; R+D-i Project (2020-2022) , entitled Instagrammers and youtu-bers for the transmedia empowerment of Andalusian citizens</t>
  </si>
  <si>
    <t>This work was supported by Alfamed (Euro-American Research Network) , under Grant R+D+I Project (2019-2021) , entitled Youtubers and Intagrammers: Media competition in emerging prosumers, with code RTI2018-093303-B-I00, financed by the Spanish Ministry of Science, Innovation and Universities and the European Regional Development Fund (ERDF) , and the R+D-i Project (2020-2022) , entitled Instagrammers and youtu-bers for the transmedia empowerment of Andalusian citizens. The media competence of instatubers, with code P18-RT-756, financed by the Andalusian Regional Government in the 2018 call (Andalusian Research, Development and Innovation Plan, 2020) and the European Regional Development Fund (ERDF) .</t>
  </si>
  <si>
    <t>10.17645/mac.v10i1.4715</t>
  </si>
  <si>
    <t>WOS:000762434300004</t>
  </si>
  <si>
    <t>Gerlieb, A</t>
  </si>
  <si>
    <t>Gerlieb, Anne</t>
  </si>
  <si>
    <t>TikTok as a New Player in the Contemporary Arts Market: A Study with Special Consideration of Feminist Artists and a New Generation of Art Collectors</t>
  </si>
  <si>
    <t>ARTS</t>
  </si>
  <si>
    <t>TikTok; feminism; female artists; gatekeeper; contemporary art; social media; Millennials; Gen Z; art market; COVID</t>
  </si>
  <si>
    <t>How do social-media platforms such as TikTok function as a neutralising factor in the gatekeeping process in times of COVID-19 restrictions? How does TikTok change the experience culture in arts, and how does this impact how artists frame their working process alongside primary gatekeepers? During the COVID-19 pandemic, TikTok attracted many artists, who used the platform to take their practice, and thereby their self-marketing, into their own hands. At the same time, a new generation of collectors use TikTok to discover art under popular hashtag #feministartists. When artists label their work with #feministartists, they insert themselves into the gatekeeping process, and use opportunities and restrictions bounded to that specific hashtag. The study examines this process of professional self-positioning by using interviews with contemporary artists, curators, and observations on TikTok, artist talks, and secondary interviews with artists on online platforms. The findings suggest a variation in how one trades in or trades on feminist artist, accessing resources, and gaining exposure. A focus on feminist artists is restrictive for consolidating artists' efforts to pursue specific professional, social, political, and economic agendas through art.</t>
  </si>
  <si>
    <t>[Gerlieb, Anne] Univ Bonn, Dept Art Hist, D-53113 Bonn, Germany</t>
  </si>
  <si>
    <t>University of Bonn</t>
  </si>
  <si>
    <t>Gerlieb, A (corresponding author), Univ Bonn, Dept Art Hist, D-53113 Bonn, Germany.</t>
  </si>
  <si>
    <t>anne.gerlieb@uni-bonn.de</t>
  </si>
  <si>
    <t>2076-0752</t>
  </si>
  <si>
    <t>Arts</t>
  </si>
  <si>
    <t>10.3390/arts10030052</t>
  </si>
  <si>
    <t>UU8VA</t>
  </si>
  <si>
    <t>WOS:000699071300001</t>
  </si>
  <si>
    <t>Frenette, A; Millette, M; Desbiens, C</t>
  </si>
  <si>
    <t>Frenette, Arielle; Millette, Melanie; Desbiens, Caroline</t>
  </si>
  <si>
    <t>Out With the Hero: How TikTok Everyday Stories Are Re-writing the Arctic</t>
  </si>
  <si>
    <t>authenticity; cultural studies; Inuit; TikTok; social media</t>
  </si>
  <si>
    <t>SOCIAL MEDIA; CANADIAN INUIT; AUTHENTICITY; ETHNOGRAPHY; SEALFIE; NANOOK</t>
  </si>
  <si>
    <t>With the rapid growth of TikTok in the last few years, we have seen the emergence of global influencers from diverse backgrounds, whose popularity is enhanced by TikTok's specific content-based algorithm. In North America, the meta-hashtag #NativeTikTok has become a sharing space for a diverse Indigenous online community. Among these, several young Inuit women have acquired a large fanbase, allowing them to display their culture to a vast public, as well as to bring awareness to issues relating to the Arctic. In this article, we analyze how TikTok became a scale-shifting media for contemporary self-affirmation and displaying of Inuit culture. Drawing data from a case study of six Inuit influencers and an online thematic analysis of their content, we discuss definitions of Inuit authenticity on digital screenscapes, before presenting an analysis of content shared by young Inuit influencers to better understand specific forms of storytelling on TikTok and tensions pertaining to authentic cultural self-presentation. We argue that the TikTok platform provides an efficient tool for young Inuit women to engage with, learn about, and display their culture in their own terms, self-presenting as diverse and modern, in contrast with colonial Inuit imageries.</t>
  </si>
  <si>
    <t>[Frenette, Arielle; Desbiens, Caroline] Univ Laval, Dept Geog, Pavillon Abitibi Price,2405 Terrasse,Off 3181, Quebec City, PQ G1V 0A6, Canada; [Millette, Melanie] Univ Quebec Montreal, Commun &amp; Social Media, Quebec City, PQ, Canada</t>
  </si>
  <si>
    <t>Laval University; University of Quebec</t>
  </si>
  <si>
    <t>Frenette, A (corresponding author), Univ Laval, Dept Geog, Pavillon Abitibi Price,2405 Terrasse,Off 3181, Quebec City, PQ G1V 0A6, Canada.</t>
  </si>
  <si>
    <t>arielle.frenette@uqar.ca</t>
  </si>
  <si>
    <t>Millette, Mélanie/AAV-3204-2021; Frenette, Arielle/HTM-1929-2023</t>
  </si>
  <si>
    <t>Canada Graduate Scholarships-Doctoral (CGS D) program of the Social Sciences and Humanities Research Council of Canada [767-2020-1736]</t>
  </si>
  <si>
    <t>Canada Graduate Scholarships-Doctoral (CGS D) program of the Social Sciences and Humanities Research Council of Canada</t>
  </si>
  <si>
    <t>The authors disclosed receipt of the following financial support for the research and authorship of this article: This work was supported by the Canada Graduate Scholarships-Doctoral (CGS D) program of the Social Sciences and Humanities Research Council of Canada (grant number 767-2020-1736)</t>
  </si>
  <si>
    <t>10.1177/20563051241283426</t>
  </si>
  <si>
    <t>H2R0Z</t>
  </si>
  <si>
    <t>WOS:001321951200001</t>
  </si>
  <si>
    <t>Sot, I</t>
  </si>
  <si>
    <t>Sot, Irem</t>
  </si>
  <si>
    <t>Fostering intimacy on TikTok: a platform that 'listens' and 'creates a safe space'</t>
  </si>
  <si>
    <t>affordances; algorithmic systems; choices of social media; digital ethnography; disconnection; intimacy in Turkey; mediated intimacies; polymedia; TikTok</t>
  </si>
  <si>
    <t>SOCIAL MEDIA; COVID-19; HOME; SEX; ME</t>
  </si>
  <si>
    <t>This research explores how and why TikTok users from Turkey choose to make TikTok content. Drawing from the concept of polymedia and debates on digital connection and disconnection, which center on individuals' choices whether to connect or detach from digital media based on the affordances they offer, the article highlights an affordance shaping users' choices of media that have not received sufficient emphasis in these discussions: namely, the ability of a platform to foster intimacy. Based on qualitative research combining structured and semistructured interviews with 14 individuals, the article discusses how and why TikTok has come to be perceived either as an object of attachment with which individuals have intimate relations or as a site for individuals to fashion a shared sense of intimate, safe space with other users. I also illustrate that the ways individuals talk about intimacy intersect with how they talk about the algorithmic systems. Combining approaches from critical algorithm studies, media choices, and research on mediated intimacies, the article demonstrates that (a) individuals choose TikTok to foster intimacies and (b) users connect seemingly contradictory concepts of intimacy and algorithms in their choices of TikTok.</t>
  </si>
  <si>
    <t>[Sot, Irem] Univ Antwerp, Antwerp, Belgium; [Sot, Irem] Koc Univ, Istanbul, Turkey</t>
  </si>
  <si>
    <t>University of Antwerp; Koc University</t>
  </si>
  <si>
    <t>Sot, I (corresponding author), Koc Univ, Technol &amp; Soc, TR-34450 Istanbul, Turkey.</t>
  </si>
  <si>
    <t>isot18@ku.edu.tr</t>
  </si>
  <si>
    <t>Sot, Irem/IXW-8653-2023</t>
  </si>
  <si>
    <t>10.1177/01634437221104709</t>
  </si>
  <si>
    <t>5R8VN</t>
  </si>
  <si>
    <t>WOS:000813814500001</t>
  </si>
  <si>
    <t>Dey, I</t>
  </si>
  <si>
    <t>Dey, Ishani</t>
  </si>
  <si>
    <t>Small Town Stardom and theBig Picture: Cinematic Intimacies on TikTok Ishani Dey</t>
  </si>
  <si>
    <t>BIOSCOPE-SOUTH ASIAN SCREEN STUDIES</t>
  </si>
  <si>
    <t>TikTok; Bala; remediation; stardom; cinephilia; OTT; platforms</t>
  </si>
  <si>
    <t>FILM</t>
  </si>
  <si>
    <t>This article demonstrates how new media technologies remediate traditional cinematic modes of stardom, specifically in and through small towns in India. Through two case studies, it explores registers of stardom that have emerged through the short video sharing app TikTok - both on the platform and in its filmic renditions. The first case looks at the cinematic construct of a TikTok star, which fuels the formal and narrative force of the 2019 film Bala (dir. Amar Kaushik). Bala illustrates how cinema can self-reflexively interweave traditional tropes with new media technologies. The second case features a 'real-life' TikTok star and political aspirant who brings into focus the political and electoral valence of TikTok stardom in the town of Adampur, Haryana. The cinematic is central to this narrative, where cinephilic nostalgia indicates a shared cultural intimacy between the political candidate and her followers and helps further her political ambitions. While the real TikTok star, Sonali Phogat, directly addresses her constituency, lip-syncing to old movie songs in 15-second videos, her reel counterparts pay homage to their cine-ancestors, 15 seconds at a time. In a setting where 'the star' has traditionally been understood through the prism of cinema, this article brings to light shifting registers invoked through the platformisation of the star and the cinematic in small town India.</t>
  </si>
  <si>
    <t>[Dey, Ishani] Jawaharlal Nehru Univ, Sch Arts &amp; Aesthet, Dept Cinema Studies, New Delhi, India</t>
  </si>
  <si>
    <t>Jawaharlal Nehru University, New Delhi</t>
  </si>
  <si>
    <t>Dey, I (corresponding author), Jawaharlal Nehru Univ, Sch Arts &amp; Aesthet, Dept Cinema Studies, New Delhi, India.</t>
  </si>
  <si>
    <t>ishani.dey@gmail.com</t>
  </si>
  <si>
    <t>Jawaharlal Nehru University</t>
  </si>
  <si>
    <t>The author extends her sincere gratitude to Dr Debashree Mukherjee for her meticulous attention to this article, and to the anonymous peer reviewer for their encouraging feedback. The author acknowledges with appreciation the guidance provided by Professor Ravi Vasudevan and Professor Ravi Sundaram in the early stages. An initial draft of this article was presented at a conference organised by the Department of Cinema Studies at the School of Arts and Aesthetics, Jawaharlal Nehru University. The author is grateful for the feedback received from the faculty and cohort. Special thanks to Dr Vebhuti Duggal for her unwavering support throughout this process and to Sarah Khan for her technical assistance.</t>
  </si>
  <si>
    <t>SAGE PUBLICATIONS INDIA PVT LTD</t>
  </si>
  <si>
    <t>NEW DELHI</t>
  </si>
  <si>
    <t>B-1-I-1 MOHAN CO-OPERATIVE INDUSTRIAL AREA, MATHURA RD, POST BAG NO 7, NEW DELHI 110 044, INDIA</t>
  </si>
  <si>
    <t>0974-9276</t>
  </si>
  <si>
    <t>0976-352X</t>
  </si>
  <si>
    <t>BIOSCOPE</t>
  </si>
  <si>
    <t>BioScope S. Asian Screen Stud.</t>
  </si>
  <si>
    <t>10.1177/09749276241252631</t>
  </si>
  <si>
    <t>Film, Radio, Television; Asian Studies</t>
  </si>
  <si>
    <t>Film, Radio &amp; Television; Asian Studies</t>
  </si>
  <si>
    <t>ZJ0M8</t>
  </si>
  <si>
    <t>WOS:001241122000001</t>
  </si>
  <si>
    <t>Passarelli, E; Siddique, M; Fry, L; Hickman, L; Propst, K</t>
  </si>
  <si>
    <t>Passarelli, Emily; Siddique, Moiuri; Fry, Laura; Hickman, Lisa; Propst, Katie</t>
  </si>
  <si>
    <t>Perineal lacerations and social media: can patients find reliable information on Instagram and TikTok?</t>
  </si>
  <si>
    <t>Obstetric perineal laceration; Social media; Health care professional</t>
  </si>
  <si>
    <t>Introduction and hypothesisSocial media content related to patient experiences and education continues to grow. Information on how obstetric perineal lacerations are represented on social media is limited. Our goal is to characterize available social media content on obstetric perineal lacerations.MethodsThis is an IRB-exempt study using publicly available data on commonly searched topics about perineal lacerations to create a list of queries for Instagram and TikTok. The ten queries and keyword searches with the highest number of posts were identified from this list. The 50 most recent posts were reviewed for relevance, quality of content, and authorship. Topic-relevant posts were analyzed.ResultsThe search yielded 427 posts on Instagram and 500 on TikTok. Instagram yielded more topic-relevant posts than TikTok (94.1% vs 44.8%). Almost 50% of posts were categorized as educational. Instagram identified more patient experience-related posts (29.6%) whereas TikTok provided more humorous content (26.3%). Patients produced 27.6% of content on Instagram and 43.3% on TikTok. Physical therapists produced 18.9% of posts on Instagram and 21.9% on TikTok. They constituted the largest group of health professionals to post overall. Physician-created educational content accounted for 10.3% of posts on Instagram and 6.0% on TikTok.ConclusionsCompared with TikTok, Instagram may be a more informative social media platform for educational or patient experience-related content. Given the paucity of physician-created content and given that only half of all posts are educational, providers should encourage social media engagement for community and networking purposes, while encouraging caution with regard to cosmetic products and advertisements.</t>
  </si>
  <si>
    <t>[Passarelli, Emily] Westchester Med Ctr, Obstet &amp; Gynecol, Valhalla, NY USA; [Siddique, Moiuri] NYU Langone Hlth, Dept Obstet &amp; Gynecol, Div Female Pelv Med &amp; Reconstruct Surg, New York, NY 10016 USA; [Hickman, Lisa] Ohio State Univ, Dept Obstet &amp; Gynecol, Wexner Med Ctr, Div Female Pelv Med &amp; Reconstruct Surg, Columbus, OH 43210 USA; [Propst, Katie] Univ S Florida, Dept Obstet &amp; Gynecol, Div Urogynecol &amp; Reconstruct Pelv Surg, Morsani Coll Med, Tampa, FL 33602 USA</t>
  </si>
  <si>
    <t>Westchester Medical Center; NYU Langone Medical Center; University System of Ohio; Ohio State University; State University System of Florida; University of South Florida</t>
  </si>
  <si>
    <t>Siddique, M (corresponding author), NYU Langone Hlth, Dept Obstet &amp; Gynecol, Div Female Pelv Med &amp; Reconstruct Surg, New York, NY 10016 USA.</t>
  </si>
  <si>
    <t>Moiuri.siddique@nyulangone.org</t>
  </si>
  <si>
    <t>10.1007/s00192-023-05690-3</t>
  </si>
  <si>
    <t>FT3F2</t>
  </si>
  <si>
    <t>WOS:001111215300001</t>
  </si>
  <si>
    <t>Mohammed, I; Mahmoud, MA; Ahmed, AS; Preko, A; Mwin, N; Clottey, EK; Boakye, B</t>
  </si>
  <si>
    <t>Mohammed, Iddrisu; Mahmoud, Mahmoud Abdulai; Ahmed, Abdul Salam; Preko, Alexander; Mwin, Norbert; Clottey, Emmanuel Kwei; Boakye, Bernice</t>
  </si>
  <si>
    <t>Safety, security, clean air and intention to experience: Do TikTok short video narratives matter?</t>
  </si>
  <si>
    <t>Tiktok short video; safety; security; clean air; intention to experience; narratives</t>
  </si>
  <si>
    <t>MENTAL SIMULATION; TOURISM INDUSTRY; TRANSPORTATION; POLLUTION; COVID-19; IMPACT; MEDIA; PERCEPTION; BEHAVIOR; TRAVEL</t>
  </si>
  <si>
    <t>Safety, security, and clean air have been given some appreciable attention in tourism research and practice. However, little is known about TikTok short video narratives of safety, security, and clean air of a tourism destination. To fill this knowledge gap, this study was guided by narrative transportation theory to examine the impact of TikTok short safety, security, and clean air video narratives on potential tourist intention to experience. The snowball sampling technique was employed to select 357 potential tourists, and the structural equation modelling analysis was utilised to analyse the survey gathered data. The results revealed that there were significant positive associations between short video narratives about safety, security, clean air, and intention to experience. Additionally, the moderating effects of TikTok short video narratives showed a significant positive impact between security, and clean air on intention to experience. Destination marketers and management could utilise TikTok short video narratives in promoting tourism sites through the perspective of tourists.</t>
  </si>
  <si>
    <t>[Mohammed, Iddrisu; Mahmoud, Mahmoud Abdulai; Ahmed, Abdul Salam; Mwin, Norbert; Clottey, Emmanuel Kwei; Boakye, Bernice] Univ Ghana, Coll Humanities, Business Sch, Dept Mkt &amp; Entrepreneurship, Accra, Ghana; [Mahmoud, Mahmoud Abdulai] Univ Johannesburg, Coll Business &amp; Econ, Sch Consumer Intelligence &amp; Informat Syst, Dept Mkt Management, Johannesburg, South Africa; [Preko, Alexander] Univ Profess Studies, Dept Mkt, Accra, Ghana</t>
  </si>
  <si>
    <t>University of Ghana; University of Johannesburg</t>
  </si>
  <si>
    <t>Mohammed, I (corresponding author), Univ Ghana, Coll Humanities, Business Sch, Dept Mkt &amp; Entrepreneurship, Accra, Ghana.</t>
  </si>
  <si>
    <t>middrissu5@gmail.com</t>
  </si>
  <si>
    <t>Mohammed, Iddrisu/0000-0001-5522-2960</t>
  </si>
  <si>
    <t>2023 NOV 20</t>
  </si>
  <si>
    <t>10.1177/14673584231217654</t>
  </si>
  <si>
    <t>Y5SW6</t>
  </si>
  <si>
    <t>WOS:001105864500001</t>
  </si>
  <si>
    <t>Widholm, A; Ekman, M; Larsson, AO</t>
  </si>
  <si>
    <t>Widholm, Andreas; Ekman, Mattias; Larsson, Anders Olof</t>
  </si>
  <si>
    <t>A Right-Wing Wave on TikTok? Ideological Orientations, Platform Features, and User Engagement During the Early 2022 Election Campaign in Sweden</t>
  </si>
  <si>
    <t>TikTok; political communication; platform features; social media; user engagement</t>
  </si>
  <si>
    <t>SOCIAL MEDIA; POLITICAL COMMUNICATION; ONLINE PRACTICES; TWITTER; POPULISM; TIME</t>
  </si>
  <si>
    <t>While TikTok has established itself as a new platform for political communication, its role during elections remains understudied by researchers. In this article, we present a content analysis of actor dynamics and ideological content characteristics on TikTok during the early phase of the 2022 election campaign in Sweden, combined with an analysis of how political orientation and utilization of TikTok's platform features impact user engagement. Results reveal that party youth organizations had a prominent presence during the campaign, while traditional party actors were less established. TikTok tends to lean toward right-wing content, with right-wing praise being a significant predictor of user engagement. Semiotic resources such as stickers and emoticons but also added music, were widely used platform features, but these features had no or weak negative effects on user engagement. Added speech, particularly when praising right-wing politics, positively influenced user engagement, suggesting the importance of verbal communication on a platform characterized by multimodal experimentation.</t>
  </si>
  <si>
    <t>[Widholm, Andreas; Ekman, Mattias] Stockholm Univ, Stockholm, Sweden; [Larsson, Anders Olof] Kristiania Univ Coll, Oslo, Norway</t>
  </si>
  <si>
    <t>Stockholm University; Kristiania University College</t>
  </si>
  <si>
    <t>Widholm, A (corresponding author), Stockholm Univ, Dept Media Studies, Karlavagen 104, S-11526 Stockholm, Sweden.</t>
  </si>
  <si>
    <t>andreas.widholm@ims.su.se</t>
  </si>
  <si>
    <t>Widholm, Andreas/ABE-2255-2021</t>
  </si>
  <si>
    <t>Widholm, Andreas/0000-0002-4869-3577; Larsson, Anders Olof/0000-0003-3621-4687</t>
  </si>
  <si>
    <t>Riksbankens Jubileumsfond [P21-0158]</t>
  </si>
  <si>
    <t>Riksbankens Jubileumsfond</t>
  </si>
  <si>
    <t>The author(s) disclosed receipt of the following financial support for the research, authorship, and/or publication of this article: This work was supported by Riksbankens Jubileumsfond (grant P21-0158).</t>
  </si>
  <si>
    <t>10.1177/20563051241269266</t>
  </si>
  <si>
    <t>C6I1P</t>
  </si>
  <si>
    <t>WOS:001290376800001</t>
  </si>
  <si>
    <t>Zulli, D; Zulli, DJ</t>
  </si>
  <si>
    <t>Zulli, Diana; Zulli, David James</t>
  </si>
  <si>
    <t>Extending the Internet meme: Conceptualizing technological mimesis and imitation publics on the TikTok platform</t>
  </si>
  <si>
    <t>Imitation; memes; memetics; mimesis; networked publics; replication; TikTok; walkthrough analysis</t>
  </si>
  <si>
    <t>SCALE</t>
  </si>
  <si>
    <t>Scholars have long been interested in how social media platforms shape user communication and behavior. We add to this literature by critically analyzing the TikTok platform. We argue that the principles of mimesis-imitation and replication-are encouraged by the platform's logic and design and can be observed in the (1) user sign-up process and default page, (2) icons and video-editing features, and (3) user and video creation norms. These memetic features alter modes of sociality, contributing to what we theorize as imitation publics on TikTok. This analysis extends the meme's theoretical and methodological utility by conceptualizing the TikTok platform as a memetic text in and of itself and illustrates a novel type of networked public.</t>
  </si>
  <si>
    <t>[Zulli, Diana] Purdue Univ, Publ Relat &amp; Polit Commun, Brian Lamb Sch Commun, W Lafayette, IN 47907 USA; [Zulli, David James] Univ Texas Austin, Int Relat &amp; Global Studies, Austin, TX 78712 USA; [Zulli, David James] Univ Texas Austin, Anthropol Programs, Austin, TX 78712 USA</t>
  </si>
  <si>
    <t>Purdue University System; Purdue University; University of Texas System; University of Texas Austin; University of Texas System; University of Texas Austin</t>
  </si>
  <si>
    <t>Zulli, D (corresponding author), Purdue Univ, Brian Lamb Sch Commun, Beering Hall Liberal Arts &amp; Educ, Room 2115,100 North St, W Lafayette, IN 47907 USA.</t>
  </si>
  <si>
    <t>10.1177/1461444820983603</t>
  </si>
  <si>
    <t>DEC 2020</t>
  </si>
  <si>
    <t>3E5BM</t>
  </si>
  <si>
    <t>WOS:000624209600001</t>
  </si>
  <si>
    <t>Lorenzo-Luaces, L; Dierckman, C; Adams, S</t>
  </si>
  <si>
    <t>Lorenzo-Luaces, Lorenzo; Dierckman, Clare; Adams, Sydney</t>
  </si>
  <si>
    <t>Attitudes and (Mis)information About Cognitive Behavioral Therapy on TikTok: An Analysis of Video Content</t>
  </si>
  <si>
    <t>social media; cognitive behavioral therapy; misinformation; public health; mental health; TikTok; psychotherapy; content analysis; therapist; misinformation; online health information</t>
  </si>
  <si>
    <t>[Lorenzo-Luaces, Lorenzo; Dierckman, Clare; Adams, Sydney] Indiana Univ Bloomington, Psychol &amp; Brain Sci, Bloomington, IN USA; [Dierckman, Clare] Indiana Univ Bloomington, Luddy Sch Informat Comp &amp; Engn, Bloomington, IN USA; [Lorenzo-Luaces, Lorenzo] Indiana Univ, Psychol &amp; Brain Sci, 1101 E 10TH ST, Bloomington, IN 47401 USA</t>
  </si>
  <si>
    <t>Indiana University System; Indiana University Bloomington; Indiana University System; Indiana University Bloomington; Indiana University System; Indiana University Bloomington</t>
  </si>
  <si>
    <t>Lorenzo-Luaces, L (corresponding author), Indiana Univ, Psychol &amp; Brain Sci, 1101 E 10TH ST, Bloomington, IN 47401 USA.</t>
  </si>
  <si>
    <t>lolorenz@indiana.edu</t>
  </si>
  <si>
    <t>Lorenzo-Luaces, Lorenzo/AAA-2070-2020</t>
  </si>
  <si>
    <t>Dierckman, Clare/0000-0002-7866-0143; Lorenzo-Luaces, Lorenzo/0000-0002-8882-0243</t>
  </si>
  <si>
    <t>MAR 13</t>
  </si>
  <si>
    <t>e45571</t>
  </si>
  <si>
    <t>10.2196/45571</t>
  </si>
  <si>
    <t>J4KN1</t>
  </si>
  <si>
    <t>WOS:001009319100002</t>
  </si>
  <si>
    <t>Jain, P; Arakkal, J</t>
  </si>
  <si>
    <t>Jain, Pooja; Arakkal, Josraj</t>
  </si>
  <si>
    <t>Perceived Popularity of TikTok among Gen-Z</t>
  </si>
  <si>
    <t>CARDIOMETRY</t>
  </si>
  <si>
    <t>TikTok app; Gen Z; Perceived Popularity; User-Experience theory; UGC; Suggested algorithm</t>
  </si>
  <si>
    <t>With web-based media, there developed huge open doors for individuals to develop their thoughts, interests, business, brands, or just themselves. Different applications cleared the way; however, just a couple of them were acknowledged by the crowd to endure and remain in the evolving scene. In such a domain, video content utilization and creation kept developing and growing with included highlights and channels, which brought forth the short-structure video creation application TikTok in 2016, hailing from Beijing. TikTok is a free short video-making application that is accessible on both AppStore and Google Play. It is difficult to look here and there to watch different recordings, remake, download, and share, make duets, and utilize various channels and sounds. The application broke the web due to its intriguing outcomes through the least endeavors. Fifteen seconds of name, fame, and achievement - TikTok is the main objective for short-structure versatile video. It is principally famous in pre-adolescents and teenagers; numerous youths are getting well known; however, at this stage. There are numerous major parts in the video stage like YouTube, Facebook, Instagram, Snapchat, etc. TikTok has its clients in millions everywhere over the world, including India. TikTok turned into another subculture that is arbitrary, chaotic, and addictive for the teenagers of the world. The application was a significant hit for Gen Z, as it involved the greater part of the dynamic clients and substance makers. TikTok optimizes content based on user-centric theory, user experience theory, UGC, and suggested algorithms, increasing consumer loyalty towards the app. This paper centers on building up and understanding the purpose for the enormous fame and development of Gen Z's application as of late through a research paper.</t>
  </si>
  <si>
    <t>[Jain, Pooja; Arakkal, Josraj] Symbiosis Int Deemed Univ, Symbiosis Inst Media &amp; Commun, Pune, Maharashtra, India</t>
  </si>
  <si>
    <t>Symbiosis International University; Symbiosis Institute of Media &amp; Communication (SIMC)</t>
  </si>
  <si>
    <t>Arakkal, J (corresponding author), Symbiosis Int Deemed Univ, Symbiosis Inst Media &amp; Commun, Pune, Maharashtra, India.</t>
  </si>
  <si>
    <t>josraj.arakkal@simc.edu</t>
  </si>
  <si>
    <t>Arakkal, Josraj/ADR-5773-2022</t>
  </si>
  <si>
    <t>Arakkal, Josraj/0000-0002-4153-2762</t>
  </si>
  <si>
    <t>RUSSIAN NEW UNIV</t>
  </si>
  <si>
    <t>UL RADIO, 22, MOSCOW, 105005, RUSSIA</t>
  </si>
  <si>
    <t>2304-7232</t>
  </si>
  <si>
    <t>Cardiometry</t>
  </si>
  <si>
    <t>10.18137/cardiometry.2022.24.896902</t>
  </si>
  <si>
    <t>Medical Laboratory Technology</t>
  </si>
  <si>
    <t>7K3LO</t>
  </si>
  <si>
    <t>WOS:000905187800097</t>
  </si>
  <si>
    <t>Braun, LN; Mateus, AMV</t>
  </si>
  <si>
    <t>Braun, Lesley Nicole; Mateus, Anna Magdalena Vollmer</t>
  </si>
  <si>
    <t>Contemporary Ethnographic Aesthetics: The TikTok Turn</t>
  </si>
  <si>
    <t>VISUAL ANTHROPOLOGY</t>
  </si>
  <si>
    <t>ANTHROPOLOGY</t>
  </si>
  <si>
    <t>This article explores TikTok's impact on the aesthetics of visual anthropology's methods and highlights epistemic implications. TikTok engenders new inquiries regarding the position and role of researchers, and the spatiality and temporality of digital research. This article offers a reflection on the specific aesthetic characteristics that shape ethnographic investigations on, and with, TikTok. Further, we argue that the influence of algorithms on digital creations necessitates critical reflection on the researcher's engagement and analysis of visual data. Finally, we suggest that the figure of the anthropologist as curator might inspire a creative navigation of these complex digital waters.</t>
  </si>
  <si>
    <t>[Braun, Lesley Nicole; Mateus, Anna Magdalena Vollmer] Univ Basel, Inst Social Anthropol, Basel, Switzerland</t>
  </si>
  <si>
    <t>University of Basel</t>
  </si>
  <si>
    <t>Braun, LN (corresponding author), Univ Basel, Inst Social Anthropol, Basel, Switzerland.</t>
  </si>
  <si>
    <t>lesleynicole.braun@unibas.ch; anna.vollmermateus@unibas.ch</t>
  </si>
  <si>
    <t>0894-9468</t>
  </si>
  <si>
    <t>1545-5920</t>
  </si>
  <si>
    <t>VIS ANTHROPOL</t>
  </si>
  <si>
    <t>Vis. Anthropol.</t>
  </si>
  <si>
    <t>MAY 26</t>
  </si>
  <si>
    <t>10.1080/08949468.2024.2330268</t>
  </si>
  <si>
    <t>Anthropology</t>
  </si>
  <si>
    <t>UN1M5</t>
  </si>
  <si>
    <t>WOS:001248647600002</t>
  </si>
  <si>
    <t>Li, X</t>
  </si>
  <si>
    <t>Li, Xin</t>
  </si>
  <si>
    <t>Solving Paradox by Increasing Technological Capacity: A Critique of the Concept of Business Model Innovation at TikTok</t>
  </si>
  <si>
    <t>business model innovation; emerging market; internationalization; paradox; technology</t>
  </si>
  <si>
    <t>This paper comments on Yulun Ma and Yue Hu's (2021) recent article 'Business Model Innovation and Experimentation in Transforming Economies: ByteDance and TikTok'. It argues that TikTok's international success is not due to so-called business model innovation; instead, it is because ByteDance has overcome three major hurdles facing emerging market firms pursuing internationalization. It also posits that the case of TikTok offers inspiration for theorizing paradox, namely, individuals and organizations can solve paradoxical tensions by increasing capacity through the use of advanced technologies.</t>
  </si>
  <si>
    <t>[Li, Xin] Newcastle Univ, Business Sch, Newcastle Upon Tyne, Tyne &amp; Wear, England; [Li, Xin] Copenhagen Business Sch, Copenhagen, Denmark</t>
  </si>
  <si>
    <t>Newcastle University - UK; Copenhagen Business School</t>
  </si>
  <si>
    <t>Li, X (corresponding author), Newcastle Univ, Business Sch, Newcastle Upon Tyne, Tyne &amp; Wear, England.;Li, X (corresponding author), Copenhagen Business Sch, Copenhagen, Denmark.</t>
  </si>
  <si>
    <t>Li, Xin/0000-0001-7905-3495</t>
  </si>
  <si>
    <t>National Natural Science Foundation of China [72172031]</t>
  </si>
  <si>
    <t>National Natural Science Foundation of China(National Natural Science Foundation of China (NSFC))</t>
  </si>
  <si>
    <t>I thank Yulun Ma and Yue Hu of Vrije Universiteit Amsterdam for a conversation about TikTok and business model innovation, Professor Xinbo Sun of Northeastern University of China for sharing with me his knowledge about Kutesmart, and Deputy Editor Professor J. Peter Murmann for his advice on revising my paper. The research is partially supported by National Natural Science Foundation of China [grant number: 72172031].</t>
  </si>
  <si>
    <t>PII S1740877621000784</t>
  </si>
  <si>
    <t>10.1017/mor.2021.78</t>
  </si>
  <si>
    <t>ZU0HO</t>
  </si>
  <si>
    <t>WOS:000741801700001</t>
  </si>
  <si>
    <t>Liu, WL; Zhao, XY; Zhan, MQ; Hernandez, S</t>
  </si>
  <si>
    <t>Liu, Wenlin; Zhao, Xinyan; Zhan, Mengqi (Monica); Hernandez, Stephanie</t>
  </si>
  <si>
    <t>Streaming disasters on TikTok: Examining social mediated crisis communication, public engagement, and emotional responses during the 2023 Maui wildfire</t>
  </si>
  <si>
    <t>PUBLIC RELATIONS REVIEW</t>
  </si>
  <si>
    <t>Crisis communication; Digital and visual storytelling; Disaster-specific social media engagement; Public sentiments; Computational methods</t>
  </si>
  <si>
    <t>BRAND ENGAGEMENT; INFORMATION; NARRATIVES; MODEL; CONCEPTUALIZATION; PARTICIPATION; ANTECEDENTS; PERSUASION; VIVIDNESS; TWITTER</t>
  </si>
  <si>
    <t>Short video-sharing platforms, such as TikTok, play a significant role in allowing the public to experience natural disasters vicariously, share information, and coordinate peer-led disaster relief efforts. With emerging platforms like TikTok providing experientially immersive content, the role of digital storytelling in stimulating public engagement and emotions remains underexplored. Drawing from narrative persuasion theory and visual storytelling literature, the current study proposes an integrated framework to examine the storyteller, visual frame, and digital presentation characteristics of TikTok videos in predicting social-mediated public engagement and emotional reactions surrounding a recent natural disaster, the 2023 Maui Wildfire. Using visual content analysis and computational methods, the study analyzed 526 TikTok videos and 59,950 associated comments. Results showed that audiovisual vividness consistently predicted all three types of disaster engagement. In contrast, storyteller type, storytelling frame, and other presentation characteristics inconsistently predicted information consumption intention, information sharing intention, and emotional reactions on TikTok.</t>
  </si>
  <si>
    <t>[Liu, Wenlin] Univ Florida, Coll Journalism &amp; Commun, Dept Publ Relat, Gainesville, FL USA; [Zhao, Xinyan] Univ North Carolina Chapel Hill, Hussman Sch Journalism &amp; Media, Chapel Hill, NC USA; [Zhan, Mengqi (Monica); Hernandez, Stephanie] Univ Texas Arlington, Coll Liberal Arts, Dept Commun, Arlington, TX USA</t>
  </si>
  <si>
    <t>State University System of Florida; University of Florida; University of North Carolina School of Medicine; University of North Carolina; University of North Carolina Chapel Hill; University of Texas System; University of Texas Arlington</t>
  </si>
  <si>
    <t>Zhao, XY (corresponding author), 356 Carroll Hall, Chapel Hill, NC 27514 USA.</t>
  </si>
  <si>
    <t>liuwelin1009@gmail.com; ezhao@unc.edu; mengqi.zhan@uta.edu; stephanie.hernandez55@mavs.uta.edu</t>
  </si>
  <si>
    <t>Zhao, Xinyan/0000-0002-1970-031X</t>
  </si>
  <si>
    <t>University of North Carolina at Chapel Hill Hussman School of Journalism and Media Research Center</t>
  </si>
  <si>
    <t>The author (s) disclosed receipt of the following financial support for the research, authorship, and/or publication of this article: Data collection was sponsored by a seed grant from the University of North Carolina at Chapel Hill Hussman School of Journalism and Media Research Center.</t>
  </si>
  <si>
    <t>0363-8111</t>
  </si>
  <si>
    <t>1873-4537</t>
  </si>
  <si>
    <t>PUBLIC RELAT REV</t>
  </si>
  <si>
    <t>Public Relat. Rev.</t>
  </si>
  <si>
    <t>10.1016/j.pubrev.2024.102512</t>
  </si>
  <si>
    <t>J8S1E</t>
  </si>
  <si>
    <t>WOS:001339694600001</t>
  </si>
  <si>
    <t>Alper, M; Rauchberg, JS; Simpson, E; Guberman, J; Feinberg, S</t>
  </si>
  <si>
    <t>Alper, Meryl; Rauchberg, Jessica Sage; Simpson, Ellen; Guberman, Josh; Feinberg, Sarah</t>
  </si>
  <si>
    <t>TikTok as algorithmically mediated biographical illumination: Autism, self-discovery, and platformed diagnosis on #autisktok</t>
  </si>
  <si>
    <t>Algorithms; autism; biopolitics; diagnosis; disability; identity; mental health; platform affordances; social media; TikTok</t>
  </si>
  <si>
    <t>SOCIAL MEDIA; IDENTITY; NEURODIVERSITY</t>
  </si>
  <si>
    <t>Scholarship in the sociology of medicine has tended to characterize diagnosis as disruptive to one's self-concept. This categorization, though, requires reconsideration in light of public conversations about mental health and community building around neurocognitive conditions, particularly among youth online. Drawing upon Tan's notion of biographical illumination (BI), which describes how medical frameworks can enrich personal biographies, we explored the shifting nature of BI through the case of TikTok. Combining quantitative and qualitative methods, we argue that TikTok serves as a space to discuss diagnosis and refine one's sense of self as a result of diagnosis. However, such personal transformation is inseparable from the app's affordances, or what we term algorithmically mediated biographical illumination. BI shapes TikTok as a platform, and TikTok informs BI as a psychosocial process, leading to what we call platformed diagnosis. These findings have broader critical applications for the study of algorithms, disability, and digital platforms.</t>
  </si>
  <si>
    <t>[Alper, Meryl] Northeastern Univ, Boston, MA USA; [Rauchberg, Jessica Sage] Seton Hall Univ, S Orange, NJ USA; [Simpson, Ellen] Univ Colorado Boulder, Boulder, CO USA; [Guberman, Josh] Univ Michigan, Ann Arbor, MA USA; [Feinberg, Sarah] Tufts Univ, Medford, MA USA; [Alper, Meryl] Northeastern Univ, Coll Arts Media &amp; Design, Dept Commun Studies, 360 Huntington Ave, Boston, MA 02115 USA</t>
  </si>
  <si>
    <t>Northeastern University; Seton Hall University; University of Colorado System; University of Colorado Boulder; Tufts University; Northeastern University</t>
  </si>
  <si>
    <t>Alper, M (corresponding author), Northeastern Univ, Coll Arts Media &amp; Design, Dept Commun Studies, 360 Huntington Ave, Boston, MA 02115 USA.</t>
  </si>
  <si>
    <t>m.alper@northeastern.edu</t>
  </si>
  <si>
    <t>Rauchberg, Jess/0000-0003-2513-5107; Alper, Meryl/0000-0002-6138-1260</t>
  </si>
  <si>
    <t>2023 AUG 19</t>
  </si>
  <si>
    <t>10.1177/14614448231193091</t>
  </si>
  <si>
    <t>Q9HZ1</t>
  </si>
  <si>
    <t>WOS:001060567900001</t>
  </si>
  <si>
    <t>Cuevas-Calderón, E; Dongo, EY; Kanashiro, L</t>
  </si>
  <si>
    <t>Cuevas-Calderon, Elder; Yalan Dongo, Eduardo; Kanashiro, Lilian</t>
  </si>
  <si>
    <t>CONSERVATIVES GROUPS ON TIKTOK: SOCIAL POLARIZATION IN PERU</t>
  </si>
  <si>
    <t>PRISMA SOCIAL</t>
  </si>
  <si>
    <t>Conservatives Groups; Social polarization; TikTok; Political Communication; Peru; Discourse; Far Right</t>
  </si>
  <si>
    <t>TikTok's infotainment exposes users to disturbing and harmful content, mainly broadcast by conservative groups. In this paper, we analyze the political uses from conservative groups during the social polarization in Peru in 2022. Fake news, harassing messages and promoting violence go unnoticed due to the application's lax security of the app. From a qualitative perspective of an exploratory study, we studied videos and comments on TikTok from conservative groups, regarding only the ones with inappropriate content that is still available and violates TikTok's policies. Findings show that these groups produce discourses that assume protective positions from moral privileges that represent current fears in hypothetical futures (temporary-dystopian), build their communication from the perspective of the forgotten man or the deprivation of privileges (actor-victimizer) and isolate demands from political to an individual (sacralized-spatial) perspective. We have categorized our findings as follows: a) unsatisfaction, b) deprivation, c) relegation and d) oblivion. This article seeks to contribute to the initial research on the political -communicative uses of TikTok.</t>
  </si>
  <si>
    <t>[Cuevas-Calderon, Elder; Yalan Dongo, Eduardo; Kanashiro, Lilian] Univ Lima, Inst Invest Cient, Carrera Comunicac, Grp Invest Semiot, Lima, Peru; Univ Lima, Grp Invest Semiot, Inst Invest Cient IDIC, Lima, Peru; [Cuevas-Calderon, Elder; Yalan Dongo, Eduardo; Kanashiro, Lilian] Univ Lima, Esta Invest Nace Financiamiento, Inst Invest Cient IDIC, Financiamiento, Lima, Peru</t>
  </si>
  <si>
    <t>Universidad de Lima; Universidad de Lima; Universidad de Lima</t>
  </si>
  <si>
    <t>Cuevas-Calderón, E (corresponding author), Univ Lima, Inst Invest Cient, Carrera Comunicac, Grp Invest Semiot, Lima, Peru.</t>
  </si>
  <si>
    <t>ECUEVAS@ULIMA.EDU.RE; EYALAN@ULIMA.EDU.PE; EYALAN@ULIMA.EDU.PE</t>
  </si>
  <si>
    <t>Kanashiro, Lilian/IQU-0257-2023</t>
  </si>
  <si>
    <t>FUNDACION IS&amp;D INVESTIGACION SOCIAL AVANZADA</t>
  </si>
  <si>
    <t>LAS MATAS</t>
  </si>
  <si>
    <t>CALLE ZALAMEA 1, LAS MATAS, 00000, SPAIN</t>
  </si>
  <si>
    <t>1989-3469</t>
  </si>
  <si>
    <t>PRISM SOC</t>
  </si>
  <si>
    <t>Prism. Soc.</t>
  </si>
  <si>
    <t>10.5487/prism.5487</t>
  </si>
  <si>
    <t>5Z3RN</t>
  </si>
  <si>
    <t>WOS:000879893500008</t>
  </si>
  <si>
    <t>Hurley, Z</t>
  </si>
  <si>
    <t>Hurley, Zoe</t>
  </si>
  <si>
    <t>Middle Eastern women influencers' interdependent/independent subjectification on Tiktok: feminist postdigital transnational inquiry</t>
  </si>
  <si>
    <t>Subjectification; discourses; TikTok; Middle Eastern women</t>
  </si>
  <si>
    <t>SUBJECTIVITY; MEDIA; SELF</t>
  </si>
  <si>
    <t>Subjectification has been defined as the formation of the subject via discourses while social media bundles audio-visual discourses that afford subjectification. However, what is meant by the 'subject' is not neutral and subjectification can differ according to cultural context. This study takes Middle Eastern women influencers' subjectification on TikTok as a case to illustrate postdigital transnational subjectification. The novel framework of feminist postdigital transnational inquiry is applied to the corpus assisted study of three Middle Eastern women influencers' short-form TikTok videos. The findings reveal observable audio-visual elements while embedding conceptual meanings surrounding subjectification. Discussion postulates subjectification on TikTok as living postdigital practices with transnational meanings both within and beyond their immediate context. It is suggested that subjectification could occur beyond regional, generational, traditional, fixed or essentialist terms. Theorising offers nuanced insights into the curatorial potential of TikTok for subjectification as consecutively interdependent with contextual issues, trends and deeper traditional audio-visual ontologies. At the same time, it suggests that platforms' transnational affordances in Global South contexts occur independently to Northcentric frameworks and interpretations.</t>
  </si>
  <si>
    <t>[Hurley, Zoe] Zayed Univ, Coll Commun &amp; Media Sci, Dubai, U Arab Emirates</t>
  </si>
  <si>
    <t>Zayed University</t>
  </si>
  <si>
    <t>Hurley, Z (corresponding author), Zayed Univ, Dubai, U Arab Emirates.</t>
  </si>
  <si>
    <t>zoe.hurley@zu.ac.ae</t>
  </si>
  <si>
    <t>Hurley, Zoe/AFS-0568-2022</t>
  </si>
  <si>
    <t>Hurley, Zoe/0000-0002-9870-8677</t>
  </si>
  <si>
    <t>APR 26</t>
  </si>
  <si>
    <t>10.1080/1369118X.2022.2044500</t>
  </si>
  <si>
    <t>0Z3ZH</t>
  </si>
  <si>
    <t>WOS:000765212400001</t>
  </si>
  <si>
    <t>Wiley, K; Schwoerer, K; Richardson, M; Espinosa, MB</t>
  </si>
  <si>
    <t>Wiley, Kimberly; Schwoerer, Kayla; Richardson, Micayla; Espinosa, Marlen Barajas</t>
  </si>
  <si>
    <t>Engaging stakeholders on TikTok: A multi-level social media analysis of nonprofit Microvlogging</t>
  </si>
  <si>
    <t>PUBLIC ADMINISTRATION</t>
  </si>
  <si>
    <t>ORGANIZATIONS; INFORMATION; COMMUNITY; FACEBOOK</t>
  </si>
  <si>
    <t>Nonprofits are slow adopters of new social media platforms, yet many have joined TikTok. Successful microvlogging on sites like TikTok, Instagram, and SnapChat requires different types of engagement than microblogging on sites like Facebook and Twitter. The authors conduct a mixed-method social media analysis to answer three questions: Do microvlogs support traditional social media functions? How are nonprofits engaging with stakeholders through microvlogging? Which function in the hierarchy of engagement framework best engages stakeholders? The authors qualitatively coded 1160 microvlogs on TikTok from 58 nonprofits. The qualitative dataset was merged with TikTok metadata to capture quantitative measures of user engagement. Findings indicate nonprofits employ community-building strategies more than information-sharing and action strategies. Users engage more often with the nonprofits' community-building microvlogs. The authors conclude that nonprofits adapt their strategy to more effectively engage stakeholders when microvlogging, which suggests there may be a new hierarchy of engagement for microvlogging platforms.</t>
  </si>
  <si>
    <t>[Wiley, Kimberly; Richardson, Micayla; Espinosa, Marlen Barajas] Univ Florida, Dept Family Youth &amp; Community Sci, POB 110310, Gainesville, FL 32611 USA; [Schwoerer, Kayla] Rutgers Univ Newark, Newark, NJ USA</t>
  </si>
  <si>
    <t>State University System of Florida; University of Florida; Rutgers University System; Rutgers University Newark</t>
  </si>
  <si>
    <t>Wiley, K (corresponding author), Univ Florida, Dept Family Youth &amp; Community Sci, POB 110310, Gainesville, FL 32611 USA.</t>
  </si>
  <si>
    <t>kimberlywiley@ufl.edu</t>
  </si>
  <si>
    <t>Wiley, Kimberly/0000-0002-5921-5837; Barajas Espinosa, Marlen/0000-0001-7148-3175; Schwoerer, Kayla/0000-0002-9856-7587</t>
  </si>
  <si>
    <t>0033-3298</t>
  </si>
  <si>
    <t>1467-9299</t>
  </si>
  <si>
    <t>PUBLIC ADMIN</t>
  </si>
  <si>
    <t>Public Adm.</t>
  </si>
  <si>
    <t>10.1111/padm.12851</t>
  </si>
  <si>
    <t>APR 2022</t>
  </si>
  <si>
    <t>Political Science; Public Administration</t>
  </si>
  <si>
    <t>Government &amp; Law; Public Administration</t>
  </si>
  <si>
    <t>R2SS8</t>
  </si>
  <si>
    <t>WOS:000787080400001</t>
  </si>
  <si>
    <t>S</t>
  </si>
  <si>
    <t>Almajali, DA; Alrowwad, A; Masa'deh, R</t>
  </si>
  <si>
    <t>Alshurideh, M; AlKurdi, BH; Alzoubi, HM; Salloum, S; MasaDeh, R</t>
  </si>
  <si>
    <t>Almajali, Dmaithan Abdelkarim; Alrowwad, Ala'aldin; Masa'deh, Ra'ed</t>
  </si>
  <si>
    <t>Evaluation of the Digital Divide Status and Its Impact on the Use of TikTok Platform Through E-Commerce Activities</t>
  </si>
  <si>
    <t>EFFECT OF INFORMATION TECHNOLOGY ON BUSINESS AND MARKETING INTELLIGENCE SYSTEMS</t>
  </si>
  <si>
    <t>Studies in Computational Intelligence</t>
  </si>
  <si>
    <t>Article; Book Chapter</t>
  </si>
  <si>
    <t>Perceived ease of use; Perceived usefulness; TikTok; User satisfaction; Trust</t>
  </si>
  <si>
    <t>TECHNOLOGY ACCEPTANCE MODEL; E-LEARNING SYSTEM; INFORMATION-TECHNOLOGY; CUSTOMER SATISFACTION; BEHAVIORAL INTENTION; CONSUMER ACCEPTANCE; ELECTRONIC COMMERCE; UNIFIED THEORY; WEB SITE; TRUST</t>
  </si>
  <si>
    <t>The current paper was looking at how the factors of content richness, trust, perceived ease of use, perceived usefulness and user satisfaction impact TikTok acceptance. Participants of this study were 145 Telecenter users from three regions in Jordan. Their use of TikTok platform in e-commerce activities was examined. The data from the survey were analyzed and the obtained results led to the discussion on the policy implications in guiding both government agencies and customers in their efforts in improving their e-commerce activities via TikTok platform. Avenues for forthcoming research were discussed as well.</t>
  </si>
  <si>
    <t>[Almajali, Dmaithan Abdelkarim] Appl Sci Private Univ, Dept Management Informat Syst, Fac Business, Amman, Jordan; [Alrowwad, Ala'aldin] Univ Jordan, Dept Business Management, Aqaba, Jordan; [Masa'deh, Ra'ed] Univ Jordan, Sch Business, Dept Management Informat Syst, Amman, Jordan</t>
  </si>
  <si>
    <t>University of Jordan; University of Jordan</t>
  </si>
  <si>
    <t>Almajali, DA (corresponding author), Appl Sci Private Univ, Dept Management Informat Syst, Fac Business, Amman, Jordan.</t>
  </si>
  <si>
    <t>d_almajali@asu.edu.jo; a.alrowwad@ju.edu.jo; r.masadeh@ju.edu.jo</t>
  </si>
  <si>
    <t>Al-Rowwad, Ala'a/AAN-7132-2021; Masa'deh, Ra'ed/J-4574-2016; Goss, Greg/D-2723-2015</t>
  </si>
  <si>
    <t>Masa'deh, Ra'ed/0000-0002-9070-3732; Goss, Greg/0000-0003-0786-8868</t>
  </si>
  <si>
    <t>1860-949X</t>
  </si>
  <si>
    <t>1860-9503</t>
  </si>
  <si>
    <t>978-3-031-12381-8; 978-3-031-12382-5; 978-3-031-12381-8</t>
  </si>
  <si>
    <t>STUD COMPUT INTELL</t>
  </si>
  <si>
    <t>10.1007/978-3-031-12382-5_14</t>
  </si>
  <si>
    <t>10.1007/978-3-031-12382-5</t>
  </si>
  <si>
    <t>Business; Computer Science, Artificial Intelligence; Management</t>
  </si>
  <si>
    <t>Book Citation Index – Social Sciences &amp; Humanities (BKCI-SSH); Book Citation Index – Science (BKCI-S)</t>
  </si>
  <si>
    <t>BV7XP</t>
  </si>
  <si>
    <t>WOS:001073547600014</t>
  </si>
  <si>
    <t>Theorizing Stories About Algorithms as a Mechanism in the Formation and Maintenance of Algorithmic Imaginaries</t>
  </si>
  <si>
    <t>TikTok; algorithms; algorithmic imaginaries; ethnography; digital culture</t>
  </si>
  <si>
    <t>TIKTOK</t>
  </si>
  <si>
    <t>In this article, I report from an ethnographic investigation into young adult users of the popular short-video app TikTok. More specifically, I discuss their experience of TikTok's algorithmic content feed, or so-called For You Page. Like many other personalized online environments today, the For You Page is marked by the tension of being a mechanism of digital surveillance and affective control, yet also a source of entertainment and pleasure. Focusing on people's sense-making practices, especially in relation to stories about the TikTok algorithm, the article approaches the discursive repertoire that underpins people's negotiation of this tension. Doing so, I theorize the role and relevance of stories about algorithms within the context of algorithmic imaginaries as activating users in sense-making processes about their algorithmic entanglements.</t>
  </si>
  <si>
    <t>[Schellewald, Andreas] Goldsmiths Univ London, Media &amp; Commun, London, England</t>
  </si>
  <si>
    <t>10.1177/20563051221077025</t>
  </si>
  <si>
    <t>ZH4NT</t>
  </si>
  <si>
    <t>WOS:000760917800001</t>
  </si>
  <si>
    <t>Salehi, PP; Suhail-Sindhu, T; Salehi, P</t>
  </si>
  <si>
    <t>Salehi, Parsa P.; Suhail-Sindhu, Timur; Salehi, Pauniz</t>
  </si>
  <si>
    <t>Re: ''Analysis of Online Videos on Facial Feminization Surgery: What Are Patients Watching on TikTok and YouTube?'' by Ziltzer et al: Concerns Regarding Proliferation of Social Media (Especially TikTok) As a Source of Facial Feminization Surgery Information</t>
  </si>
  <si>
    <t>FACIAL PLASTIC SURGERY &amp; AESTHETIC MEDICINE</t>
  </si>
  <si>
    <t>[Salehi, Parsa P.] Nassif MD Plast Surg, Dept Facial Plast &amp; Reconstruct Surg, Beverly Hills, CA USA; [Suhail-Sindhu, Timur] Johns Hopkins Univ, Dept Psychiat &amp; Behav Sci, Sch Med, Baltimore, MD USA; [Salehi, Pauniz] Cornell Univ, Div Nutr Sci, Coll Human Ecol, Ithaca, NY USA</t>
  </si>
  <si>
    <t>Johns Hopkins University; Cornell University</t>
  </si>
  <si>
    <t>Salehi, PP (corresponding author), Nassif MD Plast Surg, Dept Facial Plast &amp; Reconstruct Surg, 120 South Spalding Dr,301, Beverly Hills, CA 90212 USA.</t>
  </si>
  <si>
    <t>drparsasalehiresearch@gmail.com</t>
  </si>
  <si>
    <t>2689-3614</t>
  </si>
  <si>
    <t>2689-3622</t>
  </si>
  <si>
    <t>FACIAL PLAST SURG AE</t>
  </si>
  <si>
    <t>Facial Plast. Surg. Aesthet. Med.</t>
  </si>
  <si>
    <t>10.1089/fpsam.2023.0092</t>
  </si>
  <si>
    <t>Surgery</t>
  </si>
  <si>
    <t>HX1U9</t>
  </si>
  <si>
    <t>WOS:001023672200001</t>
  </si>
  <si>
    <t>Lindsay, R</t>
  </si>
  <si>
    <t>Lindsay, Rachael</t>
  </si>
  <si>
    <t>Curating hope in chronocracy: TikTok creation and the offline lives of young men from Pakistan in Greece</t>
  </si>
  <si>
    <t>Chronocracy; curation; deception; hope; migration; social media; temporality; TikTok; time; youth</t>
  </si>
  <si>
    <t>ANTHROPOLOGY; MIGRANTS; IDENTITY; TIME</t>
  </si>
  <si>
    <t>This article investigates the disparity between the everyday lives of young men from Pakistan living in Greece and the impressions created through their TikTok profiles. It asks how creating and curating TikTok content counters the multifarious temporal exclusions, or chronocracy, they experience as they work undocumented and attempt to stay under the radar of the authorities. By shedding light on these young men's own explanations for their TikTok videos, I ultimately argue that TikTok offers a way for these young men to curate a hope that reflects the futures their families in Pakistan desired for their children, while also connecting them with other young men in similar situations. The article draws attention to how multifarious tensions and pressures can both be eased and played out in curating content online and suggests ethnography as a tool and temporality as an analytic in untangling these ambiguities.</t>
  </si>
  <si>
    <t>[Lindsay, Rachael] Univ Cambridge, Social Anthropol, Cambridge, England; [Lindsay, Rachael] Univ Cambridge, Free Sch Lane, Cambridge CB2 1TN, England</t>
  </si>
  <si>
    <t>University of Cambridge; University of Cambridge</t>
  </si>
  <si>
    <t>Lindsay, R (corresponding author), Univ Cambridge, Free Sch Lane, Cambridge CB2 1TN, England.</t>
  </si>
  <si>
    <t>rachaelannelindsay@gmail.com</t>
  </si>
  <si>
    <t>Lindsay, Rachael/KHC-9738-2024</t>
  </si>
  <si>
    <t>Lindsay, Rachael/0000-0002-6529-2775</t>
  </si>
  <si>
    <t>Economic and Social Research Council (ESRC) [2437787]</t>
  </si>
  <si>
    <t>Economic and Social Research Council (ESRC)(UK Research &amp; Innovation (UKRI)Economic &amp; Social Research Council (ESRC))</t>
  </si>
  <si>
    <t>The author(s) disclosed receipt of the following financial support for the research, authorship, and/or publication of this article: This work was supported by the Economic and Social Research Council (ESRC) [grant number: 2437787].</t>
  </si>
  <si>
    <t>2024 MAR 7</t>
  </si>
  <si>
    <t>10.1177/14614448241235188</t>
  </si>
  <si>
    <t>KL7S1</t>
  </si>
  <si>
    <t>WOS:001180192200001</t>
  </si>
  <si>
    <t>Ling, C; Blackburn, J; De Cristofaro, E; Stringhini, G</t>
  </si>
  <si>
    <t>Ling, Chen; Blackburn, Jeremy; De Cristofaro, Emiliano; Stringhini, Gianluca</t>
  </si>
  <si>
    <t>Slapping Cats, Bopping Heads, and Oreo Shakes: Understanding Indicators of Virality in TikTok Short Videos</t>
  </si>
  <si>
    <t>PROCEEDINGS OF THE 14TH ACM WEB SCIENCE CONFERENCE, WEBSCI 2022</t>
  </si>
  <si>
    <t>14th ACM Web Science Conference (WebSci)</t>
  </si>
  <si>
    <t>JUN 26-29, 2022</t>
  </si>
  <si>
    <t>Assoc Comp Machinery,ACM Special Interest Grp Hypertext &amp; Web,Web4Good,Univ Pompeu Fabra, Dept Informat &amp; Communicat Technologies</t>
  </si>
  <si>
    <t>TikTok; Twitter; short videos; viral; mix-methods</t>
  </si>
  <si>
    <t>YOUTUBE</t>
  </si>
  <si>
    <t>Short videos have become one of the leading media used by younger generations to express themselves online and thus a driving force in shaping online culture. In this context, TikTok has emerged as a platform where viral videos are often posted first. In this paper, we study what elements of short videos posted on TikTok contribute to their virality. We apply a mixed-method approach to develop a codebook and identify important virality features. We do so vis-a-vis three research hypotheses; namely, that: 1) the video content, 2) TikTok's recommendation algorithm, and 3) the popularity of the video creator contributes to virality. We collect and label a dataset of 400 TikTok videos and train classifiers to help us identify the features that influence virality the most. While the number of followers is the most powerful predictor, close-up and medium-shot scales also play an essential role. So does the lifespan of the video, the presence of text, and the point of view. Our research highlights the characteristics that distinguish viral from non-viral TikTok videos, laying the groundwork for developing additional approaches to create more engaging online content and proactively identify possibly risky content that is likely to reach a large audience.</t>
  </si>
  <si>
    <t>[Ling, Chen; Stringhini, Gianluca] Boston Univ, Boston, MA 02215 USA; [Blackburn, Jeremy] SUNY Binghamton, Binghamton, NY USA; [De Cristofaro, Emiliano] UCL, London, England</t>
  </si>
  <si>
    <t>Boston University; State University of New York (SUNY) System; Binghamton University, SUNY; University of London; University College London</t>
  </si>
  <si>
    <t>Ling, C (corresponding author), Boston Univ, Boston, MA 02215 USA.</t>
  </si>
  <si>
    <t>ccling@bu.edu; jblackbu@binghamton.edu; e.decristofaro@ucl.ac.uk; gian@bu.edu</t>
  </si>
  <si>
    <t>De Cristofaro, Emiliano/AAK-3118-2021</t>
  </si>
  <si>
    <t>National Science Foundation [CNS-1942610, IIS-2046590, CNS-2114407, CNS-2114411]; Hariri Institute for Computing at Boston University</t>
  </si>
  <si>
    <t>National Science Foundation(National Science Foundation (NSF)); Hariri Institute for Computing at Boston University</t>
  </si>
  <si>
    <t>This work was supported by the National Science Foundation under grants CNS-1942610, IIS-2046590, CNS-2114407, and CNS-2114411, and by the Hariri Institute for Computing at Boston University.</t>
  </si>
  <si>
    <t>978-1-4503-9191-7</t>
  </si>
  <si>
    <t>10.1145/3501247.3531551</t>
  </si>
  <si>
    <t>BW2MD</t>
  </si>
  <si>
    <t>Green Submitted, Bronze</t>
  </si>
  <si>
    <t>WOS:001118952600017</t>
  </si>
  <si>
    <t>López-Carril, S; González-Serrano, MH; Ribeiro, T; Jiménez, P</t>
  </si>
  <si>
    <t>Lopez-Carril, Samuel; Gonzalez-Serrano, Maria Huertas; Ribeiro, Tiago; Jimenez, Pablo</t>
  </si>
  <si>
    <t>TikTok for learning through movement, dramatization, and music: Insights for higher education applications in sport sciences</t>
  </si>
  <si>
    <t>TikTok; Higher education; Sport sciences; Social media; Digital learning; Educational innovation</t>
  </si>
  <si>
    <t>Social media has emerged as one of the most transformative digital phenomena that has reshaped education over the past two decades. New generations of students, often referred to as digital natives, increasingly utilise these platforms for socialization and interaction with their surrounding world. The pandemic prompted by the SARS-CoV-2 virus has further accelerated the adoption of online and hybrid teaching methodologies, wherein social media can assume a central role in creating dynamic teaching-learning environments. While the existing literature has highlighted the advantageous aspects of social media within the educational sphere, the landscape constantly evolves, witnessing the ongoing integration of new functionalities into existing platforms or the emergence of novel social media. TikTok serves as a prime illustration of this phenomenon, a social media platform centered on short videos complemented by music and its effects. Despite TikTok's burgeoning global user base, especially among younger people, its potential in the realm of higher education remains relatively unexplored. This pedagogical paper aims to address this gap in the literature by elucidating an experience involving TikTok within the context of sport sciences. Furthermore, it provides a series of guidelines and recommendations for university professors to incorporate TikTok into their instructional practices and delineates the potential applications of TikTok in various other contexts. These insights may serve as stepping stones for future investigation and educational undertakings.</t>
  </si>
  <si>
    <t>[Lopez-Carril, Samuel] Univ Castilla La Mancha, Dept Act Fis &amp; Ciencias Deporte, Ave Carlos 3 S-N, Toledo 45004, Spain; [Gonzalez-Serrano, Maria Huertas; Jimenez, Pablo] Univ Valencia, Fac Ciencias Act Fis &amp; Deporte, Dept Educ Fis &amp; Deport, C Gasco Oliag,3, Valencia 46010, Spain; [Ribeiro, Tiago] Univ Lisbon, Fac Human Kinet, Lisbon, Portugal; [Ribeiro, Tiago] UAlg CinTurs, Faro, Portugal</t>
  </si>
  <si>
    <t>Universidad de Castilla-La Mancha; University of Valencia; Universidade de Lisboa</t>
  </si>
  <si>
    <t>López-Carril, S (corresponding author), Univ Castilla La Mancha, Dept Act Fis &amp; Ciencias Deporte, Ave Carlos 3 S-N, Toledo 45004, Spain.</t>
  </si>
  <si>
    <t>samuel.lopezcarril@uclm.es; m.huertas.gonzalez@uv.es; tribeiro@fmh.ulisboa.pt; pablo.jimenez@uv.es</t>
  </si>
  <si>
    <t>López Carril, Samuel/HHZ-5367-2022; Jiménez Jiménez, Pablo/GVS-7097-2022; Ribeiro, Tiago/ABC-7386-2020</t>
  </si>
  <si>
    <t>Ribeiro, Tiago/0000-0002-4307-8671; Jimenez, Pablo/0000-0001-9262-5291; Lopez-Carril, Samuel/0000-0001-5278-057X</t>
  </si>
  <si>
    <t>FCT-Foundation for Science and Technology [RENOVA_PID, UV-SFPIE_PID-2079334, 2022-2023]; [UIDB/04020/2020]</t>
  </si>
  <si>
    <t>FCT-Foundation for Science and Technology(Fundacao para a Ciencia e a Tecnologia (FCT));</t>
  </si>
  <si>
    <t>This research was supported by two projects funded by the Vice-Rectorate for Employment and Training Programs at the Universitat de Valencia, Spain.1. Project Title: Expresandonos a traves de TikTok: hacia el fomento de la creatividad y habilidades digitales de los estudiantes de ciencias del deporte (Project code: NOU-PID, UV-SFPIE_PID-1642336) . This project was selected in the call for grants for the development of educational innovation projects for the academic year 2021-2022.2 Project Title: Integrando las plataformas digitales como medios para el desarrollo de la creatividad y habilidades digitales de los estudiantes de ciencias del deporte: Expresandonos a traves de TikTok (Project code: RENOVA_PID, UV-SFPIE_PID-2079334) . This project was chosen in the call for grants for the development of educational innovation projects for the academic year 2022-2023.Furthermore, this paper is financed by National Funds provided by FCT-Foundation for Science and Technology through project UIDB/04020/2020 and with DOI 10.54499/UIDB/04020/2020.Open access funding thanks to the CRUE Spanish Universities-CSIC Alliance and Elsevier agreement.r 2 Project Title: Integrando las plataformas digitales como medios para el desarrollo de la creatividad y habilidades digitales de los estudiantes de ciencias del deporte: Expres andonos a trave s de TikTok (Project code: RENOVA_PID, UV-SFPIE_PID-2079334) . This project was chosen in the call for grants for the development of educational innovation projects for the academic year 2022-2023. Furthermore, this paper is financed by National Funds provided by FCT-Foundation for Science and Technology through project UIDB/04020/2020 and with DOI 10.54499/UIDB/04020/2020. Open access funding thanks to the CRUE Spanish Universities-CSIC Alliance and Elsevier agreement.</t>
  </si>
  <si>
    <t>125 London Wall, London, ENGLAND</t>
  </si>
  <si>
    <t>10.1016/j.jhlste.2024.100501</t>
  </si>
  <si>
    <t>UQ3T5</t>
  </si>
  <si>
    <t>WOS:001249491900001</t>
  </si>
  <si>
    <t>Rizomyliotis, I; Lin, CL; Konstantoulaki, K; Phan, T</t>
  </si>
  <si>
    <t>Rizomyliotis, Ioannis; Lin, Chih Lin; Konstantoulaki, Kleopatra; Phan, Trang</t>
  </si>
  <si>
    <t>TikTok short video marketing and Gen Z's purchase intention: evidence from the cosmetics industry in Singapore</t>
  </si>
  <si>
    <t>JOURNAL OF ASIA BUSINESS STUDIES</t>
  </si>
  <si>
    <t>Purchase intention; Gen Z; TikTok; Cosmetics; Short video marketing</t>
  </si>
  <si>
    <t>PHYSICAL ATTRACTIVENESS; CREDIBILITY; BRAND; TRUST; ADVERTISEMENTS; EXPERTISE; ENDORSERS; ATTITUDE; IMPACT</t>
  </si>
  <si>
    <t>PurposeThe purpose of this paper is to investigate the effectiveness of TikTok, a popular short-form video marketing platform, on purchase intention for cosmetics among Generation Z consumers in Singapore.Design/methodology/approachA quantitative survey was conducted using a convenience sampling method, with a sample of 136 responses. This study examined the influence of various characteristics of TikTok influencers, such as trustworthiness, expertise, attractiveness and entertainment content, on purchase intention.FindingsThis study found that trustworthiness and expertise of influencers, as well as entertainment content, had a significant positive impact on purchase intention. In addition, this study also found that influencer attractiveness and brand anthropomorphism were also significant factors influencing purchase intention. Thise study highlights the importance of the entertainment value, which is in line with the nature of TikTok as a medium.Originality/valueThis study contributes to the limited literature on the effectiveness of TikTok on purchase intention in Singapore, specifically in the cosmetics industry.</t>
  </si>
  <si>
    <t>[Rizomyliotis, Ioannis] Univ West Attica, Dept Business Adm, Athens, Greece; [Konstantoulaki, Kleopatra] Univ West Attica, Dept Early Childhood Educ &amp; Care, Athens, Greece; [Phan, Trang] Thuongmai Univ, Hanoi, Vietnam</t>
  </si>
  <si>
    <t>University of West Attica; University of West Attica; Thuongmai University</t>
  </si>
  <si>
    <t>Rizomyliotis, I (corresponding author), Univ West Attica, Dept Business Adm, Athens, Greece.</t>
  </si>
  <si>
    <t>rizomy@uniwa.gr</t>
  </si>
  <si>
    <t>Konstantoulaki, Kleopatra/AAE-2614-2022; Rizomyliotis, Ioannis/AAV-7989-2021</t>
  </si>
  <si>
    <t>1558-7894</t>
  </si>
  <si>
    <t>1559-2243</t>
  </si>
  <si>
    <t>J ASIA BUS STUD</t>
  </si>
  <si>
    <t>J Asia Bus. Stud.</t>
  </si>
  <si>
    <t>JUL 23</t>
  </si>
  <si>
    <t>10.1108/JABS-04-2023-0138</t>
  </si>
  <si>
    <t>ZG4D0</t>
  </si>
  <si>
    <t>WOS:001210850100001</t>
  </si>
  <si>
    <t>Conte, G; Di Iorio, G; Esposito, D; Romano, S; Panvino, F; Maggi, S; Altomonte, B; Casini, MP; Ferrara, M; Terrinoni, A</t>
  </si>
  <si>
    <t>Conte, Giulia; Di Iorio, Giorgia; Esposito, Dario; Romano, Sara; Panvino, Fabiola; Maggi, Susanna; Altomonte, Benedetta; Casini, Maria Pia; Ferrara, Mauro; Terrinoni, Arianna</t>
  </si>
  <si>
    <t>Scrolling through adolescence: a systematic review of the impact of TikTok on adolescent mental health</t>
  </si>
  <si>
    <t>EUROPEAN CHILD &amp; ADOLESCENT PSYCHIATRY</t>
  </si>
  <si>
    <t>Social media; TikTok; Adolescents; Mental health; Body image; Problematic social media use</t>
  </si>
  <si>
    <t>SOCIAL MEDIA USE; UNITED-STATES; DISORDERS; ANXIETY; TRENDS</t>
  </si>
  <si>
    <t>Amidst rising concerns about mental health in adolescents, the role of social media (SM), particularly highly visual platforms such as TikTok, has become a growing focus of investigation. In the extant literature, conclusive evidence is limited by the aggregate analysis of very heterogeneous SM platforms. This systematic scoping review examines the relationship between TikTok and mental health in adolescents. Additionally, it aims to highlight potential interactions between typical developmental processes and the unique aspects of TikTok, exploring their relevance to mental health within this demographic. Following PRISMA guidelines, a systematic search across PubMed, Scopus, Web of Knowledge, and PsychINFO yielded 20 studies that met the inclusion criteria, encompassing a total of 17,336 subjects from 10 countries. The retrieved studies analyzed four main topics related to TikTok use, i.e., the overall impact on adolescents' mental health, risk of problematic use and behavioral addiction, consequences on body image and self-esteem, and possible spreading of mental illness behaviors. While TikTok offers creative opportunities for self-expression and peer connection, the literature raises concerns about its potential negative effects on teens, such as lower life satisfaction, increased risk of contagion of certain psychiatric symptoms, and problematic usage patterns. Significant variations in study methodologies and outcome measures were observed. In the current era of evolving SM landscapes, a comprehensive approach informed by developmentally grounded research is critically needed to further understand the interplay between SM and adolescent mental health, providing insights for health authorities and policymakers. TikTok has become a prominent platform for teens to discuss and display mental health issues.Reviewed articles indicate an overall negative impact of TikTok on youth mental health, although robust evidence is lacking.Research mainly focused on the risk of addictive use, spreading of mental illness behavior, and decreased self-esteem.Type of TikTok use and psychological characteristics of users may influence positive or negative mental health outcomes.</t>
  </si>
  <si>
    <t>[Conte, Giulia; Di Iorio, Giorgia; Esposito, Dario; Romano, Sara; Panvino, Fabiola; Maggi, Susanna; Altomonte, Benedetta; Casini, Maria Pia; Ferrara, Mauro; Terrinoni, Arianna] Sapienza Univ Rome, Dept Human Neurosci, Unit Child &amp; Adolescent Neuropsychiat, Via Sabelli 108, I-00185 Rome, Italy</t>
  </si>
  <si>
    <t>Sapienza University Rome</t>
  </si>
  <si>
    <t>Panvino, F (corresponding author), Sapienza Univ Rome, Dept Human Neurosci, Unit Child &amp; Adolescent Neuropsychiat, Via Sabelli 108, I-00185 Rome, Italy.</t>
  </si>
  <si>
    <t>giulia.conte@uniroma1.it; giorgia.diiorio@uniroma1.it; dario.esposito@uniroma1.it; sara.romano@uniroma1.it; fabiola.panvino@uniroma1.it; susanna.maggi@uniroma1.it; benedetta.altomonte@uniroma1.it; m.casini@policlinicoumberto1.it; mauro.ferrara@uniroma1.it; a.terrinoni@policlinicoumberto1.it</t>
  </si>
  <si>
    <t>Esposito, Dario/HRC-2205-2023; Panvino, Fabiola/JRX-4265-2023; Conte, Giulia/AAI-2154-2021</t>
  </si>
  <si>
    <t>Di Iorio, Giorgia/0009-0006-7938-9611; Panvino, Fabiola/0009-0007-2683-0052; Esposito, Dario/0000-0001-5994-9788; Conte, Giulia/0000-0002-3497-0414; Romano, Sara/0009-0008-0531-251X</t>
  </si>
  <si>
    <t>Universita degli Studi di Roma La Sapienza within the CRUI-CARE Agreement</t>
  </si>
  <si>
    <t>The authors declare that they have no known competing financial interests or personal relationships that could have appeared to influence the work reported in this paper. Open access funding provided by Universita degli Studi di Roma La Sapienza within the CRUI-CARE Agreement.</t>
  </si>
  <si>
    <t>1018-8827</t>
  </si>
  <si>
    <t>1435-165X</t>
  </si>
  <si>
    <t>EUR CHILD ADOLES PSY</t>
  </si>
  <si>
    <t>Eur. Child Adolesc. Psych.</t>
  </si>
  <si>
    <t>2024 OCT 16</t>
  </si>
  <si>
    <t>10.1007/s00787-024-02581-w</t>
  </si>
  <si>
    <t>Psychology, Developmental; Pediatrics; Psychiatry</t>
  </si>
  <si>
    <t>Psychology; Pediatrics; Psychiatry</t>
  </si>
  <si>
    <t>I9K6M</t>
  </si>
  <si>
    <t>WOS:001333372500001</t>
  </si>
  <si>
    <t>Zeng, J; Abidin, C</t>
  </si>
  <si>
    <t>Zeng, Jing; Abidin, Crystal</t>
  </si>
  <si>
    <t>'#OkBoomer, time to meet the Zoomers': studying the memefication of intergenerational politics on TikTok</t>
  </si>
  <si>
    <t>Memes; intergenerational politics; TikTok; Gen Z; Boomer</t>
  </si>
  <si>
    <t>IDENTITY; MEMES; LIFE</t>
  </si>
  <si>
    <t>TikTok, a short video platform featuring content between 15 and 60 seconds long, has become a popular and rapidly growing social media application around the world. As a platform catering for light entertainment, TikTok champions virality and encourages memetic remixes. Meme videos, mostly featuring lip-syncs, dance routines, and skits, have become one of the defining features of the platform. These seemingly trivial videos have been utilised by young TikTokers to advocate for various causes. This paper uses #OkBoomer memes as a case study to examine the political culture of young people and Gen Z in particular. By analysing how intergenerational politics has been 'memefied', this study delineates how Gen Z imagines and expresses a generational sentiment towards 'Boomers' as the imagined other. They do so through short video cultures and practices on TikTok, drawing upon the networked experiences of their peers. Specifically, the paper considers the key controversial issues, meme forms and meme functions across the #OkBoomer memes on TikTok, and its eventual mainstreaming in society.</t>
  </si>
  <si>
    <t>[Zeng, Jing] Univ Zurich, Dept Commun &amp; Media Res, Andreasstr 15, CH-8050 Zurich, Switzerland; [Abidin, Crystal] Curtin Univ, MCASI, Internet Studies, Perth, WA, Australia</t>
  </si>
  <si>
    <t>Zeng, J (corresponding author), Univ Zurich, Dept Commun &amp; Media Res, Andreasstr 15, CH-8050 Zurich, Switzerland.</t>
  </si>
  <si>
    <t>j.zeng@ikmz.uzh.ch</t>
  </si>
  <si>
    <t>zeng, jing/JDW-4350-2023</t>
  </si>
  <si>
    <t>Abidin, Crystal/0000-0002-5346-6977; Zeng, Jing/0000-0001-5970-7172</t>
  </si>
  <si>
    <t>DEC 10</t>
  </si>
  <si>
    <t>10.1080/1369118X.2021.1961007</t>
  </si>
  <si>
    <t>XG1WE</t>
  </si>
  <si>
    <t>WOS:000679859300001</t>
  </si>
  <si>
    <t>Currenti, M</t>
  </si>
  <si>
    <t>Currenti, Martina</t>
  </si>
  <si>
    <t>TikTok as a Marketing Tool in the Hands of Publishers</t>
  </si>
  <si>
    <t>LOGOS-JOURNAL OF THE WORLD PUBLISHING COMMUNITY</t>
  </si>
  <si>
    <t>TikTok; BookTok; publishing; YA; marketing; book-buying trends</t>
  </si>
  <si>
    <t>This article analyses the impact that TikTok has on the publishing industry from the perspectives of professionals, content creators, and readers on the platform, as obtained through a series of interviews and an online questionnaire. It investigates why the BookTok community seems to be able to have a direct influence on book sales, and also enquires how publishers are reacting to this phenomenon. Thanks to the primary research, this study juxtaposes the performance on TikTok of its case studies (taken from the Big Five publishers) with the direct feedback of BookTok members, identifying common elements that indicate how the companies are perceived and which approach to the platform resonates the most with their young audiences. The article provides suggestions of how publishers can either improve their usage of TikTok or navigate it for the first time.</t>
  </si>
  <si>
    <t>[Currenti, Martina] Northeastern Univ, Boston, MA 02115 USA; [Currenti, Martina] Oxford Brookes Univ, Media Journalism &amp; Publishing, Oxford, England</t>
  </si>
  <si>
    <t>Northeastern University; Oxford Brookes University</t>
  </si>
  <si>
    <t>Currenti, M (corresponding author), Northeastern Univ, Boston, MA 02115 USA.;Currenti, M (corresponding author), Oxford Brookes Univ, Media Journalism &amp; Publishing, Oxford, England.</t>
  </si>
  <si>
    <t>martinacurrenti09@gmail.com</t>
  </si>
  <si>
    <t>BRILL</t>
  </si>
  <si>
    <t>LEIDEN</t>
  </si>
  <si>
    <t>PLANTIJNSTRAAT 2, P O BOX 9000, 2300 PA LEIDEN, NETHERLANDS</t>
  </si>
  <si>
    <t>0957-9656</t>
  </si>
  <si>
    <t>1878-4712</t>
  </si>
  <si>
    <t>LOGOS J WORLD PUBL C</t>
  </si>
  <si>
    <t>Logos-J. World Publ. Community</t>
  </si>
  <si>
    <t>10.1163/18784712-03104056</t>
  </si>
  <si>
    <t>X0VC2</t>
  </si>
  <si>
    <t>WOS:001095703900002</t>
  </si>
  <si>
    <t>Fernández, VL</t>
  </si>
  <si>
    <t>Lopez Fernandez, Victor</t>
  </si>
  <si>
    <t>New media in political campaign. The case of Madrid regional elections in 2021 on TikTok</t>
  </si>
  <si>
    <t>UNIVERSITAS-REVISTA DE CIENCIAS SOCIALES Y HUMANAS</t>
  </si>
  <si>
    <t>Political communication; TikTok; spectacularization; election campaigns; political parties; social net-works; trivialization</t>
  </si>
  <si>
    <t>SPECTACULARIZATION; COMMUNICATION</t>
  </si>
  <si>
    <t>Due to the television revolution and the arrival of social networks, political communication has undergone a great transformation, both in Spain and in the rest of the world. The use that parties make of their corporative profiles on social networks is increasingly tending towards spectacularization and trivialization of content. TikTok has been the latest platform to burst on the political, media and electoral chessboard. This research explores the role that this social network plays in current political communication, as well as the possibilities it offers for so-called spectacularization and the degree of professionalization with which the different formations work. The publications made by the candidate parties during the campaign and pre-campaign periods of the Madrid 2021 regional elections were taken as sample. This electoral appointment was the first in which TikTok becomes part of the communication strategies. The content analysis is combined through triangulation with in-depth interviews with the different political groups. The results show an experimental use of TikTok as an electoral tool, a strong commitment to confrontation and trivialization of messages and a better audience response to tendentious and spectacular elements. However, the use of this app remains still unprofessionalized and is not really decisive: what happens on TikTok stays on TikTok.</t>
  </si>
  <si>
    <t>[Lopez Fernandez, Victor] Univ Santiago de Compostela, Santiago De Compostela, Spain</t>
  </si>
  <si>
    <t>Fernández, VL (corresponding author), Univ Santiago de Compostela, Santiago De Compostela, Spain.</t>
  </si>
  <si>
    <t>victorlopezf9@gmail.com</t>
  </si>
  <si>
    <t>UNIV POLITECNICA SALESIANA ECUADOR-SALESIAN POLYTECNIC UNIV</t>
  </si>
  <si>
    <t>CUENCA</t>
  </si>
  <si>
    <t>CALLE TURUHUAYO 3-69 &amp; CALLE VIEJA, CUENCA, 00000, ECUADOR</t>
  </si>
  <si>
    <t>1390-3837</t>
  </si>
  <si>
    <t>1390-8634</t>
  </si>
  <si>
    <t>UNIVERSITAS</t>
  </si>
  <si>
    <t>Universitas</t>
  </si>
  <si>
    <t>MAR-AUG</t>
  </si>
  <si>
    <t>10.17163/uni.n36.2022.09</t>
  </si>
  <si>
    <t>ZP8BF</t>
  </si>
  <si>
    <t>WOS:000766642800009</t>
  </si>
  <si>
    <t>Sert, S</t>
  </si>
  <si>
    <t>Sert, Sadiye</t>
  </si>
  <si>
    <t>Temporary prolongation of the QT interval in acute ebastine intoxication due to challenge video on TikTok in a girl</t>
  </si>
  <si>
    <t>CARDIOLOGY IN THE YOUNG</t>
  </si>
  <si>
    <t>Challenge; Ebastine; Intoxication; QT interval; TikTok</t>
  </si>
  <si>
    <t>ANTIHISTAMINES; TERFENADINE</t>
  </si>
  <si>
    <t>Antihistamines are among the most widely used medications in the world. Ebastine is an antihistaminic which is long-acting, second-generation, and selective H1-receptor inverse agonist. I report a twelve-year-and-six-month-old girl with temporary prolongation of the QTc interval caused by acute ebastine intoxication due to TikTok challenge. Initial electrocardiogram showed sinus arrhythmia (72 beats/min) and prolongation of the QTc interval (QTc 482 milliseconds). Gastric lavage was performed. Intravenous fluid was administered, and activated charcoal (1 g/kg/per dose) was given. Electrocardiogram 9 h after drug ingestion showed sinus rhythm and normal QTc interval (QTc 414milliseconds). During follow-up, no electrocardiogram abnormalities were detected with electrocardiogram monitoring. She was discharged on day 2 without any complications. This case report is the first in the literature to show acute intoxication with ebastine due to challenge video on TikTok, which leads to a temporary prolongation of the QTc interval. Also, with this case report, I assert the fact that it is important to properly supervise the use of social media, such as TikTok and to review the content of TikTok videos.</t>
  </si>
  <si>
    <t>[Sert, Sadiye] Konya Beyhekim Training &amp; Res Hosp, Dept Paediat, Konya, Turkey</t>
  </si>
  <si>
    <t>Sert, S (corresponding author), Konya Beyhekim Training &amp; Res Hosp, Dept Paediat, Konya, Turkey.</t>
  </si>
  <si>
    <t>sadiyesert@yahoo.com.tr</t>
  </si>
  <si>
    <t>Sert, Sadiye/0000-0002-1394-935X</t>
  </si>
  <si>
    <t>1047-9511</t>
  </si>
  <si>
    <t>1467-1107</t>
  </si>
  <si>
    <t>CARDIOL YOUNG</t>
  </si>
  <si>
    <t>Cardiol. Young</t>
  </si>
  <si>
    <t>PII S1047951122003717</t>
  </si>
  <si>
    <t>10.1017/S1047951122003717</t>
  </si>
  <si>
    <t>Cardiac &amp; Cardiovascular Systems; Pediatrics</t>
  </si>
  <si>
    <t>Cardiovascular System &amp; Cardiology; Pediatrics</t>
  </si>
  <si>
    <t>P8XJ6</t>
  </si>
  <si>
    <t>WOS:000893724500001</t>
  </si>
  <si>
    <t>Zhang, M; Liu, YQ</t>
  </si>
  <si>
    <t>Zhang, Min; Liu, Yiqun</t>
  </si>
  <si>
    <t>A commentary of TikTok recommendation algorithms in MIT Technology Review 2021 Comment</t>
  </si>
  <si>
    <t>FUNDAMENTAL RESEARCH</t>
  </si>
  <si>
    <t>TikTok is one of the world's most attractive and fastest-growing social media platforms. It has more than 2.6 billion downloads globally and over 100 million users in the US. The secret weapon is its unique methodology of discovering and delivering content. On the For You feed, TikTok mixes videos of both internet celebrities and newcomers, encourages high-quality creative content according to page views, and promotes new bloggers to share videos with users. The unique aspect is that anyone has the opportunity to spring into fame on the feed. Through TikTok's recommendation algorithm, videos are continuously recommended to users with similar interests or attributes as video bloggers, thus allowing high-quality creative content to be disseminated quickly. The TikTok recommendation algorithm does not take video blogger's fanbase or popularity into major consideration. In addition to the candidate video title, audio, and tags, the algorithm integrates the content of the user's uploaded videos, and the categories of videos liked by the user. TikTok's skills at enhancing user loyalty are impressive, which can not only accurately recommend videos of interest to users, but also assist them in expanding into new intersecting areas.((1))</t>
  </si>
  <si>
    <t>[Zhang, Min; Liu, Yiqun] Tsinghua Univ, Beijing Natl Res Ctr Informat Sci &amp; Technol, Inst Artificial Intelligence, Dept Comp Sci &amp; Technol, Beijing 100084, Peoples R China</t>
  </si>
  <si>
    <t>Tsinghua University</t>
  </si>
  <si>
    <t>Liu, YQ (corresponding author), Tsinghua Univ, Beijing Natl Res Ctr Informat Sci &amp; Technol, Inst Artificial Intelligence, Dept Comp Sci &amp; Technol, Beijing 100084, Peoples R China.</t>
  </si>
  <si>
    <t>yiqunliu@tsinghua.edu.cn</t>
  </si>
  <si>
    <t>Zhang, Min/ADG-4442-2022</t>
  </si>
  <si>
    <t>KEAI PUBLISHING LTD</t>
  </si>
  <si>
    <t>BEIJING</t>
  </si>
  <si>
    <t>16 DONGHUANGCHENGGEN NORTH ST, BEIJING, DONGCHENG DISTRICT 100717, PEOPLES R CHINA</t>
  </si>
  <si>
    <t>2096-9457</t>
  </si>
  <si>
    <t>2667-3258</t>
  </si>
  <si>
    <t>FUND RES-CHINA</t>
  </si>
  <si>
    <t>Fundamental Res.</t>
  </si>
  <si>
    <t>10.1016/j.fmre.2021.11.015</t>
  </si>
  <si>
    <t>4N7BY</t>
  </si>
  <si>
    <t>WOS:000854173100001</t>
  </si>
  <si>
    <t>O'Sullivan, NJ; Nason, G; Manecksha, RP; O'Kelly, F</t>
  </si>
  <si>
    <t>O'Sullivan, Niall J.; Nason, Greg; Manecksha, Rustom P.; O'Kelly, Fardod</t>
  </si>
  <si>
    <t>The unintentional spread of misinformation on `TikTok'; A paediatric urological perspective</t>
  </si>
  <si>
    <t>JOURNAL OF PEDIATRIC UROLOGY</t>
  </si>
  <si>
    <t>TikTok; Misinformation; Vesicoureteral reflux; Testicular torsion; Bedwetting; Hypospadias</t>
  </si>
  <si>
    <t>Introduction `TikTok' is a social media application based on the publication of short videos that has accumulated over 1.1 billion users worldwide since its launch in 2016. With the use of `TikTok' on the rise, there is an increasing tendency for patients or family members to seek medical information online. Objective We aim to assess the authenticity of information being spread on `TikTok' on common paediatric urological presentations by comparison to current up to date guidelines provided by the European Association of Urology (EAU). Materials and methods A search for a variety of paediatric urology conditions was performed on `TikTok'. Videos were subsequently screened based on strict pre-defined criteria. The content and claims of each video were compared to up-to-date guidelines to reveal whether or not they complied with standards set by the European Association of Urology (EAU). Information that correlated with that of the guidelines was then further classified by Oxford levels of evidence. Results 27 videos met our criteria with a combined total of 6,578,863 views, 308,700 likes and 5782 comments. Only 22.2% of videos contained information that can also be found in guidelines provided by the EAU. None of the included videos contained any cited evidence to reinforce statements that were being made. Discussion Misinformation lacking scientific evidence has been reported has been reported for various conditions on `TikTok'. Patients, family members or caregivers without a medical background can have difficult verifying and ensuring the credibility of information posted on social media. Conclusion The evolution of `TikTok' has allowed the layperson to create content that can potentially reach millions of users worldwide. This study demonstrated that `TikTok' can be used as a resource for health information, however is currently a pit of misinformation with the potential to cause harm to the user.</t>
  </si>
  <si>
    <t>[O'Sullivan, Niall J.; Manecksha, Rustom P.] Tallaght Univ Hosp, Dept Urol, Dublin, Ireland; [Nason, Greg] Mater Misericordae Univ Hosp, Dept Urol, Dublin, Ireland; [Manecksha, Rustom P.; O'Kelly, Fardod] Beacon Hosp, Dept Urol, Dublin, Ireland; [Manecksha, Rustom P.] Trinity Coll Dublin, Dept Surg, Dublin, Ireland; [O'Kelly, Fardod] Univ Coll Dublin, Dept Surg, Dublin, Ireland</t>
  </si>
  <si>
    <t>Mater Misericordiae University Hospital; Trinity College Dublin; University College Dublin</t>
  </si>
  <si>
    <t>O'Sullivan, NJ (corresponding author), Tallaght Univ Hosp, Dept Urol, Dublin, Ireland.</t>
  </si>
  <si>
    <t>nosulli7@tcd.ie</t>
  </si>
  <si>
    <t>Manecksha, Rustom/0000-0003-3437-744X; O'Kelly, Fardod/0000-0002-4992-7689</t>
  </si>
  <si>
    <t>1477-5131</t>
  </si>
  <si>
    <t>1873-4898</t>
  </si>
  <si>
    <t>J PEDIATR UROL</t>
  </si>
  <si>
    <t>J. Pediatr. Urol</t>
  </si>
  <si>
    <t>10.1016/j.jpurol.2022.03.001</t>
  </si>
  <si>
    <t>Pediatrics; Urology &amp; Nephrology</t>
  </si>
  <si>
    <t>7T8SG</t>
  </si>
  <si>
    <t>WOS:000911711000011</t>
  </si>
  <si>
    <t>Wang, X; Guo, Y</t>
  </si>
  <si>
    <t>Wang, Xin; Guo, Yin</t>
  </si>
  <si>
    <t>Motivations on TikTok addiction: The moderating role of algorithm awareness on young people</t>
  </si>
  <si>
    <t>PROFESIONAL DE LA INFORMACION</t>
  </si>
  <si>
    <t>Motivation; Moderation; Young people; TikTok; Social media; Social networks; Algorithm awareness; Algorithms; Video clip; Filter bubbles; Addiction; Social interaction; Information; Entertainment</t>
  </si>
  <si>
    <t>Algorithm awareness, which is defined as the degree to which the user is aware of the presence of algorithms and the way in which they function, could influence how users behave online and interact. The main focus of this study is to understand how algorithm awareness moderates the association between usage motivations and addiction to TikTok videoclips among young people. An online questionnaire was designed and responses attained from 473 young people in China to explore the motivations for consuming video clips, their algorithm awareness levels, and the degree of addiction when using TikTok. The survey results confirm that there are six main factors that motivate young people to consume video clips on TikTok, of which the relaxing entertainment motivation and the information-seeking motivation receive higher scores. They also reveal that the level of addiction to TikTok is relatively high, whereas the level of algorithm awareness among young people remains at a relatively moderate level. Second, when investigating the motivations for use that lead to addiction, the motivations of information seeking, relaxing entertainment, and social interaction are found to be predictors of TikTok video clip addiction. Third, the moderating role of algorithm awareness, whose effects on interactions with information seeking and relaxing entertainment are significant, is studied, and it is found that increasing the level of algorithm awareness among young people could help reduce the addictive use of TikTok.</t>
  </si>
  <si>
    <t>[Wang, Xin; Guo, Yin] North China Insitute Sci &amp; Technol, Dept Network &amp; New Media, Campus Yanjiao, Sanhe 065201, Peoples R China</t>
  </si>
  <si>
    <t>Wang, X (corresponding author), North China Insitute Sci &amp; Technol, Dept Network &amp; New Media, Campus Yanjiao, Sanhe 065201, Peoples R China.</t>
  </si>
  <si>
    <t>wangxin@ncist.edu.cn; 201401125gy@ncist.edu.cn</t>
  </si>
  <si>
    <t>WANG, XIN/0000-0001-6695-5430</t>
  </si>
  <si>
    <t>Fundamental Research Funds for the Central Universities of China [3142020010]; Humanities and Social Sciences Fund of the Chinese Ministry of Education [21YJC760083]</t>
  </si>
  <si>
    <t>Fundamental Research Funds for the Central Universities of China(Fundamental Research Funds for the Central Universities); Humanities and Social Sciences Fund of the Chinese Ministry of Education</t>
  </si>
  <si>
    <t>The research presented here was supported by the Fundamental Research Funds for the Central Universities of China (No. 3142020010), and the Humanities and Social Sciences Fund of the Chinese Ministry of Education (No. 21YJC760083).</t>
  </si>
  <si>
    <t>EDICIONES PROFESIONALES INFORMACION SL-EPI</t>
  </si>
  <si>
    <t>BARCELONA</t>
  </si>
  <si>
    <t>MISTRAL, 36, BARCELONA, ALBOLOTE, SPAIN</t>
  </si>
  <si>
    <t>1386-6710</t>
  </si>
  <si>
    <t>1699-2407</t>
  </si>
  <si>
    <t>PROF INFORM</t>
  </si>
  <si>
    <t>Prof. Inf.</t>
  </si>
  <si>
    <t>e320411</t>
  </si>
  <si>
    <t>10.3145/epi.2023.jul.11</t>
  </si>
  <si>
    <t>Communication; Information Science &amp; Library Science</t>
  </si>
  <si>
    <t>X3NS5</t>
  </si>
  <si>
    <t>WOS:001097561400013</t>
  </si>
  <si>
    <t>Irfan, B; Yasin, I; Yaqoob, A</t>
  </si>
  <si>
    <t>Irfan, Bilal; Yasin, Ihsaan; Yaqoob, Aneela</t>
  </si>
  <si>
    <t>Navigating Digital Dermatology: An Analysis of Acne-Related Content on TikTok</t>
  </si>
  <si>
    <t>content quality; acne; social media education; social media analytics; tiktok</t>
  </si>
  <si>
    <t>HEALTH INFORMATION; MEDICINE</t>
  </si>
  <si>
    <t>BackgroundWith TikTok's rising popularity as a hub for health information dissemination, the quality and nature of such content require assessment. This study investigates the popularity and quality of the top 100 most-liked videos tagged with #acne on TikTok. This study aims to examine the engagement and quality of acne -related content on TikTok, assess contributions from diverse sources, including physicians and non -physicians, and guide healthcare professionals in leveraging this platform for public health education.MethodologyA cross-sectional analysis of the top 100 most-liked videos tagged with #acne on TikTok as of June 7, 2023, was conducted. Parameters assessed included the profession of the creator, gender, specialty, content type, and other observable characteristics. The quality was measured using the DISCERN tool.ResultsOf the dataset, 38 videos were by physicians and 29 by non-physicians. Physician-created content had higher mean views, likes, comments, shares, and favorites than non-physician-created content. Videos by dermatologists and non-dermatologists received similar engagement. Videos sharing personal experiences achieved the highest DISCERN score. Overall, DISCERN scores were uniformly low across all categories.ConclusionsPhysicians, especially dermatologists, are trusted sources of acne-related information on TikTok. The study underscores the need for professionals to provide reliable, evidence-based information on such platforms, guiding effective health communication in the digital age.</t>
  </si>
  <si>
    <t>[Irfan, Bilal] Univ Michigan, Microbiol &amp; Immunol, Ann Arbor, MI 48109 USA; [Yasin, Ihsaan] Univ Michigan, Elect Engn &amp; Comp Sci, Ann Arbor, MI USA; [Yaqoob, Aneela] Beaumont Hosp, Infect Dis, Taylor, MI USA</t>
  </si>
  <si>
    <t>University of Michigan System; University of Michigan; University of Michigan System; University of Michigan; Beaumont Health</t>
  </si>
  <si>
    <t>Irfan, B (corresponding author), Univ Michigan, Microbiol &amp; Immunol, Ann Arbor, MI 48109 USA.</t>
  </si>
  <si>
    <t>birfan@umich.edu</t>
  </si>
  <si>
    <t>Irfan, Bilal/ISU-4500-2023</t>
  </si>
  <si>
    <t>Irfan, Bilal/0009-0005-5822-7528</t>
  </si>
  <si>
    <t>e45226</t>
  </si>
  <si>
    <t>10.7759/cureus.45226</t>
  </si>
  <si>
    <t>Y7CT4</t>
  </si>
  <si>
    <t>WOS:001106809700023</t>
  </si>
  <si>
    <t>Virós-Martín, C; Montaña-Blasco, M; Jiménez-Morales, M</t>
  </si>
  <si>
    <t>Viros-Martin, Clara; Montana-Blasco, Mireia; Jimenez-Morales, Monika</t>
  </si>
  <si>
    <t>Can't stop scrolling! Adolescents' patterns of TikTok use and digital well-being self-perception</t>
  </si>
  <si>
    <t>Digital well-being, which refers to a balanced individual experience of digital consumption, has been gaining attention recently in the study of the effects of digital technology use. Social networks are central in debates over digital well-being, as social media overuse is often identified as a primary issue. Teenagers who spend an average of three hours daily on social media especially draw the attention of researchers. Based on statistical evidence, TikTok is the most popular network among young users worldwide. However, there are not many platform-specific studies on its effects on adolescent well-being. One of the most consistent gaps is the lack of research on how different aspects involved in TikTok use impact adolescents' digital well-being on the app. In light of this, the study aimed to explore the relationship between time spent on TikTok, content consumption, and self-perception of digital well-being. Given the scientific consensus on social media's greater impact on girls, this study also sought to examine gender differences. For that purpose, a quantitative cross-sectional study was conducted with 737 Spanish adolescents aged 12 to 18, who completed an online questionnaire with validated scales and items on daily usage time, type of content consumption, and digital well-being. Results showed significant gender differences in TikTok usage and content consumption: girls spent more time on TikTok and notably engaged more with beauty and fashion content, while boys with video games and sports content, suggesting that traditional gender roles are still present in their choices of content consumption. Beyond that, a rather positive self-perception of digital well-being on TikTok by teenagers was observed. Despite this, an increased TikTok usage was associated with a reduced ability to set boundaries and limit their time on the app. These findings highlight the need for measures to limit the time adolescents spend on TikTok, such as mandatory parental controls on electronic devices and educational programs aimed at promoting healthy digital habits.</t>
  </si>
  <si>
    <t>[Viros-Martin, Clara; Jimenez-Morales, Monika] Univ Pompeu Fabra, Barcelona, Spain; [Montana-Blasco, Mireia] Univ Oberta Catalunya, Barcelona, Spain</t>
  </si>
  <si>
    <t>Pompeu Fabra University; UOC Universitat Oberta de Catalunya</t>
  </si>
  <si>
    <t>Montaña-Blasco, M (corresponding author), Univ Oberta Catalunya, Barcelona, Spain.</t>
  </si>
  <si>
    <t>Jimenez-Morales, Monika/L-6722-2014</t>
  </si>
  <si>
    <t>Jimenez-Morales, Monika/0000-0002-4977-0722</t>
  </si>
  <si>
    <t>Creators of Mental Health Content on Social Media; Discourse, incidence and Digital Literacy on Psychological Disorders and their Stigma (SMARS) - Spanish Ministry of Science, Innovation and Universities [PID2022-141454OB-I00]</t>
  </si>
  <si>
    <t>Creators of Mental Health Content on Social Media; Discourse, incidence and Digital Literacy on Psychological Disorders and their Stigma (SMARS) - Spanish Ministry of Science, Innovation and Universities</t>
  </si>
  <si>
    <t>This article is a result of the research project Adolescent Receivers and Creators of Mental Health Content on Social Media. Discourse, incidence and Digital Literacy on Psychological Disorders and their Stigma (SMARS), corresponding to the 2022 Call for Knowledge Generation Projects, funded by the Spanish Ministry of Science, Innovation and Universities (reference: PID2022-141454OB-I00).</t>
  </si>
  <si>
    <t>OCT 30</t>
  </si>
  <si>
    <t>10.1057/s41599-024-03984-5</t>
  </si>
  <si>
    <t>K6Q3P</t>
  </si>
  <si>
    <t>WOS:001345098200003</t>
  </si>
  <si>
    <t>Cheng, D; Ren, KW; Gao, X; Li, KK; Wu, PP; Yang, R; Cui, T; Song, K; Yu, JT</t>
  </si>
  <si>
    <t>Cheng, Di; Ren, Kuiwu; Gao, Xiang; Li, Kangkang; Wu, Panpan; Yang, Rui; Cui, Tao; Song, Kun; Yu, Jiangtao</t>
  </si>
  <si>
    <t>Video quality of nonalcoholic fatty liver disease on TikTok: A cross-sectional study</t>
  </si>
  <si>
    <t>MEDICINE</t>
  </si>
  <si>
    <t>DISCERN; GQS; health information; NAFLD; social media; TikTok; video quality</t>
  </si>
  <si>
    <t>HEALTH INFORMATION; HEPATIC STEATOSIS; PHYSICAL-ACTIVITY; NAFLD</t>
  </si>
  <si>
    <t>The short-video application TikTok shows great potential for disseminating health information. We assessed the content, sources, and quality of information in videos related to nonalcoholic fatty liver disease (NAFLD) on TikTok. Our study aims to identify upload sources, content, and characteristic information for NAFLD videos on TikTok and further evaluate factors related to video quality. We investigated the top 100 videos related to NAFLD on TikTok and analyzed the upload sources, content, and characteristics of these videos. Evaluate video quality using the DISCERN tool and Global Quality Score (GQS). In addition, the correlation between video quality and video characteristics is further studied. In terms of video sources, the majority of NAFLD videos on TikTok (85/100, 85%) were posted by doctors, ensuring the professionalism of the content, and among the video content, disease knowledge was the most dominant video content, accounting for 57% (57/100) of all videos, and the average DISCERN and GQS scores of all 100 videos were 39.59 (SD 3.31) and 2.99 (SD 0.95), respectively. DISCERN and GQS data show that videos related to NAFLD do not have high-quality scores on TikTok, mainly fair (68/100, 68%) and moderate (49/100, 49%). In general, the quality of NAFLD video information from professional content and professional sources was higher than that of nonprofessional sources and nonprofessional content, the video quality of general surgeons was better than that of other department physicians, and the video quality of junior physicians was better than that of senior physicians. In terms of video correlation, durations, the number of fans, and the total number of works were negatively correlated with DISCERN scores (R &lt; 0, P &lt; .05), while likes, comments, collections, shares, and days since upload were not significantly correlated with DISCERN and GQS scores (P &gt; .05). The medical information on TikTok is not rigorous enough to guide patients to make accurate judgments, platforms should monitor and guide publishers to help promote and disseminate quality content.</t>
  </si>
  <si>
    <t>[Cheng, Di; Ren, Kuiwu; Gao, Xiang; Wu, Panpan; Yang, Rui; Cui, Tao; Song, Kun; Yu, Jiangtao] Anhui Med Univ, Fuyang Peoples Hosp, Dept Hepatobiliary Pancreat Surg, 501 Sanqing Rd, Fuyang 236000, Anhui, Peoples R China; [Li, Kangkang] Fuyang Hosp, Affiliated Bengbu Med Coll, Dept Hepatobiliary Pancreat Surg, Fuyang, Anhui, Peoples R China</t>
  </si>
  <si>
    <t>Anhui Medical University</t>
  </si>
  <si>
    <t>Yu, JT (corresponding author), Anhui Med Univ, Fuyang Peoples Hosp, Dept Hepatobiliary Pancreat Surg, 501 Sanqing Rd, Fuyang 236000, Anhui, Peoples R China.</t>
  </si>
  <si>
    <t>chengdi0121@163.com; renkuiwu@163.com; 1733524839@qq.com; 1595169536@qq.com; wupanpan1225@163.com; ctmx5052@sina.com; ct181626@163.com; 1215904195@qq.com; fyshbp@126.com</t>
  </si>
  <si>
    <t>yu, jiangtao/0000-0003-4272-9230</t>
  </si>
  <si>
    <t>Clinical Medical Research Translation Special Project of Anhui Province [202204295107020054]; Scientific Research Project of Fuyang City Health Commission [FY2021-024]</t>
  </si>
  <si>
    <t>Clinical Medical Research Translation Special Project of Anhui Province; Scientific Research Project of Fuyang City Health Commission</t>
  </si>
  <si>
    <t>This research was supported by grants from Clinical Medical Research Translation Special Project of Anhui Province (No. 202204295107020054) and Scientific Research Project of Fuyang City Health Commission (FY2021-024).</t>
  </si>
  <si>
    <t>0025-7974</t>
  </si>
  <si>
    <t>1536-5964</t>
  </si>
  <si>
    <t>Medicine (Baltimore)</t>
  </si>
  <si>
    <t>AUG 23</t>
  </si>
  <si>
    <t>e39330</t>
  </si>
  <si>
    <t>10.1097/MD.0000000000039330</t>
  </si>
  <si>
    <t>D7P6M</t>
  </si>
  <si>
    <t>WOS:001298069900053</t>
  </si>
  <si>
    <t>Vijay, D; Gekker, A</t>
  </si>
  <si>
    <t>Vijay, Darsana; Gekker, Alex</t>
  </si>
  <si>
    <t>Playing Politics: How Sabarimala Played Out on TikTok</t>
  </si>
  <si>
    <t>AMERICAN BEHAVIORAL SCIENTIST</t>
  </si>
  <si>
    <t>TikTok; playful citizenship; interfaces; platform design; Sabarimala</t>
  </si>
  <si>
    <t>SOCIAL MEDIA; PUBLICS</t>
  </si>
  <si>
    <t>TikTok is commonly known as a playful, silly platform where teenagers share 15-second videos of crazy stunts or act out funny snippets from popular culture. In the past few years, it has experienced exponential growth and popularity, unseating Facebook as the most downloaded app. Interestingly, recent news coverage notes the emergence of TikTok as a political actor in the Indian context. They raise concerns over the abundance of divisive content, hate speech, and the lack of platform accountability in countering these issues. In this article, we analyze how politics is performed on TikTok and how the platform's design shapes such expressions and their circulation. What does the playful architecture of TikTok mean to the nature of its political discourse and participation? To answer this, we review existing academic work on play, media, and political participation and then examine the case of Sabarimala through the double lens of ludic engagement and platform-specific features. The efficacy of play as a productive heuristic to study political contention on social media platforms is demonstrated. Finally, we turn to ludo-literacy as a potential strategy that can reveal the structures that order playful political participation and can initiate alternative modes of playing politics.</t>
  </si>
  <si>
    <t>[Vijay, Darsana] Univ Amsterdam, ERC Funded Platform Labor Project, Amsterdam, Netherlands; [Gekker, Alex] Univ Amsterdam, New Media &amp; Digital Culture, Amsterdam, Netherlands</t>
  </si>
  <si>
    <t>University of Amsterdam; University of Amsterdam</t>
  </si>
  <si>
    <t>Vijay, D (corresponding author), Univ Amsterdam, Dept Media Studies, Turfdraagsterpad 9, NL-1012 XT Amsterdam, Netherlands.</t>
  </si>
  <si>
    <t>darsanavijay006@gmail.com</t>
  </si>
  <si>
    <t>Gekker, Alex/AAV-4912-2020</t>
  </si>
  <si>
    <t>Gekker, Alex/0000-0001-6042-2086; , Darsana/0000-0002-6744-6504</t>
  </si>
  <si>
    <t>0002-7642</t>
  </si>
  <si>
    <t>1552-3381</t>
  </si>
  <si>
    <t>AM BEHAV SCI</t>
  </si>
  <si>
    <t>Am. Behav. Sci.</t>
  </si>
  <si>
    <t>10.1177/0002764221989769</t>
  </si>
  <si>
    <t>JAN 2021</t>
  </si>
  <si>
    <t>RM3CO</t>
  </si>
  <si>
    <t>WOS:000631210500001</t>
  </si>
  <si>
    <t>Fritsche, M; King, TS; Hollins, LC</t>
  </si>
  <si>
    <t>Fritsche, Madelaine; King, Tonya S.; Hollins, Lauren Claire</t>
  </si>
  <si>
    <t>Skin of Color in Dermatology: Analysis of Content and Engagement on TikTok</t>
  </si>
  <si>
    <t>JOURNAL OF DRUGS IN DERMATOLOGY</t>
  </si>
  <si>
    <t>DISPARITIES</t>
  </si>
  <si>
    <t>Importance: There is an existing disparity in the ability for patients with skin of color to access reliable, evidence-based care via social media. Objectives: To analyze the intention, creators, and engagement of skin of color content posted on TikTok. Design: Cross-sectional epidemiologic study analyzing the content of 43 search terms related to skin of color. Setting: Population-based. Participants: The accounts linked to the top 3 posts associated with each search term when sorted by both relevance and number of likes based on the TikTok algorithm. Exposures: N/A. Main Outcome Measures:The number of views, likes, comments, and shares. Results: Dermatologists fall behind other TikTok creators with regard to producing popular skin of color content on TikTok. Conclusion and Results: Dermatologists have the opportunity to help combat the spread of misinformation by generating educational posts and making reliable content more available for skin of color patients.</t>
  </si>
  <si>
    <t>[Fritsche, Madelaine; Hollins, Lauren Claire] Penn State Hershey Med Ctr, Dept Dermatol, Hershey, PA 17033 USA; [King, Tonya S.] Penn State Univ, Coll Med, Dept Publ Hlth Sci, Hershey, PA 17033 USA</t>
  </si>
  <si>
    <t>Pennsylvania Commonwealth System of Higher Education (PCSHE); Pennsylvania State University; Penn State Health; Pennsylvania Commonwealth System of Higher Education (PCSHE); Pennsylvania State University; Penn State Health</t>
  </si>
  <si>
    <t>Hollins, LC (corresponding author), Penn State Hershey Med Ctr, Dept Dermatol, Hershey, PA 17033 USA.</t>
  </si>
  <si>
    <t>lhollins@pennstatehealth.psu.edu</t>
  </si>
  <si>
    <t>377 PARK AVE SOUTH, 6TH FLOOR, NEW YORK, NY 10016 USA</t>
  </si>
  <si>
    <t>1545-9616</t>
  </si>
  <si>
    <t>J DRUGS DERMATOL</t>
  </si>
  <si>
    <t>J. Drugs Dermatol.</t>
  </si>
  <si>
    <t>10.36849/100.6784</t>
  </si>
  <si>
    <t>3A2ZQ</t>
  </si>
  <si>
    <t>WOS:000827133500003</t>
  </si>
  <si>
    <t>Nasidi, QY; Norde, AB; Dahiru, JM; Hassan, I</t>
  </si>
  <si>
    <t>Nasidi, Qaribu Yahaya; Norde, Abdulkarim Bello; Dahiru, Jamila Mohammed; Hassan, Isyaku</t>
  </si>
  <si>
    <t>Tiktok Usage, Social Comparison, and Self-Esteem Among the Youth: Moderating Role of Gender</t>
  </si>
  <si>
    <t>GALACTICA MEDIA-JOURNAL OF MEDIA STUDIES - GALAKTIKA MEDIA-ZHURNAL MEDIA ISSLEDOVANIJ</t>
  </si>
  <si>
    <t>Gender; Self-Esteem; Social Comparison; Social Media; Tiktok Usage; Behavioral Psychology; Media Influence; Digital Society; Cultural Differences; Emotional Well-being</t>
  </si>
  <si>
    <t>MEDIA ADDICTION; INTERPLAY; FACEBOOK; SITES; ENVY</t>
  </si>
  <si>
    <t>TikTok has swiftly risen to prominence as one of the world's top social media and entertainment sites. Every day, millions of users log on to the site. The platform's users generate millions of moments and post several videos every minute. Nevertheless, research shows that TikTok usage is more prevalent among those with high self-esteem and less among those with poor self-esteem. This study examines the relationship between TikTok usage, social comparison, and self-esteem using gender as a moderator. The research used a cross-sectional survey design in which structured questionnaires were used to collect data from a sample of 314 TikTok users among university students in Nigeria. Structural Equation Modeling -Analysis of Moment Structures (SEM- AMOS) was employed to test the study hypotheses. The results showed that TikTok usage has a positive and statistically significant direct effect on self-esteem with a path coefficient (Beta) =.330, (p = 0.000) and critical ratios (z -values) = 3.402. Additionally, the study revealed that social comparison has statistically significant effects on self-esteem with a path coefficient (Beta) =.570, p = 0.000, and critical ratios (z -values) = 7.870. However, the result of moderating analysis shows that the effect is more pronounced in the female group than in the male group. The study provides empirical evidence on the moderating role of gender in the relationship between TikTok usage, social comparison, and self-esteem among Nigerian university students.</t>
  </si>
  <si>
    <t>[Nasidi, Qaribu Yahaya; Dahiru, Jamila Mohammed] Ahmadu Bello Univ, Zaria, Nigeria; [Norde, Abdulkarim Bello] Fed Coll Educ Tech Bichi, Kano, Nigeria; [Hassan, Isyaku] Univ Sultan Zainal Abidin, Terengganu, Malaysia</t>
  </si>
  <si>
    <t>Ahmadu Bello University; Universiti Sultan Zainal Abidin</t>
  </si>
  <si>
    <t>Nasidi, QY (corresponding author), Ahmadu Bello Univ, Zaria, Nigeria.</t>
  </si>
  <si>
    <t>qaribuyahaya@gmail.com; belloa431@gmail.com; jamiladahiru@yahoo.com; isyaku87@gmail.com</t>
  </si>
  <si>
    <t>Hassan, PhD, Isyaku/AAB-9129-2019</t>
  </si>
  <si>
    <t>NASIDI, QARIBU YAHAYA/0000-0003-3888-2945</t>
  </si>
  <si>
    <t>LTD CO SCIENTIFIC INDUSTRIAL ENTERPRISE GENESIS FRONTIER SCIENCE</t>
  </si>
  <si>
    <t>ASTRAKHAN</t>
  </si>
  <si>
    <t>UL SAVUSHKINA D 24, KV 88, ASTRAKHAN, OBLAST, RUSSIA</t>
  </si>
  <si>
    <t>2658-7734</t>
  </si>
  <si>
    <t>GALACTICA MEDIA</t>
  </si>
  <si>
    <t>Galactica Media-J. Media Stud. - Galaktika Media-Zh. Media Issledovanij</t>
  </si>
  <si>
    <t>10.46539/gmd.v6i2.467</t>
  </si>
  <si>
    <t>TD4O2</t>
  </si>
  <si>
    <t>WOS:001239311400001</t>
  </si>
  <si>
    <t>Sun, YP; Jia, RY; Razzaq, A; Bao, Q</t>
  </si>
  <si>
    <t>Sun, Yunpeng; Jia, Ruoya; Razzaq, Asif; Bao, Qun</t>
  </si>
  <si>
    <t>Social network platforms and climate change in China: Evidence from TikTok</t>
  </si>
  <si>
    <t>TECHNOLOGICAL FORECASTING AND SOCIAL CHANGE</t>
  </si>
  <si>
    <t>Climate change news; Tik tok; Centrality; pagerank method; Superedge rank method; digital economy</t>
  </si>
  <si>
    <t>UNITED-STATES; ALGORITHM; COVID-19; DISASTER</t>
  </si>
  <si>
    <t>The actions and policies enacted by today's youth hold profound implications for future generations, underscoring their pivotal role in advocating for climate issues. Younger cohorts exhibit heightened concern regarding climate change and are highly visible on social media platforms. Hence, this study aims to delineate the portrayal of climate-related news and disasters on TikTok. The research draws upon fifty TikTok accounts focused on climate-related content. Employing social network analysis, PageRank, and Superedge Rank methodologies, this investigation evaluates how TikTok users-called TikTokers-address climate change and its impact on social media. The assessment scrutinizes climate-related news, disasters, and the resultant networks to gauge the influence wielded by social influencers in disseminating messages. Results reveal that among the four key entities-internet influencers, government, scientists, and producers-internet influencers exert the most substantial influence on climate change news dissemination on TikTok, while the government plays an influential role in climate disasters. Like other social media platforms, TikTok is a valuable arena for gauging public sentiment on critical health concerns like global warming. Nonetheless, ensuring the reliability and depth of messages shared on TikTok necessitates the presence of credible experts who can deliver comprehensive and scientifically sound information within the platform's time constraints.</t>
  </si>
  <si>
    <t>[Sun, Yunpeng; Jia, Ruoya] Tianjin Univ Commerce, Sch Econ, Tianjin, Peoples R China; [Razzaq, Asif] Lebanese Amer Univ, Adnan Kassar Sch Business, Beirut, Lebanon; [Razzaq, Asif] CAREC Inst, Res Div, Urumqi, Peoples R China; [Bao, Qun] Nankai Univ, Sch Econ, Tianjin, Peoples R China</t>
  </si>
  <si>
    <t>Tianjin University of Commerce; Lebanese American University; Nankai University</t>
  </si>
  <si>
    <t>Sun, YP (corresponding author), Tianjin Univ Commerce, Sch Econ, Tianjin, Peoples R China.</t>
  </si>
  <si>
    <t>tjwade3@126.com; asifrazzaq@yahoo.com; baoqun@nankai.edu.cn</t>
  </si>
  <si>
    <t>Razzaq, Asif/ABE-3097-2021; , Dr. Yunpeng/AGY-0674-2022</t>
  </si>
  <si>
    <t>0040-1625</t>
  </si>
  <si>
    <t>1873-5509</t>
  </si>
  <si>
    <t>TECHNOL FORECAST SOC</t>
  </si>
  <si>
    <t>Technol. Forecast. Soc. Chang.</t>
  </si>
  <si>
    <t>10.1016/j.techfore.2023.123197</t>
  </si>
  <si>
    <t>Business; Regional &amp; Urban Planning</t>
  </si>
  <si>
    <t>Business &amp; Economics; Public Administration</t>
  </si>
  <si>
    <t>HF8C2</t>
  </si>
  <si>
    <t>WOS:001158158900001</t>
  </si>
  <si>
    <t>Wei, M; Zeng, E; Kohno, T; Roesner, F</t>
  </si>
  <si>
    <t>USENIX ASSOC</t>
  </si>
  <si>
    <t>Wei, Miranda; Zeng, Eric; Kohno, Tadayoshi; Roesner, Franziska</t>
  </si>
  <si>
    <t>Anti-Privacy and Anti-Security Advice on TikTok: Case Studies of Technology-Enabled Surveillance and Control in Intimate Partner and Parent-Child Relationships</t>
  </si>
  <si>
    <t>PROCEEDINGS OF THE EIGHTEENTH SYMPOSIUM ON USABLE PRIVACY AND SECURITY, SOUPS 2022</t>
  </si>
  <si>
    <t>18th Symposium on Usable Privacy and Security (SOUPS)</t>
  </si>
  <si>
    <t>AUG 07-09, 2022</t>
  </si>
  <si>
    <t>Boston, MA</t>
  </si>
  <si>
    <t>USENIX,ethyca,NSF,Google,Meta</t>
  </si>
  <si>
    <t>Modern technologies including smartphones, AirTags, and tracking apps enable surveillance and control in interpersonal relationships. In this work, we study videos posted on TikTok that give advice for how to surveil or control others through technology, focusing on two interpersonal contexts: intimate partner relationships and parent-child relationships. We collected 98 videos across both contexts and investigate (a) what types of surveillance or control techniques the videos describe, (b) what assets are being targeted, (c) the reasons that TikTok creators give for using these techniques, and (d) defensive techniques discussed. Additionally, we make observations about how social factors - including social acceptability, gender, and TikTok culture - are critical context for the existence of this anti-privacy and anti-security advice. We discuss the use of TikTok as a rich source of qualitative data for future studies and make recommendations for technology designers around interpersonal surveillance and control.</t>
  </si>
  <si>
    <t>[Wei, Miranda; Zeng, Eric; Kohno, Tadayoshi; Roesner, Franziska] Univ Washington, Paul G Allen Sch Comp Sci &amp; Engn, Seattle, WA 98195 USA</t>
  </si>
  <si>
    <t>University of Washington; University of Washington Seattle</t>
  </si>
  <si>
    <t>Wei, M (corresponding author), Univ Washington, Paul G Allen Sch Comp Sci &amp; Engn, Seattle, WA 98195 USA.</t>
  </si>
  <si>
    <t>weimf@cs.washington.edu; ericzeng@cs.washington.edu; yoshi@cs.washington.edu; franzi@cs.washington.edu</t>
  </si>
  <si>
    <t>U.S. National Science Foundation [CNS-1565252, CNS-2114230]</t>
  </si>
  <si>
    <t>U.S. National Science Foundation(National Science Foundation (NSF))</t>
  </si>
  <si>
    <t>We thank our reviewers for their helpful feedback. We are grateful for the many insights of Chris Geeng, Kentrell Owens, Tina Yeung, Sudheesh Singanamalla, and Os Keyes during this research. We thank Kaiming Cheng for assisting with the screenshots. This work was supported in part by the U.S. National Science Foundation under Awards CNS-1565252 and CNS-2114230, and by a gift from Google.</t>
  </si>
  <si>
    <t>BERKELEY</t>
  </si>
  <si>
    <t>SUITE 215, 2560 NINTH ST, BERKELEY, CA 94710 USA</t>
  </si>
  <si>
    <t>978-1-939133-30-4</t>
  </si>
  <si>
    <t>Computer Science, Information Systems; Computer Science, Theory &amp; Methods</t>
  </si>
  <si>
    <t>BX6CS</t>
  </si>
  <si>
    <t>WOS:001307755600024</t>
  </si>
  <si>
    <t>Ureke, O</t>
  </si>
  <si>
    <t>Ureke, Oswelled</t>
  </si>
  <si>
    <t>Politics at Play: TikTok and Digital Persuasion in Zimbabwe's 2023 General Elections</t>
  </si>
  <si>
    <t>AFRICA SPECTRUM</t>
  </si>
  <si>
    <t>Zimbabwe; TikTok; political communication; social networking sites; digital persuasion; Tok; Communication politique; les sites de r &amp; eacute;seautage social; Persuasion num &amp; eacute;rique</t>
  </si>
  <si>
    <t>COMMUNICATION; FACEBOOK; HUMOR</t>
  </si>
  <si>
    <t>Zimbabwe's August 2023 elections were held against the backdrop of outcry over the outcomes of previous elections, which opposition political parties accusedthe ruling Zimbabwe African National Union-Patriotic Front party of rigging. Access to the public media is among the issues of contestation. Opposition political parties claim that they are not given equal space for campaigning purposes. Social networking sites such as X (formerly Twitter) and Facebook have recently provided spaces for political communication, where all parties have unfettered access to the electorate. Recently, TikTok has emerged as a popular social networking site, rivaling established applications in terms of its uptake, particularly among youths. Research on the social media application suggests that it is largely used for trivial purposes and does not contribute to critical dialogue. However, lately there is evidence that TikTok is being used for serious purposes, including activism. The study sought to find out how political actors in Zimbabwe used the TikTok platform for political communication in the run-up to the 2023 elections. The paper also examines the nature of digital persuasion on TikTok and how this enriches or trivialises political discourse. Findings show that TikTok was used to urge Zimbabwean youths to register to vote as well as to provide visual evidence of the good and the bad associated with particular political parties, as they competed for voters. It was used as a politainment tool, combining political messaging with the entertainment affordances of TikTok. Les &amp; eacute;lections d'ao &amp; ucirc;t 2023 au Zimbabwe se sont inscrites dans une dynamique de contestation des processus &amp; eacute;lectoraux ant &amp; eacute;rieurs, marqu &amp; eacute;e par des accusations de fraude &amp; eacute;manant des partis d'opposition &amp; agrave; l'encontre du ZANU PF au pouvoir. L'acc &amp; egrave;s aux m &amp; eacute;dias publics est l'un des enjeux de cette contestation, les partis d'opposition affirmant qu'ils ne b &amp; eacute;n &amp; eacute;ficient pas d'un espace &amp; eacute;gal pour faire campagne. Des sites de r &amp; eacute;seaux sociaux comme X (anciennement Twitter) et Facebook ont r &amp; eacute;cemment offert des espaces de communication politique o &amp; ugrave; tous les partis ont un acc &amp; egrave;s libre &amp; agrave; l'&amp; eacute;lectorat. TikTok est devenu un site de r &amp; eacute;seau social populaire, concurren &amp; ccedil;ant les applications &amp; eacute;tablies en termes d'adoption, notamment parmi les jeunes. Bien que TikTok soit largement utilis &amp; eacute; &amp; agrave; des fins l &amp; eacute;g &amp; egrave;res, des preuves r &amp; eacute;centes montrent son utilisation &amp; agrave; des fins 's &amp; eacute;rieuses', y compris l'activisme. Cette &amp; eacute;tude se penche sur l'utilisation de TikTok par les acteurs politiques zimbabw &amp; eacute;ens pour la communication politique avant les &amp; eacute;lections de 2023, examinant &amp; eacute;galement la nature de la persuasion digitale sur TikTok et son impact sur le discours politique. Les r &amp; eacute;sultats montrent que TikTok a &amp; eacute;t &amp; eacute; utilis &amp; eacute; pour encourager les jeunes Zimbabw &amp; eacute;ens &amp; agrave; s'inscrire pour voter et pour fournir des preuves visuelles des aspects positifs et n &amp; eacute;gatifs associ &amp; eacute;s &amp; agrave; certains partis politiques, dans leur comp &amp; eacute;tition pour les &amp; eacute;lecteurs. TikTok a servi d'outil de &lt;&lt; politainment &gt;&gt;, combinant le message politique avec les affordances de divertissement de TikTok.</t>
  </si>
  <si>
    <t>[Ureke, Oswelled] Univ Johannesburg, Sch Commun, Dept Commun &amp; Media, Auckland Pk, South Africa</t>
  </si>
  <si>
    <t>University of Johannesburg</t>
  </si>
  <si>
    <t>Ureke, O (corresponding author), Univ Johannesburg, Commun &amp; Media, B Ring 607,APK Campus, ZA-2092 Auckland Pk, Gauteng, South Africa.</t>
  </si>
  <si>
    <t>ozzieureke@yahoo.com</t>
  </si>
  <si>
    <t>Ureke, Oswelled/IWM-4914-2023</t>
  </si>
  <si>
    <t>Ureke, Oswelled/0000-0002-0775-9699</t>
  </si>
  <si>
    <t>0002-0397</t>
  </si>
  <si>
    <t>1868-6869</t>
  </si>
  <si>
    <t>AFR SPECTR</t>
  </si>
  <si>
    <t>Afr. Spectr.</t>
  </si>
  <si>
    <t>10.1177/00020397241241335</t>
  </si>
  <si>
    <t>Area Studies</t>
  </si>
  <si>
    <t>C8J6O</t>
  </si>
  <si>
    <t>WOS:001291780000010</t>
  </si>
  <si>
    <t>O'Connor, K; Karl, J; Dunne, S</t>
  </si>
  <si>
    <t>O'Connor, Katie; Karl, Johannes; Dunne, Simon</t>
  </si>
  <si>
    <t>Picture perfect: Exploring the relationship between problematic TikTok use, physical appearance perfectionism, and upward physical appearance comparison on body appreciation</t>
  </si>
  <si>
    <t>CURRENT RESEARCH IN BEHAVIORAL SCIENCES</t>
  </si>
  <si>
    <t>Body image; Body appreciation; Physical appearance perfectionism; Upward physical appearance comparison; TikTok; Social media use; Social networking sites; SNS</t>
  </si>
  <si>
    <t>IDEALIZED MEDIA IMAGES; THEORY RELATING SELF; SOCIAL MEDIA; IMPACT; DISCREPANCY; WOMEN; SATISFACTION; SYMPTOMS; ESTEEM; SCHEMA</t>
  </si>
  <si>
    <t>Physical appearance perfectionism and upward physical appearance comparisons have a potential role in explaining how the use of popular social networking sites can negatively impact a person's body image. Although there is considerable research on the relationship between body image and problematic Instagram usage, there is little reported on TikTok use. Therefore, the aim of this study was to explore the mediating relationship of physical appearance perfectionism and upward physical appearance comparison between problematic TikTok use and body appreciation. The sample included 185 TikTok users. Serial mediation analysis revealed a significant indirect negative relationship between problematic TikTok use and body appreciation through physical appearance perfectionism, but not upward physical appearance comparison, or physical appearance perfectionism and upward physical appearance comparison in serial. Thus, with the rapid growth of TikTok, this study highlights the importance of identifying the individuals who may be more vulnerable to the effects of the app. We suggest possible practice implications such as the implementation of screening strategies to identify those high in physical appearance perfectionism, and the development of workshops aimed at promoting positive body image in the face of SNS use.</t>
  </si>
  <si>
    <t>[O'Connor, Katie; Karl, Johannes; Dunne, Simon] Dublin City Univ, Fac Sci &amp; Hlth, Sch Psychol, Dublin, Ireland</t>
  </si>
  <si>
    <t>Dunne, S (corresponding author), Dublin City Univ, Fac Sci &amp; Hlth, Sch Psychol, Dublin, Ireland.</t>
  </si>
  <si>
    <t>simon.dunne@dcu.ie</t>
  </si>
  <si>
    <t>Karl, Johannes/LLL-2873-2024</t>
  </si>
  <si>
    <t>Dunne, Simon/0000-0003-3655-7647</t>
  </si>
  <si>
    <t>2666-5182</t>
  </si>
  <si>
    <t>CURR RES BEHAV SCI</t>
  </si>
  <si>
    <t>Curr. Res. Behav. Sci.</t>
  </si>
  <si>
    <t>10.1016/j.crbeha.2024.100156</t>
  </si>
  <si>
    <t>Behavioral Sciences</t>
  </si>
  <si>
    <t>XC4E1</t>
  </si>
  <si>
    <t>WOS:001259464200001</t>
  </si>
  <si>
    <t>Yang, Y; Adnan, HM; Sarmiti, NZ</t>
  </si>
  <si>
    <t>Yang, Yang; Adnan, Hamedi Mohd; Sarmiti, Nor Zaliza</t>
  </si>
  <si>
    <t>Influencing Factors of Trust in Zibo Government in the Context of TikTok Use among Chinese Young Adults</t>
  </si>
  <si>
    <t>MEDIA EDUCATION-MEDIAOBRAZOVANIE</t>
  </si>
  <si>
    <t>trust in government; TikTok use; young adults; social support theory.</t>
  </si>
  <si>
    <t>COVID-19; SUPPORT</t>
  </si>
  <si>
    <t>TikTok, as a newly emerging social media tool, has been widely used in China especially among Chinese young adults. After China has relaxed its controls of the COVID-19 pandemic policy, there are a great many comments from TikTok young adult users expressing their desire to travel to Zibo city (a city in Shandong), which shows their trust in Zibo government. Therefore, it is imperative to explore the influencing factors of trust in Zibo government in the context of TikTok use among Chinese young adults in this study. Snowball sampling technique was adapted in this study and eight interviewees who are TikTok users aged from 18 to 29 years old were selected. In-depth interview is used in this study to understand the influencing factors of trust in Zibo government from the perspective of eight young adult users. By employing social support theory, the finding indicates that emotional support, financial support and informational support all pays an important role in TikTok young adult users' trust in Zibo government. As a conclusion, in order to promote sustainable development and young adults' trust in government, policymakers are supposed to pay more attention to providing emotional support, financial support and informational support from the government.</t>
  </si>
  <si>
    <t>[Yang, Yang; Adnan, Hamedi Mohd; Sarmiti, Nor Zaliza] Univ Malaya, Kuala Lumpur, Malaysia</t>
  </si>
  <si>
    <t>Universiti Malaya</t>
  </si>
  <si>
    <t>Adnan, HM (corresponding author), Univ Malaya, Kuala Lumpur, Malaysia.</t>
  </si>
  <si>
    <t>hamedi@um.edu.my</t>
  </si>
  <si>
    <t>SARMITI, NOR ZALIZA/GPX-0238-2022; Yang, Yang/HZI-3539-2023</t>
  </si>
  <si>
    <t>Cherkas Global Univ Press</t>
  </si>
  <si>
    <t>Washington</t>
  </si>
  <si>
    <t>1717 N Street NW, Suite 1, Washington, District of Columbia, UNITED STATES</t>
  </si>
  <si>
    <t>1994-4160</t>
  </si>
  <si>
    <t>1994-4195</t>
  </si>
  <si>
    <t>MEDIA EDUC-RUSS</t>
  </si>
  <si>
    <t>Media Educ.</t>
  </si>
  <si>
    <t>10.13187/me.2023.3.504</t>
  </si>
  <si>
    <t>X2DE5</t>
  </si>
  <si>
    <t>WOS:001096604000016</t>
  </si>
  <si>
    <t>Milton, A; Ajmani, L; DeVito, MA; Chancellor, S</t>
  </si>
  <si>
    <t>Milton, Ashlee; Ajmani, Leah; DeVito, Michael Ann; Chancellor, Stevie</t>
  </si>
  <si>
    <t>I See Me Here: Mental Health Content, Community, and Algorithmic Curation on TikTok</t>
  </si>
  <si>
    <t>PROCEEDINGS OF THE 2023 CHI CONFERENCE ON HUMAN FACTORS IN COMPUTING SYSTEMS (CHI 2023)</t>
  </si>
  <si>
    <t>CHI conference on Human Factors in Computing Systems (CHI)</t>
  </si>
  <si>
    <t>APR 23-28, 2023</t>
  </si>
  <si>
    <t>Hamburg, GERMANY</t>
  </si>
  <si>
    <t>Assoc Comp Machinery,ACM SIGCHI,Google,Siemens,Bloomberg</t>
  </si>
  <si>
    <t>Mental Health; Community; Social Media; Interview; TikTok</t>
  </si>
  <si>
    <t>COVID-19 INFORMATION; SOCIAL MEDIA; ONLINE; DEFINITION; ACCOUNTS; SUPPORT; NUMBER</t>
  </si>
  <si>
    <t>Social media platforms are a place where people look for information and social support for mental health, resulting in both positive and negative effects on users. TikTok has gained notoriety for an abundance of mental health content and discourse. We present findings from a semi-structured interview study with 16 participants about mental health content and participants' perceptions of community on TikTok. We find that TikTok's community structure is permeable, allowing for self-discovery and understanding not found in traditional online communities. However, participants are wary of mental health information due to conflicts between a creator's vulnerability and credibility. Our interviews suggest that the For You Page is a runaway train that encourages diverse community and content engagement but also displays harmful content that participants feel they cannot escape. We propose design implications to support better mental health, as well as implications for social computing research on community in algorithmic landscapes.</t>
  </si>
  <si>
    <t>[Milton, Ashlee; Ajmani, Leah; Chancellor, Stevie] Univ Minnesota, GroupLens, Minneapolis, MN 55455 USA; [DeVito, Michael Ann] Univ Colorado Boulder, Boulder, CO USA</t>
  </si>
  <si>
    <t>University of Minnesota System; University of Minnesota Twin Cities; University of Colorado System; University of Colorado Boulder</t>
  </si>
  <si>
    <t>Milton, A (corresponding author), Univ Minnesota, GroupLens, Minneapolis, MN 55455 USA.</t>
  </si>
  <si>
    <t>milto064@umn.edu; ajman004@umn.edu; michaelann@colorado.edu; steviec@umn.edu</t>
  </si>
  <si>
    <t>DeVito, Michael Ann/0000-0003-1001-2307; Milton, Ashlee/0000-0002-0320-6122; Ajmani, Leah/0000-0003-2468-6070; Chancellor, Stevie/0000-0003-0620-0903</t>
  </si>
  <si>
    <t>978-1-4503-9421-5</t>
  </si>
  <si>
    <t>10.1145/3544548.3581489</t>
  </si>
  <si>
    <t>Computer Science, Information Systems; Computer Science, Theory &amp; Methods; Robotics</t>
  </si>
  <si>
    <t>Computer Science; Robotics</t>
  </si>
  <si>
    <t>BV5HH</t>
  </si>
  <si>
    <t>WOS:001048393806018</t>
  </si>
  <si>
    <t>Toni, M; Mattia, G</t>
  </si>
  <si>
    <t>Awdziej, M; Tkaczyk, J</t>
  </si>
  <si>
    <t>Toni, Martina; Mattia, Giovanni</t>
  </si>
  <si>
    <t>Consumer Brand Engagement (CBE) in a Digital Environment: An Application to TikTok</t>
  </si>
  <si>
    <t>EXTENDING BOUNDARIES: THE IMPACT OF THE DIGITAL WORLD ON CONSUMERS AND MARKETING</t>
  </si>
  <si>
    <t>Regional Conference of the European-Marketing-Academy</t>
  </si>
  <si>
    <t>SEP 22-24, 2021</t>
  </si>
  <si>
    <t>Warsaw, POLAND</t>
  </si>
  <si>
    <t>European Mkt Acad</t>
  </si>
  <si>
    <t>consumer brand engagement; social media; digital marketing strategy;</t>
  </si>
  <si>
    <t>SOCIAL MEDIA; CUSTOMER ENGAGEMENT; INVOLVEMENT</t>
  </si>
  <si>
    <t>This chapter analyses the Consumer Brand Engagement (CBE) phenomenon on social media and its effect on generating interest in a company and its products. This research focuses on TikTok that is especially suitable for marketing strategy due to the viral nature of its contents. Currently, TikTok is the top social media platform that has been adopted by marketers to reach and engage with their target audience, thus fostering consumer engagement. The research analyses McDonald's digital strategy launched on TikTok for promoting one of its wellknown products. This research proposes a conceptual model based on the CBE scale, tested through a quantitative survey, by administering a questionnaire to 181 TikTok users. The PLS approach was employed to test the model for assessing the adequacy of the measurements and for evaluating the structural model. The hypotheses have been confirmed, thus theoretical and managerial implications are provided.</t>
  </si>
  <si>
    <t>[Toni, Martina; Mattia, Giovanni] Univ Roma Tre, Dept Business Studies, Rome, Italy</t>
  </si>
  <si>
    <t>Roma Tre University</t>
  </si>
  <si>
    <t>Toni, M (corresponding author), Univ Roma Tre, Dept Business Studies, Rome, Italy.</t>
  </si>
  <si>
    <t>martina.toni@uniroma3.it; giovanni.mattia@uniroma3.it</t>
  </si>
  <si>
    <t>KOZMINSKI UNIV</t>
  </si>
  <si>
    <t>Warsaw</t>
  </si>
  <si>
    <t>57/59 Jagiellonska St., Warsaw, POLAND</t>
  </si>
  <si>
    <t>978-83-66502-06-2</t>
  </si>
  <si>
    <t>Business, Finance; Management; Psychology, Social</t>
  </si>
  <si>
    <t>Business &amp; Economics; Psychology</t>
  </si>
  <si>
    <t>BU8BX</t>
  </si>
  <si>
    <t>WOS:000946126600005</t>
  </si>
  <si>
    <t>Mazumdar, S</t>
  </si>
  <si>
    <t>Mazumdar, Suruchi</t>
  </si>
  <si>
    <t>Loving the enemy app: Resistance versus professionalism in 'post-TikTok' India</t>
  </si>
  <si>
    <t>Global technology; TikTok; Chinese digital media; creativity; entrepreneurship; professionalism; resistance; platform economy</t>
  </si>
  <si>
    <t>LABOR; PERSPECTIVES</t>
  </si>
  <si>
    <t>This article addresses how the Chinese short video-sharing platform TikTok, a key actor of global platform economy and its disconnect or subsequent ban influenced and changed ideas of creativity in India. Through qualitative interviews and content analysis of TikTok videos (available on YouTube), YouTube interviews of content creators and newspaper articles of the app ban, this paper suggests that TikTok, as a 'memetic text' and a site of 'vernacular creativity', encourages both `everyday acts of resistance' and professionalism/entrepreneurial citizenship. While the app ban signposts digital 'imitation' publics' transition from 'low' to 'high' technology environments, the values of professionalism and entrepreneurship remain constant. The paper shows the tension between professionalism/entrepreneurship and the 'everyday acts of resistance' to state-led technocratic vision. It argues against the disconnect between democratisation and 'demoticisation' of technology.</t>
  </si>
  <si>
    <t>[Mazumdar, Suruchi] OP Jindal Global Univ, Sonipat Narela Rd, Sonipat 131001, India</t>
  </si>
  <si>
    <t>O.P. Jindal Global University</t>
  </si>
  <si>
    <t>Mazumdar, S (corresponding author), OP Jindal Global Univ, Sonipat Narela Rd, Sonipat 131001, India.</t>
  </si>
  <si>
    <t>suruchimazumdar08@gmail.com</t>
  </si>
  <si>
    <t>Mazumdar, Suruchi/0000-0003-0995-5455</t>
  </si>
  <si>
    <t>10.1177/20594364221116018</t>
  </si>
  <si>
    <t>4J9KB</t>
  </si>
  <si>
    <t>WOS:000851580400006</t>
  </si>
  <si>
    <t>Eatz, TA; Kalavar, M; Birnhak, M; Al-Khersan, H; Sridhar, J; Cavuoto, KM</t>
  </si>
  <si>
    <t>Eatz, Tiffany A.; Kalavar, Meghana; Birnhak, Michael; Al-Khersan, Hasenin; Sridhar, Jayanth; Cavuoto, Kara M.</t>
  </si>
  <si>
    <t>The Role of Social Media in Strabismus Surgical Experience</t>
  </si>
  <si>
    <t>JOURNAL OF PEDIATRIC OPHTHALMOLOGY &amp; STRABISMUS</t>
  </si>
  <si>
    <t>Purpose: To understand patients' strabismus surgery experience, including its impact on patients' appearance and psychosocial factors such as anxiety and depression, via trends on popular social media platforms.Methods:TikTok and Instagram were searched for the following post hashtags: #strabismus, #strabismussurgery, #crosseyed, and #lazyeye. Data regarding date of post, username, gender, city, state, United States or international location, surgical status (preoperative, perioperative, or postoperative), tone (positive or negative), place of treatment, type of post (photo or video), number of likes/views, and number of followers were recorded for statistical analysis.Results: A total of 790 posts (400 TikTok, 390 Instagram) were included. The majority (87.8%) had a positive tone, particularly for Instagram (Instagram = 97.7%, TikTok = 78.3%, P &lt; .01). TikTok had significantly more likes/follower (P &lt; .01), as did negative posts (P &lt; .01). #Lazyeye gained significantly more traction than other hashtags (range: P &lt; .001 to .006). There were no differences in likes/follower for treatment phase (preoperative/perioperative/postoperative), gender, or relative age of poster (adult/parent/child). Conclusions:These findings demonstrated that TikTok and Instagram users tend to share positive strabismus surgical experiences; however, negative posts were associated with more interactive responses from viewers. Colloquial hashtags (eg, #lazyeye) were more likely to gain traction than medical terms. TikTok posts were associated with more engagement than Instagram, which suggests TikTok may be a better platform going forward for patient outreach.</t>
  </si>
  <si>
    <t>[Eatz, Tiffany A.] Univ Miami, Miller Sch Med, Miami, FL USA; [Kalavar, Meghana] Ohio State Univ, Havener Eye Inst, Columbus, OH USA; [Birnhak, Michael] Univ Miami, Coral Gables, FL USA; [Al-Khersan, Hasenin; Sridhar, Jayanth; Cavuoto, Kara M.] Univ Miami, Bascom Palmer Eye Inst, Miller Sch Med, Dept Ophthalmol, Miami, FL USA; [Cavuoto, Kara M.] Univ Miami, Bascom Palmer Eye Inst, Miller Sch Med, 900 NW 17th St, Miami, FL 33136 USA</t>
  </si>
  <si>
    <t>University of Miami; University System of Ohio; Ohio State University; University of Miami; University of Miami; Bascom Palmer Eye Institute; Bascom Palmer Eye Institute; University of Miami</t>
  </si>
  <si>
    <t>Cavuoto, KM (corresponding author), Univ Miami, Bascom Palmer Eye Inst, Miller Sch Med, 900 NW 17th St, Miami, FL 33136 USA.</t>
  </si>
  <si>
    <t>kcavuoto@med.miami.edu</t>
  </si>
  <si>
    <t>SLACK INC</t>
  </si>
  <si>
    <t>THOROFARE</t>
  </si>
  <si>
    <t>6900 GROVE RD, THOROFARE, NJ 08086 USA</t>
  </si>
  <si>
    <t>0191-3913</t>
  </si>
  <si>
    <t>1938-2405</t>
  </si>
  <si>
    <t>J PEDIAT OPHTH STRAB</t>
  </si>
  <si>
    <t>J. Pediatr. Ophthalmol. Strabismus.</t>
  </si>
  <si>
    <t>10.3928/01913913-20230323-02</t>
  </si>
  <si>
    <t>Ophthalmology; Pediatrics</t>
  </si>
  <si>
    <t>FI2C5</t>
  </si>
  <si>
    <t>WOS:000980737100001</t>
  </si>
  <si>
    <t>Boling, KS; Habecker, P; Kirkpatrick, CE; Hample, J; Subramanian, R; Schlosser, A; Jones, V</t>
  </si>
  <si>
    <t>Boling, Kelli S.; Habecker, Patrick; Kirkpatrick, Ciera E.; Hample, Jessica; Subramanian, Roma; Schlosser, Allison; Jones, Valerie</t>
  </si>
  <si>
    <t>Addiction is Not a Choice. #narcansaveslives: Collective Voice in Harm Reduction on TikTok</t>
  </si>
  <si>
    <t>Using 100 videos posted to TikTok by harm reduction creators with the hashtags #narcansaveslives and #naloxonesaveslives, this study examines who is posting, what they are saying, and how they are explaining Narcan/naloxone to their followers. Incorporating the concept of reverse agenda setting, we examine how, through hashtags, TikTok creators can set the agenda for what is important to discuss in the harm reduction space. Findings demonstrate that harm reduction creators have developed a collective voice and created an affective public, attempting to educate others, shed stigma, and normalize the conversation around harm reduction. These creators are using TikTok to educate followers about the prevalence of opioid use, the availability of Narcan/naloxone, correcting misinformation, and discussing the reality of recovery. Echoing prior studies, this research illustrates how TikTok has become an essential resource for health questions, including opioid use. Practical implications are also discussed.</t>
  </si>
  <si>
    <t>[Boling, Kelli S.; Kirkpatrick, Ciera E.; Jones, Valerie] Univ Nebraska Lincoln, Coll Journalism &amp; Mass Commun, 200 Centennial Mall N, Lincoln, NE 68508 USA; [Habecker, Patrick] Univ Nebraska Lincoln, Rural Drug Addict Ctr, Lincoln, NE USA; [Hample, Jessica] Univ Nebraska Kearney, Coll Arts &amp; Sci, Dept Commun, Kearney, NE USA; [Subramanian, Roma] Univ Nebraska Omaha, Coll Commun Fine Arts &amp; Media, Omaha, NE USA; [Schlosser, Allison] Univ Nebraska Omaha, Coll Arts &amp; Sci, Med Anthropol, Omaha, NE USA</t>
  </si>
  <si>
    <t>University of Nebraska System; University of Nebraska Lincoln; University of Nebraska System; University of Nebraska Lincoln; University of Nebraska System; University Nebraska Kearney; University of Nebraska System; University of Nebraska Omaha; University of Nebraska System; University of Nebraska Omaha</t>
  </si>
  <si>
    <t>Boling, KS (corresponding author), Univ Nebraska Lincoln, Coll Journalism &amp; Mass Commun, 200 Centennial Mall N, Lincoln, NE 68508 USA.</t>
  </si>
  <si>
    <t>kelli.boling@unl.edu</t>
  </si>
  <si>
    <t>Boling, Kelli/AAU-3264-2020; Kirkpatrick, Ciera/GOG-8671-2022</t>
  </si>
  <si>
    <t>Subramanian, Roma/0000-0002-7916-0378; Kirkpatrick, Ciera/0000-0002-2598-753X; Schlosser, Allison/0000-0002-2930-963X; Habecker, Patrick/0000-0003-4435-1593; Boling, Kelli/0000-0003-1236-8761</t>
  </si>
  <si>
    <t>Nebraska Research Initiative by the University of Nebraska System</t>
  </si>
  <si>
    <t>This work was supported by the Nebraska Research Initiative administered by the University of Nebraska System.</t>
  </si>
  <si>
    <t>2024 JUN 12</t>
  </si>
  <si>
    <t>10.1080/10410236.2024.2366709</t>
  </si>
  <si>
    <t>TU7C1</t>
  </si>
  <si>
    <t>WOS:001243828700001</t>
  </si>
  <si>
    <t>Vizcaíno-Verdú, A</t>
  </si>
  <si>
    <t>Vizcaino-Verdu, Arantxa</t>
  </si>
  <si>
    <t>Decolonising the music on TikTok: Let's duet!</t>
  </si>
  <si>
    <t>music; decolonisation; TikTok; cultural industry; duet; cover</t>
  </si>
  <si>
    <t>EMPOWERMENT; MEDIA</t>
  </si>
  <si>
    <t>Currently, social media such as TikTok are changing the mode in which musical narratives spread worldwide. In this predominantly musical short-video app, users share a wide range of creative content on a daily basis without moving from their own socio-cultural backgrounds. In this sense, the platform facilitates the creation of non-western migrant content, integrating values that reflect cultural, social, rural, and oriental development. Based on 510 music duets created by TikTok users, this study explores how the platform empowers the decolonisation of the music industry, previously ruled by Western recording studios. In order to explore user-generated content around the #SingWithMe challenge, a semiotic analysis was conducted. The results point towards a process of rediscovery and healing, dreaming, engagement and action for industrial emancipation. It is concluded that the TikTok duet is a pivotal engaging tool awakening a sort of unconscious popular user-driven decentralisation.</t>
  </si>
  <si>
    <t>[Vizcaino-Verdu, Arantxa] Univ Int La Rioja, Logrono, Spain</t>
  </si>
  <si>
    <t>Universidad Internacional de La Rioja (UNIR)</t>
  </si>
  <si>
    <t>Vizcaíno-Verdú, A (corresponding author), Univ Int La Rioja, Logrono, Spain.</t>
  </si>
  <si>
    <t>arantxa.vizcaino@unir.net</t>
  </si>
  <si>
    <t>Vizcaíno-Verdú, Arantxa/AGW-9688-2022; Vizcaino-Verdu, Arantxa/Q-4126-2018</t>
  </si>
  <si>
    <t>Vizcaino-Verdu, Arantxa/0000-0001-9399-2077</t>
  </si>
  <si>
    <t>10.14198/MEDCOM.24949</t>
  </si>
  <si>
    <t>WOS:001248434900020</t>
  </si>
  <si>
    <t>Bhandari, A; Bimo, S</t>
  </si>
  <si>
    <t>Bhandari, Aparajita; Bimo, Sara</t>
  </si>
  <si>
    <t>Why's Everyone on TikTok Now? The Algorithmized Self and the Future of Self-Making on Social Media</t>
  </si>
  <si>
    <t>social media; TikTok; algorithms; self-making; self-representation</t>
  </si>
  <si>
    <t>IDENTITY; PHOTOGRAPHY</t>
  </si>
  <si>
    <t>The video-sharing social media platform TikTok has experienced a rapid rise in use since its release in 2016. While its popularity is undeniable, at the first glance, it seems to offer features already available on previously existing and well-established platforms such as Instagram, YouTube, and Facebook. To understand processes of self-making on TikTok, we undertake two methods of data collection: a walkthrough of the app and its surrounding environment, and 14 semistructured participant interviews. A qualitative analysis of this data finds three distinct themes emerge: (I) awareness of the algorithm, (2) content without context, and (3) self-creation across platforms. These results show that TikTok departs from existing platforms in the model of self-making it engenders, which we term the algorithmized self -a complication of the preexisting networked self framework.</t>
  </si>
  <si>
    <t>[Bhandari, Aparajita; Bimo, Sara] Cornell Univ, Commun, Ithaca, NY 14853 USA; [Bhandari, Aparajita; Bimo, Sara] York Univ, Commun &amp; Culture, Toronto, ON, Canada</t>
  </si>
  <si>
    <t>Cornell University; York University - Canada</t>
  </si>
  <si>
    <t>Bhandari, A (corresponding author), Cornell Univ, 100 Mann Dr, Ithaca, NY 14853 USA.</t>
  </si>
  <si>
    <t>ab2725@cornell.edu</t>
  </si>
  <si>
    <t>Bhandari, Aparajita/0000-0002-4844-209X</t>
  </si>
  <si>
    <t>10.1177/20563051221086241</t>
  </si>
  <si>
    <t>0A2IW</t>
  </si>
  <si>
    <t>WOS:000773784400001</t>
  </si>
  <si>
    <t>Tam, J; Porter, EK; Lee, UJ</t>
  </si>
  <si>
    <t>Tam, Justina; Porter, Emily K.; Lee, Una J.</t>
  </si>
  <si>
    <t>Examination of Information and Misinformation about Urinary Tract Infections on TikTok and YouTube</t>
  </si>
  <si>
    <t>UROLOGY</t>
  </si>
  <si>
    <t>Article; Proceedings Paper</t>
  </si>
  <si>
    <t>Annual Meeting of the American-Urological-Association (AUA)</t>
  </si>
  <si>
    <t>SEP 10-13, 2021</t>
  </si>
  <si>
    <t>Amer Urol Assoc</t>
  </si>
  <si>
    <t>OBJECTIVE To describe and assess the quality and accuracy of the most highly viewed YouTube and TikTok posts related to urinary tract infections (UTIs). Social media is increasingly a resource for health information. YouTube and TikTok videos are highly utilized and are potentially a source of help-ful information or misinformation. METHODS During January 2021, UTI was searched within YouTube and TikTok and the most relevant videos were identified and analyzed for their content. Accuracy of scientific information, possible misinformation, and credibility of the videos was rated independently by three reviewers. Posts were categorized as educational/informational, shared experience, humor/entertainment, and home remedies/alternative therapies. RESULTS AND CONCLUSIONS In 50 YouTube and 50 TikTok videos respectively, the median number of views was 49K and 1.4M, the median number of likes was 296 and 58K, and the median number of comments was 50 and 616. The proportion of female to male presenters was equal for YouTube videos while 94% of those from TikTok were female. Overall, YouTube videos had higher median scores for scientific information, credibility, and less misinformation compared to TikTok. YouTube videos with more views, likes, and comments tended to have lower scores in all categories and more misinformation. More presenters were medical professionals on YouTube videos than those on TikTok. While videos from both plat-forms contained misinformation, none promoted misinformation that would cause harm to health. Healthcare providers should be aware of the potential influence of social media as patients are getting health information from many sources. UROLOGY 168: 35-40, 2022. (c) 2022 Elsevier Inc.</t>
  </si>
  <si>
    <t>[Tam, Justina; Porter, Emily K.; Lee, Una J.] Virginia Mason Franciscan Hlth, Sect Urol &amp; Renal Transplantat, Seattle, WA USA; [Lee, Una J.] Virginia Mason Franciscan Hlth, Sect Urol &amp; Renal Transplantat, 1100 Ninth Ave,C7-URO, Seattle, WA 98101 USA</t>
  </si>
  <si>
    <t>Lee, UJ (corresponding author), Virginia Mason Franciscan Hlth, Sect Urol &amp; Renal Transplantat, 1100 Ninth Ave,C7-URO, Seattle, WA 98101 USA.</t>
  </si>
  <si>
    <t>una.lee@virginiamason.org</t>
  </si>
  <si>
    <t>Lee, Una/0000-0003-1128-5083</t>
  </si>
  <si>
    <t>0090-4295</t>
  </si>
  <si>
    <t>1527-9995</t>
  </si>
  <si>
    <t>Urology</t>
  </si>
  <si>
    <t>10.1016/j.urology.2022.06.030</t>
  </si>
  <si>
    <t>6L4IF</t>
  </si>
  <si>
    <t>WOS:000888147000008</t>
  </si>
  <si>
    <t>Sheak, E; Abdulrazak, S</t>
  </si>
  <si>
    <t>Sheak, Elvin; Abdulrazak, Sham</t>
  </si>
  <si>
    <t>THE INFLUENCE OF SOCIAL MEDIA MARKETING ACTIVITIES ON TIKTOK IN RAISING BRAND AWARENESS</t>
  </si>
  <si>
    <t>MARKET-TRZISTE</t>
  </si>
  <si>
    <t>social media marketing activities; TikTok; brand awareness; entertainment</t>
  </si>
  <si>
    <t>OF-MOUTH EWOM; CREATIVE STRATEGIES; CONSUMER ENGAGEMENT; PURCHASE INTENTION; MOTIVATIONS; EQUITY; FRAMEWORK; YOUTUBE; SITES; USER</t>
  </si>
  <si>
    <t>Purpose - Since its recent global rollout, TikTok has amassed over 1 billion users worldwide and remains one of the most downloaded social media apps. TikTok's growing popularity presents yet another potential chan-nel for raising brand awareness on social media. Howev-er, there is very little insight in that regard. Therefore, the purpose of this study is to examine the effect of social media marketing activities on TikTok in raising brand awareness. Design/Methodology/Approach - A convenient sam-pling procedure was adopted to collect data from 220 respondents using a structured questionnaire based on the social media marketing activities (SMMA) model. Multiple linear regression analysis was conducted using the IBM SPSS software.Findings and implications - Overall, the results sug-gest that SMMA on TikTok have a positive influence on brand awareness. Entertainment was found to be the most significant dimension, while customization was found not to have a significant influence in raising brand awareness.Limitations - This study adopted a convenient sam-pling procedure and was limited to Malaysian consum-ers. Its findings may not be generalizable to other con-sumer markets.Originality - This study is an exploratory step towards assisting brands in utilizing TikTok to raise brand aware-ness.</t>
  </si>
  <si>
    <t>[Sheak, Elvin; Abdulrazak, Sham] Sunway Univ, Business Sch, 5,Jalan Univ,Bandar Sunway, Selangor 47500, Malaysia</t>
  </si>
  <si>
    <t>Sheak, E (corresponding author), Sunway Univ, Business Sch, 5,Jalan Univ,Bandar Sunway, Selangor 47500, Malaysia.</t>
  </si>
  <si>
    <t>esheakhy@gmail.com; sr.abdulrazak@gmail.com</t>
  </si>
  <si>
    <t>CROMAR</t>
  </si>
  <si>
    <t>TRZISTE</t>
  </si>
  <si>
    <t>CROMAR, TRZISTE, 00000, CROATIA</t>
  </si>
  <si>
    <t>0353-4790</t>
  </si>
  <si>
    <t>1849-1383</t>
  </si>
  <si>
    <t>MARK-TRZ</t>
  </si>
  <si>
    <t>Mark.-Trz.</t>
  </si>
  <si>
    <t>10.22598/mt/2023.35.1.93</t>
  </si>
  <si>
    <t>K3CB2</t>
  </si>
  <si>
    <t>WOS:001015239500007</t>
  </si>
  <si>
    <t>Roberts, JA; David, ME</t>
  </si>
  <si>
    <t>Roberts, James A.; David, Meredith E.</t>
  </si>
  <si>
    <t>Instagram and TikTok Flow States and Their Association with Psychological Well-Being</t>
  </si>
  <si>
    <t>TikTok; Instagram; flow states; Uses and Gratifications Theory; psychological well-being; cluster analysis; adults</t>
  </si>
  <si>
    <t>SOCIAL MEDIA; GRATIFICATIONS; COMMUNICATION; DEPRESSION; ANXIETY; USAGE</t>
  </si>
  <si>
    <t>Despite their growing popularity, little research has focused on the association between Instagram and TikTok use and psychological well-being. Informed by Uses and Gratifications Theory, the present study investigates the flow states experienced when using each social media platform and whether these flow states differentially impact user well-being. A flow state is achieved when people are so engrossed in an activity that little else seems to matter to them and they will often continue the activity despite its negative consequences. Based upon a survey of adult Instagram (n = 195, M-age = 38) and TikTok users (n = 225, M-age = 37), the present study identified four unique clusters of users for both platforms based upon the levels of five flow dimensions: focused attention, curiosity, enjoyment, telepresence, and time distortion. Results found that TikTok users reported higher levels of overall flow than Instagram users. TikTok users also reported higher levels of the flow dimensions enjoyment and time distortion. The flow dimension of telepresence (immersion in a world created by the social media application) for both TikTok and Instagram users was associated with higher levels of depression and anxiety. These social media may provide an escape from everyday worries for users, although a suboptimal coping strategy. Whether Instagram and TikTok use are but improved means to an unimproved end is an important question that requires additional research.</t>
  </si>
  <si>
    <t>[Roberts, James A.; David, Meredith E.] Baylor Univ, Hankamer Sch Business, Mkt Dept, Waco, TX USA; [Roberts, James A.] Baylor Univ, Hankamer Sch Business, Mkt Dept, 1 Bear Pl 98007, Waco, TX 76798 USA</t>
  </si>
  <si>
    <t>Baylor University; Baylor University</t>
  </si>
  <si>
    <t>Roberts, JA (corresponding author), Baylor Univ, Hankamer Sch Business, Mkt Dept, 1 Bear Pl 98007, Waco, TX 76798 USA.</t>
  </si>
  <si>
    <t>jim_roberts@baylor.edu</t>
  </si>
  <si>
    <t>David, Meredith/0000-0002-3660-8873</t>
  </si>
  <si>
    <t>FEB 1</t>
  </si>
  <si>
    <t>10.1089/cyber.2022.0117</t>
  </si>
  <si>
    <t>9D2LW</t>
  </si>
  <si>
    <t>WOS:000921679200001</t>
  </si>
  <si>
    <t>Tham, A; Chen, SH; Durbidge, L</t>
  </si>
  <si>
    <t>Tham, Aaron; (Ava) Chen, Shu-Hsiang; Durbidge, Levi</t>
  </si>
  <si>
    <t>A pentadic analysis of TikTok marketing in tourism: The case of Penang, Malaysia</t>
  </si>
  <si>
    <t>TOURIST STUDIES</t>
  </si>
  <si>
    <t>destination image; micro-videos; social media; travel influencers; user generated contents</t>
  </si>
  <si>
    <t>SOCIAL MEDIA; INTERNATIONAL TOURISTS; DESTINATION IMAGE; SATISFACTION</t>
  </si>
  <si>
    <t>Several destinations have jumped on the TikTok bandwagon to explore consumer reactions and motivations towards visit intentions, though these are largely limited to point-in-time surveys. Using the example of Penang, Malaysia, this research contributes to the paucity of knowledge surrounding TikTok in tourism by analysing contents generated from the destination management organisation, travel influencers, and other tourists participating in a TikTok competition for the destination. Drawing from Burke's Pentadic analysis, the findings reveal the sociological interactions where the performativity of the short videos are staged by different users with the destination as the backdrop. Theoretical and managerial implications are highlighted to inform current and future practices of TikTok (re)presentation in tourism, and how the platform can be used distinctively to socially interact with various target markets and stakeholders.</t>
  </si>
  <si>
    <t>[Tham, Aaron] Univ Sunshine Coast, Sch Business &amp; Creat Ind, Tourism Leisure &amp; Events Management, Sunshine Coast, Australia; [(Ava) Chen, Shu-Hsiang] Xian Jiaotong Liverpool Univ XJTLU, Xian, Peoples R China; [Durbidge, Levi] Univ Sunshine Coast, Sunshine Coast, Australia</t>
  </si>
  <si>
    <t>University of the Sunshine Coast; Xi'an Jiaotong-Liverpool University; University of the Sunshine Coast</t>
  </si>
  <si>
    <t>Tham, A (corresponding author), Univ Sunshine Coast, Sch Business &amp; Creat Ind, 90 Sippy Downs Dr, Sippy Downs, Qld 4556, Australia.</t>
  </si>
  <si>
    <t>mtham@usc.edu.au</t>
  </si>
  <si>
    <t>Durbidge, Levi/ADW-9016-2022; Tham, Aaron/AFM-5968-2022</t>
  </si>
  <si>
    <t>Tham, Aaron/0000-0003-1408-392X; Durbidge, Levi/0000-0002-5965-3386</t>
  </si>
  <si>
    <t>1468-7976</t>
  </si>
  <si>
    <t>1741-3206</t>
  </si>
  <si>
    <t>TOURIST STUD</t>
  </si>
  <si>
    <t>Tour. Stud.</t>
  </si>
  <si>
    <t>10.1177/14687976231218483</t>
  </si>
  <si>
    <t>JC5O0</t>
  </si>
  <si>
    <t>WOS:001125890400001</t>
  </si>
  <si>
    <t>López, NA; Sidorenko-Bautista, P; Giacomelli, F</t>
  </si>
  <si>
    <t>Lopez, Nadia Alonso; Sidorenko-Bautista, Pavel; Giacomelli, Fabio</t>
  </si>
  <si>
    <t>Beyond challenges and viral dance moves : TikTok as a vehicle for disinformation and fact-checking in Spain, Portugal, Brazil, and the USA</t>
  </si>
  <si>
    <t>disinformation; TikTok; fake news; fact-checking</t>
  </si>
  <si>
    <t>FAKE-NEWS</t>
  </si>
  <si>
    <t>This paper analyses the narrative of disinformation disseminated through the social net-work TikTok, a network which is popular at a global level and whose users are mainly young or very young. To do so, a study was carried out on the content of publications on TikTok in four countries with different idiosyncrasies and national realities: Spain, Por-tugal, Brazil, and the United States. Interviews were also conducted with fact-checking agencies on the potential for misinformation and fact-checking potential on this social network. The results suggest that due to its characteristics as a fresh, visual network with easily shareable and viral content, TikTok is a network that facilitates the spread of disin-formation, but which in turn is a tool for debunking hoaxes beyond the range of action of conventional media.</t>
  </si>
  <si>
    <t>[Lopez, Nadia Alonso] Univ Politecn Valencia, Valencia, Spain; [Sidorenko-Bautista, Pavel] Univ Francisco Vitoria, Vitoria, Spain; [Giacomelli, Fabio] Univ Beira Interior, Covilha, Portugal</t>
  </si>
  <si>
    <t>Universitat Politecnica de Valencia; Universidad Francisco de Vitoria; Universidade da Beira Interior</t>
  </si>
  <si>
    <t>López, NA (corresponding author), Univ Politecn Valencia, Valencia, Spain.</t>
  </si>
  <si>
    <t>naallo1@har.upv.es; pavel.sidorenko@ufv.es; fabio@ubi.pt</t>
  </si>
  <si>
    <t>Bautista, Pavel/ABF-3242-2020; Alonso-López, Nadia/ABA-2566-2022</t>
  </si>
  <si>
    <t>Giacomelli, Fabio/0000-0003-3261-0041; Alonso Lopez, Nadia/0000-0002-5220-2232</t>
  </si>
  <si>
    <t>CERDANYOLA DEL VALLES, BARCELONA</t>
  </si>
  <si>
    <t>VICERECTORAT RELACIONS INSTITUCIONALS &amp; CULTURA, UNIV VALENCIA, VICERECTORAT INVESTIGACIO, CERDANYOLA DEL VALLES, BARCELONA, 08193, SPAIN</t>
  </si>
  <si>
    <t>10.5565/rev/analisi.3411</t>
  </si>
  <si>
    <t>XS0QB</t>
  </si>
  <si>
    <t>Green Submitted, gold</t>
  </si>
  <si>
    <t>WOS:000732622000005</t>
  </si>
  <si>
    <t>Wojtara, MS; Guinto, TM; Adebogun, DK; Uwishema, O</t>
  </si>
  <si>
    <t>Wojtara, Magda S.; Guinto, Therese M.; Adebogun, Dorcas K.; Uwishema, Olivier</t>
  </si>
  <si>
    <t>Exploring Digital Dermatology: An Analysis of Ichthyosis Content on TikTok</t>
  </si>
  <si>
    <t>skin disease/dermatology; patient-centered; social media education; ichthyosis; tiktok</t>
  </si>
  <si>
    <t>Background TikTok is among the most popular social media sites, and its utilization for health information is growing each day. The present study assesses the popularity and quality of the top 100 most -liked videos on TikTok tagged with #ichthyosis. This study aims to do so by assessing contributions from physician, and nonphysician sources (such as from patients) to guide healthcare professionals interested in leveraging this platform for public health. Methodology A cross-sectional analysis of the top 100 most -liked videos tagged with #ichythosis on TikTok as of January 3, 2024, was conducted. The parameters assessed for this study include observable characteristics, content type, and whether the creator was a physician or nonphysician. The quality of the content was measured using the DISCERN scale. Results Based on these results, 14 of the top 100 videos were posted by physicians with 1,912,975 as the mean number of views. There were 86 videos posted by nonphysician creators averaging 2,675,341 views. Videos posted by nonphysician creators had a higher average number of views, number of likes, and number of comments but less average saves. Videos made by physicians and educational content had the highest average DISCERN scores, whereas nonphysician, awareness, and personal experience content had the lowest average DISCERN scores. Conclusions Physicians are deemed trustworthy, reliable sources of healthcare -related information on TikTok. This study emphasizes the importance of physicians continuing to provide reliable, evidence -based health information on social media platforms such as TikTok.</t>
  </si>
  <si>
    <t>[Wojtara, Magda S.] Univ Michigan, Dept Human Genet, Ann Arbor, MI 48109 USA; [Guinto, Therese M.] Mapu Malayan Digital Coll, Sch Informat Technol, Quezon City, Philippines; [Adebogun, Dorcas K.] Virginia Commonwealth Univ, Sch Med, Richmond, VA USA; [Uwishema, Olivier] Karadeniz Tech Univ, Fac Med, Trabzon, Turkiye</t>
  </si>
  <si>
    <t>University of Michigan System; University of Michigan; Virginia Commonwealth University; Karadeniz Technical University</t>
  </si>
  <si>
    <t>Wojtara, MS (corresponding author), Univ Michigan, Dept Human Genet, Ann Arbor, MI 48109 USA.</t>
  </si>
  <si>
    <t>magda.wojtara@amsa.org</t>
  </si>
  <si>
    <t>UWISHEMA, Olivier/AAR-6677-2021</t>
  </si>
  <si>
    <t>APR 1</t>
  </si>
  <si>
    <t>e57401</t>
  </si>
  <si>
    <t>10.7759/cureus.57401</t>
  </si>
  <si>
    <t>OJ9U5</t>
  </si>
  <si>
    <t>WOS:001207029100030</t>
  </si>
  <si>
    <t>Wagner, KB</t>
  </si>
  <si>
    <t>Wagner, Keith B.</t>
  </si>
  <si>
    <t>TikTok and its mediatic split: the promotion of ecumenical user-generated content alongside Sinocentric media globalization</t>
  </si>
  <si>
    <t>China; ecumenical user-generated content; cultural globalization; platforms; TikTok; UNESCO media principles</t>
  </si>
  <si>
    <t>TikTok has ousted Google as the world's favorite online destination in 2021. As China's first emergent social media app making its mark across the Global North and South, it has prompted a shift in our global mediascape. Following in the footsteps of YouTube and Instagram after it, TikTok is facilitating new identities through User-Generated Content (UGC) while challenging the hegemony of American-led platform culture. UGC analyzed in this article views it unabashedly as a youthful narcissism through which a form of self-reinvention online is created. This is culturally surmised as an intriguing new form of global creativity that I label ecumenical UGC. Yet, scholarship has largely examined TikTok through empirical and content analysis frameworks only, negating the compelling cultural studies issues evinced in this trendy media. In conjunction with discussions of TikTok's meteoric rise, this article also probes how the Chinese company that owns this app bends several UNESCO media principles, creating its mediatic split with its twin, Douyin operating only in the PRC. By laying out this other path, one detects a shrinkage of cultural globalization in the pandemic era as TikTok becomes a carrier of 'underglobalization' flows, a disrupter and provider of algorithmic content, all going under not against older notions of global culture.</t>
  </si>
  <si>
    <t>[Wagner, Keith B.] Sungshin Womens Univ, Seoul, South Korea</t>
  </si>
  <si>
    <t>Sungshin Women's University</t>
  </si>
  <si>
    <t>Wagner, KB (corresponding author), Sungshin Womens Univ, Dept Media Commun, 2 Bomun Ro 34a Gil, Seoul 02844, South Korea.</t>
  </si>
  <si>
    <t>keithbarrowswagner17@gmail.com</t>
  </si>
  <si>
    <t>10.1177/01634437221136006</t>
  </si>
  <si>
    <t>X4OY2</t>
  </si>
  <si>
    <t>WOS:000903963600001</t>
  </si>
  <si>
    <t>Wanberg, LJ; Pearson, DR</t>
  </si>
  <si>
    <t>Wanberg, Lindsey J.; Pearson, David R.</t>
  </si>
  <si>
    <t>Evaluating the Disease-Related Experiences of TikTok Users With Lupus Erythematosus: Qualitative and Content Analysis</t>
  </si>
  <si>
    <t>lupus; TikTok; autoimmune disease; qualitative research; quality of life</t>
  </si>
  <si>
    <t>SOCIAL SUPPORT; HEALTH-CARE; OF-LIFE; FATIGUE; PERSPECTIVE; OUTCOMES; WOMEN; RACE</t>
  </si>
  <si>
    <t>Background: Lupus erythematosus (LE) is an autoimmune condition that is associated with significant detriments to quality of life and daily functioning. TikTok, a popular social networking platform for sharing short videos, provides a unique opportunity to understand experiences with LE within a nonclinical sample, a population that is understudied in LE research. This is the first qualitative study that explores LE experiences using the TikTok platform. Objective: This study aims to evaluate the disease -related experiences of TikTok users with LE using qualitative and content analysis. Methods: TikTok videos were included if the hashtags included #lupus, were downloadable, were in English, and involved the personal experience of an individual with LE. A codebook was developed using a standardized inductive approach of iterative coding until saturation was reached. NVivo (Lumivero), a qualitative analysis software platform, was used to code videos and perform content analysis. Inductive thematic analysis was used to derive themes from the data. Results: A total of 153 TikTok videos met the inclusion criteria. The most common codes were experiences with symptoms (106/153, 69.3%), mucocutaneous symptoms (61/153, 39.9%), and experiences with treatment (59/153, 38.6%). Experiences with symptoms and mucocutaneous symptoms had the greatest cumulative views (25,381,074 and 14,879,109 views, respectively). Five thematic conclusions were derived from the data: (1) mucocutaneous symptoms had profound effects on the mental health and body image of TikTok users with LE; (2) TikTok users' negative experiences with health care workers were often derived from diagnostic delays and perceptions of medical gaslighting; (3) TikTok users tended to portray pharmacologic and nonpharmacologic interventions, such as diet and naturopathic remedies, positively, whereas pharmacologic treatments were portrayed negatively or referred to as chemotherapy; (4) LE symptoms, particularly musculoskeletal symptoms and fatigue, interfered with users' daily functioning; and (5) although TikTok users frequently had strong support systems, feelings of isolation were often attributed to battling an invisible illness. Conclusions: This study demonstrates that social media can provide important, clinically relevant information for health practitioners caring for patients with chronic conditions such as LE. As mucocutaneous symptoms were the predominant drivers of distress in our sample, the treatment of hair loss and rash is vital in this population. However, pharmacologic therapies were often depicted negatively, reinforcing the significance of discussions on the safety and effectiveness of these treatments. In addition, while TikTok users demonstrated robust support systems, feelings of having an invisible illness and medical gaslighting dominated negative interactions with others. This underscores the importance of providing validation in clinical interactions.</t>
  </si>
  <si>
    <t>[Wanberg, Lindsey J.; Pearson, David R.] Univ Minnesota, Med Sch, 516 Delaware St SE,MMC 98, Minneapolis, MN 55455 USA; [Pearson, David R.] Univ Minnesota, Dept Dermatol, Minneapolis, MN USA</t>
  </si>
  <si>
    <t>University of Minnesota System; University of Minnesota Twin Cities; University of Minnesota System; University of Minnesota Twin Cities</t>
  </si>
  <si>
    <t>Pearson, DR (corresponding author), Univ Minnesota, Med Sch, 516 Delaware St SE,MMC 98, Minneapolis, MN 55455 USA.</t>
  </si>
  <si>
    <t>pearsond@umn.edu</t>
  </si>
  <si>
    <t>Wanberg, Lindsey/0000-0002-6052-5613</t>
  </si>
  <si>
    <t>e51211</t>
  </si>
  <si>
    <t>10.2196/51211</t>
  </si>
  <si>
    <t>PS8Y9</t>
  </si>
  <si>
    <t>WOS:001216176900001</t>
  </si>
  <si>
    <t>González-Esteban, JL; Lopez-Rico, CM; Morales-Pino, L; Sabater-Quinto, F</t>
  </si>
  <si>
    <t>Gonzalez-Esteban, Jose-Luis; Lopez-Rico, Carmen Maria; Morales-Pino, Loraine; Sabater-Quinto, Federico</t>
  </si>
  <si>
    <t>Intensification of Hate Speech, Based on the Conversation Generated on TikTok during the Escalation of the War in the Middle East in 2023</t>
  </si>
  <si>
    <t>SOCIAL SCIENCES-BASEL</t>
  </si>
  <si>
    <t>TikTok; social media; polarization; hate speech; Islamophobia; Israel; Palestine</t>
  </si>
  <si>
    <t>The present research has been carried out concurrently with the conversation that took place on the social network TikTok during the most recent escalation of the war between Hamas and Israel in the Middle East (Gaza-Palestine) during the month of October 2023. The main objective of this article is to analyze of how young audiences are informed about complex problems, the quality of that information, and the consequences of the intensification of uncontrolled hate speech. Regarding the methodology, data were extracted from TikTok using the open-source tool tiktok-hashtag-analysis-hosted on GitHub-which facilitated the analysis of hashtags within the posts collected from this social network, starting with an initial sample of 17,654 comments. The article draws and reaches conclusions related to the fact that young audiences indeed are interested in the escalation of the conflict in the Middle East, as it is evident that the conversation-which is polarized-on TikTok about this issue has escalated considerably. Similarly, analysis of the extracted and filtered sample shows that the variable hate speech intensified on the platform during the analyzed conversation.</t>
  </si>
  <si>
    <t>[Gonzalez-Esteban, Jose-Luis; Lopez-Rico, Carmen Maria; Sabater-Quinto, Federico] Miguel Hernandez Univ, Dept Social &amp; Human Sci, Elche 03202, Spain; [Morales-Pino, Loraine] Ibero Amer Univ, Dept Social Sci &amp; Humanities, Tijuana 22500, Mexico</t>
  </si>
  <si>
    <t>Universidad Miguel Hernandez de Elche</t>
  </si>
  <si>
    <t>González-Esteban, JL (corresponding author), Miguel Hernandez Univ, Dept Social &amp; Human Sci, Elche 03202, Spain.</t>
  </si>
  <si>
    <t>jose.gonzalez@umh.es; carmen.lopezr@umh.es; lmorales@umh.es; fsabater@umh.es</t>
  </si>
  <si>
    <t>Sabater, Federico/KXR-1991-2024; Lopez-Rico, Carmen María/JAC-9478-2023; Lopez-Rico, Carmen Maria/F-1148-2016</t>
  </si>
  <si>
    <t>Lopez-Rico, Carmen Maria/0000-0001-7214-1142; Sabater Quinto, Federico/0009-0005-6000-9749; Morales Pino, Loraine/0000-0002-6847-9041</t>
  </si>
  <si>
    <t>Ministry of Science and Innovation-Government of Spain</t>
  </si>
  <si>
    <t>Ministry of Science and Innovation-Government of Spain(Ministry of Science and Innovation, Spain (MICINN)Spanish Government)</t>
  </si>
  <si>
    <t>2076-0760</t>
  </si>
  <si>
    <t>SOC SCI-BASEL</t>
  </si>
  <si>
    <t>Soc. Sci.-Basel</t>
  </si>
  <si>
    <t>10.3390/socsci13010049</t>
  </si>
  <si>
    <t>GE8A9</t>
  </si>
  <si>
    <t>WOS:001151069800001</t>
  </si>
  <si>
    <t>de Guzman, AB; Mesana, JCB; Manuel, ME; Arcega, KCA; Yumang, RLT; Miranda, KNV</t>
  </si>
  <si>
    <t>de Guzman, Allan B.; Mesana, John Christopher B.; Manuel, Maxeen E.; Arcega, Kyle Christian A.; Yumang, Rupert Lance T.; Miranda, Kylie Niechols, V</t>
  </si>
  <si>
    <t>Examining intergenerational family members' creative activities during COVID-19 lockdown via manifest content analysis of YouTube and TikTok videos</t>
  </si>
  <si>
    <t>EDUCATIONAL GERONTOLOGY</t>
  </si>
  <si>
    <t>SOCIAL MEDIA; SOLIDARITY; NOSTALGIA; STRESS; POWER</t>
  </si>
  <si>
    <t>With limited activities to conduct at home during the pandemic lockdowns, families worldwide have turned to social media to socialize and cope with the impacts of isolation. Likewise, online content-sharing sites has been seen as a promising avenue for family units to conduct creative activities together as a form of bonding and coping during the COVID-19 lockdown. As such, this investigation was undertaken to understand the landscape of intergenerational families' creative activities showcased on digital content-sharing platforms, such as YouTube and TikTok. The analysis of the surface characteristics of collected YouTube (n = 50) and Tiktok (n = 446) videos in this study revealed that April 2020 (YouTube = 28%; Tiktok = 28.97%) was the month were most videos featuring creative activities by intergenerational families were uploaded. Interestingly, most of the videos uploaded came from North American countries (YouTube = 54%; Tiktok = 52.91%). Vlogging (52%) was found to be the most practiced creative activities by intergenerational families on YouTube during the COVID-19 lockdown months while for Tiktok, recreation of family photos (13.84%) was preponderant. The implications the study's findings, limitations and recommendations were also discussed.</t>
  </si>
  <si>
    <t>[de Guzman, Allan B.] Univ Santo Tomas, Grad Sch, Manila, Philippines; [de Guzman, Allan B.] Univ Santo Tomas, Res Ctr Social Sci &amp; Educ, Thomas Aquinas Res Complex,Espana Blvd, Manila 1015, Philippines; [de Guzman, Allan B.] Univ Santo Tomas, Coll Tourism &amp; Hospitality Management, Manila, Philippines; [Mesana, John Christopher B.; Manuel, Maxeen E.; Arcega, Kyle Christian A.; Yumang, Rupert Lance T.; Miranda, Kylie Niechols, V] Colegio San Juan Letran, Senior High Sch Dept, Manila, Philippines</t>
  </si>
  <si>
    <t>University of Santo Tomas; University of Santo Tomas; University of Santo Tomas; Colegio de San Juan de Letran</t>
  </si>
  <si>
    <t>de Guzman, AB (corresponding author), Univ Santo Tomas, Res Ctr Social Sci &amp; Educ, Thomas Aquinas Res Complex,Espana Blvd, Manila 1015, Philippines.</t>
  </si>
  <si>
    <t>abdeguzman@ust.edu.ph</t>
  </si>
  <si>
    <t>de Guzman, Allan/AAP-5994-2021; Mesana, John Christopher/HPH-6037-2023</t>
  </si>
  <si>
    <t>de Guzman, Allan/0000-0002-3611-4013; Mesana, John Christopher/0000-0001-5744-572X</t>
  </si>
  <si>
    <t>University of Santo Tomas</t>
  </si>
  <si>
    <t>This work was supported by the University of Santo Tomas.</t>
  </si>
  <si>
    <t>0360-1277</t>
  </si>
  <si>
    <t>1521-0472</t>
  </si>
  <si>
    <t>EDUC GERONTOL</t>
  </si>
  <si>
    <t>Educ. Gerontol.</t>
  </si>
  <si>
    <t>OCT 3</t>
  </si>
  <si>
    <t>10.1080/03601277.2022.2046372</t>
  </si>
  <si>
    <t>Education &amp; Educational Research; Gerontology</t>
  </si>
  <si>
    <t>Education &amp; Educational Research; Geriatrics &amp; Gerontology</t>
  </si>
  <si>
    <t>4I6QB</t>
  </si>
  <si>
    <t>WOS:000763137600001</t>
  </si>
  <si>
    <t>Bonifazi, G; Cecchini, S; Corradini, E; Giuliani, L; Ursino, D; Virgili, L</t>
  </si>
  <si>
    <t>Bonifazi, Gianluca; Cecchini, Silvia; Corradini, Enrico; Giuliani, Lorenzo; Ursino, Domenico; Virgili, Luca</t>
  </si>
  <si>
    <t>Extracting time patterns from the lifespans of TikTok challenges to characterize non-dangerous and dangerous ones</t>
  </si>
  <si>
    <t>SOCIAL NETWORK ANALYSIS AND MINING</t>
  </si>
  <si>
    <t>TikTok; Social network analysis; Challenge lifespan; Time pattern extraction; Challenge classification</t>
  </si>
  <si>
    <t>NONSUICIDAL SELF-INJURY; PREVALENCE; ENGAGEMENT; EXPOSURE; TWITTER; ONLINE; HARM</t>
  </si>
  <si>
    <t>One of the key aspects that distinguish TikTok from other social media is the presence of challenges. A challenge is a kind of competition that starts when a user posts a video with certain actions and a certain hashtag and invites other users to replicate the same video in their own way. Most challenges are fun and harmless, but sometimes dangerous challenges are launched as well. The authors of these challenges use various tricks to bypass TikTok's controls. In this paper, we analyze the lifespans of some TikTok challenges and show how they are very different for non-dangerous and dangerous ones. Then, we deepen our analysis by identifying some time patterns that characterize the two types of challenges. Finally, we test the accuracy of the results obtained on a large set of challenges different from those used during the detection of time patterns. The focus of this paper is the detection of time patterns allowing the classification of challenges in dangerous and non-dangerous ones. This could represent a first step towards an approach for the early detection of dangerous challenges in TikTok.</t>
  </si>
  <si>
    <t>[Bonifazi, Gianluca; Cecchini, Silvia; Corradini, Enrico; Giuliani, Lorenzo; Ursino, Domenico; Virgili, Luca] Polytech Univ Marche, DII, Via Brecce Bianche 12, I-60131 Ancona, Italy</t>
  </si>
  <si>
    <t>Marche Polytechnic University</t>
  </si>
  <si>
    <t>Ursino, D (corresponding author), Polytech Univ Marche, DII, Via Brecce Bianche 12, I-60131 Ancona, Italy.</t>
  </si>
  <si>
    <t>g.bonifazi@univpm.it; cecchinisilvia7@gmail.com; e.corradini@pm.univpm.it; lorenzogiuliani95@hotmail.com; d.ursino@univpm.it; l.virgili@pm.univpm.it</t>
  </si>
  <si>
    <t>Bonifazi, Gianluca/AAA-2985-2022; Corradini, Enrico/ABB-3022-2021; Virgili, Luca/AAG-1602-2021</t>
  </si>
  <si>
    <t>Virgili, Luca/0000-0003-1509-783X; Ursino, Domenico/0000-0003-1360-8499; Corradini, Enrico/0000-0002-1140-4209</t>
  </si>
  <si>
    <t>Universita Politecnica delle Marche within the CRUI-CARE Agreement</t>
  </si>
  <si>
    <t>Open access funding provided by Universita Politecnica delle Marche within the CRUI-CARE Agreement.</t>
  </si>
  <si>
    <t>SPRINGER WIEN</t>
  </si>
  <si>
    <t>Vienna</t>
  </si>
  <si>
    <t>Prinz-Eugen-Strasse 8-10, A-1040 Vienna, AUSTRIA</t>
  </si>
  <si>
    <t>1869-5450</t>
  </si>
  <si>
    <t>1869-5469</t>
  </si>
  <si>
    <t>SOC NETW ANAL MIN</t>
  </si>
  <si>
    <t>Soc. Netw. Anal. Min.</t>
  </si>
  <si>
    <t>10.1007/s13278-022-00893-w</t>
  </si>
  <si>
    <t>Computer Science, Information Systems</t>
  </si>
  <si>
    <t>2E4ZK</t>
  </si>
  <si>
    <t>WOS:000812236800002</t>
  </si>
  <si>
    <t>Ngo, TTA; Le, TMT; Nguyen, TH; Le, TG; Ngo, GT; Nguyen, TD</t>
  </si>
  <si>
    <t>Thi Thuy An Ngo; Thi My Thanh Le; Thanh Hieu Nguyen; Truong Giang Le; Gia Thinh Ngo; Tran Duong Nguyen</t>
  </si>
  <si>
    <t>The Impact of SNS Advertisements on Online Purchase Intention of Generation Z: An Empirical Study of TikTok in Vietnam</t>
  </si>
  <si>
    <t>JOURNAL OF ASIAN FINANCE ECONOMICS AND BUSINESS</t>
  </si>
  <si>
    <t>Online Purchase Intention; SNS Advertisements; Gen Z; TikTok; Vietnam</t>
  </si>
  <si>
    <t>CREDIBILITY; PRODUCTS; ATTITUDE</t>
  </si>
  <si>
    <t>The study was carried out to investigate the factors affecting the online purchase intention of Vietnamese consumers, focusing on Generation Z (Gen Z), through the information provided on TikTok - a social media network. Besides, the study evaluates the influence of these factors on the intention to purchase online of Gen Z. Most important the research aims to help businesses better understand the insight of their consumers. The data were collected from 250 people who were born in the 1995 to 2010 period, living in the South of Vietnam. The study was conducted from December 2021 to March 2022 and used two analytical methods, which are exploratory factor analysis and Structural Equation Modeling. Research results show that there are 4 factors of TikTok advertisements that affect the purchase intention of Gen Z consumers, including information, entertainment, trust, and social interaction, and they all have a positive impact on the online purchase intention. In which the information factor has the most significant impact on the online purchase intention of Gen Z consumers. Based on the research results, recommendations are made to help businesses that have sold or intend to sell products via TikTok, improve the effectiveness of advertisement through the TikTok channel.</t>
  </si>
  <si>
    <t>[Thi Thuy An Ngo] FPT Univ, Fac Business Adm, An Binh Ward, Can Tho Campus,600 Nguyen Van Cu St, Can Tho City 94100, Vietnam; [Thi My Thanh Le; Thanh Hieu Nguyen; Truong Giang Le; Gia Thinh Ngo; Tran Duong Nguyen] FPT Univ, Fac Business Adm, Can Tho Campus, Can Tho City, Vietnam</t>
  </si>
  <si>
    <t>FPT University; FPT University</t>
  </si>
  <si>
    <t>Ngo, TTA (corresponding author), FPT Univ, Fac Business Adm, An Binh Ward, Can Tho Campus,600 Nguyen Van Cu St, Can Tho City 94100, Vietnam.</t>
  </si>
  <si>
    <t>AnNTT24@fe.edu.vn; ThanhLTMCS130320@fpt.edu.vn; HieuNTCS130034@fpt.edu.vn; GiangLTCS130312@fpt.edu.vn; ThinhNGCS130122@fpt.edu.vn; DuongNTCS140480@fpt.edu.vn</t>
  </si>
  <si>
    <t>Ngo, Thi Thuy An/IWU-4068-2023</t>
  </si>
  <si>
    <t>Ngo, Thi Thuy An/0000-0001-7510-972X</t>
  </si>
  <si>
    <t>KOREA DISTRIBUTION SCIENCE ASSOC</t>
  </si>
  <si>
    <t>Seongnam City</t>
  </si>
  <si>
    <t>HANSHIN OFFICETEL STE 1030, 2463-4, SHINHEUNG-DONG SUJEONG-GU, Seongnam City, Gyeonggi-do, SOUTH KOREA</t>
  </si>
  <si>
    <t>2288-4637</t>
  </si>
  <si>
    <t>2288-4645</t>
  </si>
  <si>
    <t>J ASIAN FINANC ECON</t>
  </si>
  <si>
    <t>J. Asian Financ. Econ. Bus.</t>
  </si>
  <si>
    <t>10.13106/jafeb.2022.vol9.no5.0497</t>
  </si>
  <si>
    <t>2M6DP</t>
  </si>
  <si>
    <t>WOS:000817788400021</t>
  </si>
  <si>
    <t>Lee, JJ; Lee, J</t>
  </si>
  <si>
    <t>Lee, Jeehyun Jenny; Lee, Jin</t>
  </si>
  <si>
    <t>#StopAsianHate on TikTok: Asian/American Women's Space-Making for Spearheading Counter-Narratives and Forming an Ad Hoc Asian Community</t>
  </si>
  <si>
    <t>#StopAsianHate; TikTok; ad hoc community; space-making; anti-Asian racism</t>
  </si>
  <si>
    <t>TikTok, one of the fastest growing entertainment platforms, is also a burgeoning space for hosting political expressions and movements. In this study, we examine how Asian/American women creatively occupy the #StopAsianHate hashtag on TikTok to counter anti-Asian racism and form pan-Asian solidarity. We analyze their participation in the #StopAsianHate hashtag as anti-racist space-making practices, which we define as the act of carving out discursive spaces to spread counter-narratives to anti-Asian racism and claiming space through their agentive, visual presence. Drawing upon Critical Technocultural Discourse Analysis (CTDA) as our method, we analyze 130 #StopAsianHate TikTok videos by Asian/American women and examine how their anti-racist space-making practices draw upon the features and cultures of TikTok. We illustrate how Asian/American women extend the discussion on anti-Asian racism to include their gendered and raced experiences, and challenge racism in affective and evocative ways. We conclude by discussing how their space-making practices foster an ad hoc community for Asian/Americans across differences amid rising anti-Asian hate crimes.</t>
  </si>
  <si>
    <t>[Lee, Jeehyun Jenny] Univ Washington, Seattle, WA USA; [Lee, Jin] Curtin Univ, Perth, Australia; [Lee, Jeehyun Jenny] Univ Washington, Dept Commun, Seattle, WA 98195 USA</t>
  </si>
  <si>
    <t>University of Washington; University of Washington Seattle; Curtin University; University of Washington; University of Washington Seattle</t>
  </si>
  <si>
    <t>Lee, JJ (corresponding author), Univ Washington, Dept Commun, Seattle, WA 98195 USA.</t>
  </si>
  <si>
    <t>jenny719@uw.edu</t>
  </si>
  <si>
    <t>Lee, Jeehyun Jenny/0000-0001-9980-2836; Lee, Jin/0000-0002-5698-5561</t>
  </si>
  <si>
    <t>10.1177/20563051231157598</t>
  </si>
  <si>
    <t>9I7NQ</t>
  </si>
  <si>
    <t>WOS:000939692700001</t>
  </si>
  <si>
    <t>Ghazal, A; Tantawi, P</t>
  </si>
  <si>
    <t>Ghazal, Ahmed; Tantawi, Passent</t>
  </si>
  <si>
    <t>Media control and the protection of family values: Case study of the current practices of women TikTok users in Egypt</t>
  </si>
  <si>
    <t>JOURNAL OF ARAB &amp; MUSLIM MEDIA RESEARCH</t>
  </si>
  <si>
    <t>play/adopted behavior; social media platforms; Middle East; cybercrime law; Egyptian women; Arab media; Egyptian media</t>
  </si>
  <si>
    <t>CENSORSHIP</t>
  </si>
  <si>
    <t>During the COVID-19 pandemic, there has been a rise of TikTok video usage and sharing worldwide. Meanwhile, the 2018 Cyber Crime Law has been activated against the so-called women TikTokers in Egypt who were accused and arrested for violating 'family values' and 'inflaming debauchery'. Public opinion expressed that media control is a grey area that includes ambiguous description of these violations. Social scrutiny became viral on social media platforms, inciting a debate over the prosecution of those women. This article is a case study that explores the play behaviour of women TikTok users in Egypt. Through employing a content analysis method, it seeks to find out whether users resist or adapt to the strict media control. Findings revealed that women TikTok users have several motives for their adopted behaviours, such as the fear of missing out (FoMO) and self-expression. Audiences who interpreted the behaviours TikTok women adopted as immoral used hashtags for social activism and generated content to oppress women based on gender rather than fairly evaluating their play behaviours. The research highlights key practices that women TikTok users are currently using in order to adapt to the vague 'Egyptian family values and morals'. Whether mimicking a meme, performing and/or singing, women TikTok users have been considering their conservative cultural context carefully to avoid the severe consequences that pervious women TikTokers have faced. Furthermore, women TikTok users are reluctant to boldly resist the strict media control in Egypt. Instead of using controversial sex appeal, they resort to using humour for garnering views and utilizing the platform's entertainment nature.</t>
  </si>
  <si>
    <t>[Ghazal, Ahmed; Tantawi, Passent] Arab Acad Sci, Technol &amp; Maritime Transport, Gamal Abdel Nasser St, Alexandria, Egypt</t>
  </si>
  <si>
    <t>Egyptian Knowledge Bank (EKB); Arab Academy for Science, Technology &amp; Maritime Transport</t>
  </si>
  <si>
    <t>Ghazal, A (corresponding author), Arab Acad Sci, Technol &amp; Maritime Transport, Gamal Abdel Nasser St, Alexandria, Egypt.</t>
  </si>
  <si>
    <t>ahmedghazal@aast.edu; pitantawi@aast.edu</t>
  </si>
  <si>
    <t>1751-9411</t>
  </si>
  <si>
    <t>1751-942X</t>
  </si>
  <si>
    <t>J ARAB MUSLIM MEDIA</t>
  </si>
  <si>
    <t>J. Arab Muslim Media Res.</t>
  </si>
  <si>
    <t>10.1386/jammr_00066_1</t>
  </si>
  <si>
    <t>SO2U8</t>
  </si>
  <si>
    <t>WOS:001235335700007</t>
  </si>
  <si>
    <t>Ciceklioglu, AS; Ünal, R</t>
  </si>
  <si>
    <t>Ciceklioglu, Alp Sahin; Unal, Recep</t>
  </si>
  <si>
    <t>What does Tiktok App Promise in the Context of News Production and Distribution?</t>
  </si>
  <si>
    <t>ILEF DERGISI</t>
  </si>
  <si>
    <t>TikTok; news production; news consumption; new media; social media platforms</t>
  </si>
  <si>
    <t>USER-GENERATED CONTENT; SOCIAL MEDIA; JOURNALISM; TWITTER; NEWSPAPERS; FACEBOOK</t>
  </si>
  <si>
    <t>Increasing mobile news consumption with the use of mobile devices has led media platforms to produce new news formats for different social media applications. Articles on this subject are mostly focused on Twitter, Facebook and Instagram platforms. However, the TikTok, with a number of active users exceeding 700 million, has also entered the field of journalism. In this study, the TikTok application, which attracts attention as a new area for the content production and distribution practice of news organizations and journalists, is discussed. Content analysis was carried out on the TikTok accounts of the news organizations on the platform. According to the results of the analysis, it was seen that the highest number of followers, content and likes among the news organizations accounts were in the sports category. It has been determined that the majority of the headquarters of the news organizations on the platform are in the United States. In Turkey, it has been determined that there are four TikTok accounts belonging to news organizations. The results show that TikTok, whose number of users is increasing day by day, will be an important platform for news organizations.</t>
  </si>
  <si>
    <t>[Ciceklioglu, Alp Sahin] Mersin Univ, Mersin, Turkey; [Unal, Recep] Mersin Univ, Fac Commun, Mersin, Turkey</t>
  </si>
  <si>
    <t>Mersin University; Mersin University</t>
  </si>
  <si>
    <t>Ciceklioglu, AS (corresponding author), Mersin Univ, Mersin, Turkey.</t>
  </si>
  <si>
    <t>alpsahin@mersin.edu.tr; recepunal@mersin.edu.tr</t>
  </si>
  <si>
    <t>Çiçeklioğlu, Alp Şahin/AAB-4703-2022</t>
  </si>
  <si>
    <t>ANKARA UNIV, FAC COMMUNICATION</t>
  </si>
  <si>
    <t>ANKARA</t>
  </si>
  <si>
    <t>EMNIYET MAHALLESI, AU TANDOGAN KAMPUSU, YENIMAHALLE, ANKARA, 06560, TURKEY</t>
  </si>
  <si>
    <t>2148-7219</t>
  </si>
  <si>
    <t>2458-9209</t>
  </si>
  <si>
    <t>ILEF DERG</t>
  </si>
  <si>
    <t>ILEF Derg.</t>
  </si>
  <si>
    <t>10.24955/ilef.1037967</t>
  </si>
  <si>
    <t>ZB8UL</t>
  </si>
  <si>
    <t>WOS:000757110400003</t>
  </si>
  <si>
    <t>Schwartz, J; Grimm, J; Jamison, C</t>
  </si>
  <si>
    <t>Schwartz, Joseph; Grimm, Josh; Jamison, Cameron</t>
  </si>
  <si>
    <t>PrEP on TikTok: benefits, barriers, and possibilities</t>
  </si>
  <si>
    <t>COMMUNICATION RESEARCH REPORTS</t>
  </si>
  <si>
    <t>HIV; MSM; HBM; PrEP; TikTok</t>
  </si>
  <si>
    <t>HEALTH BELIEF MODEL; NEWS COVERAGE; INFORMATION</t>
  </si>
  <si>
    <t>HIV remains a serious problem in the U.S. particularly for men who have sex with men. PrEP is an intervention that can dramatically decrease the risk of HIV infection. Because rates of PrEP adoption have been lower than anticipated, researchers have called for new tactics for promoting PrEP. For this reason, we analyzed PrEP messaging on TikTok. In an analysis guided by the Health Belief Model, we found that discussions of PrEP benefits and barriers were most common on TikTok. Severity and susceptibility were least common. We distilled these findings into suggestions for promoting PrEP adoption.</t>
  </si>
  <si>
    <t>[Schwartz, Joseph] Northeastern Univ, Dept Commun Studies, Boston, MA USA; [Grimm, Josh] Louisiana State Univ, Manship Sch Mass Commun, Baton Rouge, LA USA; [Jamison, Cameron] Northeastern Univ, Boston, MA USA; [Schwartz, Joseph] Northeastern Univ, 212A Lake Hall, Boston, MA 02115 USA</t>
  </si>
  <si>
    <t>Northeastern University; Louisiana State University System; Louisiana State University; Northeastern University; Northeastern University</t>
  </si>
  <si>
    <t>Schwartz, J (corresponding author), Northeastern Univ, 212A Lake Hall, Boston, MA 02115 USA.</t>
  </si>
  <si>
    <t>j.schwartz@northeastern.edu</t>
  </si>
  <si>
    <t>0882-4096</t>
  </si>
  <si>
    <t>1746-4099</t>
  </si>
  <si>
    <t>COMMUN RES REP</t>
  </si>
  <si>
    <t>Commun. Res. Rep.</t>
  </si>
  <si>
    <t>2023 OCT 20</t>
  </si>
  <si>
    <t>10.1080/08824096.2023.2269080</t>
  </si>
  <si>
    <t>U8PK5</t>
  </si>
  <si>
    <t>WOS:001087364600001</t>
  </si>
  <si>
    <t>Zappavigna, M; Logi, L</t>
  </si>
  <si>
    <t>Zappavigna, Michele; Logi, Lorenzo</t>
  </si>
  <si>
    <t>How emoji make meaning and enact ambient affiliation: a social semiotic account of emoji-text relations in TikTok comments</t>
  </si>
  <si>
    <t>SOCIAL SEMIOTICS</t>
  </si>
  <si>
    <t>emoji; social semiotics; TikTok; systemic functional linguistics; graphicons; ambient affiliation</t>
  </si>
  <si>
    <t>This paper explores how emoji make meaning with language in TikTok comments. It offers a social semiotic account which models emoji-text relations as a system of convergence, involving three kinds of semiotic relations: ideational concurrence, interpersonal resonance, and textual synchronicity. The paper focuses in detail on the comment feed of a TikTok lip-sync video which uses audio from Julia Gillard's iconic misogyny speech. It considers the role that emoji pfhgilay in enacting ambient affiliation in these comments, whereby users share positive evaluation of the TikTok Creator and express alignment with values relating to modern feminism. The work is grounded in previous corpus-based studies by the authors of the social functions of emoji across a range of social media platforms.</t>
  </si>
  <si>
    <t>[Zappavigna, Michele; Logi, Lorenzo] Univ New South Wales, Sch Arts &amp; Media, Sydney, Australia</t>
  </si>
  <si>
    <t>Zappavigna, M (corresponding author), Univ New South Wales, Sch Arts &amp; Media, Sydney, Australia.</t>
  </si>
  <si>
    <t>m.zappavigna@unsw.edu.au</t>
  </si>
  <si>
    <t>Zappavigna, Michele/U-3366-2017</t>
  </si>
  <si>
    <t>Zappavigna, Michele/0000-0003-4004-9602</t>
  </si>
  <si>
    <t>1035-0330</t>
  </si>
  <si>
    <t>1470-1219</t>
  </si>
  <si>
    <t>SOC SEMIOT</t>
  </si>
  <si>
    <t>Soc. Semiot.</t>
  </si>
  <si>
    <t>2024 AUG 30</t>
  </si>
  <si>
    <t>10.1080/10350330.2024.2389520</t>
  </si>
  <si>
    <t>Humanities, Multidisciplinary; Communication; Linguistics</t>
  </si>
  <si>
    <t>Arts &amp; Humanities - Other Topics; Communication; Linguistics</t>
  </si>
  <si>
    <t>E3X6F</t>
  </si>
  <si>
    <t>WOS:001302370600001</t>
  </si>
  <si>
    <t>Walsh, T</t>
  </si>
  <si>
    <t>Walsh, Tom</t>
  </si>
  <si>
    <t>TikTok as a site of social protest in Iran's Gen-Z uprising</t>
  </si>
  <si>
    <t>DISCOURSE &amp; SOCIETY</t>
  </si>
  <si>
    <t>Discourse; Iran; Middle East; social media; social protest; TikTok; visuality; women's movement</t>
  </si>
  <si>
    <t>This paper argues that understanding the power of TikTok's visual discourse is a crucial part of conceptualising the character, inspiration, and ambition of Iran's Gen-Z-led uprising, both at home and across the diaspora. TikTok is a social media platform that depends on visuality. As such, it creates its own specific forms of messaging. This paper seeks to apply an innovative methodology of 'Visual Discourse Tracing' to the Iranian protests. It uses this carefully devised, process-driven method, to highlight the core ways in which TikTok has amplified the message of the Iranian protests, connecting to the grassroots movement and to the longer history of Iranian women's struggle for freedom. Visuality and social media have been crucial in shaping the character of these contemporary protests, necessitating proper theorisation when understanding the wider Iranian protest movement.</t>
  </si>
  <si>
    <t>[Walsh, Tom] Northumbria Univ, Univ Durham, London Sch Econ &amp; Polit Sci, 2 Sandyford Rd, Newcastle Upon Tyne NE1 8ST, England</t>
  </si>
  <si>
    <t>Durham University; Northumbria University; University of London; London School Economics &amp; Political Science</t>
  </si>
  <si>
    <t>Walsh, T (corresponding author), Northumbria Univ, Univ Durham, London Sch Econ &amp; Polit Sci, 2 Sandyford Rd, Newcastle Upon Tyne NE1 8ST, England.</t>
  </si>
  <si>
    <t>twalsh@2u.com</t>
  </si>
  <si>
    <t>Walsh, Tom/0009-0007-9788-9094</t>
  </si>
  <si>
    <t>0957-9265</t>
  </si>
  <si>
    <t>1460-3624</t>
  </si>
  <si>
    <t>DISCOURSE SOC</t>
  </si>
  <si>
    <t>niscl. Soc.</t>
  </si>
  <si>
    <t>10.1177/09579265241234351</t>
  </si>
  <si>
    <t>Communication; Psychology, Multidisciplinary; Sociology</t>
  </si>
  <si>
    <t>Communication; Psychology; Sociology</t>
  </si>
  <si>
    <t>E6O5X</t>
  </si>
  <si>
    <t>Green Published, hybrid, Green Accepted</t>
  </si>
  <si>
    <t>WOS:001186541000001</t>
  </si>
  <si>
    <t>Ohms, G</t>
  </si>
  <si>
    <t>Ohms, Gorrety</t>
  </si>
  <si>
    <t>The Sex Education TikTok Channel wahrscheinlich peinlich (MDR/funk)</t>
  </si>
  <si>
    <t>internet; sexuality education; social media; videos</t>
  </si>
  <si>
    <t>Everything about love, sex and puberty with Vicky, Philipp and Max  - this is the promise of MDR's sex education channel wahrscheinlich peinlich  ( probably embarrassing ), which is broadcasted via the public online service funk. This practical article describes how the TikTok channel is designed and what contribution students of sexology from Merseburg University of Applied Sciences make in terms of advice and evaluation. Characteristics of the TikTok short videos and their use in sexuality education are outlined.</t>
  </si>
  <si>
    <t>[Ohms, Gorrety] Bildungsreferentin Sexualpadag Pravent Sexualisier, Berlin, Germany; [Ohms, Gorrety] Proseduc Org, Praxis Dr Bottcher Ilal Thulestr 42, D-13189 Berlin, Germany</t>
  </si>
  <si>
    <t>Ohms, G (corresponding author), Proseduc Org, Praxis Dr Bottcher Ilal Thulestr 42, D-13189 Berlin, Germany.</t>
  </si>
  <si>
    <t>info@proseduc.org</t>
  </si>
  <si>
    <t>10.1055/a-1964-1107</t>
  </si>
  <si>
    <t>7F0GE</t>
  </si>
  <si>
    <t>WOS:000901534900003</t>
  </si>
  <si>
    <t>Turvy, A</t>
  </si>
  <si>
    <t>Turvy, Alex</t>
  </si>
  <si>
    <t>Reading latent values and priorities in TikTok's community guidelines for children</t>
  </si>
  <si>
    <t>TikTok; children; youth; policy; governance; platform; social media; values; lexical analysis; critical discourse analysis</t>
  </si>
  <si>
    <t>This mixed-methods study analyzes TikTok's Community Guidelines to understand how ByteDance balances competing priorities around protecting children. The analysis reveals that TikTok employs three interconnected strategies: scaffolding rules by age and risk, segmenting content with tailored policies, and siloing features from children. Underlying these are latent values of positivity, proactivity, and precision that serve priorities of appeasing stakeholders, preempting regulation, and fostering a positive public image. By examining how these strategies and values work together, the study contributes a novel analytical framework for understanding the complex dynamics of youth governance on platforms. The findings illustrate how platform policy documents strategically navigate complex tensions governing children's participation.</t>
  </si>
  <si>
    <t>[Turvy, Alex] Tulane Univ, New Orleans, LA USA</t>
  </si>
  <si>
    <t>Tulane University</t>
  </si>
  <si>
    <t>Turvy, A (corresponding author), Tulane Univ, Sociol, 6823 St Charles Ave, New Orleans, LA 70118 USA.</t>
  </si>
  <si>
    <t>alexturvy@gmail.com</t>
  </si>
  <si>
    <t>Turvy, Alex/0000-0002-5610-7515</t>
  </si>
  <si>
    <t>2024 SEP 28</t>
  </si>
  <si>
    <t>10.1177/13678779241276884</t>
  </si>
  <si>
    <t>H6C1O</t>
  </si>
  <si>
    <t>WOS:001324289700001</t>
  </si>
  <si>
    <t>Sjöström, DK; Lindström, TD; Kapetanovic, S; Claesdotter-Knutsson, E</t>
  </si>
  <si>
    <t>Sjostrom, David K.; Lindstrom, Tore de Mendonca; Kapetanovic, Sabina; Claesdotter-Knutsson, Emma</t>
  </si>
  <si>
    <t>Helpful or Not? A Qualitative Study on Female Adolescents' Experience of TikTok When Recovering From Anorexia Nervosa</t>
  </si>
  <si>
    <t>INTERNATIONAL JOURNAL OF EATING DISORDERS</t>
  </si>
  <si>
    <t>adolescents; anorexia nervosa; eating disorder; social media; TikTok</t>
  </si>
  <si>
    <t>SOCIAL MEDIA USE; BODY-IMAGE</t>
  </si>
  <si>
    <t>Objective: The scientific literature reports on how social media potentially influences eating disorders, although there is a large gap in the specific case of TikToks influence of adolescent's recovery from anorexia nervosa (AN). Our study uses in-depth interviews with female adolescents primarily suffering from AN to explore how they perceive the social media platform TikTok in relation to their recovery. Method: A total of 14 interviews with female adolescents recovering from AN were conducted and analyzed with reflexive thematic analysis. ResultsWe developed four distinct main themes: social connectivity, algorithmic engagement, regulation and adaptation, and personal agency and recovery pathways. Our findings indicate both potential benefits and harm by TikTok use when in recovery from AN, depending on a complex interplay of individual and contextual factors. Results: We developed four distinct main themes: social connectivity, algorithmic engagement, regulation and adaptation, and personal agency and recovery pathways. Our findings indicate both potential benefits and harm by TikTok use when in recovery from AN, depending on a complex interplay of individual and contextual factors. Discussion: The study adds nuance to the on-going scientific debate on the role that TikTok plays in recovery from AN in general from the perspective provided by female adolescents. Suggestions are made for clinical implications at adolescent AN outpatient care including parental or professional support in TikTok adaptations and advice on how to discern when use may be triggering or supportive. Future research would benefit from longitudinal designs and inclusion of how individual differences, such as gender and personality, influence the effects on recovery and TikTok use.</t>
  </si>
  <si>
    <t>[Sjostrom, David K.; Claesdotter-Knutsson, Emma] Lund Univ, Fac Med, Dept Clin Sci Lund, Child &amp; Adolescent Psychiat, Lund, Sweden; [Lindstrom, Tore de Mendonca; Claesdotter-Knutsson, Emma] Skane Univ Hosp, Reg Skane Child &amp; Adolescent Psychiat, Reg Outpatient Care, Lund, Sweden; [Kapetanovic, Sabina] Stockholm Univ, Dept Psychol, Stockholm, Sweden; [Kapetanovic, Sabina] Univ West, Dept Behav Studies, Trollhattan, Sweden</t>
  </si>
  <si>
    <t>Lund University; Lund University; Skane University Hospital; Stockholm University; University West - Sweden</t>
  </si>
  <si>
    <t>Sjöström, DK (corresponding author), Lund Univ, Fac Med, Dept Clin Sci Lund, Child &amp; Adolescent Psychiat, Lund, Sweden.</t>
  </si>
  <si>
    <t>david.sjostrom@med.lu.se</t>
  </si>
  <si>
    <t>Kapetanovic, Sabina/0000-0002-2998-7289; Claesdotter-Knutsson, Emma/0000-0002-6832-2482; Sjostrom, David/0000-0003-0004-1892</t>
  </si>
  <si>
    <t>We would like to thank all the adolescents and parents for participating in the interview study.</t>
  </si>
  <si>
    <t>0276-3478</t>
  </si>
  <si>
    <t>1098-108X</t>
  </si>
  <si>
    <t>INT J EAT DISORDER</t>
  </si>
  <si>
    <t>Int. J. Eating Disord.</t>
  </si>
  <si>
    <t>10.1002/eat.24265</t>
  </si>
  <si>
    <t>Psychology, Clinical; Nutrition &amp; Dietetics; Psychiatry; Psychology</t>
  </si>
  <si>
    <t>Psychology; Nutrition &amp; Dietetics; Psychiatry</t>
  </si>
  <si>
    <t>L9E3P</t>
  </si>
  <si>
    <t>WOS:001287559700001</t>
  </si>
  <si>
    <t>Abbasi, AZ; Ayaz, N; Kanwal, S; Albashrawi, M; Khair, N</t>
  </si>
  <si>
    <t>Abbasi, Amir Zaib; Ayaz, Natasha; Kanwal, Sana; Albashrawi, Mousa; Khair, Nadine</t>
  </si>
  <si>
    <t>TikTok app usage behavior: the role of hedonic consumption experiences</t>
  </si>
  <si>
    <t>DATA TECHNOLOGIES AND APPLICATIONS</t>
  </si>
  <si>
    <t>TikTok app; Entertainment; Hedonic consumption; Users' experiences; Usage behavior; U&amp;G theory</t>
  </si>
  <si>
    <t>SOCIAL MEDIA; PLS-SEM; INFORMATION-SYSTEMS; SENSORY EXPERIENCES; GAMES; ENGAGEMENT; INTENTION; QUALITY; PEOPLE; MODEL</t>
  </si>
  <si>
    <t>PurposeTikTok social media app has become one of the most popular forms of leisure and entertainment activities, but how hedonic consumption experiences (comprising fantasy, escapism, enjoyment, role projection, sensory, arousal and emotional involvement) of the TikTok app determine users' intention to use the app and its resulting impact on the actual usage behavior remains limited in the information systems literature, especially featuring the hedonic consumption perspective in entertainment industry.Design/methodology/approachThis study employs uses &amp; gratification theory to answer the why via predicting the role of hedonic consumption experiences that serve as gratifications to trigger technology acceptance behavior (especially, in form of users' behavioral intention to use the TikTok app and its further impact on usage behavior). This study utilizes the partial least squares-structural equation modeling approach to perform data analyses on 258 TikTok app users.FindingsOur results provide a strong support such that users' playful consumption experiences (i.e. escapism, role projection, arousal, sensory experience and enjoyment) positively influence their intention to use the TikTok app and its resultant effect on users' actual usage of the app. In contrast, fantasy and emotional involvement fail to influence users' intention to use the TikTok app.Originality/valueTo the best of our knowledge, our investigation is one of the first studies to apply the hedonic consumption experiences as potential gratifications that derive users' intention and its subsequent influence on the actual usage of the TikTok app. Our study results would assist marketing and brand managers to redefine approaches and tactics to create effective strategies that implement essential determinants to increase behavioral intention among entertainment service providers.</t>
  </si>
  <si>
    <t>[Abbasi, Amir Zaib] King Fahd Univ Petr &amp; Minerals, KFUPM Business Sch, IRC Finance &amp; Digital Econ, Dhahran, Saudi Arabia; [Ayaz, Natasha; Kanwal, Sana] Shaheed Zulfikar Ali Bhutto Inst Sci &amp; Technol, Campus Islamabad, Islamabad, Pakistan; [Albashrawi, Mousa] King Fahd Univ Petr &amp; Minerals, KFUPM Business Sch, ISOM Dept, IRC Finance &amp; Digital Econ, Dhahran, Saudi Arabia; [Khair, Nadine] Amer Univ Madaba, Amman, Jordan</t>
  </si>
  <si>
    <t>King Fahd University of Petroleum &amp; Minerals; Shaheed Zulfikar Ali Bhutto Institute of Science &amp; Technology; King Fahd University of Petroleum &amp; Minerals</t>
  </si>
  <si>
    <t>Abbasi, AZ (corresponding author), King Fahd Univ Petr &amp; Minerals, KFUPM Business Sch, IRC Finance &amp; Digital Econ, Dhahran, Saudi Arabia.</t>
  </si>
  <si>
    <t>aamir.zaib.abbasi@gmail.com</t>
  </si>
  <si>
    <t>Albashrawi, Mousa/C-3135-2018; Khair, Nadine/AAA-6268-2021; Abbasi, Amir Zaib/S-4071-2016</t>
  </si>
  <si>
    <t>Ayaz Ahmed, Natasha/0000-0002-1691-9631; Abbasi, Amir Zaib/0000-0001-8220-1989</t>
  </si>
  <si>
    <t>2514-9288</t>
  </si>
  <si>
    <t>2514-9318</t>
  </si>
  <si>
    <t>DATA TECHNOL APPL</t>
  </si>
  <si>
    <t>Data Technol. Appl.</t>
  </si>
  <si>
    <t>MAY 17</t>
  </si>
  <si>
    <t>10.1108/DTA-03-2022-0107</t>
  </si>
  <si>
    <t>Computer Science, Information Systems; Information Science &amp; Library Science</t>
  </si>
  <si>
    <t>Computer Science; Information Science &amp; Library Science</t>
  </si>
  <si>
    <t>J0RX3</t>
  </si>
  <si>
    <t>WOS:001006775400002</t>
  </si>
  <si>
    <t>Dias, P; Duarte, A</t>
  </si>
  <si>
    <t>Dias, Patricia; Duarte, Alexandre</t>
  </si>
  <si>
    <t>TikTok Practices among Teenagers in Portugal: A Uses &amp; Gratifications Approach</t>
  </si>
  <si>
    <t>TikTok; teenagers; mobile video apps; user-generated content (UGC); user-generated media (UGM); Uses and Gratifications; U&amp;G</t>
  </si>
  <si>
    <t>TikTok is consolidating its place in the social media landscape. During the first three months of the COVID-19, it was the most downloaded app worldwide, and it gained 500,000 new users in Portugal. Our study sets out to map the practices of Portuguese teenagers (10-16) on TikTok. Using a Uses and Gratifications approach (U&amp;G), we conducted an online survey with a non-probabilistic sample of 347 TikTok users. Our findings show relevant differences between younger (10-12) and older (13-16) teenagers. The youngest are more careful about privacy and enjoy more experimentation as content creators, while the oldest are more focused on building an audience. Entertainment and self-expression are the main motivations for using the platform. About 50% of our sample admits at least one behavior that is indicative of addiction.</t>
  </si>
  <si>
    <t>[Dias, Patricia] Univ Catolica Portuguesa, CECC Res Ctr Commun &amp; Culture, P-1649023 Lisbon, Portugal; [Duarte, Alexandre] Univ Minho, CECS Ctr Estudos Comunicacao &amp; Soc, P-4710057 Braga, Portugal</t>
  </si>
  <si>
    <t>Universidade Catolica Portuguesa; Universidade do Minho</t>
  </si>
  <si>
    <t>Duarte, A (corresponding author), Univ Minho, CECS Ctr Estudos Comunicacao &amp; Soc, P-4710057 Braga, Portugal.</t>
  </si>
  <si>
    <t>alexandre_arte@yahoo.co.uk</t>
  </si>
  <si>
    <t>Dias, Patrícia/H-9935-2014; Duarte, Alexandre/IVH-7318-2023</t>
  </si>
  <si>
    <t>Dias, Patricia/0000-0001-7948-4439; Duarte, Alexandre/0000-0002-2665-864X</t>
  </si>
  <si>
    <t>10.3390/journalmedia3040041</t>
  </si>
  <si>
    <t>AW4E8</t>
  </si>
  <si>
    <t>WOS:001121466700001</t>
  </si>
  <si>
    <t>Montag, C; Markett, S</t>
  </si>
  <si>
    <t>Montag, Christian; Markett, Sebastian</t>
  </si>
  <si>
    <t>Depressive inclinations mediate the association between personality (neuroticism/conscientiousness) and TikTok Use Disorder tendencies</t>
  </si>
  <si>
    <t>BMC PSYCHOLOGY</t>
  </si>
  <si>
    <t>TikTok; Social media addiction; Personality; Neuroticism; Conscientiousness; Depression</t>
  </si>
  <si>
    <t>ADDICTION; FACEBOOK</t>
  </si>
  <si>
    <t>BackgroundWe introduce a novel measure for assessing TikTok overuse, called the TikTok Use Disorder-Questionnaire (TTUD-Q). As part of ongoing investigations into the suitability of the World Health Organization's (WHO) framework for diagnosing Gaming Disorder in the context of social media overuse, we developed this questionnaire by adapting the WHO framework, replacing the term gaming with TikTok use.MethodsIn order to address this question, we investigated the psychometric properties of the newly designed TTUD-Q and assessed its associations with the BFI-10 (assessing the Big Five of Personality) and the PHQ-8 (assessing depressive tendencies).ResultsIn this study, involving a final sample of 378 participants, we observed that higher levels of neuroticism were linked to greater tendencies toward TikTok Use Disorder (TTUD). Furthermore, we identified that this association was mediated by depressive tendencies. Similar trends emerged when investigating the relationship between lower levels of conscientiousness and higher TTUD tendencies, with depressive tendencies once again serving as a mediator.DiscussionOur research sets the foundation for future studies that should delve deeper into examining individual differences in TTUD using the WHO framework originally designed for Gaming Disorder.</t>
  </si>
  <si>
    <t>[Montag, Christian] Ulm Univ, Inst Psychol &amp; Educ, Dept Mol Psychol, Helmholtzstr 8-1, D-89081 Ulm, Germany; [Markett, Sebastian] Humboldt Univ, Dept Psychol, Mol Psychol, Berlin, Germany</t>
  </si>
  <si>
    <t>Ulm University; Humboldt University of Berlin</t>
  </si>
  <si>
    <t>Montag, C (corresponding author), Ulm Univ, Inst Psychol &amp; Educ, Dept Mol Psychol, Helmholtzstr 8-1, D-89081 Ulm, Germany.</t>
  </si>
  <si>
    <t>Montag, Christian/H-6536-2019</t>
  </si>
  <si>
    <t>Montag, Christian/0000-0001-8112-0837</t>
  </si>
  <si>
    <t>Humboldt-Universitt zu Berlin,Germany</t>
  </si>
  <si>
    <t>2050-7283</t>
  </si>
  <si>
    <t>BMC PSYCHOL</t>
  </si>
  <si>
    <t>BMC Psychol.</t>
  </si>
  <si>
    <t>FEB 17</t>
  </si>
  <si>
    <t>10.1186/s40359-024-01541-y</t>
  </si>
  <si>
    <t>IB1E6</t>
  </si>
  <si>
    <t>WOS:001163762600001</t>
  </si>
  <si>
    <t>Boone, CS</t>
  </si>
  <si>
    <t>Gregory, GG; Poulin-Girard, AS</t>
  </si>
  <si>
    <t>Boone, Cory S.</t>
  </si>
  <si>
    <t>Leveraging TikTok and other new media for optics educational outreach</t>
  </si>
  <si>
    <t>OPTICS EDUCATION AND OUTREACH VII</t>
  </si>
  <si>
    <t>Proceedings of SPIE</t>
  </si>
  <si>
    <t>Conference on Optics Education and Outreach VII</t>
  </si>
  <si>
    <t>AUG 22, 2022</t>
  </si>
  <si>
    <t>San Diego, CA</t>
  </si>
  <si>
    <t>SPIE</t>
  </si>
  <si>
    <t>outreach; video; new media; education; digital; marketing</t>
  </si>
  <si>
    <t>New media, like the video-sharing application TikTok, are powerful tools for optics education and outreach on a large scale. Public optics outreach is crucial for spreading awareness of the industry and developing the workforce that will tackle the photonics challenges of tomorrow. This paper will cover the strategies that Edmund Optics used to build and scale a company-sponsored optics educational outreach TikTok program that currently has over 35,000 followers and receives up to 2 million views per video. The benefits of launching such a program for any company, educational institution, or national lab and key selling features to get executive buy in are also discussed. Additional benefits to launching such a program include the development of employee/student communication skills, brand awareness both inside and outside of the photonics industry, and improving brand image. With 1.4 billion global users, TikTok presents a promising platform for simultaneously reaching a large audience while targeting people who have demonstrated an interest in STEM topics. Sharing the outreach content made on TikTok across professional platforms like LinkedIn also leads to industry awareness, respect, and collaboration outside the scope of the common perception of TikTok as a casual, business-to-consumer medium. Meeting students, parents, and communities on the platforms they already use greatly simplifies building an audience for educational content. The Edmund Optics TikTok program was started as an experiment during school closures caused by COVID-19 but has now cemented itself as an integral part of the company's larger outreach program.</t>
  </si>
  <si>
    <t>[Boone, Cory S.] Edmund Opt, 101 E Gloucester Pike, Barrington, NJ 08007 USA</t>
  </si>
  <si>
    <t>Boone, CS (corresponding author), Edmund Opt, 101 E Gloucester Pike, Barrington, NJ 08007 USA.</t>
  </si>
  <si>
    <t>SPIE-INT SOC OPTICAL ENGINEERING</t>
  </si>
  <si>
    <t>BELLINGHAM</t>
  </si>
  <si>
    <t>1000 20TH ST, PO BOX 10, BELLINGHAM, WA 98227-0010 USA</t>
  </si>
  <si>
    <t>0277-786X</t>
  </si>
  <si>
    <t>1996-756X</t>
  </si>
  <si>
    <t>978-1-5106-5411-2; 978-1-5106-5410-5</t>
  </si>
  <si>
    <t>PROC SPIE</t>
  </si>
  <si>
    <t>122130M</t>
  </si>
  <si>
    <t>10.1117/12.2646001</t>
  </si>
  <si>
    <t>Education, Scientific Disciplines; Optics</t>
  </si>
  <si>
    <t>Education &amp; Educational Research; Optics</t>
  </si>
  <si>
    <t>BU0IE</t>
  </si>
  <si>
    <t>WOS:000869639100020</t>
  </si>
  <si>
    <t>Dubin, JM; Aguiar, JA; Lin, JS; Greenberg, DR; Keeter, MK; Fantus, RJ; Pham, MN; Hudnall, MT; Bennett, NE; Brannigan, RE; Halpern, JA</t>
  </si>
  <si>
    <t>Dubin, Justin M.; Aguiar, Jonathan A.; Lin, Jasmine S.; Greenberg, Daniel R.; Keeter, Mary Kate; Fantus, Richard J.; Pham, Minh N.; Hudnall, Matthew T.; Bennett, Nelson E.; Brannigan, Robert E.; Halpern, Joshua A.</t>
  </si>
  <si>
    <t>The broad reach and inaccuracy of men's health information on social media: analysis of TikTok and Instagram</t>
  </si>
  <si>
    <t>INTERNATIONAL JOURNAL OF IMPOTENCE RESEARCH</t>
  </si>
  <si>
    <t>SEXUAL ABSTINENCE; DURATION</t>
  </si>
  <si>
    <t>Social media (SoMe) offers great potential to expand access to health information, but a significant proportion of users consume its content instead of consulting a physician. We sought to quantify the volume and characterize the accuracy of men's health-related content on TikTok and Instagram. We searched TikTok and Instagram for the terms: testosterone, erectile dysfunction, male infertility, semen retention, Peyronie's disease, and vasectomy. The top 10 hashtags for each term were used to estimate the total impressions for each term on each platform, and posts were then characterized by creator type, content type, and accuracy (1 to 5 scale). TikTok had 2,312,407,100 impressions and Instagram had 3,107,300 posts across all topics. Semen retention had the most impressions on TikTok (1,216,074,000) and posts on Instagram (1,077,000). Physicians created only a small portion of total TikTok and Instagram posts (10.3% and 12.9%, respectively). Across all topics, the accuracy of content was poor (2.6 +/- 1.7), however, physician posts were more accurate than non-physician posts (mean 4.2 +/- 1.2 vs 2.3 +/- 1.6, p &lt; 0.001, respectively). Men's health content is popular on TikTok and Instagram but is not accurate. We recommend that physicians actively engage in SoMe to address misinformation.</t>
  </si>
  <si>
    <t>[Dubin, Justin M.; Aguiar, Jonathan A.; Lin, Jasmine S.; Greenberg, Daniel R.; Keeter, Mary Kate; Pham, Minh N.; Hudnall, Matthew T.; Bennett, Nelson E.; Brannigan, Robert E.; Halpern, Joshua A.] Northwestern Univ, Feinberg Sch Med, Chicago, IL 60611 USA; [Fantus, Richard J.] Northshore Univ Hlth Syst, Dept Surg, Div Urol, Evanston, IL USA</t>
  </si>
  <si>
    <t>Northwestern University; Feinberg School of Medicine; NorthShore University Health System</t>
  </si>
  <si>
    <t>Dubin, JM (corresponding author), Northwestern Univ, Feinberg Sch Med, Chicago, IL 60611 USA.</t>
  </si>
  <si>
    <t>Jdubin50@gmail.com</t>
  </si>
  <si>
    <t>Fantus, Richard/0000-0002-7529-511X; Lin, Jasmine/0000-0003-2478-1668</t>
  </si>
  <si>
    <t>0955-9930</t>
  </si>
  <si>
    <t>1476-5489</t>
  </si>
  <si>
    <t>INT J IMPOT RES</t>
  </si>
  <si>
    <t>Int. J. Impot. Res.</t>
  </si>
  <si>
    <t>10.1038/s41443-022-00645-6</t>
  </si>
  <si>
    <t>OI8H5</t>
  </si>
  <si>
    <t>Green Submitted, Bronze, Green Published</t>
  </si>
  <si>
    <t>WOS:000885414300001</t>
  </si>
  <si>
    <t>Chen, YY; Wang, QY; Huang, XW; Zhang, Y; Li, YH; Ni, TY; Pan, G; Luo, DC; Ni, YQ</t>
  </si>
  <si>
    <t>Chen, Yuying; Wang, Qianyu; Huang, Xuanwei; Zhang, Yu; Li, Yuanhui; Ni, Tianyu; Pan, Gang; Luo, Dingcun; Ni, Yeqin</t>
  </si>
  <si>
    <t>The quality and reliability of short videos about thyroid nodules on BiliBili and TikTok: Cross-sectional study</t>
  </si>
  <si>
    <t>DIGITAL HEALTH</t>
  </si>
  <si>
    <t>Thyroid nodules; short videos; global quality score; DISCERN score; quality; reliability</t>
  </si>
  <si>
    <t>INFORMATION; YOUTUBE</t>
  </si>
  <si>
    <t>Background The detection rate of thyroid nodules has witnessed a significant surge in recent years, triggering heightened public apprehension. Short video platforms such as TikTok and BiliBili have showed tremendous potential in the dissemination of health information. There is a plethora of videos about thyroid nodules on TikTok and BiliBili, but the quality and reliability of videos concerning thyroid nodules remains unknown.Methods On December 3rd, 2023, the top 100 short videos related to thyroid nodules on BiliBili and TikTok were collected through a comprehensive search in Chinese. After extracting the basic information, the quality and reliability of each video was assessed by using the global quality score (GQS) and DISCERN score. Further, Spearman correlation analyses were applied to examine the correlation among video variables, GQS and DISCERN score.Results Compared to BiliBili, TikTok exhibits greater popularity, as evidenced by higher counts of likes (P = 0.021), comments (P = 0.008) and shares (P = 0.017). The median (interquartile range) scores of GQS and DISCERN score were 3 (2-3) on TikTok while 2 (2-3) on BiliBili. Both reviewers exhibited good consistency in GQS and DISCERN score. Moreover, it was observed that the videos shared by thyroid specialists demonstrated higher scores both in GQS (P = 0.014) and DISCERN score (P = 0.022) than others on TikTok. Spearman correlation analysis revealed no significant correlation between video variables and the scores of GQS and DISCERN score.Conclusions The quality and reliability of thyroid nodules videos on BiliBili and TikTok were unsatisfactory. Notably, videos shared by thyroid specialists are more likely to exhibit superior quality and reliability. People should exercise caution when perusing short videos.</t>
  </si>
  <si>
    <t>[Chen, Yuying; Wang, Qianyu; Huang, Xuanwei] Zhejiang Chinese Med Univ, Hangzhou Peoples Hosp 1, Sch Clin Med 4, Hangzhou, Zhejiang, Peoples R China; [Zhang, Yu; Li, Yuanhui; Pan, Gang; Luo, Dingcun; Ni, Yeqin] Westlake Univ, Affiliated Hangzhou Peoples Hosp 1, Sch Med, Dept Surg Oncol, Hangzhou, Zhejiang, Peoples R China; [Ni, Tianyu] Wenzhou Med Univ, Sch Med 1, Sch Informat &amp; Engn, Wenzhou, Zhejiang, Peoples R China</t>
  </si>
  <si>
    <t>Zhejiang Chinese Medical University; Westlake University; Wenzhou Medical University</t>
  </si>
  <si>
    <t>Pan, G; Luo, DC; Ni, YQ (corresponding author), Westlake Univ, Affiliated Hangzhou Peoples Hosp 1, Sch Med, Dept Surg Oncol, Hangzhou, Zhejiang, Peoples R China.</t>
  </si>
  <si>
    <t>xjxsh@163.com; ldc65@zju.edu.cn; nyq2018@alu.zcmu.edu.cn</t>
  </si>
  <si>
    <t>Zhejiang Medical and Health Science and Technology Plan Project</t>
  </si>
  <si>
    <t>The authors would like to express their gratitude to the participants who participated in the study.</t>
  </si>
  <si>
    <t>2055-2076</t>
  </si>
  <si>
    <t>DIGIT HEALTH</t>
  </si>
  <si>
    <t>Digit. Health</t>
  </si>
  <si>
    <t>10.1177/20552076241288831</t>
  </si>
  <si>
    <t>Health Care Sciences &amp; Services; Health Policy &amp; Services; Public, Environmental &amp; Occupational Health; Medical Informatics</t>
  </si>
  <si>
    <t>Health Care Sciences &amp; Services; Public, Environmental &amp; Occupational Health; Medical Informatics</t>
  </si>
  <si>
    <t>I2Q7I</t>
  </si>
  <si>
    <t>WOS:001328759500001</t>
  </si>
  <si>
    <t>Huber, B; Lepenies, R; Baena, LQ; Allgaier, J</t>
  </si>
  <si>
    <t>Huber, Brigitte; Lepenies, Robert; Baena, Luis Quesada; Allgaier, Joachim</t>
  </si>
  <si>
    <t>Beyond Individualized Responsibility Attributions? How Eco Influencers Communicate Sustainability on TikTok</t>
  </si>
  <si>
    <t>ENVIRONMENTAL COMMUNICATION-A JOURNAL OF NATURE AND CULTURE</t>
  </si>
  <si>
    <t>Environmental communication; science communication; sustainability; social media; TikTok</t>
  </si>
  <si>
    <t>CLIMATE-CHANGE; MEDIA; PERSPECTIVES; ISSUES; FEAR</t>
  </si>
  <si>
    <t>Sustainability communication is of increasing importance. While sustainability communication in traditional media has already been well researched, more research is needed about social media platforms in this regard. By focusing on sustainability communication on TikTok, this study makes an important contribution to the literature. More specifically, we investigate how eco influencers communicate sustainability on TikTok. Findings from content analysis (n = 242) reveal that eco influencers cover a wide range of different topics. Individual responsibility attributions are dominant in short videos posted on the platform. Videos presenting broader perspectives are more likely to refer to empirical evidence. Implications for science and environmental communicators are discussed.</t>
  </si>
  <si>
    <t>[Huber, Brigitte] IU Int Univ Appl Sci, Berg Am Laim Str 47, D-81673 Munich, Germany; [Huber, Brigitte; Baena, Luis Quesada] Univ Vienna, Fac Social Sci, Dept Commun, Vienna, Austria; [Lepenies, Robert] Karlshsch Int Univ, Karlsruhe, Germany; [Allgaier, Joachim] Fulda Univ Appl Sci, Dept Nutr Food &amp; Consumer Sci, Fulda, Germany</t>
  </si>
  <si>
    <t>University of Vienna</t>
  </si>
  <si>
    <t>Huber, B (corresponding author), IU Int Univ Appl Sci, Berg Am Laim Str 47, D-81673 Munich, Germany.</t>
  </si>
  <si>
    <t>brigitte.huberl@iu.org</t>
  </si>
  <si>
    <t>Lepenies, Robert/W-8082-2019</t>
  </si>
  <si>
    <t>Huber, Brigitte/0000-0002-9070-4962; Lepenies, Robert/0000-0002-4454-5921; Allgaier, Joachim/0000-0001-7085-7315; Quesada Baena, Luis/0000-0001-5170-6896</t>
  </si>
  <si>
    <t>Open Access funding provided by University of Vienna.</t>
  </si>
  <si>
    <t>1752-4032</t>
  </si>
  <si>
    <t>1752-4040</t>
  </si>
  <si>
    <t>ENVIRON COMMUN</t>
  </si>
  <si>
    <t>Environ. Commun.</t>
  </si>
  <si>
    <t>AUG 18</t>
  </si>
  <si>
    <t>10.1080/17524032.2022.2131868</t>
  </si>
  <si>
    <t>Communication; Environmental Studies</t>
  </si>
  <si>
    <t>Communication; Environmental Sciences &amp; Ecology</t>
  </si>
  <si>
    <t>6X9TG</t>
  </si>
  <si>
    <t>WOS:000868227100001</t>
  </si>
  <si>
    <t>Pleasure, ZH; Becker, A; Johnson, DM; Broussard, K; Lindberg, L</t>
  </si>
  <si>
    <t>Pleasure, Zoe H.; Becker, Andrea; Johnson, Dana M.; Broussard, Kathleen; Lindberg, Laura</t>
  </si>
  <si>
    <t>How TikTok is being used to talk about abortion post- Roe : A content analysis of the most liked abortion TikToks</t>
  </si>
  <si>
    <t>Abortion; Health information; Online sharing; Social media; TikTok</t>
  </si>
  <si>
    <t>SELF-REMOVAL; IUD</t>
  </si>
  <si>
    <t>Objectives: Access to information about abortion is essential for ensuring reproductive autonomy, particularly post - Roe . TikTok, a popular video -sharing application, may be a source of information about abortion, yet little is known about the tone and content of such videos. To fill this gap, we analyze the most liked abortion videos on TikTok three months following the U.S. Supreme Court decision Dobbs v. Jackson Women's Health Organization. Study design: We downloaded the top 200 most liked, publicly available TikTok videos when searching abortion on September 26, 2022 and recorded and summarized key video characteristics. We then qualitatively analyzed for content, tone, and common themes. Results: The top 200 most liked TikTok videos collectively had approximately 164 million likes, nearly 10 million shares, and 4 million comments. Most videos expressed support for abortion and presented information that was political or personal in nature. Only two videos contained health information about obtaining or completing an abortion, and only five videos featured or were created by a medical provider. Conclusions: Findings reveal the far reach of TikTok, which underscores the importance of analyzing online sources of information about abortion. However, our mixed -methods analysis indicates that the most liked TikToks are a source of abortion news, political opinion, personal stories, and debate rather than a source of health information for abortion seekers. Implications: Our analysis finds that the top 200 most liked TikTok videos three months post - Dobbs are primarily political in nature. Relatively few videos provided practical information about accessing abortion care, presenting an opportunity for healthcare providers, public health advocates, and activists to improve access and awareness of new pathways to care. The most popular TikTok videos appear to disseminate news and political information rather than health information about abortion. (c) 2024 Elsevier Inc. All rights reserved.</t>
  </si>
  <si>
    <t>[Pleasure, Zoe H.] Univ Washington, Sch Publ Hlth, Dept Hlth Syst &amp; Populat Hlth, Seattle, WA 98195 USA; [Becker, Andrea] Univ Calif San Francisco, Dept Obstet Gynecol &amp; Reprod Sci, Adv New Stand Reprod Hlth, San Francisco, CA USA; [Johnson, Dana M.] Ibis Reprod Hlth, Cambridge, MA USA; [Broussard, Kathleen] Univ South Carolina, Dept Sociol, Columbia, SC USA; [Lindberg, Laura] Rutgers State Univ, Dept Urban Global Publ Hlth, Sch Publ Hlth, Newark, NJ USA</t>
  </si>
  <si>
    <t>University of Washington; University of Washington Seattle; University of California System; University of California San Francisco; University of South Carolina System; University of South Carolina Columbia; Rutgers University System; Rutgers University New Brunswick; Rutgers University Newark</t>
  </si>
  <si>
    <t>Pleasure, ZH (corresponding author), Univ Washington, Sch Publ Hlth, Dept Hlth Syst &amp; Populat Hlth, Seattle, WA 98195 USA.</t>
  </si>
  <si>
    <t>zoep2@uw.edu</t>
  </si>
  <si>
    <t>Broussard, Kathleen/JCE-9733-2023</t>
  </si>
  <si>
    <t>Broussard, Kathleen/0000-0002-6312-7207; Becker, Andrea/0000-0002-7948-4276; Pleasure, Zoe/0000-0003-0906-5751</t>
  </si>
  <si>
    <t>10.1016/j.contraception.2024.110384</t>
  </si>
  <si>
    <t>PZ5D3</t>
  </si>
  <si>
    <t>WOS:001217903700001</t>
  </si>
  <si>
    <t>Ulla, MB; Lemana, HE II; Kohnke, L</t>
  </si>
  <si>
    <t>Ulla, Mark B.; Lemana, Henry e.; Kohnke, Lucas</t>
  </si>
  <si>
    <t>Unveiling the TikTok Teacher: The Construction of Teacher Identity in the Digital Spotlight</t>
  </si>
  <si>
    <t>JOURNAL OF INTERACTIVE MEDIA IN EDUCATION</t>
  </si>
  <si>
    <t>identity formation; teacher identity; TikTok teachers; TikTok; social media</t>
  </si>
  <si>
    <t>SOCIAL MEDIA; CONTEXT; AGENCY; WORK</t>
  </si>
  <si>
    <t>The current study explores the TikTok identities of Thai university teachers and how those identities impact their professional identity as teachers. Five English as a Foreign Language (EFL) university teachers in Thailand voluntarily participated in semistructured individual interviews. Findings obtained using an exploratory -descriptive qualitative research design confirmed existing findings that teachers' identities are multifaceted. However, in the context of a digital teacher's identity, teachers displayed unique identities (e.g., expressive, relational, adaptive, and progressive) that also shaped their identity as teacher -educators. Such identities impact their professional teacher's identity, allowing them to project an authentic teacher -self, become caring and approachable teachers to their students and colleagues, forge genuine connections, and implement pedagogical innovations and practices. The findings also acknowledge the profound influence of TikTok on teachers' identities and professional practices. Furthermore, this study highlights the convergence of technology and social media platforms as influential in constructing a teacher's professional identity and promoting pedagogical advances. The findings offer a significant contribution, shedding light on the potential advantages of using TikTok within the teaching and learning process.</t>
  </si>
  <si>
    <t>[Ulla, Mark B.; Lemana, Henry e.] Walailak Univ, Walailak, Thailand; [Kohnke, Lucas] Educ Univ Hong Kong, Hong Kong, Peoples R China</t>
  </si>
  <si>
    <t>Walailak University; Education University of Hong Kong (EdUHK)</t>
  </si>
  <si>
    <t>Ulla, MB (corresponding author), Walailak Univ, Walailak, Thailand.</t>
  </si>
  <si>
    <t>mark.ul@mail.wu.ac.th</t>
  </si>
  <si>
    <t>ULLA, MARK/N-7703-2018; Kohnke, Lucas/R-5263-2019; Lemana, Henry II/KZU-3908-2024</t>
  </si>
  <si>
    <t>Kohnke, Lucas/0000-0001-6717-5719; LEMANA II, PhD, LPT, SMRIEdr, FHEA, HENRY/0000-0002-0551-0443</t>
  </si>
  <si>
    <t>UBIQUITY PRESS LTD</t>
  </si>
  <si>
    <t>Unit 3N, 6 Osborn Street, LONDON, E1 6TD, ENGLAND</t>
  </si>
  <si>
    <t>1365-893X</t>
  </si>
  <si>
    <t>J INTERACT MEDIA EDU</t>
  </si>
  <si>
    <t>J. Interact. Media Educ.</t>
  </si>
  <si>
    <t>MAY 7</t>
  </si>
  <si>
    <t>10.5334/jime.845</t>
  </si>
  <si>
    <t>RK4Z6</t>
  </si>
  <si>
    <t>WOS:001227558100002</t>
  </si>
  <si>
    <t>Wahid, R; Karjaluoto, H; Ukpabi, D; Taiminen, K</t>
  </si>
  <si>
    <t>Ferrer-Rosell, B; Massimo, D; Berezina, K</t>
  </si>
  <si>
    <t>Wahid, Risqo; Karjaluoto, Heikki; Ukpabi, Dandison; Taiminen, Kimmo</t>
  </si>
  <si>
    <t>Can TikTok Sound Enhance Tourism SMEs' Engagement?</t>
  </si>
  <si>
    <t>INFORMATION AND COMMUNICATION TECHNOLOGIES IN TOURISM 2023, ENTER 2023</t>
  </si>
  <si>
    <t>International-Federation-for-IT-and-Travel-and-Tourism (IFITT) 30th Annual International eTourism Conference (ENTER23)</t>
  </si>
  <si>
    <t>JAN 18-20, 2023</t>
  </si>
  <si>
    <t>Johannesburg, SOUTH AFRICA</t>
  </si>
  <si>
    <t>Int Federat IT &amp; Travel &amp; Tourism,Seeza Network</t>
  </si>
  <si>
    <t>Tourism SMEs; TikTok; Content marketing; Customer engagement; Social media</t>
  </si>
  <si>
    <t>POPULARITY</t>
  </si>
  <si>
    <t>This study explores the role of sound and its interaction with marketer-generated content (MGC) (i.e., emotional, informational, transactional) in influencing customer engagement (CE) (i.e., views and shares) in the context of tourism SMEs and TikTok. Content analysis was conducted to analyze data from 7 travel guide services in Indonesia. The final dataset comprised 660 TikTok videos, 4,092,289 views, and 10,920 shares. The results confirm that cover sound has no direct effect either on views or shares. Also, cover sound has no interaction effects with any MGC in impacting CE (i.e., views and shares). Individually, the MGC of emotional content has significant and positive effects on views, while informational and transactional posts have no significant effects on views. Further, transactional social media posts have significant and positive effects on shares, while informational and emotional posts have no significant effects on shares. Theoretically, this study expands content marketing and tourism CE literature by investigating factors driving CE in the context of tourism SMEs and TikTok. Practically, findings from this research can assist tourism SMEs in optimizing their content marketing strategies on TikTok.</t>
  </si>
  <si>
    <t>[Wahid, Risqo; Karjaluoto, Heikki; Ukpabi, Dandison; Taiminen, Kimmo] Univ Jyvaskyla, Sch Business &amp; Econ, Jyvaskyla, Finland</t>
  </si>
  <si>
    <t>University of Jyvaskyla</t>
  </si>
  <si>
    <t>Wahid, R (corresponding author), Univ Jyvaskyla, Sch Business &amp; Econ, Jyvaskyla, Finland.</t>
  </si>
  <si>
    <t>risqo.m.wahid@jyu.fi</t>
  </si>
  <si>
    <t>Ukpabi, Dandison/E-7277-2018; Karjaluoto, Heikki/M-4488-2014; Wahid, Risqo/HDM-3488-2022</t>
  </si>
  <si>
    <t>Wahid, Risqo/0000-0002-4646-0358; Karjaluoto, Heikki/0000-0002-5696-7355; Ukpabi, Dandison Chukwu-Nna/0000-0002-5081-354X</t>
  </si>
  <si>
    <t>978-3-031-25751-3; 978-3-031-25752-0</t>
  </si>
  <si>
    <t>10.1007/978-3-031-25752-0_15</t>
  </si>
  <si>
    <t>BV3YB</t>
  </si>
  <si>
    <t>WOS:001025670500015</t>
  </si>
  <si>
    <t>Gordon, Y; Tirosh, N</t>
  </si>
  <si>
    <t>Gordon, Yael; Tirosh, Noam</t>
  </si>
  <si>
    <t>'Things that can only happen on . . . TikTok': A case study of a female Ukrainian refugee's use of a voice-enabling platform</t>
  </si>
  <si>
    <t>Refugee voice; refugees; TikTok; Ukrainian refugees</t>
  </si>
  <si>
    <t>SOCIAL MEDIA; GENDER; MIGRANTS; ACTIVISM; CRISIS</t>
  </si>
  <si>
    <t>Since the Russian invasion of Ukraine in February 2022, more than 6 million Ukrainians have been uprooted and made refugees, while many more have been displaced (both in Ukraine and abroad). The war in Ukraine has been termed the world's first 'TikTok war', placing TikTok as a central site which contains various perspectives and information about and from the frontlines of the war. This article focuses on Valeria Shashenok, a Ukrainian photographer who uses TikTok as a platform to convey the story of the Russian invasion from her perspective and to document her daily life during the war and as a refugee. This study examines how Valeria uses TikTok as a voice-enabling platform by analysing 62 clips she published during the first 9 months of the war. Our findings demonstrate that Valeria takes advantage of TikTok's unique affordances to express her political agency through what we have defined as 'political playfulness'. In addition, we show how Valeria negotiates her gender identity, navigating between the various components of her identity as a woman and as a refugee, while not letting herself be limited by either of the two. This article offers a novel perspective on how refugees use a new social medium to negotiate their place in their world and counter long-held forms of representation by others.</t>
  </si>
  <si>
    <t>[Gordon, Yael; Tirosh, Noam] Ben Gurion Univ Negev, Dept Commun Studies, Ben Gurion Blvd 1, IL-8410501 Beer Sheva, Israel</t>
  </si>
  <si>
    <t>Ben Gurion University</t>
  </si>
  <si>
    <t>Gordon, Y (corresponding author), Ben Gurion Univ Negev, Dept Commun Studies, Ben Gurion Blvd 1, IL-8410501 Beer Sheva, Israel.</t>
  </si>
  <si>
    <t>Y.Gordon@lse.ac.uk</t>
  </si>
  <si>
    <t>2024 JUN 7</t>
  </si>
  <si>
    <t>10.1177/13675494241258965</t>
  </si>
  <si>
    <t>TN8D6</t>
  </si>
  <si>
    <t>WOS:001242025000001</t>
  </si>
  <si>
    <t>Tinjacá, JAW; Sierra, HFG; González, CN</t>
  </si>
  <si>
    <t>Tinjaca, Jaime Andres Wilches; Sierra, Hugo Fernando Guerrero; Gonzalez, Cesar Nino</t>
  </si>
  <si>
    <t>TikTok in Political Campaigns: A Case Study of Colombia's 2023 Regional Elections</t>
  </si>
  <si>
    <t>PALABRA CLAVE</t>
  </si>
  <si>
    <t>Political campaigns; Colombia; regional elections; social media; TikTok</t>
  </si>
  <si>
    <t>COMMUNICATION</t>
  </si>
  <si>
    <t>The use of TikTok in political campaigns has become a global and local trend because it makes it cheaper to finance candidates and allows the exploration of multimedia formats. The article intends to analyze the use of this social media platform in the regional elections of Colombia during 2023, hypothesizing that regardless of the geographical context, it influenced the election of the winning candidates and strengthened the theoretical position of the interface laws. The methodology takes as a corpus the number of followers and TikTok videos made by the two candidates with the highest number of votes in each of Colombia's 32 departments and capitals. The method integrates two strategies: a descriptive analysis of social media that evidences the cases in which the winning candidate had more followers or communicative pieces on TikTok and a canonical correlation analysis that establishes the relationship between the use of the platform and the country's geographical areas. The discussion suggests that TikTok has become a fundamental tool for political campaigns that transcend territory and that this trend will continue to rise due to the uniqueness of its algorithm and the diversity of offers for user interaction. The article contributes to the literature on electoral campaigns, TikTok interface, and influence in territorial contexts. Finally, we propose a research agenda that delves into the transformations of this phenomenon for pop-political culture and social emotions.</t>
  </si>
  <si>
    <t>[Tinjaca, Jaime Andres Wilches] Politecn Grancolombiano, Bogota, Colombia; [Sierra, Hugo Fernando Guerrero] Univ Mil Nueva Granada, Bogota, Colombia; [Gonzalez, Cesar Nino] Univ La Salle, Bogota, Colombia</t>
  </si>
  <si>
    <t>Universidad Militar Nueva Granada; Universidad de La Salle</t>
  </si>
  <si>
    <t>González, CN (corresponding author), Univ La Salle, Bogota, Colombia.</t>
  </si>
  <si>
    <t>jwilches@poligran.edu.co; hugo.guerrero@unimilitar.edu.co; cnino@unisalle.edu.co</t>
  </si>
  <si>
    <t>Wilches, Jaime Andres/ITN-3972-2023; Guerrero Sierra Ph.D., Hugo Fernando/D-3690-2017</t>
  </si>
  <si>
    <t>Wilches, Jaime Andres/0000-0002-4425-9394; Guerrero Sierra Ph.D., Hugo Fernando/0000-0002-7280-1662</t>
  </si>
  <si>
    <t>UNIV SABANA, FAC COMUNICACION</t>
  </si>
  <si>
    <t>CUNDINAMARCA</t>
  </si>
  <si>
    <t>CAMPUS PUENTE COMUN, KM 7, AUTOPISTA NORTE BOGOTA CHIA, CUNDINAMARCA, 00000, COLOMBIA</t>
  </si>
  <si>
    <t>0122-8285</t>
  </si>
  <si>
    <t>2027-534X</t>
  </si>
  <si>
    <t>Palabra Clave</t>
  </si>
  <si>
    <t>e2721</t>
  </si>
  <si>
    <t>10.5294/pacla.2024.27.2.1</t>
  </si>
  <si>
    <t>RN7L8</t>
  </si>
  <si>
    <t>WOS:001228406800001</t>
  </si>
  <si>
    <t>Martín-Ramallal, P; Ruiz-Mondaza, M</t>
  </si>
  <si>
    <t>Martin-Ramallal, Pablo; Ruiz-Mondaza, Mercedes</t>
  </si>
  <si>
    <t>Child protection agents and social networks. The TiKToK dilemma</t>
  </si>
  <si>
    <t>TiKToK; minors; young prosumers; normative; digital literacy; media literacy</t>
  </si>
  <si>
    <t>FACEBOOK; MINORS</t>
  </si>
  <si>
    <t>Minors must enjoy all rights and freedoms, and they must be provided with guarantees for their self-realisation. Videos on social networks are the showcase wherein they project their personality and concerns. In Information and Communication Technologies, young people find the tools and languages whereby they develop their creativity and socialise. The article focuses on the protection systems that TiKToK offers to minors given its penetration among them. In the results phase, an analysis was performed based on a review of the Conditions of Use and other instruments, all confronted by the youth protection agents, closing with a brief presentation of cases. A range of videos created and broadcast by minors were observed. As a discussion, the work shows that TiKToK presents some questions that diverge from the specific framework in which it operates, opting to present general norms for contexts in which greater specificity would have been desirable. We conclude by acknowledging that TiKToK makes efforts to control the access of minors, as well as the content they generate and consume, but this dilemma is not always met.</t>
  </si>
  <si>
    <t>[Martin-Ramallal, Pablo] Univ Pablo Olavide, Ctr Univ San Isidoro, Seville, Spain; [Ruiz-Mondaza, Mercedes] Escuela Univ Osuna, Seville, Spain</t>
  </si>
  <si>
    <t>Universidad Pablo de Olavide</t>
  </si>
  <si>
    <t>Martín-Ramallal, P (corresponding author), Univ Pablo Olavide, Ctr Univ San Isidoro, Seville, Spain.</t>
  </si>
  <si>
    <t>pmartin@centrosanisidoro.es; mercedesrm@euosuna.org</t>
  </si>
  <si>
    <t>Martín Ramallal, Pablo/HMV-1354-2023</t>
  </si>
  <si>
    <t>Martin Ramallal, Pablo/0000-0003-3055-7312</t>
  </si>
  <si>
    <t>10.14198/MEDCOM.20776</t>
  </si>
  <si>
    <t>5C7UL</t>
  </si>
  <si>
    <t>WOS:000864460700004</t>
  </si>
  <si>
    <t>De Melo, A</t>
  </si>
  <si>
    <t>De Melo, Alysia</t>
  </si>
  <si>
    <t>The Influence of BookTok on Literary Criticisms and Diversity</t>
  </si>
  <si>
    <t>TikTok; BookTok; Book Criticism; Diversity; Publishing Industry</t>
  </si>
  <si>
    <t>BookTok, a TikTok community where creators discuss and review books, influences the publishing industry as books that gain popularity on TikTok have seen mainstream success. BookTok is believed to be a diverse space where stories about marginalized identities are celebrated. This is in opposition to the traditional publishing world that is dominated by White, heterosexual, cis-gendered men. However, despite misconceptions, online spaces are notably homogeneous, and TikTok does not appear to diverge from these patterns. By analyzing 55 TikTok videos collected from the BookTok community, this study analyzes the race, gender, and sexual orientation of TikTok creators, authors, and main characters of BookTok books. This article aims to understand the effects social media applications such as TikTok have on the publishing world and to understand BookTok's relation to diversity. While there is more gender equity among the authors of BookTok than in the traditional publishing world, there continues to be a deficiency in the prevalence of marginalized authors on the platform. Although women creators and women authors are popular on the app, most of these women are White. In addition, the authors who are most discussed on BookTok do not typically include persons of color or members of the LGBTQ+ community. The tendency for authors to write about their own experiences results in there being few characters of color and few books about members of the LGBTQ+ community. Publishing houses should prioritize increased collaboration with authors of color and LGBTQ+ authors, while also using BookTok to promote and advertise their work.</t>
  </si>
  <si>
    <t>[De Melo, Alysia] Univ Toronto, Toronto, ON, Canada</t>
  </si>
  <si>
    <t>University of Toronto</t>
  </si>
  <si>
    <t>De Melo, A (corresponding author), Univ Toronto, Dept Sociol, 17th Floor,Ontario Power Bldg 700 Univ Ave,Unit 17, Toronto, ON M5S 1A1, Canada.</t>
  </si>
  <si>
    <t>alysia.demelo@mail.utoronto.ca</t>
  </si>
  <si>
    <t>10.1177/20563051241286700</t>
  </si>
  <si>
    <t>I1K7O</t>
  </si>
  <si>
    <t>WOS:001327922000001</t>
  </si>
  <si>
    <t>Poulakidakos, S</t>
  </si>
  <si>
    <t>Poulakidakos, Stamatis</t>
  </si>
  <si>
    <t>Greek political leaders on TikTok: crafting visual bonds in election and non-election times</t>
  </si>
  <si>
    <t>COMMUNICATION; PERSONALIZATION</t>
  </si>
  <si>
    <t>Through social media platforms (SMPs), politicians share professional, personal, and even private information in an effort to connect with both influential personalities and ordinary individuals. Specifically, politicians' use of TikTok can be seen as a strategy to generate visual flows of professional, personal, and private moments aimed at crafting visual bonds with TikTok users. This research comparatively analyzes how the leaders of the three largest political parties in Greece -New Democracy, SYRIZA, and PASOK-Kinal- shape their public images through TikTok video posts. The analysis covers their activity on the platform from its inception until mid-March 2024 (March 15, 2024), including the recent double general elections held in Greece in late May and late June 2023. The study explores how Greek politicians use TikTok, with a focus on platform-specific strategies that convey authenticity and intimacy to users. It also compares communication tactics across political leaders and electoral periods, integrating the findings with previous research on Instagram. The communication strategies that seek to enhance the ordinariness aspect of politicians appear to have a significant positive effect on viewer engagement with TikTok videos, while the presentation of political activities appears to have a negative correlation to user engagement. Overall, this research aims to contribute to the literature by offering a nuanced understanding of how politicians utilize TikTok to shape their public image, engage with audiences, and navigate the complexities of digital communication in the political sphere.</t>
  </si>
  <si>
    <t>[Poulakidakos, Stamatis] Univ Western Macedonia, Kozani, Greece</t>
  </si>
  <si>
    <t>University of Western Macedonia</t>
  </si>
  <si>
    <t>Poulakidakos, S (corresponding author), Univ Western Macedonia, Kozani, Greece.</t>
  </si>
  <si>
    <t>spoulakidakos@uowm.gr</t>
  </si>
  <si>
    <t>Poulakidakos, Stamatis/AAH-7311-2019</t>
  </si>
  <si>
    <t>Poulakidakos, Stamatis/0000-0003-2567-3757</t>
  </si>
  <si>
    <t>SEP 27</t>
  </si>
  <si>
    <t>10.1057/s41599-024-03814-8</t>
  </si>
  <si>
    <t>H2N4D</t>
  </si>
  <si>
    <t>WOS:001321854500035</t>
  </si>
  <si>
    <t>Nguyen, H; Diederich, M</t>
  </si>
  <si>
    <t>Ha Nguyen; Diederich, Morgan</t>
  </si>
  <si>
    <t>How Civil are Comments on TikTok's Educational Videos? Insights for Learning at Scale</t>
  </si>
  <si>
    <t>PROCEEDINGS OF THE TENTH ACM CONFERENCE ON LEARNING @ SCALE, L@S 2023</t>
  </si>
  <si>
    <t>10th ACM Conference on Learning at Scale (L at S)</t>
  </si>
  <si>
    <t>JUL 20-22, 2023</t>
  </si>
  <si>
    <t>Univ Copenhagen, Copenhagen, DENMARK</t>
  </si>
  <si>
    <t>Assoc Comp Machinery,KTH Royal Inst Technol</t>
  </si>
  <si>
    <t>Univ Copenhagen</t>
  </si>
  <si>
    <t>social network; incivility; content moderation</t>
  </si>
  <si>
    <t>INCIVILITY; ONLINE</t>
  </si>
  <si>
    <t>Social networking sites present opportunities for informal learning at scale. Researchers have explored the use of TikTok, a site for sharing short-formed videos, for informal and formal learning. As we consider the learning potential of sites like TikTok, it is equally important to investigate features that may discourage learning. Our work examines the pervasiveness of incivility, or offensive language targeting individuals and ideas, in videos categorized with educational hashtags on TikTok. We collect a corpus of 346,626 TikTok comments, and find a small percentage (1.5%) with uncivil content that might turn someone away from the discussion. To understand participation patterns, we compare comment threads in videos with the highest average incivility to the rest of the corpus. These comment threads generally have earlier appearance of uncivil content, lower participation from video creators, and less unique participation from different users. Findings have implications for content moderation in online discussions, to deprioritize uncivil content and encourage facilitation from content creators.</t>
  </si>
  <si>
    <t>[Ha Nguyen; Diederich, Morgan] Utah State Univ, Logan, UT 84322 USA</t>
  </si>
  <si>
    <t>Utah System of Higher Education; Utah State University</t>
  </si>
  <si>
    <t>Nguyen, H (corresponding author), Utah State Univ, Logan, UT 84322 USA.</t>
  </si>
  <si>
    <t>ha.nguyen@usu.com; morgan.diederich@usu.edu</t>
  </si>
  <si>
    <t>Nguyen, Ha/HLW-9711-2023</t>
  </si>
  <si>
    <t>Nguyen, Ha/0000-0001-7138-1427</t>
  </si>
  <si>
    <t>979-8-4007-0025-5</t>
  </si>
  <si>
    <t>10.1145/3573051.3596174</t>
  </si>
  <si>
    <t>Computer Science, Interdisciplinary Applications; Computer Science, Theory &amp; Methods; Education &amp; Educational Research; Education, Scientific Disciplines</t>
  </si>
  <si>
    <t>BW2TW</t>
  </si>
  <si>
    <t>WOS:001125787500036</t>
  </si>
  <si>
    <t>Olsson, SE; Friedlich, N; Bolds, A; Hodge, A; Jamali, T; Lagomichos, M</t>
  </si>
  <si>
    <t>Olsson, Sofia Eva; Friedlich, Nicole; Bolds, Alexis; Hodge, Alison; Jamali, Taylor; Lagomichos, Melanie</t>
  </si>
  <si>
    <t>Exploring Menstrual Education via TikTok: A Descriptive Content Analysis</t>
  </si>
  <si>
    <t>JOURNAL OF ADOLESCENT HEALTH</t>
  </si>
  <si>
    <t>Menstrual education; Menarche; Social media; TikTok; Adolescent education; Menstrual cycle</t>
  </si>
  <si>
    <t>EXPERIENCES; MENARCHE; GIRLS</t>
  </si>
  <si>
    <t>Purpose: TikTok has rapidly emerged as one of the foremost social media platforms for young adults and adolescents, becoming the most-downloaded app in 2022. With its broad reach across demographics, TikTok may be leveraged as a tool for teaching and destigmatizing topics such as menstruation. This study is the first to analyze the quality of menstruation-related content on TikTok. Methods: This cross-sectional study of TikTok videos and corresponding accounts examined six pre-determined menstruation-related hashtags in May 2023. Deductive qualitative analysis was performed between three coders to identify themes and content of the available videos. Results: A total of 140 videos created by 107 unique accounts were identi fied. The videos had varying purposes including audience education (66%), entertainment (35%), and product advertisement (17%). Videos mentioned various menstrual hygiene products, menstruation-related advice, and symptoms of menses. A vast majority of videos appeared to be created by laypersons with only 8% being led by health-care professionals. Discussion: With TikTok 's usage as a social platform among youth, it displays potential as a tool to enhance menstrual education and destigmatization. There is a need for more menstruation experts to join the platform and provide quality material for users. (c) 2024 Society for Adolescent Health and Medicine. All rights are reserved, including those for text and data mining, AI training, and similar technologies.</t>
  </si>
  <si>
    <t>[Olsson, Sofia Eva; Friedlich, Nicole; Bolds, Alexis; Hodge, Alison; Jamali, Taylor; Lagomichos, Melanie] Texas Christian Univ, Anne Burnett Marion Sch Med, Ft Worth, TX USA; [Olsson, Sofia Eva] TCU Box 297085, Ft Worth, TX 76129 USA</t>
  </si>
  <si>
    <t>Texas Christian University</t>
  </si>
  <si>
    <t>Olsson, SE (corresponding author), TCU Box 297085, Ft Worth, TX 76129 USA.</t>
  </si>
  <si>
    <t>fia.olsson@tcu.edu</t>
  </si>
  <si>
    <t>Olsson, Sofia/0000-0002-4678-9962</t>
  </si>
  <si>
    <t>1054-139X</t>
  </si>
  <si>
    <t>1879-1972</t>
  </si>
  <si>
    <t>J ADOLESCENT HEALTH</t>
  </si>
  <si>
    <t>J. Adolesc. Health</t>
  </si>
  <si>
    <t>10.1016/j.jadohealth.2024.04.020</t>
  </si>
  <si>
    <t>Psychology, Developmental; Public, Environmental &amp; Occupational Health; Pediatrics</t>
  </si>
  <si>
    <t>Psychology; Public, Environmental &amp; Occupational Health; Pediatrics</t>
  </si>
  <si>
    <t>ZD0M7</t>
  </si>
  <si>
    <t>WOS:001273237000001</t>
  </si>
  <si>
    <t>Minadeo, M; Pope, L</t>
  </si>
  <si>
    <t>Minadeo, Marisa; Pope, Lizzy</t>
  </si>
  <si>
    <t>Weight-normative messaging predominates on TikTok-A qualitative content analysis</t>
  </si>
  <si>
    <t>SOCIAL MEDIA; BODY-WEIGHT; HEALTH INDICATORS; INSTAGRAM; IMPACT; BIAS; STIGMA; IMAGE; SELF; FAT</t>
  </si>
  <si>
    <t>Tiktok is a social media platform with many adolescent and young adult users. Food, nutrition, and weight-related posts are popular on TikTok, yet there is little understanding of the content of these posts, and whether nutrition-related content is presented by experts. The objective was to identify key themes in food, nutrition, and weight-related posts on TikTok. 1000 TikTok videos from 10 popular nutrition, food, and weight-related hashtags each with over 1 billion views were downloaded and analyzed using template analysis. The one-hundred most viewed videos were downloaded from each of the ten chosen hashtags. Two coders then coded each video for key themes. Key themes included the glorification of weight loss in many posts, the positioning of food to achieve health and thinness, and the lack of expert voices providing nutrition information. The majority of posts presented a weight-normative view of health, with less than 3% coded as weight-inclusive. Most posts were created by white, female adolescents and young adults. Nutrition-related content on TikTok is largely weight normative, and may contribute to disordered eating behaviors and body dissatisfaction in the young people that are TikTok's predominant users. Helping users discern credible nutrition information, and eliminate triggering content from their social media feeds may be strategies to address the weight-normative social media content that is so prevalent.</t>
  </si>
  <si>
    <t>[Minadeo, Marisa; Pope, Lizzy] Univ Vermont, Dept Nutr &amp; Food Sci, Burlington, VT 05405 USA</t>
  </si>
  <si>
    <t>University of Vermont</t>
  </si>
  <si>
    <t>Pope, L (corresponding author), Univ Vermont, Dept Nutr &amp; Food Sci, Burlington, VT 05405 USA.</t>
  </si>
  <si>
    <t>efpope@uvm.edu</t>
  </si>
  <si>
    <t>NOV 1</t>
  </si>
  <si>
    <t>e0267997</t>
  </si>
  <si>
    <t>10.1371/journal.pone.0267997</t>
  </si>
  <si>
    <t>8M8HL</t>
  </si>
  <si>
    <t>Green Submitted, Green Published, gold</t>
  </si>
  <si>
    <t>WOS:000924698600003</t>
  </si>
  <si>
    <t>Hazari, S; Talpade, S; Brown, CO</t>
  </si>
  <si>
    <t>Hazari, Sunil; Talpade, Salil; Brown, Cheryl O'Meara</t>
  </si>
  <si>
    <t>Do brand influencers matter on TikTok? A social influence theory perspective</t>
  </si>
  <si>
    <t>JOURNAL OF MARKETING THEORY AND PRACTICE</t>
  </si>
  <si>
    <t>PURCHASE DECISION; SCALE DEVELOPMENT; MEDIA ENGAGEMENT; SAMPLE-SIZE; INTENTION; LOYALTY; ROLES; COMMERCE; STRATEGY; MODEL</t>
  </si>
  <si>
    <t>Businesses are advertising on TikTok by using brand influencers to create awareness, promote, and sell products. Using the lens of the social influence theory, this study investigated engagement, loyalty, and purchase likelihood as constructs that impact brand influencer advertising. Structural equation modeling was used to analyze data in this study. The findings showed that brand influencer impact was associated with previous engagement and purchase likelihood of TikTok users. Previous perceptions toward brand influencers did not moderate the impact of brand influencer advertising. Theoretical and managerial implications from the results are discussed, providing guidance for future research on TikTok advertising.</t>
  </si>
  <si>
    <t>[Hazari, Sunil; Talpade, Salil; Brown, Cheryl O'Meara] Univ West Georgia, Richards Coll Business, Dept Mkt, Carrollton, GA USA; [Hazari, Sunil] Univ West Georgia, Richards Coll Business, Dept Mkt, 1601 Maple St, Carrollton, GA 30118 USA</t>
  </si>
  <si>
    <t>University System of Georgia; University of West Georgia; University System of Georgia; University of West Georgia</t>
  </si>
  <si>
    <t>Hazari, S (corresponding author), Univ West Georgia, Richards Coll Business, Dept Mkt, 1601 Maple St, Carrollton, GA 30118 USA.</t>
  </si>
  <si>
    <t>shazari@westga.edu</t>
  </si>
  <si>
    <t>1069-6679</t>
  </si>
  <si>
    <t>1944-7175</t>
  </si>
  <si>
    <t>J MARKET THEORY PRAC</t>
  </si>
  <si>
    <t>J. Market. Theory Pract.</t>
  </si>
  <si>
    <t>10.1080/10696679.2023.2217488</t>
  </si>
  <si>
    <t>SZ7G6</t>
  </si>
  <si>
    <t>WOS:001004377600001</t>
  </si>
  <si>
    <t>Southwick, L; Guntuku, SC; Klinger, EV; Seltzer, E; McCalpin, HJ; Merchant, RM</t>
  </si>
  <si>
    <t>Southwick, Lauren; Guntuku, Sharath C.; Klinger, Elissa, V; Seltzer, Emily; McCalpin, Haley J.; Merchant, Raina M.</t>
  </si>
  <si>
    <t>Characterizing COVID-19 Content Posted to TikTok: Public Sentiment and Response During the First Phase of the COVID-19 Pandemic</t>
  </si>
  <si>
    <t>COVID-19; Social media; TikTok; Health messaging; Infodemic</t>
  </si>
  <si>
    <t>Purpose: The purpose of this study was to characterize COVID-19 content posted by users and disseminated via TikTok, a social media platform that has become known largely as an entertainment platform for viral video-sharing. We sought to capture how TikTok videos posted during the initial months of the COVID pandemic changed over time as cases accelerated. Methods: This study is an observational analysis of sequential TikTok videos with #coronavirus from January to March 2020. Videos were independently coded to assess content (e.g., health relatedness, humor, fear, empathy), misinformation, and public sentiment. To assess engagement, we also codified how often videos were shared relative to their content. Results: We coded 750 videos and approximately one in four videos tagged with #coronavirus featured health-related content such as featuring objects such as face masks, hand sanitizer, and other cleaning products. Most videos evoked humor/parody, whereas 15% and 6% evoked fear and empathy, respectively. TikTok videos posted in March 2020 had the largest number of shares and comments compared with January and February 2020. The proportion of shares and comments for misleading and incorrect information featured in videos was lower in March than in January and February 2020. There was no statistical difference between the share and comment counts of videos coded as incorrect/incomplete and correct over the entire time period. Conclusions: Analyzing readily available social media platforms, such as TikTok provides real-time insights into public views, frequency and types of misinformation, and norms toward COVID-19. Analyzing TikTok videos has the potential to be used to inform public health messaging and public health mitigation strategies. (c) 2021 Society for Adolescent Health and Medicine. All rights reserved.</t>
  </si>
  <si>
    <t>[Southwick, Lauren; Guntuku, Sharath C.; Klinger, Elissa, V; Seltzer, Emily; McCalpin, Haley J.; Merchant, Raina M.] Univ Penn, Penn Med Ctr Digital Hlth, Philadelphia, PA 19104 USA; [Southwick, Lauren; Guntuku, Sharath C.; Klinger, Elissa, V; Seltzer, Emily; McCalpin, Haley J.; Merchant, Raina M.] Univ Penn, Penn Med Ctr Hlth Care Innovat, Philadelphia, PA 19104 USA; [Guntuku, Sharath C.] Univ Penn, Dept Comp &amp; Informat Sci, 200 S 33Rd St, Philadelphia, PA 19104 USA; [Merchant, Raina M.] Univ Penn, Perelman Sch Med, Dept Emergency Med, Philadelphia, PA 19104 USA</t>
  </si>
  <si>
    <t>University of Pennsylvania; University of Pennsylvania; University of Pennsylvania; University of Pennsylvania</t>
  </si>
  <si>
    <t>Southwick, L (corresponding author), Univ Penn, Comp &amp; Informat Sci, 3400 Civ Ctr Blvd, Philadelphia, PA 19104 USA.</t>
  </si>
  <si>
    <t>lauren.southwick@pennmedicine.upenn.edu</t>
  </si>
  <si>
    <t>Seltzer, Emily/P-8756-2014; Guntuku, Sharath Chandra/U-6314-2019</t>
  </si>
  <si>
    <t>Seltzer, Emily/0000-0002-9879-4739; Guntuku, Sharath Chandra/0000-0002-2929-0035; McCalpin, Haley/0000-0003-0820-2873</t>
  </si>
  <si>
    <t>10.1016/j.jadohealth.2021.05.010</t>
  </si>
  <si>
    <t>JUL 2021</t>
  </si>
  <si>
    <t>TS1NZ</t>
  </si>
  <si>
    <t>WOS:000679426100013</t>
  </si>
  <si>
    <t>Butel, E; Owen, C</t>
  </si>
  <si>
    <t>Butel, Emma; Owen, Craig</t>
  </si>
  <si>
    <t>Educators, warriors and reformers: A thematic analysis of how ostomates portray themselves on TikTok</t>
  </si>
  <si>
    <t>JOURNAL OF HEALTH PSYCHOLOGY</t>
  </si>
  <si>
    <t>education; Inflammatory Bowel Disease; self-presentation; social media; stigma; stoma; support; TikTok</t>
  </si>
  <si>
    <t>STOMA SURGERY; PATIENT; STIGMA; BODY; CARE; EXPERIENCES; CHALLENGES; IMPACT</t>
  </si>
  <si>
    <t>Inflammatory Bowel Disease often causes abdominal pain, faecal urgency and a range of other symptoms, and is a common chronic disease among young people. Stoma surgery seeks to alleviate these symptoms, though complications often arise from surgery and many stoma patients experience various stigmas. Young people with chronic conditions are increasingly gathering online to share their experiences of illness. Given the rise in popularity of TikTok and its appeal to young people, this study explored how young ostomates with Inflammatory Bowel Disease and a stoma portray themselves on TikTok. Using thematic analysis, three themes were identified in which ostomates portrayed themselves as educators, warriors and reformers, providing education, support and guidance to the wider stoma community. These findings show that TikTok offers an innovative platform for ostomates' self-presentations and a novel space health professionals should harness to better support ostomates.</t>
  </si>
  <si>
    <t>[Butel, Emma; Owen, Craig] Anglia Ruskin Univ, East Rd, Cambridge CB1 1PT, Cambs, England</t>
  </si>
  <si>
    <t>Anglia Ruskin University</t>
  </si>
  <si>
    <t>Owen, C (corresponding author), Anglia Ruskin Univ, East Rd, Cambridge CB1 1PT, Cambs, England.</t>
  </si>
  <si>
    <t>craig.owen@aru.ac.uk</t>
  </si>
  <si>
    <t>Owen, Craig/0000-0003-2837-2204</t>
  </si>
  <si>
    <t>1359-1053</t>
  </si>
  <si>
    <t>1461-7277</t>
  </si>
  <si>
    <t>J HEALTH PSYCHOL</t>
  </si>
  <si>
    <t>J. Health Psychol.</t>
  </si>
  <si>
    <t>10.1177/13591053241272205</t>
  </si>
  <si>
    <t>Psychology, Clinical</t>
  </si>
  <si>
    <t>E4A3K</t>
  </si>
  <si>
    <t>WOS:001302441300001</t>
  </si>
  <si>
    <t>Obreja, DM</t>
  </si>
  <si>
    <t>Obreja, Dragos M.</t>
  </si>
  <si>
    <t>When Stories Turn Institutional: How TikTok Users Legitimate the Algorithmic Sensemaking</t>
  </si>
  <si>
    <t>TikTok; sensemaking; social constructivism; algorithmic stories; intersubjectivity</t>
  </si>
  <si>
    <t>Educational, political, or moral/religious content is increasingly present on TikTok, so contemporary social dynamics legitimize the process of digital mediation regarding these institutional values. Based on 286 open-ended survey answers and subsequent interviews with 45 Romanian TikTok users, this article applies social constructivism to explore the intersubjective side of algorithmic experiences. The significance of such a framework lies in its ability to elucidate the manner in which users actively construct their social environments, which may initially appear as isolated individual experiences but ultimately unveil shared algorithmic interpretations. Thus, the participants highlight three recurrent institutional themes in relation to TikTok's algorithm: (1) algorithm as political profiling, (2) algorithm as moral plethora, and (3) algorithm as educational benchmark. Findings show that users' stories related to algorithms are widely conceived within institutional frameworks. These narratives play a role in shaping what Berger and Luckmann call intersubjective sedimentation within the intricate interconnection between institutional and algorithmic realities. The ways in which TikTok users legitimize the presence of these institutional actors on their For You page should be seen as a form of agency negotiation between users and machines. The legitimating role of stories about algorithms also highlights the institutional necessity of intergenerational socialization, which is why the contents made by such institutional actors are more and more actively mediated through TikTok.</t>
  </si>
  <si>
    <t>[Obreja, Dragos M.] Univ Bucharest, Bucharest, Romania; [Obreja, Dragos M.] Univ Bucharest, Fac Sociol &amp; Social Work, 90-92 Panduri Rd,5 Sect, Bucharest 050663, Romania</t>
  </si>
  <si>
    <t>University of Bucharest; University of Bucharest</t>
  </si>
  <si>
    <t>Obreja, DM (corresponding author), Univ Bucharest, Fac Sociol &amp; Social Work, 90-92 Panduri Rd,5 Sect, Bucharest 050663, Romania.</t>
  </si>
  <si>
    <t>dragos.obreja@s.unibuc.ro</t>
  </si>
  <si>
    <t>Obreja, Dragos/AAV-8141-2020</t>
  </si>
  <si>
    <t>Obreja, Dragos/0000-0001-6146-8721</t>
  </si>
  <si>
    <t>10.1177/20563051231224114</t>
  </si>
  <si>
    <t>GH5L0</t>
  </si>
  <si>
    <t>WOS:001151789500001</t>
  </si>
  <si>
    <t>Garcia, MB; Juanatas, IC; Juanatas, RA</t>
  </si>
  <si>
    <t>Garcia, Manuel B.; Juanatas, Irish C.; Juanatas, Roben A.</t>
  </si>
  <si>
    <t>TikTok as a Knowledge Source for Programming Learners: A New Form of Nanolearning?</t>
  </si>
  <si>
    <t>2022 10TH INTERNATIONAL CONFERENCE ON INFORMATION AND EDUCATION TECHNOLOGY (ICIET 2022)</t>
  </si>
  <si>
    <t>10th International Conference on Information and Education Technology (ICIET)</t>
  </si>
  <si>
    <t>APR 09-11, 2022</t>
  </si>
  <si>
    <t>Matsue, JAPAN</t>
  </si>
  <si>
    <t>IEEE,Shimane Univ,Univ Laval,So Fed Univ</t>
  </si>
  <si>
    <t>TikTok; social media; programming; nanolearning</t>
  </si>
  <si>
    <t>Recent studies have acknowledged social media as a valuable pedagogical tool for connecting the formal and informal learning gap. However, as a new platform, the literature is sparse on the potential of TikTok as a knowledge source. In this study, we explored programming TikTok videos in the #LearnProgramming webpage in terms of content (programming languages and topics) and characteristics (video styles and types). Although TikTok is principally an entertainment destination, our results show that the platform likewise has informative videos. The 349 videos that we examined received a total of 10,046,000 views, 10,523 comments, 932,871 likes, and 35,095 shares, implying extremely high levels of user engagement. Tiktokers showing tips and tricks are the most recurring content type. From a macro perspective, we noticed that TikTokers do not follow the ethos of the platform (e.g., dancing) when producing educational content. This deviation demonstrates the intent of TikTokers to educate than to entertain. Although it is too early to conclude that TikTok can operate as a nanolearning platform, we discovered a substantial amount of content for and engagement from programming learners. Our results lay a potent foundation for devising actionable scholastic implications, policies, and recommendations concerning TikTok consumption. Future works and research prospects were also discussed to propel the social media and nanolearning literature forward.</t>
  </si>
  <si>
    <t>[Garcia, Manuel B.] FEU Inst Technol, Manila, Philippines; [Juanatas, Irish C.] FEU Diliman, Quezon City, Philippines; [Juanatas, Roben A.] Natl Univ Manila, Manila, Philippines</t>
  </si>
  <si>
    <t>Far Eastern University; National University Philippines</t>
  </si>
  <si>
    <t>Garcia, MB (corresponding author), FEU Inst Technol, Manila, Philippines.</t>
  </si>
  <si>
    <t>mbgarcia@feutech.edu.ph; icjuanatas@feudiliman.edu.ph; rajuanatas@national-u.edu.ph</t>
  </si>
  <si>
    <t>Juanatas, Roben/IXN-5727-2023; Garcia, Manuel/X-2364-2018</t>
  </si>
  <si>
    <t>Juanatas, Roben/0009-0000-0572-0785; Garcia, Manuel/0000-0003-2615-422X; Juanatas, Irish/0009-0005-1807-2840</t>
  </si>
  <si>
    <t>FEU Institute of Technology</t>
  </si>
  <si>
    <t>The authors express their heartfelt gratitude to FEU Institute of Technology for funding the research presentation.</t>
  </si>
  <si>
    <t>978-1-6654-8048-2</t>
  </si>
  <si>
    <t>10.1109/ICIET55102.2022.9779004</t>
  </si>
  <si>
    <t>Computer Science, Cybernetics; Computer Science, Information Systems; Computer Science, Interdisciplinary Applications</t>
  </si>
  <si>
    <t>BT5WU</t>
  </si>
  <si>
    <t>WOS:000839122100042</t>
  </si>
  <si>
    <t>Benzel, S; Johanssen, J; Nadj, D; Rashid, N</t>
  </si>
  <si>
    <t>Benzel, Susanne; Johanssen, Jacob; Nadj, Daniela; Rashid, Nahiyan</t>
  </si>
  <si>
    <t>'What eating disorders are really like' - Dynamics of lived experience and repetitive aesthetics on TikTok</t>
  </si>
  <si>
    <t>TikTok; social media; eating disorders; anorexia; bulimia; recovery; virality; imitation; mental health; aesthetics</t>
  </si>
  <si>
    <t>PRO-ANOREXIA; STRATEGIES; BLOGS; ANA</t>
  </si>
  <si>
    <t>This article presents a detailed qualitative content analysis of eating disorder and recovery videos on TikTok which show young women who proclaim to raise awareness or depict the recovery process. We pay particular attention to aspects of form and content and TikTok's affordances in relation to them. We argue that allegedly showing what an eating disorder and recovery are 'really like' is in tension with an aestheticisation of the female body and eating disorders that is present in the videos. While TikTok has been described by scholars as a memetic and viral platform, this aestheticisation points to a tension of authentic self-expression, complexities around body image and memetic visibility. We conclude that the platform is characterised by repetition and imitation, but those aspects are secondary as they relate to struggles linked to eating disorders themselves and their representation rather than primary virality or the memetic.</t>
  </si>
  <si>
    <t>[Benzel, Susanne] Sigmund Freud Inst Psychoanal, Myliusstr 20, D-60323 Frankfurt, Germany; [Johanssen, Jacob; Nadj, Daniela; Rashid, Nahiyan] St Marys Univ, Fac Business &amp; Law, London, England</t>
  </si>
  <si>
    <t>St Mary's University Twickenham London</t>
  </si>
  <si>
    <t>Benzel, S (corresponding author), Sigmund Freud Inst Psychoanal, Myliusstr 20, D-60323 Frankfurt, Germany.</t>
  </si>
  <si>
    <t>benzel@sigmund-freud-institut.de</t>
  </si>
  <si>
    <t>St Mary's University / Enhancing Research Culture fund [01]</t>
  </si>
  <si>
    <t>St Mary's University / Enhancing Research Culture fund</t>
  </si>
  <si>
    <t>The authors disclosed receipt of the following financial support for the research, authorship, and/or publication of this article: This work was supported by the St Mary's University / Enhancing Research Culture fund, (grant number 01).</t>
  </si>
  <si>
    <t>10.1177/13678779241268115</t>
  </si>
  <si>
    <t>C2T6B</t>
  </si>
  <si>
    <t>Green Accepted, hybrid</t>
  </si>
  <si>
    <t>WOS:001287933300001</t>
  </si>
  <si>
    <t>Civila, S; Jaramillo-Dent, D</t>
  </si>
  <si>
    <t>Civila, Sabina; Jaramillo-Dent, Daniela</t>
  </si>
  <si>
    <t>#Mixedcouples on TikTok: Performative Hybridization and Identity in the Face of Discrimination</t>
  </si>
  <si>
    <t>mixed couples; TikTok; cultural hybridization; affordances; social media; Islamophobia</t>
  </si>
  <si>
    <t>SOCIAL MEDIA; BIG DATA; ISLAMOPHOBIA</t>
  </si>
  <si>
    <t>Spanish-Moroccan mixed couples exemplify a case of cultural hybridization that reflects the colonial past between these two countries. In this context, social media is a space of opportunity and risk to face discrimination and othering. In this article, we draw upon postcolonial theory and Internet studies to consider TikTok affordances as tools that are relevant to understand how cultural, national, and religious identities are shaped and presented in digital spaces. In this sense, this study constitutes the first exploratory analysis of Moroccan-Spanish mixed couples' (self)representations and identity construction as reflected by their TikTok content. The memetic and intersectional aspects of the mixed-couple identity emerge as central in the convergent nature of the platform and their lived experiences. Through an initial analysis of 8,653 TikTok videos, we identified 6 creator accounts with more than 10K followers to conduct a deeper multimodal content and discourse analysis of 146 videos. This enabled us to explore how these creators portray their hybrid identity through short, vertical videos harnessing TikTok's vernaculars and affordances. The results enable us to propose the concept of performative hybridization, which involves discursive markers within these couples' TikTok content that reflect a fluid integration of two cultures, while the pervading visual and narrative components reflect the dominance of one set of identity traits over the other. In this case, Moroccan culture is more prevalent.</t>
  </si>
  <si>
    <t>[Civila, Sabina] Univ Huelva, Avda Fuerzas Armadas S-N, Huelva 21071, Spain; [Jaramillo-Dent, Daniela] Erasmus Univ, Rotterdam, Netherlands</t>
  </si>
  <si>
    <t>Universidad de Huelva; Erasmus University Rotterdam - Excl Erasmus MC; Erasmus University Rotterdam</t>
  </si>
  <si>
    <t>Civila, S (corresponding author), Univ Huelva, Avda Fuerzas Armadas S-N, Huelva 21071, Spain.</t>
  </si>
  <si>
    <t>sabicivila@gmail.com</t>
  </si>
  <si>
    <t>Civila, Sabina/HLQ-0798-2023; Jaramillo-Dent, Daniela/AAD-5509-2020</t>
  </si>
  <si>
    <t>JARAMILLO-DENT, Daniela/0000-0001-8372-0107; CIVILA, Sabina/0000-0001-6059-9893</t>
  </si>
  <si>
    <t>10.1177/20563051221122464</t>
  </si>
  <si>
    <t>4U7US</t>
  </si>
  <si>
    <t>WOS:000858995200001</t>
  </si>
  <si>
    <t>Tan, W; Liu, YL; Shi, ZW; Zheng, BA; Feng, LM; Wang, J; Wang, XH; Yuan, ZL</t>
  </si>
  <si>
    <t>Tan, Wei; Liu, Yilong; Shi, Zhiwen; Zheng, Bainan; Feng, Lingmei; Wang, Jian; Wang, Xiaohang; Yuan, Zongli</t>
  </si>
  <si>
    <t>Information quality of videos related to Helicobacter pylori infection on TikTok: Cross-sectional study</t>
  </si>
  <si>
    <t>HELICOBACTER</t>
  </si>
  <si>
    <t>DISCERN; Helicobacter pylori; information quality; social media; TikTok</t>
  </si>
  <si>
    <t>YOUTUBE; DISCERN</t>
  </si>
  <si>
    <t>Background Helicobacter pylori (H. pylori) poses serious threats to human health. TikTok (Douyin in Chinese), a major social media platform focused on sharing short videos, has demonstrated great potential in spreading health information, including information related to H. pylori infection. This study aims to evaluate the content and quality of the information shared in TikTok videos about H. pylori infection in mainland China.Methods We collected a sample of 116 videos in Chinese related to H. pylori infection from TikTok. Video contents were evaluated by the coding schema proposed by Goobie et al., and the Hexagonal Radar Schema was used to intuitively display the spotlight and weight of each aspect of the videos. The DISCERN questionnaire was used to evaluate the quality of the videos.Results We identified two major sources of videos related to H. pylori: individual users (n = 89) and organizational users (n = 27). Regarding content, the Hexagonal Radar Charts showed that more than 35% of the videos delivered moderate to high quality content (&gt;1 point) in terms of definition, symptoms and management of the disease, whereas risk factors, evaluation and outcomes of the disease were less discussed. The DISCERN classification data showed that 0.9% of the videos were very poor, 5.2% poor, 68.7% fair, 20.0% good, and only 5.2% excellent. Regarding total DISCERN scores, videos published by nonprofit organizations had the highest scores, followed by videos uploaded by health professionals.Conclusion Although the overall quality of TikTok videos related to H. pylori infection was medium, users should be careful when obtaining information related to H. pylori infection on TikTok and opt for videos uploaded by nonprofit organizations and health professionals.</t>
  </si>
  <si>
    <t>[Tan, Wei; Liu, Yilong; Shi, Zhiwen; Zheng, Bainan; Feng, Lingmei; Wang, Jian; Wang, Xiaohang; Yuan, Zongli] Naval Med Univ, Changzheng Hosp, Dept Gastroenterol, Shanghai, Peoples R China; [Tan, Wei] Changzheng Hosp, Dept Gastroenterol, 415 Fengyang Rd, Shanghai 200003, Peoples R China</t>
  </si>
  <si>
    <t>Naval Medical University; Naval Medical University</t>
  </si>
  <si>
    <t>Tan, W (corresponding author), Changzheng Hosp, Dept Gastroenterol, 415 Fengyang Rd, Shanghai 200003, Peoples R China.</t>
  </si>
  <si>
    <t>tanwei_1987@163.com</t>
  </si>
  <si>
    <t>Yilong, Liu/IZQ-3522-2023</t>
  </si>
  <si>
    <t>None.</t>
  </si>
  <si>
    <t>1083-4389</t>
  </si>
  <si>
    <t>1523-5378</t>
  </si>
  <si>
    <t>Helicobacter</t>
  </si>
  <si>
    <t>e13029</t>
  </si>
  <si>
    <t>10.1111/hel.13029</t>
  </si>
  <si>
    <t>Gastroenterology &amp; Hepatology; Microbiology</t>
  </si>
  <si>
    <t>DV8S0</t>
  </si>
  <si>
    <t>WOS:001083057900001</t>
  </si>
  <si>
    <t>Chen, L; Sokolovskiy, K; Zhang, M; Kolosova, O</t>
  </si>
  <si>
    <t>Chen, Lu; Sokolovskiy, Konstantin; Zhang, Mengze; Kolosova, Olga</t>
  </si>
  <si>
    <t>The impact of e-service quality and e-satisfaction on users' loyalty to TikTok in Russia and China</t>
  </si>
  <si>
    <t>Application; company; customer; marketing; video</t>
  </si>
  <si>
    <t>NETWORK; FLOW</t>
  </si>
  <si>
    <t>The modern academic world can hardly boast of substantial research on how people become loyal to businesses thanks to TikTok. The current research seeks to add some knowledge to the field by exploring the impact that TikTok services' quality and satisfaction from using it have on Russian and Chinese users' loyalty to opinion leaders in this social network. The analysis of research data collected from the survey of 400 TikTok users was done by means of the partial least squares structural equation modeling method. This allowed obtaining results that confirmed that e-service quality significantly and positively affects users' e-satisfaction and loyalty to opinion leaders. E-satisfaction was found to affect loyalty and mediate the relationship between loyalty and e-service quality significantly and positively. This study provides a number of practical recommendations for brands and businesses interested in promoting their products or services through TikTok.</t>
  </si>
  <si>
    <t>[Chen, Lu; Zhang, Mengze] Sejong Univ, Dept Econ, Seoul, South Korea; [Sokolovskiy, Konstantin] Humanitarian &amp; Tech Acad, Dept Gen Subjects, Kokshetau, Kazakhstan; [Kolosova, Olga] State Univ Management, Dept Mkt, Moscow, Russia</t>
  </si>
  <si>
    <t>Sejong University; Kokshetau Humanitarian &amp; Technical Academy; State University of Management</t>
  </si>
  <si>
    <t>Zhang, M (corresponding author), Sejong Univ, Dept Econ, Seoul, South Korea.</t>
  </si>
  <si>
    <t>mengzezhang7@yahoo.com</t>
  </si>
  <si>
    <t>Sokolovskiy, Konstantin/AAZ-9120-2021</t>
  </si>
  <si>
    <t>Sokolovskiy, Konstantin/0000-0001-5529-3865</t>
  </si>
  <si>
    <t>AUG 17</t>
  </si>
  <si>
    <t>10.1080/13527266.2023.2166570</t>
  </si>
  <si>
    <t>A0Z4J</t>
  </si>
  <si>
    <t>WOS:001279904000001</t>
  </si>
  <si>
    <t>Armin, A; Trybala, JJ ; Young, J; Razi, A</t>
  </si>
  <si>
    <t>Armin, Atieh; Trybala, Joseph J., III; Young, Jordyn; Razi, Afsaneh</t>
  </si>
  <si>
    <t>Support in Short Form: Investigating TikTok Comments on Videos with #Harassment</t>
  </si>
  <si>
    <t>Public Discourse; Harassment; Social Media; TikTok; Topic Modeling; Online Safety; Interpersonal Harm; Cyberbully</t>
  </si>
  <si>
    <t>POLICE</t>
  </si>
  <si>
    <t>Exploring the dynamics of public discourse on social media reveals critical insights into how topics like harassment are perceived, discussed, and handled within online communities. To understand these dynamics within multimodal short-form video-based communities, we conducted topic modeling on 145,515 comments of videos tagged with #harassment on TikTok. We identified nine topics, including community responses to harassment and threats, law enforcement responses to harassment, and discussions around self-defense strategies. Our findings revealed the diverse nature of online discussions about harassment, containing empathy, polarization, frustration, and humor. These various topics underscore the significant role of TikTok as a platform for shaping public opinions on critical social issues and amplifying the voices of victims. This paper contributes to understanding how public discourse on harassment unfolds in TikTok to inform future research and policy-making to ensure safer online communities. Content Warning: This paper includes sensitive topics such as harassment, reader discretion is advised.</t>
  </si>
  <si>
    <t>[Armin, Atieh; Trybala, Joseph J., III; Razi, Afsaneh] Drexel Univ, Philadelphia, PA 19104 USA; [Young, Jordyn] Univ Michigan, Ann Arbor, MI USA</t>
  </si>
  <si>
    <t>Drexel University; University of Michigan System; University of Michigan</t>
  </si>
  <si>
    <t>Armin, A (corresponding author), Drexel Univ, Philadelphia, PA 19104 USA.</t>
  </si>
  <si>
    <t>aa4762@drexel.edu; jordyny@umich.edu; afsaneh.razi@drexel.edu</t>
  </si>
  <si>
    <t>Razi, Afsaneh/HMP-2866-2023</t>
  </si>
  <si>
    <t>Young, Jordyn/0000-0002-1565-0642; Razi, Afsaneh/0000-0001-5829-8004</t>
  </si>
  <si>
    <t>10.1145/3613905.3650849</t>
  </si>
  <si>
    <t>WOS:001227587702076</t>
  </si>
  <si>
    <t>Garcia, MB</t>
  </si>
  <si>
    <t>Garcia, Manuel B.</t>
  </si>
  <si>
    <t>Watching Exercise and Fitness Videos on TikTok for Physical Education: Motivation, Engagement, and Message Sensation Value</t>
  </si>
  <si>
    <t>JOURNAL OF TEACHING IN PHYSICAL EDUCATION</t>
  </si>
  <si>
    <t>social media; digital technology; TikTok consumption; uses and gratifications theory; physical health; digital physical education</t>
  </si>
  <si>
    <t>SOCIAL MEDIA USE; YOUTUBE</t>
  </si>
  <si>
    <t>Purpose: This study aimed to examine how physical education (PE) students engage with fi tness content on TikTok. Methods: The evaluation involved 597 students enrolled in a PE 1 course across three campuses of a prominent university. Results: Findings show that students primarily watch TikTok videos for entertainment, with male students also seeking motivation and social interaction, while female students look for escape, advice, and guidance. Engagement is highest for videos featuring body transformations, fi tness tips, and motivational content, with a tendency to apply learned exercises, tips, and nutrition education. Body transformations and motivational videos effectively arouse emotions and elicit affective responses. Conclusion: This research highlights diverse motivations and impacts of fi tness content on TikTok among PE students, contributing to the literature on social media usage and offering insights for enhancing instructional practices in PE and understanding digital media interaction.</t>
  </si>
  <si>
    <t>[Garcia, Manuel B.] Univ Philippines Diliman, Quezon City, Philippines; [Garcia, Manuel B.] FEU Inst Technol, Manila, Philippines</t>
  </si>
  <si>
    <t>University of the Philippines System; University of the Philippines Diliman; Far Eastern University</t>
  </si>
  <si>
    <t>Garcia, MB (corresponding author), Univ Philippines Diliman, Quezon City, Philippines.;Garcia, MB (corresponding author), FEU Inst Technol, Manila, Philippines.</t>
  </si>
  <si>
    <t>mbgarcia@feutech.edu.ph</t>
  </si>
  <si>
    <t>Garcia, Manuel/X-2364-2018</t>
  </si>
  <si>
    <t>Garcia, Manuel/0000-0003-2615-422X</t>
  </si>
  <si>
    <t>Acknowledgments Compliance With Ethical Standards: All procedures performed in studies involving human participants were in accordance with the ethical standards of the institutional and/or national research committee and with the 1964 Declaration of Helsinki, and its later amendments, or comparable ethical standards. Author's Information: Garcia is a professor of</t>
  </si>
  <si>
    <t>0273-5024</t>
  </si>
  <si>
    <t>1543-2769</t>
  </si>
  <si>
    <t>J TEACH PHYS EDUC</t>
  </si>
  <si>
    <t>J. Teach. Phys. Educ.</t>
  </si>
  <si>
    <t>2024 OCT 29</t>
  </si>
  <si>
    <t>10.1123/jtpe.2024-0084</t>
  </si>
  <si>
    <t>Education &amp; Educational Research; Sport Sciences</t>
  </si>
  <si>
    <t>K8X6K</t>
  </si>
  <si>
    <t>WOS:001346675500001</t>
  </si>
  <si>
    <t>Gallardo-Camacho, J; Maganto-Pérezl, A</t>
  </si>
  <si>
    <t>Gallardo-Camacho, Jorge; Maganto-Perezl, Ana</t>
  </si>
  <si>
    <t>Presence of Traditional Spanish Television Content on the Social Network TikTok</t>
  </si>
  <si>
    <t>UCJC BUSINESS AND SOCIETY REVIEW</t>
  </si>
  <si>
    <t>Entertainment; Media; Technological Change; Oligopoly and Other Imperfect Markets; Information and Internet Services</t>
  </si>
  <si>
    <t>This research article examines the relationship between traditional television content and TikTok, a social network whose consumption is very high among young people in Spain. To be precise, the article focuses on analyzing the genres, network of origin and original broadcast year of traditional Spanish television content present on TikTok. To this end, several research methods were applied: an 80-day-long content analysis of TikTok, which produce a sample of 6,000 videos; a survey questionnaire applied to 412 users; and four semi-structured interviews with industry experts.</t>
  </si>
  <si>
    <t>[Gallardo-Camacho, Jorge; Maganto-Perezl, Ana] Univ Camilo Jose Cela, Madrid, Spain</t>
  </si>
  <si>
    <t>Camilo Jose Cela University</t>
  </si>
  <si>
    <t>Gallardo-Camacho, J (corresponding author), Univ Camilo Jose Cela, Madrid, Spain.</t>
  </si>
  <si>
    <t>jgallardo@ucjc.edu; ana.maganto@alumni.ucjc.edu</t>
  </si>
  <si>
    <t>Sixth Call for Research Grants of the Camilo Jose Cela University</t>
  </si>
  <si>
    <t>This work is part of the INTERACTION 3.0 research project, funded by the Sixth Call for Research Grants of the Camilo Jose Cela University.</t>
  </si>
  <si>
    <t>UNIV CAMILO JOSE CELA</t>
  </si>
  <si>
    <t>MADRID</t>
  </si>
  <si>
    <t>C/ CASTILLO ALARCON, 49 URB VILLAFRANCA CASTILLO, MADRID, 28692, SPAIN</t>
  </si>
  <si>
    <t>1698-5117</t>
  </si>
  <si>
    <t>2659-3270</t>
  </si>
  <si>
    <t>UCJC BUS SOC REV</t>
  </si>
  <si>
    <t>UCJC Bus. Soc. Rev.</t>
  </si>
  <si>
    <t>10.3232/UBR.2022.V19.N4.01</t>
  </si>
  <si>
    <t>9C7PS</t>
  </si>
  <si>
    <t>WOS:000935605600001</t>
  </si>
  <si>
    <t>García-Bardón, R; Arroyo-Vózquez, N</t>
  </si>
  <si>
    <t>Garcia-Bardon, Roberto; Arroyo-Vazquez, Natalia</t>
  </si>
  <si>
    <t>TikTok in Spanish University Libraries</t>
  </si>
  <si>
    <t>BID-TEXTOS UNIVERSITARIS DE BIBLIOTECONOMIA I DOCUMENTACIO</t>
  </si>
  <si>
    <t>TikTok; university libraries; academic libraries; social media; social networks; communication; marketing</t>
  </si>
  <si>
    <t>Objectives: : The objective of this paper is to describe the characteristics of the profiles and publications of Spanish university libraries on TikTok: : to what extent they are present in this medium, what their posts are like, the topics they cover and how many interactions they receive, in order to identify good practices to help other libraries. Methodology: : Eight university library profiles on TikTok were analyzed in the second half of March 2023, all of which were active at the time of the analysis. Quantitative data such as the number of posts or the number of followers were captured. Quantitative and qualitative data were also extracted from each of the 207 publications in the accounts from their creation date until February 28, 2023, such as their duration or topic or the interactions they received. Results: : The results provide information about the presence of Spanish university libraries on TikTok, , which is still scarce but is increasing. Variables such as the frequency of publication, video length, video content, the number of views, the interactions they receive, and the engagement rate are analyzed. Two university libraries with the best audience engagement on TikTok were identified. The characteristics of the ten posts with the most views and interactions are analyzed. All of them share the mixture of information about the library, transmitted through a short and simple message, with a humorous, fun or informal approach. Some follow fashion trends on TikTok. .</t>
  </si>
  <si>
    <t>[Garcia-Bardon, Roberto; Arroyo-Vazquez, Natalia] Univ Leon, Leon, Spain</t>
  </si>
  <si>
    <t>Universidad de Leon</t>
  </si>
  <si>
    <t>García-Bardón, R (corresponding author), Univ Leon, Leon, Spain.</t>
  </si>
  <si>
    <t>robert.garcia@gencat.cat</t>
  </si>
  <si>
    <t>Arroyo-Vázquez, Natalia/B-3958-2017</t>
  </si>
  <si>
    <t>Arroyo-Vazquez, Natalia/0000-0002-4692-3420</t>
  </si>
  <si>
    <t>UNIV BARCELONA, SERVEI PUBLICACIONS</t>
  </si>
  <si>
    <t>C ADOLF FLORENSA S-N, BARCELONA, 08028, SPAIN</t>
  </si>
  <si>
    <t>1575-5886</t>
  </si>
  <si>
    <t>BID-TEXTOS UNIV BIBL</t>
  </si>
  <si>
    <t>BiD-Textos Univ. Bibliotecon. Doc.</t>
  </si>
  <si>
    <t>10.1344/bid2024.52.07</t>
  </si>
  <si>
    <t>E3C0V</t>
  </si>
  <si>
    <t>WOS:001301801300005</t>
  </si>
  <si>
    <t>Larasati, F; Puspitarini, I; Aziz, A; Indra, R; Mani, L</t>
  </si>
  <si>
    <t>Larasati, Feby; Puspitarini, Indah; Aziz, Abdul; Indra, Ricardo; Mani, La</t>
  </si>
  <si>
    <t>Factors Affecting the Distribution of Skincare Products through Brand Awareness on TikTok Platform</t>
  </si>
  <si>
    <t>JOURNAL OF DISTRIBUTION SCIENCE</t>
  </si>
  <si>
    <t>Influencer Marketing; Content Marketing; Electronic Word of Mouth; Brand Awareness; TikTok; Distribution Science</t>
  </si>
  <si>
    <t>Purpose: This study examines the distribution of skincare products through digital channels, focusing on the role of brand awareness within the field of distribution science. As social media platforms like TikTok revolutionize distribution strategies, this research aims to identify the key factors influencing brand awareness in the distribution of skincare products on TikTok. Specifically, the study explores how influencer marketing, content marketing, and electronic word-of-mouth (E-WOM) affect the distribution process by enhancing brand awareness.. Research design, data, and methodology: Employing an explanatory quantitative method, the study surveyed 400 TikTok users exposed to NPURE skincare promotions. Data was collected via Google Forms using non-probability purposive sampling. The analysis was conducted using SmartPLS and Structural Equation Modeling (SEM) to examine the relationships between distribution factors and brand awareness. Results: The findings reveal significant relationships between (1) influencer marketing and brand awareness, (2) content marketing and brand awareness, and (3) electronic word-of-mouth (E-WOM) and brand awareness in the context of skincare product distribution on TikTok. Conclusion: This research contributes to the field of distribution science by demonstrating how digital marketing strategies on TikTok influence brand awareness, consequently impacting the distribution of skincare products. The findings offer insights for optimizing distribution strategies in the digital age, highlighting the significance of influencer partnerships, content creation, and promoting positive E-WOM in digital distribution channels.</t>
  </si>
  <si>
    <t>[Larasati, Feby; Puspitarini, Indah; Aziz, Abdul; Indra, Ricardo; Mani, La] Binus Univ, Commun Fac, Commun Dept, Jakarta, Indonesia</t>
  </si>
  <si>
    <t>Universitas Bina Nusantara</t>
  </si>
  <si>
    <t>Larasati, F (corresponding author), Binus Univ, Commun Fac, Commun Dept, Jakarta, Indonesia.</t>
  </si>
  <si>
    <t>feby.larasati@binus.ac.id; indah.puspitarini@binus.ac.id; abdul.aziz007@binus.ac.id; ricardo.indra@binus.ac.id; la.mani@binus.ac.id</t>
  </si>
  <si>
    <t>Mani, La/HJH-9281-2023</t>
  </si>
  <si>
    <t>KODISA Foundation</t>
  </si>
  <si>
    <t>1738-3110</t>
  </si>
  <si>
    <t>2093-7717</t>
  </si>
  <si>
    <t>J DISTRIB SCI</t>
  </si>
  <si>
    <t>J. Distrib. Sci.</t>
  </si>
  <si>
    <t>10.15722/jds.22.10.202410.79</t>
  </si>
  <si>
    <t>L6W7F</t>
  </si>
  <si>
    <t>WOS:001352105000007</t>
  </si>
  <si>
    <t>Galindo-Rubio, F; Fuentes-Nevado, A; Suárez-Carballo, F</t>
  </si>
  <si>
    <t>Galindo-Rubio, Fernando; Fuentes-Nevado, Angel; Suarez-Carballo, Fernando</t>
  </si>
  <si>
    <t>The activity in Tiktok of the print media in Spain</t>
  </si>
  <si>
    <t>OBRA DIGITAL-REVISTA DE COMUNICACION</t>
  </si>
  <si>
    <t>TikTok; Technology; Journalism; Social Networks; Information</t>
  </si>
  <si>
    <t>The social media platform TikTok presents itself as a predominantly entertainment-focused communication format, not only for younger generations but also for an increasingly captivated audience enticed by recommendation algorithms. In this context, traditional media outlets are formulating their strategies to establish a presence on TikTok, fully aware that the future audiences to be engaged are now on this platform. This research aims to primarily examine the activity of the major print media outlets in Spain. The objective is to analyze whether the use of TikTok by print media outlets in Spain is significant or not, whether there is a strategic professionalization of their editorial activity, and finally, whether this activity is tailo red to the peculiarities of the platform or if it simply involves recycling content from their main medium. To achieve this, the posts published on the social network by the leading national newspapers- El Pais, El Mundo, ABC, La Vanguardia, and La Razon-will be reviewed in a specific chrono- logical sequence, establishing a comparative analysis of the main interaction milestones pro-vided by the platform. The main conclusions establish that there is a greater attempt than expected in the activity that print media outlets engage in on TikTok. However, despite this, the activity is not highly professionalized or well-thought-out, as there is no clear pattern of publication, continuity, or specific production. Instead, TikTok serves more as a container where already produced content is poured into.</t>
  </si>
  <si>
    <t>[Galindo-Rubio, Fernando; Fuentes-Nevado, Angel] Univ Pontificia Salamanca, Salamanca, Spain; [Suarez-Carballo, Fernando] Univ Pontificia Salamanca, Fac Commun, Art Direct, Salamanca, Spain</t>
  </si>
  <si>
    <t>Pontifical University of Salamanca; Pontifical University of Salamanca</t>
  </si>
  <si>
    <t>Galindo-Rubio, F (corresponding author), Univ Pontificia Salamanca, Salamanca, Spain.</t>
  </si>
  <si>
    <t>fgalindoru@upsa.es; afuentesne@upsa.es; fsuarezca@upsa.es</t>
  </si>
  <si>
    <t>UNIV VIC</t>
  </si>
  <si>
    <t>VIC</t>
  </si>
  <si>
    <t>SAGRADA FAMILIA 7, VIC, 08500, SPAIN</t>
  </si>
  <si>
    <t>2014-5039</t>
  </si>
  <si>
    <t>OBRA DIGIT-REV COMUN</t>
  </si>
  <si>
    <t>Obra Digit.-Rev. Comun.</t>
  </si>
  <si>
    <t>SEP-JAN</t>
  </si>
  <si>
    <t>10.25029/od.2023.377.24</t>
  </si>
  <si>
    <t>II0R3</t>
  </si>
  <si>
    <t>WOS:001165584700018</t>
  </si>
  <si>
    <t>Trillò, T</t>
  </si>
  <si>
    <t>Trillo, Tommaso</t>
  </si>
  <si>
    <t>PoV: You are reading an academic article. The memetic performance of affiliation in TikTok's platform vernacular</t>
  </si>
  <si>
    <t>affiliation; memes; platform imaginary; PoV; TikTok; values</t>
  </si>
  <si>
    <t>This article investigates the characteristics and communicative values of the popular PoV meme on TikTok to uncover mechanisms of community building on the platform. An analysis of the content, form, and stance of 250 videos revealed that creators of PoV memes lip-sync to audio remediated from pop culture and mimic how they imagine you would act in a given scenario. I offer the concept of echoic affiliation to describe how PoV memes leverage TikTok's use this sound function to construct ephemeral bonds between users. Furthermore, PoV memes textually articulate multiple perspectives, producing intersubjective encounters that reflect a platform imaginary in which the algorithm efficiently clusters similar people on the same side of the app. In the conclusions, I present a novel definition of PoV memes and reflect on the pivotal role of affiliation for TikTok's platform vernacular.</t>
  </si>
  <si>
    <t>[Trillo, Tommaso] Hebrew Univ Jerusalem, Jerusalem, Israel</t>
  </si>
  <si>
    <t>Hebrew University of Jerusalem</t>
  </si>
  <si>
    <t>Trillò, T (corresponding author), Hebrew Univ Jerusalem, Dept Commun &amp; Journalism, IL-9190501 Jerusalem, Israel.</t>
  </si>
  <si>
    <t>tommaso.trillo@mail.huji.ac.il</t>
  </si>
  <si>
    <t>European Research Council (ERC) under the European Union [819004]</t>
  </si>
  <si>
    <t>The author(s) disclosed receipt of the following financial support for the research, authorship, and/or publication of this article: This project has received funding from the European Research Council (ERC) under the European Union's Horizon 2020 research and innovation program [Grant Agreement No. 819004].</t>
  </si>
  <si>
    <t>2024 NOV 5</t>
  </si>
  <si>
    <t>10.1177/14614448241290234</t>
  </si>
  <si>
    <t>L1Z2E</t>
  </si>
  <si>
    <t>WOS:001348764400001</t>
  </si>
  <si>
    <t>Stoddard, RE; Pelletier, A; Sundquist, EN; Haas-Kogan, ME; Kassamali, B; Huang, MLY; Johnson, NR; Bartz, D</t>
  </si>
  <si>
    <t>Stoddard, Rachel E.; Pelletier, Andrea; Sundquist, Emily N.; Haas-Kogan, Maetal E.; Kassamali, Bina; Huang, Melody; Johnson, Natasha R.; Bartz, Deborah</t>
  </si>
  <si>
    <t>Popular contraception videos on TikTok: An assessment of content topics</t>
  </si>
  <si>
    <t>Adolescents; Birth control; Contraception; Health information; Social media; TikTok</t>
  </si>
  <si>
    <t>Objectives: This study aimed to explore the contraception content topics on the highly popular social media platform TikTok to understand this influential information source patients may bring into birth control counseling visits. Study design: Utilizing a snapshot method, we collected the 100 most popular TikTok English-language videos for each of the eight contraception-specific search terms. We abstracted video content topics ad-dressed and creator attributes. Two independent abstractors coded each video with high agreement, with a third coder adjudicating discrepancies. Results: The final data set included 700 unique videos, with a total of 1.18 billion views, 131 million likes, 1.5 million comments, and 4.1 million shares. In these videos, the most common topics addressed were patient experience (n = 365, 52.1%) and logistics of use (n = 351, 50.1%). Health care professionals created only 19.3% of videos (n = 135), but these videos accounted for a larger portion of the total video views (41.3%). Health care professionals largely made educational videos (92.6%) compared to 22.5% of videos coded as educa-tional videos when made by perceived non-health care professionals. A small number of prolific video creators developed the majority of videos made by health care professionals, with 91 (67.4%) made by six TikTok creators. Conclusions: TikTok contains highly accessible contraception content, which garners high viewership, especially when created by health care providers. Clinicians should be aware of TikTok's potential to in-fluence patients prior to contraceptive counseling visits and recognize this platform as a public health instrument to disseminate contraceptive information to a key demographic. Implications: Few previous studies have examined the presence and popularity of contraception content topics on TikTok; little is known about the health content on this highly popular platform. Providers should be aware of the contraceptive topics on TikTok for understanding both patient perceptions and the potential for health education through this media. (c) 2023 Elsevier Inc. All rights reserved.</t>
  </si>
  <si>
    <t>[Stoddard, Rachel E.; Pelletier, Andrea; Sundquist, Emily N.; Haas-Kogan, Maetal E.; Kassamali, Bina; Huang, Melody; Johnson, Natasha R.; Bartz, Deborah] Harvard Med Sch, Boston, MA 02115 USA; [Pelletier, Andrea; Johnson, Natasha R.; Bartz, Deborah] Brigham &amp; Womens Hosp, Dept Obstet &amp; Gynecol, Boston, MA 02115 USA; [Kassamali, Bina] Brigham &amp; Womens Hosp, Dept Med, Boston, MA USA; [Huang, Melody] Massachusetts Gen Hosp, Dept Med, Boston, MA USA; [Stoddard, Rachel E.] Univ N Carolina, Dept Obstet &amp; Gynecol, Chapel Hill, NC USA</t>
  </si>
  <si>
    <t>Harvard University; Harvard Medical School; Harvard University; Brigham &amp; Women's Hospital; Harvard University; Brigham &amp; Women's Hospital; Harvard University; Massachusetts General Hospital; University of North Carolina; University of North Carolina Chapel Hill</t>
  </si>
  <si>
    <t>Bartz, D (corresponding author), Harvard Med Sch, Boston, MA 02115 USA.;Bartz, D (corresponding author), Brigham &amp; Womens Hosp, Dept Obstet &amp; Gynecol, Boston, MA 02115 USA.</t>
  </si>
  <si>
    <t>dbartz@bwh.harvard.edu</t>
  </si>
  <si>
    <t>10.1016/j.contraception.2023.110300</t>
  </si>
  <si>
    <t>DD7G1</t>
  </si>
  <si>
    <t>WOS:001130152200001</t>
  </si>
  <si>
    <t>Pruccoli, J; De Rosa, M; Chiasso, L; Perrone, A; Parmeggiani, A</t>
  </si>
  <si>
    <t>Pruccoli, Jacopo; De Rosa, Marta; Chiasso, Lucia; Perrone, Annalisa; Parmeggiani, Antonia</t>
  </si>
  <si>
    <t>The use of TikTok among children and adolescents with Eating Disorders: experience in a third-level public Italian center during the SARS-CoV-2 pandemic</t>
  </si>
  <si>
    <t>ITALIAN JOURNAL OF PEDIATRICS</t>
  </si>
  <si>
    <t>TikTok; Internet; Social media; Eating disorders; Body-Shaming; Children; Adolescents</t>
  </si>
  <si>
    <t>PRO-ANA; ANOREXIA; THINNESS; NERVOSA</t>
  </si>
  <si>
    <t>Background Recent research has documented the potential associations existing between the use of social media (SM) and the occurrence/development and treatment of Eating Disorders (ED). However, the literature directly addressing the use of SM TikTok among children and adolescents with ED is still scarce. Methods In January-February 2021, during the second Italian national lockdown due to the SARS-CoV-2 pandemic, an anonymous paper survey was conducted in an Italian third-level center for ED in childhood and adolescence. Demographics, frequency of use of TikTok, frequently viewed topics and hashtags, experienced body-shaming, as well as the use of TikTok (active search, use of proposed contents) and perceived influences of this SM on eating attitudes and self-esteem were assessed. Groups of patients with different perceived SM-induced effects were compared to determine the frequency of their interaction with 3 specific contents (diet, Pro-Anorexia Nervosa (pro-Ana) and pro-ED recovery). Results Seventy-eight patients (93.6% females, mean age 14.5 +/- 2.1 years) were enrolled in the study. For 62.8%, TikTok represented the main SM, used for 1.4 +/- 1.0 h/day, with diet (21.8%) as the most frequently used topic category. Pro-Ana and pro-ED recovery contents (#foryou and #edrecovery as the most frequent, respectively) were both actively searched by patients and proposed by the SM in a significant number of cases. For 59.0%, using TikTok reduced self-esteem, while 26.9% reported TikTok-related significant changes in their daily lives, and 3.8% reported experiences of body-shaming. Patients describing a negative effect of TikTok on their self-esteem more frequently searched and browsed diet (p = 0.007) and pro-ED recovery (p = 0.007) contents. Positive qualitative feedback on the SM was also reported. Conclusions This study documents the use of the SM TikTok among children and adolescents with ED. Individuals with a perceived negative effect of this SM on their self-esteem may show greater interaction with specific content. Further studies are needed to investigate the psychopathological factors influencing the relationship between ED and the use of SM.</t>
  </si>
  <si>
    <t>[Pruccoli, Jacopo; Chiasso, Lucia; Perrone, Annalisa; Parmeggiani, Antonia] IRCCS Ist Sci Neurol Bologna, Ctr Reg &amp; Disturbi Nutr &amp; Alimentaz Eta Evolut, UO Neuropsichiatria Eta Pediat, Bologna, Italy; [Pruccoli, Jacopo; De Rosa, Marta; Chiasso, Lucia; Perrone, Annalisa; Parmeggiani, Antonia] Univ Bologna, Dipartimento Sci Med &amp; Chirurg, Via Massarenti 9, I-40138 Bologna, Italy</t>
  </si>
  <si>
    <t>IRCCS Istituto delle Scienze Neurologiche di Bologna (ISNB); University of Bologna</t>
  </si>
  <si>
    <t>Parmeggiani, A (corresponding author), IRCCS Ist Sci Neurol Bologna, Ctr Reg &amp; Disturbi Nutr &amp; Alimentaz Eta Evolut, UO Neuropsichiatria Eta Pediat, Bologna, Italy.;Parmeggiani, A (corresponding author), Univ Bologna, Dipartimento Sci Med &amp; Chirurg, Via Massarenti 9, I-40138 Bologna, Italy.</t>
  </si>
  <si>
    <t>antonia.parmeggiani@unibo.it</t>
  </si>
  <si>
    <t>Pruccoli, Jacopo/0000-0002-7540-0776; PARMEGGIANI, ANTONIA/0000-0002-6849-0830</t>
  </si>
  <si>
    <t>1720-8424</t>
  </si>
  <si>
    <t>1824-7288</t>
  </si>
  <si>
    <t>ITAL J PEDIATR</t>
  </si>
  <si>
    <t>Ital. J. Pediatr.</t>
  </si>
  <si>
    <t>10.1186/s13052-022-01308-4</t>
  </si>
  <si>
    <t>Pediatrics</t>
  </si>
  <si>
    <t>3J6OD</t>
  </si>
  <si>
    <t>WOS:000833512000002</t>
  </si>
  <si>
    <t>Surabhi, S; Shah, B; Washington, P; Mutlu, OC; Leblanc, E; Mohite, P; Husic, A; Kline, A; Dunlap, K; McNealis, M; Liu, B; Deveaux, N; Sleiman, E; Wall, DP</t>
  </si>
  <si>
    <t>Surabhi, Saimourya; Shah, Bhavik; Washington, Peter; Mutlu, Onur Cezmi; Leblanc, Emilie; Mohite, Prathamesh; Husic, Arman; Kline, Aaron; Dunlap, Kaitlyn; McNealis, Maya; Liu, Bennett; Deveaux, Nick; Sleiman, Essam; Wall, Dennis P.</t>
  </si>
  <si>
    <t>TikTok for good: Creating a diverse emotion expression database</t>
  </si>
  <si>
    <t>2022 IEEE/CVF CONFERENCE ON COMPUTER VISION AND PATTERN RECOGNITION WORKSHOPS, CVPRW 2022</t>
  </si>
  <si>
    <t>IEEE Computer Society Conference on Computer Vision and Pattern Recognition Workshops</t>
  </si>
  <si>
    <t>IEEE/CVF Conference on Computer Vision and Pattern Recognition (CVPR)</t>
  </si>
  <si>
    <t>JUN 18-24, 2022</t>
  </si>
  <si>
    <t>New Orleans, LA</t>
  </si>
  <si>
    <t>IEEE,CVF,IEEE Comp Soc</t>
  </si>
  <si>
    <t>FACIAL EXPRESSIONS; AUTISM; VIDEO</t>
  </si>
  <si>
    <t>Facial expression recognition (FER) is a critical computer vision task for a variety of applications. Despite the widespread use of FER, there is a dearth of racially diverse facial emotion datasets which are enriched for children, teens, and adults. To bridge this gap, we have built a diverse expression recognition database using publicly available videos from TikTok, a video-focused social networking service. We describe the construction of the TikTok Facial expression recognition (FER) database. The dataset is extracted from 6428 videos scraped from TikTok. The videos consist of 9392 distinct individuals and labels for 15 emotion-related prompts. We were able to achieve a F1 score 0.78 for Ekman emotions on expression classification using transfer learning. We hope that the scale and diversity of the TikTokFER dataset will be of use to affective computing practitioners.</t>
  </si>
  <si>
    <t>[Surabhi, Saimourya] Stanford Univ, Dept Biomed Data Sci, Dept Pediat Syst Med, Stanford, CA 94305 USA; Stanford Univ, Dept Psychiat &amp; Behav Sci, Stanford, CA 94305 USA</t>
  </si>
  <si>
    <t>Stanford University; Stanford University</t>
  </si>
  <si>
    <t>Surabhi, S (corresponding author), Stanford Univ, Dept Biomed Data Sci, Dept Pediat Syst Med, Stanford, CA 94305 USA.</t>
  </si>
  <si>
    <t>mourya@stanford.edu; shah.bhavik627@gmail.com; peter100@stanford.edu; cezmi@stanford.edu; emilie.eam.leblanc@gmail.com; mohitep1@stanford.edu; ahusic@stanford.edu; akline@stanford.edu; kdunlap2@stanford.edu; mayamcne@stanford.edu; bennettl@stanford.edu; ndeveau@stanford.edu; sleiessa@stanford.edu; dpwall@stanford.edu</t>
  </si>
  <si>
    <t>Washington, Peter/JGE-2032-2023; Kline, Aaron/LDG-6011-2024</t>
  </si>
  <si>
    <t>Kline, Aaron/0000-0002-0077-5485; Liu, Bennett/0000-0001-8056-5033</t>
  </si>
  <si>
    <t>National Institutes [4] of Health [1R01EB02502501, 1ROlLM013364-01, 1R21HD09150001, 1R01LM013083]; National Science Foundation [2014232]; Hartwell Foundation; Bill and Melinda Gates Foundation; Coulter Foundation; Lucile Packard Foundation; Auxiliaries Endowment; ISDB Transform Fund; Weston Havens Foundation; Stanford's Human Centered Artificial Intelligence Program; Precision Health and Integrated Diagnostics Center; Beckman Center; Bio-X Center; Predictives and Diagnostics Accelerator, Spectrum, Spark Program in Translational Research, MediaX; Wu Tsai Neurosciences Institute's Neuroscience:Translate Program; Stanford Interdisciplinary Graduate Fellowship (SIGF); Div Of Information &amp; Intelligent Systems; Direct For Computer &amp; Info Scie &amp; Enginr [2014232] Funding Source: National Science Foundation</t>
  </si>
  <si>
    <t>National Institutes [4] of Health; National Science Foundation(National Science Foundation (NSF)); Hartwell Foundation; Bill and Melinda Gates Foundation(Bill &amp; Melinda Gates Foundation); Coulter Foundation; Lucile Packard Foundation(The David &amp; Lucile Packard Foundation); Auxiliaries Endowment; ISDB Transform Fund; Weston Havens Foundation; Stanford's Human Centered Artificial Intelligence Program; Precision Health and Integrated Diagnostics Center; Beckman Center; Bio-X Center; Predictives and Diagnostics Accelerator, Spectrum, Spark Program in Translational Research, MediaX; Wu Tsai Neurosciences Institute's Neuroscience:Translate Program; Stanford Interdisciplinary Graduate Fellowship (SIGF); Div Of Information &amp; Intelligent Systems; Direct For Computer &amp; Info Scie &amp; Enginr(National Science Foundation (NSF)NSF - Directorate for Computer &amp; Information Science &amp; Engineering (CISE)NSF - Division of Information &amp; Intelligent Systems (IIS))</t>
  </si>
  <si>
    <t>We would like to thank all members of the community who provided valuable feedback throughout the process of defining and collecting the dataset. The work was supported in part by funds to DPW from the National Institutes [4] of Health (1R01EB02502501,1ROlLM013364-01, 1R21HD09150001, 1R01LM013083), the National Science Foundation (Award 2014232), The Hartwell Foundation, Bill and Melinda Gates Foundation, Coulter Foundation, Lucile Packard Foundation, Auxiliaries Endowment, the ISDB Transform Fund, the Weston Havens Foundation, and program grants from Stanford's Human Centered Artificial Intelligence Program, Precision Health and Integrated Diagnostics Center, Beckman Center, Bio-X Center, Predictives and Diagnostics Accelerator, Spectrum, Spark Pro-gram in Translational Research, MediaX, and from the Wu Tsai Neurosciences Institute's Neuroscience:Translate Program. We also acknowledge generous support from David Orr, Imma Calvo, Bobby Dekesyer and Peter Sullivan. PW would like to acknowledge support from Mr. Schroeder and the Stanford Interdisciplinary Graduate Fellowship (SIGF) as the Schroeder Family Goldman Sachs Graduate Fellow.</t>
  </si>
  <si>
    <t>2160-7508</t>
  </si>
  <si>
    <t>978-1-6654-8739-9</t>
  </si>
  <si>
    <t>IEEE COMPUT SOC CONF</t>
  </si>
  <si>
    <t>10.1109/CVPRW56347.2022.00279</t>
  </si>
  <si>
    <t>Computer Science, Theory &amp; Methods</t>
  </si>
  <si>
    <t>BT9KZ</t>
  </si>
  <si>
    <t>WOS:000861612702072</t>
  </si>
  <si>
    <t>Gamito, MC</t>
  </si>
  <si>
    <t>Gamito, M. Cantero</t>
  </si>
  <si>
    <t>Do Too Many Cooks Spoil the Broth? How EU Law Underenforcement Allows TikTok's Violations of Minors' Rights</t>
  </si>
  <si>
    <t>JOURNAL OF CONSUMER POLICY</t>
  </si>
  <si>
    <t>Vulnerability; Consumer protection; Enforcement; CPC Regulation; TikTok; GDPR; DSA</t>
  </si>
  <si>
    <t>For some time already, there have been concerns about TikTok's business practices and their compliance with EU law. Different market investigations found out that TikTok's Terms of Service do not comply with the Unfair Commercial Practices Directive, the Unfair Contract Terms Directive or the Consumers Rights Directive, and that they also infringe the General Data Protection Regulation and the Audiovisual Media Services Directive. This is particularly problematic considering that many children, a vulnerable category under the applicable law, use TikTok on a daily basis, which intensifies the severity of the infringements. Although the protection of minors is one of the policy objectives of the EU, this article argues that the enforcement structure is deficient. In view of TikTok's practices infringing EU law, the European Consumer Organization, BEUC, called for an EU-level coordinated action to the European Commission and national authorities to request TikTok to align its practices with EU consumer law under the Consumer Protection Cooperation (CPC) Regulation. However, the developments following BEUC's call for action revealed that the CPC Regulation is not sufficiently effective. Ultimately, the ongoing problems and the seemingly lenient interpretation and application of the CPC Regulation by EU authorities that allow the continuation of TikTok's identified abusive and misleading practices provide evidence that the institutional apparatus for an EU-wide action for enforcement of consumer and data protection law is failing to deliver. This article provides a practical account of these developments and argues that too many cooks spoil the broth-i.e., that the plethora of rules, organizations, and procedures involved in enforcement paradoxically lead to the ineffectiveness of EU law. The paper takes the reconstruction of TikTok as a blueprint for discussing various options on how the existing enforcement structure of EU law in general, and CPC in particular, could and should be improved in light of the entry into application of the Digital Services Act.</t>
  </si>
  <si>
    <t>[Gamito, M. Cantero] Univ Tartu, Sch Law, IT Law Programme, Tartu, Estonia; [Gamito, M. Cantero] European Univ Inst, Sch Transnatl Governance, Florence, Italy</t>
  </si>
  <si>
    <t>University of Tartu; European University Institute</t>
  </si>
  <si>
    <t>Gamito, MC (corresponding author), Univ Tartu, Sch Law, IT Law Programme, Tartu, Estonia.;Gamito, MC (corresponding author), European Univ Inst, Sch Transnatl Governance, Florence, Italy.</t>
  </si>
  <si>
    <t>marta.cantero.gamito@ut.ee</t>
  </si>
  <si>
    <t>Gamito, Marta/AAA-3813-2019</t>
  </si>
  <si>
    <t>Cantero Gamito, Marta/0000-0001-8200-3456</t>
  </si>
  <si>
    <t>European University Institute - Fiesole within the CRUI-CARE Agreement</t>
  </si>
  <si>
    <t>Open access funding provided by European University Institute - Fiesole within the CRUI-CARE Agreement.</t>
  </si>
  <si>
    <t>0168-7034</t>
  </si>
  <si>
    <t>1573-0700</t>
  </si>
  <si>
    <t>J CONSUM POLICY</t>
  </si>
  <si>
    <t>J. Consum. Policy</t>
  </si>
  <si>
    <t>10.1007/s10603-023-09545-8</t>
  </si>
  <si>
    <t>T0KF2</t>
  </si>
  <si>
    <t>WOS:001031419600001</t>
  </si>
  <si>
    <t>Vera, JA; Mcdonald, DW; Zachry, M</t>
  </si>
  <si>
    <t>Vera, Julie A.; Mcdonald, David W.; Zachry, Mark</t>
  </si>
  <si>
    <t>How-To in Short-Form: A Framework for Analyzing Short-Format Instructional Content on TikTok</t>
  </si>
  <si>
    <t>TECHNICAL COMMUNICATION</t>
  </si>
  <si>
    <t>instruction; TikTok; multimedia; short -form; video</t>
  </si>
  <si>
    <t>VIDEO</t>
  </si>
  <si>
    <t>Purpose: TikTok's rise in popularity has invited creators across a broad spectrum of interests to contribute content to the platform, including non-expert, instructional subject matter. Previously, technical communication scholars have described ways to assess video instruction online, in relatively long-format lengths. Our project outlines a framework for assessing the video production qualities of instructional content across Method: We performed a content analysis of existing frameworks and sets of heuristics for assessing long-format instructional videos. We then analyzed a set of instructional content found across the TikTok platform and analyzed them using previous frameworks. After comparing and contrasting, we developed a new framework for assessing short-format video instructional content. Results: After assessing long-format instructional video frameworks and instructional content found across TikTok, we found that many dimensions and heuristics from previous frameworks applied to short-format video. Unique to short-form video were the dimensions of tempo and level of detail, which describe the pacing of the video from a temporal perspective and the fidelity of instruction, respectively. Instruction on TikTok can take place without explicit step-by-step instruction. Conclusion: We found that many dimensions and heuristics from long-form frameworks carry over to short-form video, but there are features, social norms, and creative norms on TikTok that lend themselves well to bite-sized instruction.</t>
  </si>
  <si>
    <t>[Vera, Julie A.] Univ Washington, Human Ctr Design &amp; Engn, Seattle, WA 98195 USA; [Mcdonald, David W.] Univ Washington, Dept Human Ctr Design &amp; Engn HCDE, Seattle, WA USA; [Zachry, Mark] Univ Washington, Dept Human Ctr Design &amp; Engn HCDE, Commun Pract Virtual Workspaces Lab, Seattle, WA USA; [Zachry, Mark] UW Grad Sch, Individual Interdisciplinary PhD program, Seattle, WA USA</t>
  </si>
  <si>
    <t>University of Washington; University of Washington Seattle; University of Washington; University of Washington Seattle; University of Washington; University of Washington Seattle</t>
  </si>
  <si>
    <t>Vera, JA (corresponding author), Univ Washington, Human Ctr Design &amp; Engn, Seattle, WA 98195 USA.</t>
  </si>
  <si>
    <t>jvera@uw.edu; dwmc@uw.ed; zachry@uw.edu</t>
  </si>
  <si>
    <t>Vera, Julie/0000-0002-4154-9273</t>
  </si>
  <si>
    <t>SOC TECHNICAL COMMUNICATION</t>
  </si>
  <si>
    <t>FAIRFAX</t>
  </si>
  <si>
    <t>9401 LEE HIGHWAY, STE 300, FAIRFAX, VA 22031 USA</t>
  </si>
  <si>
    <t>0049-3155</t>
  </si>
  <si>
    <t>TECH COMMUN-STC</t>
  </si>
  <si>
    <t>Tech. Commun.</t>
  </si>
  <si>
    <t>10.55177/tc152088</t>
  </si>
  <si>
    <t>WG3I7</t>
  </si>
  <si>
    <t>WOS:001253673400002</t>
  </si>
  <si>
    <t>Qu, Y; Lian, J; Pan, B; Zhang, JH; Zhou, YD</t>
  </si>
  <si>
    <t>Qu, Yang; Lian, Jie; Pan, Bo; Zhang, Jiahui; Zhou, Yidong</t>
  </si>
  <si>
    <t>Assessing the quality of breast cancer-related videos on TikTok: A cross-sectional study</t>
  </si>
  <si>
    <t>Breast cancer; TikTok; video quality assessment; social media; short video apps</t>
  </si>
  <si>
    <t>SOCIAL MEDIA; INFORMATION</t>
  </si>
  <si>
    <t>Purpose: Breast cancer, the most common cancer in women globally, highlights the need for patient education. Despite many breast cancer discussions on TikTok, their scientific evaluation is lacking. Our study seeks to assess the content quality and accuracy of popular TikTok videos on breast cancer, to improve the dissemination of health knowledge. Methods: On August 22, 2023, we collected the top 100 trending videos from TikTok's Chinese version using breast cancer/breast nodule as keywords. We noted their length, TikTok duration, likes, comments, favorites, reposts, uploader types, and topics. Four assessment tools were used: Goobie's six questions, the Patient Educational Material Assessment Tool (PEMAT), the Video Information and Quality Index (VIQI), and the Global Quality Score (GQS). These instruments evaluate videos based on content, informational integrity, and overall quality. Results: Among the 100 videos, content quality was low with Goobie's questions mostly scoring 0, except for management at 1.0 (QR 1.0). PEMAT scores were moderate: 54.1 (QR 1.6) for sum, 47.0 (QR 18.8) for PEMAT-A, and 52.3 (QR 11.7) for PEMAT-U. Regarding the quality of information, the VIQI (sum) median was 14.1 (QR 0.2). Additionally, the median GQS score was 3.5 (QR 0.1). Medical professionals' videos focused on breast cancer stages, while patient videos centered on personal experiences. Patient videos had lower content and overall quality compared to those by medical professionals (PEMAT, GQS: P &lt; 0.001, P = 0.004) but received more comments, indicating higher engagement (all P &lt; 0.05). Conclusion: TikTok's breast cancer content shows educational potential, but while informational quality is moderate, content quality needs improvement. Videos by medical professionals are of higher quality. We recommend increased involvement of healthcare professionals on TikTok to enhance content quality. Non-medical users should share verified information, and TikTok should strengthen its content vetting. Users must scrutinize the credibility of health information on social platforms.</t>
  </si>
  <si>
    <t>[Qu, Yang; Lian, Jie; Pan, Bo; Zhang, Jiahui; Zhou, Yidong] Chinese Acad Med Sci &amp; Peking Union Med Coll, Peking Union Med Coll Hosp, Dept Breast Surg, Beijing, Peoples R China</t>
  </si>
  <si>
    <t>Chinese Academy of Medical Sciences - Peking Union Medical College; Peking Union Medical College; Peking Union Medical College Hospital</t>
  </si>
  <si>
    <t>Zhou, YD (corresponding author), Chinese Acad Med Sci &amp; Peking Union Med Coll, Peking Union Med Coll Hosp, Dept Breast Surg, Beijing, Peoples R China.</t>
  </si>
  <si>
    <t>zhouydpumch@126.com</t>
  </si>
  <si>
    <t>Natural Science Foundation of China; CAMS Innovation Fund for Medical Sciences (CIFMS); National High-Level Hospital Clinical Research Funding [81001183, 2021-I2M-1-014, 2022-PUMCH-B-039, 2022PUMCH-A-165]</t>
  </si>
  <si>
    <t>Natural Science Foundation of China(National Natural Science Foundation of China (NSFC)); CAMS Innovation Fund for Medical Sciences (CIFMS); National High-Level Hospital Clinical Research Funding</t>
  </si>
  <si>
    <t>The authors disclosed receipt of the following financial support for the research, authorship, and/or publication of this article: This work was supported by the Natural Science Foundation of China, CAMS Innovation Fund for Medical Sciences (CIFMS), the National High-Level Hospital Clinical Research Funding (grant numbers 81001183, 2021-I2M-1-014, 2022-PUMCH-B-039, 2022PUMCH-A-165).</t>
  </si>
  <si>
    <t>10.1177/20552076241277688</t>
  </si>
  <si>
    <t>E4S6Y</t>
  </si>
  <si>
    <t>WOS:001302923300001</t>
  </si>
  <si>
    <t>Khoa, NH; Duy, PT; Hoang, HD; Hien, DTT; Pham, VH</t>
  </si>
  <si>
    <t>Nghi Hoang Khoa; Phan The Duy; Hien Do Hoang; Do Thi Thu Hien; Van-Hau Pham</t>
  </si>
  <si>
    <t>Forensic analysis of TikTok application to seek digital artifacts on Android smartphone</t>
  </si>
  <si>
    <t>2020 RIVF INTERNATIONAL CONFERENCE ON COMPUTING &amp; COMMUNICATION TECHNOLOGIES (RIVF 2020)</t>
  </si>
  <si>
    <t>IEEE RIVF International Conference on Computing and Communication Technologies Research Innovation and Vision for the Future</t>
  </si>
  <si>
    <t>RIVF International Conference on Computing and Communication Technologies (RIVF)</t>
  </si>
  <si>
    <t>OCT 14-15, 2020</t>
  </si>
  <si>
    <t>RMIT University, Ho Chi Minh City, VIETNAM</t>
  </si>
  <si>
    <t>IEEE Vietnam Sect</t>
  </si>
  <si>
    <t>RMIT University</t>
  </si>
  <si>
    <t>TikTok forensics; mobile forensics; Android application; social networking</t>
  </si>
  <si>
    <t>Emerging with highlight features as a global phenomenon, TikTok - the international version of Douyin application in China market, is a social media video app for creating and sharing short lip-syncing. This social video platform has seen astounding growth by reaching 1.5 billion users in 2019 by capturing the cultural zeitgeist among teenage smartphone owners in unprecedented fashion. However, criminals have been paid attention to this platform where young users become the target of abusers or predators. In this paper, we introduce the forensic analysis of the artifacts left on Android phones by TikTok application. In more detail, we indicate a complete description of all the artifacts obtained in TikTok. Furthermore, by using the results discussed in the paper, an investigator can rebuild the list of followers, searching keywords, favorites, messages that have been exchanged by users. It is helpful to examine and determine which artifacts could be considered as evidence for criminal investigation on popular social networking application.</t>
  </si>
  <si>
    <t>[Nghi Hoang Khoa; Phan The Duy; Hien Do Hoang; Do Thi Thu Hien; Van-Hau Pham] Univ Informat Technol, Informat Secur Lab, Ho Chi Minh City, Vietnam; [Nghi Hoang Khoa; Phan The Duy; Hien Do Hoang; Do Thi Thu Hien; Van-Hau Pham] Vietnam Natl Univ, Ho Chi Minh City, Vietnam</t>
  </si>
  <si>
    <t>Vietnam National University Hochiminh City</t>
  </si>
  <si>
    <t>Khoa, NH (corresponding author), Univ Informat Technol, Informat Secur Lab, Ho Chi Minh City, Vietnam.;Khoa, NH (corresponding author), Vietnam Natl Univ, Ho Chi Minh City, Vietnam.</t>
  </si>
  <si>
    <t>khoanh@uit.edu.vn; duypt@uit.edu.vn; hiendh@uit.edu.vn; hiendtt@uit.edu.vn; haupv@uit.edu.vn</t>
  </si>
  <si>
    <t>Phan, Ryan/ADH-9477-2022</t>
  </si>
  <si>
    <t>Do, Thi Thu Hien/0000-0001-9387-7909</t>
  </si>
  <si>
    <t>University of Information Technology-Vietnam National University HoChiMinh City [D1-2020-01]</t>
  </si>
  <si>
    <t>University of Information Technology-Vietnam National University HoChiMinh City</t>
  </si>
  <si>
    <t>This research is funded by University of Information Technology-Vietnam National University HoChiMinh City under grant number D1-2020-01.</t>
  </si>
  <si>
    <t>2162-786X</t>
  </si>
  <si>
    <t>978-1-7281-5377-3</t>
  </si>
  <si>
    <t>IEEE RIVF INT CONF</t>
  </si>
  <si>
    <t>10.1109/rivf48685.2020.9140739</t>
  </si>
  <si>
    <t>BR3QJ</t>
  </si>
  <si>
    <t>WOS:000648838400058</t>
  </si>
  <si>
    <t>Nouwen, M; Duflos, M</t>
  </si>
  <si>
    <t>Nouwen, Marije; Duflos, Mathilde</t>
  </si>
  <si>
    <t>Displaying intergenerational solidarity on TikTok during the COVID-19 pandemic: understanding the implications in the grandparent-grandchild relationship</t>
  </si>
  <si>
    <t>JOURNAL OF FAMILY STUDIES</t>
  </si>
  <si>
    <t>TikTok; grandparenting; grandchildren; COVID-19; intergenerational solidarity; family display</t>
  </si>
  <si>
    <t>The habits of families are affected during the COVID-19 pandemic, with limitations to socialization or visits. Grandparents and grandchildren use social media to sustain interpersonal relationships, as well as display intergenerational solidarity to others. This paper presents a qualitative content analysis of the display of different dimensions of intergenerational solidarity between grandparents and grandchildren during the COVID-19 pandemic in 2020, on TikTok. The analysis extends the understanding of intergenerational solidarity between grandparents and grandchildren on TikTok, by highlighting which characteristics or activities they find important to display to other users of the platform. The results suggest that grandparents and grandchildren value qualities of physical touch and family celebrations (i.e. affectual solidarity), and big life events (i.e. normative solidarity). Moreover, grandparents and grandchildren refrain from consensual solidarity on TikTok, but other categories of intergenerational solidarity provide clues to differences in the public display of their respective roles.</t>
  </si>
  <si>
    <t>[Nouwen, Marije] Katholieke Univ Leuven, Meaningful Interact Lab, Mintlab, Parkstr 35 Bus 3605, B-3000 Leuven, Belgium; [Duflos, Mathilde] Univ Tours, Lab Psychol Ages Vie &amp; Adaptat EA 2114, PAVeA, Tours, France; [Duflos, Mathilde] Univ British Columbia, Dept Pediat, 4480 Oak St F508, Vancouver, BC V6H 3V4, Canada; [Duflos, Mathilde] British Columbia Childrens Hosp, Res Inst, 4480 Oak St F508, Vancouver, BC V6H 3V4, Canada</t>
  </si>
  <si>
    <t>KU Leuven; Universite de Tours; University of British Columbia; University of British Columbia; BC Childrens Hospital</t>
  </si>
  <si>
    <t>Nouwen, M (corresponding author), Katholieke Univ Leuven, Meaningful Interact Lab, Mintlab, Parkstr 35 Bus 3605, B-3000 Leuven, Belgium.</t>
  </si>
  <si>
    <t>Marije.nouwen@kuleuven.be</t>
  </si>
  <si>
    <t>Duflos, Mathilde/ABB-9410-2021</t>
  </si>
  <si>
    <t>Duflos, Mathilde/0000-0001-9532-1859; Nouwen, Marije/0000-0002-5991-9084</t>
  </si>
  <si>
    <t>FWO [G0E3718N]</t>
  </si>
  <si>
    <t>FWO(FWO)</t>
  </si>
  <si>
    <t>Author 1 receives funding from FWO (grant number G0E3718N). We thank our supervisors for proofreading the manuscript, the reviewers for their constructive feedback, and the students of the Qualitative Seminar (held in fall 2020) at author 1's university for their feedback on the data gathering process.</t>
  </si>
  <si>
    <t>1322-9400</t>
  </si>
  <si>
    <t>1839-3543</t>
  </si>
  <si>
    <t>J FAM STUD</t>
  </si>
  <si>
    <t>J. Fam. Stud.</t>
  </si>
  <si>
    <t>10.1080/13229400.2022.2032275</t>
  </si>
  <si>
    <t>Family Studies</t>
  </si>
  <si>
    <t>G0ET0</t>
  </si>
  <si>
    <t>Green Submitted, Green Accepted</t>
  </si>
  <si>
    <t>WOS:000750757700001</t>
  </si>
  <si>
    <t>Vázquez-Herrero, J; Negreira-Rey, MC; López-García, X</t>
  </si>
  <si>
    <t>Vazquez-Herrero, Jorge; Negreira-Rey, Maria-Cruz; Lopez-Garcia, Xose</t>
  </si>
  <si>
    <t>Let's dance the news! How the news media are adapting to the logic of TikTok</t>
  </si>
  <si>
    <t>JOURNALISM</t>
  </si>
  <si>
    <t>Content analysis; incidental news; journalism; social media; social media logic; TikTok; virality; youth</t>
  </si>
  <si>
    <t>The influence of TikTok has reached the news media, which has adapted to the logic of the platform, in a context marked by the incidental consumption of news, virality and the intermediation of technology in access to information. The popularity of this social network invites news outlets to address a young audience on a platform characterized by visual and short content and dynamics defined by algorithmic recommendations, trending hashtags and challenges. Based on an exploratory search of news media and programmes on TikTok from around the world, we selected 234 accounts and conducted a content analysis of the 19 news media and programmes identified with a verified profile and general thematic scope. The results point to a progressive incorporation of the media since 2019, with the purpose of informing, positioning their brand and adapting to the logic of TikTok in a new approach to journalism for younger generations.</t>
  </si>
  <si>
    <t>[Vazquez-Herrero, Jorge] Univ Santiago de Compostela, Santiago De Compostela, Spain; [Negreira-Rey, Maria-Cruz] Univ Santiago de Compostela, Commun &amp; Contemporary Informat, Santiago De Compostela, Spain; [Lopez-Garcia, Xose] Univ Santiago de Compostela, Dept Commun Sci, Journalism, Santiago De Compostela, Spain</t>
  </si>
  <si>
    <t>Universidade de Santiago de Compostela; Universidade de Santiago de Compostela; Universidade de Santiago de Compostela</t>
  </si>
  <si>
    <t>Vázquez-Herrero, J (corresponding author), Univ Santiago de Compostela, Fac Commun Sci, Ave Castelao S-N,Campus Norte, Santiago De Compostela 15782, Spain.</t>
  </si>
  <si>
    <t>Vázquez-Herrero, Jorge/ITT-4798-2023; Negreira-Rey, María-Cruz/AAZ-7722-2020; López García, Xosé/I-4418-2019</t>
  </si>
  <si>
    <t>Vazquez Herrero, Jorge/0000-0002-9081-3018</t>
  </si>
  <si>
    <t>The author(s) disclosed receipt of the following financial support for the research, authorship, and/or publication of this article: This work was supported by the Ministry of Science, Innovation and Universities (Government of Spain) and the ERDF structural fund within the research project Digital Native Media in Spain: Storytelling Formats and Mobile Strategy (RTI2018-093346-B-C33).</t>
  </si>
  <si>
    <t>1464-8849</t>
  </si>
  <si>
    <t>1741-3001</t>
  </si>
  <si>
    <t>Journalism</t>
  </si>
  <si>
    <t>10.1177/1464884920969092</t>
  </si>
  <si>
    <t>OCT 2020</t>
  </si>
  <si>
    <t>3V8NI</t>
  </si>
  <si>
    <t>Green Accepted</t>
  </si>
  <si>
    <t>WOS:000598511500001</t>
  </si>
  <si>
    <t>Jiang, HB; Cai, JW; Lin, Y; Wang, QM</t>
  </si>
  <si>
    <t>Jiang, Hongbo; Cai, Jiewei; Lin, Yan; Wang, Qiaomin</t>
  </si>
  <si>
    <t>Understanding the effect of TikTok marketing on user purchase behavior: a mixed-methods approach</t>
  </si>
  <si>
    <t>ELECTRONIC COMMERCE RESEARCH</t>
  </si>
  <si>
    <t>SOR theory; TikTok marketing; Users purchase behavior; AMOS; Semi-structured interviews</t>
  </si>
  <si>
    <t>WEBSITE ATTRIBUTES; CONSUMER-BEHAVIOR; ONLINE PURCHASE; INTENTION; USAGE; MODEL; FLOW</t>
  </si>
  <si>
    <t>Short video marketing has become a new marketing strategy favored by brands in the new media era. How short videos affect users' purchase behavior is a concern for businesses. This study aims to explore the mechanism through which short video marketing influences user purchasing behavior. Semi-structured interviews were conducted with 17 TikTok users, identifying six stimulating variables: interactivity, entertainment, audiovisual presentation, promotional activities, celebrity, and product features. Based on the stimulus-organism-response (SOR) model, the impact of TikTok short video marketing on user purchasing behavior was examined, with flow experience and perceived usefulness as mediating variables. Data from 514 TikTok users were collected for testing. The results show that entertainment, celebrity, and product features positively affect the flow experience. Promotion and celebrity have a positive effect on attitude. Flow experience and attitude positively affect users' purchase behavior. Furthermore, flow experience and attitude play an intermediary role between external stimuli and users' purchase behavior.</t>
  </si>
  <si>
    <t>[Jiang, Hongbo; Lin, Yan] Guangzhou Southern Coll, Econ &amp; Management Dept, Xiamen, Peoples R China; [Cai, Jiewei] Nanfang Coll Guangzhou, Business Sch, Guangzhou, Peoples R China; [Wang, Qiaomin] Agr Bank China, Xiamen Branch, Xiamen, Peoples R China</t>
  </si>
  <si>
    <t>Nanfang College, Guangzhou; Agricultural Bank of China</t>
  </si>
  <si>
    <t>Cai, JW (corresponding author), Nanfang Coll Guangzhou, Business Sch, Guangzhou, Peoples R China.</t>
  </si>
  <si>
    <t>2063568463@qq.com</t>
  </si>
  <si>
    <t>Doctoral Support Project of Fujian Provincial Social Science Foundation Project [FJ2024BF050]; Undergraduate Education and Teaching Research Project of Fujian Province [FBJG20220233]; Project of Graduate Students' Science and Technology Innovation Plan of Xiamen University of Technology [YKJCX2023034]</t>
  </si>
  <si>
    <t>Doctoral Support Project of Fujian Provincial Social Science Foundation Project; Undergraduate Education and Teaching Research Project of Fujian Province; Project of Graduate Students' Science and Technology Innovation Plan of Xiamen University of Technology</t>
  </si>
  <si>
    <t>This research was supported by the Doctoral Support Project of Fujian Provincial Social Science Foundation Project (FJ2024BF050), the Undergraduate Education and Teaching Research Project of Fujian Province(FBJG20220233) and the Project of Graduate Students' Science and Technology Innovation Plan of Xiamen University of Technology (YKJCX2023034).</t>
  </si>
  <si>
    <t>1389-5753</t>
  </si>
  <si>
    <t>1572-9362</t>
  </si>
  <si>
    <t>ELECTRON COMMER RES</t>
  </si>
  <si>
    <t>Electron. Commer. Res.</t>
  </si>
  <si>
    <t>2024 AUG 14</t>
  </si>
  <si>
    <t>10.1007/s10660-024-09882-x</t>
  </si>
  <si>
    <t>C6S5W</t>
  </si>
  <si>
    <t>WOS:001290653500001</t>
  </si>
  <si>
    <t>Puwo, I; Perrotti, AM; Jayarathna, S</t>
  </si>
  <si>
    <t>Puwo, Isabelle; Perrotti, Anne Marie; Jayarathna, Sampath</t>
  </si>
  <si>
    <t>Exploring TikTok as an Appropriate Teaching Tool for Speech Language Pathologists, Special Education, and General Education Teachers</t>
  </si>
  <si>
    <t>PROCEEDINGS OF THE 2023 INTERNATIONAL SYMPOSIUM ON THEORY, ALGORITHMIC FOUNDATIONS, AND PROTOCOL DESIGN FOR MOBILE NETWORKS AND MOBILE COMPUTING, MOBIHOC 2023</t>
  </si>
  <si>
    <t>International Symposium on Theory, Algorithmic Foundations, and Protocol Design for Mobile Networks and Mobile Computing (ACM MobiHoc)</t>
  </si>
  <si>
    <t>OCT 23-26, 2023</t>
  </si>
  <si>
    <t>Washington, DC</t>
  </si>
  <si>
    <t>Assoc Comp Machinery,ACM SIGMOBILE</t>
  </si>
  <si>
    <t>TikTok; Disinformation; Information Retrieval</t>
  </si>
  <si>
    <t>Lectures and seminars which are commonly used in schools as teaching methods have faced criticism for lacking personal touch. The rapid growth and influence of media platforms have revolutionized how information is shared and consumed, with a particular emphasis on their integration as valuable educational tools. TikTok, a short-form video platform has gained recognition among users of all ages. While TikTok is mostly known for its viral content there is a growing interest in exploring its educational potential. This research paper focuses on examining TikTok as a teaching tool for general education teachers (GE) special education teachers (SPEDs) and speech-language pathologists (SLPs), aiming to ascertain its purpose while gauging the presence of misinformation or disinformation in educators' videos. The analysis encompassed 743 videos, revealing intriguing insights. Surprisingly, despite having less valuable content, teacher-generated TikToks had the most viewing. SPEDs and SLPs, on the other hand, took a different strategy. They provided targeted assistance to their target audience, including instructional information focused on professional growth, procedural insights, and caregiver counseling. These findings highlight TikTok's potential for enhancing educators' outreach and successfully conveying specialized information.</t>
  </si>
  <si>
    <t>[Puwo, Isabelle] Univ Maryland Eastern Shore, Dept Comp Sci, Eastern Shore, MD 21853 USA; [Perrotti, Anne Marie] Old Dominion Univ, Dept Special Educ Tourism &amp; Sport Sci, Norfolk, VA USA; [Jayarathna, Sampath] Old Dominion Univ, Dept Comp Sci, Norfolk, VA USA</t>
  </si>
  <si>
    <t>Puwo, I (corresponding author), Univ Maryland Eastern Shore, Dept Comp Sci, Eastern Shore, MD 21853 USA.</t>
  </si>
  <si>
    <t>inpuwo@umes.edu; aperrott@odu.edu; sampath@cs.odu.edu</t>
  </si>
  <si>
    <t>Jayarathna, Sampath/AAM-6816-2021</t>
  </si>
  <si>
    <t>National Science Foundation Research Experience for Undergraduate Sites Project [2149607]</t>
  </si>
  <si>
    <t>National Science Foundation Research Experience for Undergraduate Sites Project(National Science Foundation (NSF))</t>
  </si>
  <si>
    <t>This work was supported in part by National Science Foundation Research Experience for Undergraduate Sites Project # 2149607. Any opinions, findings conclusions or recommendations expressed in this material are the author(s) and do not necessarily reflect those of the sponsors.</t>
  </si>
  <si>
    <t>978-1-4503-9926-5</t>
  </si>
  <si>
    <t>10.1145/3565287.3617636</t>
  </si>
  <si>
    <t>Computer Science, Information Systems; Computer Science, Theory &amp; Methods; Telecommunications</t>
  </si>
  <si>
    <t>BW2UG</t>
  </si>
  <si>
    <t>WOS:001125985600078</t>
  </si>
  <si>
    <t>Wahid, R; Karjaluoto, H; Taiminen, K; Asiati, DI</t>
  </si>
  <si>
    <t>Wahid, Risqo; Karjaluoto, Heikki; Taiminen, Kimmo; Asiati, Diah Isnaini</t>
  </si>
  <si>
    <t>Becoming TikTok Famous: Strategies for Global Brands to Engage Consumers in an Emerging Market</t>
  </si>
  <si>
    <t>JOURNAL OF INTERNATIONAL MARKETING</t>
  </si>
  <si>
    <t>social media marketing; content marketing; TikTok; global brands; customer engagement</t>
  </si>
  <si>
    <t>SOCIAL MEDIA; IMPACT; GRATIFICATIONS; POPULARITY; REGRESSION; BEHAVIOR</t>
  </si>
  <si>
    <t>This study examines the effects of content characteristics (i.e., informational and emotional characteristics), language, and nonverbal information on social media engagement (SME; i.e., likes, shares, and comments) in the context of global brands operating in an emerging market and implementing TikTok as a tool for social media marketing. The data set comprised 680 posts, 1,527,340 likes, 58,529 shares, and 18,743 comments collected from global smartphone brands' TikTok accounts specifically targeting Indonesian consumers. The findings confirm that informational content mainly generates higher SME than emotional content. English and code-switched languages generally improve SME, whereas nonverbal information mostly has no significant effects. Furthermore, English and code-switched languages mainly have negative moderating effects on the relationship between content characteristics (both informational and emotional characteristics) and SME. Theoretically, this study provides a preliminary understanding of effective SME enhancement strategies for global brands targeting consumers on TikTok in emerging markets. Practically, the results of this research can provide guidelines for global brands engaging with consumers in emerging markets. These insights can also assist global brands in creating TikTok-famous content.</t>
  </si>
  <si>
    <t>[Wahid, Risqo; Karjaluoto, Heikki; Taiminen, Kimmo] Univ Jyvaskyla, Sch Business &amp; Econ, Jyvaskyla, Finland; [Asiati, Diah Isnaini] Univ Muhammadiyah Palembang, Fac Econ &amp; Business, Mkt, Kota Palembang, Sumatera Selata, Indonesia</t>
  </si>
  <si>
    <t>University of Jyvaskyla; Universitas Muhammadiyah Palembang</t>
  </si>
  <si>
    <t>risqo.m.wahid@jyu.fi; heikki.karjaluoto@jyu.fi; kimmo.taiminen@jyu.fi; diah_isnaini@yahoo.com</t>
  </si>
  <si>
    <t>Karjaluoto, Heikki/M-4488-2014; Wahid, Risqo/HDM-3488-2022</t>
  </si>
  <si>
    <t>Karjaluoto, Heikki/0000-0002-5696-7355; Wahid, Risqo/0000-0002-4646-0358</t>
  </si>
  <si>
    <t>1069-031X</t>
  </si>
  <si>
    <t>1547-7215</t>
  </si>
  <si>
    <t>J INT MARKETING</t>
  </si>
  <si>
    <t>J. Int. Market.</t>
  </si>
  <si>
    <t>10.1177/1069031X221129554</t>
  </si>
  <si>
    <t>8Q0LC</t>
  </si>
  <si>
    <t>WOS:000879119800001</t>
  </si>
  <si>
    <t>Matamoros-Fernández, A</t>
  </si>
  <si>
    <t>Matamoros-Fernandez, Ariadna</t>
  </si>
  <si>
    <t>Taking Humor Seriously on TikTok</t>
  </si>
  <si>
    <t>online safety; TikTok; humor; online harms; social media</t>
  </si>
  <si>
    <t>Humor and play are at the center of TikTok culture. Through the platform's unique functionalities such as the Use this Sound and Duet features, people use and repurpose sounds in combination with dance and other performative challenges that invite imitation and transformation in novel and creative ways. Users have found on TikTok an ideal site to engage in memetic culture for a wide variety of prosocial aims: from calling out China's treatment of Uighurs to memeing politicians for their poor commitments to matters of concern like climate change. All too often, though, users on TikTok also participate in practices that can advertently and inadvertently be harmful, such as viral trends trivializing police brutality and domestic violence and racist parodies. In a moment where various countries are discussing new regulations to push platforms to address, consistently and transparently, illegal and lawful harmful content and conduct, this commentary argues that humor should be taken seriously for online safety.</t>
  </si>
  <si>
    <t>[Matamoros-Fernandez, Ariadna] Queensland Univ Technol, Brisbane, Australia</t>
  </si>
  <si>
    <t>Matamoros-Fernández, A (corresponding author), Queensland Univ Technol, Sch Commun, Z6 510,Musk Ave, Kelvin Grove, Qld 4059, Australia.</t>
  </si>
  <si>
    <t>ariadna.matamorosfernandez@qut.edu.au</t>
  </si>
  <si>
    <t>Matamoros Fernandez, Ariadna/0000-0003-2149-3820</t>
  </si>
  <si>
    <t>10.1177/20563051231157609</t>
  </si>
  <si>
    <t>9I7PX</t>
  </si>
  <si>
    <t>WOS:000939698600001</t>
  </si>
  <si>
    <t>Yang, SJ; Zhan, J; Xu, XQ</t>
  </si>
  <si>
    <t>Yang, Shijie; Zhan, Jing; Xu, Xiequn</t>
  </si>
  <si>
    <t>Is TikTok a high-quality source of information on thyroid cancer?</t>
  </si>
  <si>
    <t>ENDOCRINE</t>
  </si>
  <si>
    <t>Thyroid cancer; TikTok; Video; Health information; Quality</t>
  </si>
  <si>
    <t>TRENDS</t>
  </si>
  <si>
    <t>PurposeIncreased Internet users tend to use online video platforms as a source of medical information. There are many thyroid cancer-related videos on TikTok, the most popular short-video application in China. However, quality evaluation of these videos remains absent. The aim of this study is to evaluate the quality of thyroid cancer-related videos on TikTok.MethodsA search was performed on TikTok with the keyword thyroid cancer. The top 100 videos in the search results were selected. Characteristics of videos including video length, duration on TikTok, thumbs up, thumbs up/day, comments, comments/day, favorites, favorites/day, reposts, and reposts/day were collected. The Patient Education Materials Assessment Tool (PEMAT), modified DISCERN (mDISCERN), Video Information and Quality Index (VIQI), and Global Quality Score (GQS) were applied to assess the quality of videos.ResultsAmong the 100 videos in this study, most were uploaded by surgical physicians (n = 50), and the most common topic was anatomy/basic facts (n = 21). The mean scores of the PEMAT, PEMAT-U, and PEMAT-A were 71.18 +/- 16.56, 82.23 +/- 15.00, and 44.00 +/- 37.57, respectively. Among the five questions of the mDISCERN tool, 71, 90, 82, 9, and 28 videos were evaluated as yes, respectively. The mean scores of mDISCERN, VIQI, and GQS were 2.80 +/- 1.03, 14.87 +/- 2.27, and 3.72 +/- 1.00, respectively. The characteristics and quality of videos are significantly different based on the uploader and content.ConclusionsThe quality of thyroid cancer information on TikTok is unsatisfactory. There is a need for high-quality thyroid cancer-related information on short-video platforms for patient education.</t>
  </si>
  <si>
    <t>[Yang, Shijie; Xu, Xiequn] Peking Union Med Coll Hosp, Chinese Acad Med Sci, Peking Union Med Coll, Dept Gen Surg, Beijing, Peoples R China; [Yang, Shijie] Chinese Acad Med Sci, Canc Hosp, Natl Clin Res Canc Ctr, Beijing, Peoples R China; [Zhan, Jing] Peking Union Med Coll Hosp, Chinese Acad Med Sci, Peking Union Med Coll, Dept Anesthesiol, Beijing, Peoples R China; [Yang, Shijie; Zhan, Jing] Peking Union Med Coll, Beijing, Peoples R China</t>
  </si>
  <si>
    <t>Chinese Academy of Medical Sciences - Peking Union Medical College; Peking Union Medical College Hospital; Peking Union Medical College; Chinese Academy of Medical Sciences - Peking Union Medical College; Chinese Academy of Medical Sciences - Peking Union Medical College; Peking Union Medical College Hospital; Peking Union Medical College; Chinese Academy of Medical Sciences - Peking Union Medical College; Peking Union Medical College</t>
  </si>
  <si>
    <t>Xu, XQ (corresponding author), Peking Union Med Coll Hosp, Chinese Acad Med Sci, Peking Union Med Coll, Dept Gen Surg, Beijing, Peoples R China.</t>
  </si>
  <si>
    <t>xxq75@163.com</t>
  </si>
  <si>
    <t>Xu, Xiequn/AAS-9773-2021</t>
  </si>
  <si>
    <t>Xu, Xiequn/0000-0003-0347-5258</t>
  </si>
  <si>
    <t>National Natural Science Foundation of China [32071436]; Beijing Municipal Natural Science Foundation [7222127]</t>
  </si>
  <si>
    <t>National Natural Science Foundation of China(National Natural Science Foundation of China (NSFC)); Beijing Municipal Natural Science Foundation(Beijing Natural Science Foundation)</t>
  </si>
  <si>
    <t>This study is supported by the National Natural Science Foundation of China (32071436) and the Beijing Municipal Natural Science Foundation (7222127).</t>
  </si>
  <si>
    <t>1355-008X</t>
  </si>
  <si>
    <t>1559-0100</t>
  </si>
  <si>
    <t>Endocrine</t>
  </si>
  <si>
    <t>10.1007/s12020-023-03332-8</t>
  </si>
  <si>
    <t>FEB 2023</t>
  </si>
  <si>
    <t>J8WB0</t>
  </si>
  <si>
    <t>WOS:000939171600001</t>
  </si>
  <si>
    <t>López, NA; Bautista, PS</t>
  </si>
  <si>
    <t>Lopez, Nadia Alonso; Bautista, Pavel Sidorenko</t>
  </si>
  <si>
    <t>WOMEN'S COMMUNICATION AND POLITICS IN TIKTOK. REPRESENTATION, CONTENT AND MESSAGES</t>
  </si>
  <si>
    <t>FEMINISMO-S</t>
  </si>
  <si>
    <t>TikTok; Women; Political Communication; New Narratives; Digital Communication</t>
  </si>
  <si>
    <t>Since 2016, the Chinese short-form video hosting platform TikTok has experienced sustained growth, which has increased since 2020 because of the lockdowns due to the COVID-19 pandemic. Today more than one billion users are registered in this platform globally, and TikTok is positioned not only as the most downloaded mobile application, but also as a reference in the trend towards formats that are increasingly visually stimulating and more condensed in content. Some women active in politics have seen TikTok as a digital tool to spread their messages and connect with younger audiences. Based on a content analysis, this article examines the comments of 1,295 contents in five profiles of women on TikTok that tackle politics from different per-spectives, topics, and geographies, as well as in the publications of three political parties in Spain in which women politicians belonging to them are presented. In general, this platform narratively invites a disruptive and playful staging that is often focused on entertainment, allowing users to sometimes spread inappropriate or sexist comments. However, the results of this study suggest that the communities that follow the profiles studied show support and a low rate of sexism.</t>
  </si>
  <si>
    <t>[Lopez, Nadia Alonso] Univ Politecn Valencia, Valencia, Spain; [Bautista, Pavel Sidorenko] UNIR, Logrono, Spain</t>
  </si>
  <si>
    <t>Universitat Politecnica de Valencia; Universidad Internacional de La Rioja (UNIR)</t>
  </si>
  <si>
    <t>naallo1@har.upv.es; pavel.sidorenkobautista@unir.net</t>
  </si>
  <si>
    <t>Bautista, Pavel/ABF-3242-2020</t>
  </si>
  <si>
    <t>UNIV ALICANTE, INST UNIV INVESTIGACION ESTUDIOS GENERO</t>
  </si>
  <si>
    <t>APDO 99, CARRETERA SAN VICENTE RASPEIG S-N, ALICANTE, SPAIN</t>
  </si>
  <si>
    <t>1989-9998</t>
  </si>
  <si>
    <t>Feminismo-s</t>
  </si>
  <si>
    <t>10.14198/fem.2023.42.03</t>
  </si>
  <si>
    <t>N0JI0</t>
  </si>
  <si>
    <t>WOS:001033978300003</t>
  </si>
  <si>
    <t>Merig, P; Kiling, DD</t>
  </si>
  <si>
    <t>Merig, Pamir; Kiling, Delal Dara</t>
  </si>
  <si>
    <t>Evaluation of quality and reliability of videos about orthodontics on TikTok (DouYin)</t>
  </si>
  <si>
    <t>APOS TRENDS IN ORTHODONTICS</t>
  </si>
  <si>
    <t>TikTok; Orthodontics; Social media; Public health</t>
  </si>
  <si>
    <t>Objectives: TikTok is the world's most popular short video application, where orthodontics-related content is viewed billions of times. This study aimed to evaluate the quality and reliability of video content about orthodontics on TikTok.Material and Methods: TikTok mobile application was searched for videos with the hashtag #orthodontics on July 9, 2021. The content and quality of the first 150 videos were evaluated using the global quality score (GQS) and reliability score (modified DISCERN tool) which is an evaluation tool for health information on social media.Results: The mean of the two researchers' GQS values and reliability score was 2.1 +/- 1.1 and 1.2 +/- 1.4, respectively. There was no statistically significant difference between the median values of GQS and reliability score according to categorical descriptive variables (P &gt; 0.050). A statistically significant weak positive correlation was found between like no. and reliability scores (r = 0.245; P = 0.037). Most of the videos were uploaded by orthodontists (72.6%).Conclusion: Both the quality and reliability of the content about orthodontics on TikTok were very low. Even the most of the accounts were professionals, they did not prefer to give scientific information due to the medium's own dynamics and target population's likes.</t>
  </si>
  <si>
    <t>[Merig, Pamir] Trakya Univ, Fac Dent, Dept Orthodont, Edirne, Turkey; [Kiling, Delal Dara] Istanbul Aydin Univ, Dept Orthodont, Istanbul, Turkey; [Kiling, Delal Dara] Istanbul Aydin Univ, Fac Dent, Dept Orthodont, Istanbul, Turkey</t>
  </si>
  <si>
    <t>Trakya University; Istanbul Aydin University; Istanbul Aydin University</t>
  </si>
  <si>
    <t>Kiling, DD (corresponding author), Istanbul Aydin Univ, Fac Dent, Dept Orthodont, Istanbul, Turkey.</t>
  </si>
  <si>
    <t>delaldarakilinc@aydin.edu.tr</t>
  </si>
  <si>
    <t>Meriç, Pamir/AAF-2482-2021; KILINÇ, DELAL/AFV-4820-2022</t>
  </si>
  <si>
    <t>Kilinc, Delal Dara/0000-0001-9009-6218; Meric, Pamir/0000-0002-4655-5664</t>
  </si>
  <si>
    <t>SCIENTIFIC SCHOLAR LLC</t>
  </si>
  <si>
    <t>PITTSFORD</t>
  </si>
  <si>
    <t>50, WOODGREEN DR, PITTSFORD, NY 14534 USA</t>
  </si>
  <si>
    <t>2321-4600</t>
  </si>
  <si>
    <t>2321-1407</t>
  </si>
  <si>
    <t>APOS TRENDS ORTHOD</t>
  </si>
  <si>
    <t>APO Trends Orthod.</t>
  </si>
  <si>
    <t>APR-JUN</t>
  </si>
  <si>
    <t>10.25259/APOS_141_2021</t>
  </si>
  <si>
    <t>5B0AP</t>
  </si>
  <si>
    <t>WOS:000863239900006</t>
  </si>
  <si>
    <t>Hautea, S; Parks, P; Takahashi, B; Zeng, J</t>
  </si>
  <si>
    <t>Hautea, Samantha; Parks, Perry; Takahashi, Bruno; Zeng, Jing</t>
  </si>
  <si>
    <t>Showing They Care (Or Don't): Affective Publics and Ambivalent Climate Activism on TikTok</t>
  </si>
  <si>
    <t>online activism; affective publics; multimodal analysis; climate change; TikTok; social media</t>
  </si>
  <si>
    <t>SOCIAL MEDIA; COLLECTIVE ACTION; COMMUNICATION; AFFORDANCES; DISCOURSE; TWITTER; MEMES</t>
  </si>
  <si>
    <t>The microvideo platform TikTok has emerged as a popular hub for self-expression and social activism, particularly for youth, but use of the platform's affective affordances to spread awareness of important issues has not been adequately studied. Through an exploratory multimodal discourse analysis of a sample of popular climate change-hashtagged TikTok videos, we examine how affordances of visibility, editability, and association facilitate the formation of affective publics on TikTok. We describe how TikTok's features allow creators to construct and propagate multi-layered, affect-laden messages with varying degrees of earnestness, humor, and ambiguity. Finally, we identify recurring affective themes in popular climate change messages by studying not just in-frame content but also the discursive, intertextual, and memetic linkages that propagate affective publics. Collectively, these audiovisual expressions of personal engagement and awareness demonstrate how media affordances can abet, amplify, and confuse discussions of global issues online. These affordances facilitate a unique kind of activism by helping non-expert users intervene in a discussion that generally takes place among scientists and journalists: the question of how serious a problem climate change is and what to do about it.</t>
  </si>
  <si>
    <t>[Hautea, Samantha] Michigan State Univ, Informat &amp; Media Program, E Lansing, MI 48824 USA; [Parks, Perry; Takahashi, Bruno] Michigan State Univ, Sch Journalism, E Lansing, MI 48824 USA; [Zeng, Jing] Univ Zurich, Zurich, Switzerland</t>
  </si>
  <si>
    <t>Michigan State University; Michigan State University; University of Zurich</t>
  </si>
  <si>
    <t>Hautea, S (corresponding author), Michigan State Univ, 404 Wilson Rd, E Lansing, MI 48824 USA.</t>
  </si>
  <si>
    <t>hauteasa@msu.edu</t>
  </si>
  <si>
    <t>Hautea, Samantha/GYU-7944-2022; zeng, jing/JDW-4350-2023</t>
  </si>
  <si>
    <t>Hautea, Samantha Menancio/0000-0001-5544-4037; Zeng, Jing/0000-0001-5970-7172</t>
  </si>
  <si>
    <t>10.1177/20563051211012344</t>
  </si>
  <si>
    <t>RQ6OH</t>
  </si>
  <si>
    <t>WOS:000642535500001</t>
  </si>
  <si>
    <t>Cervi, L; Marín-Lladó, C</t>
  </si>
  <si>
    <t>Cervi, Laura; Marin-Llado, Carles</t>
  </si>
  <si>
    <t>What are political parties doing on TikTok? The Spanish case</t>
  </si>
  <si>
    <t>Political communication; Politics 2.0; Social networks; Social media; Affordances; Interaction; Politainment; Engagement; Political parties; TikTok; Spain</t>
  </si>
  <si>
    <t>2016 GENERAL-ELECTIONS; SOCIAL MEDIA; PERMANENT CAMPAIGN; ELECTORAL CAMPAIGN; TWITTER; FACEBOOK; COMMUNICATION; ONLINE; CANDIDATES; AFFORDANCES</t>
  </si>
  <si>
    <t>TikTok, already widely used before the pandemic, boomed during the quarantine that locked down large parts of the world, reaching 2 billion downloads and 800 million monthly active users worldwide by the end of 2020. Of these 800 million users, 41% are aged between 16 and 24 years. This social network, widely known for its entertainment videos, is increasingly becoming a place for political discussion and therefore a unique opportunity for political actors to (re) connect with young people. Acknowledging that the political uses of TikTok are still understudied, this paper aims to explore whether and how Spanish political parties are including TikTok as part of their communication strategy. Through an affordance-centered content analysis of all the posts published by the five most important Spanish political parties (PP, PSOE, Ciudadanos, Podemos, and Vox), the current results show that, although all Spanish political parties have adopted this platform, their usage is unequal. From a quantitative perspective, PP was the first party to open a TikTok account, but its usage has been discontinuous; Podemos and Ciudadanos are the parties that publish the most and most constantly, while Vox has only published nine posts and the PSOE one. Nonetheless, from a qualitative perspective, Podemos and Vox generate more engagement and seem to understand and exploit TikTok's specific affordances better. The findings allow it to be concluded that, although globally Spanish political parties do not fully exploit the platform's affordances and tend to use it as a unilateral tool for promotion, the most engaging posts are those favoring interaction and geared toward politainment.</t>
  </si>
  <si>
    <t>[Cervi, Laura] Univ Autonoma Barcelona, Dept Journalism &amp; Commun Sci, Carrer Vinya 738, Cerdanyola Del Valles 08193, Barcelona, Spain; [Marin-Llado, Carles] Univ Rey Juan Carlos, Fac Ciencias Comunicac, Camino Molino 5, Fuenlabrada 28943, Madrid, Spain</t>
  </si>
  <si>
    <t>Autonomous University of Barcelona; Universidad Rey Juan Carlos</t>
  </si>
  <si>
    <t>Cervi, L (corresponding author), Univ Autonoma Barcelona, Dept Journalism &amp; Commun Sci, Carrer Vinya 738, Cerdanyola Del Valles 08193, Barcelona, Spain.;Marín-Lladó, C (corresponding author), Univ Rey Juan Carlos, Fac Ciencias Comunicac, Camino Molino 5, Fuenlabrada 28943, Madrid, Spain.</t>
  </si>
  <si>
    <t>laura.cervi@uab.cat; carles.marin@urjc.es</t>
  </si>
  <si>
    <t>cervi, laura/S-2216-2018; MARIN-LLADO, Carles/AAN-6990-2020</t>
  </si>
  <si>
    <t>MARIN-LLADO, CARLES/0000-0001-7456-5889; CERVI, LAURA/0000-0002-0376-0609</t>
  </si>
  <si>
    <t>JUL-AUG</t>
  </si>
  <si>
    <t>e300403</t>
  </si>
  <si>
    <t>10.3145/epi.2021.jul.03</t>
  </si>
  <si>
    <t>UK2IR</t>
  </si>
  <si>
    <t>WOS:000691799000011</t>
  </si>
  <si>
    <t>Muchitsch, V</t>
  </si>
  <si>
    <t>Muchitsch, Veronika</t>
  </si>
  <si>
    <t>Sad Girls on TikTok: Musical and Multimodal Participatory Practices as Affective Negotiations of Ordinary Feelings and Knowledges in Online Music Cultures</t>
  </si>
  <si>
    <t>POPULAR MUSIC AND SOCIETY</t>
  </si>
  <si>
    <t>Popular music; online media; gender; affect; TikTok</t>
  </si>
  <si>
    <t>EMPOWERMENT; YOUTUBE</t>
  </si>
  <si>
    <t>This article examines musical participatory practices on TikTok as mediations of ordinary feelings and knowledges. It conducts a multimodal analysis of user-generated videos that recirculated the song Complex by Scottish singer-songwriter Katie Gregson-MacLeod, which became widely successful on the app in 2022. Through its features and sociotechnical affordances, TikTok fosters feminine-coded articulations of intimate affects and negotiations of ordinary feelings and knowledges that have been marginalized in popular music cultures. Its intersecting algorithmic logics and human practices also create new rules about what affective sensibilities are foregrounded and how they are circulated through multimodal and memetic participatory practices.</t>
  </si>
  <si>
    <t>[Muchitsch, Veronika] Sodertorn Univ, Sch Culture &amp; Educ, Huddinge, Sweden; [Muchitsch, Veronika] Sodertorn Univ, Sch Culture &amp; Educ, Alfred Nobels Alle 7, S-14189 Huddinge, Sweden</t>
  </si>
  <si>
    <t>Sodertorn University; Sodertorn University</t>
  </si>
  <si>
    <t>Muchitsch, V (corresponding author), Sodertorn Univ, Sch Culture &amp; Educ, Alfred Nobels Alle 7, S-14189 Huddinge, Sweden.</t>
  </si>
  <si>
    <t>veronika.muchitsch@sh.se</t>
  </si>
  <si>
    <t>Muchitsch, Veronika/0000-0002-1505-4357</t>
  </si>
  <si>
    <t>Swedish Research Council [2020-06449]; Swedish Research Council [2020-06449] Funding Source: Swedish Research Council</t>
  </si>
  <si>
    <t>Swedish Research Council(Swedish Research Council); Swedish Research Council(Swedish Research Council)</t>
  </si>
  <si>
    <t>This work was supported by the Swedish Research Council under International Postdoc Grant no. 2020-06449 and was conducted during a research stay at the Department of Musicology, University of Oslo.</t>
  </si>
  <si>
    <t>0300-7766</t>
  </si>
  <si>
    <t>1740-1712</t>
  </si>
  <si>
    <t>POP MUSIC SOC</t>
  </si>
  <si>
    <t>Pop. Music Soc.</t>
  </si>
  <si>
    <t>MAR 14</t>
  </si>
  <si>
    <t>10.1080/03007766.2024.2320589</t>
  </si>
  <si>
    <t>Music</t>
  </si>
  <si>
    <t>YZ0N8</t>
  </si>
  <si>
    <t>WOS:001173462800001</t>
  </si>
  <si>
    <t>Mink, DB; Szymanski, DM</t>
  </si>
  <si>
    <t>Mink, Danielle Bissonette; Szymanski, Dawn M.</t>
  </si>
  <si>
    <t>TikTok use and body dissatisfaction: Examining direct, indirect, and moderated relations</t>
  </si>
  <si>
    <t>Social networking; Social media; Body dissatisfaction; Body positivity; Media literacy</t>
  </si>
  <si>
    <t>IDEALIZED MEDIA IMAGES; SOCIAL MEDIA; SEXUAL OBJECTIFICATION; DISCLAIMER LABELS; APPEARANCE; SATISFACTION; NUMBER; WOMEN; INSTAGRAM; INTERNALIZATION</t>
  </si>
  <si>
    <t>In this study, we examined potential direct, indirect, and moderated effects in the relations between the use of TikTok, a video-based appearance-related social networking site, and body dissatisfaction among a sample of 778 United States' young adult college women. Results showed that TikTok use was indirectly related to body dissatisfaction through more upward appearance comparison and more body surveillance acting in serial. Contrary to our hypotheses, we also found that exposure to body acceptance and critique of appearance expectations, a facet of exposure to body positive media, and commercial media literacy exacerbated the direct relation between TikTok use and upward appearance comparison and the indirect relations between TikTok use and body dissatisfaction through upward appearance comparison and upward appearance comparison and body surveillance in serial. That is, the relations were significant for those at high and average levels of both acceptance and critique exposure and commercial media literacy, but not for those with low levels. Finally, we found that TikTok use was only associated with upward appearance comparison at average and low levels of peer social media literacy but not high levels. Our findings suggest that regular and consistent use of TikTok may be harmful to women's body image, and women with higher levels of acceptance and critique exposure and commercial media literacy may be the most vulnerable to these negative effects. (c) 2022 Elsevier Ltd. All rights reserved.</t>
  </si>
  <si>
    <t>[Mink, Danielle Bissonette; Szymanski, Dawn M.] Univ Tennessee, Dept Psychol, Knoxville, TN 37996 USA</t>
  </si>
  <si>
    <t>Mink, DB (corresponding author), Univ Tennessee, Dept Psychol, Knoxville, TN 37996 USA.</t>
  </si>
  <si>
    <t>dbissone@vols.utk.edu</t>
  </si>
  <si>
    <t>10.1016/j.bodyim.2022.09.006</t>
  </si>
  <si>
    <t>WOS:001130437000001</t>
  </si>
  <si>
    <t>Chevalier, O</t>
  </si>
  <si>
    <t>Chevalier, Owen</t>
  </si>
  <si>
    <t>It starts on TikTok: Looping Effects and The Impact of Social Media on Psychiatric Terms</t>
  </si>
  <si>
    <t>PHILOSOPHY PSYCHIATRY &amp; PSYCHOLOGY</t>
  </si>
  <si>
    <t>Psychiatry; ADHD; Hacking; Internet; eth- nography; interview</t>
  </si>
  <si>
    <t>This paper examines the impact of TikTok on the public's understanding and engagement with psychiatric and psychological concepts. The rise of mental health-related content on social media has been linked to an increase in adults seeking a diagnosis of ADHD (Yeung et al., 2022). By reviewing a case study: the revision of the term object permanence from a developmental stage to an attention-deficit/hyperactivity disorder symptom, I argue that a looping effect, modeled after Hacking (1999), can explain the pattern of language revision for psychological terms on TikTok. Interviews with TikTok users provide preliminary evidence for this looping effect and the research is contextualized within the broader psychiatric discourse.</t>
  </si>
  <si>
    <t>[Chevalier, Owen] Western Univ, St Louis, MO 63130 USA</t>
  </si>
  <si>
    <t>Chevalier, O (corresponding author), Western Univ, St Louis, MO 63130 USA.</t>
  </si>
  <si>
    <t>ochevali@uwo.ca</t>
  </si>
  <si>
    <t>Rotman Institute of Philosophy</t>
  </si>
  <si>
    <t>I wish to thank Dr. Jackie Sullivan and the Rotman Institute of Philosophy for their guidance and funding for this research.</t>
  </si>
  <si>
    <t>JOHNS HOPKINS UNIV PRESS</t>
  </si>
  <si>
    <t>BALTIMORE</t>
  </si>
  <si>
    <t>JOURNALS PUBLISHING DIVISION, 2715 NORTH CHARLES ST, BALTIMORE, MD 21218-4363 USA</t>
  </si>
  <si>
    <t>1071-6076</t>
  </si>
  <si>
    <t>1086-3303</t>
  </si>
  <si>
    <t>PHILOS PSYCHIATR PSY</t>
  </si>
  <si>
    <t>Philos. Psychiatr. Psychol.</t>
  </si>
  <si>
    <t>10.1353/ppp.2024.a930492</t>
  </si>
  <si>
    <t>D1L0E</t>
  </si>
  <si>
    <t>WOS:001293858100011</t>
  </si>
  <si>
    <t>Chen, K; Cai, Y; Jiang, LY</t>
  </si>
  <si>
    <t>Chen, Kai; Cai, Yuan; Jiang, Luyun</t>
  </si>
  <si>
    <t>TikTok Videos Related to Rhinoplasty in China: Characteristics and the Quality of the Information</t>
  </si>
  <si>
    <t>AESTHETIC PLASTIC SURGERY</t>
  </si>
  <si>
    <t>Rhinoplasty; Social media; TikTok; Information quality</t>
  </si>
  <si>
    <t>BackgroundThere are numerous videos related to rhinoplasty on TikTok in China. The objective is to examine videos on Chinese TikTok regarding rhinoplasty surgery and evaluate the content quality of rhinoplasty-related videos on TikTok.MethodWe collected 184 Chinese video samples related to rhinoplasty and extracted basic information. We used the PEMAT-A/V tool to evaluate each video.ResultsA total of 184 videos were included in the study. The sampled videos received approximately 4.8 million likes, 900,000 comments, and 300,000 favorites. Most of the videos (n = 130, 70.65%) were posted by certified plastic surgeons on the TikTok platform. This study found that 6 (3.26%) videos contained obvious errors or misleading information. Regarding the PEMAT-A/V, the median total score was 85.71 (n = 184, IQR = 78.57-92.45%). Videos created by plastic surgeons had the highest comprehension score (n = 130, median = 100%, IQR = 91.67-100%), while videos from news media (n = 16, median = 75%, IQR = 70.76-77.34%) had the lowest usability and PEMAT-A/V total scores. In terms of video content, the PEMAT-A/V total score for surgical risks/contraindications related content (n = 15, median = 92.86%, IQR = 83.48-92.86%) was the highest, while scores for complaint-related content (n = 20, median = 75, IQR = 71.43-78.57%) were the lowest.ConclusionsThis study is the first report in China to evaluate the quality of information in nose plastic surgery-related videos on TikTok. We found that the quality of videos created by plastic surgeons on the TikTok platform is generally high, while videos provided by news media have lower quality. We encourage healthcare professionals to share more high-quality information on TikTok and educate patients on how to properly handle misinformation.Level of Evidence IVThis journal requires that authors assign a level of evidence to each article. For a full description of these Evidence-Based Medicine ratings, please refer to the Table of Contents or the online Instructions to Authors www.springer.com/00266.</t>
  </si>
  <si>
    <t>[Chen, Kai; Cai, Yuan; Jiang, Luyun] Hosp Chengdu Univ Tradit Chinese Med, Dept Otorhinolaryngol, Chengdu, Sichuan, Peoples R China</t>
  </si>
  <si>
    <t>Chengdu University of Traditional Chinese Medicine</t>
  </si>
  <si>
    <t>Jiang, LY (corresponding author), Hosp Chengdu Univ Tradit Chinese Med, Dept Otorhinolaryngol, Chengdu, Sichuan, Peoples R China.</t>
  </si>
  <si>
    <t>luyunjiang0709@163.com</t>
  </si>
  <si>
    <t>0364-216X</t>
  </si>
  <si>
    <t>1432-5241</t>
  </si>
  <si>
    <t>AESTHET PLAST SURG</t>
  </si>
  <si>
    <t>Aesthet. Plast. Surg.</t>
  </si>
  <si>
    <t>10.1007/s00266-024-03940-3</t>
  </si>
  <si>
    <t>D3O2G</t>
  </si>
  <si>
    <t>WOS:001182416000001</t>
  </si>
  <si>
    <t>Marino, S</t>
  </si>
  <si>
    <t>Marino, Sara</t>
  </si>
  <si>
    <t>Refugees' Storytelling Strategies on Digital Media Platforms: How the Russia-Ukraine War Unfolded on TikTok</t>
  </si>
  <si>
    <t>digital care; digital storytelling; performed refugeeness; refugees; TikTok; Ukraine; WarTok</t>
  </si>
  <si>
    <t>The article discusses how TikTok has emerged as a platform for self-representation and political contestation during the Russia-Ukraine war. Shortly after the beginning of the conflict, journalists and broadcasters have begun to associate the events unfolding in those countries with the widespread use of this platform among young content creators, refugees, soldiers, and civilians. Described as the first TikTok war or as WarTok, the conflict in Ukraine represents an important example to look at to uncover the increasingly central role of platforms as spaces where conflicts can be witnessed, documented, and shared with global audiences in real time. The research findings illustrate how TikTok becomes a space where material and affective practices of performed refugeeness can become visible and viral due to its unique language, formatting style, and highly personalized narratives, while creating a transnational streaming of war-related discourses that not only bypass traditional circuits of news sharing, but also activate a digital care network that crosses borders and connects diverse digital publics. While the study is small scale to account for a more in-depth narrative analysis of TikTok videos, it nevertheless returns significant insights into refugees' digital storytelling strategies in conflict areas.</t>
  </si>
  <si>
    <t>[Marino, Sara] Univ Arts London, London Coll Commun, Media &amp; Commun, London, England</t>
  </si>
  <si>
    <t>University of Arts London</t>
  </si>
  <si>
    <t>Marino, S (corresponding author), Univ Arts London, London Coll Commun, Elephant &amp; Castle, London SE1 6SB, England.</t>
  </si>
  <si>
    <t>s.marino@lcc.arts.ac.uk</t>
  </si>
  <si>
    <t>10.1177/20563051241279248</t>
  </si>
  <si>
    <t>F8C4L</t>
  </si>
  <si>
    <t>WOS:001312030500001</t>
  </si>
  <si>
    <t>Calvo, ST; Robledo-Dioses, K; Cervi, L; Rodríguez, CP</t>
  </si>
  <si>
    <t>Tejedor Calvo, Santiago; Robledo-Dioses, Kelly; Cervi, Laura; Pulido Rodriguez, Cristina</t>
  </si>
  <si>
    <t>Challenges posed by the use of TikTok as an educational platform: A multi-thematic network where humor veils debate</t>
  </si>
  <si>
    <t>AULA ABIERTA</t>
  </si>
  <si>
    <t>TikTok; education; social networks; youth</t>
  </si>
  <si>
    <t>SOCIAL MEDIA USE; STUDENTS; COMMUNICATION; TWITTER; COVID-19; YOUTH</t>
  </si>
  <si>
    <t>TikTok is currently the most downloaded application, after WhatsApp and Messenger. In the educational field, this social network set a precedent in Spain, when it developed in 2020 the #Edutok project. We have analysed the content of 800 videos from Spanish TikTok accounts considered as part of #Edutok. The aim is to study their profiles, type of educational content, predominant themes, emotions involved, type of interactions, and use of resources, among others. We have found that the educational exploitation of TikTok is at a very early stage, which may be explained by the social network's short life. It highlights the platform's multi-thematic idiosyncrasy and its absence of educational guidelines, which results in videos which prioritise humorous content over an invitation to debate, and which do not take advantage of resources which are typical of audiovisual narratives, such as excerpts from documentaries, or films. We understand that the use of TikTok as an educational tool will require theoretical and practical research that, on one hand, contemplates its particular idiosyncrasy and, on the other hand, applies, in this new scenario, lessons derived from the multimedia, collaborative, and bidirectional educational work from other platforms.</t>
  </si>
  <si>
    <t>[Tejedor Calvo, Santiago; Robledo-Dioses, Kelly; Cervi, Laura; Pulido Rodriguez, Cristina] Univ Autonoma Barcelona, Barcelona, Spain</t>
  </si>
  <si>
    <t>Autonomous University of Barcelona</t>
  </si>
  <si>
    <t>Calvo, ST (corresponding author), Univ Autonoma Barcelona, Barcelona, Spain.</t>
  </si>
  <si>
    <t>santiago.tejedor@uab.cat; kelly.robledo@uab.cat; laura.cervi@uab.cat; cristina.pulido@uab.cat</t>
  </si>
  <si>
    <t>ST Tejedor, Santiago/S-3198-2018; cervi, laura/S-2216-2018</t>
  </si>
  <si>
    <t>Robledo-Dioses, Kelly/0000-0003-1409-3773</t>
  </si>
  <si>
    <t>UNIV OVIEDO, INST CIENCIAS EDUCACION</t>
  </si>
  <si>
    <t>OVIEDO</t>
  </si>
  <si>
    <t>QUINTANA, 30-1O, OVIEDO, 33009, SPAIN</t>
  </si>
  <si>
    <t>0210-2773</t>
  </si>
  <si>
    <t>2341-2313</t>
  </si>
  <si>
    <t>Aula Abierta</t>
  </si>
  <si>
    <t>10.17811/rifie.52.2.2022.121-128</t>
  </si>
  <si>
    <t>K4RP6</t>
  </si>
  <si>
    <t>WOS:001016329600002</t>
  </si>
  <si>
    <t>Fatimatuzzahro, F; Achmad, ZA</t>
  </si>
  <si>
    <t>Fatimatuzzahro, Fatimatuzzahro; Achmad, Zainal Abidin</t>
  </si>
  <si>
    <t>What If It Was You (#WIIWY) digital activism on TikTok to fight gender-based violence online and cyberbullying</t>
  </si>
  <si>
    <t>MASYARAKAT KEBUDAYAAN DAN POLITIK</t>
  </si>
  <si>
    <t>digital activism; #WIIWY activism; virtual ethnography</t>
  </si>
  <si>
    <t>FISIP 21 created #WIIWY activism in response to the increase in cases of online gender-based violence (KBGO) and cyberbullying during the COVID-19 pandemic. To be able to participate in activism, the public can upload content on the social media TikTok. The #WIIWY movement is gaining traction among the general public. This study explored the motivations of #WIIWY digital activism makers, obtained information about the dissemination of #WIIWY digital activism on TikTok, and the role of TikTok in the process of making digital activism media. This study uses a virtual ethnographic method to explain the cultural behavior of digital activism that is used by users on TikTok. The results of this study indicate that there are several individual motivations involved in #WIIWY activism, namely the suitability with feelings, want to spread awareness about cyberbullying and KBGO, voice the experiences as victims of crime on social media and create a safer and more positive social media environment. The spread of this activism is quite high but its virality is limited at the beginning and is not evenly distributed throughout Indonesia. This study concludes that TikTok plays a role in the media-making process of producing and disseminating #WIIWY activism.</t>
  </si>
  <si>
    <t>[Fatimatuzzahro, Fatimatuzzahro; Achmad, Zainal Abidin] Univ Pembangunan Nasl Vet Jawa Timur, Commun Sci Dept, Raya Rungkut Madya St, Surabaya 60294, East Java, Indonesia</t>
  </si>
  <si>
    <t>Achmad, ZA (corresponding author), Univ Pembangunan Nasl Vet Jawa Timur, Commun Sci Dept, Raya Rungkut Madya St, Surabaya 60294, East Java, Indonesia.</t>
  </si>
  <si>
    <t>z.abidinachmad@upnjatim.ac.id</t>
  </si>
  <si>
    <t>Achmad, Zainal Abidin/ABB-8046-2020</t>
  </si>
  <si>
    <t>Achmad, Zainal Abidin/0000-0001-8580-761X</t>
  </si>
  <si>
    <t>Univ Airlangga LIPJPHKI</t>
  </si>
  <si>
    <t>Surabaya</t>
  </si>
  <si>
    <t>Kampus C UNAIR Mulyorejo, Surabaya, East Java, INDONESIA</t>
  </si>
  <si>
    <t>2086-7050</t>
  </si>
  <si>
    <t>2528-6013</t>
  </si>
  <si>
    <t>MASYARAKAT KEBUDAYAA</t>
  </si>
  <si>
    <t>Masyarakat Kebudayaa. Polit.</t>
  </si>
  <si>
    <t>10.20473/mkp.V35I42022.450-465</t>
  </si>
  <si>
    <t>5U2TX</t>
  </si>
  <si>
    <t>WOS:000876407000005</t>
  </si>
  <si>
    <t>Taylor, SH; Chen, YA</t>
  </si>
  <si>
    <t>Taylor, Samuel Hardman; Chen, Y. Anthony</t>
  </si>
  <si>
    <t>The lonely algorithm problem: the relationship between algorithmic personalization and social connectedness on TikTok</t>
  </si>
  <si>
    <t>JOURNAL OF COMPUTER-MEDIATED COMMUNICATION</t>
  </si>
  <si>
    <t>perceived algorithm responsiveness; social identity; social connectedness; daily diary method; TikTok</t>
  </si>
  <si>
    <t>SELF; EXPOSURE; FRAMEWORK</t>
  </si>
  <si>
    <t>Many major social media companies have claimed that their social feed algorithms were designed to promote relational well-being and enhance social connection. This project tested part of these claims by investigating if algorithmic personalization predicted social connectedness on TikTok, where connecting with identity-relevant media content is prioritized over interpersonal interaction. Drawing from the algorithm responsiveness process, we identified perceived algorithm responsiveness (PAR) and perceived algorithm insensitivity (PAI) as perceptual mechanisms of how algorithmic personalization relates to social connectedness. In two preregistered studies, an online survey and a 2-week daily diary survey, results suggested that the TikTok For You algorithm curating frequent and positively valenced identity-relevant content was associated with higher PAR and less PAI. In turn, higher levels of PAR predicted more social connectedness, but PAI did not. These findings highlight the sociotechnical dynamics of algorithms, suggesting human-algorithm interaction predicted social connectedness not only an algorithm's code. Social media companies, such as TikTok, claim that their algorithms-the behind-the-scenes technology that recommends what posts/videos users see-are designed to facilitate social connection. But do these claims align with the experiences of social media users? To address this question, our project investigated whether and how algorithmically personalized videos on TikTok's For You feed makes individuals feel more or less socially connected. We conducted two studies to understand the relationship between algorithmic personalization and social connectedness on TikTok. Both studies suggested that viewing frequent and positive content related to one's identity promoted feeling socially connected to others by cultivating a perception that the TikTok For You algorithm understands and validates one's identity. In other words, individuals felt more connected to others when algorithmic personalization on TikTok reflected their sense of self, goals, interests, hobbies, etc. Feeling connected through algorithms appeared to be the byproduct of how users interact with and perceive the algorithm not just an algorithm's code.</t>
  </si>
  <si>
    <t>[Taylor, Samuel Hardman] Univ Illinois, Dept Commun, Chicago, IL 60607 USA; [Chen, Y. Anthony] Univ Calif Irvine, Dept Psychol Sci, Irvine, CA USA</t>
  </si>
  <si>
    <t>University of Illinois System; University of Illinois Chicago; University of Illinois Chicago Hospital; University of California System; University of California Irvine</t>
  </si>
  <si>
    <t>Taylor, SH (corresponding author), Univ Illinois, Dept Commun, Chicago, IL 60607 USA.</t>
  </si>
  <si>
    <t>samuelht@uic.edu</t>
  </si>
  <si>
    <t>Taylor, Samuel/0000-0002-1014-4513; Chen, Y. Anthony/0000-0002-6478-6722</t>
  </si>
  <si>
    <t>1083-6101</t>
  </si>
  <si>
    <t>J COMPUT-MEDIAT COMM</t>
  </si>
  <si>
    <t>J. Comput.-Mediat. Commun.</t>
  </si>
  <si>
    <t>SEP 5</t>
  </si>
  <si>
    <t>zmae017</t>
  </si>
  <si>
    <t>10.1093/jcmc/zmae017</t>
  </si>
  <si>
    <t>E8A9E</t>
  </si>
  <si>
    <t>WOS:001305185100001</t>
  </si>
  <si>
    <t>How TikTok leads users to flow experience: investigating the effects of technology affordances with user experience level and video length as moderators</t>
  </si>
  <si>
    <t>TikTok; Technology affordance; User experience level; Flow experience; Moderator</t>
  </si>
  <si>
    <t>PERCEIVED USEFULNESS; ELECTRONIC-MAIL; MODEL; ACCEPTANCE; IMPACT; SYSTEMS; GAMIFICATION; ENVIRONMENTS; ANTECEDENTS; PERSPECTIVE</t>
  </si>
  <si>
    <t>Purpose Although the short-video-based application TikTok and its AI-enhanced technology have achieved enormous success and reshaped the user experience, few studies have focused on the user experience in the TikTok context. This study adopts a technology affordance theory lens to identify the main mechanisms contributing to the user experience in the short-video platform context while including user experience level and video length as moderating effects. Design/methodology/approach This study collected 401 valid questionnaires from TikTok users and used the structural equation modeling approach to examine the proposed research model. Findings Three technology affordances (perceived effortlessness, perceived recommendation accuracy, and perceived recommendation serendipity) contribute to TikTok users' optimal flow experience. Multi-group analysis results further indicate that individuals react differently to the same stimuli as their experience level increases. Finally, video length critically influences the impact of technology affordances on users' cognitive responses. Originality/value As a burgeoning industry, the mechanisms enabling short-video platforms to engage users remain unclear to practitioners and researchers. Thus, this study's technology affordance lens provides necessary insights into how TikTok's innovative and advanced technologies contribute to user flow experience from a context-dependent perspective. Furthermore, given that most existing studies have neglected possible variations in user preferences when investigating the effects of technology, this study enriches the existing literature by employing user experience level and video length as moderators.</t>
  </si>
  <si>
    <t>[Zhao, Hongying] Dalian Univ Technol, Sch Econ &amp; Management, Dalian, Peoples R China; [Wagner, Christian] City Univ Hong Kong, Kowloon Tong, Hong Kong, Peoples R China</t>
  </si>
  <si>
    <t>hongyzhao@dlut.edu.cn</t>
  </si>
  <si>
    <t>Dalian University of Technology [DUT22RC(3)043]</t>
  </si>
  <si>
    <t>Dalian University of Technology</t>
  </si>
  <si>
    <t>This work was supported by the project DUT22RC(3)043 from the Dalian University of Technology.</t>
  </si>
  <si>
    <t>APR 14</t>
  </si>
  <si>
    <t>10.1108/INTR-08-2021-0595</t>
  </si>
  <si>
    <t>D9LZ2</t>
  </si>
  <si>
    <t>WOS:000820662900001</t>
  </si>
  <si>
    <t>Fonseca, DLD; Fonseca, MGFS</t>
  </si>
  <si>
    <t>Fonseca, Diego Leonardo de Souza; Fonseca, Maria Gabriella Flores Severo</t>
  </si>
  <si>
    <t>Innovation in information services in libraries: Tik- Tok as a digital positioning proposal</t>
  </si>
  <si>
    <t>Innovation Information Services; So-cial Media; Libraries; TikTok. Digital positioning</t>
  </si>
  <si>
    <t>The objective of this study is to propose usage strate-gies to effect a greater engagement of libraries in the social network TikTok, observing this platform as a potentially innovative tool. This is a study based on a descriptive and exploratory research with a qualitative approach, with a survey of research and experience reports in scientific databases about the use of TikTok in libraries, as well as the collection of profiles in the social network itself. The results observed identified a still expanding scenario of libraries in the strategic use of TikTok specifically directed to marketing and digital positioning. That said, a proposal for planning the strategic use of TikTok focused on improving the digital positioning of libraries on the social network was developed, based on three aspects: good practices of use, tactics for influencer marketing, and support-ing digital tools. It was concluded that TikTok offers a range of possibilities for innovation in social media, being necessary that libraries start to use this platform as a resource for the optimization of their digital posi-tioning in relation to the user, having in mind, mainly, the social and technological changes that are being re-modeled from the Covid-19 pandemic.</t>
  </si>
  <si>
    <t>[Fonseca, Diego Leonardo de Souza] Univ Estadual Londrina, Programa Pos Grad Ciencia Informac PPGCI, Londrina, Brazil; [Fonseca, Maria Gabriella Flores Severo] Univ Brasilia, Programa Pos Grad Literatura Poslit, Inst Letras, Brasilia, Brazil</t>
  </si>
  <si>
    <t>Universidade Estadual de Londrina; Universidade de Brasilia</t>
  </si>
  <si>
    <t>Fonseca, DLD (corresponding author), Univ Estadual Londrina, Programa Pos Grad Ciencia Informac PPGCI, Londrina, Brazil.</t>
  </si>
  <si>
    <t>diego.leonardo@uel.br; gabriellafloress@hotmail.com</t>
  </si>
  <si>
    <t>Fonseca, Diego Leonardo de Souza/0000-0002-0105-1577</t>
  </si>
  <si>
    <t>JAN-MAR</t>
  </si>
  <si>
    <t>Q1NB9</t>
  </si>
  <si>
    <t>WOS:001055244500006</t>
  </si>
  <si>
    <t>Chasca, W; Nerada, S; Zenone, M; Barbic, S</t>
  </si>
  <si>
    <t>Chasca, Whitney; Nerada, Samantha; Zenone, Marco; Barbic, Skye</t>
  </si>
  <si>
    <t>TikTok and #OccupationalTherapy: Cross-sectional Study</t>
  </si>
  <si>
    <t>TikTok; occupational therapy; health professional; knowledge translation; social media; education; treatment; community; quality control; information; platform</t>
  </si>
  <si>
    <t>PERCEPTIONS; THERAPY</t>
  </si>
  <si>
    <t>Background: Medical providers use the short-form video social media platform TikTok to share information related to their scope of practice and insights about their professions. Videos under the hashtag #occupationaltherapy on TikTok have over 100 million views, but there is no evidence investigating how occupational therapy information and knowledge are shared on the platform. Objective: The purpose of this cross-sectional study is to describe TikTok content with the hashtag #occupationaltherapy and investigate how occupational therapy is portrayed.Methods: We performed a content analysis on the top 500 TikTok videos under the hashtag #occupationaltherapy. We analyzed occupational therapy content themes (occupational therapy intervention, education, student training, universal design, and humor), practice settings (pediatrics, generalists, dementia, hand therapy, neurology, occupational therapy students, older adults, mental health, and unknown), and sentiments (positive, negative, and neutral).Results: The videos in our sample (n=500) received 175,862,994 views. The 2 most prevalent content areas were education (n=210) and occupational therapy interventions (n=146). The overall sentiment of the videos was positive (n=302). The most frequently observed practice settings in the videos were pediatrics (n=131) and generalists (n=129). Most videos did not state that it was occupational therapy (n=222) or misused the hashtag (n=131). Conclusions: TikTok has the potential for occupational therapists to share innovations, build communities of practice, and engage in collaborative efforts to share information about occupational therapists' unique roles with diverse populations. Future research is needed to monitor the quality of information and debunk inaccuracies.</t>
  </si>
  <si>
    <t>[Chasca, Whitney; Nerada, Samantha; Barbic, Skye] Univ British Columbia, Fac Med, Dept Occupat Sci &amp; Occupat Therapy, Vancouver, BC, Canada; [Zenone, Marco] London Sch Hyg &amp; Trop Med, London, England; [Barbic, Skye] Univ British Columbia, Dept Occupat Sci &amp; Occupat Therapy, Fac Med, T325 2211 Wesbrook Mall, Vancouver, BC V6T 2A1, Canada</t>
  </si>
  <si>
    <t>University of British Columbia; University of London; London School of Hygiene &amp; Tropical Medicine; University of British Columbia</t>
  </si>
  <si>
    <t>Barbic, S (corresponding author), Univ British Columbia, Dept Occupat Sci &amp; Occupat Therapy, Fac Med, T325 2211 Wesbrook Mall, Vancouver, BC V6T 2A1, Canada.</t>
  </si>
  <si>
    <t>skye.barbic@ubc.ca</t>
  </si>
  <si>
    <t>Barbic, Skye/AAW-4044-2020</t>
  </si>
  <si>
    <t>Barbic, Skye/0000-0002-7076-2452; Nerada, Samantha/0009-0001-4775-3136</t>
  </si>
  <si>
    <t>Canadian Institutes of Health Research [477262]</t>
  </si>
  <si>
    <t>Canadian Institutes of Health Research(Canadian Institutes of Health Research (CIHR))</t>
  </si>
  <si>
    <t>This study received funding from the Canadian Institutes of Health Research (477262) . We also acknowledge, with much gratitude, that our work takes place on land steeped in rich Indigenous history and home to many First Nations, Inuit, and Metis Peoples today. We recognize and respect Indigenous People as traditional stewards of this land and the enduring relationship that exists between Indigenous Peoples and their traditional territories.</t>
  </si>
  <si>
    <t>10.2196/45554</t>
  </si>
  <si>
    <t>H8UJ5</t>
  </si>
  <si>
    <t>WOS:000998643600032</t>
  </si>
  <si>
    <t>Laughter, MR; Anderson, JB; Kolla, AM; Svigos, K; Pulsipher, KJ; Mohammodu, Z; Presly, CL; Gutierrez, D; Adotama, P; Shapiro, J; Lo Sicco, K</t>
  </si>
  <si>
    <t>Laughter, Melissa R.; Anderson, Jaclyn B.; Kolla, Avani M.; Svigos, Katerina; Pulsipher, Kayd J.; Mohammodu, Zainab; Presly, Colby L.; Gutierrez, Daniel; Adotama, Prince; Shapiro, Jerry; Lo Sicco, Kristen</t>
  </si>
  <si>
    <t>An Analysis of Alopecia Related Content on Instagram and TikTok</t>
  </si>
  <si>
    <t>HASHTAG UTILIZATION; SOCIAL MEDIA; DERMATOLOGY; EDUCATION</t>
  </si>
  <si>
    <t>Background: Social media platforms continue to grow in popularity and have become common sources of medical information and education for patients struggling with hair loss. Objective: We sought to determine the characteristics of popular hair loss related content on Instagram and TikTok. Methods: The top 9 most popular posts within 10 hair loss related hashtags on Instagram and TikTok were analyzed. Quantitative and qualitative analysis was used to evaluate posts from December 2020. The characteristic of the author, content category, and number of likes were analyzed for each post. Results: Of 90 posts analyzed within Instagram, non-medical professional influencers created 66%, hair and wig companies created 29%, and medical professionals created 4%. Of 100 posts analyzed within TikTok, influencers created 38%, patients created 38%, hair and wig companies created 14%, and medical professionals created 10%. None of the top posts was created by board-certified dermatologists. Limitations: This study was limited by the extent of data that can be collected from Instagram and TikTok. Conclusions: A majority of the content promoted hair care products, services, or treatments not substantiated by evidence-based medicine. Instagram and TikTok provide new opportunities for dermatologists to educate the general population on alopecia while simultaneously correcting misinformation.</t>
  </si>
  <si>
    <t>[Laughter, Melissa R.; Anderson, Jaclyn B.] Univ Colorado Denver, Sch Med, Aurora, CO USA; [Kolla, Avani M.; Svigos, Katerina; Gutierrez, Daniel; Adotama, Prince; Shapiro, Jerry; Lo Sicco, Kristen] NYU, Grossman Sch Med, Ronald O Perelman Dept Dermatol, New York, NY 10012 USA; [Pulsipher, Kayd J.; Presly, Colby L.] Rocky Vista Univ, Coll Osteopath Med, Parker, CO USA; [Mohammodu, Zainab] Meharry Med Coll, Nashville, TN 37208 USA</t>
  </si>
  <si>
    <t>Children's Hospital Colorado; University of Colorado System; University of Colorado Anschutz Medical Campus; New York University; Meharry Medical College</t>
  </si>
  <si>
    <t>Lo Sicco, K (corresponding author), NYU, Grossman Sch Med, Ronald O Perelman Dept Dermatol, New York, NY 10012 USA.</t>
  </si>
  <si>
    <t>Kristen.LoSicco@yumc.org</t>
  </si>
  <si>
    <t>Gutierrez, Daniel/AES-6758-2022</t>
  </si>
  <si>
    <t>10.36849/JDD.6707</t>
  </si>
  <si>
    <t>6T5GA</t>
  </si>
  <si>
    <t>WOS:000893705700006</t>
  </si>
  <si>
    <t>Nuhn, WN; Wick, MR; Brown, MP; Green, TJ; Harriger, JA</t>
  </si>
  <si>
    <t>Nuhn, Whitney N.; Wick, Madeline R.; Brown, Maci P.; Green, Taylor J.; Harriger, Jennifer A.</t>
  </si>
  <si>
    <t>Understanding Fitness Trends in the Virtual Age: A Content Analysis of TikTok Workout Videos</t>
  </si>
  <si>
    <t>WOMENS BODY-IMAGE; SOCIAL COGNITIVE THEORY; SELF-OBJECTIFICATION; EXERCISE; FITSPIRATION; MEDIA; SKINNY; FUNCTIONALITY; ENVIRONMENT; MODELS</t>
  </si>
  <si>
    <t>The purpose of this study was to examine the content of workout videos on TikTok. A sample of 297 TikTok workout videos was coded for demographic factors and body shape of content creators, as well as the presence of body positivity messaging, appearance-related messaging, and other relevant themes. The results suggest that TikTok workout content is often presented in a time-lapse format with little verbal instruction, which may make it difficult for viewers to perform the exercises. The majority of the videos depicted young women with athletic bodies and other characteristics associated with culturally based beauty ideals, and approximately half of the videos included non-White content creators. Approximately a quarter of the videos in the sample included objectification and a smaller proportion of the sample included messages about inner positivity. Overall, the TikTok platform may provide underrepresented individuals opportunities to seek out workout content from a more diverse group of instructors; however, the fact that many of these videos including objectifying depictions of the content creators is concerning. Further experimental work is needed in order to more fully elucidate the effects of TikTok workout videos on viewers.</t>
  </si>
  <si>
    <t>[Nuhn, Whitney N.] Point Malibu, Malibu 90265, CA USA; [Wick, Madeline R.] Florida State Univ, Tallahassee, FL USA; [Brown, Maci P.; Green, Taylor J.; Harriger, Jennifer A.] Pepperdine Univ, Social Sci Div, 24255 Pacific Coast Highway, Malibu, CA 90263 USA</t>
  </si>
  <si>
    <t>State University System of Florida; Florida State University; Pepperdine University</t>
  </si>
  <si>
    <t>Harriger, JA (corresponding author), Pepperdine Univ, Social Sci Div, 24255 Pacific Coast Highway, Malibu, CA 90263 USA.</t>
  </si>
  <si>
    <t>2024 OCT 10</t>
  </si>
  <si>
    <t>10.1080/10410236.2024.2411098</t>
  </si>
  <si>
    <t>I3S9K</t>
  </si>
  <si>
    <t>WOS:001329499900001</t>
  </si>
  <si>
    <t>Kashcheev, OB; Ermolenko, DE</t>
  </si>
  <si>
    <t>Kashcheev, Oleg B.; Ermolenko, Diana E.</t>
  </si>
  <si>
    <t>TIKTOK - A PLATFORM FOR YOUTH COMMUNICATION OR A NEW TOOL FOR PROMOTING PRODUCTS AND SERVICES?</t>
  </si>
  <si>
    <t>VESTNIK SLAVIANSKIKH KULTUR-BULLETIN OF SLAVIC CULTURES-SCIENTIFIC AND INFORMATIONAL JOURNAL</t>
  </si>
  <si>
    <t>TikTok; social network; advertising; target audience; culture; society; brand; archetypes; content; marketing techniques; manipulation; mobilising function; politics</t>
  </si>
  <si>
    <t>The social network TikTok reflects the modern culture of society and begins to exert an increasing influence on it. TikTok's content, like that of other popular social networks, is becoming more and more politicized. An important feature of the platform is its constant development aimed at meeting the users' needs. The target audience of TikTok is characterized by inherence with some of K. Jung's archetypes, the use of which in the development of advertising campaigns will increase the accuracy of impact on the audience. The use of various marketing techniques allows to make the audience more loyal to the brand, draw attention to advertising content and increase the number of views. Despite the ease of use and variety of content reflecting the cultural diversity of the world around us, today's platform structure does not let brands fully implement ad campaigns. The implementation of the presented practical recommendations for improving the platform, forms and methods of work on it, will enable TikTok in the foreseeable future to claim not only the role of a leading communication platform, but also to act as a tool for promoting goods and services.</t>
  </si>
  <si>
    <t>[Kashcheev, Oleg B.] AN Kosygin Russian State Univ Technol Design Art, Dept Sociol &amp; Advertising Commun, Sadovnicheskaya St,33,P 1, Moscow 115035, Russia; [Ermolenko, Diana E.] AN Kosygin Russian State Univ Technol Design Art, Sadovnicheskaya St,33,P 1, Moscow 115035, Russia</t>
  </si>
  <si>
    <t>Kosygin State University of Russia; Kosygin State University of Russia</t>
  </si>
  <si>
    <t>Kashcheev, OB (corresponding author), AN Kosygin Russian State Univ Technol Design Art, Dept Sociol &amp; Advertising Commun, Sadovnicheskaya St,33,P 1, Moscow 115035, Russia.</t>
  </si>
  <si>
    <t>kasheev-ov@rguk.ru; deanaermolenko@yandex.ru</t>
  </si>
  <si>
    <t>STATE ACAD SLAVIC CULTURE</t>
  </si>
  <si>
    <t>KHIBINSKII PROEZD, DOM 6, MOSCOW, 129337, RUSSIA</t>
  </si>
  <si>
    <t>2073-9567</t>
  </si>
  <si>
    <t>VESTN SLAVIANSKIKH K</t>
  </si>
  <si>
    <t>Vestn. Slavianskikh Kult.</t>
  </si>
  <si>
    <t>10.37816/2073-9567-2022-63-143-151</t>
  </si>
  <si>
    <t>0R6SG</t>
  </si>
  <si>
    <t>WOS:000785721400037</t>
  </si>
  <si>
    <t>Keim, Y; Hutchinson, S; Shrivastava, A; Karabiyik, U</t>
  </si>
  <si>
    <t>Keim, Yansi; Hutchinson, Shinelle; Shrivastava, Apoorva; Karabiyik, Umit</t>
  </si>
  <si>
    <t>Forensic Analysis of TikTok Alternatives on Android and iOS Devices: Byte, Dubsmash, and Triller</t>
  </si>
  <si>
    <t>ELECTRONICS</t>
  </si>
  <si>
    <t>Android forensics; Byte; forensic analysis; iOS forensics; mobile forensics; Dubsmash; social networking forensics; Triller</t>
  </si>
  <si>
    <t>TikTok has consistently been one of the most used mobile apps worldwide on any mobile operating system. However, despite people's enjoyment of using the application, there have been growing concerns about the application's origins and alleged privacy violations. These allegations have become such a big problem that the former President of the United States, Donald Trump, expressed a desire to ban the TikTok application from being offered on US application stores like Google's Play Store and Apple's App Store. This remark sent TikTok users into a frenzy to find alternatives before the ban took effect. To this end, several alternative applications for TikTok have surfaced and are already garnering millions of users. In this paper, we identified three popular alternatives to the TikTok application (Byte, Dubmash, and Triller) and forensically analyzed each on smartphones of Android version 8 and iOS version 13. We focused on identifying forensically relevant artifacts that may be helpful to investigators in the event of a criminal investigation, should these or similar apps fall under scrutiny. We used Magnet AXIOM Process and Cellebrite UFED 4PC for acquisition, and Magnet AXIOM Examine and DB Browser for SQLite for analysis and reading. The investigation resulted in successful extraction of expected yet unique data points, plain text sensitive data, directories and format. These results lead to a discussion about identifying and comparing these app's privacy concerns to that of TikTok, as formulated from the literature.</t>
  </si>
  <si>
    <t>[Keim, Yansi; Hutchinson, Shinelle; Shrivastava, Apoorva; Karabiyik, Umit] Purdue Univ, Dept Comp &amp; Informat Technol, W Lafayette, IN 47907 USA</t>
  </si>
  <si>
    <t>Purdue University System; Purdue University</t>
  </si>
  <si>
    <t>Keim, Y; Hutchinson, S (corresponding author), Purdue Univ, Dept Comp &amp; Informat Technol, W Lafayette, IN 47907 USA.</t>
  </si>
  <si>
    <t>ykeim@purdue.edu; hutchi50@purdue.edu; umit@purdue.edu</t>
  </si>
  <si>
    <t>Karabiyik, Umit/K-3152-2019; Hutchinson, Shinelle/GRS-9396-2022; Keim, Yansi/KIG-5098-2024</t>
  </si>
  <si>
    <t>Karabiyik, Umit/0000-0001-6760-259X; Shrivastava, Apoorva/0000-0003-0780-5621; Keim, Yansi/0000-0003-2010-3683</t>
  </si>
  <si>
    <t>2079-9292</t>
  </si>
  <si>
    <t>ELECTRONICS-SWITZ</t>
  </si>
  <si>
    <t>Electronics</t>
  </si>
  <si>
    <t>10.3390/electronics11182972</t>
  </si>
  <si>
    <t>Computer Science, Information Systems; Engineering, Electrical &amp; Electronic; Physics, Applied</t>
  </si>
  <si>
    <t>Computer Science; Engineering; Physics</t>
  </si>
  <si>
    <t>4S7NC</t>
  </si>
  <si>
    <t>WOS:000857621900001</t>
  </si>
  <si>
    <t>Salazar, GP</t>
  </si>
  <si>
    <t>Salazar, Gabriel Perez</t>
  </si>
  <si>
    <t>Expression of masculine identities on Facebook and TikTok: The case of De Machos a Hombres and Voices ofBrotherhood1</t>
  </si>
  <si>
    <t>COMUNICACION Y SOCIEDAD-GUADALAJARA</t>
  </si>
  <si>
    <t>Facebook; identity; masculinities; social media; TikTok.</t>
  </si>
  <si>
    <t>NORMS; SCALE; MEN</t>
  </si>
  <si>
    <t>The main objective of this paper is to identify, through a content analysis, how masculine identity traits are expressed in the publications of two Mexican profiles on Facebook and TikTok. The main results show that in the case of positive masculinities, this occurs mainly from manifestations of physical and mental self-care and participatory fatherhood. The conclusions highlight a need to propose new scales for measuring masculinities that adjust to changing cultural conditions.</t>
  </si>
  <si>
    <t>[Salazar, Gabriel Perez] Univ Autonoma Coahuila, Coahuila, Mexico</t>
  </si>
  <si>
    <t>Universidad Autonoma de Coahuila</t>
  </si>
  <si>
    <t>Salazar, GP (corresponding author), Univ Autonoma Coahuila, Coahuila, Mexico.</t>
  </si>
  <si>
    <t>gabriel.perez.salazar@uadec.edu.mx</t>
  </si>
  <si>
    <t>UNIV GUADALAJARA</t>
  </si>
  <si>
    <t>JALISCO</t>
  </si>
  <si>
    <t>APARTADO POSTAL 1-2130 GUADALAJARA, JALISCO, 44600, MEXICO</t>
  </si>
  <si>
    <t>0188-252X</t>
  </si>
  <si>
    <t>2448-9042</t>
  </si>
  <si>
    <t>COMUN SOC-GUADALAJ</t>
  </si>
  <si>
    <t>Comunicacion. Sociedad. Guadalajara.</t>
  </si>
  <si>
    <t>e8627</t>
  </si>
  <si>
    <t>10.32870/cys.v2024.8627</t>
  </si>
  <si>
    <t>MY7A8</t>
  </si>
  <si>
    <t>WOS:001197249900001</t>
  </si>
  <si>
    <t>Rodríguez, LMG</t>
  </si>
  <si>
    <t>Rodriguez, Luisa Miguelina Gonzalez</t>
  </si>
  <si>
    <t>Legibility in oral texts disseminating healthcare information for women on TikTok</t>
  </si>
  <si>
    <t>PANACEA-BOLETIN DE MEDICINA Y TRADUCCION</t>
  </si>
  <si>
    <t>endometriosis; evaluation instrument; legibility; oral dissemination; TikTok; women</t>
  </si>
  <si>
    <t>This paper explores the legibility, or lexical and conceptual difficulty, of TikTok videos on endometriosis, considering legibility as a sub -characteristic of quality. To this end, quantitative and qualitative legibility variables are measured. Videos are not difficult to understand because their terminological density and lexical variety are low. Most terms that are difficult to understand are reformulated. However, there are errors that affect one of the properties of legibility. Other aspects of quality may have a positive influence on legibility.</t>
  </si>
  <si>
    <t>[Rodriguez, Luisa Miguelina Gonzalez] Univ Alicante, Grp EPA, Alicante, Spain</t>
  </si>
  <si>
    <t>Universitat d'Alacant</t>
  </si>
  <si>
    <t>Rodríguez, LMG (corresponding author), Univ Alicante, Grp EPA, Alicante, Spain.</t>
  </si>
  <si>
    <t>luisamgr5@gmail.com</t>
  </si>
  <si>
    <t>González Rodríguez, Luisa/AAC-9062-2020</t>
  </si>
  <si>
    <t>TREMEDICA</t>
  </si>
  <si>
    <t>SALAMANCA</t>
  </si>
  <si>
    <t>AV FILIBERTO VILLALOBOS 1, SALAMANCA, 37007, SPAIN</t>
  </si>
  <si>
    <t>1537-1964</t>
  </si>
  <si>
    <t>PANACEA</t>
  </si>
  <si>
    <t>Panacea</t>
  </si>
  <si>
    <t>KD9I4</t>
  </si>
  <si>
    <t>WOS:001178134400012</t>
  </si>
  <si>
    <t>Sandall, H</t>
  </si>
  <si>
    <t>Sandall, Honor</t>
  </si>
  <si>
    <t>#BimboTok: a critical discourse analysis of hyper-feminine bimbo identities on TikTok</t>
  </si>
  <si>
    <t>critical discourse analysis; discourse; hyper-femininity; TikTok; online communities</t>
  </si>
  <si>
    <t>This study adopts a multimodal approach to critical discourse analysis to unpack the discourses embedded in the performance of hyper-feminine bimbo identities on TikTok. Guided by a social semiotic approach to language, this study analyses a corpus of 16 short-form videos published by self-proclaimed 'bimbos' on TikTok, focusing on the lexical and iconographical choices of these texts and how they function contextually to signal broader discourses. This analysis reveals that TikTok influencers frequently reinforce hegemonic norms of gender by incorporating bodily signifiers of patriarchal Eurocentric ideals of femininity and linking signifiers of overconsumption and hyper-femininity in their performance of a bimbo identity. Simultaneously, they contest these hegemonic norms by juxtaposing hyper-feminine images with critiques of patriarchal, Eurocentric, and capitalist structures of inequality. Ultimately, the subversive potential of these representations is ambivalent; there is a marked tension between their stated aims of inclusion and empowerment and the intersection of hyper-femininity with privilege.</t>
  </si>
  <si>
    <t>[Sandall, Honor] Univ Auckland, Auckland, New Zealand</t>
  </si>
  <si>
    <t>University of Auckland</t>
  </si>
  <si>
    <t>Sandall, H (corresponding author), Univ Auckland, Auckland, New Zealand.</t>
  </si>
  <si>
    <t>hsan236@aucklanduni.ac.nz</t>
  </si>
  <si>
    <t>Sandall, Honor/0009-0006-4771-0407</t>
  </si>
  <si>
    <t>10.1177/1329878X241280235</t>
  </si>
  <si>
    <t>K3X8Y</t>
  </si>
  <si>
    <t>WOS:001321646600001</t>
  </si>
  <si>
    <t>Mei, L; Wang, ZX; Guo, O; Zhang, L; Guan, GZ</t>
  </si>
  <si>
    <t>Mei, Li; Wang, Zhixin; Guo, Olivia; Zhang, Lucy; Guan, Guangzhao</t>
  </si>
  <si>
    <t>TikTok talks teeth: a quantitative and qualitative analysis of fixed appliance related TikTok videos</t>
  </si>
  <si>
    <t>AUSTRALASIAN ORTHODONTIC JOURNAL</t>
  </si>
  <si>
    <t>SOCIAL MEDIA; INFORMATION; YOUTUBE; ORTHODONTICS</t>
  </si>
  <si>
    <t>Aim To quantitatively and qualitatively analyse the content, reliability and quality of TikTok videos related to orthodontic fixed appliances. Methods A new TikTok account was created, and three searches were conducted (#braces, #braceface and #bracetips). A total of 150 videos (n = 50 featured in the 'Top' tab were extracted for each of the three searches) were assessed for the analyses of quality, content and reliability using the modified DISCERN tool, a content score, and the Global Quality Scale (GQS). Results A total of 136 videos satisfied the inclusion criteria, involving 46.3% identified by dental professionals and 53.7% identified by laypersons. Of these, the videos uploaded by dental professionals rated higher in the three scoring tools compared to laypersons. The GQS score of videos was 2.36/5 and the content score was 1.31/5. Over 60% of the videos were of poor quality according to the GQS scale. A strong correlation between GQS and DISCERN scores was found. Conclusion The overall content, reliability, and quality of TikTok videos regarding orthodontic fixed appliances was poor. The videos allowed patients to supplement their knowledge about fixed appliances and become more involved in their orthodontic care; however, guidelines should be explored to ensure the dissemination of accurate orthodontic information on TikTok.</t>
  </si>
  <si>
    <t>[Mei, Li; Wang, Zhixin; Guo, Olivia; Zhang, Lucy] Univ Otago, Fac Dent, Dept Oral Sci, Dunedin, New Zealand; [Guan, Guangzhao] Univ Otago, Fac Dent, Dept Oral Diagnost &amp; Surg Sci, Dunedin, New Zealand</t>
  </si>
  <si>
    <t>University of Otago; University of Otago</t>
  </si>
  <si>
    <t>Mei, L (corresponding author), Univ Otago, Fac Dent, Dept Oral Sci, Dunedin, New Zealand.</t>
  </si>
  <si>
    <t>li.mei@otago.ac.nz; wanol908@student.otago.ac.nz; guool329@student.otago.ac.nz; zhalu034@student.otago.ac.nz; simon.guan@otago.ac.nz</t>
  </si>
  <si>
    <t>SCIENDO</t>
  </si>
  <si>
    <t>WARSAW</t>
  </si>
  <si>
    <t>BOGUMILA ZUGA 32A, WARSAW, MAZOVIA, POLAND</t>
  </si>
  <si>
    <t>2207-7472</t>
  </si>
  <si>
    <t>2207-7480</t>
  </si>
  <si>
    <t>AUSTRALAS ORTHOD J</t>
  </si>
  <si>
    <t>Australas. Orthod. J.</t>
  </si>
  <si>
    <t>10.2478/aoj-2024-0005</t>
  </si>
  <si>
    <t>KN7K3</t>
  </si>
  <si>
    <t>WOS:001180708100002</t>
  </si>
  <si>
    <t>Kaye, DBV; Chen, X; Zeng, J</t>
  </si>
  <si>
    <t>Kaye, D. Bondy Valdovinos; Chen, Xu; Zeng, Jing</t>
  </si>
  <si>
    <t>The co-evolution of two Chinese mobile short video apps: Parallel platformization of Douyin and TikTok</t>
  </si>
  <si>
    <t>Douyin; TikTok; platformization; mobile apps; short video</t>
  </si>
  <si>
    <t>POSITIVE ENERGY; SOCIAL MEDIA</t>
  </si>
  <si>
    <t>TikTok is the international twin of China's mobile short video app, Douyin, and one of the fastest growing short video platforms in the world. Owned by Chinese tech giant, ByteDance, TikTok and Douyin share many similarities in terms of appearance, functionality, and platform affordances; however, they exist in radically different markets and are governed by radically different forces. Unlike other popular mobile media platforms in China and internationally, TikTok and Douyin are neither part of the big three tech giants in China nor the big five in the US. This provides an interesting case study to investigate how an emerging internet company adapts its products to better fit divergent expectations, cultures, and policy frameworks in China and abroad. Using the app walkthrough method informed by platformization of culture production theory, this study highlights the similarities and distinctions between these two platforms. We argue the co-evolution of Douyin and TikTok is a new paradigm of global platform expansion that differs from strategies of regionalization adopted by previous major social media platforms. We contribute to platformization theory by developing the concept ofparallel platformizationto explain ByteDance's strategies for surviving in two opposing platform ecosystems in China and abroad.</t>
  </si>
  <si>
    <t>[Kaye, D. Bondy Valdovinos] Queensland Univ Technol, Digital Media Res Ctr, Brisbane, Qld, Australia; [Chen, Xu] Xiamen Univ, Sch Journalism &amp; Commun, Siming South Rd 422, Xiamen 361005, Fujian, Peoples R China; [Zeng, Jing] Univ Zurich, Dept Commun &amp; Media Res IKMZ, Sci Commun Div, Zurich, Switzerland</t>
  </si>
  <si>
    <t>Queensland University of Technology (QUT); Xiamen University; University of Zurich</t>
  </si>
  <si>
    <t>Chen, X (corresponding author), Xiamen Univ, Sch Journalism &amp; Commun, Siming South Rd 422, Xiamen 361005, Fujian, Peoples R China.</t>
  </si>
  <si>
    <t>hichenxu@hotmail.com</t>
  </si>
  <si>
    <t>Chen, Xu/AAK-8057-2021; zeng, jing/JDW-4350-2023</t>
  </si>
  <si>
    <t>Zeng, Jing/0000-0001-5970-7172; Chen, Xu/0000-0002-9268-3608; Kaye, D. Bondy Valdovinos/0000-0002-9684-2186</t>
  </si>
  <si>
    <t>10.1177/2050157920952120</t>
  </si>
  <si>
    <t>RU1PC</t>
  </si>
  <si>
    <t>Green Published, Green Accepted</t>
  </si>
  <si>
    <t>WOS:000568017100001</t>
  </si>
  <si>
    <t>Bharat, N; Sandelski, M; Cerasiello, S; Hurtuk, A</t>
  </si>
  <si>
    <t>Bharat, Nisha; Sandelski, Morgan; Cerasiello, Samantha; Hurtuk, Agnes</t>
  </si>
  <si>
    <t>TikTok Influence on Rates of Tonsillectomies for Tonsil Stones</t>
  </si>
  <si>
    <t>tonsilloliths; social media; tiktok; tonsillectomy; tonsil stones</t>
  </si>
  <si>
    <t>Introduction: Tonsillectomy is one of the most common otolaryngologic surgeries and is increasingly being performed for the management of tonsil stones or tonsilloliths. Incidentally, over the years, tonsilloliths have become a popular topic on the social media platform TikTok (ByteDance, Beijing, China) and we propose that this may be influencing the trends of tonsillectomies for tonsil stones.Objectives: We aim to assess rates of outpatient visits and tonsillectomies for tonsil stones at our institution as well as analyze videos on TikTok regarding tonsil stones. Methods: A retrospective chart query was performed. Data including the number of patient encounters per month with a diagnosis code of tonsilloliths were collected from July 2016 to December 2021. The number of TikTok videos under the search result tonsil stones and the content of these videos were reviewed.Results: There were 126 patients seeking evaluation for tonsil stones with an average age of 33.4 years, and 76% were females. The number of patients who underwent a tonsillectomy for tonsil stones increased from two in the first full year of collection in 2017 to 13 in 2021. Similarly, the average number of patients presenting for tonsil stone evaluation per month increased steadily from 1.0 in 2017 to 3.3 in 2021. TikTok video content under the search result tonsil stones varied and the number of videos on this topic has increased in recent years.Conclusion: Rates of patients seeking tonsillectomy for tonsil stones increased from 2016 to 2021 in conjunction with the rising popularity of TikTok. Given the numerous TikTok videos featuring tonsil stones, we believe that this social media platform may be influencing the number of patients seeking evaluation for tonsil stones. This data may be used to understand future influence patterns of social media posts on healthcare consumer behavior and patient care practices.</t>
  </si>
  <si>
    <t>[Bharat, Nisha] Loyola Univ Chicago, Otolaryngol, Stritch Sch Med, Maywood, IL 60153 USA; [Sandelski, Morgan; Cerasiello, Samantha] Loyola Univ, Otolaryngol, Med Ctr, Maywood, IL USA; [Hurtuk, Agnes] Loyola Univ, Otolaryngol Head &amp; Neck Surg, Med Ctr, Maywood, IL USA</t>
  </si>
  <si>
    <t>Loyola University Chicago; Loyola University Chicago; Loyola University Chicago</t>
  </si>
  <si>
    <t>Bharat, N (corresponding author), Loyola Univ Chicago, Otolaryngol, Stritch Sch Med, Maywood, IL 60153 USA.</t>
  </si>
  <si>
    <t>nbharat@luc.edu</t>
  </si>
  <si>
    <t>APR 21</t>
  </si>
  <si>
    <t>10.7759/cureus.37957</t>
  </si>
  <si>
    <t>H4UE2</t>
  </si>
  <si>
    <t>WOS:000995922600039</t>
  </si>
  <si>
    <t>Duarte, A; Dias, P</t>
  </si>
  <si>
    <t>Duarte, Alexandre; Dias, Patricia</t>
  </si>
  <si>
    <t>TikTok: uses and motivations among teenagers in Portugal</t>
  </si>
  <si>
    <t>CHASQUI-REVISTA LATINOAMERICANA DE COMUNICACION</t>
  </si>
  <si>
    <t>Portuguese</t>
  </si>
  <si>
    <t>TikTok; teenagers (13-16); mobile apps; user-generated content (UGC); media-generated content (UGM); Uses and Gratifications (U&amp;G)</t>
  </si>
  <si>
    <t>During the first months of lockdown due to the Covid-19 pandemic, TikTok was the most downloaded app worldwide, and conquered, just in Portugal, half a million new users, which requires an attentive look from Media Studies. Using the Uses and Gratifications (U&amp;G) as framework, this study aims to map the practices of Portuguese teenagers (13-16) on this platform, exploring the differences between users and content producers. For that purpose, we conducted an online survey to a non-probabilistic sample of 263 TikTok users. Our findings show that 44,5% of the users create content, and they act more strategically, focusing on self-promotion and on the expansion and dynamization of their online community.</t>
  </si>
  <si>
    <t>[Duarte, Alexandre] Ctr Estudos Soc &amp; Comunicacao, Braga, Portugal; [Dias, Patricia] CECC Univ Catolica Portuguesa, Lisbon, Portugal</t>
  </si>
  <si>
    <t>Duarte, A (corresponding author), Ctr Estudos Soc &amp; Comunicacao, Braga, Portugal.</t>
  </si>
  <si>
    <t>alexandre_arte@yahoo.co.uk; pdias@fch.lisboa.ucp.pt</t>
  </si>
  <si>
    <t>Duarte, Alexandre/0000-0002-2665-864X</t>
  </si>
  <si>
    <t>CENTRO INT ESTUDIOS SUPERIORES COMUNICACION AMER LATINA-CIESPAL</t>
  </si>
  <si>
    <t>QUITO</t>
  </si>
  <si>
    <t>AVE DIEGO ALMAGRO N32-133 &amp; ANDRADE MARIN, QUITO, 00000, ECUADOR</t>
  </si>
  <si>
    <t>1390-1079</t>
  </si>
  <si>
    <t>1390-924X</t>
  </si>
  <si>
    <t>CHASQUI-REV LAT COM</t>
  </si>
  <si>
    <t>CHASQUI</t>
  </si>
  <si>
    <t>AUG-NOV</t>
  </si>
  <si>
    <t>UF3TU</t>
  </si>
  <si>
    <t>WOS:000688499800006</t>
  </si>
  <si>
    <t>Olsson, SE; Schmitz, JF; Huang, AE; Murray, AD</t>
  </si>
  <si>
    <t>Olsson, Sofia Eva; Schmitz, Jonah Francis; Huang, Alice Elaine; Murray, Alan Douglas</t>
  </si>
  <si>
    <t>A descriptive analysis of otolaryngology presence on the social media platform TikTok</t>
  </si>
  <si>
    <t>LARYNGOSCOPE INVESTIGATIVE OTOLARYNGOLOGY</t>
  </si>
  <si>
    <t>comprehensive otolaryngology; medical education; resident education; social media; TikTok</t>
  </si>
  <si>
    <t>Objective: In recent years, the video sharing app TikTok has become a new venue for health care providers and medical educators. Research on health care information within the app has primarily focused on cosmetic and plastic surgery content. TikTok could potentially be a tool used to educate the public on otolaryngology-related topics. This study is the first to analyze the quality and quantity of otolaryngology-related TikTok content.Methods: A cross-sectional study of TikTok accounts using otolaryngology-related hashtags within the preceding 6 months was conducted on February 4, 2023. Deductive qualitative analysis was performed between two coders to identify themes of the accounts and their content.Results: A total of 47 accounts were selected for analysis. Facial plastic surgery was the most represented specialty (n = 20; 43%) and pediatric otolaryngology the least represented (n = 1; 2%). Content posted was primarily educational in nature (n = 30; 64%) and 66% (n = 31) of content creators advertised contact information in their account biography. The majority of accounts were in English (n = 30; 64%) and originated in the United States (n = 30; 64%). More accounts were run by male (n = 29; 62%) than female content creators.Conclusion: Otolaryngology is a broad specialty with unequal representation of the related subspecialties on TikTok, a popular social media platform. The majority of current content focuses on patient education in facial plastic surgery. Future studies are warranted to examine the potential growth and impact of otolaryngology content on this video-based platform.</t>
  </si>
  <si>
    <t>[Olsson, Sofia Eva; Schmitz, Jonah Francis] Texas Christian Univ, Anne Burnett Marion Sch Med, Ft Worth, TX USA; [Huang, Alice Elaine] Stanford Univ, Dept Otolaryngol Head &amp; Neck Surg, Palo Alto, CA USA; [Murray, Alan Douglas] ENT Children, Coppell, TX USA; [Olsson, Sofia Eva] Texas Christian Univ, Anne Burnett Marion Sch Med, 2800 South Univ Dr, Ft Worth, TX 76109 USA</t>
  </si>
  <si>
    <t>Texas Christian University; Stanford University; Texas Christian University</t>
  </si>
  <si>
    <t>Olsson, SE (corresponding author), Texas Christian Univ, Anne Burnett Marion Sch Med, 2800 South Univ Dr, Ft Worth, TX 76109 USA.</t>
  </si>
  <si>
    <t>sofia.olsson@tcu.edu</t>
  </si>
  <si>
    <t>Huang, Alice/0000-0002-8326-4997; Olsson, Sofia/0000-0002-4678-9962</t>
  </si>
  <si>
    <t>2378-8038</t>
  </si>
  <si>
    <t>LARYNGOSCOPE INVEST</t>
  </si>
  <si>
    <t>Laryngoscope Investig. Otol.</t>
  </si>
  <si>
    <t>10.1002/lio2.1186</t>
  </si>
  <si>
    <t>CR0J1</t>
  </si>
  <si>
    <t>WOS:001105842700001</t>
  </si>
  <si>
    <t>Joiner, R; Mizen, E; Pinnell, B; Siddique, L; Bradley, A; Trevalyen, S</t>
  </si>
  <si>
    <t>Joiner, Richard; Mizen, Emily; Pinnell, Bethany; Siddique, Laraib; Bradley, Abigail; Trevalyen, Skye</t>
  </si>
  <si>
    <t>The effect of different types of TikTok dance challenge videos on young women's body satisfaction</t>
  </si>
  <si>
    <t>SOCIAL MEDIA; INSTAGRAM IMAGES; APPEARANCE COMPARISONS; FOCUSED IMAGES; IMPACT; MOOD; EXPOSURE; FACEBOOK; MODEL; INTERNALIZATION</t>
  </si>
  <si>
    <t>The aim of this paper was to investigate the effect of different types of TikTok dance challenge videos on young women's body satisfaction. Study 1 involved 262 women aged between 18 and 25 years, who were randomly assigned to watch TikTok videos featuring either thin dancers, large dancers, or amusing animal videos. Body satisfaction significantly increased after watching large dancer TikTok videos and decreased after watching thin dancer TikTok videos, although this decrease was not significant. Study 2 replicated and extended study 1 and involved 280 women aged between 18 and 25 years. Females body satisfaction significantly decreased after watching the thin dancer TikTok videos and significantly increased after watching the large dancer TikTok videos. There was no significant difference between the participants in terms of state appearance comparison. Females in the thin dancer condition engaged in upward social comparison, whereas the females in the large dancer condition engaged in downward social compression. The impact of video type was not moderated either by trait appearance comparison, or thin ideal internalization. The effect of video type was not mediated by state appearance comparison but was fully mediated by the direction of social comparison. Study 3 involved 375 women aged between 18 and 25 years and found that body satisfaction was lower after watching the thin dancers than after watching the large dancers. This study shows that findings from the previous two studies could not be explained by the demand characteristics in the design of these studies. All three studies show that exposure to large dancers on TikTok has a positive impact on women's body satisfaction, whereas exposure to thin dancers has a negative impact on women's body satisfaction. The implications of these findings for the design of social media are discussed.</t>
  </si>
  <si>
    <t>[Joiner, Richard; Mizen, Emily; Pinnell, Bethany; Siddique, Laraib; Bradley, Abigail; Trevalyen, Skye] Univ Bath, Dept Psychol, Bath BA2 7AY, England</t>
  </si>
  <si>
    <t>University of Bath</t>
  </si>
  <si>
    <t>Joiner, R (corresponding author), Univ Bath, Dept Psychol, Bath BA2 7AY, England.</t>
  </si>
  <si>
    <t>r.joiner@bath.ac.uk</t>
  </si>
  <si>
    <t>Joiner, Richard/C-3405-2013</t>
  </si>
  <si>
    <t>Joiner, Richard/0000-0002-9252-1940; Mizen, Emily/0009-0002-7592-8885</t>
  </si>
  <si>
    <t>10.1016/j.chb.2023.107856</t>
  </si>
  <si>
    <t>N9RR6</t>
  </si>
  <si>
    <t>WOS:001040304200001</t>
  </si>
  <si>
    <t>Ming, S; Han, J; Li, M; Liu, Y; Xie, KP; Lei, B</t>
  </si>
  <si>
    <t>Ming, Shuai; Han, Jie; Li, Meng; Liu, Yan; Xie, Kunpeng; Lei, Bo</t>
  </si>
  <si>
    <t>TikTok and adolescent vision health: Content and information quality assessment of the top short videos related to myopia</t>
  </si>
  <si>
    <t>myopia; social media; information quality; misinformation; public health; TikTok</t>
  </si>
  <si>
    <t>MISINFORMATION; PREVALENCE; IMI</t>
  </si>
  <si>
    <t>BackgroundDespite the increasing recognition of the public health value of social media platforms, TikTok short videos focusing on adolescent vision health have not received much attention. We aimed to evaluate the content, sources, and information quality of myopia-related videos on TikTok. MethodsThe top 200 most-liked myopia-related videos on the Chinese version of TikTok were queried and screened on March 12, 2022. The descriptive characteristics, contents, and sources of the selected 168 videos were obtained, and their overall quality, reliability, understandability, and actionability were assessed using the validated scoring instruments DISCERN and PEMAT-A/V. ResultsMedical professionals were the main source (45.8%, 77/168) of videos. Misinformation (10.1%, 17/168) was mainly attributable to for-profit organizations (20%, 3/15) and individual non-medical users (31.3%, 10/32). However, their videos enjoyed the highest numbers of likes, comments, and shares (P &lt; 0.05). The mean reliability and overall quality regarding treatment choice were (2.5 +/- 0.5) and (3.1 +/- 0.9), respectively. Videos on TikTok showed relatively high understandability (84.7%) and moderate actionability (74.9%). Video producers tended to partly or fully provide information regarding management (81.5%, 137/168) and outcome (82.1%, 138/168), and to ignore or only slightly mention content related to definition (86.9%, 146/169) and signs (82.1%, 138/168). The five video sources showed significant differences in the prevalence of misleading information (P &lt; 0.001), publication reliability (P &lt; 0.001), overall quality (P = 0.039), content score (P = 0.019), and understandability (P = 0.024). ConclusionConsidering the moderate-to-poor reliability and variable quality across video sources, the substantial myopia-related content on TikTok should be treated with caution. Nevertheless, TikTok videos may serve as a surrogate or supplement for information dissemination if providers can ensure more comprehensive and accurate content.</t>
  </si>
  <si>
    <t>[Ming, Shuai; Liu, Yan; Lei, Bo] Henan Eye Hosp, Henan Prov Peoples Hosp, Henan Eye Inst, Zhengzhou, Henan, Peoples R China; [Ming, Shuai; Lei, Bo] Peoples Hosp Zhengzhou Univ, Henan Clin Res Ctr Ocular Dis, Zhengzhou, Peoples R China; [Ming, Shuai; Liu, Yan; Lei, Bo] Henan Univ, Peoples Hosp Henan Univ, Sch Med, Zhengzhou, Henan, Peoples R China; [Han, Jie] Zhengzhou Univ Aeronaut, Sch Business, Zhengzhou, Henan, Peoples R China; [Li, Meng] Zhengzhou Univ, Sch Publ Hlth, Zhengzhou, Henan, Peoples R China; [Xie, Kunpeng] Zhengzhou Univ, Affiliated Hosp 1, Dept Ophthalmol, Zhengzhou, Henan, Peoples R China</t>
  </si>
  <si>
    <t>Zhengzhou University; Henan University; Zhengzhou University of Aeronautics; Zhengzhou University; Zhengzhou University</t>
  </si>
  <si>
    <t>Lei, B (corresponding author), Henan Eye Hosp, Henan Prov Peoples Hosp, Henan Eye Inst, Zhengzhou, Henan, Peoples R China.;Lei, B (corresponding author), Peoples Hosp Zhengzhou Univ, Henan Clin Res Ctr Ocular Dis, Zhengzhou, Peoples R China.;Lei, B (corresponding author), Henan Univ, Peoples Hosp Henan Univ, Sch Med, Zhengzhou, Henan, Peoples R China.;Xie, KP (corresponding author), Zhengzhou Univ, Affiliated Hosp 1, Dept Ophthalmol, Zhengzhou, Henan, Peoples R China.</t>
  </si>
  <si>
    <t>kpxie77@163.com; bolei99@126.com</t>
  </si>
  <si>
    <t>Xie, Kunpeng/I-2623-2014</t>
  </si>
  <si>
    <t>Henan Province Key Research and Development and Promotion Special Project [212102311013]; Medical Science and Technology Tackling Plan of Henan Province [LHGJ20210078]</t>
  </si>
  <si>
    <t>Henan Province Key Research and Development and Promotion Special Project; Medical Science and Technology Tackling Plan of Henan Province</t>
  </si>
  <si>
    <t>Funding This work was supported by (1) Henan Province Key Research and Development and Promotion Special Project (212102311013) and (2) Medical Science and Technology Tackling Plan of Henan Province (LHGJ20210078).</t>
  </si>
  <si>
    <t>JAN 4</t>
  </si>
  <si>
    <t>10.3389/fpubh.2022.1068582</t>
  </si>
  <si>
    <t>8C8BG</t>
  </si>
  <si>
    <t>WOS:000917827300001</t>
  </si>
  <si>
    <t>Putri, N; Prasetya, Y; Handayani, PW; Fitriani, H</t>
  </si>
  <si>
    <t>Putri, Nurdiana; Prasetya, Yadhit; Handayani, Putu Wuri; Fitriani, Hana</t>
  </si>
  <si>
    <t>TikTok Shop: How trust and privacy influence generation Z's purchasing behaviors</t>
  </si>
  <si>
    <t>COGENT SOCIAL SCIENCES</t>
  </si>
  <si>
    <t>privacy; social commerce; actual purchase; TikTok Shop; Indonesia</t>
  </si>
  <si>
    <t>PLS-SEM; PERCEIVED VALUE; ONLINE; ASSURANCE; INFORMATION; INTENTION; SATISFACTION; MATTER; GUANXI</t>
  </si>
  <si>
    <t>TikTok has implemented e-commerce functions, such as short video media, images, and livestreaming for selling products, that make it a social commerce platform. As an emerging social commerce platform, it is important for TikTok that it evoke trust in its users, so they feel secure in doing transactions. Using trust transfer theory and the theory of security assurance, this current research analyzed how TikTok Shop users' trust in sellers on the shop as well as their privacy concerns (PCs) influence purchasing behaviors. This study was carried out using a mixed-method method, using a partial least square structural equation model and content analysis, which involved 717 questionnaire respondents and 30 interviews. It found that both cognitive and emotional trust has a significant effect on purchase intention on TikTok Shop, although not all sources of trust building (perceived familiarity, situational normality, trust in a platform, and social interactivity) equally effect on cognitive and emotional trust. This study also found that security-related factors (e.g. having a privacy/security policy, an assurance seal, and a disposition to third-party certification) influenced consumers' privacy concerns. Trust in a seller and PCs were proven to affect consumers' shopping intentions, which also influenced their shopping behaviors. This study is expected to guide social commerce providers in improving the actual shopping behavior of consumers, especially in the context of building trust and security.</t>
  </si>
  <si>
    <t>[Putri, Nurdiana; Prasetya, Yadhit; Handayani, Putu Wuri; Fitriani, Hana] Univ Indonesia, Fac Comp Sci, Depok, West Java, Indonesia</t>
  </si>
  <si>
    <t>University of Indonesia</t>
  </si>
  <si>
    <t>Handayani, PW (corresponding author), Univ Indonesia, Fac Comp Sci, Depok, West Java, Indonesia.</t>
  </si>
  <si>
    <t>Fitriani, Hana/0009-0000-4512-2173</t>
  </si>
  <si>
    <t>Faculty of Computer Science Universitas Indonesia; Faculty of Computer Science Universitas Indonesia</t>
  </si>
  <si>
    <t>Faculty of Computer Science Universitas Indonesia(Ministry of Research and Technology of the Republic of Indonesia (RISTEK)); Faculty of Computer Science Universitas Indonesia(Ministry of Research and Technology of the Republic of Indonesia (RISTEK))</t>
  </si>
  <si>
    <t>The work was supported by the internal grant from Faculty of Computer Science Universitas Indonesia</t>
  </si>
  <si>
    <t>2331-1886</t>
  </si>
  <si>
    <t>COGENT SOC SCI</t>
  </si>
  <si>
    <t>Cogent Soc. Sci.</t>
  </si>
  <si>
    <t>10.1080/23311886.2023.2292759</t>
  </si>
  <si>
    <t>CI8N8</t>
  </si>
  <si>
    <t>WOS:001124716100001</t>
  </si>
  <si>
    <t>Yeung, A; Ng, E; Abi-Jaoude, E</t>
  </si>
  <si>
    <t>Yeung, Anthony; Ng, Enoch; Abi-Jaoude, Elia</t>
  </si>
  <si>
    <t>TikTok and Attention-Deficit/Hyperactivity Disorder: A Cross-Sectional Study of Social Media Content Quality</t>
  </si>
  <si>
    <t>CANADIAN JOURNAL OF PSYCHIATRY-REVUE CANADIENNE DE PSYCHIATRIE</t>
  </si>
  <si>
    <t>TikTok; social media; adhd; attention-deficit; hyperactivity disorder; misinformation; public health; e-mental health; diagnosis</t>
  </si>
  <si>
    <t>HEALTH INFORMATION; ANXIETY; TRENDS</t>
  </si>
  <si>
    <t>Objectives Social media platforms are increasingly being used to disseminate mental health information online. User-generated content about attention-deficit/hyperactivity disorder (ADHD) is one of the most popular health topics on the video-sharing social media platform TikTok. We sought to investigate the quality of TikTok videos about ADHD. Method The top 100 most popular videos about ADHD uploaded by TikTok video creators were classified as misleading, useful, or personal experience. Descriptive and quantitative characteristics of the videos were obtained. The Patient Education Materials Assessment Tool for Audiovisual Materials (PEMAT-A/V) and Journal of American Medical Association (JAMA) benchmark criteria were used to assess the overall quality, understandability, and actionability of the videos. Results Of the 100 videos meeting inclusion criteria, 52% (n = 52) were classified as misleading, 27% (n = 27) as personal experience, and 21% (n = 21) as useful. Classification agreement between clinician ratings was 86% (kappa statistic of 0.7766). Videos on the platform were highly understandable by viewers but had low actionability. Non-healthcare providers uploaded the majority of misleading videos. Healthcare providers uploaded higher quality and more useful videos, compared to non-healthcare providers. Conclusions Approximately half of the analyzed TikTok videos about ADHD were misleading. Clinicians should be aware of the widespread dissemination of health misinformation on social media platforms and its potential impact on clinical care.</t>
  </si>
  <si>
    <t>[Yeung, Anthony] Univ British Columbia, Dept Psychiat, Vancouver, BC, Canada; [Yeung, Anthony] Ctr Addict &amp; Mental Hlth CAMH, Toronto, ON, Canada; [Ng, Enoch; Abi-Jaoude, Elia] Univ Toronto, Dept Psychiat, Toronto, ON, Canada; [Abi-Jaoude, Elia] Univ Toronto, Hosp Sick Children, Dept Psychiat, Toronto, ON, Canada</t>
  </si>
  <si>
    <t>University of British Columbia; University of Toronto; Centre for Addiction &amp; Mental Health - Canada; University of Toronto; University of Toronto; Hospital for Sick Children (SickKids)</t>
  </si>
  <si>
    <t>Yeung, A (corresponding author), Univ British Columbia, Fac Med, Dept Psychiat, Detwiller Pavil,2255 Wesbrook Mall, Vancouver, BC V6T 2A1, Canada.</t>
  </si>
  <si>
    <t>anthony.yeung@ubc.ca</t>
  </si>
  <si>
    <t>Yeung, Anthony/ABB-7135-2021</t>
  </si>
  <si>
    <t>Yeung, Anthony/0000-0002-2029-4515; Ng, Enoch/0000-0002-4505-8391</t>
  </si>
  <si>
    <t>0706-7437</t>
  </si>
  <si>
    <t>1497-0015</t>
  </si>
  <si>
    <t>CAN J PSYCHIAT</t>
  </si>
  <si>
    <t>Can. J. Psychiat.-Rev. Can. Psychiat.</t>
  </si>
  <si>
    <t>10.1177/07067437221082854</t>
  </si>
  <si>
    <t>6F3ZH</t>
  </si>
  <si>
    <t>WOS:000762769500001</t>
  </si>
  <si>
    <t>Rogers, LG</t>
  </si>
  <si>
    <t>Rogers, Louisa G.</t>
  </si>
  <si>
    <t>TikTok teens: Turbulent identities for turbulent times</t>
  </si>
  <si>
    <t>FILM FASHION &amp; CONSUMPTION</t>
  </si>
  <si>
    <t>TikTok; digital culture; digital media; identity construction; online subcultures; short-form video; social media; fashion and identity</t>
  </si>
  <si>
    <t>CLOWN</t>
  </si>
  <si>
    <t>Through the examination of two subcultural fashion trends spawned on the micro-vlogging platform TikTok, this article will consider how the mythic functions of the archetypal 'clown' and 'rebel' haw been redeployed by Generation Z TikTok users in an attempt to push back against prevailing beauty ideals. These short-form film performances reveal the specular world-view of a demographic that is as used to being watched as it is watching others. The bulk of TikTok's content revolves around viral trends; dances that spread by mimesis, hashtags that agglomerate universally relatable human experiences and the usual aspirational travel and fashion material. Those that break away from this mould find themselves in algorithmically led micro-communities (self-termed 'core aesthetics'), which form satellites around more popular content forms and occasionally gain virality themselves for their freakishness or downright surrealism. The 'clown' and 'rebel' are still seen as liminal characters in the social space - affording them certain freedoms from the visual dominance of celebrity culture but also requiring certain compromises; existing at the fringes is, by definition, to be excluded and 'othered'.</t>
  </si>
  <si>
    <t>[Rogers, Louisa G.] Northumbria Univ, Sch Design, 12 Falconar St, Newcastle Upon Tyne NE1 2SZ, Tyne &amp; Wear, England</t>
  </si>
  <si>
    <t>Northumbria University</t>
  </si>
  <si>
    <t>Rogers, LG (corresponding author), Northumbria Univ, Sch Design, 12 Falconar St, Newcastle Upon Tyne NE1 2SZ, Tyne &amp; Wear, England.</t>
  </si>
  <si>
    <t>louisa.rogers@northumbria.ac.uk</t>
  </si>
  <si>
    <t>Rogers, Louisa Gertrude/0000-0003-4460-6197</t>
  </si>
  <si>
    <t>2044-2823</t>
  </si>
  <si>
    <t>2044-2831</t>
  </si>
  <si>
    <t>FILM FASH CONSUM</t>
  </si>
  <si>
    <t>Film Fash. Consum.</t>
  </si>
  <si>
    <t>OCT 1</t>
  </si>
  <si>
    <t>10.1386/ffc_00031_1</t>
  </si>
  <si>
    <t>XB1UJ</t>
  </si>
  <si>
    <t>WOS:000721119200003</t>
  </si>
  <si>
    <t>Shamsuddin, CM; Musa, NC; Saad, SM; Rizal, NEHM</t>
  </si>
  <si>
    <t>Shamsuddin, Chairozila Mohd; Musa, Normazidah Che; Saad, Suziana Mat; Rizal, Nur Elya Haifaa Mohamad</t>
  </si>
  <si>
    <t># healing as a Form of Expression among Malaysian TikTokers: Fostering Connections</t>
  </si>
  <si>
    <t>3L-LANGUAGE LINGUISTICS LITERATURE-THE SOUTHEAST ASIAN JOURNAL OF ENGLISH LANGUAGE STUDIES</t>
  </si>
  <si>
    <t>speech acts; healing; semiotic meanings; self-expressions; TikTok</t>
  </si>
  <si>
    <t>SOCIAL MEDIA; LANGUAGE</t>
  </si>
  <si>
    <t>The current increasing interactions on social media have created complex patterns of meaning-making among TikTok users, such as the usage of hashtags as extensions of social meanings. In the social media app, TikTok, users are currently using the app to express their emotions, mostly through views and likes as an extension of their feelings. The usage of these hashtags is also open to different interpretations and misunderstandings among those unfamiliar with the conventions. This study aims to investigate the semiotic meanings of #healing as used in TikTok videos. Using the semiotics in speech acts approach, this study investigates how TikTok videos interact and form meanings between the videos and their followers. The videos chosen are the Top Liked from March to October 2023. For each of the videos with the hashtag #healing, the resulting narration, views, and likes of the post are analysed. Based on these data, the most prominent themes are then identified. Our findings reveal that the hashtag #healing is associated with themes of sadness, laughter, motivation, and gratitude. The results contribute to our understanding of how TikTok users employ speech acts as a form of self-expression and belonging. This study found that the usage of these hashtags on TikTok fosters a connection among its users and unites them to show support for one another. These findings suggest that hashtags work well to aid a type of communication to show support among its users and also form invisible connections online.</t>
  </si>
  <si>
    <t>[Shamsuddin, Chairozila Mohd; Musa, Normazidah Che] Univ Kebangsaan Malaysia, Sch Liberal Studies PPCU, Bangi, Malaysia; [Saad, Suziana Mat; Rizal, Nur Elya Haifaa Mohamad] Univ Kebangsaan Malaysia, Fac Social Sci &amp; Humanities, Ctr Res Language &amp; Linguist, Bangi, Malaysia</t>
  </si>
  <si>
    <t>Shamsuddin, CM (corresponding author), Univ Kebangsaan Malaysia, Sch Liberal Studies PPCU, Bangi, Malaysia.</t>
  </si>
  <si>
    <t>chairozila@ukm.edu.my</t>
  </si>
  <si>
    <t>Saad, Suziana/AAS-5111-2020</t>
  </si>
  <si>
    <t>PENERBIT UNIV KEBANGSAAN MALAYSIA</t>
  </si>
  <si>
    <t>BANGI</t>
  </si>
  <si>
    <t>PENERBIT UNIV KEBANGSAAN MALAYSIA, FAC SOCIAL SCIENCES &amp; HUMANITIES, BANGI, SELANGOR 43600, MALAYSIA</t>
  </si>
  <si>
    <t>0128-5157</t>
  </si>
  <si>
    <t>2550-2247</t>
  </si>
  <si>
    <t>3L-LANG LINGUIST LIT</t>
  </si>
  <si>
    <t>3L-Lang. Ling. Lit.</t>
  </si>
  <si>
    <t>10.17576/3L-2023-2904-07</t>
  </si>
  <si>
    <t>HR0J2</t>
  </si>
  <si>
    <t>WOS:001161112600007</t>
  </si>
  <si>
    <t>Mandzufas, J; Lim, N; McPhie, S; Martin, C; Johnston, RS; Lombardi, K; Trapp, GSA</t>
  </si>
  <si>
    <t>Mandzufas, Joelie; Lim, Natalie; McPhie, Skye; Martin, Craig; Johnston, Robyn S.; Lombardi, Karen; Trapp, Gina S. A.</t>
  </si>
  <si>
    <t>'Black Out Rage Gallon' (aka borg): An investigation of a risky drinking trend on TikTok</t>
  </si>
  <si>
    <t>HEALTH PROMOTION JOURNAL OF AUSTRALIA</t>
  </si>
  <si>
    <t>#borg; alcohol; alcoholic beverage; risky drinking; social media; spirits; TikTok</t>
  </si>
  <si>
    <t>Issue Addressed: A 'Black Out Rage Gallon' (borg) is a customised, individual alcoholic beverage popularised on TikTok, whereby half the water in a gallon jug is replaced with alcohol (usually spirits), flavourings, electrolytes and caffeine. We investigated the characteristics and portrayal of the emerging alcohol trend associated with the hashtag descriptor #borg on TikTok. Methods: We identified highly viewed TikTok videos with the #borg hashtag (n = 103) and conducted a content analysis, capturing viewer engagement ('likes', shares, comments), techniques used, characteristics of featured individuals, and the portrayal of alcohol and risky drinking behaviours. Results: Alcohol was visible in three quarters of the videos analysed (n = 78, average amount of alcohol present 865 mL per borg) and consumed in one third of the videos (n = 34). One quarter of videos (n = 25) promoted alleged benefits of borg consumption compared to other alcohol products or approaches to drinking, yet only nine videos included a warning about potential harms. Conclusions: The borg trend on TikTok may encourage risky drinking, by portraying it in a style that younger viewers are likely to see as fun and entertaining. So What? We were able to gain a better understanding of how this potentially health harming activity is represented on a social media platform that is popular with young people. The speedy dissemination of this trend highlights the need to monitor, investigate and counter emerging trends. Concurrently, there is an urgent need for content restrictions to limit the visibility and promotion of risky alcohol consumption on TikTok.</t>
  </si>
  <si>
    <t>[Mandzufas, Joelie; Johnston, Robyn S.; Lombardi, Karen; Trapp, Gina S. A.] Perth Childrens Hosp, Telethon Kids Inst, North Entrance,15 Hosp Ave, Nedlands, WA 6009, Australia; [Mandzufas, Joelie; Lim, Natalie; Johnston, Robyn S.; Lombardi, Karen; Trapp, Gina S. A.] Univ Western Australia, Sch Populat &amp; Global Hlth, Crawley, WA, Australia; [McPhie, Skye; Martin, Craig] Alcohol &amp; Drug Fdn, Melbourne, Vic, Australia; [Trapp, Gina S. A.] Edith Cowan Univ, Nutr &amp; Hlth Innovat Res Inst, Sch Med &amp; Hlth Sci, Joondalup, Australia</t>
  </si>
  <si>
    <t>University of Western Australia; Perth Childrens Hospital; The Kids Research Institute Australia; University of Western Australia; Alcohol &amp; Drug Foundation - Australia; Edith Cowan University</t>
  </si>
  <si>
    <t>Mandzufas, J (corresponding author), Perth Childrens Hosp, Telethon Kids Inst, North Entrance,15 Hosp Ave, Nedlands, WA 6009, Australia.</t>
  </si>
  <si>
    <t>joelie.mandzufas@telethonkids.org.au</t>
  </si>
  <si>
    <t>Mandzufas, Joelie/AFT-0615-2022; Trapp, Gina/GVT-9719-2022</t>
  </si>
  <si>
    <t>Mandzufas, Joelie/0000-0003-4236-1384; Trapp, Gina/0000-0001-8529-4260; Lombardi, Karen/0000-0001-8016-2197</t>
  </si>
  <si>
    <t>Australian Research Council Discovery Early Career Researcher Award; McCusker Internship program, University of Western Australia; [DE210101791]</t>
  </si>
  <si>
    <t>Australian Research Council Discovery Early Career Researcher Award(Australian Research Council); McCusker Internship program, University of Western Australia;</t>
  </si>
  <si>
    <t>N.L. undertook part of this research as a student of the McCusker Internship program, University of Western Australia. G.T. was supported by an Australian Research Council Discovery Early Career Researcher Award (#DE210101791).</t>
  </si>
  <si>
    <t>1036-1073</t>
  </si>
  <si>
    <t>2201-1617</t>
  </si>
  <si>
    <t>HEALTH PROMOT J AUST</t>
  </si>
  <si>
    <t>Health Promot. J. Aust.</t>
  </si>
  <si>
    <t>10.1002/hpja.870</t>
  </si>
  <si>
    <t>L5O3X</t>
  </si>
  <si>
    <t>WOS:001226545200001</t>
  </si>
  <si>
    <t>Schoon, A; Bosch, T</t>
  </si>
  <si>
    <t>Schoon, Alette; Bosch, Tanja</t>
  </si>
  <si>
    <t>TikTok and memetic activism against racism in South Africa</t>
  </si>
  <si>
    <t>Memetic activism; playful activism; TikTok; racial activism; Stellenbosch University; South Africa</t>
  </si>
  <si>
    <t>This article explores TikTok users' responses to a racist incident at Stellenbosch University, South Africa. We analyse the content strategies of TikToks that received the most engagement as well as a timeline of TikToks to analyse how the framing of the event shifted over time. We consider TikTok as a space for youth to reflect on everyday politics in highly personalized ways and to develop their voice and visibility through particular content strategies. We firstly argue that South African youth frame local political acts within global frameworks to link their own political realities to algorithmically recognized global causes. In addressing both local audiences and the algorithm, activists construct messages with potentially broader algorithmic visibility that speak both to their highly localized context and to a global generation Z audience. We caution that such global framings of local political events may limit engagement with local complexities. Secondly, we argue that similar to TikTok activism globally, we observe the 'memefication' or 'templatibility' of activist messages on TikTok, where users juxtapose a political message with an audio meme or 'earworm'. By doing this, South African users mobilize increased visibility and insert these intertextual political messages within existing 'imitation publics' that algorithmically congregate around such global memes, infusing new meaning into the affective language of global youth culture, while injecting playfulness into local political culture. We therefore argue that TikTok's power is essentially glocal, as it allows local issues to be reframed through global discourses and memes.</t>
  </si>
  <si>
    <t>[Schoon, Alette] Rhodes Univ, Sch Journalism &amp; Media Studies, Makhanda, South Africa; [Bosch, Tanja] Univ Cape Town, Ctr Film &amp; Media Studies, Cape Town, South Africa; [Schoon, Alette] Upper Prince Alfred St, ZA-6139 Makhanda, South Africa</t>
  </si>
  <si>
    <t>Rhodes University; University of Cape Town</t>
  </si>
  <si>
    <t>Schoon, A (corresponding author), Upper Prince Alfred St, ZA-6139 Makhanda, South Africa.</t>
  </si>
  <si>
    <t>a.schoon@ru.ac.za</t>
  </si>
  <si>
    <t>Schoon, Alette/H-6836-2017</t>
  </si>
  <si>
    <t>Schoon, Alette/0000-0003-2369-3607</t>
  </si>
  <si>
    <t>2023 DEC 21</t>
  </si>
  <si>
    <t>10.1080/1369118X.2023.2295356</t>
  </si>
  <si>
    <t>CX4X6</t>
  </si>
  <si>
    <t>WOS:001128530200001</t>
  </si>
  <si>
    <t>Lampe, NM</t>
  </si>
  <si>
    <t>Lampe, Nik M.</t>
  </si>
  <si>
    <t>Teaching with TikTok in Online Sociology of Sex and Gender Courses</t>
  </si>
  <si>
    <t>TEACHING SOCIOLOGY</t>
  </si>
  <si>
    <t>gender; online teaching; student engagement; student learning; technology</t>
  </si>
  <si>
    <t>Maintaining class participation and engagement poses a unique challenge in teaching online courses at postsecondary institutions. With the distinctive rise of online instruction during the COVID-19 pandemic, there is a critical need to develop innovative and exciting opportunities in online course concept learning, application, and peer-to-peer engagement. To fulfill this need, I utilized the popular social media app TikTok to help students engage with sociological insights and concepts during course participation activities in two asynchronous, online Sociology of Sex and Gender courses at the University of South Carolina. TikTok is an online-sharing platform that allows users to create short videos with music and visual effects. TikTok can also be a valuable tool for increasing student engagement in online sociology courses. In this article, I describe this teaching activity, present findings of the preliminary teaching evaluation, and discuss the potential impact of using TikTok in online sociology courses.</t>
  </si>
  <si>
    <t>[Lampe, Nik M.] Vanderbilt Univ, Dept Med Hlth &amp; Soc, Nashville, TN USA; [Lampe, Nik M.] Vanderbilt Univ, Vanderbilt LGBTQ Policy Lab, Nashville, TN USA; [Lampe, Nik M.] Vanderbilt Univ, Dept Sociol, Nashville, TN USA; [Lampe, Nik M.] Vanderbilt Univ, Dept Med Hlth &amp; Soc, 342 Buttrick Hall,390 24th Ave South, Nashville, TN 37212 USA; [Lampe, Nik M.] Vanderbilt Univ, Vanderbilt LGBTQ Policy Lab, 342 Buttrick Hall,390 24th Ave South, Nashville, TN 37212 USA</t>
  </si>
  <si>
    <t>Vanderbilt University; Vanderbilt University; Vanderbilt University; Vanderbilt University; Vanderbilt University</t>
  </si>
  <si>
    <t>Lampe, NM (corresponding author), Vanderbilt Univ, Dept Med Hlth &amp; Soc, 342 Buttrick Hall,390 24th Ave South, Nashville, TN 37212 USA.;Lampe, NM (corresponding author), Vanderbilt Univ, Vanderbilt LGBTQ Policy Lab, 342 Buttrick Hall,390 24th Ave South, Nashville, TN 37212 USA.</t>
  </si>
  <si>
    <t>nik.lampe@vanderbilt.edu</t>
  </si>
  <si>
    <t>Lampe, Nik/AAK-1462-2020</t>
  </si>
  <si>
    <t>Lampe, Nik M./0000-0003-1692-6740</t>
  </si>
  <si>
    <t>0092-055X</t>
  </si>
  <si>
    <t>1939-862X</t>
  </si>
  <si>
    <t>TEACH SOCIOL</t>
  </si>
  <si>
    <t>Teach. Sociol.</t>
  </si>
  <si>
    <t>10.1177/0092055X231159091</t>
  </si>
  <si>
    <t>Education &amp; Educational Research; Sociology</t>
  </si>
  <si>
    <t>T7WX2</t>
  </si>
  <si>
    <t>WOS:000945516400001</t>
  </si>
  <si>
    <t>Vassey, J; Galimov, A; Kennedy, CJ; Vogel, EA; Unger, JB</t>
  </si>
  <si>
    <t>Vassey, Julia; Galimov, Arthur; Kennedy, Chris J.; Vogel, Erin A.; Unger, Jennifer B.</t>
  </si>
  <si>
    <t>Frequency of social media use and exposure to tobacco or nicotine-related content in association with E-cigarette use among youth: A cross-sectional and longitudinal survey analysis</t>
  </si>
  <si>
    <t>PREVENTIVE MEDICINE REPORTS</t>
  </si>
  <si>
    <t>Social media; Adolescents; Survey; E -cigarettes; Tobacco</t>
  </si>
  <si>
    <t>HIGH-SCHOOL-STUDENTS; UNITED-STATES; MIDDLE; ANXIETY</t>
  </si>
  <si>
    <t>Exposure to social media and its content featuring tobacco products is associated with e-cigarette use among adolescents. This study measured the association between frequency of Instagram, TikTok and YouTube use and exposure to tobacco-related content on each of these platforms with e-cigarette ever-use, current (past 30-day) use and initiation among adolescents. A cross-sectional and longitudinal analyses were used based on a self -reported survey conducted online in January - May 2021-2022 among socioeconomically-and racially -diverse Los Angeles, California high school students (N = 2,036). Adolescents had higher odds of e-cigarette ever-use (adjusted odds ratio [AOR] = 2.16; CI: 1.20;3.90) and current (past 30-day) use (AOR = 3.11; CI: 1.64;5.89) if they used TikTok several times per day, compared to adolescents who used TikTok less frequently or not at all. Adolescents also had higher odds of e-cigarette initiation (AOR = 2.97; CI: 1.53;5.77) if they used TikTok daily or several times per day, compared to adolescents who used TikTok less frequently or not at all. Adolescents had higher odds of e-cigarette ever-use (AOR = 2.60; CI: 2.02;3.35) and current use (AOR = 3.11; CI: 1.64;5.89) if they reported seeing tobacco or nicotine posts, including e-cigarettes, on TikTok at least weekly. Frequent use of and frequent exposure to tobacco content on TikTok is associated with increased risk of e -cigarette use and initiation among adolescents. Tobacco-related content on social media popular among youth, especially on TikTok, requires stronger regulation and better enforcement by platforms of their policies restricting tobacco content.</t>
  </si>
  <si>
    <t>[Vassey, Julia; Galimov, Arthur; Vogel, Erin A.; Unger, Jennifer B.] Univ Southern Calif, Dept Populat &amp; Publ Hlth Sci, Los Angeles, CA USA; [Kennedy, Chris J.] Massachusetts Gen Hosp, Ctr Precis Psychiat, Boston, MA USA; [Kennedy, Chris J.] Harvard Med Sch, Dept Psychiat, Boston, MA USA; [Vassey, Julia] Univ Southern Calif, Dept Populat &amp; Publ Hlth Sci, Keck Sch Med, 1845 N Soto St,3rd Floor, Los Angeles, CA 90089 USA</t>
  </si>
  <si>
    <t>University of Southern California; Harvard University; Massachusetts General Hospital; Harvard University; Harvard Medical School; University of Southern California</t>
  </si>
  <si>
    <t>Vassey, J (corresponding author), Univ Southern Calif, Dept Populat &amp; Publ Hlth Sci, Keck Sch Med, 1845 N Soto St,3rd Floor, Los Angeles, CA 90089 USA.</t>
  </si>
  <si>
    <t>vassey@usc.edu</t>
  </si>
  <si>
    <t>Galimov, Artur/AFQ-3148-2022</t>
  </si>
  <si>
    <t>Kennedy, Chris/0000-0001-7444-2766</t>
  </si>
  <si>
    <t>National Institute of Health [1R01CA260459-01]; California Tobacco-Related Disease Research Program Award [26IR-0016]; National Cancer Institute; FDA Center for Tobacco Products (CTP) Award [U54CA180905]</t>
  </si>
  <si>
    <t>National Institute of Health(United States Department of Health &amp; Human ServicesNational Institutes of Health (NIH) - USA); California Tobacco-Related Disease Research Program Award; National Cancer Institute(United States Department of Health &amp; Human ServicesNational Institutes of Health (NIH) - USANIH National Cancer Institute (NCI)); FDA Center for Tobacco Products (CTP) Award(United States Department of Health &amp; Human ServicesUS Food &amp; Drug Administration (FDA))</t>
  </si>
  <si>
    <t>Research reported in this publication was supported by the National Institute of Health (Grant #1R01CA260459-01) , the California Tobacco-Related Disease Research Program Award (TRDRP Grant #26IR-0016) and the National Cancer Institute and the FDA Center for Tobacco Products (CTP) Award (NCI/FDA Grant #U54CA180905) . The funders had no role in study design; collection, analysis, and interpre-tation of data; writing the report; and the decision to submit the report for publication. The content is solely the responsibility of the authors and does not necessarily represent the official views of the funders.</t>
  </si>
  <si>
    <t>2211-3355</t>
  </si>
  <si>
    <t>PREV MED REP</t>
  </si>
  <si>
    <t>Prev. Med. Rep.</t>
  </si>
  <si>
    <t>10.1016/j.pmedr.2022.102055</t>
  </si>
  <si>
    <t>7E8TG</t>
  </si>
  <si>
    <t>WOS:000901432400009</t>
  </si>
  <si>
    <t>Turuba, R; Cormier, W; Zimmerman, R; Ow, N; Zenone, M; Quintana, Y; Jenkins, E; Ben-David, S; Raimundo, A; Marcon, AR; Mathias, S; Henderson, J; Barbic, S</t>
  </si>
  <si>
    <t>Turuba, Roxanne; Cormier, Willow; Zimmerman, Rae; Ow, Nikki; Zenone, Marco; Quintana, Yuri; Jenkins, Emily; Ben-David, Shelly; Raimundo, Alicia; Marcon, Alessandro R.; Mathias, Steve; Henderson, Jo; Barbic, Skye</t>
  </si>
  <si>
    <t>Exploring How Youth Use TikTok for Mental Health Information in British Columbia: Semistructured Interview Study With Youth</t>
  </si>
  <si>
    <t>youth; adolescents; young adults; mental health; TikTok; social media; qualitative research</t>
  </si>
  <si>
    <t>Background: TikTok (ByteDance) experienced a surge in popularity during the COVID-19 pandemic as a way for people to interact with others, share experiences and thoughts related to the pandemic, and cope with ongoing mental health challenges. However, few studies have explored how youth use TikTok to learn about mental health. Objective: This study aims to understand how youth used TikTok during the COVID-19 pandemic to learn about mental health and mental health support. Methods: Semistructured interviews were conducted with 21 youths (aged 12-24 years) living in British Columbia, Canada, who had accessed TikTok for mental health information during the COVID-19 pandemic. Interviews were audio-recorded, transcribed verbatim, coded, and analyzed using an inductive, data-driven approach. Results: A total of 3 overarching themes were identified describing youth's experiences. The first theme centered on how TikTok gave youth easy access to mental health information and support, which was particularly helpful during the COVID-19 pandemic to curb the effects of social isolation and the additional challenges of accessing mental health services. The second theme described how the platform provided youth with connection, as it gave youth a safe space to talk about mental health and allowed them to feel seen by others going through similar experiences. This helped normalize and destigmatize conversations about mental health and brought awareness to various mental health conditions. Finally, the last theme focused on how this information led to action, such as trying different coping strategies, discussing mental health with peers and family, accessing mental health services, and advocating for themselves during medical appointments. Across the 3 themes, youth expressed having to be mindful of bias and misinformation, highlighting the barriers to identifying and reporting misinformation and providing individualized advice on the platform. Conclusions: Findings suggest that TikTok can be a useful tool to increase mental health awareness, reduce stigma, and encourage youth to learn and address their mental health challenges while providing a source of peer connection and support. Simultaneously, TikTok can adversely impact mental health through repetitive exposure to mentally distressing content and misleading diagnosis and treatment information. Regulations against harmful content are needed to mitigate these risks and make TikTok safer for youth. Efforts should also be made to increase media and health literacy among youth so that they can better assess the information they consume online.</t>
  </si>
  <si>
    <t>[Turuba, Roxanne; Cormier, Willow; Zimmerman, Rae; Ow, Nikki; Zenone, Marco; Mathias, Steve; Barbic, Skye] Univ British Columbia, Dept Occupat Sci &amp; Occupat Therapy, T325-2211 Wesbrook Mall, Vancouver, BC V6T 2B5, Canada; [Turuba, Roxanne; Raimundo, Alicia; Mathias, Steve; Henderson, Jo; Barbic, Skye] Providence Hlth Care, Foundry, Vancouver, BC, Canada; [Zenone, Marco; Marcon, Alessandro R.] Univ Alberta, Hlth Law Inst, Edmonton, AB, Canada; [Quintana, Yuri] Beth Israel Deaconess Med Ctr, Div Clin Informat, Boston, MA USA; [Quintana, Yuri] Harvard Med Sch, Boston, MA USA; [Quintana, Yuri] Homewood Res Inst, Guelph, ON, Canada; [Jenkins, Emily] Univ British Columbia, Sch Nursing, Vancouver, BC, Canada; [Ben-David, Shelly] Univ British Columbia, Sch Social Work, Vancouver, BC, Canada; [Mathias, Steve; Barbic, Skye] Ctr Adv Hlth Outcomes, Vancouver, BC, Canada; [Henderson, Jo] Ctr Addict &amp; Mental Hlth, Toronto, ON, Canada; [Henderson, Jo] Univ Toronto, Dept Psychiat, Toronto, ON, Canada; [Henderson, Jo] Youth Wellness Hubs Ontario, Toronto, ON, Canada</t>
  </si>
  <si>
    <t>University of British Columbia; University of Alberta; Harvard University; Beth Israel Deaconess Medical Center; Harvard University; Harvard Medical School; University of British Columbia; University of British Columbia; University of Toronto; Centre for Addiction &amp; Mental Health - Canada; University of Toronto</t>
  </si>
  <si>
    <t>Turuba, R (corresponding author), Univ British Columbia, Dept Occupat Sci &amp; Occupat Therapy, T325-2211 Wesbrook Mall, Vancouver, BC V6T 2B5, Canada.</t>
  </si>
  <si>
    <t>roxanne.turuba@ubc.ca</t>
  </si>
  <si>
    <t>Turuba, Roxanne/GQZ-3685-2022; Ow, Nikki/IXN-2402-2023; Ben-David, Shelly/CAJ-3073-2022; Quintana, Yuri/J-2975-2013</t>
  </si>
  <si>
    <t>Ben-David, Shelly/0000-0002-7582-2565; Ow, Nikki/0000-0002-1684-8052; Quintana, Yuri/0000-0001-6583-0257; Marcon, Alessandro R/0000-0001-5018-423X; Raimundo, Alicia Sarah/0009-0007-7976-6920; Turuba, Roxanne/0000-0002-5355-7932; Zimmerman, Rae/0009-0007-3073-1807</t>
  </si>
  <si>
    <t>Canadian Institutes of Health Research (CIHR)</t>
  </si>
  <si>
    <t>Canadian Institutes of Health Research (CIHR)(Canadian Institutes of Health Research (CIHR))</t>
  </si>
  <si>
    <t>The TikTok Study team is grateful for the study to have taken place on the ancestral lands of many different Indigenous nations and peoples across what we now call British Columbia, Canada. We are also incredibly grateful to the participants who shared their experiences and perspectives. The TikTok Study has been made possible through the financial contributions of the Canadian Institutes of Health Research (CIHR) . The views herein do not necessarily represent the views of CIHR.</t>
  </si>
  <si>
    <t>e53233</t>
  </si>
  <si>
    <t>10.2196/53233</t>
  </si>
  <si>
    <t>YC2B3</t>
  </si>
  <si>
    <t>WOS:001266211500001</t>
  </si>
  <si>
    <t>Bauer, MF</t>
  </si>
  <si>
    <t>Bauer, Mareike Fenja</t>
  </si>
  <si>
    <t>Beauty, baby and backlash? Anti-feminist influencers on TikTok</t>
  </si>
  <si>
    <t>social media; TikTok; anti-feminism; political influencers; network media logic</t>
  </si>
  <si>
    <t>SOCIAL MEDIA; POLITICS</t>
  </si>
  <si>
    <t>Grounded in empirical data, this qualitative study analyses how female anti-feminist influencers engage in metapolitics and how anti-feminist practices of metapolitics unfold within visual social media content. Employing multimodal content analysis and netnography this study adds to the research on metapolitics and political influencers. Applying network media logic as an analytical lens this paper is focusing on three female anti-feminist influencers and their metapolitical practices on TikTok. Results show that female anti-feminist influencers use different practices to metapolitize their (supposed) private life while introducing their audience to anti-feminist ideas and other anti-feminist actors, e.g., actors of the so-called manosphere. Further, they use TikTok to commodify their anti-feminist worldview.</t>
  </si>
  <si>
    <t>[Bauer, Mareike Fenja] European Univ Viadrina, European New Sch Digital Studies, Frankfurt, Oder, Germany</t>
  </si>
  <si>
    <t>European University Viadrina Frankfurt Oder</t>
  </si>
  <si>
    <t>Bauer, MF (corresponding author), European Univ Viadrina, European New Sch Digital Studies, Frankfurt, Oder, Germany.</t>
  </si>
  <si>
    <t>mbauer@europa-uni.de</t>
  </si>
  <si>
    <t>Bauer, Mareike/0000-0002-0047-1385</t>
  </si>
  <si>
    <t>10.1080/14680777.2023.2263820</t>
  </si>
  <si>
    <t>ZU5D1</t>
  </si>
  <si>
    <t>WOS:001079255200001</t>
  </si>
  <si>
    <t>Liao, SH; Widowati, R; Lee, CY</t>
  </si>
  <si>
    <t>Liao, Shu-hsien; Widowati, Retno; Lee, Ching-Yu</t>
  </si>
  <si>
    <t>Data mining analytics investigation on TikTok users' behaviors: social media app development</t>
  </si>
  <si>
    <t>LIBRARY HI TECH</t>
  </si>
  <si>
    <t>TikTok; Social media; Social media apps; Social development and social informatics; Media and technology innovation; Data mining analytics</t>
  </si>
  <si>
    <t>Purpose TikTok, a social media application (app), was originally positioned as a short music video community suitable for young users, and the app is user-generated content (UGC) short video of vertical music. Users can make their own creative videos. Following the rhythm of the music, users can shoot various video content, personal talents, life records, performances, dances, plot interpretations, etc. However, what are the profiles and preferences of TikTok users, whereby the social media app is mainly developed by UGC? What is the impact of TikTok on the development of social media? In addition, what is UGC's social media model for user interactions in social networks? The purpose of this paper is to address and study these proposed issues. Design/methodology/approach All questionnaire items are designed as nominal and ordinal scales (not Likert scale). The obtained data from questionnaires are put into the relational database (N = 2,011). This empirical study takes Taiwan TikTok users as the research object, implements data mining analytics to generate user profiles through clustering analysis and further uses association rules' analysis to analyze social media apps in social network interaction and social apps' development by proposing two patterns and several meaningful rules. Findings This study finds that social media apps is a valuable practical research topic on online social media development. In addition, besides the TikTok, the authors eagerly await subsequent research to provide more valuable findings of social media apps in both theory and practice. Originality/value This study presents the research evidences that social media apps such as TikTok will be able to transcend the current development pattern of social media and make good use of the media and technology innovation of apps in social development and social informatics.</t>
  </si>
  <si>
    <t>[Liao, Shu-hsien; Lee, Ching-Yu] Tamkang Univ, New Taipei, Taiwan; [Widowati, Retno] Univ Muhammadiyah Yogyakarta, Yogyakarta, Indonesia</t>
  </si>
  <si>
    <t>Tamkang University; Universitas Muhammadiyah Yogyakarta</t>
  </si>
  <si>
    <t>Liao, SH (corresponding author), Tamkang Univ, New Taipei, Taiwan.</t>
  </si>
  <si>
    <t>michael@mail.tku.edu.tw</t>
  </si>
  <si>
    <t>Liao, Shu-hsien/AAW-1885-2020</t>
  </si>
  <si>
    <t>National Science and Technology Council, Taiwan, Republic of China [MOST 111-2410-H-032-017-MY2]</t>
  </si>
  <si>
    <t>National Science and Technology Council, Taiwan, Republic of China</t>
  </si>
  <si>
    <t>This research was funded by the National Science and Technology Council, Taiwan, Republic of China (MOST 111-2410-H-032-017-MY2).</t>
  </si>
  <si>
    <t>0737-8831</t>
  </si>
  <si>
    <t>LIBR HI TECH</t>
  </si>
  <si>
    <t>Libr. Hi Tech</t>
  </si>
  <si>
    <t>2022 OCT 28</t>
  </si>
  <si>
    <t>10.1108/LHT-08-2022-0368</t>
  </si>
  <si>
    <t>5P6BO</t>
  </si>
  <si>
    <t>WOS:000873234400001</t>
  </si>
  <si>
    <t>MacKinnon, KR; Kia, H; Lacombe-Duncan, A</t>
  </si>
  <si>
    <t>MacKinnon, Kinnon Ross; Kia, Hannah; Lacombe-Duncan, Ashley</t>
  </si>
  <si>
    <t>Examining TikTok's Potential for Community-Engaged Digital Knowledge Mobilization With Equity-Seeking Groups</t>
  </si>
  <si>
    <t>trans; nonbinary; marginalized communities; gender-affirming care; digital health; community-engaged research; knowledge mobilization; mobile phone</t>
  </si>
  <si>
    <t>SOCIAL MEDIA; MENTAL-HEALTH; CARE; EDUCATION; PEOPLE</t>
  </si>
  <si>
    <t>Social media is increasingly being leveraged by researchers to engage in public debates and rapidly disseminate research results to health care providers, health care users, policy makers, educators, and the general public. This paper contributes to the growing literature on the use of social media for digital knowledge mobilization, drawing particular attention to TikTok and its unique potential for collaborative knowledge mobilization with underserved communities who experience barriers to health care and health inequities (eg, equity-seeking groups). Setting the TikTok platform apart from other social media are the unique audiovisual video editing tools, together with an impactful algorithm, that make knowledge dissemination and exchange with large global audiences possible. As an example, we will discuss digital knowledge mobilization with trans and nonbinary (trans) communities, a population that experiences barriers to health care and is engaged in significant peer-to-peer health information sharing on the web. To demonstrate, analytics data from 13 selected TikTok videos on the topic of research on gender-affirming medicine (eg, hormonal therapy and surgeries) are presented to illustrate how knowledge is disseminated within the trans community via TikTok. Considerations for researchers planning to use TikTok for digital knowledge mobilization and other related community engagement with equity-seeking groups are also discussed. These include the limitations of TikTok analytics data for measuring knowledge mobilization, population-specific concerns related to community safety on social media, the spread of disinformation, barriers to internet access, and commercialization and intellectual property issues. This paper concludes that TikTok is an innovative social media platform that presents possibilities for achieving transformative, community-engaged knowledge mobilization among researchers, underserved health care users, and their health care providers, all of whom are necessary to achieve better health care and population health outcomes.</t>
  </si>
  <si>
    <t>[MacKinnon, Kinnon Ross] York Univ, Sch Social Work, 4700 Keele Ave, Toronto, ON M3J 1P3, Canada; [Kia, Hannah] Univ British Columbia, Sch Social Work, Vancouver, BC, Canada; [Lacombe-Duncan, Ashley] Univ Michigan, Sch Social Work, Ann Arbor, MI 48109 USA</t>
  </si>
  <si>
    <t>York University - Canada; University of British Columbia; University of Michigan System; University of Michigan</t>
  </si>
  <si>
    <t>MacKinnon, KR (corresponding author), York Univ, Sch Social Work, 4700 Keele Ave, Toronto, ON M3J 1P3, Canada.</t>
  </si>
  <si>
    <t>kinnonmk@yorku.ca</t>
  </si>
  <si>
    <t>Lacombe-Duncan, Ashley/K-6279-2019; Kia, Hannah/AAD-4868-2021</t>
  </si>
  <si>
    <t>Kia, Hannah/0000-0002-7830-4907; Lacombe-Duncan, Ashley/0000-0002-9023-8877</t>
  </si>
  <si>
    <t>DEC 9</t>
  </si>
  <si>
    <t>e30315</t>
  </si>
  <si>
    <t>10.2196/30315</t>
  </si>
  <si>
    <t>YD3XM</t>
  </si>
  <si>
    <t>WOS:000740349300004</t>
  </si>
  <si>
    <t>Sukmayadi, V; Darmawangsa, D; Ayub, SH; Fadhila, SA</t>
  </si>
  <si>
    <t>Sukmayadi, Vidi; Darmawangsa, Dante; Ayub, Suffian Hadi; Fadhila, Sarah Annisa</t>
  </si>
  <si>
    <t>Constructing Fame: A Phenomenological Study of Online Impression Management among Indonesian TikTok Celebrities</t>
  </si>
  <si>
    <t>QUALITATIVE REPORT</t>
  </si>
  <si>
    <t>Indonesia; influencers; impression management; social media; TikTok</t>
  </si>
  <si>
    <t>The relevance of social media platforms in our daily lives is intensifying. Social media have become a showcase for our life experiences. In addition, they represent a range of dimensions of our status in the virtual and actual social world. These two factors trigger people to construct particular identities to thrive in dual social ecosystems. Subsequently, Tiktok's prominence as a current trending social media platform with a total of 500 million users globally transforms its function from a communication medium to a medium for gaining social capital. This phenomenon notably influences Indonesian society, with people being heavily invested in that platform, and triggered the rise of influencers as a popular career choice for the younger generation. Under those circumstances, this phenomenological study explores practical aspects of the identity construction of TikTok influencers on social media. Additionally, the study also analyses the motivations and experiences of the users in constructing their social media identity through impression management to build social capital. Eleven TikTok influencers were involved in this study as the key informants. The findings indicated that TikTok is socially tempting for building the users' social capital because of its high viral opportunity due to randomly generated algorithms. Moreover, the significance of viewer engagement for TikTok influencers compels them to create their most pleasing online impression for the sake of digital popularity. Therefore, popularity is regarded as both a gift and a social pressure.</t>
  </si>
  <si>
    <t>[Sukmayadi, Vidi; Darmawangsa, Dante; Fadhila, Sarah Annisa] Univ Pendidikan Indonesia, Bandung, Indonesia; [Ayub, Suffian Hadi] Univ Teknol MARA, Shah Alam, Selangor, Malaysia</t>
  </si>
  <si>
    <t>Universitas Pendidikan Indonesia; Universiti Teknologi MARA</t>
  </si>
  <si>
    <t>Sukmayadi, V (corresponding author), Univ Pendidikan Indonesia, Bandung, Indonesia.</t>
  </si>
  <si>
    <t>vsukmayadi@upi.edu; dante.darmawangsa@upi.edu; suffianhadi@uitm.edu.my; sarahannisa@upi.edu</t>
  </si>
  <si>
    <t>Fadhila, Sarah/LCE-6377-2024; Sukmayadi, Vidi/CAF-8941-2022; Ayub, Suffian Hadi/AAZ-5080-2020</t>
  </si>
  <si>
    <t>Ayub, Suffian Hadi/0000-0002-6303-9709; Sukmayadi, Vidi/0000-0002-5223-7355; Fadhila, Sarah Annisa/0009-0007-3339-7998</t>
  </si>
  <si>
    <t>NOVA SOUTHEASTERN UNIV</t>
  </si>
  <si>
    <t>FORT LAUDERDALE-DAVIE</t>
  </si>
  <si>
    <t>3301 COLLEGE AVE, FORT LAUDERDALE-DAVIE, FL 33314 USA</t>
  </si>
  <si>
    <t>1052-0147</t>
  </si>
  <si>
    <t>2160-3715</t>
  </si>
  <si>
    <t>QUAL REP</t>
  </si>
  <si>
    <t>Qual. Rep.</t>
  </si>
  <si>
    <t>10.46743/2160-3715/2024.5992</t>
  </si>
  <si>
    <t>WC9F1</t>
  </si>
  <si>
    <t>WOS:001252781000002</t>
  </si>
  <si>
    <t>Ariza, A; March, V; Torres, S</t>
  </si>
  <si>
    <t>Ariza, Andrea; March, Valeria; Torres, Sofia</t>
  </si>
  <si>
    <t>Horacio Larreta, Tiktoker: an analysis of the discourse, tools, topics, and content of political communications by the mayor of Buenos Aires on TikTok</t>
  </si>
  <si>
    <t>AUSTRAL COMUNICACION</t>
  </si>
  <si>
    <t>Horacio Rodriguez Larreta; TikTok; political communication; attributes</t>
  </si>
  <si>
    <t>During the COVID-19 pandemic, social media has acquired particular relevance. During periods of long confinement and lockdown, they have become spaces for entertainment and socialization. Within this digital ecosystem, TikTok plays a key role. It has grown remarkably during the past year and has become the most used social network by adolescents. In Argentina, Horacio Rodriguez Larreta, mayor of the City of Buenos Aires, joined TikTok in October 2020, becoming one of the first political figures to open an account. In less than a year, he amassed around 350 thousands followers and 5.4 million likes. In this article, we describe and analyze the communication strategies deployed by Rodriguez Larreta on TikTok between October 19, 2020, when he joined the network, up to September 19, 2021. We employ a qualitative methodology, with content analysis as our main tool, and focus on investigating the frequency, topics, attributes, and language of the videos uploaded by Rodriguez Larreta during his eleven months on TikTok. Our hypothesis is that the mayor of Buenos Aires used TikTok as a special channel to connect with young voters. This becomes obvious throughout our study, as we observe how he adapted his political communication - in both form and function - to align with the codes and language of this social network, placing special emphasis on his interaction with users.</t>
  </si>
  <si>
    <t>[Ariza, Andrea] Consejo Nacl Invest Cient &amp; Tecn, Inst Invest Politicas, Buenos Aires, DF, Argentina; [March, Valeria; Torres, Sofia] Univ Buenos Aires, Buenos Aires, DF, Argentina; [March, Valeria] Univ Nacl Tres de Febrero, Buenos Aires, DF, Argentina</t>
  </si>
  <si>
    <t>Consejo Nacional de Investigaciones Cientificas y Tecnicas (CONICET); University of Buenos Aires</t>
  </si>
  <si>
    <t>Ariza, A (corresponding author), Consejo Nacl Invest Cient &amp; Tecn, Inst Invest Politicas, Buenos Aires, DF, Argentina.</t>
  </si>
  <si>
    <t>andrea.ariza93@gmail.com; valeria.r.march@gmail.com; sof_torres@outlook.com</t>
  </si>
  <si>
    <t>UNIV AUSTRAL, FAC COMUNICACION</t>
  </si>
  <si>
    <t>BUENOS AIRES</t>
  </si>
  <si>
    <t>CERRITO 1250, CABA MARIANO ACOSTA S-N NATIONAL 8 PILAR, BUENOS AIRES, C1063ABB, ARGENTINA</t>
  </si>
  <si>
    <t>2313-9129</t>
  </si>
  <si>
    <t>2313-9137</t>
  </si>
  <si>
    <t>AUSTRAL COMUN</t>
  </si>
  <si>
    <t>Austral Comun.</t>
  </si>
  <si>
    <t>10.26422/aucom.2022.1101.ari</t>
  </si>
  <si>
    <t>2T9OU</t>
  </si>
  <si>
    <t>WOS:000822796300004</t>
  </si>
  <si>
    <t>Lambrechts, D</t>
  </si>
  <si>
    <t>Lambrechts, Derica</t>
  </si>
  <si>
    <t>#GANGSTER_ARE_COWARDS, #MERCHANTS_ARE_KILLERS and #SAVE_OUR_KIDS: Online geographies of gang content on TikTok originating from Cape Town, South Africa</t>
  </si>
  <si>
    <t>CRIMINOLOGY &amp; CRIMINAL JUSTICE</t>
  </si>
  <si>
    <t>Digital activism; digital cultures; gangs; online geographies; TikTok</t>
  </si>
  <si>
    <t>SOCIAL MEDIA; PERSPECTIVES; VIOLENCE; CRIME; LIFE</t>
  </si>
  <si>
    <t>Research on gang-related content on social media in an African context is limited, if any exists at all, and this article provides an exploratory and descriptive narrative on this topic. The study establishes online geographies: mapping unique characteristics of the digital world, how it corresponds to the actual reality and what differences can be observed. Data were collected by conducting digital observation on TikTok, and only data originating from searches related to gangs in Cape Town, South Africa, were recorded. In this physical geographical location, TikTok facilitated new virtual territories in mainly two diverse online geographies. First is that of gang culture in the symbolic parading of the criminal life, exploring the creative abilities of TikTok. Gangs occupy the virtual space through communications, associations and threats. The second online geography is found in responses to gangs in the form of community activism and vigilantism, with a significant digital trajectory and aggressive material, aiming to facilitate social change.</t>
  </si>
  <si>
    <t>[Lambrechts, Derica] Stellenbosch Univ, Stellenbosch, South Africa</t>
  </si>
  <si>
    <t>Stellenbosch University</t>
  </si>
  <si>
    <t>Lambrechts, D (corresponding author), Stellenbosch Univ, Dept Polit Sci, Arts &amp; Social Sci, 6th Floor,Corner Merriman Ave &amp; Ryneveld St, ZA-7600 Stellenbosch, South Africa.</t>
  </si>
  <si>
    <t>derica@sun.ac.za</t>
  </si>
  <si>
    <t>Lambrechts, Derica/0000-0002-7645-1866</t>
  </si>
  <si>
    <t>1748-8958</t>
  </si>
  <si>
    <t>1748-8966</t>
  </si>
  <si>
    <t>CRIMINOL CRIM JUSTIC</t>
  </si>
  <si>
    <t>Crimnol. Crim. Justice</t>
  </si>
  <si>
    <t>2024 JUL 25</t>
  </si>
  <si>
    <t>10.1177/17488958241261808</t>
  </si>
  <si>
    <t>Criminology &amp; Penology</t>
  </si>
  <si>
    <t>ZM8S5</t>
  </si>
  <si>
    <t>WOS:001275815000001</t>
  </si>
  <si>
    <t>Kaur-Gill, S</t>
  </si>
  <si>
    <t>Kaur-Gill, Satveer</t>
  </si>
  <si>
    <t>The cultural customization of TikTok: subaltern migrant workers and their digital cultures</t>
  </si>
  <si>
    <t>precarious migrants; TikTok; digital cultures; cultural customization; voice; visibilities; agency</t>
  </si>
  <si>
    <t>MEDIA; NETWORKS; POLITICS</t>
  </si>
  <si>
    <t>Migrant construction workers in Singapore produced TikTok videos sharing their structural, social, and health conditions during the pandemic. The platform's user-centered design presents opportunities for marginalized communities to participate in content production and distribution. The TikTok videos created by MCWs richly detailed the precarities they faced during the pandemic. Through the production of short videos, workers made visible their dormitory conditions, stringent medical surveillance of their bodies, the mental health anxieties they faced from confinement and isolation, and discussed the extensive mobility restrictions imposed on them. They also customized the platform's editability features to produce and edit vernacular content for entertainment and information-sharing, and digitally archived their precarities on the platform. Through user-generated content, workers responded to the exclusions they faced in the host country, undoing the mainstream discursive silencing of their lived experiences as subaltern workers in the city-state. Workers' use of TikTok presents opportunities for activism and organizing that center voice and agency for greater digital mobilities.</t>
  </si>
  <si>
    <t>[Kaur-Gill, Satveer] Dartmouth Coll, Hanover, NH 03755 USA; [Kaur-Gill, Satveer] Dartmouth Coll, Dartmouth Inst Hlth Policy &amp; Clin Practice, Hanover, NH 03755 USA</t>
  </si>
  <si>
    <t>Dartmouth College; Dartmouth College</t>
  </si>
  <si>
    <t>Kaur-Gill, S (corresponding author), Dartmouth Coll, Dartmouth Inst Hlth Policy &amp; Clin Practice, Hanover, NH 03755 USA.</t>
  </si>
  <si>
    <t>ksatveer@gmail.com</t>
  </si>
  <si>
    <t>Kaur, Satveer/AAE-9324-2020</t>
  </si>
  <si>
    <t>Kaur, Satveer/0000-0001-8786-0561</t>
  </si>
  <si>
    <t>10.1177/1329878X221110279</t>
  </si>
  <si>
    <t>WOS:000821643700001</t>
  </si>
  <si>
    <t>Jaramillo-Dent, D; Alencar, A; Asadchy, Y</t>
  </si>
  <si>
    <t>Jaramillo-Dent, Daniela; Alencar, Amanda; Asadchy, Yan</t>
  </si>
  <si>
    <t>#Migrantes on TikTok: Exploring Platformed Belongings</t>
  </si>
  <si>
    <t>immigration; TikTok aspirations; belonging; self; representation; governance; performativity; content analysis</t>
  </si>
  <si>
    <t>SELF-REPRESENTATION; SOCIAL MEDIA; IMMIGRATION; SPAIN</t>
  </si>
  <si>
    <t>Digital media and human mobility are intrinsically connected in an era where the human and the technological converge for representation and agency. In this context, platforms such as TikTok become prime spaces for diverse creative voices. This study constitutes the first exploratory analysis of TikTok as a medium where migrants embody their belonging through aspirational, performative, and self-governance creative and platformed practices. Through a content and discourse analysis of 198 videos gathered with relevant hashtags, using a Python script, we delve into the content created by Latin American migrants in Spain and the United States. The concept of platformed belongings is theorized in their use of TikTok's affordances and vernaculars to express aspirations to be part of certain socioeconomic, national, cultural, and digital communities. This is achieved through a range of storylines, from collective identities that align with expected values to stern challenges to oppressive norms. In this sense, we argue that platformed belongings enable migrants to reclaim their rights and negotiate existing symbolic boundaries by achieving different levels of visibility within this platform.</t>
  </si>
  <si>
    <t>[Jaramillo-Dent, Daniela; Alencar, Amanda] Erasmus Univ, Rotterdam, Netherlands; [Jaramillo-Dent, Daniela] Univ Huelva, Huelva, Spain; [Asadchy, Yan] Tallinn Univ, Tallinn, Estonia</t>
  </si>
  <si>
    <t>Erasmus University Rotterdam - Excl Erasmus MC; Erasmus University Rotterdam; Universidad de Huelva; Tallinn University</t>
  </si>
  <si>
    <t>Jaramillo-Dent, D (corresponding author), Erasmus Univ, Rotterdam, Netherlands.;Jaramillo-Dent, D (corresponding author), Univ Huelva, Huelva, Spain.</t>
  </si>
  <si>
    <t>djaramillod@gmail.com; pazalencar@eshcc.eur.nl; yan.asadchy@gmail.com</t>
  </si>
  <si>
    <t>Jaramillo-Dent, Daniela/AAD-5509-2020</t>
  </si>
  <si>
    <t>WOS:001079739800162</t>
  </si>
  <si>
    <t>Ng, LHX; Tan, JYH; Tan, DJH; Lee, RKW</t>
  </si>
  <si>
    <t>Coscia, M; Cuzzocrea, A; Shu, K</t>
  </si>
  <si>
    <t>Ng, Lynnette Hui Xian; Tan, John Yeh Han; Tan, Darryl Jing Heng; Lee, Roy Ka-Wei</t>
  </si>
  <si>
    <t>Will You Dance To The Challenge? Predicting User Participation of TikTok Challenges</t>
  </si>
  <si>
    <t>PROCEEDINGS OF THE 2021 IEEE/ACM INTERNATIONAL CONFERENCE ON ADVANCES IN SOCIAL NETWORKS ANALYSIS AND MINING, ASONAM 2021</t>
  </si>
  <si>
    <t>Proceedings of the IEEE-ACM International Conference on Advances in Social Networks Analysis and Mining</t>
  </si>
  <si>
    <t>IEEE/ACM International Conference on Advances in Social Networks Analysis and Mining (ASONAM)</t>
  </si>
  <si>
    <t>NOV 08-11, 2021</t>
  </si>
  <si>
    <t>IEEE,Assoc Comp Machinery,IEEE Comp Soc,ACM SIGKDD,IEEE TCDE,Springer,Elsevier</t>
  </si>
  <si>
    <t>TikTok; social media mining; social contagion</t>
  </si>
  <si>
    <t>TikTok is a popular new social media, where users express themselves through short video clips. A common form of interaction on the platform is participating in challenges, which are songs and dances for users to iterate upon. Challenge contagion can be measured through replication reach, i.e., users uploading videos of their participation in the challenges. The uniqueness of the TikTok platform where both challenge content and user preferences are evolving requires the combination of challenge and user representation. This paper investigates social contagion of TikTok challenges through predicting a user's participation. We propose a novel deep learning model, deepChallenger, to learn and combine latent user and challenge representations from past videos to perform this user-challenge prediction task. We collect a dataset of over 7,000 videos from 12 trending challenges on the ForYouPage, the app's landing page, and over 10,000 videos from 1303 users. Extensive experiments are conducted and the results show that our proposed deepChallenger (F1=0.494) outperforms baselines (F1=0.188) in the prediction task.</t>
  </si>
  <si>
    <t>[Ng, Lynnette Hui Xian] Carnegie Mellon Univ, Pittsburgh, PA 15213 USA; [Tan, John Yeh Han] Natl Univ Singapore, Singapore, Singapore; [Tan, Darryl Jing Heng; Lee, Roy Ka-Wei] Singapore Univ Technol &amp; Design, Singapore, Singapore</t>
  </si>
  <si>
    <t>Carnegie Mellon University; National University of Singapore; Singapore University of Technology &amp; Design</t>
  </si>
  <si>
    <t>Ng, LHX (corresponding author), Carnegie Mellon Univ, Pittsburgh, PA 15213 USA.</t>
  </si>
  <si>
    <t>lynnetteng@cmu.edu; johntyh@u.nus.edu; darryl_tan@sutd.edu.sg; roy_lee@sutd.edu.sg</t>
  </si>
  <si>
    <t>Lee, Roy Ka-Wei/LFG-0170-2024</t>
  </si>
  <si>
    <t>Lee, Roy Ka-Wei/0000-0002-1986-7750</t>
  </si>
  <si>
    <t>2473-9928</t>
  </si>
  <si>
    <t>2473-991X</t>
  </si>
  <si>
    <t>978-1-4503-9128-3</t>
  </si>
  <si>
    <t>PR I-A I C AD S N A</t>
  </si>
  <si>
    <t>10.1145/3487351.3488276</t>
  </si>
  <si>
    <t>Computer Science, Artificial Intelligence; Computer Science, Information Systems; Communication; Computer Science, Interdisciplinary Applications</t>
  </si>
  <si>
    <t>Computer Science; Communication</t>
  </si>
  <si>
    <t>BW7TD</t>
  </si>
  <si>
    <t>Bronze, Green Submitted</t>
  </si>
  <si>
    <t>WOS:001196170500059</t>
  </si>
  <si>
    <t>El-Roz, T</t>
  </si>
  <si>
    <t>El-Roz, T.</t>
  </si>
  <si>
    <t>TikTok vampire fangs</t>
  </si>
  <si>
    <t>BRITISH DENTAL JOURNAL</t>
  </si>
  <si>
    <t>0007-0610</t>
  </si>
  <si>
    <t>1476-5373</t>
  </si>
  <si>
    <t>BRIT DENT J</t>
  </si>
  <si>
    <t>Br. Dent. J.</t>
  </si>
  <si>
    <t>OY8QM</t>
  </si>
  <si>
    <t>WOS:000594505600008</t>
  </si>
  <si>
    <t>Rust, BD; Christoforides, E; Singh, A; Wahba, S; Choudhari, J; Copper, J; Kaspari, A; Patel, V; Ortiz, S; Ojo, DE; Sharieff, KA</t>
  </si>
  <si>
    <t>Rust, Brandon D.; Christoforides, Elie; Singh, Ambika; Wahba, Simon; Choudhari, Jashkumar; Copper, Jackson; Kaspari, Aidan; Patel, Vijay; Ortiz, Santiago; Ojo, Desiree E.; Sharieff, Khavir A.</t>
  </si>
  <si>
    <t>Evaluating the Distribution, Quality, and Educational Value of Videos Related to Knee Instability Exercises on the Social Media Platform TikTok</t>
  </si>
  <si>
    <t>orthopedic sports medicine; knee instability; patient education; tiktok; social media</t>
  </si>
  <si>
    <t>Introduction TikTok, a globally popular short-form video platform, offers a unique space for healthcare professionals to share advice, particularly under common conditions such as knee pain or instability. Despite its popularity, doubts persist regarding the reliability of medical information disseminated on TikTok. This study aimed to evaluate the quality of TikTok videos as a source of patient information on knee instability, recognizing the need for a comprehensive assessment of potential misinformation on this influential social media platform. Methods A search for knee stability exercises on TikTok yielded 448 videos, of which 187 met the inclusion criteria. These videos were categorized by source and evaluated using the Knee Exercise Education Scoring Tool (KEEST) and an information analysis questionnaire, DISCERN. Results General user videos (69.84%) had notably lower DISCERN scores than healthcare professional videos (29.1%) across all categories (P &lt; 0.001, P = 0.282, P = 0.131, and P = 0.010). The DISCERN scores were inversely linked to video metrics (views, likes, comments, favorites, and shares). General user videos were largely of poor quality (66.4%), whereas healthcare professional videos spanned poor (61.8%), fair (28.2%), good (9.1%), and excellent (1.8%) categories. Both general users (12.31/25) and healthcare professionals (12.18/25) exhibited average quality according to KEEST standards (P = 0.809), with an intriguing inverse correlation between video popularity and DISCERN score. Conclusion Healthcare professionals demonstrated superior evidence-based content (DISCERN), whereas both groups were comparatively educated on treatment plans and effects (KEEST). TikTok's prevalent knee instability videos lack quality, proper sourcing, treatment risk information, and explanation. Moreover, popularity is inversely correlated with quality, and healthcare professionals appear to offer better evidence-based content. TikTok's role in healthcare highlights the importance of ensuring accurate information and implementing content quality regulations.</t>
  </si>
  <si>
    <t>[Rust, Brandon D.; Christoforides, Elie; Singh, Ambika; Wahba, Simon; Choudhari, Jashkumar; Copper, Jackson; Kaspari, Aidan; Patel, Vijay; Ortiz, Santiago] Nova Southeastern Univ, Dr Kiran C Patel Coll Osteopath Med, Osteopath Med, Ft Lauderdale, FL USA; [Ojo, Desiree E.] Univ Incarnate Word, Osteopath Med, Sch Osteopath Med, San Antonio, TX USA; [Sharieff, Khavir A.] Nova Southeastern Univ, Dr Kiran C Patel Coll Osteopath Med, Surg, Tampa, FL 33759 USA</t>
  </si>
  <si>
    <t>Nova Southeastern University; University Incarnate Word; Nova Southeastern University</t>
  </si>
  <si>
    <t>Sharieff, KA (corresponding author), Nova Southeastern Univ, Dr Kiran C Patel Coll Osteopath Med, Surg, Tampa, FL 33759 USA.</t>
  </si>
  <si>
    <t>ksharief@nova.edu</t>
  </si>
  <si>
    <t>Ortiz, Santiago/C-1114-2019; Rust, Brandon/LQK-1467-2024</t>
  </si>
  <si>
    <t>MAR 28</t>
  </si>
  <si>
    <t>e57104</t>
  </si>
  <si>
    <t>10.7759/cureus.57104</t>
  </si>
  <si>
    <t>OF5Q1</t>
  </si>
  <si>
    <t>WOS:001205868000005</t>
  </si>
  <si>
    <t>Sampige, R; Rodgers, EG; Huang, AS; Zhu, DGY</t>
  </si>
  <si>
    <t>Sampige, Ritu; Rodgers, Emily Grace; Huang, Austin; Zhu, Dagny</t>
  </si>
  <si>
    <t>Education and Misinformation: Exploring Ophthalmology Content on TikTok</t>
  </si>
  <si>
    <t>Education; Misinformation; Ophthalmology; PEMAT-A/V; Social media; TikTok</t>
  </si>
  <si>
    <t>Introduction: With the continuous rise of social media usage, more patients are looking online for health-related information. TikTok is one of the fastest-growing video-based social media platforms, but the quality of its ophthalmologic content, at a comprehensive level, has not been previously analyzed. We aim to explore and characterize popular ophthalmology content on TikTok, including the presence of misinformation.Methods: Between April 16 and May 22, 2023, 37 different ophthalmology-relevant hashtags were queried on TikTok, and the top 20 most-liked videos per hashtag were analyzed. The quality of educational videos was graded on understandability and actionability using the Patient Education Materials Assessment Tool for Audiovisual Materials (PEMAT-A/V). Trends in creator identity, content type, engagement metrics, misinformation presence, and TikTok verification status were also assessed.Results: The 37 ophthalmology-related hashtags yielded 723 videos comprising 3.806 billion views. A minority of videos were created by ophthalmologists (16.9%) and eyecare providers (35.1%), while the majority were created by non-healthcare providers (55.0%). The most common types of videos identified were primarily related to personal experiences (35.8%) and education (38.0%). Amongst educational videos, mean PEMAT-A/V understandability and actionability scores were 88.1% and 50.6%, respectively. Misinformation was found in 5.4% of all videos, comprising 4.8% of all likes, 4.7% of all comments, and 11.7% of all bookmarks. Its presence was significantly correlated with content created by non-healthcare providers (p &lt; 0.001) and received a disproportionately higher percentage of bookmarks.Conclusions: This was the largest, most comprehensive evaluation of ophthalmologic content on TikTok. A significant portion of popular ophthalmologic content on TikTok is created by non-eyecare providers and contains misinformation. Our findings confirm the need for ophthalmologists to create more engaging, actionable, and factual educational content to combat misinformation adoption.</t>
  </si>
  <si>
    <t>[Sampige, Ritu; Huang, Austin] Baylor Coll Med, Dept Ophthalmol, 1 Baylor Plaza, Houston, TX 77030 USA; [Rodgers, Emily Grace] Whitsett Vis Grp, 1237 Campbell Rd, Houston, TX 77055 USA; [Zhu, Dagny] NVISION Eye Ctr, 17980-1 Castleton St, Rowland Hts, CA 91748 USA</t>
  </si>
  <si>
    <t>Baylor College of Medicine</t>
  </si>
  <si>
    <t>Sampige, R (corresponding author), Baylor Coll Med, Dept Ophthalmol, 1 Baylor Plaza, Houston, TX 77030 USA.</t>
  </si>
  <si>
    <t>ritu.sampige@bcm.edu; erodgers@whitsettvision.com; austin.huang@bcm.edu; dagny.zhu@nvisioncenters.com</t>
  </si>
  <si>
    <t>10.1007/s40123-023-00834-6</t>
  </si>
  <si>
    <t>IX2F4</t>
  </si>
  <si>
    <t>WOS:001091515900002</t>
  </si>
  <si>
    <t>Schaadhardt, A; Fu, Y; Pratt, CG; Pratt, W</t>
  </si>
  <si>
    <t>Schaadhardt, Anastasia; Fu, Yue; Pratt, Cory Gennari; Pratt, Wanda</t>
  </si>
  <si>
    <t>Laughing so I don't cry: How TikTok users employ humor and compassion to connect around psychiatric hospitalization</t>
  </si>
  <si>
    <t>social media; TikTok; humor; mental health; mental illness</t>
  </si>
  <si>
    <t>ONLINE SUPPORT GROUPS; MENTAL-HEALTH; EMPOWERING PROCESSES; SOCIAL SUPPORT; BREAST-CANCER; COMMUNICATION; COMMUNITIES; EXPERIENCES; CREATIVITY; DEPRESSION</t>
  </si>
  <si>
    <t>Today's youth face many mental health challenges and are increasingly represented in psychiatric hospitalizations. Scholars have sought to understand social media's role in mental health issues, but limited work has explored TikTok-the video-centric social media platform that is popular with youth-and people's connections around psychiatric hospitalization experiences. In this study, we used qualitative content analysis to examine a random sample of 140 TikTok posts related to psychiatric hospitalization. We found that members of this population frequently utilize humor to create and maintain a positive and supportive community with each other. We also describe how TikTok's design affords these interactions among community members, and conclude with a series of provocations for researchers and designers working at the intersections of social media and mental illness. We hope our study provides insights for how to further support rather than just censor youth in using creative outlets to connect with each other.</t>
  </si>
  <si>
    <t>[Schaadhardt, Anastasia; Fu, Yue; Pratt, Wanda] Univ Washington, Informat Sch, Seattle, WA 98195 USA; [Pratt, Cory Gennari] Seattle Acad, Seattle, WA USA</t>
  </si>
  <si>
    <t>Schaadhardt, A (corresponding author), Univ Washington, Informat Sch, Seattle, WA 98195 USA.</t>
  </si>
  <si>
    <t>aschaad@uw.edu; chrisfu@uw.edu; corygennaripratt@gmail.com; wpratt@uw.edu</t>
  </si>
  <si>
    <t>Fu, Yue/0000-0001-5828-5932; Pratt, Wanda/0000-0003-4035-0198</t>
  </si>
  <si>
    <t>National Science Foundation Graduate Research Fellowship Program [DGE-2140004]</t>
  </si>
  <si>
    <t>National Science Foundation Graduate Research Fellowship Program(National Science Foundation (NSF))</t>
  </si>
  <si>
    <t>This material is based upon work supported by the National Science Foundation Graduate Research Fellowship Program under Grant No. DGE-2140004. Any opinions, findings, and conclusions or recommendations expressed in this material are those of the authors and do not necessarily reflect the views of the National Science Foundation.</t>
  </si>
  <si>
    <t>10.1145/3544548.3581559</t>
  </si>
  <si>
    <t>WOS:001048393807025</t>
  </si>
  <si>
    <t>Ayalde, J; Ta, D; Adesanya, O; Mandzufas, J; Lombardi, K; Trapp, G</t>
  </si>
  <si>
    <t>Ayalde, Jeremiah; Ta, Daniel; Adesanya, Olaoluwa; Mandzufas, Joelie; Lombardi, Karen; Trapp, Gina</t>
  </si>
  <si>
    <t>Awake and Alert: Examining the Portrayal of Energy Drinks on TikTok</t>
  </si>
  <si>
    <t>Energy drinks; Children; Adolescents; TikTok; Social media</t>
  </si>
  <si>
    <t>RISKS</t>
  </si>
  <si>
    <t>Purpose: Energy drinks (EDs) are not recommended for minors' consumption due to a myriad of health risks, but marketing initiatives persist. This study explored the promotion of EDs on TikTok, a platform frequented by children and adolescents. Methods: 197 highly viewed videos from the four top ED-related hashtags on TikTok were coded for engagement variables, user information, sponsorship status, video content, and sentiment toward EDs. Results: Of the 197 videos analyzed (combined 70 thorn million views), 29% disclosed sponsorship and 22% featured a child/adolescent. ED consumption appeared in 46% of videos, with 15% depicting hazardous consumption. Most videos (67%) had a positive sentiment toward EDs. Discussion: ED-related TikTok videos are positively framed, have high engagement, and are not restricted for viewing by minors. As the platform's underage user-base grows, such videos may encourage heightened consumption. Given the known health risks, effective age-gated content restrictions are needed to reduce minors' exposure. (c) 2022 Society for Adolescent Health and Medicine. All rights reserved.</t>
  </si>
  <si>
    <t>[Ayalde, Jeremiah; Ta, Daniel; Adesanya, Olaoluwa; Mandzufas, Joelie; Lombardi, Karen; Trapp, Gina] Telethon Kids Inst, Nedlands, WA, Australia; [Ayalde, Jeremiah; Ta, Daniel] Univ Western Australia, Sch Med, Nedlands, WA, Australia; [Adesanya, Olaoluwa] Univ Western Australia, Sch Human Sci, Nedlands, WA, Australia; [Mandzufas, Joelie; Lombardi, Karen; Trapp, Gina] Univ Western Australia, Sch Populat &amp; Global Hlth, Nedlands, WA, Australia; [Lombardi, Karen] Edith Cowan Univ, Sch Med &amp; Hlth Sci, Joondalup, WA, Australia; [Ayalde, Jeremiah] A 35 Stirling Highway, Nedlands, WA 6009, Australia</t>
  </si>
  <si>
    <t>University of Western Australia; The Kids Research Institute Australia; University of Western Australia; University of Western Australia; University of Western Australia; Edith Cowan University</t>
  </si>
  <si>
    <t>Ayalde, J (corresponding author), A 35 Stirling Highway, Nedlands, WA 6009, Australia.</t>
  </si>
  <si>
    <t>Jeremiah.ayalde@telethonkids.org.au</t>
  </si>
  <si>
    <t>Mandzufas, Joelie/AFT-0615-2022; Trapp, Gina/GVT-9719-2022; Ta, Daniel/JCN-6256-2023</t>
  </si>
  <si>
    <t>Ta, Daniel/0000-0001-9875-0704; Mandzufas, Joelie/0000-0003-4236-1384; Ayalde, Jeremiah/0000-0002-3560-3106; Lombardi, Karen/0000-0001-8016-2197; Adesanya, Olaoluwa/0009-0008-3033-0533; TRAPP, Gina/0009-0001-3683-0319; Trapp, Gina/0000-0001-8529-4260</t>
  </si>
  <si>
    <t>Australian Research Council DECRA Award [DE210101791]; Australian Research Council [DE210101791] Funding Source: Australian Research Council</t>
  </si>
  <si>
    <t>Australian Research Council DECRA Award(Australian Research Council); Australian Research Council(Australian Research Council)</t>
  </si>
  <si>
    <t>JA and OA undertook part of this research as students of the McCusker Internship program, University of Western Australia. GT was supported by an Australian Research Council DECRA Award (DE210101791). This research did not receive any specific grant from funding agencies in the public, commercial, or not-for-profit sectors.</t>
  </si>
  <si>
    <t>10.1016/j.jadohealth.2022.10.025</t>
  </si>
  <si>
    <t>A6ZT3</t>
  </si>
  <si>
    <t>WOS:000956590200001</t>
  </si>
  <si>
    <t>Chen, K; Zhou, L; Zhao, R; Tang, YD</t>
  </si>
  <si>
    <t>Chen, Kai; Zhou, Li; Zhao, Rui; Tang, Yuedi</t>
  </si>
  <si>
    <t>Assessing the Quality of Hearing Aids-Related Videos on TikTok</t>
  </si>
  <si>
    <t>hearing aids; hearing loss; internet health information; information quality; social media</t>
  </si>
  <si>
    <t>CHILDREN</t>
  </si>
  <si>
    <t>Hearing aids are effective at improving listening ability and health-related quality of life. Recently, we observed that there are many hearing aids-related videos published on TikTok. However, the quality of the information they offer remains unstudied. This study aimed to evaluate the information quality of hearing aids videos on TikTok. We collected a sample of 155 hearing aids-related videos in Chinese and extracted the basic information. First, we identified the source of each video. Two independent raters assessed the quality of the information in the videos, using the PEMAT-A/V tool and DISCERN instrument. Regarding content, the results showed that the video contents on TikTok mainly about features, functionalities, and suggestions of purchase or fitting of hearing aids, while the information about the disadvantages and complications of hearing aids was limited. The overall quality of the hearing aids-related videos was acceptable on average, although the quality varies greatly depending on the type of source. Patients should be cautious in obtaining information about hearing aids on TikTok.</t>
  </si>
  <si>
    <t>[Chen, Kai; Zhao, Rui; Tang, Yuedi] Sichuan Univ, Dept Otorhinolaryngol, West China Hosp, Chengdu, Peoples R China; [Chen, Kai] Hosp Chengdu Univ Tradit Chinese Med, Dept Otorhinolaryngol, Chengdu, Peoples R China; [Zhou, Li] Core Facil West China Hosp, Chengdu, Peoples R China</t>
  </si>
  <si>
    <t>Sichuan University; Chengdu University of Traditional Chinese Medicine</t>
  </si>
  <si>
    <t>Tang, YD (corresponding author), Sichuan Univ, Dept Otorhinolaryngol, West China Hosp, Chengdu, Peoples R China.</t>
  </si>
  <si>
    <t>tangyd@hotmail.com</t>
  </si>
  <si>
    <t>Science and Technology of Department of Sichuan Province [2021YJ0183]</t>
  </si>
  <si>
    <t>Science and Technology of Department of Sichuan Province</t>
  </si>
  <si>
    <t>Funding The work was funded by the Science and Technology of Department of Sichuan Province (No.: 2021YJ0183).</t>
  </si>
  <si>
    <t>JUN 22</t>
  </si>
  <si>
    <t>10.3389/fpubh.2022.901976</t>
  </si>
  <si>
    <t>2T6JF</t>
  </si>
  <si>
    <t>WOS:000822577800001</t>
  </si>
  <si>
    <t>Bailey, KA; Griffin, M; Lopez, KJ; Fayyaz, N; Habib, S; Leighton, J</t>
  </si>
  <si>
    <t>Bailey, K. Aly; Griffin, Meridith; Lopez, Kimberly J.; Fayyaz, Nosaiba; Habib, Serena; Leighton, Jaylyn</t>
  </si>
  <si>
    <t>(Re)claiming subversive spaces on TikTok: the complexities of body activisms within physical activity cultures</t>
  </si>
  <si>
    <t>QUALITATIVE RESEARCH IN SPORT EXERCISE AND HEALTH</t>
  </si>
  <si>
    <t>Social media; fitness; social justice; bodies of difference; algorithms of oppression; collaborative digital autoethnography</t>
  </si>
  <si>
    <t>Feminist organising in digital spaces, such as social media, has the potential for activism, resistance, and visibility; yet these spaces continue to be dominated by narrow body representations and shaped by unequal power dynamics. We propose that bodies of difference may find vibrant and difference-affirming homes within their digital communities via innovative algorithm-based social media spheres, such as TikTok. Using a creative methodological mashup that we call a 'collaborative digital autoethnography', we explored our experiences of difference-affirming hashtags (e.g. #CurvyGym, #DisabledFitness, #QueerFitness) and creators who shared explicitly inclusive and/or subversive content (e.g. #ThickTocker). Using reflexive thematic analysis and thinking with/through Safiya Noble's work on algorithms of oppression, we developed four themes: #TheFringe, #(Re)claimingFlesh, #CircleOfSurveillance, and #TheWrongSideOfTikTok. In #TheFringe, we found normatively embodied creators who used TikTok as a space to question normative fitness trends - content that helped build our difference-affirming algorithmic space. In #(Re)claimingFlesh, fat-positive creators used TikTok to unapologetically reveal or grab body fat/flesh, and TikTokkers re-storied their body-related journeys by flipping the script of harmful body surveillance (i.e. #CircleOfSurveillance). Lastly, some creators shared grievances about the (oppressive) algorithms of TikTok that banished them to #TheWrongSideOfTikTok. We provide reflexive accounts of our own embodied differences while exploring the TikTok platform, searching for spaces that affirm our bodies while contending with algorithmic oppression. We conclude by discussing TikTok as a platform where powerful collective activism and revolution can form, yet always in contention with trolling, hate, and harmful algorithms that constrain activist movements within sport, exercise, and health contexts.</t>
  </si>
  <si>
    <t>[Bailey, K. Aly; Griffin, Meridith; Fayyaz, Nosaiba] McMaster Univ, Dept Hlth Aging &amp; Soc, Hamilton, ON, Canada; [Lopez, Kimberly J.] Univ Waterloo, Dept Recreat &amp; Leisure Studies, Hamilton, ON, Canada; [Habib, Serena] McMaster Univ, Arts &amp; Sci Program, Waterloo, ON, Canada; [Leighton, Jaylyn] Sunnybrook Res Inst, Toronto, ON, Canada; [Bailey, K. Aly] McMaster Univ, Hlth Aging &amp; Soc, 1280 Main St West, Hamilton, ON L8S 4L8, Canada</t>
  </si>
  <si>
    <t>McMaster University; University of Waterloo; McMaster University; University of Toronto; Sunnybrook Research Institute; Sunnybrook Health Science Center; McMaster University</t>
  </si>
  <si>
    <t>Bailey, KA (corresponding author), McMaster Univ, Hlth Aging &amp; Soc, 1280 Main St West, Hamilton, ON L8S 4L8, Canada.</t>
  </si>
  <si>
    <t>bailek9@mcmaster.ca</t>
  </si>
  <si>
    <t>Bailey, Aly/0000-0002-2335-0041; Lopez, Kimberly/0000-0002-8810-4589; Griffin, Meridith/0000-0001-5475-7672</t>
  </si>
  <si>
    <t>Social Sciences and Humanities Research Council of Canada [435-2021-0425]</t>
  </si>
  <si>
    <t>Social Sciences and Humanities Research Council of Canada(Social Sciences &amp; Humanities Research Council of Canada (SSHRC))</t>
  </si>
  <si>
    <t>The work was supported by the Social Sciences and Humanities Research Council of Canada [435-2021-0425].</t>
  </si>
  <si>
    <t>2159-676X</t>
  </si>
  <si>
    <t>2159-6778</t>
  </si>
  <si>
    <t>QUAL RES SPORT EXERC</t>
  </si>
  <si>
    <t>Qual. Res. Sport Exerc. Health</t>
  </si>
  <si>
    <t>10.1080/2159676X.2024.2355128</t>
  </si>
  <si>
    <t>Hospitality, Leisure, Sport &amp; Tourism; Psychology, Applied; Sport Sciences</t>
  </si>
  <si>
    <t>Social Sciences - Other Topics; Psychology; Sport Sciences</t>
  </si>
  <si>
    <t>QQ9X2</t>
  </si>
  <si>
    <t>WOS:001222464000001</t>
  </si>
  <si>
    <t>Nastisin, L; Stefko, R; Fedorko, R</t>
  </si>
  <si>
    <t>Stefko, R; Fedorko, R; Benkova, E</t>
  </si>
  <si>
    <t>Nastisin, Ludovit; Stefko, Robert; Fedorko, Richard</t>
  </si>
  <si>
    <t>Engaging with Brands Online: A Study of Consumer Online Brand Related Activities on Tik Tok as a Part of Brand E-commerce</t>
  </si>
  <si>
    <t>ECONOMICS, MANAGEMENT &amp; BUSINESS 2023: CONTEMPORARY ISSUES, INSIGHTS AND NEW CHALLENGES</t>
  </si>
  <si>
    <t>8th INTERNATIONAL SCIENTIFIC CONFERENCE of the ECONOMICS, MANAGEMENT &amp; BUSINESS</t>
  </si>
  <si>
    <t>SEP 28-29, 2023</t>
  </si>
  <si>
    <t>Novy Smokovec, SLOVAKIA</t>
  </si>
  <si>
    <t>consumer; activity; motive; TikTok; e-commerce</t>
  </si>
  <si>
    <t>FACEBOOK; ENGAGEMENT; MOTIVATIONS; LIKING; COBRAS; PAGES; FANS</t>
  </si>
  <si>
    <t>Research background: This research primarily delves into the domain of social media engagement, focusing on the consumer's Online Brand-Related Activities (COBRAs) as a part of e-commerce ecosystem on platforms like TikTok. It aims to comprehend the key motivators for consumers' escalating levels of engagement, such as the need for information, desire for entertainment, social interaction, and remuneration, while examining how these activities influence brand awareness, referrals, purchase intent, and customer loyalty in the form of Word of mouth. TikTok, with its unique short video content format, high user engagement, and potential for content virality, provides a suitable landscape for studying these engagement behaviors. Purpose of the article: The study evaluates the interplay between specific motivations, COBRAs, and their influence on e-commerce branding, particularly word of mouth, using TikTok within the Slovak market as a model. Methods: Our approach combined Confirmatory Factor Analysis (CFA) and Maximum Likelihood Estimation (MLE) to study attitudes related to e-commerce brand activities on TikTok. Metrics such as Average Variance Extracted (AVE), Composite Reliability (CR), and Root Mean Square Error of Approximation (RMSEA) were crucial for latent variable analysis. The Partial Least Square - Path Modeling (PLS PM) method further delineated relationships. Findings &amp; Value added: Our results affirm five hypotheses, particularly noting the impact of information and entertainment motives on e-commerce COBRA content consumption on TikTok. The remuneration motive consistently influenced all COBRA and e-commerce relationships. A significant connection was identified between content consumption and word of mouth for online shopping brands. Differences from earlier studies possibly arise from TikTok's distinct nature, expanding our insights into e-commerce user behavior on the platform.</t>
  </si>
  <si>
    <t>[Nastisin, Ludovit; Stefko, Robert; Fedorko, Richard] Univ Presov, Dept Mkt &amp; Int Trade, Fac Management &amp; Business, Konstantinova 16, Presov 08001, Slovakia</t>
  </si>
  <si>
    <t>University of Presov</t>
  </si>
  <si>
    <t>Nastisin, L (corresponding author), Univ Presov, Dept Mkt &amp; Int Trade, Fac Management &amp; Business, Konstantinova 16, Presov 08001, Slovakia.</t>
  </si>
  <si>
    <t>ludovit.nastisin@unipo.sk</t>
  </si>
  <si>
    <t>Stefko, Robert/I-2763-2018; Fedorko, Richard/C-9553-2018</t>
  </si>
  <si>
    <t>Fedorko, Richard/0000-0003-3520-1921</t>
  </si>
  <si>
    <t>UNIV PRESOV</t>
  </si>
  <si>
    <t>PRESOV</t>
  </si>
  <si>
    <t>17 NOVEMBRA 15, PRESOV, 080 01, SLOVAKIA</t>
  </si>
  <si>
    <t>978-80-555-3215-8</t>
  </si>
  <si>
    <t>Business; Business, Finance; Economics</t>
  </si>
  <si>
    <t>BX1PZ</t>
  </si>
  <si>
    <t>WOS:001250452400055</t>
  </si>
  <si>
    <t>Harkness, S</t>
  </si>
  <si>
    <t>Harkness, S.</t>
  </si>
  <si>
    <t>10.1038/s41415-020-2417-6</t>
  </si>
  <si>
    <t>WOS:000594505600007</t>
  </si>
  <si>
    <t>Zheluk, AA; Anderson, J; Dineen-Griffin, S</t>
  </si>
  <si>
    <t>Zheluk, Andrey A.; Anderson, Judith; Dineen-Griffin, Sarah</t>
  </si>
  <si>
    <t>Adolescent Anxiety and TikTok: An Exploratory Study</t>
  </si>
  <si>
    <t>self-care management; self-disclosure; gender variation; anxiety; child and adolescent psychiatry; effects of social media; tiktok</t>
  </si>
  <si>
    <t>SOCIAL MEDIA; DISORDERS; EPIDEMIOLOGY; PREVALENCE</t>
  </si>
  <si>
    <t>Introduction Social media is ubiquitous in adolescents' lives. TikTok is a medium primarily used by adolescents and young adults under 30 years. TikTok is thus an appropriate social media platform with which to examine discussions of anxiety among this age cohort. In this exploratory mixed-methods study we aimed to evaluate the scope of anxiety content available on TikTok in English in December 2021, and to further develop methods for analysing TikTok content. Methods We analysed a data set of 147 TikToks with the hashtag #anxiety. The data set consisted both of metadata and TikTok videos. This data set represented 18% of all TikToks featuring the hashtag #anxiety in December 2021. We examined the following research questions (RQs). RQ1: What are the creator identities reflected in the final data set in this study?; RQ2: What are the metadata characteristics of the TikToks in the final data set?; RQ3: What are the anxiety content themes in the final data set?; and RQ4: What are the characteristics of the data set based on an anxiety management reference checklist? This study involves public data that can reasonably be observed by strangers. This study does not include any identifiable human participants.Results Influencers were the most frequent creator identity in our data set. Influencers comprised 85.5% of the 147 TikToks in our final data set. We coded 79 female (54%) and 45 male (31%) influencers. We found male influencers created the most played (mean 8,114,706), and most liked (mean 1,510,585) TikToks. We found content themes varied by influencer gender. The notable findings were (a) the greater use of humour by males (22.7% males; n=10, and females 12.6%; n=10); and (b) inspiration (38.7%; males n=17; and 13.9%; females n=11). Among female influencers, we identified self-disclosure as the most common theme (n= 40 and 50.7% compared with n=11 and 25% male influencers). Overall, we found limited references to evidence -based anxiety self-care content in our final data set.Discussion We suggest that the TikToks in our data set were primarily directed at raising awareness of and de -stigmatising anxiety symptoms. TikTok anxiety content may be viewed by adolescents for emotional self -regulation beyond evidence-based health information seeking. Self-disclosure on TikTok may also provide symptomatic relief to adolescents with anxiety. We suggest that gender is a salient consideration when considering TikTok content. Conclusions Our findings are consistent with existing literature on adolescent social media use and epidemiological data on anxiety. This research also provides methodological insights for researchers and clinicians seeking to understand TikTok, and to develop engaging content targeted at the specific concerns and preferences of adolescent TikTok consumers.</t>
  </si>
  <si>
    <t>[Zheluk, Andrey A.; Anderson, Judith] Charles Sturt Univ, Sch Nursing Paramed &amp; Healthcare Sci, Bathurst, Australia; [Dineen-Griffin, Sarah] Univ Newcastle, Sch Biomed Sci &amp; Pharm, Newcastle, Australia</t>
  </si>
  <si>
    <t>Charles Sturt University; University of Newcastle</t>
  </si>
  <si>
    <t>Dineen-Griffin, S (corresponding author), Univ Newcastle, Sch Biomed Sci &amp; Pharm, Newcastle, Australia.</t>
  </si>
  <si>
    <t>sarah.dineengriffin@newcastle.edu.au</t>
  </si>
  <si>
    <t>Anderson, Judith/E-5738-2017</t>
  </si>
  <si>
    <t>Anderson, Judith/0000-0002-8310-0458; Dineen-Griffin, Sarah/0000-0001-7080-0108</t>
  </si>
  <si>
    <t>DEC 14</t>
  </si>
  <si>
    <t>10.7759/cureus.32530</t>
  </si>
  <si>
    <t>7K0AJ</t>
  </si>
  <si>
    <t>gold, Green Published, Green Submitted</t>
  </si>
  <si>
    <t>WOS:000904947300025</t>
  </si>
  <si>
    <t>Sun, F; Zheng, SS; Wu, J</t>
  </si>
  <si>
    <t>Sun, Fei; Zheng, Shusen; Wu, Jian</t>
  </si>
  <si>
    <t>Quality of Information in Gallstone Disease Videos on TikTok: Cross-sectional Study</t>
  </si>
  <si>
    <t>hepatobiliary; gallstone; gallbladder; TikTok; social media; video quality; DISCERN; Journal of American Medical Association; JAMA; Global Quality Score; GQS; content analysis; health information; online health information; digital health; disease knowledge; medical information; misinformation; infodemiology; patient education; dissemination; accuracy; credibility; credible; reliability; reliable; information quality</t>
  </si>
  <si>
    <t>HEALTH INFORMATION; GALLBLADDER</t>
  </si>
  <si>
    <t>Background: TikTok was an important channel for consumers to access and adopt health information. But the quality of health content in TikTok remains underinvestigated. Objective: Our study aimed to identify upload sources, contents, and feature information of gallstone disease videos on TikTok and further evaluated the factors related to video quality. Methods: We investigated the first 100 gallstone-related videos on TikTok and analyzed these videos' upload sources, content, and characteristics. The quality of videos was evaluated using quantitative scoring tools such as DISCERN instrument, the Journal of American Medical Association (JAMA) benchmark criteria, and Global Quality Scores (GQS). Moreover, the correlation between video quality and video characteristics, including duration, likes, comments, and shares, was further investigated. Results: According to video sources, 81% of the videos were posted by doctors. Furthermore, disease knowledge was the most dominant video content, accounting for 56% of all the videos. The mean DISCERN, JAMA, and GQS scores of all 100 videos are 39.61 (SD 11.36), 2.00 (SD 0.40), and 2.76 (SD 0.95), respectively. According to DISCERN and GQS, gallstone-related videos' quality score on TikTok is not high, mainly at fair (43/100, 43%,) and moderate (46/100, 46%). The total DISCERN scores of doctors were significantly higher than that of individuals and news agencies, surgery techniques were significantly higher than lifestyle and news, and disease knowledge was significantly higher than news, respectively. DISCERN scores and video duration were positively correlated. Negative correlations were found between DISCERN scores and likes and shares of videos. In GQS analysis, no significant differences were found between groups based on different sources or different contents. JAMA was excluded in the video quality and correlation analysis due to a lack of discrimination and inability to evaluate the video quality accurately. Conclusions: Although the videos of gallstones on TikTok are mainly provided by doctors and contain disease knowledge, they are of low quality. We found a positive correlation between video duration and video quality. High-quality videos received low attention, and popular videos were of low quality. Medical information on TikTok is currently not rigorous enough to guide patients to make accurate judgments. TikTok was not an appropriate source of knowledge to educate patients due to the low quality and reliability of the information.</t>
  </si>
  <si>
    <t>[Sun, Fei; Zheng, Shusen; Wu, Jian] Zhejiang Univ, Affiliated Hosp 1, Dept Surg, Div Hepatobiliary &amp; Pancreat Surg,Sch Med, 79 Qingchun Rd, Hangzhou 310003, Peoples R China; [Sun, Fei; Zheng, Shusen; Wu, Jian] Natl Hlth Commiss, Key Lab Combined Multiorgan Transplantat, Hangzhou, Peoples R China; [Sun, Fei; Zheng, Shusen; Wu, Jian] Key Lab Organ Transplantat, Hangzhou, Peoples R China; [Sun, Fei; Zheng, Shusen; Wu, Jian] Zhejiang Prov Res Ctr Diag &amp; Treatment Hepatobilia, Hangzhou, Peoples R China</t>
  </si>
  <si>
    <t>Wu, J (corresponding author), Zhejiang Univ, Affiliated Hosp 1, Dept Surg, Div Hepatobiliary &amp; Pancreat Surg,Sch Med, 79 Qingchun Rd, Hangzhou 310003, Peoples R China.</t>
  </si>
  <si>
    <t>drwujian@zju.edu.cn</t>
  </si>
  <si>
    <t>SUN, FEI/HMO-5423-2023</t>
  </si>
  <si>
    <t>Sun, Fei/0000-0002-2499-6864; Wu, Jian/0000-0002-6325-0766</t>
  </si>
  <si>
    <t>Health Commission of Zhejiang Province [JBZX-202004]</t>
  </si>
  <si>
    <t>Health Commission of Zhejiang Province</t>
  </si>
  <si>
    <t>Acknowledgments The study is supported by the grant from Health Commission of Zhejiang Province (grant number JBZX-202004) .</t>
  </si>
  <si>
    <t>FEB 8</t>
  </si>
  <si>
    <t>e39162</t>
  </si>
  <si>
    <t>10.2196/39162</t>
  </si>
  <si>
    <t>I9OS0</t>
  </si>
  <si>
    <t>WOS:001006006700001</t>
  </si>
  <si>
    <t>Barber, C; Literat, I</t>
  </si>
  <si>
    <t>Barber, Chelsey; Literat, Ioana</t>
  </si>
  <si>
    <t>TikTok as a lens into teacher attrition: perspectives from #teacherquittok</t>
  </si>
  <si>
    <t>ENGLISH TEACHING-PRACTICE AND CRITIQUE</t>
  </si>
  <si>
    <t>Teacher attrition; Teacher morale; Professional identity; Social media; TikTok</t>
  </si>
  <si>
    <t>SOCIAL MEDIA; TURNOVER</t>
  </si>
  <si>
    <t>PurposeA key social networking site for teachers, TikTok offers a new and valuable lens on educator attrition. This study aims to explore social media's role in the increased transparency around leaving the profession and the online narratives crafted around transitioning out of the classroom.Design/methodology/approachDrawing on the conceptual framework of emergent storytelling and a recursive thematic analysis of videos and comments posted to the #teacherquittok hashtag on TikTok, this study examines how teachers are using social media to share their experiences of exiting the classroom.FindingsThe authors find that teachers used TikTok to share personal accounts that form a meta-narrative that provides context to their decisions to leave, share stories of loss and gain through negotiating the transition out of the classroom and finally debate the implications for preservice teachers. The authors discuss key takeaways for rethinking teacher support, teacher education and the role of social media in teachers' professional lives.Originality/valueWhile many studies seek to understand teacher attrition, this work examines how teachers' stories shared on social media may be shaping attrition into an increasingly networked and narrated act.</t>
  </si>
  <si>
    <t>[Barber, Chelsey] Columbia Univ, Teachers Coll, English Educ Dept, New York, NY 10027 USA; [Literat, Ioana] Columbia Univ, Teachers Coll, Dept Commun Media &amp; Learning Technol Design, New York, NY USA</t>
  </si>
  <si>
    <t>Columbia University; Columbia University Teachers College; Columbia University; Columbia University Teachers College</t>
  </si>
  <si>
    <t>Barber, C (corresponding author), Columbia Univ, Teachers Coll, English Educ Dept, New York, NY 10027 USA.</t>
  </si>
  <si>
    <t>cab2323@tc.columbia.edu</t>
  </si>
  <si>
    <t>1175-8708</t>
  </si>
  <si>
    <t>ENGL TEACH-PRACT CRI</t>
  </si>
  <si>
    <t>Eng. Tech-Prat. Crit.</t>
  </si>
  <si>
    <t>AUG 22</t>
  </si>
  <si>
    <t>10.1108/ETPC-05-2023-0049</t>
  </si>
  <si>
    <t>Education &amp; Educational Research; Linguistics; Language &amp; Linguistics</t>
  </si>
  <si>
    <t>Education &amp; Educational Research; Linguistics</t>
  </si>
  <si>
    <t>D1K7C</t>
  </si>
  <si>
    <t>WOS:001142487600001</t>
  </si>
  <si>
    <t>Han, MH; Zhang, XY</t>
  </si>
  <si>
    <t>Williams, I</t>
  </si>
  <si>
    <t>Han, Meihuan; Zhang, Xinyan</t>
  </si>
  <si>
    <t>Prospects for the advancement of the TikTok in the age of 5G communication</t>
  </si>
  <si>
    <t>2020 13TH CMI CONFERENCE ON CYBERSECURITY AND PRIVACY (CMI) - DIGITAL TRANSFORMATION - POTENTIALS AND CHALLENGES(51275)</t>
  </si>
  <si>
    <t>13th CMI Conference on Cybersecurity and Privacy (CMI) - Digital Transformation - Potentials and Challenges</t>
  </si>
  <si>
    <t>NOV 26-27, 2020</t>
  </si>
  <si>
    <t>Aalborg Univ, ELECTR NETWORK</t>
  </si>
  <si>
    <t>Interreg, Balt Sea Reg,IEEE Wireless World Res Forum,DIGINNO,Smart City Cluster</t>
  </si>
  <si>
    <t>Aalborg Univ</t>
  </si>
  <si>
    <t>5G; TikTok; TAM</t>
  </si>
  <si>
    <t>USER ACCEPTANCE; TECHNOLOGY</t>
  </si>
  <si>
    <t>The rise of TikTok has recently lifted a new wave of UGC(User Generated Content) creation, showing a remarkable spread effect at home and abroad. As a 15-second music short video community Targeting younger audiences, TikTok's fragmented content is continually creating commercial value. With the advent of 5G network, the short video will come profound changes. Thus, it is essential to understand what technologies people will accept to help to improve the design, evaluation, and predict user responses to new technologies. This study empirically analyzes how the introduction of technical characteristics, as a diffusion strategy, affects consumers' intention to use. A survey was conducted with 295 people in China, and a revised TAM strategy was used to analyze the acceptability of technology. User adoption behaviours were analyzed rigorously, adding perceived enjoyment, social interactions, perceived risk as parameters of the basic TAM. This study indicates that perceived interactivity is the most important factor determining the user's attitude. Perceived risk has a negative influence on perceived interactivity. Perceived ease of use positively affects perceived usefulness. Perceived enjoyment has a direct impact on the perceived ease of use. On this basis, our result showcases the potential paths of development of social media companies like TikTok in the 5G era. Immersive content creation and realtime interaction will turn into a new development pattern in the TikTok future, such as social interaction in augmented reality. In the meantime, TikTok should also pay attention to protecting users' privacy to reduce users' concerns about the risk of new technology.</t>
  </si>
  <si>
    <t>[Han, Meihuan; Zhang, Xinyan] Tsinghua Univ, Dept Open FIESTA, SIGS, Beijing, Peoples R China</t>
  </si>
  <si>
    <t>Han, MH (corresponding author), Tsinghua Univ, Dept Open FIESTA, SIGS, Beijing, Peoples R China.</t>
  </si>
  <si>
    <t>hmh19@mails.tsinghua.edu.cn; zhangxy19@mails.tsinghua.edu.cn</t>
  </si>
  <si>
    <t>978-1-7281-9056-3</t>
  </si>
  <si>
    <t>10.1109/CMI51275.2020.9322720</t>
  </si>
  <si>
    <t>Computer Science, Artificial Intelligence; Computer Science, Cybernetics; Computer Science, Information Systems; Computer Science, Software Engineering</t>
  </si>
  <si>
    <t>BT5VG</t>
  </si>
  <si>
    <t>WOS:000838627200011</t>
  </si>
  <si>
    <t>[Anonymous]</t>
  </si>
  <si>
    <t>TikTok Schlock</t>
  </si>
  <si>
    <t>APPALACHIAN JOURNAL</t>
  </si>
  <si>
    <t>APPALACHIAN STATE UNIV</t>
  </si>
  <si>
    <t>BOONE</t>
  </si>
  <si>
    <t>BELK LIBRARY, BOX 32026, BOONE, NC 28608 USA</t>
  </si>
  <si>
    <t>0090-3779</t>
  </si>
  <si>
    <t>APPALACHIAN J</t>
  </si>
  <si>
    <t>Appalach. J.</t>
  </si>
  <si>
    <t>FAL-WIN</t>
  </si>
  <si>
    <t>1-2</t>
  </si>
  <si>
    <t>History; Literary Reviews</t>
  </si>
  <si>
    <t>History; Literature</t>
  </si>
  <si>
    <t>VO1LF</t>
  </si>
  <si>
    <t>WOS:001314524300013</t>
  </si>
  <si>
    <t>Ask, K; Sihvonen, T</t>
  </si>
  <si>
    <t>Ask, Kristine; Sihvonen, Tanja</t>
  </si>
  <si>
    <t>Horny for Ghost: The Sexualized Remediation of Call of Duty: Modern Warfare II on TikTok</t>
  </si>
  <si>
    <t>GAMES AND CULTURE</t>
  </si>
  <si>
    <t>fandom; remediation; TikTok; gender; games; video; fan art</t>
  </si>
  <si>
    <t>FANDOM</t>
  </si>
  <si>
    <t>After the release of Call of Duty: Modern Warfare II in November 2022, a new, and rather unexpected, following of women and queer fans on TikTok emerged. Centering on the character Simon Ghost Riley, they latched onto the tall, muscular, and masked soldier with soulful eyes. Through fannish creations on TikTok, the game's characters and world was de- and re-constructed as a playful space for romantic and sexual imaginings that challenge the cis-het military masculinity of the series. Based on a 6-month netnography, the article explores the fan remediation of Call of Duty in negotiation with TikTok's affordances. We analyze how new fans positioned themselves against traditional fans through weaponization of fangirl practices, how game mechanics were used in unusual ways to generate audiovisual material, and how some of the complex fan-industry relationships manifested as a response to this unexpected fandom.</t>
  </si>
  <si>
    <t>[Ask, Kristine] Norwegian Univ Sci &amp; Technol, Dept Interdisciplinary Studies Culture, Trondheim, Norway; [Sihvonen, Tanja] Univ Vaasa, Sch Mkt &amp; Commun, Commun Studies, Vaasa, Finland</t>
  </si>
  <si>
    <t>Norwegian University of Science &amp; Technology (NTNU); University of Vaasa</t>
  </si>
  <si>
    <t>Ask, K (corresponding author), Norwegian Univ Sci &amp; Technol, Dept Interdisciplinary Studies Culture, NTNU Dragvoll, Edvard Bulls Veg 1, NO-7491 Trondheim, Norway.</t>
  </si>
  <si>
    <t>Kristine.ask@ntnu.no</t>
  </si>
  <si>
    <t>1555-4120</t>
  </si>
  <si>
    <t>1555-4139</t>
  </si>
  <si>
    <t>GAMES CULT</t>
  </si>
  <si>
    <t>Games Cult.</t>
  </si>
  <si>
    <t>2024 OCT 14</t>
  </si>
  <si>
    <t>10.1177/15554120241288608</t>
  </si>
  <si>
    <t>Cultural Studies; Communication</t>
  </si>
  <si>
    <t>J0R3L</t>
  </si>
  <si>
    <t>WOS:001334226300001</t>
  </si>
  <si>
    <t>Uyumaz, C; Islam, MN</t>
  </si>
  <si>
    <t>Uyumaz, Canan; Islam, Md. Nazmul</t>
  </si>
  <si>
    <t>Navigating digital platforms: a comparative study into Turkish political communication strategies on tiktok and twitch</t>
  </si>
  <si>
    <t>OTORITAS-JURNAL ILMU PEMERINTAHAN</t>
  </si>
  <si>
    <t>new media; political communication; Twitch; TikTok; Turkish Politicians</t>
  </si>
  <si>
    <t>This paper explores the use of new media platforms Twitch and TikTok by Turkish politicians leading up to the Presidential Elections of 2023. The paper focuses on the unique attributes of these platforms and establishes a comparison between the two by a coding scheme. This coding scheme has been constructed based on Cervi et al.'s (2023) methodological framework. It includes four themes: content, frequency, engagement, and interaction. These four themes will be examined through comparative analysis methodology. A selection of twenty TikTok videos for each sample and Twitch stream statistics will be analyzed by the numerical data, dates, and content pattern. To assess the political communication strategies that are applied by politicians, the paper will underline the possible importance of new media platforms in political campaigns. It should be noted that further research in this area is needed and there is also an emerging need to explore the evolving role of Twitch and TikTok in political campaigns.</t>
  </si>
  <si>
    <t>[Uyumaz, Canan; Islam, Md. Nazmul] Ankara Univ, Fac Commun, Dept Media &amp; Commun Studies, Ankara, Turkiye; [Islam, Md. Nazmul] Ankara Yildirim Beyazit Univ, Inst Int Relat &amp; Strateg Res ULİSA, Fac Polit Sci, Dept Polit Sci &amp; Publ Adm, Ankara, Turkiye; [Islam, Md. Nazmul] Ankara Yildirim Beyazit Univ, Inst Int Relat &amp; Strateg Res ULİSA, Turkiye Asia &amp; Indo Pacific Studies TAIPS, Ankara, Turkiye; [Islam, Md. Nazmul] Univ Relig &amp; Denominat, Fac Social Sci Media &amp; Commun, Dept Media Management, Pardisan City, Iran; [Islam, Md. Nazmul] George Mason Univ, Jimmy &amp; Rosalynn Carter Sch Peace &amp; Conflict Resol, Fairfax, VA USA</t>
  </si>
  <si>
    <t>Ankara University; Ankara Yildirim Beyazit University; Ankara Yildirim Beyazit University; George Mason University</t>
  </si>
  <si>
    <t>Uyumaz, C (corresponding author), Ankara Univ, Fac Commun, Dept Media &amp; Commun Studies, Ankara, Turkiye.</t>
  </si>
  <si>
    <t>tcanan.uyumaz@gmail.com</t>
  </si>
  <si>
    <t>ISLAM, MD NAZMUL/GRS-4810-2022</t>
  </si>
  <si>
    <t>Uyumaz, Canan/0000-0003-4123-2900; ISLAM, MD NAZMUL/0000-0002-8660-0415</t>
  </si>
  <si>
    <t>UNIV MUHAMMADIYAH MAKASSAR, FAC SOCIAL &amp; POLITICAL SCIENCES</t>
  </si>
  <si>
    <t>MAKASSAR</t>
  </si>
  <si>
    <t>DEPT GOVERNMENTAL SCIENCE, 5 FL MENARA IQRA, JALAN SULTAN ALAUDDIN 259, MAKASSAR, 90221, INDONESIA</t>
  </si>
  <si>
    <t>2088-3706</t>
  </si>
  <si>
    <t>2502-9320</t>
  </si>
  <si>
    <t>OTORITAS</t>
  </si>
  <si>
    <t>Otoritas</t>
  </si>
  <si>
    <t>10.26618/ojip.v13i3.12912</t>
  </si>
  <si>
    <t>Political Science</t>
  </si>
  <si>
    <t>Government &amp; Law</t>
  </si>
  <si>
    <t>ED5J3</t>
  </si>
  <si>
    <t>WOS:001136989200005</t>
  </si>
  <si>
    <t>Civila, S; Bonilla-del-Rio, M; Aguaded, I</t>
  </si>
  <si>
    <t>Civila, Sabina; Bonilla-del-Rio, Monica; Aguaded, Ignacio</t>
  </si>
  <si>
    <t>Social Media and Otherness: The Case of #Islamterrorism on TikTok</t>
  </si>
  <si>
    <t>POLITICS AND GOVERNANCE</t>
  </si>
  <si>
    <t>Islam; media; prosumers; religion; social media; TikTok</t>
  </si>
  <si>
    <t>ISLAM; COMMUNITIES; FACEBOOK</t>
  </si>
  <si>
    <t>Social media and their participatory characteristics promote the construction of meanings that differ from those emitted by mainstream media outlets, becoming a tool that enables a reconfiguration of the dominant discourses. TikTok offers unique possibilities to confront the neoliberal imaginary and open a space for debate, incorporating political viewpoints and establishing itself as a new communication scenario. Regarding news about jihadism, many researchers have observed that those who practice Islam are classified as a monolithic entity, and this entire religious group is generalized as a threat to modern societies. The main objective of our research is thus to know the discourses used on TikTok to respond to the binomial Islam = terrorism spread by mainstream media and the affordances of this platform used to challenge this miscon-ception. Using the snowball method, a multimodal analysis was conducted by identifying TikTok videos with the hashtags #yihadista, #yihad, and #islamterrorismo (in its English and Spanish versions) to explore the uses of the TikTok platform. The resulting selection criteria included: (a) content related to mainstream media discourses on jihadism, (b) discussion of a topic related to Islam and terrorism, and (c) where the content creator declares him/herself to be a Muslim. In addi-tion, in-depth interviews were conducted to provide an enhanced understanding of how the media promote the need to generate a counter-narrative on TikTok. The results reveal that discourses from Muslims that combat Islam = terrorism dis-courses are constructed within the spiral of the dominant narrative, thus visualizing the negative discourses about Islam.</t>
  </si>
  <si>
    <t>[Civila, Sabina; Bonilla-del-Rio, Monica; Aguaded, Ignacio] Huelva Univ, Dept Educ, Huelva, Spain</t>
  </si>
  <si>
    <t>Civila, S (corresponding author), Huelva Univ, Dept Educ, Huelva, Spain.</t>
  </si>
  <si>
    <t>sabi.civila@dedu.uhu.es</t>
  </si>
  <si>
    <t>Civila, Sabina/HLQ-0798-2023; Bonilla del Río, Mónica/AAH-2297-2020; AGUADED, Ignacio/R-4281-2016</t>
  </si>
  <si>
    <t>BONILLA-DEL-RIO, Monica/0000-0003-2476-8922; AGUADED, Ignacio/0000-0002-0229-1118; CIVILA, Sabina/0000-0001-6059-9893</t>
  </si>
  <si>
    <t>R+D+I Project (2019-2021), entitled Youtubers and Instagrammers: Media Competence in Emerging Prosumers - Spanish Ministry of Science, Innovation, and Universities [RTI2018093303-B-I00]; European Regional Development Fund (ERDF); R+D+I project (2020-2022) entitled Instagramers and Youtubers for the Transmedia Empowerment of the Andalusian Citizenry. Media literacy of the Instatubers - Government of Andalusia in the 2018 call for tenders (Andalusian Plan for Research, Development an [P18-RT-756]</t>
  </si>
  <si>
    <t>R+D+I Project (2019-2021), entitled Youtubers and Instagrammers: Media Competence in Emerging Prosumers - Spanish Ministry of Science, Innovation, and Universities; European Regional Development Fund (ERDF)(European Union (EU)); R+D+I project (2020-2022) entitled Instagramers and Youtubers for the Transmedia Empowerment of the Andalusian Citizenry. Media literacy of the Instatubers - Government of Andalusia in the 2018 call for tenders (Andalusian Plan for Research, Development an</t>
  </si>
  <si>
    <t>This study was supported by the R+D+I Project (2019-2021), entitled Youtubers and Instagrammers: Media Competence in Emerging Prosumers, under code RTI2018-093303-B-I00, financed by the Spanish Ministry of Science, Innovation, and Universities, the European Regional Development Fund (ERDF), and the R+D+I project (2020-2022) entitled Instagramers and Youtubers for the Transmedia Empowerment of the Andalusian Citizenry. Media literacy of the Instatubers, with code P18-RT-756, was financed by the Government of Andalusia in the 2018 call for tenders (Andalusian Plan for Research, Development and Innovation, 2020) and the European Regional Development Fund (ERDF).</t>
  </si>
  <si>
    <t>2183-2463</t>
  </si>
  <si>
    <t>POLITICS GOV</t>
  </si>
  <si>
    <t>Politics Gov.</t>
  </si>
  <si>
    <t>10.17645/pag.v11i2.6299</t>
  </si>
  <si>
    <t>H4II0</t>
  </si>
  <si>
    <t>WOS:000995613200002</t>
  </si>
  <si>
    <t>Bakrie, B; Suwandi; Simanjuntak, L</t>
  </si>
  <si>
    <t>Bakrie, B.; Suwandi; Simanjuntak, L.</t>
  </si>
  <si>
    <t>THE PROSPECT OF INTEGRATED REARING BETWEEN TIKTOK (MULE DUCKS) WITH RICE, FISH AND AZOLLA IN DKI JAKARTA PROVINCE</t>
  </si>
  <si>
    <t>WARTAZOA-BULETIN ILMU PETERNAKAN DAN KESEHATAN HEWAN INDONESIA</t>
  </si>
  <si>
    <t>Indonesian</t>
  </si>
  <si>
    <t>Integrated farming; mule ducks; rice; fish; Azolla</t>
  </si>
  <si>
    <t>The amount of meat-type ducks consumed by people who live in DKI Jakarta area is approximately 5,000 heads/day. Most of these ducks are coming from traditional market or duck collecting areas in Tangerang, Karawang and Bekasi. The meat-type ducks sold in those markets are primarily the young male egg-type ducks, culled laying ducks and male/female Muscovy. Some mule ducks, a crossing between Muscovy and common ducks, are also sold in the market, but only in a small proportion of about 5% of the amount of total ducks sold at one time. An outstanding mule duck has been developed through artificial insemination between male Muscovy with female egg-type duck, which is called as Tiktok. This Tiktok has some advantage than the other meat-type duck, including faster growing, higher meat proportion, lower fat in the meat and has a softer meat texture, this makes Tiktok meat better taste than the meat of the egg-type duck. However, the Tiktok consumes a significant amount of feed, therefore it requires a higher cost for its feed. This paper will discuss a model, which may be used to reduce the cost in rearing the Tiktok so that more benefit could be obtained from various commodities under an integrated farming system. The model that is proposed in this paper is an integrated rearing of the Tiktok with rice and fish with utilization of Azolla (Azolla microphylla), a water plant.</t>
  </si>
  <si>
    <t>[Bakrie, B.; Suwandi] Balai Pengkajian Teknol Pertanian Jakarta, Jl Raya Ragunan 30, Jakarta 12520, Indonesia; [Simanjuntak, L.] PT Usaha Citra Bahari, Sawangan, Depok, Indonesia</t>
  </si>
  <si>
    <t>Bakrie, B (corresponding author), Balai Pengkajian Teknol Pertanian Jakarta, Jl Raya Ragunan 30, Jakarta 12520, Indonesia.</t>
  </si>
  <si>
    <t>Bakrie, Bachtar/HKW-6306-2023; Suwandi, Suwandi/KSM-7162-2024; Bakrie, Bachtar/D-2829-2013</t>
  </si>
  <si>
    <t>Bakrie, Bachtar/0000-0002-2835-3882</t>
  </si>
  <si>
    <t>CENTER ANIMAL SCIENCE RESEARCH &amp; DEVELOPMENT</t>
  </si>
  <si>
    <t>BOGOR</t>
  </si>
  <si>
    <t>JL RAYA PAJAJARAN KAV E-59, BOGOR, 16151, INDONESIA</t>
  </si>
  <si>
    <t>0216-6461</t>
  </si>
  <si>
    <t>2354-6832</t>
  </si>
  <si>
    <t>WARTAZOA</t>
  </si>
  <si>
    <t>Wartazoa</t>
  </si>
  <si>
    <t>Veterinary Sciences</t>
  </si>
  <si>
    <t>VD5UZ</t>
  </si>
  <si>
    <t>WOS:000437137200003</t>
  </si>
  <si>
    <t>Zeng, J; Kaye, DBV</t>
  </si>
  <si>
    <t>Zeng, Jing; Kaye, D. Bondy Valdovinos</t>
  </si>
  <si>
    <t>From content moderation to visibility moderation: A case study of platform governance on TikTok</t>
  </si>
  <si>
    <t>POLICY AND INTERNET</t>
  </si>
  <si>
    <t>platform governance; platforms studies; qualitative; TikTok; visibility moderation</t>
  </si>
  <si>
    <t>TWITTER</t>
  </si>
  <si>
    <t>TikTok, a short-video app featuring video content typically between 15 and 60 s long, has become immensely popular around the world in the last few years. However, the worldwide popularity of TikTok requires the platform to constantly negotiate with the rules, norms and regulatory frameworks of the regions where it operates. Failure to do so has had significant consequences. For example, for content-related reasons, the platform has been (temporarily and permanently) banned in several countries, including India, Indonesia and Pakistan. Moreover, its Chinese ownership and popularity among underage users have made the platform subject to heightened scrutiny and criticism. In this paper, we introduce the notion of visibility moderation, defined as the process through which digital platforms manipulate the reach of user-generated content through algorithmic or regulatory means. We discuss particular measures TikTok implements to shape visibility and issues arising from it. This paper presents findings from interviews with content creators, which takes a user-centric approach to understand their sense-making of and negotiation with TikTok's visibility moderation. Findings from this study also highlight concerns that leave these stakeholders feeling confused, frustrated or powerless, which offer important directions for further research.</t>
  </si>
  <si>
    <t>[Zeng, Jing] Univ Zurich, Zurich, Switzerland; [Kaye, D. Bondy Valdovinos] Queensland Univ Technol, Brisbane, Qld, Australia</t>
  </si>
  <si>
    <t>University of Zurich; Queensland University of Technology (QUT)</t>
  </si>
  <si>
    <t>Zeng, J (corresponding author), Univ Zurich, IKMZ, Andreasstr 15, CH-8050 Zurich, Switzerland.</t>
  </si>
  <si>
    <t>zengjing310@gmail.com</t>
  </si>
  <si>
    <t>Zeng, Jing/0000-0001-5970-7172; Kaye, D. Bondy Valdovinos/0000-0002-9684-2186</t>
  </si>
  <si>
    <t>1944-2866</t>
  </si>
  <si>
    <t>POLICY INTERNET</t>
  </si>
  <si>
    <t>Policy Internet</t>
  </si>
  <si>
    <t>10.1002/poi3.287</t>
  </si>
  <si>
    <t>0E1TI</t>
  </si>
  <si>
    <t>WOS:000758240000001</t>
  </si>
  <si>
    <t>Balcioglu, YS</t>
  </si>
  <si>
    <t>Balcioglu, Yavuz Selim</t>
  </si>
  <si>
    <t>Anxiety management strategies on TikTok: a discourse analysis of collective coping mechanisms</t>
  </si>
  <si>
    <t>JOURNAL OF MENTAL HEALTH</t>
  </si>
  <si>
    <t>Anxiety management; TikTok; social media and mental health; topic modeling; digital health narratives</t>
  </si>
  <si>
    <t>Background: This study investigates the discourse on anxiety management strategies within the TikTok platform, analyzing a substantial dataset of 45,639 comments collected over a year.Aims: The primary aim is to explore the various strategies users employ to manage anxiety, focusing on how these strategies are discussed and shared on TikTok.Methods: A mixed-method approach was utilized, combining Latent Dirichlet Allocation (LDA) for topic modeling with qualitative analysis. This methodology allowed for the identification of nine distinct topics, which were further grouped into three main categories: Self-Empowerment and Coping Strategies, Community Support and Social Connectivity, and Recognizing and Navigating Triggers.Results: The analysis revealed a diverse range of strategies users employ to manage anxiety, spanning personal coping mechanisms, social support networks, and the recognition and mitigation of triggers. These findings underscore TikTok's role as a dynamic space for sharing, exploring, and validating experiences related to anxiety management.Conclusions: TikTok offers unique opportunities for identity construction and community support amidst the challenges of anxiety. However, the study acknowledges limitations, such as potential biases in keyword-based data collection and the complexity of capturing multimodal discourse on the platform. The conclusion emphasizes the need for further refinement of digital mental health platforms, calling for sophisticated algorithmic solutions to enhance user support and content relevance.</t>
  </si>
  <si>
    <t>[Balcioglu, Yavuz Selim] Gebze Tech Univ, Management Informat Syst, Kocaeli, Turkiye</t>
  </si>
  <si>
    <t>Gebze Technical University</t>
  </si>
  <si>
    <t>Balcioglu, YS (corresponding author), Gebze Tech Univ, Management Informat Syst, Kocaeli, Turkiye.</t>
  </si>
  <si>
    <t>ysbalcioglu@gtu.edu.tr</t>
  </si>
  <si>
    <t>Balcioglu, Dr.Yavuz Selim/HTQ-0095-2023</t>
  </si>
  <si>
    <t>balcioglu, yavuz selim/0000-0001-7138-2972</t>
  </si>
  <si>
    <t>0963-8237</t>
  </si>
  <si>
    <t>1360-0567</t>
  </si>
  <si>
    <t>J MENT HEALTH</t>
  </si>
  <si>
    <t>J. Ment. Heal.</t>
  </si>
  <si>
    <t>10.1080/09638237.2024.2390365</t>
  </si>
  <si>
    <t>K1G6T</t>
  </si>
  <si>
    <t>WOS:001293954500001</t>
  </si>
  <si>
    <t>Gapp, D</t>
  </si>
  <si>
    <t>Gapp, DeAnna</t>
  </si>
  <si>
    <t>Using TikTok as an Active Learning Strategy</t>
  </si>
  <si>
    <t>NURSE EDUCATOR</t>
  </si>
  <si>
    <t>[Gapp, DeAnna] Washtenaw Community Coll, Dept Nursing, Ann Arbor, MI 48105 USA</t>
  </si>
  <si>
    <t>Gapp, D (corresponding author), Washtenaw Community Coll, Dept Nursing, Ann Arbor, MI 48105 USA.</t>
  </si>
  <si>
    <t>dgapp@wccnet.edu</t>
  </si>
  <si>
    <t>0363-3624</t>
  </si>
  <si>
    <t>1538-9855</t>
  </si>
  <si>
    <t>NURS EDUC</t>
  </si>
  <si>
    <t>Nurs. Educ.</t>
  </si>
  <si>
    <t>SEP-OCT</t>
  </si>
  <si>
    <t>10.1097/NNE.0000000000001260</t>
  </si>
  <si>
    <t>Nursing</t>
  </si>
  <si>
    <t>3Y5AH</t>
  </si>
  <si>
    <t>WOS:000843737300015</t>
  </si>
  <si>
    <t>Griffiths, S; Harris, EA; Whitehead, G; Angelopoulos, F; Stone, B; Grey, W; Dennis, S</t>
  </si>
  <si>
    <t>Griffiths, Scott; Harris, Emily A.; Whitehead, Grace; Angelopoulos, Felicity; Stone, Ben; Grey, Wesley; Dennis, Simon</t>
  </si>
  <si>
    <t>Does TikTok contribute to eating disorders? A comparison of the TikTok algorithms belonging to individuals with eating disorders versus healthy controls</t>
  </si>
  <si>
    <t>TikTok; Social media; Eating disorders; Body image; Algorithms; Big data</t>
  </si>
  <si>
    <t>SOCIAL MEDIA; VALIDATION; TIME</t>
  </si>
  <si>
    <t>TikTok employs sophisticated algorithms to deliver users increasingly personalised content over time. We investigated the potential for these algorithms to exacerbate eating disorder symptoms by analysing 1.03 million TikTok videos delivered to 42 individuals with eating disorders (76 % anorexia nervosa) and 49 healthy controls over one month. Within this video corpus, we identified four video categories relevant to eating disorder psychopathology: appearance-oriented videos, dieting videos, exercise videos, and toxic eating disorder (akin to pro-anorexia) videos. Multi-level models predicted the likelihood of users' algorithms delivering these videos and the likelihood of users liking (i.e., volitionally engaging with) these videos. Algorithms belonging to users with eating disorders delivered more appearance-oriented (+146 %), dieting (+335 %), exercise (+142 %), and toxic eating disorder videos (+4343 %). Stronger biases in users' algorithms toward these videos were associated with more severe eating disorder symptoms. Whilst users with eating disorders were slightly more likely to like these problematic video categories (e.g., dieting videos: +23 % versus controls), their algorithms were far more likely to deliver these videos in the first place (dieting videos: +335 % versus controls). Our results provide preliminary evidence that the TikTok algorithm might exacerbate eating disorder symptoms via content personalisation processes that are desensitised to volitional user actions (i.e., liking videos).</t>
  </si>
  <si>
    <t>[Griffiths, Scott; Harris, Emily A.; Whitehead, Grace; Angelopoulos, Felicity; Stone, Ben; Grey, Wesley; Dennis, Simon] Univ Melbourne, Melbourne Sch Psychol Sci, Melbourne, VIC, Australia; [Stone, Ben; Dennis, Simon] Unforgettable Me, Melbourne, Australia</t>
  </si>
  <si>
    <t>Griffiths, S (corresponding author), Univ Melbourne, Melbourne Sch Psychol Sci, Melbourne, VIC, Australia.</t>
  </si>
  <si>
    <t>scott.griffiths@unimelb.edu.au</t>
  </si>
  <si>
    <t>National Health and Medi-cal Research Council; Medical Research Future Fund [1179321, 1193738]</t>
  </si>
  <si>
    <t>National Health and Medi-cal Research Council(National Health &amp; Medical Research Council (NHMRC) of Australia); Medical Research Future Fund(Medical Research Future Fund (MRFF))</t>
  </si>
  <si>
    <t>Scott Griffiths receives funding from the National Health and Medi-cal Research Council and the Medical Research Future Fund (grant numbers: 1179321, 1193738) .</t>
  </si>
  <si>
    <t>10.1016/j.bodyim.2024.101807</t>
  </si>
  <si>
    <t>L8B6C</t>
  </si>
  <si>
    <t>WOS:001352923800001</t>
  </si>
  <si>
    <t>Chan, NK; Su, CC; Shore, A</t>
  </si>
  <si>
    <t>Chan, Ngai Keung; Su, Chris Chao; Shore, Alexis</t>
  </si>
  <si>
    <t>Shifting platform values in community guidelines: Examining the evolution of TikTok's governance frameworks</t>
  </si>
  <si>
    <t>Community guidelines; governance frameworks; platform values; platform; TikTok</t>
  </si>
  <si>
    <t>SOCIAL MEDIA; INTERNET GOVERNANCE; PATH DEPENDENCY; CONSTRUCTION; POLITICS; FACEBOOK; POLICY</t>
  </si>
  <si>
    <t>Social media can establish governance frameworks for their users through public-facing documents and policies. Such governance frameworks are value-laden and embody platform values. As a newly dominant platform in the United States, TikTok serves as an exemplary medium to study the evolution of platform values. Based on the iterations of TikTok's Community Guidelines from 2018 to 2022 (N = 25,641), we conducted longitudinal lexical analyses to determine changes in their structure and value salience. Then, through network analysis, we demonstrated how values co-exist by constructing co-occurrence networks. Our results reveal that the lexical complexity and value interconnection of these policies have increased over time. Certain values are more central in the networks than others (e.g. privacy, safety, and fairness), which may be attributed to a public outcry for change. The evolution of TikTok's governance frameworks follows three mechanisms (mediation, reversion, and founding paths) in shaping the core-periphery structures of platform values.</t>
  </si>
  <si>
    <t>[Chan, Ngai Keung] Chinese Univ Hong Kong, Sch Journalism &amp; Commun, Hong Kong, Peoples R China; [Su, Chris Chao] Boston Univ, Emerging Media Studies, Coll Commun, Boston, MA USA; [Shore, Alexis] Boston Univ, Div Emerging Media Studies, Boston, MA USA; [Su, Chris Chao] Boston Univ, Div Emerging Media Studies, 704 Commonwealth Ave,303, Boston, MA 02215 USA</t>
  </si>
  <si>
    <t>Chinese University of Hong Kong; Boston University; Boston University; Boston University</t>
  </si>
  <si>
    <t>Su, CC (corresponding author), Boston Univ, Div Emerging Media Studies, 704 Commonwealth Ave,303, Boston, MA 02215 USA.</t>
  </si>
  <si>
    <t>suchao@bu.edu</t>
  </si>
  <si>
    <t>Chan, Ngai/AAI-2498-2020</t>
  </si>
  <si>
    <t>Chan, Ngai Keung/0000-0002-5848-3098; Ingber, Alexis/0000-0002-8085-2355</t>
  </si>
  <si>
    <t>2023 AUG 1</t>
  </si>
  <si>
    <t>10.1177/14614448231189476</t>
  </si>
  <si>
    <t>N6ZG5</t>
  </si>
  <si>
    <t>WOS:001038463900001</t>
  </si>
  <si>
    <t>Falgoust, G; Winterlind, E; Moon, P; Parker, A; Zinzow, H; Madathil, KC</t>
  </si>
  <si>
    <t>Falgoust, Grace; Winterlind, Emma; Moon, Prachi; Parker, Alden; Zinzow, Heidi; Madathil, Kapil Chalil</t>
  </si>
  <si>
    <t>Applying the uses and gratifications theory to identify motivational factors behind young adult's participation in viral social media challenges on TikTok</t>
  </si>
  <si>
    <t>HUMAN FACTORS IN HEALTHCARE</t>
  </si>
  <si>
    <t>Social media; Motivation; Uses and gratifications; TikTok; Risky behavior</t>
  </si>
  <si>
    <t>COVID-19 INFORMATION; GENERATED MEDIA; INTERNET USES; BEHAVIOR; ENGAGEMENT; TWITTER; BRAIN; DISCREPANCY; TELEVISION; INSTAGRAM</t>
  </si>
  <si>
    <t>Social media usage can impact its users' mental and physical health. In particular, social media challenges, activities performed by an individual or a group that are uploaded to a social networking site to achieve a specific goal, have the potential to encourage and spread positive and negative behavior. We conducted interviews with thirtytwo college students (ages 18-23) and using qualitative analysis grounded in the Uses and Gratifications Theory determined the motivations underlying participation in these challenges on the rapidly growing and unique social media platform TikTok. Six categories consistent with the Uses and Gratifications Theory emerged from this analysis, indicating that individuals use TikTok for 1) entertainment, 2) convenience and utility for widespread communication, 3) increasing social interaction, 4) finding social support, 5) seeking and sharing information, and 6) escaping from everyday life. We discuss how these motivations can be used to minimize the spread of viral self-harm challenges through TikTok.</t>
  </si>
  <si>
    <t>[Falgoust, Grace; Winterlind, Emma; Moon, Prachi; Zinzow, Heidi] Clemson Univ, Dept Psychol, 400-4 Coll Ave, Clemson, SC 29634 USA; [Parker, Alden] Med Univ South Carolina, Div Dev Behav Pediat, Charleston, SC USA; [Madathil, Kapil Chalil] Clemson Univ, Dept Ind &amp; Civil Engn, Clemson, SC USA; [Madathil, Kapil Chalil] Med Univ South Carolina, Coll Med, Dept Publ Hlth Sci, Charleston, SC USA</t>
  </si>
  <si>
    <t>Clemson University; Medical University of South Carolina; Clemson University; Medical University of South Carolina</t>
  </si>
  <si>
    <t>Zinzow, H (corresponding author), Clemson Univ, Dept Psychol, 400-4 Coll Ave, Clemson, SC 29634 USA.</t>
  </si>
  <si>
    <t>hzinzow@clemson.edu</t>
  </si>
  <si>
    <t>Winterlind, Emma/0000-0003-2104-1314</t>
  </si>
  <si>
    <t>National Science Foundation [1832904]</t>
  </si>
  <si>
    <t>This material is based upon work supported by the National Science Foundation under Grant no. 1832904 .</t>
  </si>
  <si>
    <t>2772-5014</t>
  </si>
  <si>
    <t>HUM FACTORS HEALTHC</t>
  </si>
  <si>
    <t>Hum. Factors Healthc.</t>
  </si>
  <si>
    <t>10.1016/j.hfh.2022.100014</t>
  </si>
  <si>
    <t>Health Care Sciences &amp; Services; Ergonomics</t>
  </si>
  <si>
    <t>Health Care Sciences &amp; Services; Engineering</t>
  </si>
  <si>
    <t>J2U1X</t>
  </si>
  <si>
    <t>WOS:001335660300012</t>
  </si>
  <si>
    <t>Bernot, A; Cooney-O'Donoghue, D; Mann, M</t>
  </si>
  <si>
    <t>Bernot, Ausma; Cooney-O'Donoghue, Diarmuid; Mann, Monique</t>
  </si>
  <si>
    <t>Governing Chinese technologies: TikTok, foreign interference, and technological sovereignty</t>
  </si>
  <si>
    <t>TikTok; Foreign interference; Digital sovereignty; Geopolitics; Surveillance</t>
  </si>
  <si>
    <t>TikTok bans have been presented as one solution to threats to national security, data security, foreign interference, child safety, and foreign espionage. In this article we investigate four countries/regions - Australia, the United Kingdom, the United States, and the European Union - that have banned or attempted to govern TikTok, examining the policy and legal bases for such restrictions. Our analysis is conceptually informed by legal and political narrations of foreign interference and technological sovereignty. We approach this with particular attention to countries with existing intelligence and data sharing agreements (i.e. three members of the Five Eyes alliance and the trilateral AUKUS alliance) and the European Union given its regulatory approach to data protection. This research makes significant and timely contributions to the geopolitics of TikTok and foreign interference in an international context. It informs inconsistencies in regulatory and legal approaches relating to foreign interference and data sovereignty, beyond China threat narratives. We argue that the European Union regulation presents an approach that attempts to protect citizens and citizen data rather than attack platforms and governments that challenge Western technological hegemony.</t>
  </si>
  <si>
    <t>[Bernot, Ausma] Griffith Univ, Griffith, Australia; [Cooney-O'Donoghue, Diarmuid] Univ Warwick, Warwick, England; [Mann, Monique] Victoria Univ Wellington, Wellington, New Zealand</t>
  </si>
  <si>
    <t>Griffith University; University of Warwick; Victoria University Wellington</t>
  </si>
  <si>
    <t>Bernot, A (corresponding author), Griffith Univ, Griffith, Australia.</t>
  </si>
  <si>
    <t>a.bernot@griffith.edu.au</t>
  </si>
  <si>
    <t>Bernot, Ausma/HMD-1293-2023</t>
  </si>
  <si>
    <t>Bernot, Ausma/0000-0002-2663-1834</t>
  </si>
  <si>
    <t>10.14763/2024.1.1741</t>
  </si>
  <si>
    <t>KK6R3</t>
  </si>
  <si>
    <t>WOS:001179899600001</t>
  </si>
  <si>
    <t>Foster, J; Baker, J</t>
  </si>
  <si>
    <t>Foster, Jordan; Baker, Jayne</t>
  </si>
  <si>
    <t>Muscles, Makeup, and Femboys: Analyzing TikTok's Radical Masculinities</t>
  </si>
  <si>
    <t>masculinities; sexuality; TikTok; gender; beauty; social media; hybrid masculinities</t>
  </si>
  <si>
    <t>HYBRID MASCULINITIES; PHYSICAL ATTRACTIVENESS; HEGEMONIC MASCULINITY; BODY WORK; MEN; BEAUTY; MEDIA; CONSUMPTION; VISIBILITY; IMAGES</t>
  </si>
  <si>
    <t>News reports and online comments suggest that social media applications like TikTok play an important role in challenging traditional notions of masculinity. Male creators who don jewelry and engage in dance in their videos are emblematic of a broader shift in social and mainstream media toward gender non-conformity. Do these videos represent a movement away from hegemonic ideals? Based on a visual content analysis of 205 TikTok videos across the application's 43 most followed male creators, we examine representations of masculinity on the platform. Drawing on the concept of hybrid masculinity, we find that TikTok creators both challenge and reinforce traditional notions of masculinity, subverting widely recognizable tropes, and gender norms while simultaneously reinforcing the importance of men's muscularity, attractiveness, and sexual bravado. Taken together, our findings contribute to a broader discussion of the role that social media play in reproducing inequality along the lines of gender, race, and sexuality, including how beauty is rewarded symbolically and materially in online spaces.</t>
  </si>
  <si>
    <t>[Foster, Jordan] Univ Toronto, 725 Spadina Ave, Toronto, ON, Canada; [Baker, Jayne] Univ Toronto Mississauga, Mississauga, ON, Canada</t>
  </si>
  <si>
    <t>University of Toronto; University of Toronto; University Toronto Mississauga</t>
  </si>
  <si>
    <t>Foster, J (corresponding author), Univ Toronto, 725 Spadina Ave, Toronto, ON, Canada.</t>
  </si>
  <si>
    <t>jordann.foster@mail.utoronto.ca</t>
  </si>
  <si>
    <t>Foster, Jordan/0000-0001-6902-0737</t>
  </si>
  <si>
    <t>10.1177/20563051221126040</t>
  </si>
  <si>
    <t>4Y1TE</t>
  </si>
  <si>
    <t>WOS:000861313900001</t>
  </si>
  <si>
    <t>Lee, NMY; Hong, YR; Hu, SS; Kirkpatrick, CE; Lee, SKY; Hinnant, A</t>
  </si>
  <si>
    <t>Lee, Namyeon; Hong, Yoorim; Hu, Sisi; Kirkpatrick, Ciera E.; Lee, Sungkyoung; Hinnant, Amanda</t>
  </si>
  <si>
    <t>Exploring the Strategic Use of TikTok for Clinical Trial Recruitment: How audiences' Prior Short-Form Video Usage Influences Persuasive Effects</t>
  </si>
  <si>
    <t>JOURNAL OF HEALTH COMMUNICATION</t>
  </si>
  <si>
    <t>AFRICAN-AMERICAN; COVID-19 INFORMATION; SOURCE CREDIBILITY; SOCIAL MEDIA; PARTICIPATION; BARRIERS; WILLINGNESS; KNOWLEDGE; ATTITUDES; HEALTH</t>
  </si>
  <si>
    <t>Guided by the elaboration likelihood model and framing theory, this study explores the potential of short-form video platforms (e.g. TikTok), for targeted clinical trial recruitment. An online experiment compared doctor vs. peer-led videos addressing logistical or psychological barriers to participation, mimicking common TikTok communication tactics. Results indicate that high (vs. low) TikTok users are more persuaded by recruitment messages, and they exhibit stronger intentions to participate in clinical trials. Although doctor-sourced messages generate greater credibility and a more favorable message attitude, peer-sourced messages may be more effective in increasing participation intention. Lastly, doctor-sourced videos that address logistical barriers and peer-sourced videos that discuss psychological barriers result in higher self-efficacy for clinical trial participation. This study contributes to the growing body of research on new media's role in health communication and provides insights into how to strategically utilize TikTok and other short-form video platforms for clinical trial recruitment.</t>
  </si>
  <si>
    <t>[Lee, Namyeon] Univ North Carolina Pembroke, Dept Mass Commun, Pembroke, NC USA; [Hong, Yoorim; Lee, Sungkyoung] Univ Missouri, Sch Journalism, Strateg Commun, Columbia, MO USA; [Hu, Sisi] Univ Arkansas, Sch Journalism &amp; Strateg Media, Fayetteville, AR USA; [Kirkpatrick, Ciera E.] Univ Nebraska Lincoln, Coll Journalism &amp; Mass Commun, Advertising &amp; Publ Relat, Lincoln, NE USA; [Hinnant, Amanda] Univ Missouri, Sch Journalism, Journalism Studies, Columbia, MO USA; [Lee, Namyeon] Univ North Carolina Pembroke, Dept Mass Commun, Pembroke, NC 28372 USA</t>
  </si>
  <si>
    <t>University of North Carolina at Pembroke; University of North Carolina; University of Missouri System; University of Missouri Columbia; University of Arkansas System; University of Arkansas Fayetteville; University of Nebraska System; University of Nebraska Lincoln; University of Missouri System; University of Missouri Columbia; University of North Carolina at Pembroke; University of North Carolina</t>
  </si>
  <si>
    <t>Lee, NMY (corresponding author), Univ North Carolina Pembroke, Dept Mass Commun, Pembroke, NC 28372 USA.</t>
  </si>
  <si>
    <t>nlee@uncp.edu</t>
  </si>
  <si>
    <t>Kirkpatrick, Ciera/GOG-8671-2022; Hu, Sisi/IQX-1899-2023; Lee, Namyeon/ABA-6417-2021</t>
  </si>
  <si>
    <t>Hong, Yoorim/0000-0003-3439-6608; Hu, Sisi/0000-0002-2192-0514; Hinnant, Amanda/0000-0002-9180-6848; Kirkpatrick, Ciera/0000-0002-2598-753X; Lee, Sungkyoung/0000-0002-9769-3063; Lee, Namyeon/0000-0002-1771-0311</t>
  </si>
  <si>
    <t>University of Missouri Research Council [URC-21-030]</t>
  </si>
  <si>
    <t>University of Missouri Research Council</t>
  </si>
  <si>
    <t>The work was supported by the University of Missouri Research Council [URC-21-030].</t>
  </si>
  <si>
    <t>1081-0730</t>
  </si>
  <si>
    <t>1087-0415</t>
  </si>
  <si>
    <t>J HEALTH COMMUN</t>
  </si>
  <si>
    <t>J. Health Commun.</t>
  </si>
  <si>
    <t>10.1080/10810730.2024.2339237</t>
  </si>
  <si>
    <t>OO7X5</t>
  </si>
  <si>
    <t>WOS:001199171000001</t>
  </si>
  <si>
    <t>Li, AY; Xing, QQ; Zhang, Y; Zhan, WD; Zhu, SB; Lou, LB; Jiang, C; Guo, ZZ; Sun, H</t>
  </si>
  <si>
    <t>Li, Aoying; Xing, Qiqiang; Zhang, Yu; Zhan, Wanda; Zhu, Sibo; Lou, Linbing; Jiang, Chuan; Guo, Zhenzhen; Sun, Hao</t>
  </si>
  <si>
    <t>Evaluation of the information quality related to osteoporosis on TikTok</t>
  </si>
  <si>
    <t>Osteoporosis; Information quality; Social media; TikTok; Internet</t>
  </si>
  <si>
    <t>HEALTH INFORMATION</t>
  </si>
  <si>
    <t>BackgroundOsteoporosis is currently considered the most common bone disease in the world and is characterized by low bone mass, deterioration of the bone tissue microstructure, and decreased bone strength. With the increasing popularity of smartphones and short videos, many patients search for various types of health information through social media, such as short videos. As one of China's short video giants, TikTok has played a significant role in spreading health information. We found that there are many videos about osteoporosis on TikTok; however, the quality of these short videos has not yet been evaluated.ObjectiveThe purpose of this study was to evaluate the information quality of osteoporosis videos on the domestic TikTok platform.MethodsWe retrieved and screened 100 videos about osteoporosis from TikTok, extracted the basic information, encoded the video content, and recorded the source of each video. Two independent raters evaluated the information quality of each video via the DISCERN rating scale.ResultThe videos were divided into three groups according to their source: medical personnel, science communicators, and news media, with medical personnel posting the most videos. The content of the video is divided into 7 groups, namely, disease prevention, disease diagnosis, disease symptoms, disease overview, life-style, drug knowledge, and drug treatment, with the most videos related to disease overview. The average DISCERN score of the videos is 37.69 (SD = 6.78), mainly within the 'poor' (54/100, 54%) and 'appropriate' (43/100, 43%) rating ranges, with overall quality being low. Further analysis revealed a positive correlation between the number of shares, comments, likes, and favorites, and a positive correlation between the DISCERN score and the number of shares and favorites.ConclusionThe overall quality of videos concerning osteoporosis on TikTok is lower, but the quality of videos varies significantly across different sources. We should be selective and cautious when watching videos about osteoporosis on TikTok.</t>
  </si>
  <si>
    <t>[Li, Aoying; Zhu, Sibo; Lou, Linbing] Dalian Med Univ, Yangzhou Sch Clin Med, Orthoped Dept, Yangzhou, Peoples R China; [Xing, Qiqiang; Zhang, Yu; Zhan, Wanda; Jiang, Chuan] Yangzhou Univ, Northern Jiangsu Peoples Hosp, Orthoped Dept, Yangzhou, Peoples R China; [Guo, Zhenzhen] Hunan Univ Humanities Sci &amp; Technol, Loudi, Peoples R China; [Sun, Hao] Northern Jiangsu Peoples Hosp Jiangsu Prov, Orthoped Dept, Yangzhou, Peoples R China</t>
  </si>
  <si>
    <t>Dalian Medical University; Yangzhou University; Hunan University Of Humanities, Science &amp; Technology</t>
  </si>
  <si>
    <t>Guo, ZZ (corresponding author), Hunan Univ Humanities Sci &amp; Technol, Loudi, Peoples R China.;Sun, H (corresponding author), Northern Jiangsu Peoples Hosp Jiangsu Prov, Orthoped Dept, Yangzhou, Peoples R China.</t>
  </si>
  <si>
    <t>1656253291@qq.com; s1361191533@163.com</t>
  </si>
  <si>
    <t>Hunan Provincal Natural Science Foundation of China</t>
  </si>
  <si>
    <t>We would like to express our sincere gratitude to our participants, who generously shared their time and experiences, which were instrumental in the success of our research.</t>
  </si>
  <si>
    <t>OCT 18</t>
  </si>
  <si>
    <t>10.1186/s12889-024-20375-2</t>
  </si>
  <si>
    <t>J7V9Y</t>
  </si>
  <si>
    <t>WOS:001339114100009</t>
  </si>
  <si>
    <t>Tabakin, AL; Choi, S; Sandozi, A; Aibel, K; Weintraub, MA; Winkler, HA; Shalom, DF; Tam, J; Lee, W</t>
  </si>
  <si>
    <t>Tabakin, Alexandra L.; Choi, Sharon; Sandozi, Arshia; Aibel, Kelli; Weintraub, Michael A.; Winkler, Harvey A.; Shalom, Dara F.; Tam, Justina; Lee, Wai</t>
  </si>
  <si>
    <t>Third-Line Overactive Bladder Therapies on TikTok: What Does the Public Learn?</t>
  </si>
  <si>
    <t>UROGYNECOLOGY</t>
  </si>
  <si>
    <t>Importance Millions of people rely on social media platforms, including TikTok, for health-related information. TikTok has not yet been evaluated as an information source for overactive bladder (OAB) third-line therapies. Objectives Our aim was to assess TikTok videos on third-line therapies for OAB for misinformation and quality. Study Design In this cross-sectional analysis, we abstracted the top 50 TikTok videos for keywords: Axonics, sacral neuromodulation, Interstim, PTNS, posterior tibial nerve stimulation, and bladder Botox. Videos were scored for quality by 3 independent reviewers using the Medical Quality Video Evaluation Tool (MQ-VET). Two reviewers determined if videos contained misinformation. Results Of 300 videos screened, 119 videos were included. Twenty-four (21%) were created by medical professionals (MPs). Medical professional videos were more frequently shared (5 vs 1, P &lt; 0.01) but had similar views, likes, comments, and length. Although MP videos had significantly higher MQ-VET scores (43 vs 27, P &lt; 0.01), there was no difference in the rate of misinformation between MP and non-MP videos (21% vs 18%). Twenty-two videos (18.4%) contained misinformation, which were 3 times longer (50.5 vs 15 seconds, P &lt; 0.01) and had higher MQ-VET scores (34.5 vs 27, P = 0.03) than those without misinformation. Common themes of misinformation pertained to therapy indication, mechanism of action, and patient limitations after undergoing therapy. Conclusions Many TikTok videos on OAB third-line therapies contain misinformation. Most of these videos were not of high quality and created by the public. Medical professionals should be aware of misinformation permeating TikTok, given its large audience, and aim to promote or offer educational material of better accuracy and quality.</t>
  </si>
  <si>
    <t>[Tabakin, Alexandra L.; Aibel, Kelli; Winkler, Harvey A.; Shalom, Dara F.] Donald &amp; Barbara Zucker Sch Med Hofstra Northwell, Manhasset, NY 11549 USA; [Choi, Sharon; Lee, Wai] Northwell Hlth, Smith Inst Urol, New Hyde Pk, NY USA; [Sandozi, Arshia] Maimonides Hosp, Dept Urol, Brooklyn, NY USA; [Weintraub, Michael A.] NYU, Dept Endocrinol, New York, NY USA; [Tam, Justina] Stony Brook Univ Hosp, Dept Urol, Stony Brook, NY USA</t>
  </si>
  <si>
    <t>Northwell Health; Northwell Health; Maimonides Medical Center; New York University; State University of New York (SUNY) System; Stony Brook University; Stony Brook University Hospital</t>
  </si>
  <si>
    <t>Tabakin, AL (corresponding author), Donald &amp; Barbara Zucker Sch Med Hofstra Northwell, Manhasset, NY 11549 USA.</t>
  </si>
  <si>
    <t>allietabakin@gmail.com; schoi19@northwell.edu; a.sandozi@gmail.com; kelliaibel@gmail.com; weintraubm@gmail.com; hwinkler@northwell.edu; dshalom@northwell.edu; justina.tam@gmail.com; wlee27@northwell.edu</t>
  </si>
  <si>
    <t>2771-1897</t>
  </si>
  <si>
    <t>Urogynecol.</t>
  </si>
  <si>
    <t>10.1097/SPV.0000000000001431</t>
  </si>
  <si>
    <t>SI4A9</t>
  </si>
  <si>
    <t>WOS:001233800800002</t>
  </si>
  <si>
    <t>Martínez-Fresneda, H; Correa, LZ</t>
  </si>
  <si>
    <t>Martinez-Fresneda, Humberto; Correa, Laura Zazo</t>
  </si>
  <si>
    <t>Study of the profiles on TikTok of El Mundo, El País, ac2alityespanol and La Wikly to analyze the informative opportunities of this social network for the young audience</t>
  </si>
  <si>
    <t>REVISTA LATINA DE COMUNICACION SOCIAL</t>
  </si>
  <si>
    <t>Information; Youth; Media; Comunication; Social-networks; Journalism; TikTok</t>
  </si>
  <si>
    <t>Introduction: This research addresses the informative use of TikTok, one of the social networks that has grown the most in number of users in 2023. Its display formula causes rapid and direct consumption, which means the viralization of its contents. This has caused the media to start working on the possibilities it has as an informative support. Methodology: In the first place, a descriptive study has been chosen through a survey with a non-probabilistic sample to find out the consumption habits of young people. And, secondly, we have carried out a content analysis of four TikTok profiles directly related to the dissemination of news: El Mundo, El Pais, ac2alityespanol and La Wikly. Results: 36% use this network for information and the majority of those surveyed appreciate that the profile belongs to a young person. We also highlight that 89% affirm that TikTok is an adequate medium for transmitting information with medium credibility, with the brevity and immediacy of the message being the characteristic that they consider best defines this platform. It should be noted that most view TikTok as a network for entertainment. Discussion and conclusions: A large percentage of young people use TikTok for information and they do so both through native media profiles and traditional media. Regarding the content, it is observed that the specific production is much higher in the traditional media and, in both types of profiles, the main content that is addressed is information of an international nature.</t>
  </si>
  <si>
    <t>[Martinez-Fresneda, Humberto] Univ Francisco Vitoria, Fac Ciencias Comunicac, Tecnol Informac, Madrid, Spain; [Correa, Laura Zazo] Univ Francisco Vitoria, Redacc Periodist &amp; Actual &amp; Area Periodismo Multim, Madrid, Spain</t>
  </si>
  <si>
    <t>Universidad Francisco de Vitoria; Universidad Francisco de Vitoria</t>
  </si>
  <si>
    <t>Martínez-Fresneda, H (corresponding author), Univ Francisco Vitoria, Fac Ciencias Comunicac, Tecnol Informac, Madrid, Spain.</t>
  </si>
  <si>
    <t>h.fresneda@ufv.es; l.zazo.prof@ufv.es</t>
  </si>
  <si>
    <t>Historia Sistemas Informativos -HISIN</t>
  </si>
  <si>
    <t>Madrid</t>
  </si>
  <si>
    <t>C/ Cine, 38, Bajo Derecha, Madrid, SPAIN</t>
  </si>
  <si>
    <t>1138-5820</t>
  </si>
  <si>
    <t>REV LAT COMUN SOC</t>
  </si>
  <si>
    <t>Rev. Lat. Comun. Soc.</t>
  </si>
  <si>
    <t>10.4185/rlcs-2024-2180</t>
  </si>
  <si>
    <t>GP1A5</t>
  </si>
  <si>
    <t>WOS:001153768700001</t>
  </si>
  <si>
    <t>Bach, P</t>
  </si>
  <si>
    <t>Bach, Parker</t>
  </si>
  <si>
    <t>TikTok: Creativity and Culture in Short Video</t>
  </si>
  <si>
    <t>Book Review</t>
  </si>
  <si>
    <t>[Bach, Parker] Univ North Carolina Chapel Hill, Chapel Hill, NC 27599 USA</t>
  </si>
  <si>
    <t>University of North Carolina; University of North Carolina Chapel Hill; University of North Carolina School of Medicine</t>
  </si>
  <si>
    <t>Bach, P (corresponding author), Univ North Carolina Chapel Hill, Chapel Hill, NC 27599 USA.</t>
  </si>
  <si>
    <t>pbach@unc.edu</t>
  </si>
  <si>
    <t>Bach, Parker/KHD-5411-2024</t>
  </si>
  <si>
    <t>G5ZW8</t>
  </si>
  <si>
    <t>WOS:000989946400103</t>
  </si>
  <si>
    <t>Identity Modulation on TikTok: The Case of a Lesbian Cowboy</t>
  </si>
  <si>
    <t>CANADIAN JOURNAL OF COMMUNICATION</t>
  </si>
  <si>
    <t>TikTok; social media; self-representation; lesbian; sexual identity; LGBTQ+; digital platform</t>
  </si>
  <si>
    <t>SOCIAL MEDIA; QUEER; PRIVACY; YOUTH</t>
  </si>
  <si>
    <t>Background: LGBTQ+ people have long used digital media for self-representation but platforms present specific affordances and constraints for sexual identity expression.Analysis: This article applies the identity modulation framework to TikTok and the account of a user whose representation of lesbian identity is prominent.Conclusions and implications: While TikTok allows users to control their personal identifiability, it incentivizes them toward a far reach. The platform's algorithm favours posts with a high salience of sexual identity, though only within the bounds of TikTok's vague policies on acceptable self-expression. This case study illustrates how one user navigates these platform dynamics. Contexte : Depuis longtemps, les personnes LGBTQ+ ont recours aux m &amp; eacute;dias num &amp; eacute;riques pour se repr &amp; eacute;senter, mais les plateformes imposent des affordances et contraintes sp &amp; eacute;cifiques sur l'expression de leur identit &amp; eacute; sexuelle.Analyse : Cet article applique un cadre de modulation identitaire &amp; agrave; TikTok ainsi qu'au compte d'une utilisatrice qui met l'accent sur ses repr &amp; eacute;sentations de l'identit &amp; eacute; lesbienne.Conclusions et implications : La plateforme TikTok, m &amp; ecirc;me si elle permet &amp; agrave; ses utilisateurs de contr &amp; ocirc;ler leur identit &amp; eacute; personnelle, encourage ceux-ci &amp; agrave; maximiser leur port &amp; eacute;e. Son algorithme favorise les collaborations qui mettent l'identit &amp; eacute; sexuelle en &amp; eacute;vidence, en autant qu'elles soient conformes aux politiques vagues de la plateforme en mati &amp; egrave;re d'expression de soi acceptable. L'&amp; eacute;tude de cas illustre comment une utilisatrice parvient &amp; agrave; g &amp; eacute;rer les dynamiques de cette plateforme.</t>
  </si>
  <si>
    <t>[Duguay, Stefanie] Concordia Univ, Montreal, PQ, Canada</t>
  </si>
  <si>
    <t>Duguay, S (corresponding author), Concordia Univ, Montreal, PQ, Canada.</t>
  </si>
  <si>
    <t>Quebec's Fonds de recherche-Societe et culture [2023-NP-311362]</t>
  </si>
  <si>
    <t>Quebec's Fonds de recherche-Societe et culture</t>
  </si>
  <si>
    <t>This research received funding support from Quebec's Fonds de recherche-Societe et culture, grant number 2023-NP-311362.</t>
  </si>
  <si>
    <t>UNIV TORONTO PRESS INC</t>
  </si>
  <si>
    <t>JOURNALS DIVISION, 5201 DUFFERIN ST, DOWNSVIEW, TORONTO, ON M3H 5T8, CANADA</t>
  </si>
  <si>
    <t>0705-3657</t>
  </si>
  <si>
    <t>1499-6642</t>
  </si>
  <si>
    <t>CAN J COMMUN</t>
  </si>
  <si>
    <t>Can. J. Commun.</t>
  </si>
  <si>
    <t>AUG 1</t>
  </si>
  <si>
    <t>10.3138/cjc-2023-0030</t>
  </si>
  <si>
    <t>H0H7B</t>
  </si>
  <si>
    <t>WOS:001320348100009</t>
  </si>
  <si>
    <t>Garimella, AL; Kerr, B; Hyzer, R; Moreno, M</t>
  </si>
  <si>
    <t>Garimella, Amrutha L.; Kerr, Bradley; Hyzer, Reese; Moreno, Megan</t>
  </si>
  <si>
    <t>HALLUCINOGENS ON TIKTOK</t>
  </si>
  <si>
    <t>[Garimella, Amrutha L.; Hyzer, Reese; Moreno, Megan] Univ Wisconsin, Madison, WI USA</t>
  </si>
  <si>
    <t>University of Wisconsin System; University of Wisconsin Madison</t>
  </si>
  <si>
    <t>University of Wisconsin School of Medicine and Public Health</t>
  </si>
  <si>
    <t>The University of Wisconsin School of Medicine and Public Health provided funding.</t>
  </si>
  <si>
    <t>S96</t>
  </si>
  <si>
    <t>ZS8FU</t>
  </si>
  <si>
    <t>WOS:000768696700181</t>
  </si>
  <si>
    <t>Herrick, SSC; Hallward, L; Duncan, LR</t>
  </si>
  <si>
    <t>Herrick, Shannon S. C.; Hallward, Laura; Duncan, Lindsay R.</t>
  </si>
  <si>
    <t>This is just how I cope: An inductive thematic analysis of eating disorder recovery content created and shared on TikTok using #EDrecovery</t>
  </si>
  <si>
    <t>anorexia nervosa; bulimia nervosa; eating disorders; mobile applications; recovery; social media; social platform</t>
  </si>
  <si>
    <t>BODY-IMAGE; PRO-ANA; ANOREXIA; WEBSITES; ADOLESCENTS; INSTAGRAM; MEDIA; HUMOR</t>
  </si>
  <si>
    <t>Objective To explore eating disorder (ED) recovery-related content created and shared on the social media platform TikTok. Method A systematic review and inductive thematic analysis of 150 TikTok posts catalogued under hashtag (#) EDrecovery. Two coders independently analyzed the posts and a critical peer facilitated discussions about the resulting codes and themes. Results Creators on TikTok used #EDrecovery to share their personal experiences with recovery through the use and cooption of popular (or viral) video formats, succinct storytelling, and the production of educational content. Five themes were interpreted across the data: (a) ED awareness, (b) inpatient story time: ED unit tings, (c) eating in recovery, (d) transformations: how about a weight gain glow up?, and (e) trendy gallows humor: let's confuse people who have a good relationship with food. Discussion TikTok as a user-friendly, creative media may provide the artistic and social tools for some creators to add their distinct voice to the ED recovery narrative and foster some semblance of community. Although all of the analyzed content was catalogued under #EDrecovery, some of the posts reified the increasingly blurred boundary that exists between ED recovery and pro-ED content on TikTok.</t>
  </si>
  <si>
    <t>[Herrick, Shannon S. C.; Hallward, Laura; Duncan, Lindsay R.] McGill Univ, Dept Kinesiol &amp; Phys Educ, 475 Ave Pins, Montreal, PQ H3A 0G4, Canada</t>
  </si>
  <si>
    <t>McGill University</t>
  </si>
  <si>
    <t>Herrick, SSC (corresponding author), McGill Univ, Dept Kinesiol &amp; Phys Educ, 475 Ave Pins, Montreal, PQ H3A 0G4, Canada.</t>
  </si>
  <si>
    <t>shannon.herrick@mail.mcgill.ca</t>
  </si>
  <si>
    <t>Herrick, Shannon/AHI-1619-2022</t>
  </si>
  <si>
    <t>Hallward, Laura/0000-0001-6500-0878; Herrick, Shannon/0000-0001-5514-2020</t>
  </si>
  <si>
    <t>10.1002/eat.23463</t>
  </si>
  <si>
    <t>RL7PU</t>
  </si>
  <si>
    <t>WOS:000605644700001</t>
  </si>
  <si>
    <t>Feng, M; Binns, S; Emery, S</t>
  </si>
  <si>
    <t>Feng, Miao; Binns, Steven; Emery, Sherry</t>
  </si>
  <si>
    <t>Exploring #MentholBan on TikTok: A Thematic and Semantic Network Analysis</t>
  </si>
  <si>
    <t>NICOTINE &amp; TOBACCO RESEARCH</t>
  </si>
  <si>
    <t>SMOKING; POLICY</t>
  </si>
  <si>
    <t>Introduction In April 2021, the U.S. Food and Drug Administration (FDA) announced its intention to ban the sale of menthol cigarettes and cigars. Decades of research support the premise that a menthol ban will reduce initiation and disparities in tobacco-related disease among menthol smokers. The tobacco industry opposed such a policy and worked for decades to shape public opposition. Social media discourse can inform our understanding of public opinion about the proposed ban and guide communication strategies and policy implementation.Aims and Methods This research employed a mixed-methods design to explore TikTok posts discussing the announced menthol ban. Using a TikTok web scraper to extract all content in the #mentholban hashtag (n = 171), we coded for 11 themes, characterized content with descriptive statistics, and created a semantic network of co-occurring hashtags.Results We found primarily negative attitudes towards the U.S. ban announcement and a large volume of menthol hacks to circumvent the bans. Our semantic network analysis revealed strong co-occurrences between #mentholban and popularity-seeking hashtags. The metadata associated with each TikTok demonstrated that most posters in #mentholban are not influencers in the sense of having many followers, aside from a few niche organizations with multiple posts. We found that perceived political and racial motivations shaped posters' assessments of the menthol ban. Furthermore, we uncovered how individuals and organizational actors shaped menthol ban content on TikTok.Conclusions Our study indicates targeted marketing from alternative menthol product companies and advocacy organizations. The latter of these organizations is more likely to saturate the TikTok landscape with multiple posts and strategic hashtags.Implications This study pursued an exploration of tobacco policy discussion on TikTok, specifically related to the FDA-proposed menthol ban. TikTok is a newer platform and our study provides early evidence of policy discussion emerging there, including the types of accounts creating the content and their valence toward the policy.</t>
  </si>
  <si>
    <t>[Feng, Miao; Binns, Steven; Emery, Sherry] Univ Chicago, Social Data Collaboratory, Publ Hlth, NORC, Chicago, IL 60603 USA</t>
  </si>
  <si>
    <t>University of Chicago</t>
  </si>
  <si>
    <t>Feng, M (corresponding author), Univ Chicago, Social Data Collaboratory, Publ Hlth, NORC, Chicago, IL 60603 USA.</t>
  </si>
  <si>
    <t>feng-miao@norc.org</t>
  </si>
  <si>
    <t>Binns, Steven/0000-0001-8573-107X</t>
  </si>
  <si>
    <t>NORC at the University of Chicago</t>
  </si>
  <si>
    <t>This research was fully funded by NORC at the University of Chicago.</t>
  </si>
  <si>
    <t>OXFORD UNIV PRESS</t>
  </si>
  <si>
    <t>GREAT CLARENDON ST, OXFORD OX2 6DP, ENGLAND</t>
  </si>
  <si>
    <t>1462-2203</t>
  </si>
  <si>
    <t>1469-994X</t>
  </si>
  <si>
    <t>NICOTINE TOB RES</t>
  </si>
  <si>
    <t>Nicotine Tob. Res.</t>
  </si>
  <si>
    <t>MAR 12</t>
  </si>
  <si>
    <t>10.1093/ntr/ntae036</t>
  </si>
  <si>
    <t>Substance Abuse; Public, Environmental &amp; Occupational Health</t>
  </si>
  <si>
    <t>ZC5U8</t>
  </si>
  <si>
    <t>WOS:001180416800001</t>
  </si>
  <si>
    <t>Zhao, XY; Abidin, C</t>
  </si>
  <si>
    <t>Zhao, Xinyu; Abidin, Crystal</t>
  </si>
  <si>
    <t>The Fox Eye Challenge Trend: Anti-Racism Work, Platform Affordances, and the Vernacular of Gesticular Activism on TikTok</t>
  </si>
  <si>
    <t>TikTok; anti-racism; Asian; activism; Fox Eye trend; hashtags</t>
  </si>
  <si>
    <t>SOCIAL MEDIA; COLLECTIVE ACTION; VISIBILITY; HASHTAG; COMMUNICATION; INTERNET; TWITTER; PROTEST; IMAGES</t>
  </si>
  <si>
    <t>This article takes the Fox Eye challenge that trended on social media in 2020 as a case study in anti-racism activism by (East) Asian users on TikTok. The Fox Eye challenge was a trend in which both celebrities and ordinary users-often predominantly White women-posted photos and short videos on how to wear specific styles of make-up to achieve almond-shaped eyes or fox eyes. This was often accompanied with a migraine pose where a user pushes their index and middle fingers up against the temples on both sides of their head to lift the corners of their upper eyelids, and was colloquially referred to as a Chinese or oriental look. In response, (East) Asian users on TikTok called out the historically racist undertones of this seemingly superficial trend, using the features and affordances of the platform to produce everyday, nonheroic forms of digital activism, as an act of civic engagement and activist campaigning. Building on the scholarship on digital activism, we consider how TikTok has emerged as an alternative activist space for young people, specifically as it services users as a video production and sharing app. We specifically focus on the audiovisual aesthetics of the TikTok narratives in the counter-Fox Eye trend campaign, wherein the strategic and templatable deployments of vernacular TikTok aesthetics-curated image selections, creative uses of sound and audio memes, specific renders of visual filters and effects-play a central role in giving meaning to the online activist narratives created. This has given rise to platformed activism in the TikTok vernacular that we term gesticular activism, which focuses on the generation of visibility and virality as awareness-building and consciousness-raising tactics.</t>
  </si>
  <si>
    <t>[Zhao, Xinyu] Deakin Univ, Geelong, Australia; [Abidin, Crystal] Curtin Univ, Perth, Australia; [Zhao, Xinyu] Deakin Univ, 221 Burwood Hwy, Burwood, Vic 3125, Australia</t>
  </si>
  <si>
    <t>Deakin University; Curtin University; Deakin University</t>
  </si>
  <si>
    <t>Zhao, XY (corresponding author), Deakin Univ, 221 Burwood Hwy, Burwood, Vic 3125, Australia.</t>
  </si>
  <si>
    <t>xinyu.zhao@deakin.edu.au</t>
  </si>
  <si>
    <t>Abidin, Crystal/0000-0002-5346-6977; Zhao, Xinyu/0000-0003-2703-2427</t>
  </si>
  <si>
    <t>10.1177/20563051231157590</t>
  </si>
  <si>
    <t>9J0XS</t>
  </si>
  <si>
    <t>WOS:000939921700001</t>
  </si>
  <si>
    <t>Lian, JW; Li, XY; Zhao, MY; Zhao, YX; Zhu, QH</t>
  </si>
  <si>
    <t>Gao, Q; Zhou, J; Duffy, VG; Antona, M; Stephanidis, C</t>
  </si>
  <si>
    <t>Lian, Jingwen; Li, Xinyue; Zhao, Mengyuan; Zhao, Yuxiang (Chris); Zhu, Qinghua</t>
  </si>
  <si>
    <t>Older Adults' Engagement with Short Video Applications During the COVID-19 Pandemic: Perceived Affordances and Constraints</t>
  </si>
  <si>
    <t>HCI INTERNATIONAL 2023 LATE BREAKING PAPERS, HCII 2023, PT II</t>
  </si>
  <si>
    <t>Lecture Notes in Computer Science</t>
  </si>
  <si>
    <t>25th International Conference on Human-Computer Interaction (HCI International)</t>
  </si>
  <si>
    <t>JUL 23-28, 2023</t>
  </si>
  <si>
    <t>Copenhagen, DENMARK</t>
  </si>
  <si>
    <t>COVID-19; Older Adults; Perceived Affordances; Perceived Constraints; Short Video Applications</t>
  </si>
  <si>
    <t>SOCIAL MEDIA; TECHNOLOGIES; CONSUMERS; BEHAVIOR; NEEDS</t>
  </si>
  <si>
    <t>The spread and proliferation of short video applications (like TikTok) equip older adults more opportunities to obtain information and pleasure, especially in the COVID-19 pandemic. However, research on the use of TikTok among older adults is limited. In this exploratory study, we conducted interviews and onsite observations with 11 older adults aged 50 years or older who had experience using TikTok. This study explored the experience of TikTok's specific features for older adults from a need-affordance-features perspective, including the needs met and challenges encountered by older users. The findings show that older users' perceptions of the affordances provided by TikTok can be divided into two categories of egocentric affordance and allocentric affordance, totaling nine. We also identified three perceived constraints, including user interface design, privacy and security, and operability. The study extends the understanding of social media affordances from the perspective of older adults and also provides practical insights for the design and service improvement of short video applications.</t>
  </si>
  <si>
    <t>[Lian, Jingwen; Li, Xinyue; Zhu, Qinghua] Nanjing Univ, Sch Informat Management, Nanjing 210023, Peoples R China; [Zhao, Mengyuan] Fudan Univ Lib, Shanghai 200433, Peoples R China; [Zhao, Yuxiang (Chris)] Nanjing Univ Sci &amp; Technol, Sch Econ &amp; Management, Nanjing 210094, Peoples R China</t>
  </si>
  <si>
    <t>Nanjing University; Fudan University; Nanjing University of Science &amp; Technology</t>
  </si>
  <si>
    <t>Lian, JW (corresponding author), Nanjing Univ, Sch Informat Management, Nanjing 210023, Peoples R China.</t>
  </si>
  <si>
    <t>jwlian@smail.nju.edu.cn</t>
  </si>
  <si>
    <t>Zhao, Yuxiang/AFN-0341-2022</t>
  </si>
  <si>
    <t>Lian, Jingwen/0000-0002-8638-5348; Zhao, Yuxiang (Chris)/0000-0001-9281-3030</t>
  </si>
  <si>
    <t>Key Projects of the National Social Science Foundation of China [22ZD327]</t>
  </si>
  <si>
    <t>Key Projects of the National Social Science Foundation of China(National Office of Philosophy and Social Sciences)</t>
  </si>
  <si>
    <t>This work was funded by the Key Projects of the National Social Science Foundation of China under Grant (No. 22&amp;ZD327).</t>
  </si>
  <si>
    <t>0302-9743</t>
  </si>
  <si>
    <t>1611-3349</t>
  </si>
  <si>
    <t>978-3-031-48040-9; 978-3-031-48041-6</t>
  </si>
  <si>
    <t>LECT NOTES COMPUT SC</t>
  </si>
  <si>
    <t>10.1007/978-3-031-48041-6_7</t>
  </si>
  <si>
    <t>Computer Science, Information Systems; Computer Science, Interdisciplinary Applications</t>
  </si>
  <si>
    <t>BW5FB</t>
  </si>
  <si>
    <t>WOS:001159651200007</t>
  </si>
  <si>
    <t>Sanz, AM</t>
  </si>
  <si>
    <t>Martin Sanz, Alvaro</t>
  </si>
  <si>
    <t>YO CREO QUE EL GRECO SE ESTA 'HASIENDO' LA 'VISTIMA'. TRANSMEDIA AND TIKTOK STORYTELLING AT THE PRADO MUSEUM</t>
  </si>
  <si>
    <t>Objectives: the article seeks to analyze the strategy employed by the Museo del Prado to each new audiences through its TikTok profile. Methodology: a double methodology is proposed: on the one hand quantitative, based on the technique of Social Network Analysis (SNA) to measure relationships and flows in the interactions and metrics of users of social networks, and on the other hand qualitative, based on a content analysis of the various videos that the Museo del Prado has uploaded to its TikTok profile. Results: as a result of the quantitative analysis, we discovered that the Museo del Prado's TikTok profile is one of the largest museum profiles in the world, with several viral videos and hundreds of thousands of interactions. In turn, the qualitative analysis shows us a series of characteristics shared by the profile's videos that can be synthesized into three parameters: pedagogical content, informal tone and images recognizable to the public. Finally, it is revealed that TikTok's profile follows the strategy of displaying that which is hidden in the museum's exhibitions.</t>
  </si>
  <si>
    <t>[Martin Sanz, Alvaro] Univ Valladolid, Valladolid, Spain</t>
  </si>
  <si>
    <t>Universidad de Valladolid</t>
  </si>
  <si>
    <t>Sanz, AM (corresponding author), Univ Valladolid, Valladolid, Spain.</t>
  </si>
  <si>
    <t>alvaro.martin.sanz@uva.es</t>
  </si>
  <si>
    <t>Martín Sanz, Álvaro/AID-3912-2022</t>
  </si>
  <si>
    <t>Martin Sanz, Alvaro/0000-0002-8327-9830</t>
  </si>
  <si>
    <t>10.1344/BiD2022.48.19</t>
  </si>
  <si>
    <t>2H1FP</t>
  </si>
  <si>
    <t>WOS:000814043300001</t>
  </si>
  <si>
    <t>Neira, JIM; Trillo-DomínguezOMiNGUEz, M; Olvera-Lobo, MD</t>
  </si>
  <si>
    <t>Neira, Juan Ignacio Martin; Trillo-DominguezOMiNGUEz, Magdalena; Olvera-Lobo, Maria-Dolores</t>
  </si>
  <si>
    <t>From TV to TikTok: New audiovisual formats to communicate about science</t>
  </si>
  <si>
    <t>Transmedia storytelling; audiovisual; science journalism; social media; TikTok</t>
  </si>
  <si>
    <t>TELEVISION; THINKING; VIDEOS; SPAIN</t>
  </si>
  <si>
    <t>This paper shows how ten television news programs use TikTok to disseminate science news, analyzing how the platform's own language is applied. Through the application of an evaluation checklist, the adaptation of television content is analyzed and the audiovisual opportunities offered by this social network are assessed. The results show that short videos produce greater interaction with users and that news channel profiles are not sufficiently taking advantage of the particular language that this social network allows.</t>
  </si>
  <si>
    <t>[Neira, Juan Ignacio Martin; Trillo-DominguezOMiNGUEz, Magdalena; Olvera-Lobo, Maria-Dolores] Univ Granada, Granada, Spain</t>
  </si>
  <si>
    <t>University of Granada</t>
  </si>
  <si>
    <t>Neira, JIM (corresponding author), Univ Granada, Granada, Spain.</t>
  </si>
  <si>
    <t>jmartinne@correo.ugr.es; mtrillo@ugr.es; molvera@ugr.es</t>
  </si>
  <si>
    <t>Domínguez, Magdalena/B-6736-2017; Martin-Neira, Juan-Ignacio/HLQ-5957-2023</t>
  </si>
  <si>
    <t>Martin Neira, Juan Ignacio/0000-0001-9754-1177; Trillo Dominguez, Magdalena/0000-0003-0647-2781; Olvera-Lobo, Maria-Dolores/0000-0002-0489-7674</t>
  </si>
  <si>
    <t>e8441</t>
  </si>
  <si>
    <t>10.32870/cys.v2023.8441</t>
  </si>
  <si>
    <t>EE7Q1</t>
  </si>
  <si>
    <t>WOS:001137312600015</t>
  </si>
  <si>
    <t>Jackson, AA; Fertel, S; Garcia, AN; Mikhail, E; Propst, K</t>
  </si>
  <si>
    <t>Jackson, A. A.; Fertel, S.; Garcia, A. N.; Mikhail, E.; Propst, K.</t>
  </si>
  <si>
    <t>Patterns of tiktok use in gynecology</t>
  </si>
  <si>
    <t>AMERICAN JOURNAL OF OBSTETRICS AND GYNECOLOGY</t>
  </si>
  <si>
    <t>49th Annual Scientific Meeting of Society of Gynecologic Surgeons (SGS)</t>
  </si>
  <si>
    <t>MAR 19-22, 2023</t>
  </si>
  <si>
    <t>Tucson, AR</t>
  </si>
  <si>
    <t>[Jackson, A. A.; Fertel, S.; Garcia, A. N.; Propst, K.] Univ S Florida, Urogynecol &amp; Reconstruct Pelv Surg, Tampa, FL 33620 USA; [Mikhail, E.] Univ S Florida, Minimally Invas Gynecol Surg, Tampa, FL 33620 USA</t>
  </si>
  <si>
    <t>State University System of Florida; University of South Florida; State University System of Florida; University of South Florida</t>
  </si>
  <si>
    <t>0002-9378</t>
  </si>
  <si>
    <t>1097-6868</t>
  </si>
  <si>
    <t>AM J OBSTET GYNECOL</t>
  </si>
  <si>
    <t>Am. J. Obstet. Gynecol.</t>
  </si>
  <si>
    <t>S847</t>
  </si>
  <si>
    <t>E2QM4</t>
  </si>
  <si>
    <t>WOS:000974044200067</t>
  </si>
  <si>
    <t>Pearson, GDH; Silver, NA; Robinson, JY; Azadi, M; Schillo, BA; Kreslake, JM</t>
  </si>
  <si>
    <t>Pearson, George D. H.; Silver, Nathan A.; Robinson, Jessica Y.; Azadi, Mona; Schillo, Barbara A.; Kreslake, Jennifer M.</t>
  </si>
  <si>
    <t>Beyond the margin of error: a systematic and replicable audit of the TikTok research API</t>
  </si>
  <si>
    <t>Social media; API; TikTok; Big Data; data audit</t>
  </si>
  <si>
    <t>The availability of an accurate API is an essential tool for research examining the content and dissemination of messages on large media platforms in the twenty-first century. TikTok launched their research API as part of a commitment to data transparency and a goal of protecting youth and vulnerable populations from harmful content. A systematic audit of TikTok's API for researchers was performed comparing the API versus information displayed on the TikTok website (i.e., front-end), specifically examining metadata engagement (views, likes, shares, and comments) and assessing the availability of videos. Two research teams with unique access accounts separately audited the API in two distinct contexts: tobacco and elections. Results showed significant discrepancies between the front-end and API metadata for data collected before July 2024. Discrepancies were most severe for view counts, where the API regularly returned values multiple orders of magnitude lower than those displayed on the front-end. Significant discrepancies were found for all four engagement metrics in both datasets. Furthermore, publicly available videos were found in the front-end that were not returned by the API, and errors were found in how the API filters results by account usernames. The implications of these issues for researchers and TikTok's efforts to support the research community are discussed.</t>
  </si>
  <si>
    <t>[Pearson, George D. H.; Silver, Nathan A.; Azadi, Mona; Schillo, Barbara A.; Kreslake, Jennifer M.] Truth Initiat, Schroeder Inst, Washington, DC USA; [Robinson, Jessica Y.] Univ Oslo, Dept Media &amp; Commun, Oslo, Norway</t>
  </si>
  <si>
    <t>Pearson, GDH (corresponding author), Truth Initiat, Schroeder Inst, 900 G St,4th Floor, Washington, DC 20001 USA.</t>
  </si>
  <si>
    <t>gpearson@truthinitiative.org</t>
  </si>
  <si>
    <t>Robinson, Jessica/GQP-6891-2022</t>
  </si>
  <si>
    <t>2024 NOV 2</t>
  </si>
  <si>
    <t>10.1080/1369118X.2024.2420032</t>
  </si>
  <si>
    <t>L2V9P</t>
  </si>
  <si>
    <t>WOS:001349359400001</t>
  </si>
  <si>
    <t>Li, YC; Guan, MF; Hammond, PG; Berrey, LE</t>
  </si>
  <si>
    <t>Li, Yachao; Guan, Mengfei; Hammond, Paige; Berrey, Lane E.</t>
  </si>
  <si>
    <t>Communicating COVID-19 information on TikTok: a content analysis of TikTok videos from official accounts featured in the COVID-19 information hub</t>
  </si>
  <si>
    <t>HEALTH EDUCATION RESEARCH</t>
  </si>
  <si>
    <t>HEALTH; HASHTAG</t>
  </si>
  <si>
    <t>Amid the COVID-19 pandemic, TikTok, an emerging social media platform, has created an information hub to provide users with engaging and authoritative COVID-19 information. This study investigates the video format, type and content of the COVID-19 TikTok videos, and how those video attributes are related to quantitative indicators of user engagement, including numbers of views, likes, comments and shares. A content analysis examined 331 videos from official accounts featured in the COVID-19 information hub. As of 5 May 2020, the videos received 907 930 000 views, 29 640 000 likes, 168 880 comments and 781 862 shares. About one in three videos had subtitles, which were positively related to the number of shares. Almost every video included a hashtag, and a higher number of hashtags was related to more likes. Video types included acting, animated infographic, documentary, news, oral speech, pictorial slideshow and TikTok dance. Dance videos had the most shares. Video themes included anti-stigma/anti-rumor, disease knowledge, encouragement, personal precautions, recognition, societal crisis management and work report. Videos conveying alarm/concern emotions, COVID-19 susceptibility and severity, precaution response efficacy had higher user engagement. Public health agencies should be aware of the opportunity of TikTok in health communication and create audience-centered risk communication to engage and inform community members.</t>
  </si>
  <si>
    <t>[Li, Yachao; Hammond, Paige] Coll New Jersey, Dept Commun Studies, 2000 Pennington Rd, Ewing, NJ 08618 USA; [Li, Yachao; Hammond, Paige] Coll New Jersey, Dept Publ Hlth, 2000 Pennington Rd, Ewing, NJ 08618 USA; [Guan, Mengfei; Berrey, Lane E.] Univ Arkansas, Dept Commun, 417 Kimpel Hall, Fayetteville, AR 72701 USA</t>
  </si>
  <si>
    <t>College of New Jersey; College of New Jersey; University of Arkansas System; University of Arkansas Fayetteville</t>
  </si>
  <si>
    <t>Li, YC (corresponding author), Coll New Jersey, Dept Commun Studies, 2000 Pennington Rd, Ewing, NJ 08618 USA.;Li, YC (corresponding author), Coll New Jersey, Dept Publ Hlth, 2000 Pennington Rd, Ewing, NJ 08618 USA.</t>
  </si>
  <si>
    <t>liya@tcnj.edu</t>
  </si>
  <si>
    <t>Guan, Mengfei/AAU-9487-2020; Li, Yachao/GRY-7318-2022</t>
  </si>
  <si>
    <t>Guan, Mengfei/0000-0002-4062-1069; Li, Yachao/0000-0001-8268-1935</t>
  </si>
  <si>
    <t>0268-1153</t>
  </si>
  <si>
    <t>1465-3648</t>
  </si>
  <si>
    <t>HEALTH EDUC RES</t>
  </si>
  <si>
    <t>Health Educ. Res.</t>
  </si>
  <si>
    <t>10.1093/her/cyab010</t>
  </si>
  <si>
    <t>MAR 2021</t>
  </si>
  <si>
    <t>Education &amp; Educational Research; Public, Environmental &amp; Occupational Health</t>
  </si>
  <si>
    <t>TY9UL</t>
  </si>
  <si>
    <t>WOS:000684123000001</t>
  </si>
  <si>
    <t>Verma, S; Sinha, SK</t>
  </si>
  <si>
    <t>Verma, Smita; Sinha, Suman Kumar</t>
  </si>
  <si>
    <t>How evidence-based is the hashtag ADHD test (#adhdtest). A cross-sectional content analysis of TikTok videos on attention-deficit/hyperactivity disorder (ADHD) screening</t>
  </si>
  <si>
    <t>AUSTRALASIAN PSYCHIATRY</t>
  </si>
  <si>
    <t>ADHD test; ADHD misinformation; TikTok; social media misinformation; ADHD social media</t>
  </si>
  <si>
    <t>Objectives TikTok is being increasingly used as an easily accessible source of information on Attention-Deficit/Hyperactivity Disorder (ADHD). This study aimed to find the quality of information on ADHD screening or self-test in TikTok videos with the hashtag #adhdtest and the engagement of these videos with their viewers.Method The content of the top 50 TikTok videos with the hashtag #ADHDtest was analyzed cross-sectionally and categorized as useful or misleading after comparison of its content with the Adult ADHD Self-Report Scale (ASRS-v1.1). The videos were categorized as useful if its contents had at least 4 out of the 6 questions on the ASRS-v1.1 screener. Its level of engagement was quantified by measuring the number of times the video was liked, commented on, or added to favorites. Descriptive statistics were used for analysis.Result Out of the 50 included #adhdtest videos, 92% (n = 46) were misleading. Furthermore, useful videos had minimal engagement, with only 4% of the total likes, 1% of the total comments, and 7% of the total favorites.Conclusion There is misleading information related to adult ADHD screening and testing on TikTok. There is a need to address this misinformation.</t>
  </si>
  <si>
    <t>[Verma, Smita] Hlth New Zealand Waikato Hosp, Pembroke St, Hamilton, New Zealand; [Sinha, Suman Kumar] Hlth New Zealand Waikato, Hamilton, New Zealand; [Sinha, Suman Kumar] Univ Auckland, Dept Psychol Med, Auckland, New Zealand</t>
  </si>
  <si>
    <t>Verma, S (corresponding author), Hlth New Zealand Waikato Hosp, Dept Mental Hlth &amp; Addict, Pembroke St, Hamilton 3204, New Zealand.</t>
  </si>
  <si>
    <t>drsmitaver@gmail.com</t>
  </si>
  <si>
    <t>1039-8562</t>
  </si>
  <si>
    <t>1440-1665</t>
  </si>
  <si>
    <t>AUSTRALAS PSYCHIATRY</t>
  </si>
  <si>
    <t>Australas. Psychiatry</t>
  </si>
  <si>
    <t>2024 OCT 18</t>
  </si>
  <si>
    <t>10.1177/10398562241291956</t>
  </si>
  <si>
    <t>J9A0K</t>
  </si>
  <si>
    <t>WOS:001339905600001</t>
  </si>
  <si>
    <t>Costa, BBP; Maia, LRH; Dos Santos, MA JR; Oliveira, T; Massarani, L</t>
  </si>
  <si>
    <t>Costa, Ben-Hur Bernard Pereira; Maia, Lidia Raquel Herculano; dos Santos Júnior, Marcelo Alves; Oliveira, Thaiane; Massarani, Luisa</t>
  </si>
  <si>
    <t>As vacinas contra a Covid-19 no TikTok no Brasil Covid-19 vaccines on TikTok in Brazil</t>
  </si>
  <si>
    <t>CUADERNOS INFO</t>
  </si>
  <si>
    <t>vaccine; COVID-19; TikTok</t>
  </si>
  <si>
    <t>MISINFORMATION</t>
  </si>
  <si>
    <t>ABSrRA epsilon r ! In this article, we examine the production of videos about vaccines on TikTok in Brazil. By analyzing the hashtags related to the vaccine, we identified 612 videos that covered the topic of vaccines on this platform from May 2020 to September 2022. Using thematic analysis and content analysis, we examined the different themes, positions, forms of expression, legitimized actors, and both audio and visual resources in the production of vaccine-related content on this platform. Based on our analysis, we found a positive tone in just over half of the videos about vaccines, with neutral or ambiguous positions on the topic strongly represented. In addition, we found that TikTok is used to share personal vaccination experiences, create sketches depicting supposed side effects of vaccines, celebrate the start of immunization, and provide information about vaccine efficacy and use. Furthermore, we noted a politicization of the content related to COVID-19 vaccination on the platform, reflecting the political disputes that have characterized the pandemic in Brazil. In summary, TikTok serves as a platform to express experiences and perceptions related to vaccination, but it also facilitates the dissemination of content that approaches the topic in a humorous tone, which can lead to the spread of fears and negative perceptions regarding vaccines.</t>
  </si>
  <si>
    <t>[Costa, Ben-Hur Bernard Pereira; Maia, Lidia Raquel Herculano; Massarani, Luisa] Fundacao Oswaldo Cruz, Inst Nacl Comunicacao Publ Ciencia Tecnol INCT CP, Rio De Janeiro, Brazil; [dos Santos Júnior, Marcelo Alves] Pontificia Univ Catolica Rio De Janeiro PUC RIO, Rio De Janeiro, Brazil; [Oliveira, Thaiane] Univ Fed Fluminense UFF, Rio De Janeiro, Brazil</t>
  </si>
  <si>
    <t>Fundacao Oswaldo Cruz; Universidade Federal Fluminense</t>
  </si>
  <si>
    <t>Costa, BBP (corresponding author), Fundacao Oswaldo Cruz, Inst Nacl Comunicacao Publ Ciencia Tecnol INCT CP, Rio De Janeiro, Brazil.</t>
  </si>
  <si>
    <t>bernardcosta89@gmail.com; lidiarhmaia@outlook.com; marcelo_alves@puc-rio.br; thaianeoliveira@id.uff.br; luisa.massarani@fiocruz.br</t>
  </si>
  <si>
    <t>Massarani, Luisa/AAS-8261-2021</t>
  </si>
  <si>
    <t>PONTIFICIA UNIV CATOLICA CHILE, FAC COMUNICACIONES</t>
  </si>
  <si>
    <t>SANTIAGO DE CHILE</t>
  </si>
  <si>
    <t>ALAMEDA 340, SANTIAGO DE CHILE, 00000, CHILE</t>
  </si>
  <si>
    <t>0719-3661</t>
  </si>
  <si>
    <t>0719-367X</t>
  </si>
  <si>
    <t>CUAD INFO-SANTIAGO</t>
  </si>
  <si>
    <t>Cuad. Info</t>
  </si>
  <si>
    <t>10.7764/cdi.56.63663</t>
  </si>
  <si>
    <t>U8CN8</t>
  </si>
  <si>
    <t>WOS:001087028400001</t>
  </si>
  <si>
    <t>Borrega, JA; Díaz, MJS; Masero, IP; Fernández, AG</t>
  </si>
  <si>
    <t>Acevedo Borrega, Jesus; Sosa Diaz, M. Jose; Porras Masero, Isabel; Gonzalez Fernandez, Alberto</t>
  </si>
  <si>
    <t>Digital Resources in Higher Education: TikTok as a teaching tool</t>
  </si>
  <si>
    <t>REIDOCREA-REVISTA EECTRONICA DE INVESTIGACION Y DOCENCIA CREATIVA</t>
  </si>
  <si>
    <t>Social Media</t>
  </si>
  <si>
    <t>SOCIAL MEDIA; STUDENTS</t>
  </si>
  <si>
    <t>The present communication describes an educational practice developed within the framework of the subject Didactic and Organizational Aspects of Early Childhood Education, of the first year of the Degree in Early Childhood Education at the Teacher Training College (University of Extremadura, Spain). From the selection of a series of alternative methodologies to direct instruction, the students, through a process of prior inquiry, have made, using the social network TikTok, an explanatory video of the assigned didactic method. To this end, a series of research aims have been established in relation to the educational potential of TikTok as a tool to promote communication and synthesis skills. Based on the analysis of the TikTok videos delivered (a total of 57), a questionnaire was designed to determine the students' perceptions of the tool and its educational implications, to which a total of 50 students responded. According to the information gathered, students positively value the use of TikTok as a teaching resource, as well as the practice itself, highlighting a series of elements derived from the proposed teaching-learning process, such as creativity, fun and motivation in the acquisition of knowledge. Therefore, starting from the proposed research context, and taking into account the limitations of the same, it can be determined that TikTok allows the development of communicative skills, as well as the learning to learn competence, through an autonomous, inquiring and experiential learning.</t>
  </si>
  <si>
    <t>[Acevedo Borrega, Jesus; Sosa Diaz, M. Jose; Porras Masero, Isabel; Gonzalez Fernandez, Alberto] Univ Extremadura, Badajoz, Spain</t>
  </si>
  <si>
    <t>Universidad de Extremadura</t>
  </si>
  <si>
    <t>Borrega, JA (corresponding author), Univ Extremadura, Badajoz, Spain.</t>
  </si>
  <si>
    <t>UNIV GRANADA, FAC CIENCIAS EDUCACION</t>
  </si>
  <si>
    <t>GRANADA</t>
  </si>
  <si>
    <t>CAMPUS UNIV CARTUJA S-N, GRANADA, 18071, SPAIN</t>
  </si>
  <si>
    <t>2254-5883</t>
  </si>
  <si>
    <t>REIDOCREA</t>
  </si>
  <si>
    <t>ReiDoCrea</t>
  </si>
  <si>
    <t>5Z6YD</t>
  </si>
  <si>
    <t>WOS:000880115600001</t>
  </si>
  <si>
    <t>Simpson, CK; Donaldson, JL</t>
  </si>
  <si>
    <t>Simpson, Coleman K.; Donaldson, Joseph L.</t>
  </si>
  <si>
    <t>TikTok, Tomatoes, and Teenagers: Using New Social Media Apps to Connect Extension Education with Younger Audiences</t>
  </si>
  <si>
    <t>JOURNAL OF EXTENSION</t>
  </si>
  <si>
    <t>Social media usage has precipitated changes in Cooperative Extension's delivery of programs to amplify involvement with selected audiences and it is important that we craft relevant content for a variety of audiences. Current research tells us that social media and related content can enrich education and can create broader audi-ences for programming. Resources like blogs, podcasts, and geofilters have shown to be received positively by a wide range of audiences and have created greater rates of engagement. Yet, one platform that has received limited attention is TikTok, perhaps due to TikTok's mixed reviews in educational systems. With current trends showing that 48% of 18-29 year olds are using the app, we believe that TikTok has great potential for connecting audiences with research-based information and engaging previously unreached communities.</t>
  </si>
  <si>
    <t>[Simpson, Coleman K.; Donaldson, Joseph L.] North Carolina State Univ, Raleigh, NC 27695 USA</t>
  </si>
  <si>
    <t>North Carolina State University</t>
  </si>
  <si>
    <t>Simpson, CK (corresponding author), North Carolina State Univ, Raleigh, NC 27695 USA.</t>
  </si>
  <si>
    <t>cksimpso@ncsu.edu; joseph_donaldson@ncsu.edu</t>
  </si>
  <si>
    <t>Donaldson, Joseph/0000-0002-9276-3747</t>
  </si>
  <si>
    <t>UNIV OF WISCONSIN EXTENSION JOURNAL INC</t>
  </si>
  <si>
    <t>MADISON</t>
  </si>
  <si>
    <t>605 EXTENSION BLDG 432 NORTH LAKE ST, MADISON, WI 53706 USA</t>
  </si>
  <si>
    <t>0022-0140</t>
  </si>
  <si>
    <t>1077-5315</t>
  </si>
  <si>
    <t>J EXT</t>
  </si>
  <si>
    <t>J. Ext.</t>
  </si>
  <si>
    <t>10.34068/joe.60.03.09</t>
  </si>
  <si>
    <t>9L6OF</t>
  </si>
  <si>
    <t>WOS:000941666900011</t>
  </si>
  <si>
    <t>David, ME; Roberts, JA</t>
  </si>
  <si>
    <t>David, Meredith E.; Roberts, James A.</t>
  </si>
  <si>
    <t>TikTok Brain: An Investigation of Short-Form Video Use, Self-Control, and Phubbing</t>
  </si>
  <si>
    <t>short-form video use; short-video apps; social media; phubbing; phone snubbing; self-control; TikTok</t>
  </si>
  <si>
    <t>ANTECEDENTS; ADDICTION; ANXIETY</t>
  </si>
  <si>
    <t>Phubbing (phone snubbing) has become the norm in (im)polite society. A vast majority of US adults report using their phones during a recent social interaction. Using one's phone in the presence of others has been shown to have a negative impact on relationships among co-workers, friends, family, and romantic partners. Recent research suggests viewing short-form videos (SFVs) (e.g., TikTok) is more addictive/immersive than traditional social media (e.g., Facebook) leading to a greater likelihood of phubbing others. Across two studies, the present research investigates the relationship between SFV viewing and phubbing and the possible mediating effect of self-control. We also test whether TikTok has a stronger relationship with phubbing than Instagram Reels and YouTube Shorts, two popular SFV purveyors. Study 1 (282 college students) finds that viewing TikTok videos is positively associated with phubbing others and this relationship is mediated by self-control. Interestingly, Study 1 also finds that this relationship does not hold for Instagram Reels and YouTube shorts. Using two different measures of self-control, Study 2 (198 adults) provides additional support for the mediating effect of self-control on the SFV viewing-phubbing relationship. Again, the model is only supported for TikTok SFV viewing, not Instagram or YouTube. In sum, the viewing of carefully curated short TikTok videos, often 30-60 seconds in length, undermines self-control which is associated with increased phubbing behavior. Implications of the present study's findings expand far beyond phubbing. Self-control plays a central role in nearly all human decision making and behavior. Suggestions for future research are offered.</t>
  </si>
  <si>
    <t>[David, Meredith E.; Roberts, James A.] Baylor Univ, One Bear Pl, 98007, Waco, TX 76798 USA</t>
  </si>
  <si>
    <t>Baylor University</t>
  </si>
  <si>
    <t>David, ME (corresponding author), Baylor Univ, One Bear Pl, 98007, Waco, TX 76798 USA.</t>
  </si>
  <si>
    <t>meredith_david@baylor.edu</t>
  </si>
  <si>
    <t>2024 AUG 29</t>
  </si>
  <si>
    <t>10.1177/08944393241279422</t>
  </si>
  <si>
    <t>F1M9A</t>
  </si>
  <si>
    <t>WOS:001307538800001</t>
  </si>
  <si>
    <t>Obermayr, R; Yildiz, J; Godemann, J</t>
  </si>
  <si>
    <t>Obermayr, Roman; Yildiz, Juliane; Godemann, Jasmin</t>
  </si>
  <si>
    <t>Nutrition Communication on TikTok</t>
  </si>
  <si>
    <t>ERNAHRUNGS UMSCHAU</t>
  </si>
  <si>
    <t>[Obermayr, Roman; Yildiz, Juliane; Godemann, Jasmin] Justus Liebig Univ Giessen, Inst Verbraucherforsch Kommunikat &amp; Ernahrungssoz, Prof Kommunikat &amp; Beratung Agrar Ernahrungs &amp; Umw, Senckenbergstr 3, D-35390 Giessen, Germany</t>
  </si>
  <si>
    <t>Justus Liebig University Giessen</t>
  </si>
  <si>
    <t>Yildiz, J (corresponding author), Justus Liebig Univ Giessen, Inst Verbraucherforsch Kommunikat &amp; Ernahrungssoz, Prof Kommunikat &amp; Beratung Agrar Ernahrungs &amp; Umw, Senckenbergstr 3, D-35390 Giessen, Germany.</t>
  </si>
  <si>
    <t>Juliane.Yildiz@ernaehrung.uni-giessen.de</t>
  </si>
  <si>
    <t>UMSCHAU VERLAG</t>
  </si>
  <si>
    <t>FRANKFURT AM MAIN</t>
  </si>
  <si>
    <t>POSTFACH 11 02 62, D-60037 FRANKFURT AM MAIN, GERMANY</t>
  </si>
  <si>
    <t>0174-0008</t>
  </si>
  <si>
    <t>Ernahr. Umsch.</t>
  </si>
  <si>
    <t>M546</t>
  </si>
  <si>
    <t>M557</t>
  </si>
  <si>
    <t>5M8UI</t>
  </si>
  <si>
    <t>WOS:000871370100017</t>
  </si>
  <si>
    <t>Meng, KS; Leung, L</t>
  </si>
  <si>
    <t>Meng, Keira Shuyang; Leung, Louis</t>
  </si>
  <si>
    <t>Factors influencing TikTok engagement behaviors in China: An examination of gratifications sought, narcissism, and the Big Five personality traits</t>
  </si>
  <si>
    <t>TELECOMMUNICATIONS POLICY</t>
  </si>
  <si>
    <t>Gratifications; Mobile short-form video; Narcissism; Personality traits; TikTok engagement behaviors</t>
  </si>
  <si>
    <t>SOCIAL-MEDIA ENGAGEMENT; SELF-PRESENTATION; PREDICTORS; FACEBOOK; MOTIVATIONS; SITES; EXTROVERSION; PERFORMANCE; ESTEEM; MODEL</t>
  </si>
  <si>
    <t>As an over-the-top (OTT) and non-subscription-based video-on-demand media service, mobile short-form video application (e.g., TikTok or Douyin) is a free video-sharing social networking service (SNS) distributing short-form video content to smartphones, smart TVs, and tablets. This study investigates the roles of gratifications-sought, narcissism, and personality traits in TikTok engagement behaviors (i.e., contribution, enhancement, and creation) in China. Data were gathered from a sample of 526 TikTok users through an online questionnaire survey in 2020. Factor analysis confirmed nine gratifications sought: escape, fashion, entertainment, information seeking, money making, sociability seeking, navigability, modality, and interactivity. In particular, extraverts and people with the quality of being vain were most active in the contributing, enhancing, and creating TikTok engagement behaviors. The results also show that exhibitionists and people who are more open to new experiences were found to create more, while narcissists with an attitude of entitlement also engaging strongly in giving likes, commenting, forwarding TikToks, and following others. Theoretical and practical implications are also discussed.</t>
  </si>
  <si>
    <t>[Meng, Keira Shuyang; Leung, Louis] Hong Kong Shue Yan Univ, Dept Journalism &amp; Commun, Hong Kong, Peoples R China</t>
  </si>
  <si>
    <t>Hong Kong Shue Yan University</t>
  </si>
  <si>
    <t>Leung, L (corresponding author), Hong Kong Shue Yan Univ, Dept Journalism &amp; Commun, Hong Kong, Peoples R China.</t>
  </si>
  <si>
    <t>louisleung@hksyu.edu</t>
  </si>
  <si>
    <t>Leung, Louis/J-8113-2012</t>
  </si>
  <si>
    <t>Leung, Louis/0000-0003-1622-8213</t>
  </si>
  <si>
    <t>0308-5961</t>
  </si>
  <si>
    <t>1879-3258</t>
  </si>
  <si>
    <t>TELECOMMUN POLICY</t>
  </si>
  <si>
    <t>Telecommun. Policy</t>
  </si>
  <si>
    <t>10.1016/j.telpol.2021.102172</t>
  </si>
  <si>
    <t>APR 2021</t>
  </si>
  <si>
    <t>Communication; Information Science &amp; Library Science; Telecommunications</t>
  </si>
  <si>
    <t>TM3ZR</t>
  </si>
  <si>
    <t>WOS:000675491400009</t>
  </si>
  <si>
    <t>Huber, B; Baena, LQ</t>
  </si>
  <si>
    <t>Huber, Brigitte; Baena, Luis Quesada</t>
  </si>
  <si>
    <t>Women Scientists on TikTok: New Opportunities to Become Visible and Challenge Gender Stereotypes</t>
  </si>
  <si>
    <t>female scholars; gender stereotypes; science communication; social media; TikTok</t>
  </si>
  <si>
    <t>SOCIAL MEDIA; SCIENCE COMMUNICATION; FEMALE SCIENTISTS; ONLINE; REPRESENTATIONS; EXPERIENCES; ENGAGEMENT; HARASSMENT; YOUTUBE; EXPERTS</t>
  </si>
  <si>
    <t>Today, women scientists are still underrepresented in media coverage and confronted with gender stereotypes. However, social media might have the potential to challenge current gender stereotypes of scientists, foster diversity in science communication, and open new ways of becoming visible. We explore this potential by analyzing TikTok accounts of female scholars (n = 50 accounts). Results from content analysis (n =150 videos) indicate that female scientists from a wide range of different disciplines and at different career stages are visible on TikTok. Building on previous research, we show that female scholars use TikTok mainly to explain scientific facts and concepts and to discuss what being a (female) scholar is like. Moreover, female scholars talk about private life events, give expert advice, and show science in the making. Finally, some of the videos analyzed address gender stereotypes by, for example, challenging assumptions on how a female professor should dress. Implications for science communication in the digital age are discussed.</t>
  </si>
  <si>
    <t>[Huber, Brigitte] IU Int Univ Appl Sci, Dept Mkt &amp; Commun, Bad Honnef, Germany; [Huber, Brigitte; Baena, Luis Quesada] Univ Vienna, Dept Commun, Vienna, Austria</t>
  </si>
  <si>
    <t>International University of Applied Sciences - Germany; University of Vienna</t>
  </si>
  <si>
    <t>Huber, B (corresponding author), IU Int Univ Appl Sci, Dept Mkt &amp; Commun, Bad Honnef, Germany.;Huber, B (corresponding author), Univ Vienna, Dept Commun, Vienna, Austria.</t>
  </si>
  <si>
    <t>brigitte.huber1@iu.org</t>
  </si>
  <si>
    <t>Quesada Baena, Luis/0000-0001-5170-6896; Huber, Brigitte/0000-0002-9070-4962</t>
  </si>
  <si>
    <t>10.17645/mac.v11i1.6070</t>
  </si>
  <si>
    <t>O3GY5</t>
  </si>
  <si>
    <t>WOS:001042747900004</t>
  </si>
  <si>
    <t>Varmazyar, R; Nikahd, H; Pinto, AL; González-Valiente, CL</t>
  </si>
  <si>
    <t>Varmazyar, Reza; Nikahd, Hamed; Pinto, Adilson Luiz; Gonzalez-Valiente, Carlos Luis</t>
  </si>
  <si>
    <t>ACCURACY AND QUALITY OF ANIMAL HEALTH INFORMATION ON SOCIAL MEDIA: A CASE STUDY ON TIKTOK</t>
  </si>
  <si>
    <t>BIBLIOTECAS-ANALES DE INVESTIGACION</t>
  </si>
  <si>
    <t>dogs health information; social media; TikTok</t>
  </si>
  <si>
    <t>ONLINE; VETERINARIANS</t>
  </si>
  <si>
    <t>Objective: The purpose of this study is to investigate the 150 top-listed videos on TikTok focused on dogs' health in order to systematically characterize their types and scientific accuracy. Design/methodology/approach: TikTok was searched for videos about dog health by using the terms Doghealth, Dogdiet, and Dogadvice. Initially, the top 50 videos were considered, and after eliminating the irrelevant videos, the 86 remaining videos were evaluated by the authors on detailed information, then categorized, and lastly, an experienced veterinarian watched each video to assess and rate its accuracy. Results and discussion: The findings indicate that approximately half of the selected videos focused on scientifically confirmed methods for treating pet dogs, while the other half tended to offer more practical approaches. Among the videos created by veterinarians, around twothirds (67 videos) were grounded in verified scientific methods. However, non-veterinarian videos displayed less scientific reliability, with only 38 percent (20 videos) adhering to verified scientific methods, and a greater emphasis on experimental approaches. Conclusion: The results suggest that TikTok posts about dogs' health are useful, but not entirely reliable and trustworthy sources of health information. Many posts are beneficial, but not entirely reliable and trustworthy. Originality/value: This paper provides an analysis of the accuracy and quality of 150 top-listed videos on TikTok about dogs' health.</t>
  </si>
  <si>
    <t>[Varmazyar, Reza] Univ Carlos III Madrid, Madrid, Spain; [Nikahd, Hamed; Pinto, Adilson Luiz] Univ Fed Santa Catarina, Florianopolis, Brazil; [Gonzalez-Valiente, Carlos Luis] Prometrics, Tallinn, Estonia</t>
  </si>
  <si>
    <t>Universidad Carlos III de Madrid; Universidade Federal de Santa Catarina (UFSC)</t>
  </si>
  <si>
    <t>Varmazyar, R (corresponding author), Univ Carlos III Madrid, Madrid, Spain.</t>
  </si>
  <si>
    <t>rezavarmarz@gmail.com; abanpetclinic@gmail.com; adilson.pinto@ufsc.br; carlos.valiente89@gmail.com</t>
  </si>
  <si>
    <t>Pinto, Adilson/A-4147-2012</t>
  </si>
  <si>
    <t>BIBLIOTECA NACL CUBA JOSE MARTI</t>
  </si>
  <si>
    <t>HAVANA</t>
  </si>
  <si>
    <t>AVE INDEPENDENCIA &amp; 20 MAYO, PLAZA DE LA REVOLUCION, HAVANA, 00000, CUBA</t>
  </si>
  <si>
    <t>0006-176X</t>
  </si>
  <si>
    <t>1683-8947</t>
  </si>
  <si>
    <t>BIBL-AN INVESTIG</t>
  </si>
  <si>
    <t>Bibl.-An. Investig.</t>
  </si>
  <si>
    <t>MAY-AUG</t>
  </si>
  <si>
    <t>IE8L6</t>
  </si>
  <si>
    <t>WOS:001164741700001</t>
  </si>
  <si>
    <t>Olvera, C; Stebbins, GT; Goetz, CG; Kompoliti, K</t>
  </si>
  <si>
    <t>Olvera, Caroline; Stebbins, Glenn T.; Goetz, Christopher G.; Kompoliti, Katie</t>
  </si>
  <si>
    <t>TikTok Tics: A Pandemic Within a Pandemic</t>
  </si>
  <si>
    <t>MOVEMENT DISORDERS CLINICAL PRACTICE</t>
  </si>
  <si>
    <t>tics; Tourette syndrome; social media; COVID; functional neurological disorder</t>
  </si>
  <si>
    <t>TOURETTE-SYNDROME; SUPPRESSION; ADOLESCENTS; CHILDREN; ANXIETY</t>
  </si>
  <si>
    <t>Background: TikTok is a social media platform where users create and share videos. During the COVID-19 pandemic, the use of this site greatly expanded. Tic and Tourette syndrome content also increased dramatically along with the number of patients with tics in neurology clinics. Objectives: We compared the phenomenology of TikTok tics to typical tic disorders. We chose to analyze the most widely viewed videos and therefore focused on the most popular content creators. Methods: Videos with the keywords tic, Tourette, or tourettes were reviewed to identify content creators between March 11, 2020 and March 30, 2021. We performed a quantitative assessment of TikTok tics as well as a descriptive analysis of the entire series of videos of each content creator. Results: The mean age of the cohort was 18.8 years old, and the majority were women. Unlike the predominance of facial movements in typical tics, arm movements were most frequent. Average tics per minute was 29, and almost all recorded TikTok tics were severe, causing significant disability. Whereas coprolalia and self-injurious behavior are only infrequently encountered in typical tic disorders, they were present in the overwhelming majority of TikTok subjects. Conclusions: TikTok tics are distinct from what is typically seen in patients with Tourette syndrome, although share many characteristics with functional tics. We believe this to be an example of mass sociogenic illness, which involves behaviors, emotions, or conditions spreading spontaneously through a group. A modern clinician needs to remain abreast of social media sources as knowledge of media content is essential in managing patients in the current environment.</t>
  </si>
  <si>
    <t>[Olvera, Caroline] Rush Univ, Med Ctr, Dept Neurol Sci, 1725 W Harrison St,Suite 755, Chicago, IL 60612 USA</t>
  </si>
  <si>
    <t>Rush University</t>
  </si>
  <si>
    <t>Olvera, C (corresponding author), Rush Univ, Med Ctr, Dept Neurol Sci, 1725 W Harrison St,Suite 755, Chicago, IL 60612 USA.</t>
  </si>
  <si>
    <t>caroline_e_olvera@rush.edu</t>
  </si>
  <si>
    <t>Goetz, Christopher/AGW-1991-2022</t>
  </si>
  <si>
    <t>National Institutes of Health; Michael J. Fox Foundation; Department of Defense</t>
  </si>
  <si>
    <t>National Institutes of Health(United States Department of Health &amp; Human ServicesNational Institutes of Health (NIH) - USA); Michael J. Fox Foundation; Department of Defense(United States Department of Defense)</t>
  </si>
  <si>
    <t>C.O. and G.T.S. have no additional disclosures to report. C.G.G. reports the following: funding to the Rush University Medical Center from the National Institutes of Health, Department of Defense, and The Michael J. Fox Foundation for research conducted by Dr. Goetz; faculty stipend from the International Parkinson and Movement Disorder Society; guest professorship honorarium provided by University of Chicago and Illinois State Neurological Society; volume editor stipend from Elsevier Publishers; and royalties from Elsevier Publishers and Wolters Kluwer Publishers. K.K. is a consultant to Neurocrine, Kyowa, Amneal, Revance, and Lundbeck and an investigator for Lundbeck, Neurocrine, Emalex, Theravance, Pharma 2B, and Sun pharma.</t>
  </si>
  <si>
    <t>2330-1619</t>
  </si>
  <si>
    <t>MOV DISORD CLIN PRAC</t>
  </si>
  <si>
    <t>MOV. DISORD. CLIN. PRACT.</t>
  </si>
  <si>
    <t>10.1002/mdc3.13316</t>
  </si>
  <si>
    <t>Clinical Neurology</t>
  </si>
  <si>
    <t>WQ8WL</t>
  </si>
  <si>
    <t>WOS:000683007900001</t>
  </si>
  <si>
    <t>Kasianenko, K</t>
  </si>
  <si>
    <t>Kasianenko, Kateryna</t>
  </si>
  <si>
    <t>[Kasianenko, Kateryna] Queensland Univ Technol, Brisbane, Qld, Australia</t>
  </si>
  <si>
    <t>Kasianenko, K (corresponding author), Queensland Univ Technol, Brisbane, Qld, Australia.</t>
  </si>
  <si>
    <t>Kasianenko, Kateryna/0000-0002-7159-5676</t>
  </si>
  <si>
    <t>10.1177/1329878X231155255</t>
  </si>
  <si>
    <t>WOS:000925900900001</t>
  </si>
  <si>
    <t>Lorenzo, S</t>
  </si>
  <si>
    <t>Lorenzo, Samantha</t>
  </si>
  <si>
    <t>[Lorenzo, Samantha] Univ Oregon, Eugene, OR 97403 USA</t>
  </si>
  <si>
    <t>Lorenzo, S (corresponding author), Univ Oregon, Eugene, OR 97403 USA.</t>
  </si>
  <si>
    <t>10.1177/20501579241248632b</t>
  </si>
  <si>
    <t>K7K1E</t>
  </si>
  <si>
    <t>WOS:001345616100002</t>
  </si>
  <si>
    <t>Torofdar, H</t>
  </si>
  <si>
    <t>Torofdar, H.</t>
  </si>
  <si>
    <t>Cosmetic dentistry TikTok teeth</t>
  </si>
  <si>
    <t>10.1038/s41415-021-3032-x</t>
  </si>
  <si>
    <t>SC4IA</t>
  </si>
  <si>
    <t>WOS:000650635800006</t>
  </si>
  <si>
    <t>Fichman, P; Amidu, G</t>
  </si>
  <si>
    <t>Fichman, Pnina; Amidu, Gordon</t>
  </si>
  <si>
    <t>The roles of collapsing contexts and TikTok's features in reciprocal trolling</t>
  </si>
  <si>
    <t>Context collapse; TikTok; trolling; social informatics</t>
  </si>
  <si>
    <t>PERCEPTIONS; PRIVACY; VIDEO</t>
  </si>
  <si>
    <t>The collapsing of social contexts online and its impact on identify, privacy, and self-presentation have been widely documented. However, the increased levels of conflict and misunderstanding that those collapsing contexts trigger requires more scholarly attention. Informed by social informatics, this paper examines collapsing contexts and TikTok's features that support reciprocal trolling. A comparative case analysis of three TikTok influencers reveals how they took advantage of the platform's features (Duet, Stich, Share, and Sounds); how they developed their own trolling style and utilized a different repertoire of trolling tactics in initiating and in responding to trolling; and how they proactively utilized social, spatial, and temporal collapsing contexts in their reciprocal trolling activities. The study makes two significant contributions to research by (1) extending our understanding of collapsing contexts beyond the reactive notion of flattened contexts, contributing to social informatics a nuanced understanding of context; and by (2) demonstrating how TikTok's features foster reciprocal trolling and the process by which it spills over into other social media platforms, raising a need for more cross-platform research.</t>
  </si>
  <si>
    <t>[Fichman, Pnina; Amidu, Gordon] Indiana Univ, Rob Kling Ctr Social Informat, Luddy Hall 2114, N Woodlawn Ave, Bloomington, IN 47408 USA</t>
  </si>
  <si>
    <t>Fichman, P (corresponding author), Indiana Univ, Rob Kling Ctr Social Informat, Luddy Hall 2114, N Woodlawn Ave, Bloomington, IN 47408 USA.</t>
  </si>
  <si>
    <t>fichman@iu.edu; gamido@iu.edu</t>
  </si>
  <si>
    <t>FICHMAN, Pnina/0000-0002-9440-7615; Amidu, Gordon/0000-0002-3136-4806</t>
  </si>
  <si>
    <t>2024 AUG 17</t>
  </si>
  <si>
    <t>10.1080/1369118X.2024.2391820</t>
  </si>
  <si>
    <t>D0G0E</t>
  </si>
  <si>
    <t>WOS:001293043900001</t>
  </si>
  <si>
    <t>Schepker, R</t>
  </si>
  <si>
    <t>Schepker, Renate</t>
  </si>
  <si>
    <t>Child Psychiatry on TikTok? - A Commentary</t>
  </si>
  <si>
    <t>ZEITSCHRIFT FUR KINDER-UND JUGENDPSYCHIATRIE UND PSYCHOTHERAPIE</t>
  </si>
  <si>
    <t>[Schepker, Renate] Abt Psychiat &amp; Psychotherapie Kindes &amp; Jugendalter, Weingartshofer Str 2, D-88214 Ravensburg, Germany</t>
  </si>
  <si>
    <t>Schepker, R (corresponding author), Abt Psychiat &amp; Psychotherapie Kindes &amp; Jugendalter, Weingartshofer Str 2, D-88214 Ravensburg, Germany.</t>
  </si>
  <si>
    <t>renate.schepker@zfp-zentrum.de</t>
  </si>
  <si>
    <t>HOGREFE AG-HOGREFE AG SUISSE</t>
  </si>
  <si>
    <t>BERN</t>
  </si>
  <si>
    <t>LANGGASS STRASSE 76, BERN, SWITZERLAND</t>
  </si>
  <si>
    <t>1422-4917</t>
  </si>
  <si>
    <t>1664-2880</t>
  </si>
  <si>
    <t>Z KINDER JUG-PSYCH</t>
  </si>
  <si>
    <t>Z. Kinder-und Jugendpsy. Psychother.</t>
  </si>
  <si>
    <t>10.1024/1422-4917/a001000</t>
  </si>
  <si>
    <t>L4U1K</t>
  </si>
  <si>
    <t>WOS:001350674200002</t>
  </si>
  <si>
    <t>RATATOUILLE: THE TIKTOK MUSICAL</t>
  </si>
  <si>
    <t>[Boffone, Trevor] Univ Houston, Houston, TX 77004 USA</t>
  </si>
  <si>
    <t>Boffone, T (corresponding author), Univ Houston, Houston, TX 77004 USA.</t>
  </si>
  <si>
    <t>10.1386/smt_00066_5</t>
  </si>
  <si>
    <t>XS7DN</t>
  </si>
  <si>
    <t>WOS:000733064800008</t>
  </si>
  <si>
    <t>Jerin, SI; O'Donnell, N; Mu, D</t>
  </si>
  <si>
    <t>Jerin, Sultana Ismet; O'Donnell, Nicole; Mu, Di</t>
  </si>
  <si>
    <t>Mental health messages on TikTok: Analysing the use of emotional appeals in health-related #EduTok videos</t>
  </si>
  <si>
    <t>HEALTH EDUCATION JOURNAL</t>
  </si>
  <si>
    <t>Emotional appeals; health education; mental health; social media; TikTok</t>
  </si>
  <si>
    <t>PROMOTION; ORGANIZATIONS; CAMPAIGN; TWITTER; PEOPLE; MODEL; TIME</t>
  </si>
  <si>
    <t>Objective: This study aimed to evaluate how health educators use emotional appeals on the social media site TikTok to promote well-being, engage audiences and reduce mental health stigma.Design/Method: Our research team conducted a quantitative content analysis of 400 TikTok videos centred on health education. We evaluated the frequency of mental health content compared with general health education content and associated views, engagement and use of emotional appeals.Results: Mental health content frequently appeared in #EduTok health videos and earned significantly greater reach than general health content. However, videos discussing mental health earned less engagement and relied less on emotional appeals. Mental health content mainly relied on affiliation, hope and sorrow message appeals, although the presence of these appeals did not significantly affect engagement. General health content utilised personal stories, expert credentials and emotional appeals more frequently than mental health content.Conclusion: Evidence from this research suggests that mental health educational content underperforms general health videos and underutilises emotional appeals on TikTok. Health educators must critically analyse and adjust message strategies to enhance audience reception, taking note of success across health topics. We discuss the implications for how practitioners can use TikTok to reduce stigma and promote positive mental health with emotionally engaging content, especially among young audiences.</t>
  </si>
  <si>
    <t>[Jerin, Sultana Ismet; O'Donnell, Nicole; Mu, Di] Washington State Univ, Edward R Murrow Coll Commun, Pullman, WA USA; [Jerin, Sultana Ismet] Washington State Univ, Edward R Murrow Coll Commun, Pullman, WA 99164 USA</t>
  </si>
  <si>
    <t>Washington State University; Washington State University</t>
  </si>
  <si>
    <t>Jerin, SI (corresponding author), Washington State Univ, Edward R Murrow Coll Commun, Pullman, WA 99164 USA.</t>
  </si>
  <si>
    <t>sultanaismet.jerin@wsu.edu</t>
  </si>
  <si>
    <t>Jerin, Sultana Ismet/0000-0002-6977-0367</t>
  </si>
  <si>
    <t>0017-8969</t>
  </si>
  <si>
    <t>1748-8176</t>
  </si>
  <si>
    <t>HEALTH EDUC J</t>
  </si>
  <si>
    <t>Health Educ. J.</t>
  </si>
  <si>
    <t>10.1177/00178969241235528</t>
  </si>
  <si>
    <t>ST4M4</t>
  </si>
  <si>
    <t>WOS:001187818500001</t>
  </si>
  <si>
    <t>Stokel-Walker, C</t>
  </si>
  <si>
    <t>Stokel-Walker, Chris</t>
  </si>
  <si>
    <t>TikTok's global surge</t>
  </si>
  <si>
    <t>NEW SCIENTIST</t>
  </si>
  <si>
    <t>REED BUSINESS INFORMATION LTD</t>
  </si>
  <si>
    <t>SUTTON</t>
  </si>
  <si>
    <t>QUADRANT HOUSE THE QUADRANT, SUTTON SM2 5AS, SURREY, ENGLAND</t>
  </si>
  <si>
    <t>0262-4079</t>
  </si>
  <si>
    <t>NEW SCI</t>
  </si>
  <si>
    <t>New Sci.</t>
  </si>
  <si>
    <t>KU4EE</t>
  </si>
  <si>
    <t>WOS:000519661900033</t>
  </si>
  <si>
    <t>Acosta, M</t>
  </si>
  <si>
    <t>Acosta, Marina</t>
  </si>
  <si>
    <t>The pandemic as an opportunity. The mayor of Buenos Aires city on TikTok</t>
  </si>
  <si>
    <t>ASTROLABIO-NUEVA EPOCA</t>
  </si>
  <si>
    <t>TikTok; Politics; Infotainment; Pandemic; Argentina</t>
  </si>
  <si>
    <t>ELECTION CAMPAIGNS; TWITTER; POLITICS</t>
  </si>
  <si>
    <t>The research analyzes the sign in of Buenos Aires city mayor to TikTok during the pandemic. This social network represents a novelty for politics that makes it not only a territory to be explored but, fundamentally, a new space to conquer. The theoretical framework recovers, on one hand, the discussions of political sociology linked to the structure of opportunities and, on the other, the developments of the infotainment. The research is configured as a case study. As this methodology enables the use of different data collection and analysis techniques, we choose the triangulation of primary and secondary data. The study use a survey with a structured questionnaire, through the IVR format, and manual collection of information from the TikTok's profile. On one hand the main findings suggests that the uses that AMBA citizens gaves to social networks during the pandemic context and the political opinions of TikTok users were the determining factors that allowed the mayor of Buenos Aires a very comfortable access to the platform. And, on the other hand, that formal and serious contents are excluded in all the publications of his account and replaced by formats close to informality, simplicity, emotionality and humor.</t>
  </si>
  <si>
    <t>[Acosta, Marina] Univ Buenos Aires, Buenos Aires, DF, Argentina; [Acosta, Marina] Univ Nacl Arturo Jauretche, Florencio Varela, Buenos Aires, Argentina</t>
  </si>
  <si>
    <t>University of Buenos Aires</t>
  </si>
  <si>
    <t>Acosta, M (corresponding author), Univ Buenos Aires, Buenos Aires, DF, Argentina.;Acosta, M (corresponding author), Univ Nacl Arturo Jauretche, Florencio Varela, Buenos Aires, Argentina.</t>
  </si>
  <si>
    <t>macosta@sociales.uba.ar</t>
  </si>
  <si>
    <t>Acosta, Marina/KEH-2943-2024</t>
  </si>
  <si>
    <t>Acosta, Marina/0000-0002-8270-4372</t>
  </si>
  <si>
    <t>UNIV NAC CORDOBA, CENTRO ESTUDIOS AVANZADOS</t>
  </si>
  <si>
    <t>CORDOBA</t>
  </si>
  <si>
    <t>AVE VELEZ SARSFIELD, 153, CORDOBA, 5000, ARGENTINA</t>
  </si>
  <si>
    <t>1668-7515</t>
  </si>
  <si>
    <t>ASTROLABIO-NUEVA EPO</t>
  </si>
  <si>
    <t>Astrolabio-Nueva Epoca</t>
  </si>
  <si>
    <t>JUL-DEC</t>
  </si>
  <si>
    <t>3M6WG</t>
  </si>
  <si>
    <t>WOS:000835599000008</t>
  </si>
  <si>
    <t>Rubini, J</t>
  </si>
  <si>
    <t>Rubini, Jason</t>
  </si>
  <si>
    <t>TikTok Mundi Through the Lens. Visual Stories of Events</t>
  </si>
  <si>
    <t>ALTRE MODERNITA-RIVISTA DI STUDI LETTERARI E CULTURALI</t>
  </si>
  <si>
    <t>Italian</t>
  </si>
  <si>
    <t>[Rubini, Jason] Univ Milan, Mediaz Linguist, Milan, Italy</t>
  </si>
  <si>
    <t>Rubini, J (corresponding author), Univ Milan, Mediaz Linguist, Milan, Italy.</t>
  </si>
  <si>
    <t>jason.rubini@studenti.unimi.it</t>
  </si>
  <si>
    <t>Milano University Press</t>
  </si>
  <si>
    <t>MILAN</t>
  </si>
  <si>
    <t>VIA FESTA DEL PERDONO 7, MILAN, 20122, ITALY</t>
  </si>
  <si>
    <t>2035-7680</t>
  </si>
  <si>
    <t>ALTRE MOD-RIV STUD L</t>
  </si>
  <si>
    <t>Altre Mod.-Riv. Stud. Lett. Cult.</t>
  </si>
  <si>
    <t>J3W1K</t>
  </si>
  <si>
    <t>WOS:001336390400014</t>
  </si>
  <si>
    <t>Schukow, CP; Herman, M; Kowalski, P</t>
  </si>
  <si>
    <t>Schukow, Casey P.; Herman, Meredith; Kowalski, Paul</t>
  </si>
  <si>
    <t>TikTok: The New Social Media Frontier in Pathology?</t>
  </si>
  <si>
    <t>ADVANCES IN ANATOMIC PATHOLOGY</t>
  </si>
  <si>
    <t>[Schukow, Casey P.; Herman, Meredith; Kowalski, Paul] Michigan State Univ, Coll Osteopath Med, E Lansing, MI 48824 USA</t>
  </si>
  <si>
    <t>Michigan State University; Michigan State University College of Osteopathic Medicine</t>
  </si>
  <si>
    <t>Schukow, CP (corresponding author), Michigan State Univ, Coll Osteopath Med, E Lansing, MI 48824 USA.</t>
  </si>
  <si>
    <t>casey.schukow@gmail.com; herman41@msu.edu; pauljk@msu.edu</t>
  </si>
  <si>
    <t>Schukow, Casey/JLM-4253-2023</t>
  </si>
  <si>
    <t>Schukow, DO, Casey P/0000-0002-1646-7655</t>
  </si>
  <si>
    <t>1072-4109</t>
  </si>
  <si>
    <t>1533-4031</t>
  </si>
  <si>
    <t>ADV ANAT PATHOL</t>
  </si>
  <si>
    <t>Adv. Anat. Pathol.</t>
  </si>
  <si>
    <t>10.1097/PAP.0000000000000350</t>
  </si>
  <si>
    <t>Pathology</t>
  </si>
  <si>
    <t>3Q5ER</t>
  </si>
  <si>
    <t>WOS:000838254800005</t>
  </si>
  <si>
    <t>Pera, A; Aiello, LM</t>
  </si>
  <si>
    <t>Aiello, LM; Mejova, Y; Seneviratne, O; Sun, J; Kaiser, S; Staab, S</t>
  </si>
  <si>
    <t>Pera, Arianna; Aiello, Luca Maria</t>
  </si>
  <si>
    <t>Shifting Climates: Climate Change Communication from YouTube to TikTok</t>
  </si>
  <si>
    <t>16TH ACM WEB SCIENCE CONFERENCE, WEBSCIENCE 2024</t>
  </si>
  <si>
    <t>16th ACM Web Science Conference (WebScience) - Reflecting on the Web, AI, and Society</t>
  </si>
  <si>
    <t>MAY 21-24, 2024</t>
  </si>
  <si>
    <t>Univ Stuttgart, Stuttgart, GERMANY</t>
  </si>
  <si>
    <t>Assoc Comp Machinery,Web4Good,Web Sci Trust,ACM Special Interest Grp Hypertext &amp; Web,Leibniz Inst Social Sci,Interchange Forum Reflecting Intelligent Syst</t>
  </si>
  <si>
    <t>Univ Stuttgart</t>
  </si>
  <si>
    <t>TikTok; YouTube; climate change; content creator; social media; climate communication</t>
  </si>
  <si>
    <t>Public discourse on critical issues such as climate change is progressively shifting to social media platforms that prioritize short-form video content. Content creators acting on those platforms play a pivotal role in shaping the discourse, yet the dynamics of communication and audience reactions across platforms remain underexplored. To improve our understanding of this transition, we studied the video content produced by 21 prominent YouTube creators who have expanded their influence to TikTok as information disseminators. Using dictionary-based tools and BERT-based embeddings, we analyzed the transcripts of nearly 7k climate-related videos across both platforms and the 574k comments they received. We found that, when publishing on TikTok, creators use a more emotionally resonant, self-referential, and action-oriented language compared to YouTube. We also observed a strong semantic alignment between videos and comments, with creators who excel at diversifying their TikTok content from YouTube typically receiving responses that more closely align with their produced content. This suggests that tailored communication strategies hold greater promise in directing public discussion towards desired topics, which bears implications for the design of effective climate communication campaigns.</t>
  </si>
  <si>
    <t>[Pera, Arianna; Aiello, Luca Maria] IT Univ Copenhagen, Copenhagen, Denmark</t>
  </si>
  <si>
    <t>IT University Copenhagen</t>
  </si>
  <si>
    <t>Pera, A (corresponding author), IT Univ Copenhagen, Copenhagen, Denmark.</t>
  </si>
  <si>
    <t>arpe@itu.dk; luai@itu.dk</t>
  </si>
  <si>
    <t>Pera, Arianna/0009-0009-4316-3428</t>
  </si>
  <si>
    <t>Carlsberg Foundation [CF21-0432]</t>
  </si>
  <si>
    <t>Carlsberg Foundation(Carlsberg Foundation)</t>
  </si>
  <si>
    <t>We acknowledge the support from the Carlsberg Foundation through the COCOONS project (CF21-0432)</t>
  </si>
  <si>
    <t>979-8-4007-0334-8</t>
  </si>
  <si>
    <t>10.1145/3614419.3644024</t>
  </si>
  <si>
    <t>Computer Science, Artificial Intelligence; Computer Science, Information Systems; Computer Science, Interdisciplinary Applications</t>
  </si>
  <si>
    <t>BX0KH</t>
  </si>
  <si>
    <t>WOS:001233940700040</t>
  </si>
  <si>
    <t>Wan, S</t>
  </si>
  <si>
    <t>Wan, Shu</t>
  </si>
  <si>
    <t>TikTok Asian History of Science</t>
  </si>
  <si>
    <t>HISTORICAL STUDIES IN THE NATURAL SCIENCES</t>
  </si>
  <si>
    <t>[Wan, Shu] SUNY Buffalo, Buffalo, NY 14222 USA</t>
  </si>
  <si>
    <t>State University of New York (SUNY) System; University at Buffalo, SUNY</t>
  </si>
  <si>
    <t>Wan, S (corresponding author), SUNY Buffalo, Buffalo, NY 14222 USA.</t>
  </si>
  <si>
    <t>shuwan@buffalo.edu</t>
  </si>
  <si>
    <t>UNIV CALIFORNIA PRESS</t>
  </si>
  <si>
    <t>OAKLAND</t>
  </si>
  <si>
    <t>155 GRAND AVE, SUITE 400, OAKLAND, CA 94612-3758 USA</t>
  </si>
  <si>
    <t>1939-1811</t>
  </si>
  <si>
    <t>1939-182X</t>
  </si>
  <si>
    <t>HIST STUD NAT SCI</t>
  </si>
  <si>
    <t>Hist. Stud. Nat. Sci.</t>
  </si>
  <si>
    <t>10.1525/hsns.2024.54.1.115</t>
  </si>
  <si>
    <t>History &amp; Philosophy Of Science</t>
  </si>
  <si>
    <t>Science Citation Index Expanded (SCI-EXPANDED); Social Science Citation Index (SSCI); Arts &amp; Humanities Citation Index (A&amp;HCI)</t>
  </si>
  <si>
    <t>History &amp; Philosophy of Science</t>
  </si>
  <si>
    <t>OO6V8</t>
  </si>
  <si>
    <t>WOS:001208265000013</t>
  </si>
  <si>
    <t>B</t>
  </si>
  <si>
    <t>Su, CMZ</t>
  </si>
  <si>
    <t>Su, C</t>
  </si>
  <si>
    <t>Su, Chunmeizi</t>
  </si>
  <si>
    <t>Tales of the people</t>
  </si>
  <si>
    <t>DOUYIN, TIKTOK AND CHINA'S ONLINE SCREEN INDUSTRY: The Rise of Short-Video Platforms</t>
  </si>
  <si>
    <t>Routledge Research in Digital Media and Culture in Asia</t>
  </si>
  <si>
    <t>[Su, Chunmeizi] Univ Sydney, Digital Cultures, Sydney, NSW, Australia</t>
  </si>
  <si>
    <t>University of Sydney</t>
  </si>
  <si>
    <t>Su, CMZ (corresponding author), Univ Sydney, Digital Cultures, Sydney, NSW, Australia.</t>
  </si>
  <si>
    <t>ROUTLEDGE</t>
  </si>
  <si>
    <t>2 PARK SQ, MILTON PARK, ABINGDON OX14 4RN, OXFORD, ENGLAND</t>
  </si>
  <si>
    <t>978-1-032-19830-9; 978-1-003-26105-6; 978-1-032-19829-3</t>
  </si>
  <si>
    <t>ROU R DIG MED CULT A</t>
  </si>
  <si>
    <t>10.4324/9781003261056-10</t>
  </si>
  <si>
    <t>10.4324/9781003261056</t>
  </si>
  <si>
    <t>Cultural Studies; Communication; Asian Studies</t>
  </si>
  <si>
    <t>Book Citation Index – Social Sciences &amp; Humanities (BKCI-SSH)</t>
  </si>
  <si>
    <t>BW9RV</t>
  </si>
  <si>
    <t>WOS:001219761700009</t>
  </si>
  <si>
    <t>Du, RC; Zhang, Y; Wang, MH; Lu, NH; Hu, Y</t>
  </si>
  <si>
    <t>Du, Ren-Chun; Zhang, Yang; Wang, Meng-Hui; Lu, Nong-Hua; Hu, Yi</t>
  </si>
  <si>
    <t>yy TikTok and Bilibili as sources of information on Helicobacter pylori in China: A content and quality analysis</t>
  </si>
  <si>
    <t>Bilibili; Helicobacter pylori; quality; TikTok; video</t>
  </si>
  <si>
    <t>YOUTUBE; VIDEOS</t>
  </si>
  <si>
    <t>BackgroundHelicobacter pylori (H. pylori) is closely associated with gastric diseases and has a high prevalence in China. Public platforms are considered common and important tools to publicize H. pylori-related information. This study aimed to assess and compare the content and quality of H. pylori-related videos on TikTok and Bilibili.Materials and MethodsA search was performed on the TikTok and Bilibili platforms using the keyword H. pylori. The source of upload was categorized as for-profit organizations, general users, health professionals, news agencies, nonprofit organizations, and science communicators. The Journal of American Medical Association (JAMA), Global Quality Scale (GQS), and modified DISCERN scores were used to evaluate the quality of the included videos.ResultsA total of 93 TikTok videos and 79 Bilibili videos were included and analyzed. TikTok videos had a significantly shorter duration than Bilibili videos (64 vs. 149 s, respectively; p &lt; 0.001). The duration of the video showed a positive correlation with the modified DISCERN and GQS scores (p &lt; 0.001, r = 0.388 and r = 0.437, respectively). The JAMA and modified DISCERN scores of the TikTok video were significantly higher in health professionals and nonprofit organizations than in other sources (p &lt; 0.05). For Bilibili, science communicators had a significantly higher JAMA score than the other video sources (p &lt; 0.001). The videos uploaded by news agencies received more views, comments, shares, and favorites than any other organization or individual (p &lt; 0.001).ConclusionsIn China, H. pylori-related videos from TikTok and Bilibili tended to provide the information regarding the transmission and eradication of H. pylori. However, many videos scored an average rating in content and quality and need to be improved. We recommend that the public obtain H. pylori-related information through videos uploaded by health professionals, nonprofit organizations, and science communicators.</t>
  </si>
  <si>
    <t>[Du, Ren-Chun; Zhang, Yang; Wang, Meng-Hui; Lu, Nong-Hua; Hu, Yi] Nanchang Univ, Digest Dis Hosp, Dept Gastroenterol, Affiliated Hosp 1, Nanchang, Peoples R China; [Hu, Yi] Chinese Univ Hong Kong, Dept Surg, Hong Kong, Peoples R China; [Hu, Yi] Nanchang Univ, Digest Dis Hosp, Dept Gastroenterol, Affiliated Hosp 1, 17 Yong Waizheng St, Nanchang 330006, Jiangxi, Peoples R China</t>
  </si>
  <si>
    <t>Nanchang University; Chinese University of Hong Kong; Nanchang University</t>
  </si>
  <si>
    <t>Hu, Y (corresponding author), Nanchang Univ, Digest Dis Hosp, Dept Gastroenterol, Affiliated Hosp 1, 17 Yong Waizheng St, Nanchang 330006, Jiangxi, Peoples R China.</t>
  </si>
  <si>
    <t>ndyfy06202@ncu.edu.cn</t>
  </si>
  <si>
    <t>Hu, Yi/CAG-1357-2022</t>
  </si>
  <si>
    <t>Key Research and Development Program of Jiangxi Province [20212BBG73018]; National Natural Science Foundation of China [82000531, 82170580]; Project for Academic and Technical Leaders of Major Disciplines in Jiangxi Province [20212BCJL23065]</t>
  </si>
  <si>
    <t>Key Research and Development Program of Jiangxi Province; National Natural Science Foundation of China(National Natural Science Foundation of China (NSFC)); Project for Academic and Technical Leaders of Major Disciplines in Jiangxi Province</t>
  </si>
  <si>
    <t>Key Research and Development Program of Jiangxi Province (NO. 20212BBG73018); National Natural Science Foundation of China (NO. 82000531 and 82170580); Project for Academic and Technical Leaders of Major Disciplines in Jiangxi Province (NO. 20212BCJL23065)</t>
  </si>
  <si>
    <t>e13007</t>
  </si>
  <si>
    <t>10.1111/hel.13007</t>
  </si>
  <si>
    <t>R1EP8</t>
  </si>
  <si>
    <t>WOS:001030623600001</t>
  </si>
  <si>
    <t>Obada, DR; Tugulea, O</t>
  </si>
  <si>
    <t>Obada, Daniel-Rares; Tugulea, Oana</t>
  </si>
  <si>
    <t>What drives online impulse buying among Zoomers on TikTok in an emerging market? A new model based on flow theory</t>
  </si>
  <si>
    <t>FRONTIERS IN COMMUNICATION</t>
  </si>
  <si>
    <t>online impulse buying; generation Z; TikTok; perceived ad intrusiveness; attitude toward advertising; ad credibility; ad value; online flow experience</t>
  </si>
  <si>
    <t>EMPIRICAL-EXAMINATION; OPTIMAL EXPERIENCE; MOTIVATION; FACEBOOK; AD; INTENTION; ATTITUDES; USERS</t>
  </si>
  <si>
    <t>Our article aims to investigate the factors, precisely motives for TikTok use, perceived ad intrusiveness, attitude toward advertising, ad credibility, ad value, and online flow experience, driving buying impulsiveness among Generation Z users on TikTok. We developed and analyzed a theoretical model using SmartPLS. We used a quantitative-based approach to collect data by surveying a convenience sample of 2406 online questionnaires. The results indicate that motives for TikTok use negatively affect perceived ad intrusiveness while positively affecting the online flow experience and ad credibility. Attitude towards advertising negatively impacts perceived ad intrusiveness, while attitude towards advertising positively influences ad credibility and value. Furthermore, ad credibility has a positive impact on ad value, which, in turn, positively influences online impulse buying. As such, adapted ad content leads to a positive attitude toward advertising, creating an optimal experience on the platform and a positive perception of ads regarding credibility and value.</t>
  </si>
  <si>
    <t>[Obada, Daniel-Rares] Alexandru Ioan Cuza Univ, Fac Philosophy &amp; Sociopolit Sci, Dept Commun Sci &amp; Publ Relat, Iasi, Romania; [Tugulea, Oana] Alexandru Ioan Cuza Univ, Fac Econ &amp; Business Adm, Dept Management Mkt &amp; Business Adm, Iasi, Romania</t>
  </si>
  <si>
    <t>Alexandru Ioan Cuza University; Alexandru Ioan Cuza University</t>
  </si>
  <si>
    <t>Obada, DR (corresponding author), Alexandru Ioan Cuza Univ, Fac Philosophy &amp; Sociopolit Sci, Dept Commun Sci &amp; Publ Relat, Iasi, Romania.</t>
  </si>
  <si>
    <t>daniel.obada@uaic.ro</t>
  </si>
  <si>
    <t>Obadă, Daniel-Rareș/ABG-5775-2021</t>
  </si>
  <si>
    <t>Alexandru Ioan Cuza University of Iasi through the Fund for Financing Scientific Research in Universities</t>
  </si>
  <si>
    <t>The author(s) declare that financial support was received for the research, authorship, and/or publication of this article. The APC was funded by the Alexandru Ioan Cuza University of Iasi through the Fund for Financing Scientific Research in Universities.</t>
  </si>
  <si>
    <t>2297-900X</t>
  </si>
  <si>
    <t>FRONT COMMUN</t>
  </si>
  <si>
    <t>Front. Commun.</t>
  </si>
  <si>
    <t>SEP 11</t>
  </si>
  <si>
    <t>10.3389/fcomm.2024.1470327</t>
  </si>
  <si>
    <t>G7Y3U</t>
  </si>
  <si>
    <t>WOS:001318742800001</t>
  </si>
  <si>
    <t>Zhou, Q; Sotiriadis, M; Shen, SW</t>
  </si>
  <si>
    <t>Zhou, Qing; Sotiriadis, Marios; Shen, Shiwei</t>
  </si>
  <si>
    <t>Using TikTok in tourism destination choice: A young Chinese tourists' perspective</t>
  </si>
  <si>
    <t>TOURISM MANAGEMENT PERSPECTIVES</t>
  </si>
  <si>
    <t>Tourists' decision-making; Destination marketing; TikTok; Millennials; Generation Z; China</t>
  </si>
  <si>
    <t>TRAVEL DECISION-MAKING; WORD-OF-MOUTH; SOCIAL MEDIA; UNIFIED THEORY; INFORMATION-TECHNOLOGY; ONLINE; ACCEPTANCE; INTENTION; MODEL; MILLENNIALS</t>
  </si>
  <si>
    <t>This study adopted the unified theory of acceptance and use of technology 2 to investigate the influence of TikTok on the travel decision-making of young Chinese tourists. The model was further adapted by introducing the variable of perceived trust and using age as a moderating variable, to examine the differences between millennials and Generation Z. The findings of multiple cluster analysis and structural equation modeling indicated that perceived trust and hedonic motivation were the most important drivers of these tourists' actual behavior. The results also revealed that there are significant differences in the factors that influence the choice of destination for Millennials and Gen Z using TikTok. This study enriches research and empirical investigation of TikTok in the context of tourism marketing and consumer decision-making in the digital environment. Its findings will help tourism marketers use short video-sharing platforms more effectively as an element of marketing.</t>
  </si>
  <si>
    <t>[Zhou, Qing; Sotiriadis, Marios; Shen, Shiwei] Ningbo Univ Univ Angers Joint Inst, Tourism Dept, Ningbo 315211, Peoples R China</t>
  </si>
  <si>
    <t>Shen, SW (corresponding author), Ningbo Univ Univ Angers Joint Inst, Tourism Dept, Ningbo 315211, Peoples R China.</t>
  </si>
  <si>
    <t>shenshiwei@nbu.edu.cn</t>
  </si>
  <si>
    <t>Zhou, Qing/ABG-8848-2021</t>
  </si>
  <si>
    <t>2211-9736</t>
  </si>
  <si>
    <t>2211-9744</t>
  </si>
  <si>
    <t>TOUR MANAG PERSPECT</t>
  </si>
  <si>
    <t>Tour. Manag. Perspect.</t>
  </si>
  <si>
    <t>10.1016/j.tmp.2023.101101</t>
  </si>
  <si>
    <t>Hospitality, Leisure, Sport &amp; Tourism; Management</t>
  </si>
  <si>
    <t>Social Sciences - Other Topics; Business &amp; Economics</t>
  </si>
  <si>
    <t>C2QD8</t>
  </si>
  <si>
    <t>WOS:000960416500001</t>
  </si>
  <si>
    <t>Larsen, MN</t>
  </si>
  <si>
    <t>Larsen, Mathias Nimgaard</t>
  </si>
  <si>
    <t>Personal and social guidance in children's development. How youth personalize and (re)construct digital TikTok-practices</t>
  </si>
  <si>
    <t>INTEGRATIVE PSYCHOLOGICAL AND BEHAVIORAL SCIENCE</t>
  </si>
  <si>
    <t>Persistent imitation; Baldwin; Development; Children; Culture; TikTok</t>
  </si>
  <si>
    <t>SCREEN-TIME; HEALTH</t>
  </si>
  <si>
    <t>This article explores how human development is constrained by collective and personal meaning-making processes. The empirical work of the study is grounded in interviews with children and educational staff at a Danish youth club and concerns children's selection, personalization, and (re)construction of various TikTok-trends through the digital media, TikTok. With empirical examples from both the children and the educational staff, the analytical work is anchored in James Mark Baldwin's theoretical conceptualization of persistent imitation. It will be argued that children's persistent imitation is guided by and may diverge from historical and cultural meanings with a twofold attention to the TikTok-community and the educational staff. Here, the notion of inappropriate imitation, or development, will be unfolded as a resistant meaning construction in the tension field between what is being promoted by the collective and what is imitated by the child. Following this, it will be argued that the social guidance creates developmental ruptures and stability during ontogeny.</t>
  </si>
  <si>
    <t>mathias.nimgaard.larsen@gmail.com</t>
  </si>
  <si>
    <t>Larsen, Mathias Nimgaard/0000-0003-1947-0996</t>
  </si>
  <si>
    <t>1932-4502</t>
  </si>
  <si>
    <t>1936-3567</t>
  </si>
  <si>
    <t>INTEGR PSYCHOL BEHAV</t>
  </si>
  <si>
    <t>Integr. Psychol. Behav. Sci.</t>
  </si>
  <si>
    <t>10.1007/s12124-022-09712-5</t>
  </si>
  <si>
    <t>Psychology, Biological; Neurosciences</t>
  </si>
  <si>
    <t>Psychology; Neurosciences &amp; Neurology</t>
  </si>
  <si>
    <t>F7YQ7</t>
  </si>
  <si>
    <t>WOS:000819902700002</t>
  </si>
  <si>
    <t>Lan, DH; Tung, TM</t>
  </si>
  <si>
    <t>Lan, Duong Hoai; Tung, Tran Minh</t>
  </si>
  <si>
    <t>Exploring fake news awareness and trust in the age of social media among university student TikTok users</t>
  </si>
  <si>
    <t>Fake news; TikTok; media trust; social media; credibility; university students</t>
  </si>
  <si>
    <t>INFORMATION CREDIBILITY; CONSUMER ENGAGEMENT; PEOPLE WATCH; MISINFORMATION; PERCEPTIONS; LITERACY; COMMUNICATION; COVID-19; FACEBOOK; VERIFICATION</t>
  </si>
  <si>
    <t>This study explores the awareness of fake news and trust dynamics among University students on TikTok. Utilizing qualitative research through semi-structured interviews with University students in Vietnam, the findings reveal a generally acknowledged presence of fake news on TikTok, accompanied by varying levels of trust in the platform's content. Key factors influencing trust include content creator credibility, user engagement, and familiarity with creators. Beyond academic implications, this research offers practical insights into the digital literacy, information consumption habits, and susceptibility to fake news among university students. The study advocates for heightened digital literacy education, encouraging critical evaluation of online content, not only benefiting the university demographic but contributing to broader public awareness.</t>
  </si>
  <si>
    <t>[Lan, Duong Hoai; Tung, Tran Minh] Swinburne Vietnam FPT Univ, Business Dept, Danang, Vietnam</t>
  </si>
  <si>
    <t>Lan, DH (corresponding author), Swinburne Vietnam FPT Univ, Business Dept, Danang, Vietnam.</t>
  </si>
  <si>
    <t>landh4@fe.edu.vn</t>
  </si>
  <si>
    <t>, Dr. Tran Minh Tung (PhD, DBA, EdD)/0000-0002-4238-882X; Duong, Hoai Lan/0009-0001-4155-083X</t>
  </si>
  <si>
    <t>10.1080/23311886.2024.2302216</t>
  </si>
  <si>
    <t>GE8V7</t>
  </si>
  <si>
    <t>WOS:001151090600001</t>
  </si>
  <si>
    <t>Hillman-McCord, J</t>
  </si>
  <si>
    <t>Hillman-McCord, Jessica</t>
  </si>
  <si>
    <t>Tiktok Broadway: Musical theater fandom in the digital age</t>
  </si>
  <si>
    <t>JOURNAL OF POPULAR CULTURE</t>
  </si>
  <si>
    <t>Music Performance Review; Early Access</t>
  </si>
  <si>
    <t>[Hillman-McCord, Jessica] SUNY Coll Fredonia, Dept Theatre &amp; Dance, Fredonia, NY 14063 USA</t>
  </si>
  <si>
    <t>State University of New York (SUNY) System; SUNY Fredonia</t>
  </si>
  <si>
    <t>Hillman-McCord, J (corresponding author), SUNY Coll Fredonia, Dept Theatre &amp; Dance, Fredonia, NY 14063 USA.</t>
  </si>
  <si>
    <t>hillmanm@fredonia.edu</t>
  </si>
  <si>
    <t>0022-3840</t>
  </si>
  <si>
    <t>1540-5931</t>
  </si>
  <si>
    <t>J POP CULT</t>
  </si>
  <si>
    <t>J. Pop. Cult.</t>
  </si>
  <si>
    <t>2024 SEP 4</t>
  </si>
  <si>
    <t>10.1111/jpcu.13382</t>
  </si>
  <si>
    <t>Humanities, Multidisciplinary; Cultural Studies</t>
  </si>
  <si>
    <t>Arts &amp; Humanities - Other Topics; Cultural Studies</t>
  </si>
  <si>
    <t>H9W6Q</t>
  </si>
  <si>
    <t>WOS:001326868600001</t>
  </si>
  <si>
    <t>Zhang, R; Zhang, ZW; Jie, H; Guo, Y; Liu, Y; Yang, Y; Li, C; Guo, CL</t>
  </si>
  <si>
    <t>Zhang, Ren; Zhang, Zhiwei; Jie, Hui; Guo, Yi; Liu, Yi; Yang, Yuan; Li, Chuan; Guo, Chenglin</t>
  </si>
  <si>
    <t>Analyzing dissemination, quality, and reliability of Chinese brain tumor-related short videos on TikTok and Bilibili: a cross-sectional study</t>
  </si>
  <si>
    <t>FRONTIERS IN NEUROLOGY</t>
  </si>
  <si>
    <t>brain tumors; short videos; XGBoost; DISCERN; Global Quality Score; social media</t>
  </si>
  <si>
    <t>INFORMATION; DEPRESSION; DISCERN</t>
  </si>
  <si>
    <t>Background As the Internet becomes an increasingly vital source of medical information, the quality and reliability of brain tumor-related short videos on platforms such as TikTok and Bilibili have not been adequately evaluated. Therefore, this study aims to assess these aspects and explore the factors influencing the dissemination of such videos.Methods A cross-sectional analysis was conducted on the top 100 brain tumor-related short videos from TikTok and Bilibili. The videos were evaluated using the Global Quality Score and the DISCERN reliability instrument. An eXtreme Gradient Boosting algorithm was utilized to predict dissemination outcomes. The videos were also categorized by content type and uploader.Results TikTok videos scored relatively higher on both the Global Quality Score (median 2, interquartile range [2, 3] on TikTok vs. median 2, interquartile range [1, 2] on Bilibili, p = 1.51E-04) and the DISCERN reliability instrument (median 15, interquartile range [13, 18.25] on TikTok vs. 13.5, interquartile range [11, 16] on Bilibili, p = 1.66E-04). Subgroup analysis revealed that videos uploaded by professional individuals and institutions had higher quality and reliability compared to those uploaded by non-professional entities. Videos focusing on disease knowledge exhibited the highest quality and reliability compared to other content types. The number of followers emerged as the most important variable in our dissemination prediction model.Conclusion The overall quality and reliability of brain tumor-related short videos on TikTok and Bilibili were unsatisfactory and did not significantly influence video dissemination. Future research should expand the scope to better understand the factors driving the dissemination of medical-themed videos.</t>
  </si>
  <si>
    <t>[Zhang, Ren; Zhang, Zhiwei; Jie, Hui; Liu, Yi; Li, Chuan; Guo, Chenglin] Sichuan Univ, West China Hosp, Dept Thorac Surg, Chengdu, Peoples R China; [Zhang, Ren; Zhang, Zhiwei; Jie, Hui; Liu, Yi; Li, Chuan; Guo, Chenglin] Sichuan Univ, West China Hosp, Inst Thorac Oncol, Chengdu, Peoples R China; [Zhang, Ren; Zhang, Zhiwei; Guo, Yi] Sichuan Univ, West China Med Sch, Chengdu, Peoples R China; [Yang, Yuan] Sichuan Univ, West China Hosp, Dept Neurosurg, Chengdu, Peoples R China</t>
  </si>
  <si>
    <t>Sichuan University; Sichuan University; Sichuan University; Sichuan University</t>
  </si>
  <si>
    <t>Guo, CL (corresponding author), Sichuan Univ, West China Hosp, Dept Thorac Surg, Chengdu, Peoples R China.;Guo, CL (corresponding author), Sichuan Univ, West China Hosp, Inst Thorac Oncol, Chengdu, Peoples R China.</t>
  </si>
  <si>
    <t>guochenglin825@aliyun.com</t>
  </si>
  <si>
    <t>Key Science and Technology Program of Sichuan Province, China [2022YFS0158]; Sichuan Science and Technology Support Program [2022NSFSC1590]; Sichuan Science and Technology Program [2023YFG0127]; Key Projects of Sichuan Province [2022YFS0375]</t>
  </si>
  <si>
    <t>Key Science and Technology Program of Sichuan Province, China; Sichuan Science and Technology Support Program; Sichuan Science and Technology Program; Key Projects of Sichuan Province</t>
  </si>
  <si>
    <t>The author(s) declare that financial support was received for the research, authorship, and/or publication of this article. This study was supported by the Key Science and Technology Program of Sichuan Province, China (No. 2022YFS0158 to Chenglin Guo), the Sichuan Science and Technology Support Program (2022NSFSC1590 to Hui Jie), the Sichuan Science and Technology Program (2023YFG0127 to Yuan Yang), and the Key Projects of Sichuan Province (No. 2022YFS0375 to Chuan Li).</t>
  </si>
  <si>
    <t>1664-2295</t>
  </si>
  <si>
    <t>FRONT NEUROL</t>
  </si>
  <si>
    <t>Front. Neurol.</t>
  </si>
  <si>
    <t>10.3389/fneur.2024.1404038</t>
  </si>
  <si>
    <t>K6X8C</t>
  </si>
  <si>
    <t>WOS:001345295200001</t>
  </si>
  <si>
    <t>Lai, YK; He, ZX; Liu, YL; Yin, XJ; Fan, XM; Rao, Z; Fu, HY; Gu, L; Xia, T</t>
  </si>
  <si>
    <t>Lai, Yongkang; He, Zixuan; Liu, Yilong; Yin, Xiaojing; Fan, Xuanming; Rao, Ziang; Fu, Hongyu; Gu, Lun; Xia, Tian</t>
  </si>
  <si>
    <t>The quality and reliability of TikTok videos on non-alcoholic fatty liver disease: a propensity score matching analysis</t>
  </si>
  <si>
    <t>nonalcoholic fatty liver disease; lifestyle modification; TikTok; health education; social media</t>
  </si>
  <si>
    <t>LIFE-STYLE MODIFICATION; HEPATIC STEATOSIS; WEIGHT-LOSS; INFORMATION; YOUTUBE; DIET</t>
  </si>
  <si>
    <t>BackgroundLifestyle modification is the cornerstone of non-alcoholic fatty liver disease (NAFLD) prevention and treatment. Short video platforms can facilitate easier access to health information for patients, thereby influencing lifestyle changes. An increasing number of individuals rely on online platforms to acquire health-related information about NAFLD. However, the quality of information regarding NAFLD on these platforms remains unclear.ObjectiveThis study aimed to investigate the quality of information about NAFLD on TikTok.MethodsA total of 497 videos were retrieved from TikTok. The basic video information, including the video source, was extracted. Two independent raters evaluated the quality and reliability of the videos using the Global Quality Score system and a modified DISCERN tool. Propensity score matching (PSM) was used to compare video quality across sources.ResultsNAFLD-related videos on TikTok were divided into three groups according to the uploader: health professionals, medical institutions, and science bloggers. Overall, the quality of NAFLD videos on TikTok was not satisfactory. Before PSM, there were no significant differences in video quality or content between the three groups. After PSM, the quality of NAFLD videos from health professionals was significantly better than the videos created by other groups. Besides, the videos of health professionals outperformed those of medical institutions and science bloggers in terms of the definition of disease, risk factors, and treatment, but were inferior to those of medical institutions considering the symptoms and tests of NAFLD.ConclusionThe quality of NAFLD-related videos on TikTok needs improvement. Compared with videos created by science bloggers and medical institutions, videos from health professionals may provide accurate guidance on the treatment and prevention of NAFLD.</t>
  </si>
  <si>
    <t>[Lai, Yongkang; He, Zixuan; Yin, Xiaojing; Fan, Xuanming; Fu, Hongyu; Gu, Lun; Xia, Tian] Second Mil Med Univ, Naval Med Univ, Changhai Hosp, Dept Gastroenterol, Shanghai, Peoples R China; [Lai, Yongkang] Nanchang Univ, Ganzhou Peoples Hosp, Dept Gastroenterol, Ganzhou, Jiangxi, Peoples R China; [Liu, Yilong; Rao, Ziang] Second Mil Med Univ, Naval Med Univ, Coll Basic Med Sci, Shanghai, Peoples R China</t>
  </si>
  <si>
    <t>Naval Medical University; Nanchang University; Naval Medical University</t>
  </si>
  <si>
    <t>Fu, HY; Gu, L; Xia, T (corresponding author), Second Mil Med Univ, Naval Med Univ, Changhai Hosp, Dept Gastroenterol, Shanghai, Peoples R China.</t>
  </si>
  <si>
    <t>fuhongyu001@126.com; gulun0307@163.com; magicsummer1987@hotmail.com</t>
  </si>
  <si>
    <t>he, zixuan/ADY-7938-2022; yongkang, lai/JBR-9816-2023</t>
  </si>
  <si>
    <t>ZH was supported by the Shanghai Sailing Program (No. 23YF1458700) and the Youth Start-up Fund of Naval Medical University (No. 2022QN065). [23YF1458700]; Shanghai Sailing Program [2022QN065]; Youth Start-up Fund of Naval Medical University</t>
  </si>
  <si>
    <t>ZH was supported by the Shanghai Sailing Program (No. 23YF1458700) and the Youth Start-up Fund of Naval Medical University (No. 2022QN065).; Shanghai Sailing Program; Youth Start-up Fund of Naval Medical University</t>
  </si>
  <si>
    <t>We thank Bullet Edits Limited for the linguistic editing and proofreading of the manuscript.r ZH was supported by the Shanghai Sailing Program (No. 23YF1458700) and the Youth Start-up Fund of Naval Medical University (No. 2022QN065).</t>
  </si>
  <si>
    <t>OCT 4</t>
  </si>
  <si>
    <t>10.3389/fpubh.2023.1231240</t>
  </si>
  <si>
    <t>U9KM9</t>
  </si>
  <si>
    <t>WOS:001087921200001</t>
  </si>
  <si>
    <t>Roth, R; Ajithkumar, P; Natarajan, G; Achuthan, K; Moon, P; Zinzow, H; Madathil, KC</t>
  </si>
  <si>
    <t>Roth, R.; Ajithkumar, P.; Natarajan, G.; Achuthan, K.; Moon, P.; Zinzow, H.; Madathil, K. Chalil</t>
  </si>
  <si>
    <t>A study of adolescents' and young adults' TikTok challenge participation in South India</t>
  </si>
  <si>
    <t>TikTok; social media; Viral challenges; Young adults; Integrated behavior model</t>
  </si>
  <si>
    <t>Involvement in social media activities has become a significant aspect of adolescents' lives. Participation in numerous social media challenges with a variety of goals is also common among youth across platforms. Recently, the new app called TikTok has resulted in an increased level and variety of social media activities among youth. This study examines the factors related to participation in TikTok challenges, their potential impacts on adolescents and young adults, and participant reflection after performing a challenge. We recruited 25 adolescents and young adults who were actively involved in TikTok challenges from several secondary schools and colleges in South India. We administered a semi-structured, retrospective interview after screening participants through an online survey. The interview assessed motivations for participation, content of social media posts, and perceived consequences of participation. Based on the integrated behavior model, we conducted a theoretically grounded thematic analysis of the data. Our thematic analysis revealed that the factors closely related to the integrated behavior model motivated participation, such as attitudes, norms, personal agency, knowledge and skill, environmental constraints, habits, and individual differences. Further, one of the most frequent reasons reported as a motivational factor was being affirmed by others or peer pressure. Participants typically reported enjoying these challenges and experiencing positive feelings after completing the challenge. Overall, the participants seemed to have positive views of TikTok challenges and enjoyed the views and likes that came from posting about their participation in the challenge. Irrespective of the type of challenge participated in, the participants commented that taking part in online challenges is enjoyable and makes them feel confident. In sum, these adolescents appear to spend large amounts of time on TikTok due to the lure of online challenges and associated emotional states.</t>
  </si>
  <si>
    <t>[Roth, R.] Med Univ South Carolina, Dept Neurol, Charleston, SC USA; [Ajithkumar, P.; Natarajan, G.; Achuthan, K.] Amrita Inst Med Sci, Dept Clin Psychol, Kochi, India; [Moon, P.; Zinzow, H.] Clemson Univ, Dept Psychol, Clemson, SC USA; [Madathil, K. Chalil] Clemson Univ, Dept Civil &amp; Ind Engn, Clemson, SC USA</t>
  </si>
  <si>
    <t>Medical University of South Carolina; Amrita Vishwa Vidyapeetham; Amrita Vishwa Vidyapeetham Kochi; Clemson University; Clemson University</t>
  </si>
  <si>
    <t>Roth, R (corresponding author), Univ South Carolina, 96 Jonathan Lucas St, Charleston, SC 29208 USA.;Madathil, KC (corresponding author), Clemson Univ, 212 Lowry Hall, Clemson, SC 29634 USA.</t>
  </si>
  <si>
    <t>rothr@musc.edu; kmadath@clemson.edu</t>
  </si>
  <si>
    <t>This study was funded by the National Science Foundation , grant number 1832904 .</t>
  </si>
  <si>
    <t>10.1016/j.hfh.2022.100005</t>
  </si>
  <si>
    <t>J2T8U</t>
  </si>
  <si>
    <t>WOS:001335652100001</t>
  </si>
  <si>
    <t>Tan, RY; Pua, AE; Wong, LL; Yap, KYL</t>
  </si>
  <si>
    <t>Tan, Ryan Yanqi; Pua, Alyssa Elyn; Wong, Li Lian; Yap, Kevin Yi-Lwern</t>
  </si>
  <si>
    <t>Assessing the quality of COVID-19 vaccine videos on video-sharing platforms</t>
  </si>
  <si>
    <t>EXPLORATORY RESEARCH IN CLINICAL AND SOCIAL PHARMACY</t>
  </si>
  <si>
    <t>COVID-19 vaccines; Facebook Watch; Information quality; TikTok; Video -sharing platforms; YouTube</t>
  </si>
  <si>
    <t>Background: Video-sharing platforms are a common source for health information such as Coronavirus Disease 2019 (COVID-19) vaccines. It is important that they provide good quality, evidence-based information. However, to date, the quality of information surrounding COVID-19 vaccines on video-sharing platforms has not been established.Objective: This study developed an assessment tool to evaluate the quality of Coronavirus Disease 2019 (COVID-19) vaccine videos on YouTube, Facebook Watch and TikTok.Methods: Assessment of quality was based on understandability, actionability, accuracy, comprehensiveness and reliability. Videos were searched using the keywords COVID-19 vaccine, Coronavirus vaccine and SARS-CoV-2 vaccine. Seventy-two videos were evaluated. Descriptive statistics, Kruskal-Wallis and Wilcoxon-rank sum tests were used for analysis. Results: YouTube had the highest median composite score compared to TikTok (36.8% versus 27.5%, p = 0.001). YouTube also had the highest median reliability score (37.5%), but those of Facebook Watch (35.0%) and TikTok (35.0%) were only marginally lower. Median accuracy scores of all platforms were 100%, but their median comprehensiveness scores were low (YouTube 12.5%; Facebook Watch 6.3%; TikTok 6.3%, p = 0.004). Median actionability scores (0%) were the lowest for all platforms. TikTok had the highest median understandability score compared to YouTube and Facebook Watch (96.9% versus 80.0 each, p &lt; 0.001).Conclusion: The overall quality of videos on all video-sharing platforms were low. All platforms provided accurate COVID-19 vaccine information, but TikTok videos were the most understandable. Most videos did not provide full details about COVID-19 vaccines, thus viewers would need to watch several videos before making a better-informed decision.</t>
  </si>
  <si>
    <t>[Tan, Ryan Yanqi; Wong, Li Lian] Natl Univ Singapore, Fac Sci, Dept Pharm, Block S4A Level 3,18 Sci Dr 4, Singapore 117543, Singapore; [Pua, Alyssa Elyn] St Joseph Inst Int, 490 Thomson Rd, Singapore 298191, Singapore; [Yap, Kevin Yi-Lwern] La Trobe Univ, Sch Psychol &amp; Publ Hlth, Dept Publ Hlth, Melbourne, Vic 3086, Australia</t>
  </si>
  <si>
    <t>National University of Singapore; La Trobe University</t>
  </si>
  <si>
    <t>Yap, KYL (corresponding author), La Trobe Univ, Sch Psychol &amp; Publ Hlth, Dept Publ Hlth, Melbourne, Vic 3086, Australia.</t>
  </si>
  <si>
    <t>k.yap@latrobe.edu.au</t>
  </si>
  <si>
    <t>wong, li/ABF-6896-2021</t>
  </si>
  <si>
    <t>2667-2766</t>
  </si>
  <si>
    <t>EXPLOR RES CLIN SOC</t>
  </si>
  <si>
    <t>Explor. Res. Clin. Soc. Pharm.</t>
  </si>
  <si>
    <t>10.1016/j.rcsop.2021.100035</t>
  </si>
  <si>
    <t>DZ7E8</t>
  </si>
  <si>
    <t>WOS:001135976900019</t>
  </si>
  <si>
    <t>Jiang, KL; Nordli, DN; Galan, F</t>
  </si>
  <si>
    <t>Jiang, Kallie; Nordli III, Douglas R.; Galan, Fernando</t>
  </si>
  <si>
    <t>The devil is in the details: Understanding how misinformation regarding epilepsy manifests in TikTok videos</t>
  </si>
  <si>
    <t>EPILEPTIC DISORDERS</t>
  </si>
  <si>
    <t>epilepsy; misinformation; nonepileptic events; social media; TikTok; video</t>
  </si>
  <si>
    <t>Objective: This study sought to understand the amount of misinformation surrounding epilepsy on the social media platform, TikTok.Methods: Videos from TikTok were searched using keyword epilepsy. In all, 109 videos were categorized as personal experience videos, event videos, or educational videos. Misinformation surrounding each video was analyzed by two independent reviewers. The number of videos and views of each were tracked.Results: Event videos garnered the most attention (80% of total views). Of the event videos, 26/47 contained misinformation in the form of calling a nonepileptic event an epileptic seizure (55%). Videos of nonepileptic events labeled as epileptic seizures amassed 109 956 400 views.Significance: This novel study quantifies the amount of misinformation regarding epilepsy on the social media platform, TikTok. The results showcase that misinformation is very prevalent on the application. Most of the misinformation consists of the mislabeling of nonepileptic events as epileptic seizures. Physicians should be aware of cardinal features of nonepileptic events to better treat patients. The medical community must understand the type of misinformation people are exposed to in order to educate patients appropriately.</t>
  </si>
  <si>
    <t>[Jiang, Kallie] Midwestern Univ, Chicago Coll Osteopath Med, 555 31st St, Downers Grove, IL 60515 USA; [Nordli III, Douglas R.; Galan, Fernando] Mayo Clin Florida, 4500 San Pablo Ave, Jacksonville, FL 32207 USA; [Galan, Fernando] Nemours Childrens Hlth, 807 Childrens Way, Jacksonville, FL 32207 USA</t>
  </si>
  <si>
    <t>Midwestern University; Midwestern University - Chicago College of Osteopathic Medicine; Mayo Clinic</t>
  </si>
  <si>
    <t>Nordli, DN (corresponding author), Mayo Clin Florida, 4500 San Pablo Ave, Jacksonville, FL 32207 USA.</t>
  </si>
  <si>
    <t>nordli.douglas@mayo.edu</t>
  </si>
  <si>
    <t>Nordli, Douglas/HTM-2975-2023</t>
  </si>
  <si>
    <t>Nordli, Douglas/0000-0002-3995-5467; Galan, Fernando/0000-0003-1338-8326</t>
  </si>
  <si>
    <t>1294-9361</t>
  </si>
  <si>
    <t>1950-6945</t>
  </si>
  <si>
    <t>EPILEPTIC DISORD</t>
  </si>
  <si>
    <t>Epileptic Disord.</t>
  </si>
  <si>
    <t>10.1002/epd2.20036</t>
  </si>
  <si>
    <t>G8DG4</t>
  </si>
  <si>
    <t>WOS:000973527300001</t>
  </si>
  <si>
    <t>Ng, R; Indran, N</t>
  </si>
  <si>
    <t>Ng, Reuben; Indran, Nicole</t>
  </si>
  <si>
    <t>Hostility Toward Baby Boomers on TikTok</t>
  </si>
  <si>
    <t>GERONTOLOGIST</t>
  </si>
  <si>
    <t>Content analysis; Generational stereotypes; Intergenerational tension; TikTok; Videos</t>
  </si>
  <si>
    <t>INTERGROUP CONTACT; NEGATIVE CONTACT; OLDER-ADULTS; CONFLICT</t>
  </si>
  <si>
    <t>Background and Objectives: The recent entry of the hashtag #OkBoomer into social media vernacular underscores the collective frustration of younger people with a group whose views they find increasingly incompatible with theirs. Most social media analyses in gerontology focus on the content on Twitter and Facebook, with content on TikTok virtually unexplored. Given the burgeoning popularity of TikTok among younger people, we assess the content of TikTok videos with the hashtags #OkBoomer or #Boomer to distill the undercurrents of hostility expressed by younger people toward Baby Boomers. Research Design and Methods: We collated TikTok videos (N = 332) with the hashtags #OkBoomer or #Boomer, which received over 5.4 billion views. Both inductive and deductive approaches guided the qualitative content analysis of the videos. Results: Five themes emerged. Most videos (79%) described Negative Encounters with Baby Boomers (Theme 1); 58% were about Conflicting Values/Beliefs between Baby Boomers and Younger People (Theme 2); 39% were about Baby Boomers Antagonizing Younger Generations (Theme 3); 22% of the videos made references to the Karen Meme (Theme 4); and 7% bemoaned the existence of a Wealth Gap between Baby Boomers and younger people (Theme 5). Discussion and Implications: Findings reveal that the usage of the hashtags #OkBoomer and #Boomer is highly nuanced, at times explicitly ageist, and at others, emblematic of a phenomenon far more complex than ageism. There is a need to leverage social media as a space to foster interaction between older and younger people. Society is ultimately well served by intergenerational interaction.</t>
  </si>
  <si>
    <t>[Ng, Reuben; Indran, Nicole] Natl Univ Singapore, Lee Kuan Yew Sch Publ Policy, 469C Bukit Timah Rd, Singapore 259772, Singapore; [Ng, Reuben] Natl Univ Singapore, Lloyds Register Fdn Inst Publ Understanding Risk, Singapore, Singapore</t>
  </si>
  <si>
    <t>National University of Singapore; National University of Singapore</t>
  </si>
  <si>
    <t>Ng, R (corresponding author), Natl Univ Singapore, Lee Kuan Yew Sch Publ Policy, 469C Bukit Timah Rd, Singapore 259772, Singapore.</t>
  </si>
  <si>
    <t>spprng@nus.edu.sg</t>
  </si>
  <si>
    <t>Indran, Nicole/JTV-0990-2023; Ng, Reuben/A-2931-2009</t>
  </si>
  <si>
    <t>Indran, Nicole/0000-0003-3095-2988; Ng, Reuben/0000-0002-1186-0570</t>
  </si>
  <si>
    <t>Social Science Research Council SSHR Fellowship [MOE2018-SSHR-004]</t>
  </si>
  <si>
    <t>Social Science Research Council SSHR Fellowship</t>
  </si>
  <si>
    <t>We gratefully acknowledge the support of the Social Science Research Council SSHR Fellowship (MOE2018-SSHR-004). The funder had no role in study design, data collection, analysis, writing, and decision to publish.</t>
  </si>
  <si>
    <t>0016-9013</t>
  </si>
  <si>
    <t>1758-5341</t>
  </si>
  <si>
    <t>Gerontologist</t>
  </si>
  <si>
    <t>SEP 7</t>
  </si>
  <si>
    <t>10.1093/geront/gnac020</t>
  </si>
  <si>
    <t>MAY 2022</t>
  </si>
  <si>
    <t>Gerontology</t>
  </si>
  <si>
    <t>Geriatrics &amp; Gerontology</t>
  </si>
  <si>
    <t>4I5OK</t>
  </si>
  <si>
    <t>WOS:000796636100001</t>
  </si>
  <si>
    <t>Om, A; Ijeoma, B; Kebede, S; Losken, A</t>
  </si>
  <si>
    <t>Om, Anjali; Ijeoma, Bobby; Kebede, Sara; Losken, Albert</t>
  </si>
  <si>
    <t>Analyzing the Quality of Aesthetic Surgery Procedure Videos on TikTok</t>
  </si>
  <si>
    <t>AESTHETIC SURGERY JOURNAL</t>
  </si>
  <si>
    <t>Background TikTok is one of the most popular and fastest-growing social media apps in the world. Previous studies have analyzed the quality of patient education information on older video platforms, but the quality of plastic and cosmetic surgery videos on TikTok has not yet been determined. Objectives The aim of this study was to analyze the source and quality of certain cosmetic procedure videos on TikTok. Methods The TikTok mobile application was queried for content related to 2 popular face procedures (rhinoplasty and blepharoplasty) and 2 body procedures (breast augmentation and abdominoplasty). Two independent reviewers analyzed video content according to the DISCERN scale, a validated, objective instrument that assesses the quality of information on a scale of 1 to 5. Quality scores were compared between videos produced by medical and nonmedical creators and between different content categories. Results The included videos attracted 4.8 billion views and 76.2 million likes. Videos were created by medical doctors (56%) and laypersons (44%). The overall average DISCERN score out of 5 corresponded to very poor video quality for rhinoplasty (1.55), blepharoplasty (1.44), breast augmentation (1.25), and abdominoplasty (1.29). DISCERN scores were significantly higher among videos produced by doctors than by laypersons for all surgeries. Comedy videos consistently had the lowest average DISCERN scores, whereas educational videos had the highest. Conclusions It is increasingly important that medical professionals understand the possibility of patient misinformation in the age of social media. We encourage medical providers to be involved in creating quality information on TikTok and educate patients about misinformation to best support health literacy.</t>
  </si>
  <si>
    <t>[Om, Anjali; Ijeoma, Bobby; Kebede, Sara; Losken, Albert] Emory Univ, Sch Med, Dept Surg, Div Plast &amp; Reconstruct Surg, Atlanta, GA 30322 USA</t>
  </si>
  <si>
    <t>Emory University</t>
  </si>
  <si>
    <t>Om, A (corresponding author), 100 Woodruff Cir, Atlanta, GA 30322 USA.</t>
  </si>
  <si>
    <t>anjali.om@emory.edu</t>
  </si>
  <si>
    <t>1090-820X</t>
  </si>
  <si>
    <t>1527-330X</t>
  </si>
  <si>
    <t>AESTHET SURG J</t>
  </si>
  <si>
    <t>Aesthet. Surg. J.</t>
  </si>
  <si>
    <t>NOV 12</t>
  </si>
  <si>
    <t>NP2078</t>
  </si>
  <si>
    <t>NP2083</t>
  </si>
  <si>
    <t>10.1093/asj/sjab291</t>
  </si>
  <si>
    <t>YW5IA</t>
  </si>
  <si>
    <t>WOS:000753445300055</t>
  </si>
  <si>
    <t>Zawacki, EE; Bohon, W; Johnson, S; Charlevoix, DJ</t>
  </si>
  <si>
    <t>Zawacki, Emily E.; Bohon, Wendy; Johnson, Scott; Charlevoix, Donna J.</t>
  </si>
  <si>
    <t>Exploring TikTok as a promising platform for geoscience communication</t>
  </si>
  <si>
    <t>GEOSCIENCE COMMUNICATION</t>
  </si>
  <si>
    <t>SCIENTISTS; SCHOOL</t>
  </si>
  <si>
    <t>With TikTok emerging as one of the most popular social media platforms, there is significant potential for science communicators to capitalize on this success and to share their science with a broad, engaged audience. While videos of chemistry and physics experiments are prominent among educational science content on TikTok, videos related to the geosciences are comparatively lacking, as is an analysis of what types of geoscience videos perform well on TikTok. To increase the visibility of the geosciences and geophysics on TikTok and to determine best strategies for geoscience communication on the app, we created a TikTok account called Terra Explore (@TerraExplore). The Terra Explore account is a joint effort between science communication specialists at UNAVCO, IRIS (Incorporated Research Institutions for Seismology), and OpenTopography. We produced 48 educational geoscience videos over a 4-month period between October 2021 and February 2022. We evaluated the performance of each video based on its reach, engagement, and average view duration to determine the qualities of a successful video. Our video topics primarily focused on seismology, earthquakes, topography, lidar (light detection and ranging), and GPS (Global Positioning System), in alignment with our organizational missions. Over this time period, our videos garnered over 2 million total views, and our account gained over 12 000 followers. The videos that received the most views received nearly all (similar to 97 %) of their views from the For You page, TikTok's algorithmic recommendation feed. We found that short videos (&lt; 30 s) had a high average view duration, but longer videos (&gt; 60 s) had the highest engagement rates. Lecture-style videos that were approximately 60 s in length had more success in both reach and engagement. Our videos that received the highest number of views featured content that was related to a recent newsworthy event (e.g., an earthquake) or that explained location-based geology of a recognizable area. Our results highlight the algorithm-driven nature of TikTok, which results in a low barrier to entry and success for new science communication creators.</t>
  </si>
  <si>
    <t>[Zawacki, Emily E.] Arizona State Univ, Sch Earth &amp; Space Explorat, Tempe, AZ 85287 USA; [Bohon, Wendy] Inc Res Inst Seismol, Washington, DC 20005 USA; [Johnson, Scott; Charlevoix, Donna J.] UNAVCO, Boulder, CO 80301 USA</t>
  </si>
  <si>
    <t>Arizona State University; Arizona State University-Tempe</t>
  </si>
  <si>
    <t>Zawacki, EE (corresponding author), Arizona State Univ, Sch Earth &amp; Space Explorat, Tempe, AZ 85287 USA.</t>
  </si>
  <si>
    <t>eezawack@asu.edu</t>
  </si>
  <si>
    <t>National Science Foundation [1724794, 1948997, 1948994, 1948857]</t>
  </si>
  <si>
    <t>This research has been supported by the National Science Foundation (grant nos. 1724794, 1948997, 1948994,and 1948857).</t>
  </si>
  <si>
    <t>COPERNICUS GESELLSCHAFT MBH</t>
  </si>
  <si>
    <t>GOTTINGEN</t>
  </si>
  <si>
    <t>BAHNHOFSALLEE 1E, GOTTINGEN, 37081, GERMANY</t>
  </si>
  <si>
    <t>2569-7102</t>
  </si>
  <si>
    <t>2569-7110</t>
  </si>
  <si>
    <t>GEOSCI COMMUN</t>
  </si>
  <si>
    <t>Geosci. Commun.</t>
  </si>
  <si>
    <t>NOV 23</t>
  </si>
  <si>
    <t>10.5194/gc-5-363-2022</t>
  </si>
  <si>
    <t>Education &amp; Educational Research; Education, Scientific Disciplines; Geosciences, Multidisciplinary</t>
  </si>
  <si>
    <t>Education &amp; Educational Research; Geology</t>
  </si>
  <si>
    <t>UZ8H5</t>
  </si>
  <si>
    <t>WOS:001251973700001</t>
  </si>
  <si>
    <t>Dewshi, C</t>
  </si>
  <si>
    <t>Dewshi, Claire</t>
  </si>
  <si>
    <t>Dentistry on TikTok - oh no</t>
  </si>
  <si>
    <t>[Dewshi, Claire] DCT2 Restorat Dent, Swansea, W Glam, Wales</t>
  </si>
  <si>
    <t>Dewshi, C (corresponding author), DCT2 Restorat Dent, Swansea, W Glam, Wales.</t>
  </si>
  <si>
    <t>WD8UI</t>
  </si>
  <si>
    <t>WOS:000705209300016</t>
  </si>
  <si>
    <t>Salka, B; Aljamal, M; Almsaddi, F; Kaakarli, H; Nesi, L; Lim, K</t>
  </si>
  <si>
    <t>Salka, Bassel; Aljamal, Malik; Almsaddi, Firas; Kaakarli, Hamza; Nesi, Lauren; Lim, Kenneth</t>
  </si>
  <si>
    <t>TikTok as an Educational Tool for Kidney Stone Prevention</t>
  </si>
  <si>
    <t>tiktok; education; nephrolithiasis; prevention; urolithiasis; kidney stones</t>
  </si>
  <si>
    <t>HEALTH; INFORMATION</t>
  </si>
  <si>
    <t>Introduction: The incidence of kidney stones in the United States continues to increase. Although dietary interventions have shown to be effective in reducing stone events, adherence to medical management continues to be a limiting factor. For that reason, patient education has become a focus of many physicians. TikTok, a social media application with over one billion users worldwide, has emerged as an online center for medical knowledge sharing by physicians and non-physicians alike. TikTok users share kidney stone prevention information through short informational videos directly to the general public. Little is known regarding the quality of medical advice provided in these videos. The purpose of this study was to evaluate the reach and quality of kidney stone prevention information on TikTok. Methods: We conducted a cross-sectional analysis of renal stone prevention content on TikTok utilizing the search term #kidneystoneprevention to assess all the videos appearing on October 10th, 2022. Only videos in English, related to the topic, and with &gt;1000 views were included. Videos were analyzed for descriptive statistics, including views, uploader profession, and stone prevention recommendations. Videos were assessed utilizing Denver International Study Center of Evaluative Rating of Information (DISCERN), a questionnaire used to appraise the quality of consumer health information (maximum score of 80 per video). The one-way analysis of variance (ANOVA) was used to determine statistical significance groups. Results: Out of a total of 131 videos, 87 fit the inclusion criteria, resulting in a total of 8.75 million views. An average DISCERN score of 27.0 was observed. Only eight videos were published by physicians, of which the average DISCERN score of 35.3 was significantly greater than an average score of 26.2 for non-physicians (p&lt;0.05). The most common recommendation was increased fluid intake (38.0%) followed by monitoring calcium levels (9.02%) and decreasing oxalate-rich foods (9.2%). Conclusions: Kidney stone prevention content on TikTok has a wide reach with millions of consumers. The majority of videos fail to match American Urological Association recommendations regarding diet therapies for stone prevention. Further research is needed to understand the extent of kidney stone prevention misinformation on social media and how it contributes to patient outcomes. Increased engagement in TikTok by urologists and health organizations may improve public education.</t>
  </si>
  <si>
    <t>[Salka, Bassel] Univ Michigan, Urol, Ann Arbor, MI 48109 USA; [Aljamal, Malik] Wayne State Univ, Orthopaed, Detroit, MI USA; [Almsaddi, Firas] Michigan State Univ, Orthopaed, Detroit, MI USA; [Kaakarli, Hamza] Univ Michigan, Cardiol, Ann Arbor, MI USA; [Nesi, Lauren; Lim, Kenneth] Detroit Med Ctr, Urol, Detroit, MI USA</t>
  </si>
  <si>
    <t>University of Michigan System; University of Michigan; Wayne State University; Michigan State University; University of Michigan System; University of Michigan; Detroit Medical Center</t>
  </si>
  <si>
    <t>Salka, B (corresponding author), Univ Michigan, Urol, Ann Arbor, MI 48109 USA.</t>
  </si>
  <si>
    <t>bsalka@umich.edu</t>
  </si>
  <si>
    <t>NOV 14</t>
  </si>
  <si>
    <t>e48789</t>
  </si>
  <si>
    <t>10.7759/cureus.48789</t>
  </si>
  <si>
    <t>Z1FI2</t>
  </si>
  <si>
    <t>WOS:001109604800012</t>
  </si>
  <si>
    <t>Jerasa, S; Boffone, T</t>
  </si>
  <si>
    <t>Jerasa, Sarah; Boffone, Trevor</t>
  </si>
  <si>
    <t>BookTok 101: TikTok, Digital Literacies, and Out-of-School Reading Practices</t>
  </si>
  <si>
    <t>JOURNAL OF ADOLESCENT &amp; ADULT LITERACY</t>
  </si>
  <si>
    <t>Digital-based &lt; Textual Genres; Engagement and Agency; Multimodal; Adolescent; young adult literature &lt; Textual Genres; Popular culture &lt; Digital; Online; and Networked Literacies; Production of digital content &lt; Digital; Online; and Networked Literacies; 4-Adolescence</t>
  </si>
  <si>
    <t>There has been a noticeable shift in how young readers approach reading where digital literacy communities serve as much purpose as traditional literacy communities like an ELA classroom. This article offers an introduction to TikTok and BookTok as well as several methods of integrating TikTok into classrooms. As the sub-community for book lovers and readers, BookTok is connected to a lineage of literacy practices. Despite the newness of TikTok, these democratized spaces provide teen readers with agency, community, and digital literacies for their voices, ideas, and creativity to take shape. By including or acknowledging BookTok literacy practices in ELA classrooms, teachers have the potential to hinge on digital literacies that are ultimately shaping students and their cultural understandings.</t>
  </si>
  <si>
    <t>[Jerasa, Sarah] Univ Houston, Literacy Educ, Houston, TX 77004 USA; [Boffone, Trevor] Univ Houston, Womens Gender &amp; Sexual Studies Program, Houston, TX USA; [Boffone, Trevor] Bellaire High Sch, Houston, TX USA</t>
  </si>
  <si>
    <t>University of Houston System; University of Houston; University of Houston System; University of Houston</t>
  </si>
  <si>
    <t>Jerasa, S (corresponding author), Univ Houston, Literacy Educ, Houston, TX 77004 USA.</t>
  </si>
  <si>
    <t>sejerasa@uh.edu; trevor.boffone@gmail.com</t>
  </si>
  <si>
    <t>Jerasa, Sarah/0000-0001-8969-0383</t>
  </si>
  <si>
    <t>1081-3004</t>
  </si>
  <si>
    <t>1936-2706</t>
  </si>
  <si>
    <t>J ADOLESC ADULT LIT</t>
  </si>
  <si>
    <t>J. Adolesc. Adult Lit.</t>
  </si>
  <si>
    <t>10.1002/jaal.1199</t>
  </si>
  <si>
    <t>OCT 2021</t>
  </si>
  <si>
    <t>XZ6GE</t>
  </si>
  <si>
    <t>WOS:000704767400001</t>
  </si>
  <si>
    <t>Paciente, R; Pranoto, EP; Woolard, A; Munro, E; Lombardi, K</t>
  </si>
  <si>
    <t>Paciente, Rigel; Pranoto, Emmanuel Philip; Woolard, Alix; Munro, Emily; Lombardi, Karen</t>
  </si>
  <si>
    <t>The queers are all right: a content analysis of LGBTQIA? plus ?mental health on TikTok</t>
  </si>
  <si>
    <t>CULTURE HEALTH &amp; SEXUALITY</t>
  </si>
  <si>
    <t>TikTok; LGBTQIA; mental health; gender diversity; sexuality diversity</t>
  </si>
  <si>
    <t>SOCIAL MEDIA; PREVENTION</t>
  </si>
  <si>
    <t>The formation of online communities instils a sense of connectedness which can ameliorate the mental health concerns that result from minority stressors for lesbian, gay, queer, intersex, asexual, and other diverse genders/sexualities (LGBTQIA+). The aim of this study was to explore how LGBTQIA + people communicate social and mental health concerns on TikTok. It was anticipated that factors affecting mental health, such as minority stressors and community connectedness, would be addressed by the videos collected. Engagement statistics, demographics and content analysis were used to describe the 50 most-viewed videos across the top five related hashtags: #genderidentity, #lgbtqawareness, #sexualidentity, #lgbtmentalhealth, and #transmentalhealth. The content analysis indicates that TikTok is used as a way for members of the LGBTQIA + community to connect with each other and enhance feelings of community connectedness, which research shows may buffer the effects of minority stressors. Engagement with social media can be especially beneficial for those who may not be able to connect in the real-world. Further interactions, such as analysis of the comment section, should be investigated to develop a fuller understanding of how LGBTQIA + TikTok users respond to these contents.</t>
  </si>
  <si>
    <t>[Paciente, Rigel; Woolard, Alix; Munro, Emily; Lombardi, Karen] Telethon Kids Inst, Youth Mental Hlth, Nedlands, Australia; [Paciente, Rigel; Pranoto, Emmanuel Philip; Woolard, Alix] Univ Western Australia, Sch Psychol, Perth, Australia; [Lombardi, Karen] Edith Cowan Univ, Sch Med &amp; Hlth Sci, Joondalup, Australia</t>
  </si>
  <si>
    <t>University of Western Australia; The Kids Research Institute Australia; University of Western Australia; Edith Cowan University</t>
  </si>
  <si>
    <t>Paciente, R (corresponding author), Telethon Kids Inst, Youth Mental Hlth, Nedlands, Australia.;Paciente, R (corresponding author), Univ Western Australia, Sch Psychol, Perth, Australia.</t>
  </si>
  <si>
    <t>rigel.paciente@telethonkids.org.au</t>
  </si>
  <si>
    <t>Munro, Emily/KEE-7388-2024; Woolard, Alix/AAF-8744-2021</t>
  </si>
  <si>
    <t>Paciente, Rigel/0000-0003-2947-988X; Lombardi, Karen/0000-0001-8016-2197</t>
  </si>
  <si>
    <t>The authors acknowledge the Whadjuk people of the Nyoongar nation, the traditional custodians of the land on which the Telethon Kids Institute is located. We pay our respects to their elders past and present. In addition, we acknowledge our positionality i</t>
  </si>
  <si>
    <t>The authors acknowledge the Whadjuk people of the Nyoongar nation, the traditional custodians of the land on which the Telethon Kids Institute is located. We pay our respects to their elders past and present. In addition, we acknowledge our positionality in research involving a minority group. The first author identifies as both sexuality and gender diverse. Other authors are also sexuality diverse. Thus, we bring a degree of respect and personal insight to this investigation.</t>
  </si>
  <si>
    <t>1369-1058</t>
  </si>
  <si>
    <t>1464-5351</t>
  </si>
  <si>
    <t>CULT HEALTH SEX</t>
  </si>
  <si>
    <t>Cult. Health Sex</t>
  </si>
  <si>
    <t>JUN 2</t>
  </si>
  <si>
    <t>10.1080/13691058.2023.2253882</t>
  </si>
  <si>
    <t>Family Studies; Social Sciences, Biomedical</t>
  </si>
  <si>
    <t>Family Studies; Biomedical Social Sciences</t>
  </si>
  <si>
    <t>SV9J9</t>
  </si>
  <si>
    <t>WOS:001069031700001</t>
  </si>
  <si>
    <t>Kong, WW; Song, SJ; Zhao, YC; Zhu, QH; Sha, L</t>
  </si>
  <si>
    <t>Kong, Wenwen; Song, Shijie; Zhao, Yuxiang Chris; Zhu, Qinghua; Sha, Ling</t>
  </si>
  <si>
    <t>TikTok as a Health Information Source: Assessment of the Quality of Information in Diabetes-Related Videos</t>
  </si>
  <si>
    <t>diabetes; information quality; infodemiology; social media; short video apps; TikTok</t>
  </si>
  <si>
    <t>BEHAVIOR</t>
  </si>
  <si>
    <t>Background: Diabetes has become one of the most prevalent chronic diseases, and many people living with diabetes use social media to seek health information. Recently, an emerging social media app, TikTok, has received much interest owing to its popularity among general health consumers. We notice that there are many videos about diabetes on TikTok. However, it remains unclear whether the information in these videos is of satisfactory quality. Objective: This study aimed to assess the quality of the information in diabetes-related videos on TikTok. Methods: We collected a sample of 199 diabetes-related videos in Chinese. The basic information presented in the videos was coded and analyzed. First, we identified the source of each video. Next, 2 independent raters assessed each video in terms of the completeness of six types of content (the definition of the disease, symptoms, risk factors, evaluation, management, and outcomes). Then, the 2 raters independently assessed the quality of information in the videos, using the DISCERN instrument. Results: In regard to the sources of the videos, we found 6 distinct types of uploaders; these included 3 kinds of individual users (ie, health professionals, general users, and science communicators) and 3 types of organizational users (ie, news agencies, nonprofit organizations, and for-profit organizations). Regarding content, our results show that the videos were primarily about diabetes management and contained limited information on the definition of the disease, symptoms, risk factors, evaluation, and outcomes. The overall quality of the videos was acceptable, on average, although the quality of the information varied, depending on the sources. The videos created by nonprofit organizations had the highest information quality, while the videos contributed by for-profit organizations had the lowest information quality. Conclusions: Although the overall quality of the information in the diabetes videos on TikTok is acceptable, TikTok might not fully meet the health information needs of patients with diabetes, and they should exercise caution when using TikTok as a source of diabetes-related information.</t>
  </si>
  <si>
    <t>[Kong, Wenwen] Nanjing Univ Chinese Med, Nanjing Hosp Chinese Med, Nanjing, Peoples R China; [Song, Shijie; Zhu, Qinghua] Nanjing Univ, Sch Informat Management, Xianlin Ave 163, Nanjing 210023, Peoples R China; [Zhao, Yuxiang Chris] Nanjing Univ Sci &amp; Technol, Sch Econ &amp; Management, Nanjing, Peoples R China; [Sha, Ling] Nanjing Jiangning Maternal &amp; Child Hlth &amp; Family, Nanjing, Peoples R China</t>
  </si>
  <si>
    <t>Nanjing University of Chinese Medicine; Nanjing University; Nanjing University of Science &amp; Technology</t>
  </si>
  <si>
    <t>Song, SJ (corresponding author), Nanjing Univ, Sch Informat Management, Xianlin Ave 163, Nanjing 210023, Peoples R China.</t>
  </si>
  <si>
    <t>ssong@smail.nju.edu.cn</t>
  </si>
  <si>
    <t>Zhao, Yuxiang/AFN-0341-2022; Song, Shijie/ABE-1182-2020</t>
  </si>
  <si>
    <t>Song, Shijie/0000-0002-4544-2027; Zhao, Yuxiang (Chris)/0000-0001-9281-3030</t>
  </si>
  <si>
    <t>National Science Foundation of China [72074112, 72174083]; Key Projects of Philosophy and Social Sciences Research of Chinese Ministry of Education [19JZD021]</t>
  </si>
  <si>
    <t>National Science Foundation of China(National Natural Science Foundation of China (NSFC)); Key Projects of Philosophy and Social Sciences Research of Chinese Ministry of Education(Ministry of Education, China)</t>
  </si>
  <si>
    <t>We thank the anonymous reviewers and editors for their helpful comments on the manuscript. The study was supported by the National Science Foundation of China (72074112, 72174083) and the Key Projects of Philosophy and Social Sciences Research of Chinese Ministry of Education (19JZD021).</t>
  </si>
  <si>
    <t>SEP 1</t>
  </si>
  <si>
    <t>e30409</t>
  </si>
  <si>
    <t>10.2196/30409</t>
  </si>
  <si>
    <t>UK0RZ</t>
  </si>
  <si>
    <t>WOS:000691683900009</t>
  </si>
  <si>
    <t>Mahase, E</t>
  </si>
  <si>
    <t>Mahase, Elisabeth</t>
  </si>
  <si>
    <t>Sixty seconds on ... TikTok doctors</t>
  </si>
  <si>
    <t>BMJ-BRITISH MEDICAL JOURNAL</t>
  </si>
  <si>
    <t>News Item</t>
  </si>
  <si>
    <t>BMJ PUBLISHING GROUP</t>
  </si>
  <si>
    <t>BRITISH MED ASSOC HOUSE, TAVISTOCK SQUARE, LONDON WC1H 9JR, ENGLAND</t>
  </si>
  <si>
    <t>0959-535X</t>
  </si>
  <si>
    <t>1756-1833</t>
  </si>
  <si>
    <t>BMJ-BRIT MED J</t>
  </si>
  <si>
    <t>BMJ-British Medical Journal</t>
  </si>
  <si>
    <t>JAN 29</t>
  </si>
  <si>
    <t>n286</t>
  </si>
  <si>
    <t>10.1136/bmj.n286</t>
  </si>
  <si>
    <t>QE0NK</t>
  </si>
  <si>
    <t>WOS:000615904200001</t>
  </si>
  <si>
    <t>Albucker, SJ; Lipner, SR</t>
  </si>
  <si>
    <t>Albucker, Samantha J.; Lipner, Shari R.</t>
  </si>
  <si>
    <t>Social Media Creators Are Far From Nailing It: A Cross-Sectional Analysis of 100 Longitudinal Melanonychia TikTok Videos Shows Poor Educational Content and Lack of Skin of Color Representation</t>
  </si>
  <si>
    <t>cancer; illness perception; health literacy; longitudinal melanonychia; nail apparatus melanoma; patient education; subungual melanoma; social media; social sharing; social support; TikTok; visual communication</t>
  </si>
  <si>
    <t>[Albucker, Samantha J.] Tulane Univ, Sch Med, New Orleans, LA USA; [Lipner, Shari R.] Weill Cornell Med, Dept Dermatol, New York, NY USA; [Lipner, Shari R.] Weill Cornell Med, Dept Dermatol, 1305 York Ave, New York, NY 10021 USA</t>
  </si>
  <si>
    <t>Tulane University; Cornell University; Weill Cornell Medicine; Cornell University; Weill Cornell Medicine</t>
  </si>
  <si>
    <t>Lipner, SR (corresponding author), Weill Cornell Med, Dept Dermatol, 1305 York Ave, New York, NY 10021 USA.</t>
  </si>
  <si>
    <t>10.1177/12034754231159649</t>
  </si>
  <si>
    <t>D4LW6</t>
  </si>
  <si>
    <t>WOS:000942564200001</t>
  </si>
  <si>
    <t>Douyin, TikTok and China's Online Screen Industry</t>
  </si>
  <si>
    <t>Book</t>
  </si>
  <si>
    <t>WOS:001219761700010</t>
  </si>
  <si>
    <t>Sood, A</t>
  </si>
  <si>
    <t>Sood, Ashvin</t>
  </si>
  <si>
    <t>TIKTOK: A NEW PLAYGROUND FOR THE CHILD PSYCHIATRIST?</t>
  </si>
  <si>
    <t>JOURNAL OF THE AMERICAN ACADEMY OF CHILD AND ADOLESCENT PSYCHIATRY</t>
  </si>
  <si>
    <t>68th Annual Meeting of the American-Academy-of-Child-and-Adolescent-Psychiatry (AACAP)</t>
  </si>
  <si>
    <t>OCT 18-30, 2021</t>
  </si>
  <si>
    <t>Amer Acad Child &amp; Adolescent Psychiat</t>
  </si>
  <si>
    <t>New York Presbyterian Hosp, New York, NY USA; [Sood, Ashvin] Columbia Univ, Irving Med Ctr, New York, NY 10027 USA; [Sood, Ashvin] Weill Cornell Med Ctr, New York, NY USA</t>
  </si>
  <si>
    <t>NewYork-Presbyterian Hospital; NewYork-Presbyterian Hospital; Columbia University; Cornell University; Weill Cornell Medicine</t>
  </si>
  <si>
    <t>Ashvinsood1@gmail.com</t>
  </si>
  <si>
    <t>0890-8567</t>
  </si>
  <si>
    <t>1527-5418</t>
  </si>
  <si>
    <t>J AM ACAD CHILD PSY</t>
  </si>
  <si>
    <t>J. Am. Acad. Child Adolesc. Psychiatr.</t>
  </si>
  <si>
    <t>S5</t>
  </si>
  <si>
    <t>10.1016/j.jaac.2021.07.028</t>
  </si>
  <si>
    <t>WG6DG</t>
  </si>
  <si>
    <t>WOS:000707082800014</t>
  </si>
  <si>
    <t>Cervi, L; Tejedor, S; Lladó, CM</t>
  </si>
  <si>
    <t>Cervi, Laura; Tejedor, Santiago; Marin Llado, Carles</t>
  </si>
  <si>
    <t>TikTok and the new language of political communication: the case of Podemos</t>
  </si>
  <si>
    <t>CULTURA LENGUAJE Y REPRESENTACION-REVISTA DE ESTUDIOS CULTURALES DE LA UNIVERSITAT JAUME I</t>
  </si>
  <si>
    <t>TikTok; Political Communication; Young people; Social networks; Podemos; Technopopulism</t>
  </si>
  <si>
    <t>2016 GENERAL-ELECTIONS; ELECTORAL CAMPAIGN; SOCIAL MEDIA; YOUNG-PEOPLE; TWITTER; ONLINE; YOUTH; MEMBERSHIP; FACEBOOK; STRATEGY</t>
  </si>
  <si>
    <t>Political parties struggle to reconnect to Young people by using social networks. Acknowledging that 2020 has been the year of TikTok, most Spanish political parties have joined this social network: Podemos, with 191.400 followers and 3.1 million likes, is the most followed political party on this platform. Using multimodal content analysis, this paper aims at analyzing how the party is using this social network, and for which purposes, placing the attention on how Podemos has adapted to TikTok specificities in terms of both language and technical affordances. Results show that while the party perfectly adapts to TikTok's specific language and technical affordances (special effects, etc.), instead of focusing on entertainment, the platform's main genre, it uses TikTok as a showcase for political activities, failing in favoring a renovating relationship with users. However, politics is represented through the game frame, that is to say, dramatized as a battlefield between Good and Evil, which strengthens the populist dichotomous vision of the world, endorsing emotional response. In this sense, it is possible to conclude that, although Podemos mainly displays political content, this content falls into the category of politainment. Considering that present trends in usage rates suggest that the short-video format is the future of social media, we might expect an increase in politainmement content.</t>
  </si>
  <si>
    <t>[Cervi, Laura; Tejedor, Santiago] Univ Autonoma Barcelona, Barcelona, Spain; [Marin Llado, Carles] Univ Rey Juan Carlos, Madrid, Spain</t>
  </si>
  <si>
    <t>Cervi, L (corresponding author), Univ Autonoma Barcelona, Barcelona, Spain.</t>
  </si>
  <si>
    <t>ST Tejedor, Santiago/S-3198-2018; MARIN-LLADO, Carles/AAN-6990-2020; cervi, laura/S-2216-2018</t>
  </si>
  <si>
    <t>MARIN-LLADO, CARLES/0000-0001-7456-5889; CERVI, LAURA/0000-0002-0376-0609; Tejedor, Santiago/0000-0002-5539-9800</t>
  </si>
  <si>
    <t>UNIV JAUME I, SERVEI COMUNICACIO PUBLICACIONS</t>
  </si>
  <si>
    <t>CASTELLO DE LA PLANA</t>
  </si>
  <si>
    <t>EDIF RECORAT SERVEIS CENTRALS, PI. 0, CAMPUS DEL RIU SEC, CASTELLO DE LA PLANA, 12071, SPAIN</t>
  </si>
  <si>
    <t>1697-7750</t>
  </si>
  <si>
    <t>CULT LENG REPRESENT</t>
  </si>
  <si>
    <t>Cult. Leng. Represent.</t>
  </si>
  <si>
    <t>10.6035/clr.5817</t>
  </si>
  <si>
    <t>XL1WN</t>
  </si>
  <si>
    <t>WOS:000727941700014</t>
  </si>
  <si>
    <t>Ayari, S; Nouira, O; Oueslati, K</t>
  </si>
  <si>
    <t>Ayari, Salma; Nouira, Olfa; Oueslati, Khouloud</t>
  </si>
  <si>
    <t>Understanding the dynamics of unfollowing behaviour on TikTok: implications for interactive marketing</t>
  </si>
  <si>
    <t>JOURNAL OF DECISION SYSTEMS</t>
  </si>
  <si>
    <t>Social media; Unfollowing; Tiktok; online behaviour; qualitative study</t>
  </si>
  <si>
    <t>ENGAGEMENT; INSIGHTS; FACEBOOK</t>
  </si>
  <si>
    <t>With the rise of social media, the role of social media influencers has witnessed significant interest among the academic community. The existing body of knowledge has highlighted individual's motivations to follow influencers on these platforms. However, it is worth noting that individuals may easily decide to unfollow. Hence, to sustain their followers and remain competitive for brands, influencers should understand what leads internet users to unfollow them. Surprisingly, this particular perspective has been omitted in previous studies. To fulfil this gap, our research explores individuals' reasons to unfollow influencers on TikTok. To do so, a qualitative approach through individual interviews was conducted among Tunisian TikTok users. Our findings shed light on three distinct categories of reasons: content related reasons, Tiktokers related reasons and ethical issues reasons. Theoretical and managerial contributions are discussed.</t>
  </si>
  <si>
    <t>[Ayari, Salma; Nouira, Olfa; Oueslati, Khouloud] La Manouba Univ, ESC, Mkt, Manouba, Tunisia</t>
  </si>
  <si>
    <t>Universite de la Manouba</t>
  </si>
  <si>
    <t>Ayari, S (corresponding author), La Manouba Univ, ESC, Mkt, Manouba, Tunisia.</t>
  </si>
  <si>
    <t>salma.ayari.eccofiges@esct.uma.tn</t>
  </si>
  <si>
    <t>Ayari, Salma/0000-0001-8144-1585</t>
  </si>
  <si>
    <t>1246-0125</t>
  </si>
  <si>
    <t>2116-7052</t>
  </si>
  <si>
    <t>J DECIS SYST</t>
  </si>
  <si>
    <t>J. Decis. Syst.</t>
  </si>
  <si>
    <t>2024 OCT 19</t>
  </si>
  <si>
    <t>10.1080/12460125.2024.2415152</t>
  </si>
  <si>
    <t>Operations Research &amp; Management Science</t>
  </si>
  <si>
    <t>J5L9K</t>
  </si>
  <si>
    <t>WOS:001337489200001</t>
  </si>
  <si>
    <t>Scharlach, R</t>
  </si>
  <si>
    <t>Scharlach, Rebecca</t>
  </si>
  <si>
    <t>How to Spark Joy: Strategies of Depoliticization in Platform's Corporate Social Initiatives</t>
  </si>
  <si>
    <t>depoliticization; platform governance; platform values; corporate social responsibility; TikTok</t>
  </si>
  <si>
    <t>DISCURSIVE CONSTRUCTION; CONTENT MODERATION; FACEBOOK</t>
  </si>
  <si>
    <t>Despite social media companies' public commitments to do good, they regularly face international criticism. This article explores how platforms engage in corporate public relations campaigns to negotiate social and political responsibilities. Through a qualitative analysis of the values promoted in the social initiative TikTok for Good, I show how TikTok promotes messages that amplify positivity, minimize negativity, and focus on individual well-being, while consistently assigning responsibility to other actors. Together, these strategies allow TikTok to symbolically empower users while maintaining control. I conceptualize these strategies that downplay and distance a company from conflicts associated with struggles over power as depoliticization by platforms. This study highlights platform companies' soft forms of governance and demonstrates how the analysis of platform values allows researchers to cut through the strategic vagueness of claims to do good.</t>
  </si>
  <si>
    <t>[Scharlach, Rebecca] Hebrew Univ Jerusalem, Dept Commun &amp; Journalism, Jerusalem, Israel</t>
  </si>
  <si>
    <t>Scharlach, R (corresponding author), Hebrew Univ Jerusalem, IL-9190501 Jerusalem, Israel.</t>
  </si>
  <si>
    <t>rebecca.scharlach@mail.huji.ac.il</t>
  </si>
  <si>
    <t>Scharlach, Rebecca/0000-0003-3033-5795</t>
  </si>
  <si>
    <t>European Research Council (ERC) [819004]; European Research Council (ERC) [819004] Funding Source: European Research Council (ERC)</t>
  </si>
  <si>
    <t>European Research Council (ERC)(European Research Council (ERC)); European Research Council (ERC)(European Research Council (ERC))</t>
  </si>
  <si>
    <t>The author(s) disclosed receipt of the following financial support for the research, authorship, and/or publication of this article: This project has received funding from the European Research Council (ERC) under the European Union's Horizon 2020 research and innovation program (grant agreement no. 819004).</t>
  </si>
  <si>
    <t>10.1177/20563051241277601</t>
  </si>
  <si>
    <t>F3E6F</t>
  </si>
  <si>
    <t>WOS:001308691400001</t>
  </si>
  <si>
    <t>Quintas-Froufe, N; González-Neira, A; Fiaño-Salinas, C</t>
  </si>
  <si>
    <t>Quintas-Froufe, Natalia; Gonzalez-Neira, Ana; Fiano-Salinas, Carlota</t>
  </si>
  <si>
    <t>Corporate policies to protect against disinformation for young audiences: the case of TikTok</t>
  </si>
  <si>
    <t>audiences; disinformation; TikTok; fake news; corporate policies</t>
  </si>
  <si>
    <t>Disinformation and fake news have become highly prevalent on social networks. As such, many platforms have tried to reduce audience exposure to false or erroneous data by implementing corporate policies to protect users. This is especially relevant in social networks aimed at young people, as is the case of TikTok. In recent years, such mediums have become more popular than news sites among young audiences. The purpose of this article is to analyze what these policies are, on what topics they are implemented and how they are being monitored and enforced by the social network TikTok during the period 2020-24. Nonetheless, it must also be mentioned that it is still too early to make a complete and comprehensive assessment of the effectiveness of these policies because many of them are not yet fully implemented.</t>
  </si>
  <si>
    <t>[Quintas-Froufe, Natalia; Gonzalez-Neira, Ana; Fiano-Salinas, Carlota] Fac Commun Sci, Dept Sociol &amp; Commun Sci, La Coruna, Spain</t>
  </si>
  <si>
    <t>Universidade da Coruna</t>
  </si>
  <si>
    <t>Quintas-Froufe, N (corresponding author), Fac Commun Sci, Dept Sociol &amp; Commun Sci, La Coruna, Spain.</t>
  </si>
  <si>
    <t>n.quintas.froufe@udc.es</t>
  </si>
  <si>
    <t>Fiano-Salinas, Carlota/0000-0002-6315-3296</t>
  </si>
  <si>
    <t>Ministry of Science and Innovation [PID2021-124293OB-I00]; State Research Agency (AEI) of the Government of Spain; European Union (EU) ERDF</t>
  </si>
  <si>
    <t>Ministry of Science and Innovation(Ministry of Science and Innovation, Spain (MICINN)Spanish Government); State Research Agency (AEI) of the Government of Spain; European Union (EU) ERDF(European Union (EU)Marie Curie Actions)</t>
  </si>
  <si>
    <t>The author(s) declare that financial support was received for the research, authorship, and/or publication of this article. This work is part of the research project FAKELOCAL: Map of Disinformation in the Autonomous Communities and Local Entities of Spain and its Digital Ecosystem (Ref. PID2021-124293OB-I00), funded by the Ministry of Science and Innovation, the State Research Agency (AEI) of the Government of Spain and by the European Union (EU) ERDF.</t>
  </si>
  <si>
    <t>10.3389/fcomm.2024.1410100</t>
  </si>
  <si>
    <t>WS4I3</t>
  </si>
  <si>
    <t>WOS:001256845900001</t>
  </si>
  <si>
    <t>Trifiro, BM</t>
  </si>
  <si>
    <t>Trifiro, Briana M.</t>
  </si>
  <si>
    <t>Breaking Your Boundaries: How TikTok Use Impacts Privacy Concerns Among Influencers</t>
  </si>
  <si>
    <t>MASS COMMUNICATION AND SOCIETY</t>
  </si>
  <si>
    <t>SOCIAL NETWORKING SITES; SELF-DISCLOSURE; CALCULUS MODEL; MEDIA; ISSUE</t>
  </si>
  <si>
    <t>Considering the unique nature of TikTok, where users are encouraged to share meaningful details of their lives, the present study is interested in the interplay between privacy concerns, TikTok use, and the creation of online identities amongst influencers based in the United States. The present study extends the framework of boundary regulation to understand how privacy concerns underlie information disclosures on TikTok. To accomplish this, interviews were conducted with 25 content creators with a minimum of 10,000 followers to understand the relationship between an individual's desire to maintain a private life and a competing interest in developing a public persona. Results indicate competing desires to share private information in an effort to cultivate an online following coupled with concerns for protecting one's loved ones who may not have consented to living life in the public eye.</t>
  </si>
  <si>
    <t>[Trifiro, Briana M.] Boston Univ, Div Emerging Media Studies, Boston, MA USA; [Trifiro, Briana M.] Boston Univ, Div Emerging Media Studies, 704 Commonwealth Ave, Boston, MA 02215 USA</t>
  </si>
  <si>
    <t>Boston University; Boston University</t>
  </si>
  <si>
    <t>Trifiro, BM (corresponding author), Boston Univ, Div Emerging Media Studies, 704 Commonwealth Ave, Boston, MA 02215 USA.</t>
  </si>
  <si>
    <t>btrifiro@bu.edu</t>
  </si>
  <si>
    <t>Trifiro, Briana/AAD-6321-2021</t>
  </si>
  <si>
    <t>Trifiro, Briana/0000-0003-1345-045X</t>
  </si>
  <si>
    <t>1520-5436</t>
  </si>
  <si>
    <t>1532-7825</t>
  </si>
  <si>
    <t>MASS COMMUN SOC</t>
  </si>
  <si>
    <t>Mass Commun. Soc.</t>
  </si>
  <si>
    <t>10.1080/15205436.2022.2149414</t>
  </si>
  <si>
    <t>X1IB7</t>
  </si>
  <si>
    <t>WOS:000898995300001</t>
  </si>
  <si>
    <t>Urionaguena, M; Flores, B; Bidegain, E; Zuberogoitia, A</t>
  </si>
  <si>
    <t>Urionaguena, Mikel; Flores, Benat; Bidegain, Eneko; Zuberogoitia, Aitor</t>
  </si>
  <si>
    <t>The content of Basque tiktokers and the place of the language</t>
  </si>
  <si>
    <t>EUSKERA</t>
  </si>
  <si>
    <t>Basque</t>
  </si>
  <si>
    <t>TikTok; Basque; language; motivation; content analysis; social media</t>
  </si>
  <si>
    <t>SOCIAL MEDIA; PERSPECTIVES; FORMS</t>
  </si>
  <si>
    <t>The use of TikTok has grown significantly in recent years, up to the point of becoming one of the most widely used social media amongst Basque teenagers. In this context, the present article examines the presence of the Basque language (Euskera) in TikTok, by analysing the accounts and content of several users who create and share content in this language. The study also analyses the motivations of Basque tiktokers to make and share videos in Basque through six in-depth interviews.</t>
  </si>
  <si>
    <t>[Urionaguena, Mikel; Flores, Benat] Mondragon Unibertsitatea, Gipuzkoa, Spain; [Flores, Benat; Bidegain, Eneko; Zuberogoitia, Aitor] Mondragon Unibertsitatea, Biziguneak Ikerketa Taldea, Gipuzkoa, Spain</t>
  </si>
  <si>
    <t>Mondragon Unibertsitatea; Mondragon Unibertsitatea</t>
  </si>
  <si>
    <t>Urionaguena, M (corresponding author), Mondragon Unibertsitatea, Gipuzkoa, Spain.</t>
  </si>
  <si>
    <t>murionaguena@mondragon.edu; bflores@mondragon.edu; ebidegain@mondragon.edu; azuberogoitia@mondragon.edu</t>
  </si>
  <si>
    <t>Bidegain Aire, Eneko/GYR-3629-2022; Zuberogoitia, Aitor/IJA-7702-2023</t>
  </si>
  <si>
    <t>EUSKALTZAINDIA</t>
  </si>
  <si>
    <t>SAN SEBASTIAN</t>
  </si>
  <si>
    <t>PLAZA BARRIA, 15 E48005 BILBO, SAN SEBASTIAN, 20004, SPAIN</t>
  </si>
  <si>
    <t>0210-1564</t>
  </si>
  <si>
    <t>Euskera</t>
  </si>
  <si>
    <t>10.59866/eia.v2i68.267</t>
  </si>
  <si>
    <t>SX3H1</t>
  </si>
  <si>
    <t>WOS:001237702900004</t>
  </si>
  <si>
    <t>Zheng, SS; Tong, XY; Wan, DL; Hu, C; Hu, Q; Ke, QH</t>
  </si>
  <si>
    <t>Zheng, Shusen; Tong, Xinyu; Wan, Dalong; Hu, Chen; Hu, Qing; Ke, Qinghong</t>
  </si>
  <si>
    <t>Quality and Reliability of Liver Cancer-Related Short Chinese Videos on TikTok and Bilibili: Cross-Sectional Content Analysis Study</t>
  </si>
  <si>
    <t>liver cancer; short videos; information quality; social media; TikTok; Bilibili; GQS; global quality score; DISCERN; reliability</t>
  </si>
  <si>
    <t>INFORMATION; DISEASE; UTILITY</t>
  </si>
  <si>
    <t>Background: Liver cancer incidence has been increasing in China in the recent years, leading to increased public concern regarding the burden of this disease. Short videos on liver cancer are disseminated through TikTok and Bilibili apps, which have gained popularity in recent years as an easily accessible source of health information. However, the credibility, quality, and usefulness of the information in these short videos and the professional knowledge of the individuals uploading health information-based videos in these platforms have not yet been evaluated. Objective: Our study aims to assess the quality of the information in Chinese short videos on liver cancer shared on the TikTok and Bilibili short video-sharing platforms. Methods: In March 2023, we assessed the top 100 Chinese short videos on liver cancer in TikTok and Bilibili (200 videos in total) for their information quality and reliability by using 2 rating tools, namely, global quality score (GQS) and the DISCERN instrument. Correlation and Poisson regression analyses were applied to discuss the factors that could impact video quality. Results: Compared to Bilibili, TikTok is more popular, although the length of the videos on TikTok is shorter than that of the videos on Bilibili (P&lt;.001). The quality of the short videos on liver cancer in TikTok and Bilibili was not satisfactory, with median GQS of 3 (IQR 2-4) and 2 (IQR 1-5) and median DISCERN scores of 5 (IQR 4-6) and 4 (IQR 2-7), respectively. In general, the quality of videos sourced from professional institutions and individuals was better than that of those sourced from nonprofessionals, and videos involving disease-related knowledge were of better quality than those covering news and reports. No significant differences were found in the quality of videos uploaded by individuals from different professions, with the exception of those uploaded by traditional Chinese medicine professionals, which demonstrated poorer quality. Only video shares were positively correlated with the GQS (r=0.17, P=.01), and no video variables could predict the video quality. Conclusions: Our study shows that the quality of short videos on health information related to liver cancer is poor on Bilibili and TikTok, but videos uploaded by health care professionals can be considered reliable in terms of comprehensiveness and content quality. Thus, short videos providing medical information on TikTok and Bilibili must be carefully considered for scientific soundness by active information seekers before they make decisions on their health care management.</t>
  </si>
  <si>
    <t>[Zheng, Shusen; Tong, Xinyu; Wan, Dalong; Hu, Chen; Hu, Qing; Ke, Qinghong] Zhejiang Univ, Affiliated Hosp 1, Dept Hepatobiliary &amp; Pancreat Surg, Sch Med, 79 Qingchun Rd, Hangzhou 310003, Peoples R China</t>
  </si>
  <si>
    <t>Zheng, SS (corresponding author), Zhejiang Univ, Affiliated Hosp 1, Dept Hepatobiliary &amp; Pancreat Surg, Sch Med, 79 Qingchun Rd, Hangzhou 310003, Peoples R China.</t>
  </si>
  <si>
    <t>shusenzheng@zju.edu.cn</t>
  </si>
  <si>
    <t>hu, chen/JHT-2836-2023; Hu, Qing/KMY-7342-2024</t>
  </si>
  <si>
    <t>Hu, Qing/0000-0001-6925-6926; Tong, Xinyu/0000-0002-5980-966X</t>
  </si>
  <si>
    <t>JUL 5</t>
  </si>
  <si>
    <t>e47210</t>
  </si>
  <si>
    <t>10.2196/47210</t>
  </si>
  <si>
    <t>L9UL2</t>
  </si>
  <si>
    <t>WOS:001026649600005</t>
  </si>
  <si>
    <t>Morejón-Llamas, N</t>
  </si>
  <si>
    <t>Morejon-Llamas, Noemi</t>
  </si>
  <si>
    <t>SPANISH POLITICS ON TIKTOK: FROM THE LANDING TO THE CONSOLIDATION OF THE COMMUNICATION STRATEGY</t>
  </si>
  <si>
    <t>Political communication; social networks; TikTok; Spain; political parties; engagement; interaction</t>
  </si>
  <si>
    <t>FORMS</t>
  </si>
  <si>
    <t>This paper analyses the communication strategy of the main Spanish political parties on TikTok after the embryonic phase of 2020. Through content analysis, it identifies in quantitative and qualitative terms the use of TikTok by the PP, PSOE, Podemos and Vox, by observing their rate of publication, engagement and type of interaction, predominant themes and adaptability to narrative and discursive techniques. The study, which covers the period from 1 January to 31 December 2021, consists of 562 units of analysis. The results show a settlement and consolidation on the platform and a clear dominance by the Partido Popular and Podemos, as well as the firm emergence of the PSOE, absent until now. A growth in engagement can be seen, although little use is made of the interaction that the social network can facilitate in order to contribute to debate and social participation. The confrontation between leaders, accusations against the governing party and controversial topics, which reflect polarisation and emotionality, are those that achieve the greatest interaction, which shows that the spectacularisation of current politics finds in TikTok a means of dissemination that is easy to viralise.</t>
  </si>
  <si>
    <t>[Morejon-Llamas, Noemi] Univ Loyola Andalucia, Seville, Spain</t>
  </si>
  <si>
    <t>Universidad Loyola Andalucia</t>
  </si>
  <si>
    <t>Morejón-Llamas, N (corresponding author), Univ Loyola Andalucia, Seville, Spain.</t>
  </si>
  <si>
    <t>nmorejon@uloyola.es</t>
  </si>
  <si>
    <t>Morejón Llamas, Noemí/AAZ-5738-2021</t>
  </si>
  <si>
    <t>8R7KS</t>
  </si>
  <si>
    <t>WOS:000928070100011</t>
  </si>
  <si>
    <t>Epp, J</t>
  </si>
  <si>
    <t>Epp, Julian</t>
  </si>
  <si>
    <t>#SocialismSucks: Trump's TikTok Teens</t>
  </si>
  <si>
    <t>DISSENT</t>
  </si>
  <si>
    <t>[Epp, Julian] Indiana Univ, Bloomington, IN 47405 USA</t>
  </si>
  <si>
    <t>Epp, J (corresponding author), Indiana Univ, Bloomington, IN 47405 USA.</t>
  </si>
  <si>
    <t>FOUNDATION STUDY INDEPENDENT SOCIAL IDEAS, INC</t>
  </si>
  <si>
    <t>310 RIVERSIDE DR, STE 1201, NEW YORK, NY 10025 USA</t>
  </si>
  <si>
    <t>0012-3846</t>
  </si>
  <si>
    <t>1946-0910</t>
  </si>
  <si>
    <t>Dissent</t>
  </si>
  <si>
    <t>10.1353/dss.2020.0035</t>
  </si>
  <si>
    <t>Political Science; Social Issues</t>
  </si>
  <si>
    <t>Government &amp; Law; Social Issues</t>
  </si>
  <si>
    <t>LD2NE</t>
  </si>
  <si>
    <t>WOS:000525869600004</t>
  </si>
  <si>
    <t>Churchill, V; Jaiswal, A; Fairman, RT; Eke, O; Rivers, BM</t>
  </si>
  <si>
    <t>Churchill, Victoria; Jaiswal, Anika; Fairman, Robert T.; Eke, Osato; Rivers, Brian M.</t>
  </si>
  <si>
    <t>TikTok and #CancerPrevention: A content analysis</t>
  </si>
  <si>
    <t>CANCER EPIDEMIOLOGY BIOMARKERS &amp; PREVENTION</t>
  </si>
  <si>
    <t>17th AACR Conference on the Science of Cancer Health Disparities in Racial/Ethnic Minorities and the Medically Underserved</t>
  </si>
  <si>
    <t>SEP 21-24, 2024</t>
  </si>
  <si>
    <t>Los Angeles, CA</t>
  </si>
  <si>
    <t>Amer Assoc Cancer Res</t>
  </si>
  <si>
    <t>Fairman, Robert/JQW-5217-2023</t>
  </si>
  <si>
    <t>AMER ASSOC CANCER RESEARCH</t>
  </si>
  <si>
    <t>615 CHESTNUT ST, 17TH FLOOR, PHILADELPHIA, PA 19106-4404 USA</t>
  </si>
  <si>
    <t>1055-9965</t>
  </si>
  <si>
    <t>1538-7755</t>
  </si>
  <si>
    <t>CANCER EPIDEM BIOMAR</t>
  </si>
  <si>
    <t>Cancer Epidemiol. Biomarkers Prev.</t>
  </si>
  <si>
    <t>B026</t>
  </si>
  <si>
    <t>10.1158/1538-7755.DISP24-B026</t>
  </si>
  <si>
    <t>Oncology; Public, Environmental &amp; Occupational Health</t>
  </si>
  <si>
    <t>G9A4Y</t>
  </si>
  <si>
    <t>WOS:001319480800192</t>
  </si>
  <si>
    <t>Lemonick, S</t>
  </si>
  <si>
    <t>Lemonick, Sam</t>
  </si>
  <si>
    <t>Let's talk TikTok</t>
  </si>
  <si>
    <t>CHEMICAL &amp; ENGINEERING NEWS</t>
  </si>
  <si>
    <t>0009-2347</t>
  </si>
  <si>
    <t>1520-605X</t>
  </si>
  <si>
    <t>CHEM ENG NEWS</t>
  </si>
  <si>
    <t>Chem. Eng. News</t>
  </si>
  <si>
    <t>FEB 24</t>
  </si>
  <si>
    <t>Chemistry, Multidisciplinary; Engineering, Chemical</t>
  </si>
  <si>
    <t>Chemistry; Engineering</t>
  </si>
  <si>
    <t>KQ0XL</t>
  </si>
  <si>
    <t>WOS:000516654700037</t>
  </si>
  <si>
    <t>Wang, X; Yu, Y; Zhu, Z; Zheng, J</t>
  </si>
  <si>
    <t>Wang, Xi; Yu, Yun; Zhu, Zhe; Zheng, Jie</t>
  </si>
  <si>
    <t>Visiting Intentions toward Theme Parks: Do Short Video Content and Tourists' Perceived Playfulness on TikTok Matter?</t>
  </si>
  <si>
    <t>theme park visiting intention; perceived playfulness; short video platform; social media influence; technology acceptance model (TAM); TikTok</t>
  </si>
  <si>
    <t>SOCIAL MEDIA; BEHAVIORAL INTENTION; SATISFACTION; ACCEPTANCE; ONLINE; SITES; MODEL; TRUST; TAM; DRIVERS</t>
  </si>
  <si>
    <t>TikTok, along with other social media platforms, has emerged as one of the most important tools for many people, particularly millennials. Because the relationship between social media and customers' behavioral intentions has long been a topic of discussion in the hospitality industry, the purpose of this study was to look into the potential determinants of customers' visiting intentions toward Universal Studios Beijing on short video platforms such as TikTok. In addition, descriptive analysis was also conducted to show the demographic and other basic characteristics of the sample. The findings revealed that social interaction, informativeness, and trust had significant effects on perceived usefulness, as well as significant influences on the related visiting intentions from the perceived usefulness, ease of use, and playfulness. This study filled in the research gaps of the TikTok studies based on the extended technology acceptance model (TAM) and explored the effects of perceived playfulness on the theme park. This study can contribute to the formulation of operational and marketing strategies by theme park marketers, help internet vloggers with content creation and development, and provide suggestions to local governments for tourism destination management.</t>
  </si>
  <si>
    <t>[Wang, Xi; Yu, Yun; Zhu, Zhe] BNU HKBU United Int Coll, Sch Culture &amp; Creat, Culture Creat &amp; Management, Zhuhai 519085, Peoples R China; [Zheng, Jie] Iowa State Univ, Apparel Events &amp; Hospitality Management, Coll Human Sci, Ames, IA 50011 USA</t>
  </si>
  <si>
    <t>Beijing Normal University - Hong Kong Baptist University United International College; Iowa State University</t>
  </si>
  <si>
    <t>Wang, X (corresponding author), BNU HKBU United Int Coll, Sch Culture &amp; Creat, Culture Creat &amp; Management, Zhuhai 519085, Peoples R China.</t>
  </si>
  <si>
    <t>xiwang@uic.edu.cn</t>
  </si>
  <si>
    <t>WANG, XI/AAF-7693-2019</t>
  </si>
  <si>
    <t>Zheng, Jie/0000-0002-8342-8197; WANG, XI/0000-0002-0566-5357</t>
  </si>
  <si>
    <t>Guangdong Higher Education Upgrading Plan [2021-2025, UICR0400031-21]</t>
  </si>
  <si>
    <t>Guangdong Higher Education Upgrading Plan</t>
  </si>
  <si>
    <t>This work was supported in part by the Guangdong Higher Education Upgrading Plan (2021-2025) of Rushing to the Top, Making Up Shortcomings and Strengthening Special Features with No. of UICR0400031-21.</t>
  </si>
  <si>
    <t>10.3390/su141912206</t>
  </si>
  <si>
    <t>5G6ZY</t>
  </si>
  <si>
    <t>WOS:000867145900001</t>
  </si>
  <si>
    <t>Miller, C</t>
  </si>
  <si>
    <t>Miller, Chris</t>
  </si>
  <si>
    <t>TikTok Cultures in the United States</t>
  </si>
  <si>
    <t>JOURNAL OF RELIGION MEDIA AND DIGITAL CULTURE</t>
  </si>
  <si>
    <t>[Miller, Chris] Univ Ottawa, Ottawa, ON, Canada</t>
  </si>
  <si>
    <t>University of Ottawa</t>
  </si>
  <si>
    <t>Miller, C (corresponding author), Univ Ottawa, Ottawa, ON, Canada.</t>
  </si>
  <si>
    <t>chris.miller@uwaterloo.ca</t>
  </si>
  <si>
    <t>2588-8099</t>
  </si>
  <si>
    <t>2165-9214</t>
  </si>
  <si>
    <t>J RELIG MEDIA DIGIT</t>
  </si>
  <si>
    <t>J. Relig. Media Digit. Cult.</t>
  </si>
  <si>
    <t>10.1163/21659214-BJA10091</t>
  </si>
  <si>
    <t>Communication; Religion</t>
  </si>
  <si>
    <t>P4WV4</t>
  </si>
  <si>
    <t>WOS:001050690800006</t>
  </si>
  <si>
    <t>Grandinetti, J; Bruinsma, J</t>
  </si>
  <si>
    <t>Grandinetti, Justin; Bruinsma, Jeffrey</t>
  </si>
  <si>
    <t>The Affective Algorithms of Conspiracy TikTok</t>
  </si>
  <si>
    <t>JOURNAL OF BROADCASTING &amp; ELECTRONIC MEDIA</t>
  </si>
  <si>
    <t>FUTURE; MEDIA</t>
  </si>
  <si>
    <t>The initial optimism about the embedded and everyday integration of social media has, over time, given way to pessimism via the acknowledgment of these platforms' role in the spread of mis(dis)information and the erosion of democratic ideals. Inspired by emergent accounts of how users encounter, experience, and make sense of algorithms in their everyday lives, we offer an ethnographic investigation into Conspiracy TikTok, tracing the affective flows of mis(dis)information on the platform. Specifically, we highlight our observations on reverse engineering TikTok's algorithm, the affective pull of conspiracy content, and the critical element of algorithmic personalization.</t>
  </si>
  <si>
    <t>[Grandinetti, Justin] Univ North Carolina Charlotte, Dept Commun Studies, 9201 Univ City Blvd, Charlotte, NC 28223 USA; [Bruinsma, Jeffrey] North Carolina State Univ, Dept Commun Studies, Raleigh, NC USA</t>
  </si>
  <si>
    <t>University of North Carolina; University of North Carolina Charlotte; North Carolina State University</t>
  </si>
  <si>
    <t>Grandinetti, J (corresponding author), Univ North Carolina Charlotte, Dept Commun Studies, 9201 Univ City Blvd, Charlotte, NC 28223 USA.</t>
  </si>
  <si>
    <t>jgrandin@uncc.edu</t>
  </si>
  <si>
    <t>Grandinetti, Justin/KBA-6296-2024</t>
  </si>
  <si>
    <t>Grandinetti, Justin/0000-0002-3247-8733</t>
  </si>
  <si>
    <t>0883-8151</t>
  </si>
  <si>
    <t>1550-6878</t>
  </si>
  <si>
    <t>J BROADCAST ELECTRON</t>
  </si>
  <si>
    <t>J. Broadcast. Electron. Media</t>
  </si>
  <si>
    <t>MAY 27</t>
  </si>
  <si>
    <t>10.1080/08838151.2022.2140806</t>
  </si>
  <si>
    <t>Communication; Film, Radio, Television</t>
  </si>
  <si>
    <t>Communication; Film, Radio &amp; Television</t>
  </si>
  <si>
    <t>L1TQ8</t>
  </si>
  <si>
    <t>WOS:000882679200001</t>
  </si>
  <si>
    <t>Zargaran, A; Sousi, S; Zargaran, D; Mosahebi, A</t>
  </si>
  <si>
    <t>Zargaran, Alexander; Sousi, Sara; Zargaran, David; Mosahebi, Afshin</t>
  </si>
  <si>
    <t>TikTok in Plastic Surgery: A Systematic Review of Its Uses</t>
  </si>
  <si>
    <t>AESTHETIC SURGERY JOURNAL OPEN FORUM</t>
  </si>
  <si>
    <t>SOCIAL MEDIA; INFORMATION; CHONDROMA</t>
  </si>
  <si>
    <t>TikTok (San Jose, CA) is a popular and rapidly growing social media platform. With beauty and skincare among the top 5 most popular categories, TikTok represents an important platform for plastic surgery education and communication. However, given the vast array of content shared daily, regulating content for veracity is challenging. It may also be an important and potentially overlooked avenue for the dissemination of inaccurate information pertaining to plastic surgery. This systematic review evaluates TikTok's impact on plastic surgery. Following Preferred Reporting Items for Systematic Reviews and Meta-Analysis Guidelines, a systematic literature review was performed of the use of TikTok within the plastic surgery field. The following databases were queried: PubMed (National Institutes of Health; Bethesda, MD), EMBASE (Elsevier; Amsterdam, the Netherlands), and PsychInfo (American Psychological Association; Washington, DC). The search captured 31 studies of which 7 were included in the final analysis. The studies examined the following areas: gender-affirming surgery (n = 1), breast reconstruction (n = 1), aesthetic surgical procedures (n = 1), plastic surgeon profiles (n = 1), and profiles of videos relating to plastic surgery hashtags (n = 3). The videos' quality was assessed using the DISCERN scale. Physician videos scored notably higher than nonphysician videos. The mean DISCERN score across all the videos (n = 386) was 1.91 (range: 1.44-3.00), indicating poor quality. TikTok is a popular medium for sharing plastic surgery content. The existing literature has demonstrated overall poor-quality information on plastic surgery, and further study is needed to evaluate its impact in terms of perceptions of the specialty and healthcare behaviors. Future work should focus on promoting accurate, high-quality videos, potentially including a peer-review function for healthcare content. This can leverage TikTok's potential for disseminating content while upholding patient safety.</t>
  </si>
  <si>
    <t>[Zargaran, Alexander; Sousi, Sara; Zargaran, David; Mosahebi, Afshin] UCL, Dept Plast Surg, London, England</t>
  </si>
  <si>
    <t>University of London; University College London</t>
  </si>
  <si>
    <t>Zargaran, A (corresponding author), UCL, Dept Plast Surg, Royal Free Hosp, Pond St, London NW3 2QG, England.</t>
  </si>
  <si>
    <t>a.zargaran@ucl.ac.uk</t>
  </si>
  <si>
    <t>Sousi, Sara/0000-0002-0494-5138; Zargaran, David/0000-0002-7105-6832</t>
  </si>
  <si>
    <t>2631-4797</t>
  </si>
  <si>
    <t>AESTHET SURG J OPEN</t>
  </si>
  <si>
    <t>Aesthet. Surg. J. Open Forum</t>
  </si>
  <si>
    <t>JAN 11</t>
  </si>
  <si>
    <t>ojad081</t>
  </si>
  <si>
    <t>10.1093/asjof/ojad081</t>
  </si>
  <si>
    <t>DQ7Q5</t>
  </si>
  <si>
    <t>WOS:001133595800089</t>
  </si>
  <si>
    <t>Dobbs, PD; Schisler, ED; Mccormick, C</t>
  </si>
  <si>
    <t>Dobbs, Page D.; Schisler, Eric D.; Mccormick, Charlotte</t>
  </si>
  <si>
    <t>#Discreetshipping: Selling E-cigarettes on TikTok</t>
  </si>
  <si>
    <t>YOUTH TOBACCO SURVEY; PREVALENCE; US</t>
  </si>
  <si>
    <t>Introduction Youth and young adult use of e-cigarette products continues to remain high despite regulatory approaches to reduce youth access. This study sought to examine TikTok content regarding the sale and distribution of e-cigarettes.Aims and Methods TikTok videos (n = 475) and metadata posted between June 2022 and August 2023 were scraped using a TikTok application programming interface and popular hashtags used to sell vaping products (ie, #discreetshipping [40.8 million], #puffbundle [14.8 million], #hiddennic [1.0 million]). After watching the 25 most viewed videos (39 600-868 800 views), a codebook was developed. All metadata were annotated using 11 unique codes: Small business, brand, cannabis, bundled, hidden, fake, international sales, no ID, order via Instagram, order via another method, and cost.Results Overall, 367 videos (with an average of 2017 likes) were deemed relevant. Videos advertised popular vaping brands (50.4%) that included cannabis products (45%). Products were described as bundled (28.6%), hidden (8.7%), and able to be shipped internationally (6%) without age verification (45.2%). Some videos (8.2%) evaded algorithms' detection of illegal activity by describing the post as Fake. Customers were directed to other social media platforms (most often Instagram, 57.5%) and/or other websites/links (58.3%) to purchase products; 22.1% advertised discounts, free shipping, or low costs (ranging from $25-$35).Conclusions Social media platforms, such as TikTok and Instagram, are being used to circumvent e-cigarette regulatory policies. Regulatory agencies should expand enforcement strategies to include social media platforms where users are illegally selling and distributing e-cigarettes internationally to young audiences.Implications TikTok users across the globe are violating local, state, and federal laws by selling e-cigarettes concealed inside other products or bundled in packages that avoid detection. TikTok videos posted by self-proclaimed small business owners advertise discreet shipping practices that evade age verification in order to sell nicotine and cannabis bundles worldwide. Accounts used phrases describing the post to be fake to avoid detection by algorithms or TikTok administrators. E-cigarette regulatory agencies can partner with social media platforms to close regulatory gaps.</t>
  </si>
  <si>
    <t>[Dobbs, Page D.; Schisler, Eric D.; Mccormick, Charlotte] Univ Arkansas, Dept Hlth Human Performance &amp; Recreat, 346 West Ave,Suite 317, Fayetteville, AR 72701 USA; [Dobbs, Page D.; Schisler, Eric D.; Mccormick, Charlotte] Univ Arkansas, Ctr Publ Hlth &amp; Technol, Fayetteville, AR 72701 USA</t>
  </si>
  <si>
    <t>University of Arkansas System; University of Arkansas Fayetteville; University of Arkansas System; University of Arkansas Fayetteville</t>
  </si>
  <si>
    <t>Dobbs, PD (corresponding author), Univ Arkansas, Dept Hlth Human Performance &amp; Recreat, 346 West Ave,Suite 317, Fayetteville, AR 72701 USA.;Dobbs, PD (corresponding author), Univ Arkansas, Ctr Publ Hlth &amp; Technol, Fayetteville, AR 72701 USA.</t>
  </si>
  <si>
    <t>pdobbs@uark.edu</t>
  </si>
  <si>
    <t>Dobbs, Page/ABF-1253-2021</t>
  </si>
  <si>
    <t>Dobbs, Page/0000-0003-1913-6488</t>
  </si>
  <si>
    <t>National Cancer Institute [K01CA267967-01A1]</t>
  </si>
  <si>
    <t>National Cancer Institute(United States Department of Health &amp; Human ServicesNational Institutes of Health (NIH) - USANIH National Cancer Institute (NCI))</t>
  </si>
  <si>
    <t>This work was supported by the National Cancer Institute K01CA267967-01A1 (P.D.D.). The information, views, and opinions contained herein are those of the authors and do not necessarily reflect the views and opinions of the funding organizations.</t>
  </si>
  <si>
    <t>2024 MAY 23</t>
  </si>
  <si>
    <t>10.1093/ntr/ntae081</t>
  </si>
  <si>
    <t>RQ5I6</t>
  </si>
  <si>
    <t>WOS:001229134700001</t>
  </si>
  <si>
    <t>Emergency dentistry TikTok vampire fangs</t>
  </si>
  <si>
    <t>VM6TN</t>
  </si>
  <si>
    <t>WOS:001029365800004</t>
  </si>
  <si>
    <t>Hernandez, LE; Frech, F; Mohsin, N; Dreyfuss, I; Nouri, K</t>
  </si>
  <si>
    <t>Hernandez, Loren E.; Frech, Fabio; Mohsin, Noreen; Dreyfuss, Isabella; Nouri, Keyvan</t>
  </si>
  <si>
    <t>Analysis of fibroblast pen usage amongst TikTok social media users</t>
  </si>
  <si>
    <t>JOURNAL OF COSMETIC DERMATOLOGY</t>
  </si>
  <si>
    <t>dangerous trends; fibroblast pen; plasma pen; social media; TikTok</t>
  </si>
  <si>
    <t>SKIN; PLASMA</t>
  </si>
  <si>
    <t>Social media networks serve as convenient platforms for the dissemination of information, including that which pertains to healthcare. However, social media networks may also disseminate incorrect information, and may even propagate potentially harmful skincare trends. Since its inception in 2016, TikTok, a social media platform wherein users can create and share videos, has served as a tool for the propagation of multiple, potentially dangerous cosmetic trends, most recently the usage of fibroblast pens. Fibroblast pens, also known as plasma pens, are toted to produce a variety of skincare benefits. However, many of the pens being sold commercially, and subsequently used on TikTok, are not FDA-regulated. Potential adverse effects include the development of dyspigmentation, scarring, and mechanical burns of the skin. This study assessed social media content to improve our understanding of fibroblast pen usage amongst TikTok creators. An initial search of public TikTok posts tagged with #PlasmaPen, #PlasmaPenTreatment, #FibroblastPlasma, or #FibroblastPlasmaPen identified 200 posts, of which 78 were eliminated after accounting for overlapping posts between hashtags, posts that were later deleted by the user, and those in languages other than English. We analyzed posts according to creator type and classified them into four main themes. The 78 videos were later re-viewed to provide more detailed subdivisions within the four main themes. Analysis showed that 36% of the posts were created by lay-person TikTok users, followed by 25% of posts being created by self-proclaimed fibroblast skin tightening specialists. Major themes include advertisement of the fibroblast pen (61%), experience with the fibroblast pen (26%), education on the fibroblast pen's uses and benefits (6.5%), and warnings related to usage of the pen (6.5%). TikTok users are more likely to encounter a post regarding fibroblast pen usage from uncredentialled, non-medical professional accounts. Only 6.5% of posts were created with the intention of serving as a warning to users, with most of these posts being created by medical doctors. Dermatologists should be aware of the misinformation regarding fibroblast pens and consider posting on social media to raise awareness about this potentially dangerous skincare trend.</t>
  </si>
  <si>
    <t>[Hernandez, Loren E.; Frech, Fabio; Mohsin, Noreen; Nouri, Keyvan] Univ Miami, Miller Sch Med, Dr Phillip Frost Dept Dermatol &amp; Cutaneous Surg, Miami, FL 33136 USA; [Dreyfuss, Isabella] Nova Southeastern Univ, Dr Kiran C Patel Coll Osteopath Med, Ft Lauderdale, FL 33314 USA</t>
  </si>
  <si>
    <t>University of Miami; Nova Southeastern University</t>
  </si>
  <si>
    <t>Hernandez, LE (corresponding author), Univ Miami, Miller Sch Med, Dept Dermatol &amp; Cutaneous Surg, 1600 NW 10th Ave, Miami, FL 33136 USA.</t>
  </si>
  <si>
    <t>loren.hernandez@med.miami.edu</t>
  </si>
  <si>
    <t>Hernandez, Loren/0000-0002-2460-1682; Frech, Fabio/0000-0002-0689-6464</t>
  </si>
  <si>
    <t>1473-2130</t>
  </si>
  <si>
    <t>1473-2165</t>
  </si>
  <si>
    <t>J COSMET DERMATOL-US</t>
  </si>
  <si>
    <t>J. Cosmet. Dermatol.</t>
  </si>
  <si>
    <t>10.1111/jocd.15038</t>
  </si>
  <si>
    <t>5U5OC</t>
  </si>
  <si>
    <t>WOS:000796480600001</t>
  </si>
  <si>
    <t>Bösch, M; Divon, T</t>
  </si>
  <si>
    <t>Boesch, Marcus; Divon, Tom</t>
  </si>
  <si>
    <t>The sound of disinformation: TikTok, computational propaganda, and the invasion of Ukraine</t>
  </si>
  <si>
    <t>Computational propaganda; disinformation; memes; misinformation; TikTok; Ukraine</t>
  </si>
  <si>
    <t>TikTok has emerged as a powerful platform for the dissemination of mis- and disinformation about the war in Ukraine. During the initial three months after the Russian invasion in February 2022, videos under the hashtag #Ukraine garnered 36.9 billion views, with individual videos scaling up to 88 million views. Beyond the traditional methods of spreading misleading information through images and text, the medium of sound has emerged as a novel, platform-specific audiovisual technique. Our analysis distinguishes various war-related sounds utilized by both Ukraine and Russia and classifies them into a mis- and disinformation typology. We use computational propaganda features-automation, scalability, and anonymity-to explore how TikTok's auditory practices are exploited to exacerbate information disorders in the context of ongoing war events. These practices include reusing sounds for coordinated campaigns, creating audio meme templates for rapid amplification and distribution, and deleting the original sounds to conceal the orchestrators' identities. We conclude that TikTok's recommendation system (the for you page) acts as a sound space where exposure is strategically navigated through users' intervention, enabling semi-automated soft propaganda to thrive by leveraging its audio features.</t>
  </si>
  <si>
    <t>[Boesch, Marcus] Westfal Wilhelms Univ Munster, Munster, Germany; [Divon, Tom] Hebrew Univ Jerusalem, Mt Scopus 1, IL-9190501 Jerusalem, Israel</t>
  </si>
  <si>
    <t>University of Munster; Hebrew University of Jerusalem</t>
  </si>
  <si>
    <t>Divon, T (corresponding author), Hebrew Univ Jerusalem, Mt Scopus 1, IL-9190501 Jerusalem, Israel.</t>
  </si>
  <si>
    <t>zem1987@gmail.com</t>
  </si>
  <si>
    <t>Boesch, Marcus/JUV-0176-2023</t>
  </si>
  <si>
    <t>Divon, Tom/0000-0002-7034-615X; Bosch, Marcus/0000-0003-2093-8138</t>
  </si>
  <si>
    <t>10.1177/14614448241251804</t>
  </si>
  <si>
    <t>WOS:001303163500021</t>
  </si>
  <si>
    <t>Chen, MKY; Garden, F; Sebaratnam, DF</t>
  </si>
  <si>
    <t>Chen, M. K. Y.; Garden, F.; Sebaratnam, D. F.</t>
  </si>
  <si>
    <t>Isotretinoin on TikTok™: misinformation getting under our skin</t>
  </si>
  <si>
    <t>CLINICAL AND EXPERIMENTAL DERMATOLOGY</t>
  </si>
  <si>
    <t>[Chen, M. K. Y.; Sebaratnam, D. F.] Liverpool Hosp, Dept Dermatol, Liverpool, NSW, Australia; [Chen, M. K. Y.; Garden, F.; Sebaratnam, D. F.] Univ New South Wales, South Western Sydney Clin Sch, Liverpool, NSW, Australia; [Garden, F.] Ingham Inst Appl Med Res, Liverpool, NSW, Australia</t>
  </si>
  <si>
    <t>Liverpool Hospital; University of New South Wales Sydney; Ingham Institute for Applied Medical Research</t>
  </si>
  <si>
    <t>Chen, MKY (corresponding author), Liverpool Hosp, Dept Dermatol, Liverpool, NSW, Australia.;Chen, MKY (corresponding author), Univ New South Wales, South Western Sydney Clin Sch, Liverpool, NSW, Australia.</t>
  </si>
  <si>
    <t>michelle.k.chen@student.unsw.edu.au</t>
  </si>
  <si>
    <t>Sebaratnam, Deshan/R-1190-2019</t>
  </si>
  <si>
    <t>Sebaratnam, Deshan/0000-0001-5896-8178; Garden, Frances/0000-0003-1653-3031</t>
  </si>
  <si>
    <t>University of New South Wales MD programme</t>
  </si>
  <si>
    <t>The study was supported by the University of New South Wales MD programme (to MKYC).</t>
  </si>
  <si>
    <t>0307-6938</t>
  </si>
  <si>
    <t>1365-2230</t>
  </si>
  <si>
    <t>CLIN EXP DERMATOL</t>
  </si>
  <si>
    <t>Clin. Exp. Dermatol.</t>
  </si>
  <si>
    <t>10.1111/ced.14810</t>
  </si>
  <si>
    <t>XC1CG</t>
  </si>
  <si>
    <t>WOS:000676132500001</t>
  </si>
  <si>
    <t>Song, W</t>
  </si>
  <si>
    <t>Song, Wei</t>
  </si>
  <si>
    <t>PSYCHOLOGICAL CHARACTERISTICS OF CONTEMPORARY YOUNG PEOPLE FROM TIKTOK VIDEOS</t>
  </si>
  <si>
    <t>PSYCHIATRIA DANUBINA</t>
  </si>
  <si>
    <t>[Song, Wei] Bozhou Univ, Dept Chinese &amp; Media, Bozhou 236800, Peoples R China; [Song, Wei] Sookmyung Womens Univ, Media Dept, Seoul 04310, South Korea</t>
  </si>
  <si>
    <t>Bozhou University; Sookmyung Women's University</t>
  </si>
  <si>
    <t>Song, Wei/AAT-5081-2021</t>
  </si>
  <si>
    <t>MEDICINSKA NAKLADA</t>
  </si>
  <si>
    <t>ZAGREB</t>
  </si>
  <si>
    <t>VLASKA 69, HR-10000 ZAGREB, CROATIA</t>
  </si>
  <si>
    <t>0353-5053</t>
  </si>
  <si>
    <t>1849-0867</t>
  </si>
  <si>
    <t>PSYCHIAT DANUB</t>
  </si>
  <si>
    <t>Psychiatr. Danub.</t>
  </si>
  <si>
    <t>S76</t>
  </si>
  <si>
    <t>S77</t>
  </si>
  <si>
    <t>YC4OK</t>
  </si>
  <si>
    <t>WOS:000739672800048</t>
  </si>
  <si>
    <t>Two souls in one shell</t>
  </si>
  <si>
    <t>10.4324/9781003261056-8</t>
  </si>
  <si>
    <t>WOS:001219761700007</t>
  </si>
  <si>
    <t>van der Bend, DLM; Gijsman, N; Bucher, T; Shrewsbury, VA; van Trijp, H; van Kleef, E</t>
  </si>
  <si>
    <t>van der Bend, Daphne L. M.; Gijsman, Nerine; Bucher, Tamara; Shrewsbury, Vanessa A.; van Trijp, Hans; van Kleef, Ellen</t>
  </si>
  <si>
    <t>Can I @handle it? The effects of sponsorship disclosure in TikTok influencer marketing videos with different product integration levels on adolescents? persuasion knowledge and brand outcomes</t>
  </si>
  <si>
    <t>Influencer marketing; Social media; TikTok; Persuasion knowledge; Adolescents; Brand outcomes</t>
  </si>
  <si>
    <t>ADVERTISING LITERACY; CHILDRENS RESPONSES; YOUNG ADOLESCENTS; PLOT CONNECTION; MODERATING ROLE; PLACEMENT; IMPLICIT; MEMORY; PROMINENCE; UNHEALTHY</t>
  </si>
  <si>
    <t>TikTok influencer videos are becoming increasingly popular for promotional purposes and are appealing to adolescents. Yet, the products' level of integration into the storyline of such videos influences their recogniz-ability as advertisements, which is concerning as they expose adolescents to unhealthy social media food mar-keting, leading to unhealthy consumption. This study investigated whether a sponsorship disclosure in a TikTok influencer video with different levels of product-plot integration increases adolescents' persuasion knowledge and impacts their brand outcomes. This between-subjects 2 x 2 experiment included 245 Dutch adolescents with a mean age of 13.6 (SD = 1.42). Participants watched a TikTok video in which the brand Doritos was shown passively or integrated into the storyline, with or without a disclosure. The sponsorship disclosure significantly increased recognition of advertising (F(241) = 4.48, p = .035) and understanding of persuasive intent (F(241) = 13.28, p = &lt;.001), regardless of product-plot integration level. Yet, brand attitude and product choice were not affected significantly by the disclosure. Overall, sponsorship disclosure in TikTok influencer videos helps create transparency and increase adolescents' recognition and understanding of commercial and persuasive intent. This study is the first to investigate disclosures in the context of popular short-format social media videos.</t>
  </si>
  <si>
    <t>[van der Bend, Daphne L. M.; Gijsman, Nerine; van Trijp, Hans; van Kleef, Ellen] Wageningen Univ &amp; Res, Dept Social Sci, Mkt &amp; Consumer Behav Grp, Hollandseweg 1, NL-6706 KN Wageningen, Netherlands; [van der Bend, Daphne L. M.; Shrewsbury, Vanessa A.] Univ Newcastle, Sch Hlth Sci, Coll Hlth Med &amp; Wellbeing, Univ Dr, Callaghan, NSW 2308, Australia; [Bucher, Tamara] Univ Newcastle, Sch Environm &amp; Life Sci, Coll Engn Sci &amp; Environm, Univ Dr, Callaghan, NSW 2308, Australia</t>
  </si>
  <si>
    <t>Wageningen University &amp; Research; University of Newcastle; University of Newcastle</t>
  </si>
  <si>
    <t>van der Bend, DLM (corresponding author), Wageningen Univ &amp; Res, Dept Social Sci, Mkt &amp; Consumer Behav Grp, Hollandseweg 1, NL-6706 KN Wageningen, Netherlands.</t>
  </si>
  <si>
    <t>daphne.vanderbend@wur.nl</t>
  </si>
  <si>
    <t>van Kleef, Ellen/B-7789-2009; Bucher, Tamara/AAR-9797-2020</t>
  </si>
  <si>
    <t>Bucher, Tamara/0000-0003-3244-5867</t>
  </si>
  <si>
    <t>10.1016/j.chb.2023.107723</t>
  </si>
  <si>
    <t>D2WJ7</t>
  </si>
  <si>
    <t>WOS:000967375800001</t>
  </si>
  <si>
    <t>Olivares-García, FJ; Majuelos, MIM</t>
  </si>
  <si>
    <t>Olivares-Garcia, Francisco J.; Mendez Majuelos, Maria Ines</t>
  </si>
  <si>
    <t>Analysis of the main trends published on TikTok during the quarantine period by COVID-19</t>
  </si>
  <si>
    <t>REVISTA ESPANOLA DE COMUNICACION EN SALUD</t>
  </si>
  <si>
    <t>Narratives; Social Networks; TikTok; Virality; Cyberdiction; Video; Viral challenges</t>
  </si>
  <si>
    <t>Introduction: TikTok has been one of the most used social networks by younger users during confinement by COVID-19. Objective: To analyze the main trends and videos published on the platform during the quarantine period. Methodology: The main contents and trends published on TikTok were analyzed during 25 days of confinement from April 9 to May 3, 2020. It is presented a qualitative and quantitative analysis of viral trends and challenges related to COVID-19. Results: The study presents a completely new content generation and viralization model, based on the presentation of content that, apparently, is not useful, does not change the world or the lives of citizens, and presents empty products and based exclusively on fun and imitation. Conclusions: In front of the actions generated in other networks making face masks and protection screens, TikTok has only provided humor and entertainment. However, under an apparent layer of superficiality and frivolity, you can discover a picture of our society behind closed doors.</t>
  </si>
  <si>
    <t>[Olivares-Garcia, Francisco J.; Mendez Majuelos, Maria Ines] Univ Seville, Fac Comunicac, Dept Periodismo 2, Seville, Spain</t>
  </si>
  <si>
    <t>University of Sevilla</t>
  </si>
  <si>
    <t>Olivares-García, FJ (corresponding author), Univ Seville, Fac Comunicac, Dept Periodismo 2, Seville, Spain.</t>
  </si>
  <si>
    <t>folivares@us.es</t>
  </si>
  <si>
    <t>Olivares-García, Francisco/AAQ-7852-2020</t>
  </si>
  <si>
    <t>UNIV CARLOS III MADRID</t>
  </si>
  <si>
    <t>DEPT PERIODISMO &amp; COMUNICACION AUDIOVISUAL DESPACHO 18 2 E22 C/MADRID, NO 135, GETAFE, MADRID, 28903, SPAIN</t>
  </si>
  <si>
    <t>1989-9882</t>
  </si>
  <si>
    <t>REV ESP COMUN SALUD</t>
  </si>
  <si>
    <t>Rev. Esp. Comun. Salud</t>
  </si>
  <si>
    <t>S243</t>
  </si>
  <si>
    <t>S252</t>
  </si>
  <si>
    <t>10.20318/recs.2020.5422</t>
  </si>
  <si>
    <t>MO6JL</t>
  </si>
  <si>
    <t>WOS:000551629600019</t>
  </si>
  <si>
    <t>Klug, D; Qin, YL; Evans, M; Kaufman, G</t>
  </si>
  <si>
    <t>Klug, Daniel; Qin, Yiluo; Evans, Morgan; Kaufman, Geoff</t>
  </si>
  <si>
    <t>Trick and Please. A Mixed-Method Study On User Assumptions About the TikTok Algorithm</t>
  </si>
  <si>
    <t>PROCEEDINGS OF THE 13TH ACM WEB SCIENCE CONFERENCE, WEBSCI 2021</t>
  </si>
  <si>
    <t>13th ACM Web Science Conference (WebSci)</t>
  </si>
  <si>
    <t>JUN 21-25, 2021</t>
  </si>
  <si>
    <t>Assoc Comp Machinery,ACM SIGWEB,Univ Southampton</t>
  </si>
  <si>
    <t>algorithm; user assumptions; TikTok; short-video app; qualitative interviews; hashtag analysis</t>
  </si>
  <si>
    <t>YOUTUBE; MEDIA; SELF</t>
  </si>
  <si>
    <t>The short-form video sharing app TikTok is characterized by content-based interactions that largely depend on individually customized video feeds curated by the app's recommendation algorithm. Algorithms are generally invisible mechanisms within socio-technical systems that can influence how we perceive online and offline reality, and how we interact with each other. Based on experiences from consuming and creating videos, users develop assumptions about how the TikTok algorithm might work, and about how to trick and please the algorithm to make their videos trend so it pushes them to other users' 'for you' pages. We conducted 28 qualitative interviews with TikTok users and identified three main criteria they assume influence the platform's algorithm: video engagement, posting time, and adding and piling up hashtags. We then collected 300,617 videos from the TikTok trending section and performed a series of data exploration and analysis to test these user assumption by determining criteria for trending videos. Our data analysis confirms that higher video engagement through comments, likes, and shares leads to a higher chance of the algorithm pushing a video to the trending section. We also find that posting videos at certain times increases the chances of it trending and reaching higher popularity. In contrast, the highly common assumption that using trending hashtags, algorithm related hashtags (e.g. #fyp, #foryou), and piling up trending hashtags would significantly push videos to the trending section was found not applicable. Our results contribute to existing research on user understanding of social media algorithms using TikTok as an example for a short-video app that is explicitly built around algorithmic content recommendation. Our results provide a broader perspective on user beliefs and behavior in the context of socio-technical systems and social media content creation and consumption.</t>
  </si>
  <si>
    <t>[Klug, Daniel; Qin, Yiluo; Evans, Morgan; Kaufman, Geoff] Carnegie Mellon Univ, Pittsburgh, PA 15213 USA</t>
  </si>
  <si>
    <t>dklug@andrew.cmu.edu; yiluoq@andrew.cmu.edu; morganev@andrew.cmu.edu; gfk@andrew.cmu.edu</t>
  </si>
  <si>
    <t>978-1-4503-8330-1</t>
  </si>
  <si>
    <t>10.1145/3447535.3462512</t>
  </si>
  <si>
    <t>BW2ME</t>
  </si>
  <si>
    <t>WOS:001118959000018</t>
  </si>
  <si>
    <t>Siva, N; Zonner, J; Raiker, R; Pakhchanian, H; Helm, M; Foulke, G</t>
  </si>
  <si>
    <t>Siva, Nanda; Zonner, Jordan; Raiker, Rahul; Pakhchanian, Haig; Helm, Matthew; Foulke, Galen</t>
  </si>
  <si>
    <t>A social media analysis of sunburn-related videos on TikTok</t>
  </si>
  <si>
    <t>Annual Meeting of the American-Academy-of-Dermatology (AAD)</t>
  </si>
  <si>
    <t>MAR 17-21, 2023</t>
  </si>
  <si>
    <t>Amer Acad Dermatol</t>
  </si>
  <si>
    <t>[Siva, Nanda] Univ Southern Calif, Los Angeles, CA USA; [Zonner, Jordan] Univ Calif Irvine, Irvine, CA USA; [Raiker, Rahul] West Virginia Univ, Morgantown, WV USA; [Pakhchanian, Haig] George Washington Univ, Sch Med &amp; Hlth Sci, Washington, DC USA; [Helm, Matthew; Foulke, Galen] Penn State Coll Med, State Coll, PA USA</t>
  </si>
  <si>
    <t>University of Southern California; University of California System; University of California Irvine; West Virginia University; George Washington University; Pennsylvania Commonwealth System of Higher Education (PCSHE); Pennsylvania State University; Penn State Health</t>
  </si>
  <si>
    <t>AB113</t>
  </si>
  <si>
    <t>T5OY7</t>
  </si>
  <si>
    <t>WOS:001078492800441</t>
  </si>
  <si>
    <t>O'Leary, E</t>
  </si>
  <si>
    <t>O'Leary, Eleanor</t>
  </si>
  <si>
    <t>Irish dance and identity politics on TikTok</t>
  </si>
  <si>
    <t>IRISH STUDIES REVIEW</t>
  </si>
  <si>
    <t>TikTok; Irish dance; Ireland; America; inclusion; diversity</t>
  </si>
  <si>
    <t>During the COVID-19 pandemic TikTok became a vibrant virtual space to circulate dance performances and challenges when other forms of movement were heavily restricted. A new generation of Irish dancers joined the app to share their choreographies and creativity, bringing this form of Irish culture to young global audiences. Evident as part of this trend were new mediations of Irishness attached to the cultural concerns of Gen Z (primary users of the TikTok app). African American Irish dancer, Morgan Bullock, provides an informative case study on the tensions that emerge between national Irish and diasporic identities. Articulations of Ireland as especially inclusive are explored through a range of popular culture productions including viral short videos, comment sections, television series and dance performances. These explorations reveal layers of meaning attached to being Irish through the contestations and negotiations of Irish identity in online spaces. The article concludes that while performances of inclusion carry considerable weight in virtual spaces like TikTok, this is not for the most part reflected in the social and political policies that shape the everyday experiences of people of colour living and working in Ireland.</t>
  </si>
  <si>
    <t>[O'Leary, Eleanor] South East Technol Univ, Dept Sport Media &amp; Mkt, Carlow, Ireland</t>
  </si>
  <si>
    <t>O'Leary, E (corresponding author), South East Technol Univ, Dept Sport Media &amp; Mkt, Carlow, Ireland.</t>
  </si>
  <si>
    <t>Eleanor.oleary@setu.ie</t>
  </si>
  <si>
    <t>0967-0882</t>
  </si>
  <si>
    <t>1469-9303</t>
  </si>
  <si>
    <t>IR STUD REV</t>
  </si>
  <si>
    <t>Ir. Stud. Rev.</t>
  </si>
  <si>
    <t>10.1080/09670882.2024.2339431</t>
  </si>
  <si>
    <t>UB0W5</t>
  </si>
  <si>
    <t>WOS:001203593300001</t>
  </si>
  <si>
    <t>Sattora, EA; Ganeles, BC; Pierce, ME; Wong, RG</t>
  </si>
  <si>
    <t>Sattora, Emily A.; Ganeles, Brian C.; Pierce, Morgan E.; Wong, Roger</t>
  </si>
  <si>
    <t>Research on Health Topics Communicated through TikTok: A Systematic Review of the Literature</t>
  </si>
  <si>
    <t>health; health communication; health education; medical information; public health; social influence; social media; systematic review; TikTok; user-generated content</t>
  </si>
  <si>
    <t>INFORMATION; QUALITY; VIDEOS; MISINFORMATION</t>
  </si>
  <si>
    <t>TikTok has more than 1.5 billion users globally. Health and wellness content on the application increased by more than 600% in 2021. This systematic review seeks to summarize which fields within medicine have embraced researching health communication on the TikTok platform and the most common measures reported within this literature. Research questions include what categories of health topics on TikTok are investigated in the literature, trends in topics by year, and types of outcomes reported. Embase, CINAHL, Scopus, and Ovid MEDLINE databases were searched in March 2024. Eligible studies met four criteria: (1) investigated human health topics on TikTok; (2) conducted in the United States; (3) published in English; and (4) published in a peer-reviewed journal. Of the 101 included studies, 50.5% (N = 51) discussed non-surgical specialties, 9.9% (N = 10) discussed topics within surgery, and 11.9% (N = 12) discussed COVID-19. The number of papers referencing non-surgical topics spiked in 2023, and no increase was seen in the number of COVID-19 papers over time. Most papers reported a number of interactions, and papers about mental health were least likely to report accuracy. Our findings highlight several health topics with a wide breadth of research dedicated to them, such as dermatology and COVID-19, and highlight areas for future research, such as the intersection of cancer and TikTok. Findings may be influential in the fields of medicine and healthcare research by informing health policy and targeted prevention efforts. This review reveals the need for future policies that focus on the role and expectations of the healthcare worker in health communication on social media. Implications for clinical practice include the need for providers to consider an individual's perception of health and illness, given the wide variety of information available on social media applications such as TikTok. This review was pre-registered on PROSPERO (CRD42024529182).</t>
  </si>
  <si>
    <t>[Sattora, Emily A.; Ganeles, Brian C.; Pierce, Morgan E.; Wong, Roger] SUNY Upstate Med Univ, Norton Coll Med, Dept Publ Hlth &amp; Prevent Med, Syracuse, NY 13210 USA; [Wong, Roger] SUNY Upstate Med Univ, Norton Coll Med, Dept Geriatr, Syracuse, NY 13210 USA</t>
  </si>
  <si>
    <t>State University of New York (SUNY) System; State University of New York (SUNY) Upstate Medical Center; State University of New York (SUNY) System; State University of New York (SUNY) Upstate Medical Center</t>
  </si>
  <si>
    <t>Wong, RG (corresponding author), SUNY Upstate Med Univ, Norton Coll Med, Dept Publ Hlth &amp; Prevent Med, Syracuse, NY 13210 USA.;Wong, RG (corresponding author), SUNY Upstate Med Univ, Norton Coll Med, Dept Geriatr, Syracuse, NY 13210 USA.</t>
  </si>
  <si>
    <t>wongro@upstate.edu</t>
  </si>
  <si>
    <t>Wong, Roger/AAB-6504-2020</t>
  </si>
  <si>
    <t>Wong, Roger/0000-0002-2243-1990</t>
  </si>
  <si>
    <t>10.3390/journalmedia5030088</t>
  </si>
  <si>
    <t>H5P2O</t>
  </si>
  <si>
    <t>WOS:001323953100001</t>
  </si>
  <si>
    <t>Tabarestani, TQ; Anastasio, AT; Duruewuru, A; Taylor, JR; Bethell, MA; Adams, SB</t>
  </si>
  <si>
    <t>Tabarestani, Troy Q.; Anastasio, Albert T.; Duruewuru, Anthony; Taylor, Joshua R.; Bethell, Mikhail A.; Adams, Samuel B.</t>
  </si>
  <si>
    <t>Analyzing the quality and educational value of Achilles tendinopathy- related videos on TikTok</t>
  </si>
  <si>
    <t>FOOT AND ANKLE SURGERY</t>
  </si>
  <si>
    <t>TikTok; Achilles Tendinopathy; Social media; Healthcare; Education; Achilles exercises; Achilles rehabilitation</t>
  </si>
  <si>
    <t>Background: Social media platforms, like TikTok, have become popular options for the consumption and distribution of healthcare information. Due to the lack of scientific oversight, the consistency of healthcare -related videos has become a focus of the current literature. However, orthopaedic surgery has lagged behind other specialties in acknowledging the widespread utilization of TikTok videos for medical information. This study aims to assess the quality and educational benefits of Achilles tendinopathy-related TikTok videos.Methods: TikTok was queried using the hashtags #achillestendonexercises, achillestendonitisexercises, achillestendinosisexercises, and achillestendinopathyexercises. 100 videos (25 for each term) were in-cluded after applying the exclusion criteria. The number of views, likes, shares, comments, and favorites was recorded. The content was graded using DISCERN (a well-validated informational analysis tool) and ATEES (a self-designed tool for exercise evaluation).Results: The total number of views of the 100 videos was 1647,148, with a median of 7562.5 (IQR = 2,281-19,575). The videos collectively received 73,765 likes, 1125 comments, 14,491 favorites and 6897 shares with a median of 283 (IQR= 73.8-957.8), 7 (IQR= 1.8-16.0), 61.5 (IQR= 8.8-184.3), and 18.5 (IQR= 2.0-49.8), respectively. General users uploaded slightly less (48%) when compared to healthcare professionals (52%). Healthcare professionals had more videos graded as very poor (43.4%) in comparison to the general users (36.2%). General users had more videos graded as poor (63.8%) in comparison to healthcare professionals (54.7%). However, there were no significant differences between the groups on either of the video grading scales.Conclusion: Although TikTok is a powerful tool for information distribution, the educational value of the videos related to Achilles tendinopathy exercises was poor. With only 1% of videos receiving a grade of 'fair,' and no videos reaching a score of 'good' or 'excellent', healthcare professionals should be aware of the high viewership of low-quality content easily accessible on TikTok.Level of evidence: 3.(c) 2023 European Foot and Ankle Society. Published by Elsevier Ltd. All rights reserved.</t>
  </si>
  <si>
    <t>[Tabarestani, Troy Q.; Taylor, Joshua R.; Bethell, Mikhail A.] Duke Univ, Sch Med, Durham, NC USA; [Anastasio, Albert T.; Adams, Samuel B.] Duke Univ Hosp, Dept Orthoped Surg, Durham, NC USA; [Duruewuru, Anthony] Baylor Coll Med, Houston, TX USA; [Anastasio, Albert T.] Duke Univ Hosp, 200 Trent Dr, Durham, NC 27710 USA</t>
  </si>
  <si>
    <t>Duke University; Duke University; Baylor College of Medicine; Duke University</t>
  </si>
  <si>
    <t>Anastasio, AT (corresponding author), Duke Univ Hosp, 200 Trent Dr, Durham, NC 27710 USA.</t>
  </si>
  <si>
    <t>albert.anastasio@duke.edu</t>
  </si>
  <si>
    <t>Anastasio, Albert/AAF-1862-2020</t>
  </si>
  <si>
    <t>Tabarestani, Troy/0000-0003-1485-3605; Bethell, Mikhail/0000-0002-2270-9067; Adams, Samuel/0000-0003-1020-1167</t>
  </si>
  <si>
    <t>1268-7731</t>
  </si>
  <si>
    <t>1460-9584</t>
  </si>
  <si>
    <t>FOOT ANKLE SURG</t>
  </si>
  <si>
    <t>Foot Ankle Surg.</t>
  </si>
  <si>
    <t>10.1016/j.fas.2023.03.007</t>
  </si>
  <si>
    <t>Orthopedics</t>
  </si>
  <si>
    <t>J6SN9</t>
  </si>
  <si>
    <t>WOS:001010898500001</t>
  </si>
  <si>
    <t>Naseer, S; Hasan, S; Bhuiyan, J; Prasad, A</t>
  </si>
  <si>
    <t>Naseer, Shahrukh; Hasan, Sazid; Bhuiyan, Julia; Prasad, Anuradha</t>
  </si>
  <si>
    <t>Current Public Trends in the Discussion of Dry Eyes: A Cross-Sectional Analysis of Popular Content on TikTok</t>
  </si>
  <si>
    <t>discern; cross-sectional analysis; tiktok; social media; dry eyes</t>
  </si>
  <si>
    <t>Introduction Dry eye disease (DED) is a common ocular pathology with significant impacts on both quality of life and visual function. One platform where individuals are receiving healthcare information is TikTok, the world's fastest-growing social media platform. Though used by more than one billion users, current literature is not established to assess the quality of information on TikTok. The purpose of this study was to assess the quality of DED-related medical information present on TikTok. Methods We conducted a cross-sectional analysis of DED content on TikTok, utilizing the search term #DryEye to assess the top 150 videos appearing on December 20, 2021. Included videos were analyzed for descriptive statistics, including views, likes, uploader profession, and the number of uploader followers. Videos were assessed utilizing DISCERN, a tool used to appraise consumer health information. The one-way analysis of variance (ANOVA) was used to determine statistical significance groups. Results A total of 101 videos were included in the final analysis. When comparing content creators, physicians received a significantly greater number of views and higher DISCERN scores (p&lt;0.05) than non-physician medical providers and non-medical individuals. The content of the videos were educational content (n=39, 38.6%) or treatment information (n=37, 36.6%), followed by home remedies (n=10, 9.9%) and personal anecdotes (n=8, 7.9%). Videos with rich supplementary visuals (multiple images/moving images) had higher DISCERN scores compared to videos with no supplementary visuals or one supplementary visual (p&lt;0.01). Conclusion With the growing popularity of TikTok, it is important to provide high-quality information to ensure the dissemination of medically accurate information and reduce the prevalence of disinformation. Our results demonstrate that while TikTok is a powerful platform, the quality of videos can still be vastly improved. Content creators, regardless of profession, can improve their DISCERN through listing sources, comparing treatments, and discussing risks/outcomes of various treatment modalities.</t>
  </si>
  <si>
    <t>[Naseer, Shahrukh; Hasan, Sazid] Oakland Univ, William Beaumont Sch Med, Ophthalmol, Rochester Hills, MI 48309 USA; [Bhuiyan, Julia] Harvard Univ, Ophthalmol, Cambridge, MA 02138 USA; [Prasad, Anuradha] Beaumont Hosp, Ophthalmol, Royal Oak, MI USA</t>
  </si>
  <si>
    <t>Oakland University; Harvard University; Beaumont Health</t>
  </si>
  <si>
    <t>Hasan, S (corresponding author), Oakland Univ, William Beaumont Sch Med, Ophthalmol, Rochester Hills, MI 48309 USA.</t>
  </si>
  <si>
    <t>shasan2@oakland.edu</t>
  </si>
  <si>
    <t>Bhuiyan, Julia/0000-0003-4865-9878</t>
  </si>
  <si>
    <t>FEB 28</t>
  </si>
  <si>
    <t>e22702</t>
  </si>
  <si>
    <t>10.7759/cureus.22702</t>
  </si>
  <si>
    <t>ZS6QF</t>
  </si>
  <si>
    <t>WOS:000768587900017</t>
  </si>
  <si>
    <t>Huang, YJ</t>
  </si>
  <si>
    <t>Huang, Yujie</t>
  </si>
  <si>
    <t>TikTok cultures in the United States</t>
  </si>
  <si>
    <t>CRITICAL STUDIES IN MEDIA COMMUNICATION</t>
  </si>
  <si>
    <t>[Huang, Yujie] Wuhan Polytech Univ, Sch Foreign Languages, Wuhan, Peoples R China</t>
  </si>
  <si>
    <t>Wuhan Polytechnic University</t>
  </si>
  <si>
    <t>Huang, YJ (corresponding author), Wuhan Polytech Univ, Sch Foreign Languages, Wuhan, Peoples R China.</t>
  </si>
  <si>
    <t>452138731@qq.com</t>
  </si>
  <si>
    <t>1529-5036</t>
  </si>
  <si>
    <t>1479-5809</t>
  </si>
  <si>
    <t>CRIT STUD MEDIA COMM</t>
  </si>
  <si>
    <t>Crit. Stud. Media Comm.</t>
  </si>
  <si>
    <t>10.1080/15295036.2024.2332201</t>
  </si>
  <si>
    <t>XW4L1</t>
  </si>
  <si>
    <t>WOS:001197051500001</t>
  </si>
  <si>
    <t>Cervi, L; Tejedor, S; Blesa, FG</t>
  </si>
  <si>
    <t>Cervi, Laura; Tejedor, Santiago; Blesa, Fernando Garcia</t>
  </si>
  <si>
    <t>TikTok and Political Communication: The Latest Frontier of Politainment? A Case Study</t>
  </si>
  <si>
    <t>Peru; politainment; political campaign; political communication; TikTok</t>
  </si>
  <si>
    <t>SOCIAL MEDIA; TWITTER; VIDEO</t>
  </si>
  <si>
    <t>TikTok is without any doubt the most popular social media among Gen Zers. Originally born as a lip-syncing app, it can be exploited in different ways; as such, it represents a new fertile space for political communication. In this vein, previous studies have shown that politicians all over the planet are joining the platform as a tool to connect with younger audiences. This study examines the use of TikTok in the last presidential elections in Peru. Following an affordance-based approach, we analyze all the TikToks published by the main candidates (Pedro Castillo, Keiko Fujimori, Rafael Lopez Aliaga, Hernando de Soto, and George Forsyth) during the electoral campaign, to understand if and how candidates have integrated this platform as part of their electoral strategy and what kind of content they publish and share. Through a content analysis that combines quantitative and qualitative elements, we demonstrate that, although all the analyzed politicians have opened TikTok accounts, they do not seem to take full advantage of the platform's affordances displaying a top-down communication style with almost no deliberative nor participative intentions. Political issues are almost absent since the platform is mostly used to display their personal life and enhance their political persona, with most of the content displaying a clear entertaining dimension. Some differences are discussed but, in general, results reveal that Peruvian candidates use TikTok almost uniquely for politainment.</t>
  </si>
  <si>
    <t>[Cervi, Laura; Tejedor, Santiago] Autonomous Univ Barcelona, Dept Journalism &amp; Commun Sci, Bellaterra, Spain; [Blesa, Fernando Garcia] Univ Lima, Gen Studies Program, Santiago De Surco, Peru</t>
  </si>
  <si>
    <t>Autonomous University of Barcelona; Universidad de Lima</t>
  </si>
  <si>
    <t>Cervi, L (corresponding author), Autonomous Univ Barcelona, Dept Journalism &amp; Commun Sci, Bellaterra, Spain.</t>
  </si>
  <si>
    <t>laura.cervi@uab.cat</t>
  </si>
  <si>
    <t>cervi, laura/S-2216-2018; ST Tejedor, Santiago/S-3198-2018</t>
  </si>
  <si>
    <t>CERVI, LAURA/0000-0002-0376-0609; Garcia Blesa, Fernando/0000-0002-2120-514X</t>
  </si>
  <si>
    <t>10.17645/mac.v11i2.6390</t>
  </si>
  <si>
    <t>WOS:000996431600009</t>
  </si>
  <si>
    <t>Lan, DH; Oanh, VTK; Cuc, TTK</t>
  </si>
  <si>
    <t>Lan, Duong Hoai; Oanh, Vo Thi Kim; Cuc, Tran Thi Kim</t>
  </si>
  <si>
    <t>Motivations behind TikTok content creation among Gen Z expatriates</t>
  </si>
  <si>
    <t>JOURNAL OF ASIAN PACIFIC COMMUNICATION</t>
  </si>
  <si>
    <t>uses and gratifications theory; social comparison; motivation; TikTok; content creation; expatriates; social media</t>
  </si>
  <si>
    <t>USER-GENERATED CONTENT; SOCIAL MEDIA; CONTINUANCE INTENTION; ADJUSTMENT; NETWORKS; FACEBOOK; STUDENTS; ROLES</t>
  </si>
  <si>
    <t>This study investigates the motivations behind TikTok content creation among Vietnamese Gen Z expatriates by exploring the interplay of the social comparison theory and the Uses and Gratifications Theory in shaping their engagement with the platform. Through qualitative interviews, we uncover the dual role of TikTok in their lives: a tool for fostering social connection and personal expression and a platform for social comparison and validation. These findings illuminate the complex interplay between digital media use and the experience of digital migration, highlighting how Gen Z expatriates navigate transnational identities and seek belonging in an increasingly interconnected world. The study contributes to the ongoing discourse on digitalization and expatriation, emphasizing the multifaceted role of social media in shaping the experiences of young migrants in the digital age.</t>
  </si>
  <si>
    <t>[Lan, Duong Hoai; Oanh, Vo Thi Kim; Cuc, Tran Thi Kim] FPT Univ, Swinburne Vietnam, Da Nang, Vietnam</t>
  </si>
  <si>
    <t>FPT University</t>
  </si>
  <si>
    <t>Lan, DH (corresponding author), FPT Univ, Swinburne Vietnam, Da Nang, Vietnam.</t>
  </si>
  <si>
    <t>Landh4@fe.edu.vn; Oanhvtk8@fe.edu.vn; cucttk2@fe.edu.vn</t>
  </si>
  <si>
    <t>JOHN BENJAMINS PUBLISHING CO</t>
  </si>
  <si>
    <t>PO BOX 36224, 1020 ME AMSTERDAM, NETHERLANDS</t>
  </si>
  <si>
    <t>0957-6851</t>
  </si>
  <si>
    <t>1569-9838</t>
  </si>
  <si>
    <t>J ASIAN PAC COMMUN</t>
  </si>
  <si>
    <t>J. Asian Pac. Commun.</t>
  </si>
  <si>
    <t>2024 NOV 12</t>
  </si>
  <si>
    <t>10.1075/japc.00112.lan</t>
  </si>
  <si>
    <t>L8G2C</t>
  </si>
  <si>
    <t>WOS:001353043400001</t>
  </si>
  <si>
    <t>Peña-Fernández, S; Larrondo-Ureta, A; Moraes-i-Grass, J</t>
  </si>
  <si>
    <t>Pena-Fernandez, Simon; Larrondo-Ureta, Ainara; Moraes-i-Grass, Jordi</t>
  </si>
  <si>
    <t>Current affairs on TikTok. Virality and entertainment for digital natives</t>
  </si>
  <si>
    <t>TikTok; Virality; Entertainment; Journalism; Media; Journalists; Social networks; Social media; Engagement; Digital natives; News; Information</t>
  </si>
  <si>
    <t>JOURNALISM; NEWS; NEWSPAPERS</t>
  </si>
  <si>
    <t>Since its appearance in 2018, TikTok has become one of the most popular social media platforms among digital natives because of its algorithm-based engagement strategies, a policy of public accounts, and a simple, colorful, and intuitive content interface. As happened in the past with other platforms such as Facebook, Twitter, and Instagram, various media are currently seeking ways to adapt to TikTok and its particular characteristics to attract a younger audience less accustomed to the consumption of journalistic material. Against this background, the aim of this study is to identify the presence of the media and journalists on TikTok, measure the virality and engagement of the content they generate, describe the communities created around them, and identify the presence of journalistic use of these accounts. For this, 23,174 videos from 143 accounts belonging to media from 25 countries were analyzed. The results indicate that, in general, the presence and impact of the media in this social network are low and that most of their content is oriented towards the creation of user communities based on viral content and entertainment. However, albeit with a lesser presence, one can also identify accounts and messages that adapt their content to the specific characteristics of TikTok. Their virality and engagement figures illustrate that there is indeed a niche for current affairs on this social network.</t>
  </si>
  <si>
    <t>[Pena-Fernandez, Simon; Larrondo-Ureta, Ainara; Moraes-i-Grass, Jordi] Univ Pais Vasco UPV EHU, Fac Ciencias Sociales &amp; Comunicac, Barrio Sarriena S-N, Leioa 48940, Vizcaya, Spain</t>
  </si>
  <si>
    <t>University of Basque Country</t>
  </si>
  <si>
    <t>Peña-Fernández, S (corresponding author), Univ Pais Vasco UPV EHU, Fac Ciencias Sociales &amp; Comunicac, Barrio Sarriena S-N, Leioa 48940, Vizcaya, Spain.</t>
  </si>
  <si>
    <t>simon.pena@ehu.eus; ainara.larrondo@ehu.eus; morales.jordi@gmail.com</t>
  </si>
  <si>
    <t>Morales-i-Gras, Jordi/JXL-9807-2024; Larrondo Ureta, Ainara/ADN-4801-2022; Pena-Fernandez, Simon/C-4850-2013</t>
  </si>
  <si>
    <t>Morales-i-Gras, Jordi/0000-0003-4173-3609; Larrondo Ureta, Ainara/0000-0003-3303-4330; Pena-Fernandez, Simon/0000-0003-2080-3241</t>
  </si>
  <si>
    <t>Plan Nacional del I+D+i, of the Spanish Ministerio de Ciencia, Innovacion y Universidades [RTI2018-095775B-C41]; European Regional Development Fund (ERDF); Grupo de Investigacion del Gobierno Vasco Gureiker [IT 1112]</t>
  </si>
  <si>
    <t>Plan Nacional del I+D+i, of the Spanish Ministerio de Ciencia, Innovacion y Universidades; European Regional Development Fund (ERDF)(European Union (EU)); Grupo de Investigacion del Gobierno Vasco Gureiker</t>
  </si>
  <si>
    <t>This work is part of the project Noticias, redes y usuarios en el sistema hibrido de medios (RTI2018-095775B-C41), financed by Plan Nacional del I+D+i, of the Spanish Ministerio de Ciencia, Innovacion y Universidades and by European Regional Development Fund (ERDF), and by Grupo de Investigacion del Gobierno Vasco Gureiker (IT 1112).</t>
  </si>
  <si>
    <t>JAN-FEB</t>
  </si>
  <si>
    <t>e310106</t>
  </si>
  <si>
    <t>10.3145/epi.2022.ene.06</t>
  </si>
  <si>
    <t>ZY4DZ</t>
  </si>
  <si>
    <t>WOS:000772538800016</t>
  </si>
  <si>
    <t>Social Media and Food Culture Viral TikTok Recipes</t>
  </si>
  <si>
    <t>M404</t>
  </si>
  <si>
    <t>4X8RB</t>
  </si>
  <si>
    <t>WOS:000861103300001</t>
  </si>
  <si>
    <t>Oehlers, AG</t>
  </si>
  <si>
    <t>Oehlers, Adrienne Gibbons</t>
  </si>
  <si>
    <t>RENEGADES: DIGITAL DANCE CULTURES FROM DUBSMASH TO TIKTOK</t>
  </si>
  <si>
    <t>DANCE RESEARCH JOURNAL</t>
  </si>
  <si>
    <t>[Oehlers, Adrienne Gibbons] Ohio State Univ, Columbus, OH 43210 USA</t>
  </si>
  <si>
    <t>University System of Ohio; Ohio State University</t>
  </si>
  <si>
    <t>Oehlers, AG (corresponding author), Ohio State Univ, Columbus, OH 43210 USA.</t>
  </si>
  <si>
    <t>32 AVENUE OF THE AMERICAS, NEW YORK, NY 10013-2473 USA</t>
  </si>
  <si>
    <t>0149-7677</t>
  </si>
  <si>
    <t>1940-509X</t>
  </si>
  <si>
    <t>DANCE RES J</t>
  </si>
  <si>
    <t>Dance Res. J.</t>
  </si>
  <si>
    <t>10.1017/S0149767722000079</t>
  </si>
  <si>
    <t>1K8ON</t>
  </si>
  <si>
    <t>WOS:000798855300010</t>
  </si>
  <si>
    <t>Strong, K; Frakes, L; Ratliff, C; Thompson, C; Mayhew, J</t>
  </si>
  <si>
    <t>Strong, Kelsie; Frakes, Lilith; Ratliff, Caroline; Thompson, Chelsea; Mayhew, Jessica</t>
  </si>
  <si>
    <t>AN ANALYSIS OF NONHUMAN PRIMATES ON TIKTOK</t>
  </si>
  <si>
    <t>AMERICAN JOURNAL OF PRIMATOLOGY</t>
  </si>
  <si>
    <t>45h Annual Meeting of the American-Society-of-Primatologists (ASP)</t>
  </si>
  <si>
    <t>JUN 20-23, 2023</t>
  </si>
  <si>
    <t>RENO, NV</t>
  </si>
  <si>
    <t>Amer Soc Primatologists</t>
  </si>
  <si>
    <t>[Strong, Kelsie; Frakes, Lilith; Mayhew, Jessica] Cent Washington Univ, Ellensburg, WA USA; [Ratliff, Caroline] San Diego Zoo Wildlife Alliance, San Diego, CA USA; [Thompson, Chelsea] Univ Arkansas, Fayetteville, AR USA</t>
  </si>
  <si>
    <t>Central Washington University; University of Arkansas System; University of Arkansas Fayetteville</t>
  </si>
  <si>
    <t>strong, kelsie/JPA-5838-2023</t>
  </si>
  <si>
    <t>0275-2565</t>
  </si>
  <si>
    <t>1098-2345</t>
  </si>
  <si>
    <t>AM J PRIMATOL</t>
  </si>
  <si>
    <t>Am. J. Primatol.</t>
  </si>
  <si>
    <t>Zoology</t>
  </si>
  <si>
    <t>G9D4W</t>
  </si>
  <si>
    <t>WOS:001319559000026</t>
  </si>
  <si>
    <t>Civila, S; Moreno, PD; Rojas, ADG; Gomez, AH</t>
  </si>
  <si>
    <t>Civila, Sabina; Moreno, Patricia De Casas; Rojas, Antonio Daniel Garcia; Gomez, Angel Hernando</t>
  </si>
  <si>
    <t>TikTok and the caricaturing of violence in adolescent romantic relationships</t>
  </si>
  <si>
    <t>TikTok; toxic; teenagers; social media; TDV (teen dating violence)</t>
  </si>
  <si>
    <t>Violence in romantic relationships is today recognized as a significant social problem. Among adolescents, this issue may be particularly concerning due to their lack of experience in the romantic sphere and to the influence of popular stereotypes. The growing popularity of TikTok and its creative possibilities may have a significant impact on young people's perceptions of this issue. As a result, this can lead to the normalisation of toxic relationships and, therefore, have a negative effect on romantic relationships. This article analyses the discourse on TikTok regarding the normalisation of abusive behaviour in romantic relationships. To do so, a total of 328 videos available on this platform under the hashtags #eltoxico and #latoxica were examined, using thematic analysis as a qualitative research tool. The results show how TikTok users share content that exaggerates and dramatises toxic relationships, emphasising destructive behaviours such as control, abuse and emotional manipulation. Furthermore, there is a tendency to romanticise toxicity and to normalise negative behaviours through trivialization and use of humour. These patterns can influence perceptions of what constitutes a healthy relationship, leading to the acceptance of violent behaviour in the future by society.</t>
  </si>
  <si>
    <t>[Civila, Sabina; Rojas, Antonio Daniel Garcia; Gomez, Angel Hernando] Univ Huelva, Huelva, Spain; [Moreno, Patricia De Casas] Univ Extremadura, Badajoz, Spain</t>
  </si>
  <si>
    <t>Universidad de Huelva; Universidad de Extremadura</t>
  </si>
  <si>
    <t>Civila, S (corresponding author), Univ Huelva, Huelva, Spain.</t>
  </si>
  <si>
    <t>sabicivila@gmail.com; pcasas@unex.es; antonio.garcia@dedu.uhu.es; angel.hernando@dpsi.uhu.es</t>
  </si>
  <si>
    <t>Civila, Sabina/HLQ-0798-2023</t>
  </si>
  <si>
    <t>10.5565/rev/analisi.3632</t>
  </si>
  <si>
    <t>Green Published, gold, Green Submitted</t>
  </si>
  <si>
    <t>WOS:001141862900002</t>
  </si>
  <si>
    <t>Alcántara-Pilar, JM; Rodriguez-López, ME; Kalinic, Z; Liébana-Cabanillas, F</t>
  </si>
  <si>
    <t>Alcantara-Pilar, Juan Miguel; Rodriguez-Lopez, Maria Eugenia; Kalinic, Zoran; Liebana-Cabanillas, Francisco</t>
  </si>
  <si>
    <t>From likes to loyalty: Exploring the impact of influencer credibility on purchase intentions in TikTok</t>
  </si>
  <si>
    <t>TikTok; Influencer marketing; SOR model; Commitment -trust theory</t>
  </si>
  <si>
    <t>WORD-OF-MOUTH; MOBILE PAYMENT ACCEPTANCE; COMMITMENT-TRUST THEORY; CUSTOMER SATISFACTION; SOCIAL MEDIA; SERVICE QUALITY; INFORMATION; CELEBRITY; IDENTIFICATION; DETERMINANTS</t>
  </si>
  <si>
    <t>In recent years, influencer marketing has gained significant prominence within the digital marketing landscape, particularly on platforms such as TikTok. This study seeks to investigate the factors that influence the credibility and trust of influencers in TikTok marketing campaigns, and their subsequent impact on customer loyalty, purchase intentions, and recommendation behavior. Using a two-stage research methodology that integrates the Stimulus-Organism-Response (SOR) model and the Commitment-Trust Theory, 880 active TikTok users participated in this study. In the initial phase, structural equation modeling (SEM) was employed to identify the most influential predictors. Subsequently, a neural network model was utilized in the subsequent phase to validate the predictors identified from the SEM analysis. The empirical findings provide robust confirmation for all the proposed relationships outlined in the theoretical model. These research findings carry significant implications for brands and marketing practitioners, providing them with valuable insights to Lindevelop effective influencer marketing strategies that capitalize on the vast potential of this rapidly expanding platform.</t>
  </si>
  <si>
    <t>[Alcantara-Pilar, Juan Miguel; Rodriguez-Lopez, Maria Eugenia; Liebana-Cabanillas, Francisco] Univ Granada, Granada, Spain; [Kalinic, Zoran] Univ Kragujevac, Kragujevac, Serbia</t>
  </si>
  <si>
    <t>University of Granada; University of Kragujevac</t>
  </si>
  <si>
    <t>Liébana-Cabanillas, F (corresponding author), Univ Granada, Granada, Spain.</t>
  </si>
  <si>
    <t>jmap@ugr.es; eugeniarodriguez@ugr.es; zkalinic@kg.ac.rs; franlieb@ugr.es</t>
  </si>
  <si>
    <t>Kalinic, Zoran/AAH-1448-2020; RODRIGUEZ LOPEZ, MARIA EUGENIA/A-8137-2019; Alcantara-Pilar, Juan Miguel/P-8471-2014</t>
  </si>
  <si>
    <t>RODRIGUEZ LOPEZ, MARIA EUGENIA/0000-0001-7882-5991; Kalinic, Zoran/0000-0001-8137-9005; LIEBANA-CABANILLAS, FRANCISCO/0000-0002-3255-0651; Alcantara-Pilar, Juan Miguel/0000-0002-8112-6152</t>
  </si>
  <si>
    <t>10.1016/j.jretconser.2024.103709</t>
  </si>
  <si>
    <t>IK5S0</t>
  </si>
  <si>
    <t>WOS:001166237200001</t>
  </si>
  <si>
    <t>Shoukat, MH; Selem, KM; Elgammal, I; Ramkissoon, H; Amponsah, M</t>
  </si>
  <si>
    <t>Shoukat, Muhammad Haroon; Selem, Kareem M.; Elgammal, Islam; Ramkissoon, Haywantee; Amponsah, Mary</t>
  </si>
  <si>
    <t>Consequences of local culinary memorable experience: Evidence from TikTok influencers</t>
  </si>
  <si>
    <t>TikTok influencers; Food tourism; Self-determination theory; Source credibility theory; Culinary memorable experience; Revisit intention</t>
  </si>
  <si>
    <t>QUALITY-OF-LIFE; BEHAVIORAL INTENTIONS; PLS-SEM; TOURISM; MOTIVATION; CREDIBILITY; INSTAGRAM; IMPACT; MEDIA; SCALE</t>
  </si>
  <si>
    <t>Underpinned by integrating self-determination and source credibility theories (SCT), this paper investigates the focal roles of memorable local food experiences (MLX) and travel influencer endorsement (TIE) on revisit intention. A questionnaire was used to collect data from 513 TikTok influencers (individuals who frequently post videos on TikTok and have a large number of followers). A purposive sampling technique is used to collect data from TikTok influencers who create videos about food tourism in Pakistan. SmartPLS 4.4 was used with PLSSEM. The empirical results suggest a positive and significant linkage of culinary memorable experience factors with MLX. The focal effects of MLX and TIE on revisit intention are significantly positive. Our findings further revealed that MLX partially mediated the linkage of culinary memorable experience factors with revisit intention, while TIE strengthened the positive relationship between MLX and revisit intention. The study's findings influence travel agents, local food providers, and marketing specialists who develop marketing strategies for local food tourism and online trip purchasing.</t>
  </si>
  <si>
    <t>[Shoukat, Muhammad Haroon] COMSATS Univ Islamabad, Dept Management Sci, Attock Campus, Islamabad 43600, Pakistan; [Selem, Kareem M.] Suez Canal Univ, Fac Tourism &amp; Hotels, Hotel Management Dept, Ismailia 41522, Egypt; [Elgammal, Islam] Univ Jeddah, Coll Business, Business Adm Dept, Jeddah, Saudi Arabia; [Elgammal, Islam] Suez Canal Univ, Fac Tourism, Tourism Studies Dept, Ismailia, Egypt; [Ramkissoon, Haywantee] British Acad Management, Peer Review Coll, London, England; [Ramkissoon, Haywantee] Univ South Australia, Ctr Dynam Enterprises Global Econ, Adelaide, SA 5001, Australia; [Ramkissoon, Haywantee] Univ South Australia, UniSA Business, Adelaide, Australia; [Ramkissoon, Haywantee] Univ Johannesburg, Coll Hospitality &amp; Tourism, Johannesburg, South Africa; [Ramkissoon, Haywantee] Taylors Univ, Ctr Innovat Tourism, Subang Jaya, Malaysia; [Ramkissoon, Haywantee] Univ Derby, Coll Business Law &amp; Social Sci, Derby, England; [Amponsah, Mary] Univ Newcastle, Callaghan, Australia; [Amponsah, Mary] Ctr African Res Engagement &amp; Partnerships, Callaghan, Australia</t>
  </si>
  <si>
    <t>COMSATS University Islamabad (CUI); Egyptian Knowledge Bank (EKB); Suez Canal University; University of Jeddah; Egyptian Knowledge Bank (EKB); Suez Canal University; University of South Australia; University of South Australia; University of Johannesburg; Taylor's University; University of Derby; University of Newcastle</t>
  </si>
  <si>
    <t>Ramkissoon, H (corresponding author), Univ Derby, Coll Business Law &amp; Social Sci, Derby, England.</t>
  </si>
  <si>
    <t>haroonshaukat29@gmail.com; karim.ibrahim@tourism.suez.edu.eg; imelgammal@uj.edu.sa; ramkissoonhaywantee@gmail.com; Mary.Amponsah@newcastle.edu.au</t>
  </si>
  <si>
    <t>Amponsah, Mary/AAF-5226-2019; RAMKISSOON, HAYWANTEE/AAG-3760-2019; Elgammal, Islam/ACS-6123-2022; Selem, Kareem/AAZ-5940-2020; Shoukat, Muhammad Haroon/AEZ-2968-2022</t>
  </si>
  <si>
    <t>Elgammal, Islam/0000-0001-7442-7240; Ramkissoon, Haywantee/0000-0002-2603-0473; Amponsah, Mary/0000-0001-6109-8839; Shoukat, Muhammad Haroon/0000-0003-1992-6180; Selem, Kareem M./0000-0003-2987-4134</t>
  </si>
  <si>
    <t>10.1016/j.actpsy.2023.103962</t>
  </si>
  <si>
    <t>N4SZ9</t>
  </si>
  <si>
    <t>WOS:001036943000001</t>
  </si>
  <si>
    <t>Phyllis, FL</t>
  </si>
  <si>
    <t>Phyllis, Fagell L.</t>
  </si>
  <si>
    <t>Principal ticked off about TikTok challenges</t>
  </si>
  <si>
    <t>PHI DELTA KAPPAN</t>
  </si>
  <si>
    <t>[Phyllis, Fagell L.] Sheridan Sch, Washington, DC 20008 USA</t>
  </si>
  <si>
    <t>Phyllis, FL (corresponding author), Sheridan Sch, Washington, DC 20008 USA.</t>
  </si>
  <si>
    <t>0031-7217</t>
  </si>
  <si>
    <t>1940-6487</t>
  </si>
  <si>
    <t>Phi Delta Kappan</t>
  </si>
  <si>
    <t>10.1177/00317217211065837</t>
  </si>
  <si>
    <t>XK6DX</t>
  </si>
  <si>
    <t>WOS:000727554900016</t>
  </si>
  <si>
    <t>Rutherford, B; Gordon, C; Chia, J; Leung, J; Stjepanovic, D; Connor, JP; Chan, GCK</t>
  </si>
  <si>
    <t>Rutherford, Brienna; Gordon, Claudia; Chia, Jolene; Leung, Janni; Stjepanovic, Daniel; Connor, Jason P.; Chan, Gary Chung Kai</t>
  </si>
  <si>
    <t>Drink the rainbow: Exploring drinking challenge content on TikTok</t>
  </si>
  <si>
    <t>DRUG AND ALCOHOL REVIEW</t>
  </si>
  <si>
    <t>[Rutherford, Brienna; Leung, Janni; Stjepanovic, Daniel; Connor, Jason P.; Chan, Gary Chung Kai] Univ Queensland, Natl Ctr Youth Subst Use Res, Brisbane, Qld, Australia; [Rutherford, Brienna; Gordon, Claudia; Leung, Janni; Stjepanovic, Daniel; Chan, Gary Chung Kai] Univ Queensland, Sch Psychol, Brisbane, Qld, Australia; [Chia, Jolene] Univ Melbourne, Grad Sch Educ, Melbourne, Australia; [Leung, Janni] UNSW Sydney, Natl Drug &amp; Alcohol Res Ctr, Sydney, NSW, Australia; [Connor, Jason P.] Univ Queensland, Discipline Psychiat, Brisbane, Qld, Australia</t>
  </si>
  <si>
    <t>University of Queensland; University of Queensland; University of Melbourne; University of New South Wales Sydney; University of Queensland</t>
  </si>
  <si>
    <t>b.rutherford@uq.edu.au</t>
  </si>
  <si>
    <t>Connor, Jason/F-7040-2010; Chan, Gary/B-7220-2015; Leung, Janni/H-1003-2012; Stjepanovic, Daniel/B-3658-2009</t>
  </si>
  <si>
    <t>0959-5236</t>
  </si>
  <si>
    <t>1465-3362</t>
  </si>
  <si>
    <t>DRUG ALCOHOL REV</t>
  </si>
  <si>
    <t>Drug Alcohol Rev.</t>
  </si>
  <si>
    <t>S160</t>
  </si>
  <si>
    <t>S161</t>
  </si>
  <si>
    <t>IK7C2</t>
  </si>
  <si>
    <t>WOS:001166273900273</t>
  </si>
  <si>
    <t>Foster, A; Ellis, N</t>
  </si>
  <si>
    <t>Foster, Alma; Ellis, Natasha</t>
  </si>
  <si>
    <t>TikTok-inspired self-diagnosis and its implications for educational psychology practice</t>
  </si>
  <si>
    <t>EDUCATIONAL PSYCHOLOGY IN PRACTICE</t>
  </si>
  <si>
    <t>Self-diagnosis; TikTok; social media; adolescents; neurodiversity; educational psychology</t>
  </si>
  <si>
    <t>This paper examines, from a psychological perspective, why some young people may diagnose themselves with a mental health condition or neurodevelopmental difference after engaging with TikTok content. The article joins the discourse around TikTok self-diagnosis among adolescents, which has circulated since 2022, and offers alternative considerations and perspectives. The reasons a young person may self-diagnose are complicated and multifaceted, extending beyond any explanation of naivety or attention-seeking. In this paper the phenomenon is approached through an application of social psychological theories relating to identity, belonging, and self-labelling. The broader context is considered against the backdrop of the neurodiversity movement and corresponding cultural shift, with reference to the intersecting systemic barriers faced by young people which impede the availability and accessibility of adequate support. Opportunities for future research and suggestions for how educational psychologists may consider online environments within professional practice are discussed.</t>
  </si>
  <si>
    <t>[Foster, Alma; Ellis, Natasha] Univ Exeter, Fac Humanities Arts &amp; Social Sci, St Lukes Campus,79 Heavitree Rd, Exeter EX2 4TH, England</t>
  </si>
  <si>
    <t>University of Exeter</t>
  </si>
  <si>
    <t>Foster, A (corresponding author), Univ Exeter, Fac Humanities Arts &amp; Social Sci, St Lukes Campus,79 Heavitree Rd, Exeter EX2 4TH, England.</t>
  </si>
  <si>
    <t>alma.foster@hotmail.co.uk</t>
  </si>
  <si>
    <t>0266-7363</t>
  </si>
  <si>
    <t>1469-5839</t>
  </si>
  <si>
    <t>EDUC PSYCHOL PRACT</t>
  </si>
  <si>
    <t>Educ. Psychol. Pract.</t>
  </si>
  <si>
    <t>10.1080/02667363.2024.2409451</t>
  </si>
  <si>
    <t>Psychology, Educational</t>
  </si>
  <si>
    <t>M5E2P</t>
  </si>
  <si>
    <t>WOS:001322347900001</t>
  </si>
  <si>
    <t>Salminen, J; Wahid, R; Yang, YW; Jansen, BJ</t>
  </si>
  <si>
    <t>Salminen, Joni; Wahid, Risqo; Yang, Yanwu; Jansen, Bernard J.</t>
  </si>
  <si>
    <t>Engagement Patterns in TikTok: An Analysis of Short Video Ads</t>
  </si>
  <si>
    <t>PROCEEDINGS OF THE 35TH ACM CONFERENCE ON HYPERTEXT AND SOCIAL MEDIA, HT 2024</t>
  </si>
  <si>
    <t>35th ACM Conference on Hypertext and Social Media (HT)</t>
  </si>
  <si>
    <t>SEP 10-13, 2024</t>
  </si>
  <si>
    <t>Adam Mickiewicz Univ, Inst Polish Philol, Fac Polish &amp; Class Philol, Poznan, POLAND</t>
  </si>
  <si>
    <t>Assoc Comp Machinery,SigWeb,Knowledge Media Inst,Open Univ</t>
  </si>
  <si>
    <t>Adam Mickiewicz Univ, Inst Polish Philol, Fac Polish &amp; Class Philol</t>
  </si>
  <si>
    <t>TikTok advertising; short video ads; user churn; user behavior; social media ads</t>
  </si>
  <si>
    <t>Short videos have become one of the dominant formats of social media content. Such short videos are often boosted by advertising to increase their reach and visibility. We investigate user churn (i.e., drop or loss of consumers during the video viewing) of short video ads on TikTok. Data from the TikTok Ads account of an e-commerce company was analyzed using logistic regression to examine how gender, age groups, and video duration affect users' video viewing behaviors. The findings indicate that (1) most customers leave the ads within the first quarter of the video; (2) males and females exhibit similar viewing behaviors, but (3) age groups vary by their viewing behaviors. Somewhat surprisingly, we discovered that (4) there is no significant correlation between user churn and ads performance metrics (i.e., cost-per-mille, cost-per-click, and click-through rate).</t>
  </si>
  <si>
    <t>[Salminen, Joni] Univ Vaasa, Vaasa, Finland; [Wahid, Risqo] Univ Jyvaskyla, Jyvaskyla, Finland; [Yang, Yanwu] Huazhong Univ Sci &amp; Technol, Wuhan, Peoples R China; [Jansen, Bernard J.] Hamad Bin Khalifa Univ, Qatar Comp Res Inst, Doha, Qatar</t>
  </si>
  <si>
    <t>University of Vaasa; University of Jyvaskyla; Huazhong University of Science &amp; Technology; Qatar Foundation (QF); Hamad Bin Khalifa University-Qatar; Qatar Computing Research Institute</t>
  </si>
  <si>
    <t>Salminen, J (corresponding author), Univ Vaasa, Vaasa, Finland.</t>
  </si>
  <si>
    <t>jonisalm@uwasa.fi; risqo.m.wahid@jyu.fi; yangyanwu.isec@gmail.com; jjansen@acm.org</t>
  </si>
  <si>
    <t>Jansen, Bernard/0000-0002-6468-6609</t>
  </si>
  <si>
    <t>979-8-4007-0595-3</t>
  </si>
  <si>
    <t>10.1145/3648188.3677048</t>
  </si>
  <si>
    <t>BX7PP</t>
  </si>
  <si>
    <t>WOS:001324611900045</t>
  </si>
  <si>
    <t>Colussi, J; García-Estévez, N; Ballesteros-Aguayo, L</t>
  </si>
  <si>
    <t>Colussi, Juliana; Garcia-Estevez, Noelia; Ballesteros-Aguayo, Lucia</t>
  </si>
  <si>
    <t>Polarization and hatred on TikTok against Spain's Trans Law</t>
  </si>
  <si>
    <t>REVISTA ICONO 14-REVISTA CIENTIFICA DE COMUNICACION Y TECNOLOGIAS</t>
  </si>
  <si>
    <t>polarization; hate; Trans Law; LGTBI+; TikTok; Spain</t>
  </si>
  <si>
    <t>This exploratory and qualitative research focuses on the analysis of the polarization of hate messages towards the Trans Law of Spain in the videos published on TikTok. The sample is made up of 112 contents posted between October 13, 2022 and April 13, 2023. For this study, a content analysis has been carried out that includes seven variables. The main findings indicate the predominance of negative affective polarization towards the new legislation against the LGTBI+ community, through discursive resources that use the hate and misinformation to ridicule the law and the trans community.</t>
  </si>
  <si>
    <t>[Colussi, Juliana] Univ Rey Juan Carlos URJC, Dept Comunicac Audiovisual &amp; Publ, Madrid, Spain; [Garcia-Estevez, Noelia] Univ Sevilla US, Publ &amp; Relac Publ, Seville, Spain; [Ballesteros-Aguayo, Lucia] Univ Malaga UMA, Fac Comunicac, Dept Periodismo, Malaga, Spain</t>
  </si>
  <si>
    <t>Universidad Rey Juan Carlos; University of Sevilla</t>
  </si>
  <si>
    <t>Colussi, J (corresponding author), Univ Rey Juan Carlos URJC, Dept Comunicac Audiovisual &amp; Publ, Madrid, Spain.</t>
  </si>
  <si>
    <t>Colussi, Juliana/HLX-6647-2023</t>
  </si>
  <si>
    <t>ICONO 14</t>
  </si>
  <si>
    <t>C/ SALUD, 15 5OD, MADRID, 28013, SPAIN</t>
  </si>
  <si>
    <t>1697-8293</t>
  </si>
  <si>
    <t>REV ICONO 14</t>
  </si>
  <si>
    <t>Rev. Icono 14</t>
  </si>
  <si>
    <t>10.7195/ri14.v22i1.2088</t>
  </si>
  <si>
    <t>IO8H7</t>
  </si>
  <si>
    <t>WOS:001167358200001</t>
  </si>
  <si>
    <t>Doh, CY; Maluso, PJ; Kohler, CL; Dvorak, JE</t>
  </si>
  <si>
    <t>Doh, Chang Yoon; Maluso, Patrick J.; Kohler, Casey L.; Dvorak, Justin E.</t>
  </si>
  <si>
    <t>Burn Injuries From TikTok Challenges: A Brief Report</t>
  </si>
  <si>
    <t>AMERICAN SURGEON</t>
  </si>
  <si>
    <t>TikTok; fire challenge; boiling water challenge; burn injuries</t>
  </si>
  <si>
    <t>Social media (e.g., TikTok) challenge is a relatively new phenomenon wherein a user creates and posts videos performing an often-dangerous task. The ease of access and availability of social media in recent times make teens and young adults susceptible to these viral Internet challenges and accidental injury. The severity, morbidity, and mortality of burn injuries from social media challenges have not readily been documented in the medical literature. In this brief report, we present three cases of accidental burns after attempting social media challenges involving boiling water or flame. The injuries ranged from superficial partial thickness burns to 24% total body surface area (TBSA) full thickness burns. Online challenges show the potential for severe injury and disability and underlie the importance of awareness and education of the public, further research into the usage of TikTok and other media platforms, and early referral to the American Burn Association recognized center.</t>
  </si>
  <si>
    <t>[Doh, Chang Yoon; Maluso, Patrick J.; Kohler, Casey L.; Dvorak, Justin E.] Case Western Reserve Univ, Sch Med, Cleveland Hts, OH USA; [Maluso, Patrick J.; Kohler, Casey L.; Dvorak, Justin E.] MetroHlth Med Ctr, Dept Surg, Div Trauma Crit Care Burns &amp; Acute Care Surg, 2500 MetroHlth Dr, Cleveland, OH 44109 USA</t>
  </si>
  <si>
    <t>University System of Ohio; Case Western Reserve University; MetroHealth System</t>
  </si>
  <si>
    <t>Dvorak, JE (corresponding author), MetroHlth Med Ctr, Dept Surg, Div Trauma Crit Care Burns &amp; Acute Care Surg, 2500 MetroHlth Dr, Cleveland, OH 44109 USA.</t>
  </si>
  <si>
    <t>jdvorak2@metrohealth.org</t>
  </si>
  <si>
    <t>Doh, Chang Yoon/O-9291-2018</t>
  </si>
  <si>
    <t>Doh, Chang Yoon/0000-0002-5071-4832</t>
  </si>
  <si>
    <t>0003-1348</t>
  </si>
  <si>
    <t>1555-9823</t>
  </si>
  <si>
    <t>AM SURGEON</t>
  </si>
  <si>
    <t>Am. Surg.</t>
  </si>
  <si>
    <t>10.1177/00031348231220568</t>
  </si>
  <si>
    <t>MS2O4</t>
  </si>
  <si>
    <t>WOS:001112412400001</t>
  </si>
  <si>
    <t>González-Aguilar, JM; Segado-Boj, F; Makhortykh, M</t>
  </si>
  <si>
    <t>Gonzalez-Aguilar, Juan Manuel; Segado-Boj, Francisco; Makhortykh, Mykola</t>
  </si>
  <si>
    <t>Populist Right Parties on TikTok: Spectacularization, Personalization, and Hate Speech</t>
  </si>
  <si>
    <t>Chile; hate speech; political communication; populism; right-wing; social media; Spain; TikTok; UK</t>
  </si>
  <si>
    <t>POLITICAL COMMUNICATION STYLE; TWITTER; MEDIA</t>
  </si>
  <si>
    <t>Populist parties use social media as a fundamental element of their online communication strategies. This article aims to identify the strategies of right-wing populist parties and politicians on TikTok by measuring a set of features of their videos: It evaluates the presence of hate speech in these messages and the identification of certain groups as enemies of the people, and also pays special attention to the differences in engagement according to the presence of hate speech and entertaining or humoristic features. We apply a content analysis to a transnational sample (N = 293) of videos posted by the following populist right-wing parties and politicians on TikTok: Vox and Santiago Abascal (Spain), Jose Antonio Kast (Chile), and the UK Independence Party (UK). Findings show that while Vox and UKIP use TikTok to convey their ideology and values and to target the state as the main enemy of the common person, Kast used the same platform to build and project his image of leadership and to broadcast humoristic and entertaining content. Only 19% of the analyzed videos included hate speech elements. Not only was hate speech uncommon; it deterred engagement in terms of the number of comments as well. Contrarily, humour and entertainment favoured engagement. We conclude that TikTok might downplay the most controversial issues of the populist right.</t>
  </si>
  <si>
    <t>[Gonzalez-Aguilar, Juan Manuel] Int Univ La Rioja, Fac Empresa &amp; Comunicac, Logrono, Spain; [Segado-Boj, Francisco] Univ Complutense Madrid, Dept Journalism &amp; Global Commun, Madrid, Spain; [Makhortykh, Mykola] Univ Bern, Inst Commun &amp; Media Studies, Bern, Switzerland</t>
  </si>
  <si>
    <t>Universidad Internacional de La Rioja (UNIR); Complutense University of Madrid; University of Bern</t>
  </si>
  <si>
    <t>González-Aguilar, JM (corresponding author), Int Univ La Rioja, Fac Empresa &amp; Comunicac, Logrono, Spain.</t>
  </si>
  <si>
    <t>juanmanuel.gonzalez@unir.net</t>
  </si>
  <si>
    <t>González-Aguilar, Juan Manuel/CAF-3682-2022; Makhortykh, Mykola/S-4127-2019; Segado-Boj, Francisco/E-2343-2014</t>
  </si>
  <si>
    <t>Segado-Boj, Francisco/0000-0001-7750-3755; Gonzalez-Aguilar, Juan-Manuel/0000-0003-3668-470X; Makhortykh, Mykola/0000-0001-7143-5317</t>
  </si>
  <si>
    <t>Agencia Estatal de Investigacion, Ministerio de Ciencia e Innovacion (Spain) [PID2019-105613GB-C31, PID2020- 114584GB-I00]</t>
  </si>
  <si>
    <t>Agencia Estatal de Investigacion, Ministerio de Ciencia e Innovacion (Spain)</t>
  </si>
  <si>
    <t>This article is the result of projects Cartodiocom (PID2019-105613GB-C31) and HATEMEDIA (PID2020- 114584GB-I00) funded by the Agencia Estatal de Investigacion, Ministerio de Ciencia e Innovacion (Spain) .</t>
  </si>
  <si>
    <t>10.17645/mac.v11i2.6358</t>
  </si>
  <si>
    <t>WOS:000996431600011</t>
  </si>
  <si>
    <t>Bautista, PS; Alonso-López, N; Giacomelli, F</t>
  </si>
  <si>
    <t>Sidorenko Bautista, Pavel; Alonso-Lopez, Nadia; Giacomelli, Fabio</t>
  </si>
  <si>
    <t>Fact-checking in TikTok. Communication and narrative forms to combat misinformation</t>
  </si>
  <si>
    <t>Verification journalism; Misinformation; Fact-checking; Fake-news; New narratives; TikTok; Ephemeral communication</t>
  </si>
  <si>
    <t>FAKE-NEWS; MEDIA; PLATFORMS; SCIENCE; IMPACT; HOAXES</t>
  </si>
  <si>
    <t>Introduction. Since 2020, TikTok has turned into a global trending social network. It has become a digital environment where ephemeral, highly stimulating, and visual communication reigns from being initially a platform for teenagers. Today, it brings together a wide range of broadcasters, including the media and journalists. And, as it occurs in social networks, in a context of hyperconnectivity, false information is easily made viral, thus contributing to the development of disinformation. Methodology. From a combination of qualitative and quantitative techniques, such as case studies, content analysis, in-depth interviews, and surveys, the communication of factcheckers with an active profile on TikTok is analyzed in order to determine the keys to debunking hoaxes and combating disinformation on such a particular social network, where users apparently go to have fun and distract themselves. Discussion and conclusions. It is evident the relevance and needs for media, journalists, and the verification media to carry out their work through new scenarios such as TikTok. Not only to ensure a message reaching increase to new audience segments, but also as an innovative process to attack the phenomenon of disinformation, such as fake news and speculation that is increasingly decentralized through digital channels. TikTok has been a narrative challenge based on message synthesis and visual creativity.</t>
  </si>
  <si>
    <t>[Sidorenko Bautista, Pavel] Univ Francisco Vitoria, Fac Ciencias Comunicac, Vitoria, Spain; [Alonso-Lopez, Nadia] Univ Politecn Valencia, Dept Comunicac Audiovisual Documentac &amp; Hist Arte, Valencia, Spain; [Giacomelli, Fabio] Univ Beira Interior, LabCom CA, Covilha, Portugal</t>
  </si>
  <si>
    <t>Universidad Francisco de Vitoria; Universitat Politecnica de Valencia; Universidade da Beira Interior</t>
  </si>
  <si>
    <t>Bautista, PS (corresponding author), Univ Francisco Vitoria, Fac Ciencias Comunicac, Vitoria, Spain.</t>
  </si>
  <si>
    <t>pavel.sidorenko@ufv.es; naallo1@har.upv.es; fabio@ubi.pt</t>
  </si>
  <si>
    <t>LABORATORIO TECNOLOGIAS INFORMACION &amp; NUEVOS ANALISIS COMUNICACION SOCIAL</t>
  </si>
  <si>
    <t>TENERIFE</t>
  </si>
  <si>
    <t>PIRAMIDE CAMPUS GUAJARA, LA LAGUNA, TENERIFE, 38200, SPAIN</t>
  </si>
  <si>
    <t>+</t>
  </si>
  <si>
    <t>10.4185/RLCS-2021-1522</t>
  </si>
  <si>
    <t>ZJ5KJ</t>
  </si>
  <si>
    <t>WOS:000762342900001</t>
  </si>
  <si>
    <t>Khurram, A</t>
  </si>
  <si>
    <t>Khurram, Asma</t>
  </si>
  <si>
    <t>EUROPEAN JOURNAL OF COMMUNICATION</t>
  </si>
  <si>
    <t>[Khurram, Asma] Univ Liverpool, Liverpool, England</t>
  </si>
  <si>
    <t>University of Liverpool</t>
  </si>
  <si>
    <t>Khurram, A (corresponding author), Univ Liverpool, Liverpool, England.</t>
  </si>
  <si>
    <t>0267-3231</t>
  </si>
  <si>
    <t>1460-3705</t>
  </si>
  <si>
    <t>EUR J COMMUN</t>
  </si>
  <si>
    <t>Eur. J. Commun.</t>
  </si>
  <si>
    <t>10.1177/02673231231161738</t>
  </si>
  <si>
    <t>D6CP2</t>
  </si>
  <si>
    <t>WOS:000947169100001</t>
  </si>
  <si>
    <t>Kuo, LW; Kaye, DBV; Zeng, J; Wikström, P</t>
  </si>
  <si>
    <t>Kuo, Liangwen; Kaye, D. Bondy Valdovinos; Zeng, Jing; Wikstrom, Patrik</t>
  </si>
  <si>
    <t>[Kuo, Liangwen] Shanghai Jiao Tong Univ, Shanghai, Peoples R China</t>
  </si>
  <si>
    <t>Shanghai Jiao Tong University</t>
  </si>
  <si>
    <t>Kuo, LW (corresponding author), Shanghai Jiao Tong Univ, Shanghai, Peoples R China.</t>
  </si>
  <si>
    <t>Z3OS4</t>
  </si>
  <si>
    <t>WOS:001111205800046</t>
  </si>
  <si>
    <t>Virgananda, MA; Budi, I; Suryono, RR</t>
  </si>
  <si>
    <t>Virgananda, Muhammad Alviazra; Budi, Indra; Suryono, Ryan Randy</t>
  </si>
  <si>
    <t>Purchase Intention and Sentiment Analysis on Twitter Related to Social Commerce</t>
  </si>
  <si>
    <t>INTERNATIONAL JOURNAL OF ADVANCED COMPUTER SCIENCE AND APPLICATIONS</t>
  </si>
  <si>
    <t>Algorithm; machine learning; sentiment; social commerce</t>
  </si>
  <si>
    <t>Social commerce is a digital and efficient solution to transform existing commerce and address contemporary issues. TikTok Shop, a popular and trending social commerce platform, competes with established competitors like Facebook Marketplace and Instagram Shop. TikTok Shop offers benefits and incentives to attract users for both sales and product purchases. In this study, various algorithmic approaches such as Naive Bayes, K-Nearest Neighbor, Support Vector Machine, Logistic Regression, Decision Tree, Random Forest, LGBM Boost, Ada Boost, and Voting Classifier are utilized to analyze and compare sentiments expressed on Twitter regarding Facebook, Instagram, and TikTok. The aim is to determine the methods with the best performance and identify the social commerce platform with the highest purchase intention and positive sentiment. The results indicate that TikTok has more positive sentiment than Facebook and Instagram at 93.07% with the best-performing classification model, Decision Tree. In conclusion, TikTok exhibits the highest positive sentiment percentage, indicating a greater number of positive reviews compared to Facebook and Instagram. According to the theory of evaluation scores for measuring model performance, values above 0.90 represent models with good performance.</t>
  </si>
  <si>
    <t>[Virgananda, Muhammad Alviazra] Univ Indonesia Jakarta, Fac Comp Sci, Jakarta, Indonesia; [Budi, Indra] Univ Indonesia Depok, Fac Comp Sci, Depok, Indonesia; [Suryono, Ryan Randy] Univ Teknokrat Indonesia Bandar Lampung, Fac Engn &amp; Comp Sci, Bandar Lampung, Indonesia</t>
  </si>
  <si>
    <t>Virgananda, MA (corresponding author), Univ Indonesia Jakarta, Fac Comp Sci, Jakarta, Indonesia.</t>
  </si>
  <si>
    <t>Suryono, Ryan Randy/ABH-9699-2020</t>
  </si>
  <si>
    <t>Hibah Publikasi Terindeks International (PUTI) Pascasarjana Tahun Anggaran [2023-2024, NKB-021/UN2.RST/HKP.05.00/2023]</t>
  </si>
  <si>
    <t>Hibah Publikasi Terindeks International (PUTI) Pascasarjana Tahun Anggaran</t>
  </si>
  <si>
    <t>A CKNOWLEDGMENT This study was supported by Hibah Publikasi Terindeks International (PUTI) Pascasarjana Tahun Anggaran 2023-2024 No. NKB-021/UN2.RST/HKP.05.00/2023.</t>
  </si>
  <si>
    <t>SCIENCE &amp; INFORMATION SAI ORGANIZATION LTD</t>
  </si>
  <si>
    <t>WEST YORKSHIRE</t>
  </si>
  <si>
    <t>19 BOLLING RD, BRADFORD, WEST YORKSHIRE, 00000, ENGLAND</t>
  </si>
  <si>
    <t>2158-107X</t>
  </si>
  <si>
    <t>2156-5570</t>
  </si>
  <si>
    <t>INT J ADV COMPUT SC</t>
  </si>
  <si>
    <t>Int. J. Adv. Comput. Sci. Appl.</t>
  </si>
  <si>
    <t>O9FL1</t>
  </si>
  <si>
    <t>WOS:001046803400001</t>
  </si>
  <si>
    <t>Investigating community evolutions in TikTok dangerous and non-dangerous challenges</t>
  </si>
  <si>
    <t>JOURNAL OF INFORMATION SCIENCE</t>
  </si>
  <si>
    <t>Challenge classification; challenge lifespan; community evolution; evolutionary patterns; social network analysis; TikTok</t>
  </si>
  <si>
    <t>SOCIAL NETWORKS; DISCOVERY</t>
  </si>
  <si>
    <t>In just few years, TikTok has become a major player in the social media environment, especially with regard to teenagers. One of the key factors of this success is the idea of challenges, that is, video competitions/emulations on a certain topic, which a user can launch and other ones can join. Most of the challenges are fun and harmless. However, there are also users who launch challenges that are dangerous, or at least suitable only for an adult audience (and TikTok is the most popular social network for teenagers). This article focuses primarily on this kind of challenge. In particular, it investigates an aspect not yet studied in the literature, which is the different characteristics and evolutionary dynamics of the communities of users participating in non-dangerous and dangerous challenges. Its final goal is the identification of evolutionary patterns that distinguish the communities of users participating in the two types of challenges. The knowledge of these patterns could be a first step in implementing an approach to the early detection of dangerous challenges in TikTok.</t>
  </si>
  <si>
    <t>[Bonifazi, Gianluca; Cecchini, Silvia; Corradini, Enrico; Giuliani, Lorenzo; Ursino, Domenico; Virgili, Luca] Polytech Univ Marche, Dept Informat Engn DII, Marche, Italy</t>
  </si>
  <si>
    <t>Ursino, D (corresponding author), Polytech Univ Marche, Dept Informat Engn DII, Via Brecce Bianche 12, I-60131 Ancona, Italy.</t>
  </si>
  <si>
    <t>d.ursino@univpm.it</t>
  </si>
  <si>
    <t>Corradini, Enrico/ABB-3022-2021; Virgili, Luca/AAG-1602-2021; Bonifazi, Gianluca/AAA-2985-2022</t>
  </si>
  <si>
    <t>Virgili, Luca/0000-0003-1509-783X</t>
  </si>
  <si>
    <t>0165-5515</t>
  </si>
  <si>
    <t>1741-6485</t>
  </si>
  <si>
    <t>J INF SCI</t>
  </si>
  <si>
    <t>J. Inf. Sci.</t>
  </si>
  <si>
    <t>10.1177/01655515221116519</t>
  </si>
  <si>
    <t>K4H5D</t>
  </si>
  <si>
    <t>WOS:000839871700001</t>
  </si>
  <si>
    <t>Levan, ML; Klitenic, SB; Patel, SS; Akhtar, JM; Nemeth, DV; Jones, DM; Massie, AB; Segev, DL</t>
  </si>
  <si>
    <t>Levan, Macey L.; Klitenic, Samantha B.; Patel, Suhani S.; Akhtar, Jasmine M.; Nemeth, Denise V.; Jones, Devyn M.; Massie, Allan B.; Segev, Dorry L.</t>
  </si>
  <si>
    <t>TikTok and Transplantation: A Trending Opportunity</t>
  </si>
  <si>
    <t>TRANSPLANTATION</t>
  </si>
  <si>
    <t>[Levan, Macey L.; Klitenic, Samantha B.; Patel, Suhani S.; Akhtar, Jasmine M.; Nemeth, Denise V.; Jones, Devyn M.; Massie, Allan B.; Segev, Dorry L.] NYU Langone Hlth, NYU Grossman Sch Med, Dept Surg, New York, NY USA; [Levan, Macey L.; Massie, Allan B.; Segev, Dorry L.] NYU Grossman Sch Med, Dept Populat Hlth, New York, NY USA; [Levan, Macey L.] NYU Langone Hlth Transplant Inst, Ctr Surg &amp; Transplant Appl Res, NYU Grossman Sch Med, Dept Surg &amp; Populat Hlth,Qualitat Core, One Pk Ave,6th Floor,Room 6-813, New York, NY 10016 USA</t>
  </si>
  <si>
    <t>NYU Langone Medical Center</t>
  </si>
  <si>
    <t>Levan, ML (corresponding author), NYU Langone Hlth Transplant Inst, Ctr Surg &amp; Transplant Appl Res, NYU Grossman Sch Med, Dept Surg &amp; Populat Hlth,Qualitat Core, One Pk Ave,6th Floor,Room 6-813, New York, NY 10016 USA.</t>
  </si>
  <si>
    <t>macey.levan@nyulangone.org</t>
  </si>
  <si>
    <t>Segev, Dorry/JOZ-4365-2023</t>
  </si>
  <si>
    <t>Nemeth, Denise/0000-0002-4087-1703; Segev, Dorry/0000-0002-1924-4801</t>
  </si>
  <si>
    <t>0041-1337</t>
  </si>
  <si>
    <t>1534-6080</t>
  </si>
  <si>
    <t>Transplantation</t>
  </si>
  <si>
    <t>E234</t>
  </si>
  <si>
    <t>E235</t>
  </si>
  <si>
    <t>10.1097/TP.0000000000004691</t>
  </si>
  <si>
    <t>Immunology; Surgery; Transplantation</t>
  </si>
  <si>
    <t>Q7XH4</t>
  </si>
  <si>
    <t>WOS:001059612000002</t>
  </si>
  <si>
    <t>Vo, K; Ezra, N</t>
  </si>
  <si>
    <t>Vo, Karen; Ezra, Navid</t>
  </si>
  <si>
    <t>Dermatology TikTok™ videos: applicable considerations</t>
  </si>
  <si>
    <t>[Vo, Karen] Touro Univ Calif, Vallejo, CA 94592 USA; [Ezra, Navid] Calif Dermatol Inst, Los Angeles, CA USA</t>
  </si>
  <si>
    <t>Touro University California</t>
  </si>
  <si>
    <t>Vo, K (corresponding author), Touro Univ Calif, Vallejo, CA 94592 USA.</t>
  </si>
  <si>
    <t>kvo3@student.touro.edu</t>
  </si>
  <si>
    <t>Vo, Karen/0000-0002-2556-3139</t>
  </si>
  <si>
    <t>MAR 22</t>
  </si>
  <si>
    <t>10.1093/ced/llac080</t>
  </si>
  <si>
    <t>I0AV5</t>
  </si>
  <si>
    <t>WOS:000999495800021</t>
  </si>
  <si>
    <t>Lee, YJ</t>
  </si>
  <si>
    <t>Lee, Yeong-Ju</t>
  </si>
  <si>
    <t>Language learning affordances of Instagram and TikTok</t>
  </si>
  <si>
    <t>INNOVATION IN LANGUAGE LEARNING AND TEACHING</t>
  </si>
  <si>
    <t>Social media; technological innovation; affordance; language learning; Instagram; TikTok</t>
  </si>
  <si>
    <t>This study examines creative uses of emerging image-based social media for informal language learning. Adopting the ecological concept of affordances, it investigates new technological features on Instagram and TikTok and how they are utilised as resources for language learning. Using public data of Instagram photo/video and TikTok video posts, the study is based on 200 posts from each application collected over two months. A qualitative content analysis was conducted based on four key dimensions of technological innovation: multimodality, mobility, instantaneous participation, and interactivity. The findings show how language learners' use of the new technological features employed on the two platforms are related to these dimensions, and how they use agency and creativity to perceive affordances for language learning in features not originally designed for this purpose. The study contributes to understanding of the ways in which online informal language learning is adapting to technological innovation in new image-based social media.</t>
  </si>
  <si>
    <t>[Lee, Yeong-Ju] Macquarie Univ, Sydney, NSW, Australia</t>
  </si>
  <si>
    <t>Lee, YJ (corresponding author), Macquarie Univ, Bldg 12 Second Way,C5A, N Ryde, NSW 2109, Australia.</t>
  </si>
  <si>
    <t>yeong-ju.lee@hdr.mq.edu.au</t>
  </si>
  <si>
    <t>Lee, Yeong-Ju/IST-5372-2023</t>
  </si>
  <si>
    <t>Lee, Yeong-Ju/0000-0002-9251-6535</t>
  </si>
  <si>
    <t>I am thankful for the support and guidance provided by my supervisor, Professor Phil Benson. His encouragement and valuable comments helped me finish this paper. I am also grateful for the full PhD scholarship from Macquarie University that enabled me to solely focus on research.</t>
  </si>
  <si>
    <t>1750-1229</t>
  </si>
  <si>
    <t>1750-1237</t>
  </si>
  <si>
    <t>INNOV LANG LEARN TEA</t>
  </si>
  <si>
    <t>Innov. Lang. Learn. Teach.</t>
  </si>
  <si>
    <t>MAR 15</t>
  </si>
  <si>
    <t>10.1080/17501229.2022.2051517</t>
  </si>
  <si>
    <t>E3AG9</t>
  </si>
  <si>
    <t>WOS:000769295000001</t>
  </si>
  <si>
    <t>Vázquez-Herrero, J; Negreira-Rey, MC; Rodríguez-Vázquez, AI</t>
  </si>
  <si>
    <t>Vazquez-Herrero, Jorge; Negreira-Rey, Maria-Cruz; Rodriguez-Vazquez, Ana-Isabel</t>
  </si>
  <si>
    <t>Intersections between TikTok and TV: Channels and Programmes Thinking Outside the Box</t>
  </si>
  <si>
    <t>television; social media; TikTok; social media logic</t>
  </si>
  <si>
    <t>MEDIA; NEWS; JOURNALISM; COMMUNICATION; VIDEOS</t>
  </si>
  <si>
    <t>The rise of the TikTok social network has caused the media to confront the younger generation. The platform, which hosts dances, challenges, and funny short videos, has unique features that force a reinvention of social networking strategies. Television has become social and has expanded to new platforms, while young people are abandoning the consumption of traditional television. In this study, we explore-for the first time-the presence of television channels and programmes on TikTok and an analysis of the main strategies shown in the 133 found profiles. The results describe a first exploratory phase that lacks specific strategies in most cases, while examples adapted to the logic of the social network emerge: content with a fun and simple tone, with participation in challenges and trends of the moment, as well as a positioning of the brand to-gradually-approach its future potential audiences.</t>
  </si>
  <si>
    <t>[Vazquez-Herrero, Jorge; Negreira-Rey, Maria-Cruz; Rodriguez-Vazquez, Ana-Isabel] Univ Santiago de Compostela, Fac Commun Sci, Santiago De Compostela 15782, A Coruna, Spain</t>
  </si>
  <si>
    <t>Vázquez-Herrero, J (corresponding author), Univ Santiago de Compostela, Fac Commun Sci, Santiago De Compostela 15782, A Coruna, Spain.</t>
  </si>
  <si>
    <t>jorge.vazquez@usc.es; cruz.negreira@usc.es; anaisabel.rodriguez.vazquez@usc.es</t>
  </si>
  <si>
    <t>Vázquez-Herrero, Jorge/ITT-4798-2023; Negreira-Rey, María-Cruz/AAZ-7722-2020; Rodríguez-Vázquez, Ana-Isabel/AAJ-8264-2020</t>
  </si>
  <si>
    <t>Rodriguez-Vazquez, Ana-Isabel/0000-0001-7975-1402; Negreira Rey, Maria Cruz/0000-0001-8945-2641; Vazquez Herrero, Jorge/0000-0002-9081-3018</t>
  </si>
  <si>
    <t>Ministry of Science, Innovation and Universities (Government of Spain) [RTI2018-093346-B-C33]; ERDF structural fund</t>
  </si>
  <si>
    <t>Ministry of Science, Innovation and Universities (Government of Spain)(Spanish Government); ERDF structural fund</t>
  </si>
  <si>
    <t>This research has been developed within the research project Digital Native Media in Spain: Storytelling Formats and Mobile Strategy (RTI2018-093346-B-C33), funded by the Ministry of Science, Innovation and Universities (Government of Spain) and the ERDF structural fund.</t>
  </si>
  <si>
    <t>10.3390/journalmedia2010001</t>
  </si>
  <si>
    <t>AL9U5</t>
  </si>
  <si>
    <t>WOS:001118746200001</t>
  </si>
  <si>
    <t>Ren, Q; Du, J</t>
  </si>
  <si>
    <t>Ren, Qiang; Du, Jing</t>
  </si>
  <si>
    <t>The UK Ban of TikTok: Legality and Interplay With International Trade Law</t>
  </si>
  <si>
    <t>JOURNAL OF WORLD TRADE</t>
  </si>
  <si>
    <t>TikTok Ban; Security; Data Privacy; International Trade Law; WTO; GATS; TRIPS; Intellectual Property Rights; negotiations; DSB</t>
  </si>
  <si>
    <t>DISPUTE SETTLEMENT SYSTEM; BORDER DATA FLOWS</t>
  </si>
  <si>
    <t>The ban of TikTok by the UK government raises concerns about the intersection of national security concerns and international trade law. While negotiations between the UK government and ByteDance may lead to an agreement that addresses the concerns raised, resorting to dispute settlement mechanisms provided by the World Trade Organization (WTO) may be necessary. The ban on TikTok may be seen as a violation of key principles and agreements of international trade law, including the principle of national treatment and the GATS. The ban also raises concerns about intellectual property rights and the future of international trade law. As technology continues to advance, it will be important for countries to strike a balance between national security concerns and international trade obligations.</t>
  </si>
  <si>
    <t>[Ren, Qiang] Shanxi Univ Finance &amp; Econ, Taiyuan, Peoples R China; [Du, Jing] Univ Birmingham, Business Sch, Birmingham, England</t>
  </si>
  <si>
    <t>Shanxi University Finance &amp; Economics; University of Birmingham</t>
  </si>
  <si>
    <t>Ren, Q (corresponding author), Shanxi Univ Finance &amp; Econ, Taiyuan, Peoples R China.</t>
  </si>
  <si>
    <t>renqiang8@126.com; j.du.1@bham.ac.uk</t>
  </si>
  <si>
    <t>Ren, Qiang/A-3141-2017</t>
  </si>
  <si>
    <t>Shanxi University of Finance and Economics Youth Research Grant [QN-202001]</t>
  </si>
  <si>
    <t>Shanxi University of Finance and Economics Youth Research Grant</t>
  </si>
  <si>
    <t>This research is supported by Shanxi University of Finance and Economics Youth Research Grant (QN-202001).</t>
  </si>
  <si>
    <t>KLUWER LAW INT</t>
  </si>
  <si>
    <t>ALPHEN AAN DEN RIJN</t>
  </si>
  <si>
    <t>ZUIDPOOLSINGEL 2, PO BOX 316, 2400 AH ALPHEN AAN DEN RIJN, NETHERLANDS</t>
  </si>
  <si>
    <t>1011-6702</t>
  </si>
  <si>
    <t>2210-2795</t>
  </si>
  <si>
    <t>J WORLD TRADE</t>
  </si>
  <si>
    <t>J. World Trade</t>
  </si>
  <si>
    <t>Economics; International Relations; Law</t>
  </si>
  <si>
    <t>Business &amp; Economics; International Relations; Government &amp; Law</t>
  </si>
  <si>
    <t>R2KJ2</t>
  </si>
  <si>
    <t>WOS:001062683300001</t>
  </si>
  <si>
    <t>Anastacio-Coello, L; Montúfar-Calle, A</t>
  </si>
  <si>
    <t>Lopez-Lopez, PC; Barredo, D; Torres-Toukoumidis, A; De-Santis, A; Aviles, O</t>
  </si>
  <si>
    <t>Anastacio-Coello, L.; Montufar-Calle, A.</t>
  </si>
  <si>
    <t>Policy and Applied Technologies: Analysis of the Communicative Activities of Peru's Presidential Candidates on Twitter and TikTok in the First Election Round in 2021</t>
  </si>
  <si>
    <t>COMMUNICATION AND APPLIED TECHNOLOGIES, ICOMTA 2022</t>
  </si>
  <si>
    <t>Smart Innovation Systems and Technologies</t>
  </si>
  <si>
    <t>International Conference on Communication and Applied Technologies (ICOMTA)</t>
  </si>
  <si>
    <t>SEP 07-09, 2022</t>
  </si>
  <si>
    <t>Cuenca, ECUADOR</t>
  </si>
  <si>
    <t>The COVID-19 pandemic affected the proselytizing activities of all presidential candidates, forcing them to resort to technological tools. This study analyzed how the 2021 presidential candidates managed communication on Twitter and TikTok during the first election round in Peru. To achieve this objective, quantitative netnography was used. The results indicate that the candidates used social networks as means of unidirectional dissemination, a condition that hinders dialog and feedback in the communication strategy. Especially on Twitter, message planification was deficient, so the conjunctural component prevailed. On TikTok, the phenomenon of personalization is evident, imposing the personal component. Finally, on Twitter, issues such as the pandemic, the economy and campaign activities predominated, in the other hand on TikTok predominated the respective candidate's image. Gender equality and constitutional change were the least addressed issues on both social networks.</t>
  </si>
  <si>
    <t>[Anastacio-Coello, L.; Montufar-Calle, A.] Univ Piura, Piura, Peru</t>
  </si>
  <si>
    <t>Universidad de Piura</t>
  </si>
  <si>
    <t>Anastacio-Coello, L (corresponding author), Univ Piura, Piura, Peru.</t>
  </si>
  <si>
    <t>lucia.anastacio.c@udep.edu.pe; alvaro.montufar@udep.edu.pe</t>
  </si>
  <si>
    <t>Montúfar Calle, Álvaro/HKN-8638-2023</t>
  </si>
  <si>
    <t>Montufar-Calle, Alvaro/0000-0001-7845-7367; Anastacio Coello, Lucia del Rosario/0000-0003-3221-2174</t>
  </si>
  <si>
    <t>2190-3018</t>
  </si>
  <si>
    <t>2190-3026</t>
  </si>
  <si>
    <t>978-981-19-6346-9; 978-981-19-6347-6</t>
  </si>
  <si>
    <t>SMART INNOV SYST TEC</t>
  </si>
  <si>
    <t>10.1007/978-981-19-6347-6_23</t>
  </si>
  <si>
    <t>Computer Science, Artificial Intelligence; Computer Science, Information Systems; Communication</t>
  </si>
  <si>
    <t>BU6CA</t>
  </si>
  <si>
    <t>WOS:000921943800023</t>
  </si>
  <si>
    <t>Fogarty-Valenzuela, B</t>
  </si>
  <si>
    <t>Fogarty-Valenzuela, Benjamin</t>
  </si>
  <si>
    <t>TikTok and the Politics of Photographic Time</t>
  </si>
  <si>
    <t>CURRENT ANTHROPOLOGY</t>
  </si>
  <si>
    <t>[Fogarty-Valenzuela, Benjamin] Leiden Univ, Dept Anthropol, Wassenaarseweg 52, NL-2333 AK Leiden, Netherlands</t>
  </si>
  <si>
    <t>Leiden University; Leiden University - Excl LUMC</t>
  </si>
  <si>
    <t>Fogarty-Valenzuela, B (corresponding author), Leiden Univ, Dept Anthropol, Wassenaarseweg 52, NL-2333 AK Leiden, Netherlands.</t>
  </si>
  <si>
    <t>b.l.fogarty@fsw.leidenuniv.nl</t>
  </si>
  <si>
    <t>UNIV CHICAGO PRESS</t>
  </si>
  <si>
    <t>CHICAGO</t>
  </si>
  <si>
    <t>1427 E 60TH ST, CHICAGO, IL 60637-2954 USA</t>
  </si>
  <si>
    <t>0011-3204</t>
  </si>
  <si>
    <t>1537-5382</t>
  </si>
  <si>
    <t>CURR ANTHROPOL</t>
  </si>
  <si>
    <t>Curr. Anthropol.</t>
  </si>
  <si>
    <t>10.1086/729538</t>
  </si>
  <si>
    <t>OM6F1</t>
  </si>
  <si>
    <t>WOS:001194607100001</t>
  </si>
  <si>
    <t>Lacey, H; Price, JM</t>
  </si>
  <si>
    <t>Lacey, Hester; Price, Jim M.</t>
  </si>
  <si>
    <t>#MedEd-The 'TikTok' frontier of medical education</t>
  </si>
  <si>
    <t>CLINICAL TEACHER</t>
  </si>
  <si>
    <t>[Lacey, Hester] Univ Hosp Sussex NHS Fdn Trust, Dept Med Educ, Brighton, England; [Price, Jim M.] Brighton &amp; Sussex Med Sch, Dept Med Educ, Falmer, England; [Lacey, Hester] Univ Hosp Sussex NHS Fdn Trust, Dept Med Educ, Brighton BN2 5BE, England</t>
  </si>
  <si>
    <t>University of Brighton; University of Sussex</t>
  </si>
  <si>
    <t>Lacey, H (corresponding author), Univ Hosp Sussex NHS Fdn Trust, Dept Med Educ, Brighton BN2 5BE, England.</t>
  </si>
  <si>
    <t>hesterlacey@hotmail.com</t>
  </si>
  <si>
    <t>Lacey, Hester/0000-0002-7959-4096</t>
  </si>
  <si>
    <t>1743-4971</t>
  </si>
  <si>
    <t>1743-498X</t>
  </si>
  <si>
    <t>CLIN TEACH</t>
  </si>
  <si>
    <t>Clin. Teach.</t>
  </si>
  <si>
    <t>AUG 26</t>
  </si>
  <si>
    <t>e13636</t>
  </si>
  <si>
    <t>10.1111/tct.13636</t>
  </si>
  <si>
    <t>Medicine, Research &amp; Experimental</t>
  </si>
  <si>
    <t>Research &amp; Experimental Medicine</t>
  </si>
  <si>
    <t>W8DA8</t>
  </si>
  <si>
    <t>WOS:001093865100001</t>
  </si>
  <si>
    <t>Akhtar, J; Klitenic, S; Patel, S; Sidoti, C; Massie, AB; Segev, D; Levan, M</t>
  </si>
  <si>
    <t>Akhtar, J.; Klitenic, S.; Patel, S.; Sidoti, C.; Massie, A. B.; Segev, D.; Levan, M.</t>
  </si>
  <si>
    <t>TikTok and Transplant: Building a Supportive Community</t>
  </si>
  <si>
    <t>AMERICAN JOURNAL OF TRANSPLANTATION</t>
  </si>
  <si>
    <t>Annual Meeting of the American-Society-of-Transplant-Surgeons (ASTS)</t>
  </si>
  <si>
    <t>JUN 03-07, 2023</t>
  </si>
  <si>
    <t>[Akhtar, J.; Klitenic, S.; Patel, S.; Sidoti, C.; Massie, A. B.; Segev, D.; Levan, M.] NYU, Langone Hlth, New York, NY USA</t>
  </si>
  <si>
    <t>New York University</t>
  </si>
  <si>
    <t>1600-6135</t>
  </si>
  <si>
    <t>1600-6143</t>
  </si>
  <si>
    <t>AM J TRANSPLANT</t>
  </si>
  <si>
    <t>Am. J. Transplant.</t>
  </si>
  <si>
    <t>A303</t>
  </si>
  <si>
    <t>S743</t>
  </si>
  <si>
    <t>S744</t>
  </si>
  <si>
    <t>Surgery; Transplantation</t>
  </si>
  <si>
    <t>U8GI2</t>
  </si>
  <si>
    <t>WOS:001087126902320</t>
  </si>
  <si>
    <t>Qiu, J; Zhou, YL</t>
  </si>
  <si>
    <t>Qiu, Jun; Zhou, You-Lian</t>
  </si>
  <si>
    <t>Quality assessment of heatstroke videos on TikTok</t>
  </si>
  <si>
    <t>heatstroke; TikTok; DISCERN; information quality; social media</t>
  </si>
  <si>
    <t>Background The prevalence of heatstroke is rising due to global warming, making it a serious but preventable condition, highlighting the urgent need for effective dissemination of relevant health education to the general public. Advances in technology have made accessing health information more convenient and rapid. In recent years, short videos have become a primary medium for delivering health education, with TikTok gaining considerable popularity among the general public. However, the quality of heatstroke-related health education content on TikTok deserves closer scrutiny.Objective This study aimed to evaluate the quality and content of heatstroke-related videos available on TikTok.Methods The present study analyzed the top 100 heatstroke-related short videos on TikTok, focusing on their characteristics, quality, and the content they conveyed. The quality of these videos was assessed using the DISCERN instrument. In addition, the completeness of the videos was assessed by examining six key aspects: disease definition, clinical manifestations, risk factors, assessment, management, and outcomes.Results The study included a total of 90 videos. The results showed that news organizations and healthcare professionals were the primary contributors to these videos, with those from news organizations receiving the most attention. In contrast, those from healthcare professionals received comparatively less engagement. Overall, the quality of the information was found to be moderately low, with the highest quality videos posted by non-profit organizations, followed by those posted by healthcare professionals. The majority of videos uploaded described the disease definition, clinical presentation, risk factors, assessment, management, and outcomes of heatstroke.Conclusion The quality of information provided in heatstroke-related short videos on TikTok is generally inadequate and requires significant improvement. In addition, such content should be subject to government review to ensure its accuracy and reliability.</t>
  </si>
  <si>
    <t>[Qiu, Jun; Zhou, You-Lian] Chengdu First Peoples Hosp, Dept Crit Care Med, Chengdu, Sichuan, Peoples R China</t>
  </si>
  <si>
    <t>Zhou, YL (corresponding author), Chengdu First Peoples Hosp, Dept Crit Care Med, Chengdu, Sichuan, Peoples R China.</t>
  </si>
  <si>
    <t>17828038724@163.com</t>
  </si>
  <si>
    <t>10.3389/fpubh.2024.1446003</t>
  </si>
  <si>
    <t>G1X4G</t>
  </si>
  <si>
    <t>WOS:001314637000001</t>
  </si>
  <si>
    <t>Yan, K</t>
  </si>
  <si>
    <t>Yan, Kate</t>
  </si>
  <si>
    <t>TEACHING CAREGIVERS ABOUT ADHD VIA TIKTOK</t>
  </si>
  <si>
    <t>[Yan, Kate] Shanghai Mental Hlth Ctr, Shanghai, Peoples R China</t>
  </si>
  <si>
    <t>kate_jijia@163.com</t>
  </si>
  <si>
    <t>S79</t>
  </si>
  <si>
    <t>10.1016/j.jaac.2021.07.332</t>
  </si>
  <si>
    <t>WOS:000707082800268</t>
  </si>
  <si>
    <t>Siva, N; Koirala, M; Raiker, R; Waris, S; Pakhchanian, H; Puckett, Y</t>
  </si>
  <si>
    <t>Siva, Nanda; Koirala, Monika; Raiker, Rahul; Waris, Shanawar; Pakhchanian, Haig; Puckett, Yana</t>
  </si>
  <si>
    <t>Evaluation of trends in breast cancer-related content on TikTok.</t>
  </si>
  <si>
    <t>JOURNAL OF CLINICAL ONCOLOGY</t>
  </si>
  <si>
    <t>Annual Meeting of the American-Society-of-Clinical-Oncology (ASCO)</t>
  </si>
  <si>
    <t>JUN 03-07, 2022</t>
  </si>
  <si>
    <t>Amer Soc Clin Oncol</t>
  </si>
  <si>
    <t>West Virginia Univ, Sch Med, Morgantown, WV USA; Kansas City Univ, Coll Osteopath Med, Kansas City, MO USA; George Washington Univ, Sch Med &amp; Hlth Sci, Washington, DC USA</t>
  </si>
  <si>
    <t>West Virginia University; Kansas City University; George Washington University</t>
  </si>
  <si>
    <t>Puckett, Yana/ABG-8917-2020; Siva, Nanda/HRA-3079-2023</t>
  </si>
  <si>
    <t>0732-183X</t>
  </si>
  <si>
    <t>1527-7755</t>
  </si>
  <si>
    <t>J CLIN ONCOL</t>
  </si>
  <si>
    <t>J. Clin. Oncol.</t>
  </si>
  <si>
    <t>Oncology</t>
  </si>
  <si>
    <t>5B6LX</t>
  </si>
  <si>
    <t>WOS:000863680300325</t>
  </si>
  <si>
    <t>Johnson, A</t>
  </si>
  <si>
    <t>Johnson, Ali</t>
  </si>
  <si>
    <t>COPYRIGHTING TIKTOK DANCES: CHOREOGRAPHY IN THE INTERNET AGE</t>
  </si>
  <si>
    <t>WASHINGTON LAW REVIEW</t>
  </si>
  <si>
    <t>TikTok is a video-sharing social media application that launched in 2018 and has grown wildly since its inception. Many users are drawn to the platform by dance challenges-short dance routines of varying complexity set to popular songs that are recreated by other users, eventually going viral (i.e., recreated on a massive scale by other users) on the app. Going viral can provide young dancers and choreographers an opportunity to break into the highly competitive entertainment industry. However, there is a problem: due to TikTok's interface and community practices, the original creators of a dance (who, significantly, are often young women of color) frequently do not receive credit, or the massive opportunities that come with such recognition. This Comment explores how intellectual property law may provide a framework to address this problem, while simultaneously acknowledging the troubled history between copyright and creators of color. It also situates the TikTok problem within a larger phenomenon: choreography is an increasingly important part of pop culture as video cements itself as the dominant communicative medium of the era. Accordingly, the challenges of asserting intellectual property rights over choreography (which have historically gone unsought and ignored) is a legal problem that will require renewed focus. Part I of this Comment describes the global ascent of TikTok as a platform for sharing choreography, and how the app serves as a touchpoint for a bigger story of cultural appropriation in the United States. Part II discusses copyright law and choreography, focusing on the required features a piece of choreography must have to be entitled to copyright protection, and the increasing importance of copyright protection for choreography in the internet age. Part III addresses the recent litigation between a popular video game, Fortnite, and a cadre of celebrities who claim the game copied their signature dance moves without compensation. Specifically, this Part investigates how the outcomes of those cases inform analysis for legal protection of TikTok dances. Part IV argues that under the current copyright regime, many TikTok dances likely qualify for copyright protection. However, given the importance of widespread dissemination to the success of TikTok dances, copyright protection--which would inevitably have a chilling effect on a dance's dissemination--may not pave the appropriate path forward. This Part also presents potential solutions. These potential solutions include licensing schemes, as well as extralegal fixes TikTok could employ to meet the dual goals of allowing dissemination while simultaneously protecting the attribution rights of choreographers.</t>
  </si>
  <si>
    <t>[Johnson, Ali] Univ Washington, Sch Law, Seattle, WA 98195 USA</t>
  </si>
  <si>
    <t>Johnson, A (corresponding author), Univ Washington, Sch Law, Seattle, WA 98195 USA.</t>
  </si>
  <si>
    <t>UNIV WASHINGTON SCHOOL OF LAW</t>
  </si>
  <si>
    <t>SEATTLE</t>
  </si>
  <si>
    <t>WASHINGTON LAW REVIEW 1100 NE CAMPUS PARKWAY 410 CONDON HALL, SEATTLE, WA 98105 USA</t>
  </si>
  <si>
    <t>0043-0617</t>
  </si>
  <si>
    <t>WASH LAW REV</t>
  </si>
  <si>
    <t>Wash. Law Rev.</t>
  </si>
  <si>
    <t>Law</t>
  </si>
  <si>
    <t>WO4VX</t>
  </si>
  <si>
    <t>WOS:000712454900009</t>
  </si>
  <si>
    <t>Cuesta-Valiño, P; Gutiérrez-Rodríguez, P; Durán-Alamo, P</t>
  </si>
  <si>
    <t>Cuesta-Valino, Pedro; Gutierrez-Rodriguez, Pablo; Duran-Alamo, Patricia</t>
  </si>
  <si>
    <t>Why Do People Return to Video Platforms? Millennials and Centennials on TikTok</t>
  </si>
  <si>
    <t>centennials; continuance motivation; millennials; social networks; stickiness; TikTok; video creation; video sharing behaviour</t>
  </si>
  <si>
    <t>SOCIAL MEDIA ENGAGEMENT; STICKINESS INTENTION; NETWORK SITES; MOTIVATION; GRATIFICATIONS; PARTICIPATION; INTEGRATION; ADDICTION; WEBSITES; USAGE</t>
  </si>
  <si>
    <t>While some social networks like Facebook are losing interest among digital influencers, TikTok continues to grow, capturing and impacting centennials and millennials alike. This situation highlights the new generations' increasing interest in short video formats, which are also becoming a new window of communication between companies and consumers. TikTok allows users to create, share, and discover short, user-generated videos in hopes of attracting viewers. But it is necessary to understand the variables that attract and engage users of these particular social networks. This article analyses the variables of continuance motivation, video sharing behaviour, and video creation capabilities, which allow users to enjoy such networks, and service providers and companies to obtain results from them. The aim is to understand how these variables motivate social media users to return to and spend more time on this video-sharing platform. This is measured through the stickiness variable. In this context-and due to the particular relevance of the topic-the authors also aim to reveal any potential differences in the behaviour of centennials and millennials when using TikTok. Therefore, a cross-sectional study was conducted through a questionnaire answered by 2,301 millennials and centennials who use TikTok. The data were analysed through a structural equation model to measure the relevance of each of the variables to stickiness. The results provide guidelines for improving research on video social media platforms, as well as an opportunity to explore the importance of the selected variables to the stickiness variable across different user segments.</t>
  </si>
  <si>
    <t>[Cuesta-Valino, Pedro; Duran-Alamo, Patricia] Univ Alcala, Dept Econ &amp; Business Management, Alcala De Henares, Spain; [Gutierrez-Rodriguez, Pablo] Univ Leon, Dept Business Adm, Leon, Spain</t>
  </si>
  <si>
    <t>Universidad de Alcala; Universidad de Leon</t>
  </si>
  <si>
    <t>Cuesta-Valiño, P (corresponding author), Univ Alcala, Dept Econ &amp; Business Management, Alcala De Henares, Spain.</t>
  </si>
  <si>
    <t>pedro.cuesta@uah.es</t>
  </si>
  <si>
    <t>Gutiérrez-Rodríguez, Pablo/ITT-3959-2023; Durán-Álamo, Patricia/AFX-2557-2022; Cuesta-Valino, Pedro/J-2809-2018</t>
  </si>
  <si>
    <t>Gutierrez-Rodriguez, Pablo/0000-0001-5407-4265; DURAN ALAMO, PATRICIA/0000-0002-7032-0611; Cuesta-Valino, Pedro/0000-0001-9521-333X</t>
  </si>
  <si>
    <t>10.17645/mac.v10i1.4737</t>
  </si>
  <si>
    <t>WOS:000762434300007</t>
  </si>
  <si>
    <t>I Saw Her On TikTok!</t>
  </si>
  <si>
    <t>SPR-SUM</t>
  </si>
  <si>
    <t>G1T1J</t>
  </si>
  <si>
    <t>WOS:001314523300015</t>
  </si>
  <si>
    <t>Hermida, EP; Cano, EH; Ela-Aguilar, S; Ferro, T</t>
  </si>
  <si>
    <t>Hermida, E. P.; Cano, E. Hans; Ela-Aguilar, S.; Ferro, T.</t>
  </si>
  <si>
    <t>Bringing an EU Joint Action to TikTok: the case of eCAN</t>
  </si>
  <si>
    <t>EUROPEAN JOURNAL OF PUBLIC HEALTH</t>
  </si>
  <si>
    <t>[Hermida, E. P.; Cano, E. Hans; Ela-Aguilar, S.; Ferro, T.] Inst Catala Oncol, eCAN Commun Workpackage, Lhospitalet De Llobregat, Spain; [Hermida, E. P.; Cano, E. Hans; Ela-Aguilar, S.; Ferro, T.] Inst Catala Oncol, Proc &amp; Qual Management, Lhospitalet De Llobregat, Spain</t>
  </si>
  <si>
    <t>Institut Catala d'Oncologia; Institut Catala d'Oncologia</t>
  </si>
  <si>
    <t>epinon@iconcologia.net</t>
  </si>
  <si>
    <t>1101-1262</t>
  </si>
  <si>
    <t>1464-360X</t>
  </si>
  <si>
    <t>EUR J PUBLIC HEALTH</t>
  </si>
  <si>
    <t>Eur. J. Public Health</t>
  </si>
  <si>
    <t>ckad160.12</t>
  </si>
  <si>
    <t>W5XX4</t>
  </si>
  <si>
    <t>WOS:001092365301437</t>
  </si>
  <si>
    <t>From Heathers to Six: Stealth musicals and the TikTok Broadway archive</t>
  </si>
  <si>
    <t>TikTok; Generation Z; Six the Musical; Heathers: The Musical; social media; fan studies; stealth musicals</t>
  </si>
  <si>
    <t>This article explores two popular TikTok trends that use sound bites from the original cast recordings of Heathers: The Musical and Six. The 'Martha Dumptruck in the Flesh' challenge from Heathers: The Musical and the 'Yeah That Didn't Work Out' challenge from Six were, by and large, completely detached from the musicals. TikTokers who engaged with these trends, therefore, likely did not even know that the sound bites came from musicals. These musicals became what I term 'stealth musicals', or undercover musicals that proliferate on TikTok in ways that are completely removed from the show's dramaturgy. As stealth musicals, Heathers: The Musical and Six did not just go viral but stayed viral on TikTok. I argue, therefore, that these two musicals became canonical pieces of Gen Z culture. With viral canonization, Heathers: The Musical and Six demonstrate how cultural capital accrues in digital spaces and, as a result, sound bites such as 'Martha Dumptruck in the flesh' enter into a public life that extends beyond the musicals themselves. Indeed, as I propose, quoting 'Martha Dumptruck in the flesh' is as synonymous with Gen Z culture as it is with the musical Heathers.</t>
  </si>
  <si>
    <t>[Boffone, Trevor] Univ Houston, Womens Gender &amp; Sexual Studies Program, Agnes Arnold Hall Room 624, Houston, TX 77204 USA</t>
  </si>
  <si>
    <t>Boffone, T (corresponding author), Univ Houston, Womens Gender &amp; Sexual Studies Program, Agnes Arnold Hall Room 624, Houston, TX 77204 USA.</t>
  </si>
  <si>
    <t>Trevor.boffone@gmail.com</t>
  </si>
  <si>
    <t>10.1386/smt_00070_1</t>
  </si>
  <si>
    <t>0F0IR</t>
  </si>
  <si>
    <t>WOS:000777054000002</t>
  </si>
  <si>
    <t>Takara, S</t>
  </si>
  <si>
    <t>Takara, Samilo</t>
  </si>
  <si>
    <t>RITORNELO AND TIKTOK: MEDIA PEDAGOGICAL ISSUES</t>
  </si>
  <si>
    <t>ETD EDUCACAO TEMATICA DIGITAL</t>
  </si>
  <si>
    <t>Education; Media; Cultural Studies; Contemporaneity; TikTok</t>
  </si>
  <si>
    <t>This text problematizes TikTok, a network produced through the use of media artifacts such as smartphones and the possibility of thinking about the use of the concept of retort, as used by Gilles Deleuze and Felix Guattari (2012), in the text About Ritornelo. Given the understanding of sound as one of the effects that territorialize spaces in life and, in dialogue with the contribution of cultural pedagogies investigated by authors of Cultural Studies, this text aims to discuss the pedagogical possibilities of TikTok. This is a qualitative, exploratory and bibliographic study and invests analytically in the proposal to problematize the pedagogical effects of contemporary media in the education of subjectivities. Thus, it is understood that the audios activated in different types of productions in this network, such as dubbing, duet and sewing, enable the creation of refrains that locate pedagogical aspects about the ways of being, being and acting in contemporaneity.</t>
  </si>
  <si>
    <t>[Takara, Samilo] Univ Fed Rondonia UNIR, Rolim De Moura, RO, Brazil</t>
  </si>
  <si>
    <t>Universidade Federal de Rondonia</t>
  </si>
  <si>
    <t>Takara, S (corresponding author), Univ Fed Rondonia UNIR, Rolim De Moura, RO, Brazil.</t>
  </si>
  <si>
    <t>samilo@unir.br</t>
  </si>
  <si>
    <t>UNIV ESTADUAL CAMPINAS, FAC EDUCACAO</t>
  </si>
  <si>
    <t>CAMPINAS</t>
  </si>
  <si>
    <t>AVE BERTRAND RUSSELL 801, CIDADE UNIV ZEFERINO VAZ, CAMPINAS, SP 13083-86, BRAZIL</t>
  </si>
  <si>
    <t>1676-2592</t>
  </si>
  <si>
    <t>ETD EDUC TEMAT DIGIT</t>
  </si>
  <si>
    <t>ETD Educ. Temat. Digit.</t>
  </si>
  <si>
    <t>e024012</t>
  </si>
  <si>
    <t>10.20396/etd.v26i00.8667442</t>
  </si>
  <si>
    <t>NQ1K0</t>
  </si>
  <si>
    <t>WOS:001201824200010</t>
  </si>
  <si>
    <t>Yu, J; Lie, E; Eichenfield, DZ</t>
  </si>
  <si>
    <t>Yu, Jasmine; Lie, Erina; Eichenfield, Dawn Z.</t>
  </si>
  <si>
    <t>Youth Exposure to Spironolactone in TikTok Videos</t>
  </si>
  <si>
    <t>CUTIS</t>
  </si>
  <si>
    <t>[Yu, Jasmine] Univ Calif Riverside, Sch Med, Riverside, CA USA; [Lie, Erina; Eichenfield, Dawn Z.] Univ Calif San Diego, Dept Dermatol, San Diego, CA USA; [Yu, Jasmine] 900 Univ Ave, Riverside, CA 92521 USA</t>
  </si>
  <si>
    <t>University of California System; University of California Riverside; University of California System; University of California San Diego</t>
  </si>
  <si>
    <t>Yu, J (corresponding author), 900 Univ Ave, Riverside, CA 92521 USA.</t>
  </si>
  <si>
    <t>yu.jasmine@gmail.com</t>
  </si>
  <si>
    <t>QUADRANT HEALTHCOM INC</t>
  </si>
  <si>
    <t>PARSIPPANY</t>
  </si>
  <si>
    <t>7 CENTURY DRIVE, STE 302, PARSIPPANY, NJ 07054-4603 USA</t>
  </si>
  <si>
    <t>0011-4162</t>
  </si>
  <si>
    <t>2326-6929</t>
  </si>
  <si>
    <t>Cutis</t>
  </si>
  <si>
    <t>10.12788/cutis.0863</t>
  </si>
  <si>
    <t>AU7A2</t>
  </si>
  <si>
    <t>WOS:001121020100009</t>
  </si>
  <si>
    <t>Brogan, C; Dillon, K; Hare, M; Peyser, A</t>
  </si>
  <si>
    <t>Brogan, Cailey; Dillon, Kayla; Hare, Maia; Peyser, Alexandra</t>
  </si>
  <si>
    <t>#Infertility: Evaluation of Quality and Accuracy of TikTok Videos</t>
  </si>
  <si>
    <t>OBSTETRICS AND GYNECOLOGY</t>
  </si>
  <si>
    <t>72nd Annual Clinical and Scientific Meeting of the American-College-of-Obstetricians-and-Gynecologists</t>
  </si>
  <si>
    <t>MAY 17-19, 2024</t>
  </si>
  <si>
    <t>San Francisco, CA</t>
  </si>
  <si>
    <t>Amer Coll Obstetricians &amp; Gynecologists</t>
  </si>
  <si>
    <t>[Brogan, Cailey] Zucker Sch Med Hofstra Northwell, Huntington, NY USA</t>
  </si>
  <si>
    <t>Northwell Health</t>
  </si>
  <si>
    <t>0029-7844</t>
  </si>
  <si>
    <t>OBSTET GYNECOL</t>
  </si>
  <si>
    <t>Obstet. Gynecol.</t>
  </si>
  <si>
    <t>5S</t>
  </si>
  <si>
    <t>74S</t>
  </si>
  <si>
    <t>10.1097/01.AOG.0001013972.35214.d9</t>
  </si>
  <si>
    <t>XA3A3</t>
  </si>
  <si>
    <t>WOS:001258908200268</t>
  </si>
  <si>
    <t>Zheng, DX; Mulligan, KM; Scott, JF</t>
  </si>
  <si>
    <t>Zheng, David X.; Mulligan, Kathleen M.; Scott, Jeffrey F.</t>
  </si>
  <si>
    <t>TikTok and dermatology: An opportunity for public health engagement</t>
  </si>
  <si>
    <t>[Zheng, David X.; Mulligan, Kathleen M.] Case Western Reserve Univ, Sch Med, Cleveland, OH USA; [Scott, Jeffrey F.] Johns Hopkins Univ, Sch Med, Dept Dermatol, Baltimore, MD 21205 USA</t>
  </si>
  <si>
    <t>University System of Ohio; Case Western Reserve University; Johns Hopkins University</t>
  </si>
  <si>
    <t>Mulligan, Kathleen/0000-0002-4353-9255; Zheng, David/0000-0002-3351-023X</t>
  </si>
  <si>
    <t>E25</t>
  </si>
  <si>
    <t>E26</t>
  </si>
  <si>
    <t>10.1016/j.jaad.2020.12.091</t>
  </si>
  <si>
    <t>WOS:000659921800015</t>
  </si>
  <si>
    <t>Nguyen, M; Youssef, R; Kwon, A; Chen, R; Park, JH</t>
  </si>
  <si>
    <t>Nguyen, M.; Youssef, R.; Kwon, A.; Chen, R.; Park, J. H.</t>
  </si>
  <si>
    <t>Dermatology on TikTok: Analysis of content and creators</t>
  </si>
  <si>
    <t>JOURNAL OF INVESTIGATIVE DERMATOLOGY</t>
  </si>
  <si>
    <t>[Park, J. H.] Palo Alto Med Fdn, Dermatol, Mountain View, CA USA; [Chen, R.] Icahn Sch Med Mt Sinai, New York, NY 10029 USA; [Nguyen, M.] Northwestern Univ, Feinberg Sch Med, Chicago, IL 60611 USA; [Youssef, R.] Texas A&amp;M Univ Syst, Dallas, TX USA; [Kwon, A.] Univ Illinois, Coll Med, Peoria, IL USA</t>
  </si>
  <si>
    <t>Palo Alto Medical Foundation Research Institute; Icahn School of Medicine at Mount Sinai; Northwestern University; Feinberg School of Medicine; Texas A&amp;M University System; University of Illinois System; University of Illinois Peoria</t>
  </si>
  <si>
    <t>CHEN, REBECCA/KIX-2591-2024</t>
  </si>
  <si>
    <t>0022-202X</t>
  </si>
  <si>
    <t>1523-1747</t>
  </si>
  <si>
    <t>J INVEST DERMATOL</t>
  </si>
  <si>
    <t>J. Invest. Dermatol.</t>
  </si>
  <si>
    <t>S45</t>
  </si>
  <si>
    <t>RP6YU</t>
  </si>
  <si>
    <t>WOS:000641872800252</t>
  </si>
  <si>
    <t>Hung, YH; Chiang, PC</t>
  </si>
  <si>
    <t>Kurosu, M; Hashizume, A</t>
  </si>
  <si>
    <t>Hung, Yu-Hsiu; Chiang, Pei-Ching</t>
  </si>
  <si>
    <t>Social Usability Evaluation of Douyin and TikTok</t>
  </si>
  <si>
    <t>HUMAN-COMPUTER INTERACTION, PT IV, HCI 2024</t>
  </si>
  <si>
    <t>Human-Computer Interaction (HCII) Thematic Area International Conference Held as Part of the 26th International Conference on Human-Computer Interaction (HCII)</t>
  </si>
  <si>
    <t>JUN 29-JUL 04, 2024</t>
  </si>
  <si>
    <t>Douyin; TikTok; and social usability</t>
  </si>
  <si>
    <t>MEDIA; SOCIABILITY</t>
  </si>
  <si>
    <t>Social usability is an indicator of how easily social activities are performed on a platform. It also determines user motivations to engage in community software over the long term. Douyin and TikTok are two popular mobile social networking applications. Douyin is the original version of the application, available only in China, while TikTok is its international counterpart. The purpose of this study was twofold: (1) to examine the social usability of Douyin and TikTok from the perspectives of social atmosphere, purposes and interests, richness of interaction, self-presentation, and support for formal interaction; and (2) to propose design recommendations to increase user engagement. In this study, forty Douyin/TikTok users were recruited to complete the social usability questionnaire and received follow-up semi-structured interviews. Independent sample t-tests were conducted on the rating score of each questionnaire item. Content analysis was conducted on participants' verbal responses in the interview. Results showed that both applications received high ratings (over four on a scale of one to five) for media richness in communication, ease of building identity, and ease of operation, and low ratings (less than three) for users feeling close to each other, users treating each other with mutual respect and courtesy, and accuracy of information. Results also showed a significant difference in the rating score of Return on efforts. To enhance social usability and further foster customer loyalty, this study made design recommendations to address user experience issues in social atmosphere and accuracy of information.</t>
  </si>
  <si>
    <t>[Hung, Yu-Hsiu; Chiang, Pei-Ching] Natl Cheng Kung Univ, Dept Ind Design, Tainan, Taiwan</t>
  </si>
  <si>
    <t>National Cheng Kung University</t>
  </si>
  <si>
    <t>Hung, YH (corresponding author), Natl Cheng Kung Univ, Dept Ind Design, Tainan, Taiwan.</t>
  </si>
  <si>
    <t>idhfhung@gmail.com; p36114107@gs.ncku.edu.tw</t>
  </si>
  <si>
    <t>978-3-031-60440-9; 978-3-031-60441-6</t>
  </si>
  <si>
    <t>10.1007/978-3-031-60441-6_14</t>
  </si>
  <si>
    <t>Computer Science, Artificial Intelligence; Computer Science, Interdisciplinary Applications; Computer Science, Theory &amp; Methods</t>
  </si>
  <si>
    <t>BX3QP</t>
  </si>
  <si>
    <t>WOS:001283866900014</t>
  </si>
  <si>
    <t>Ayalde, J; Ta, D; Adesanya, L; Mandzufas, J; Lombardi, K; Trapp, G</t>
  </si>
  <si>
    <t>Ayalde, J.; Ta, D.; Adesanya, L.; Mandzufas, J.; Lombardi, K.; Trapp, G.</t>
  </si>
  <si>
    <t>Positive portrayal of energy drinks on TikTok</t>
  </si>
  <si>
    <t>[Ayalde, J.; Ta, D.; Adesanya, L.; Mandzufas, J.; Lombardi, K.; Trapp, G.] Univ Western Australia, Nedlands, WA, Australia; [Ta, D.; Mandzufas, J.; Trapp, G.] Telethon Kids Inst, Food &amp; Nutr Res Team, Nedlands, WA, Australia; [Lombardi, K.] Telethon Kids Inst, Nedlands, WA, Australia; [Lombardi, K.] Edith Cowan Univ, Joondalup, WA, Australia</t>
  </si>
  <si>
    <t>University of Western Australia; The Kids Research Institute Australia; University of Western Australia; University of Western Australia; The Kids Research Institute Australia; Edith Cowan University</t>
  </si>
  <si>
    <t>Ayalde, J (corresponding author), Univ Western Australia, Nedlands, WA, Australia.</t>
  </si>
  <si>
    <t>OCE2</t>
  </si>
  <si>
    <t>E148</t>
  </si>
  <si>
    <t>10.1017/S002966512300157X</t>
  </si>
  <si>
    <t>D6PZ0</t>
  </si>
  <si>
    <t>WOS:000969942500111</t>
  </si>
  <si>
    <t>Klikauer, T</t>
  </si>
  <si>
    <t>Klikauer, Thomas</t>
  </si>
  <si>
    <t>Fast Politics - Propaganda in the Age of TikTok</t>
  </si>
  <si>
    <t>[Klikauer, Thomas] Western Sydney Univ, Penrith, Australia</t>
  </si>
  <si>
    <t>Western Sydney University</t>
  </si>
  <si>
    <t>Klikauer, T (corresponding author), Western Sydney Univ, Penrith, Australia.</t>
  </si>
  <si>
    <t>10.1177/02673231241266655</t>
  </si>
  <si>
    <t>G6Q5Z</t>
  </si>
  <si>
    <t>WOS:001284987500001</t>
  </si>
  <si>
    <t>Poza-Méndez, M; Fernández-Gutiérrez, M; Marín-Paz, AJ; Sanchez-Sánchez, E; Bas-Sarmiento, P</t>
  </si>
  <si>
    <t>Poza-Mendez, Miriam; Fernandez-Gutierrez, Martina; Marin-Paz, Antonio Jesus; Sanchez-Sanchez, Eduardo; Bas-Sarmiento, Pilar</t>
  </si>
  <si>
    <t>TikTok as a teaching and learning method for nursing students: A quasi-experimental study</t>
  </si>
  <si>
    <t>NURSE EDUCATION TODAY</t>
  </si>
  <si>
    <t>Intervention study; Nursing education; Role-playing; Students; TikTok</t>
  </si>
  <si>
    <t>THEORY-PRACTICE GAP</t>
  </si>
  <si>
    <t>Background: Social networks have emerged as powerful tools in education, offering new opportunities for interactive learning. TikTok has gained popularity among young people and has potential for use as a teaching tool in health disciplines. Objective: To evaluate the effectiveness of an educational program based on a multimodal intervention using the TikTok platform to improve theoretical-practical knowledge about diabetic debut and vaccination schedules and satisfaction in nursing students. Design: A quasi-experimental study design. Settings: Faculty of Nursing, University of Cadiz, Spain. Participants: 74 third-year undergraduate university nursing students. Methods: According to Kolb's experiential learning model, a multimodal educational intervention was carried out during the academic year 2022/2023, with 12 h of training. In these sessions, theoretical content on the vaccination calendar and diabetic debut was developed with written case studies. In the last session, 19 working groups were formed and each group was given a practical case study to solve through role-playing and creating a video in TikTok. A questionnaire to measure individual knowledge and a rubric questionnaire were used to evaluate the simulations in TikTok platform. Results: A significant improvement (z = 6.843, p &lt; 0.001) was observed in the mean scores (9.93 +/- 1.65) of the posttest of the knowledge questionnaire, used to evaluate abstract conceptualisation abilities. Additionally, a mean score of 10.42 (SD = 1.42) of the items on the rubric questionnaire, designed to assess active experimentation and reflective observation abilities, were correctly performed. It stands out that 97.1 % of the students positively valued the elements of teaching innovation implemented, while 82.9 % showed a high level of satisfaction with their activity. Conclusion: A multimodal educational intervention using TikTok platform proved to be effective in improving the acquisition of theoretical-practical knowledge in the university students included in the study. Therefore, this type of experiential training is recommended for the training of future health professionals.</t>
  </si>
  <si>
    <t>[Poza-Mendez, Miriam; Fernandez-Gutierrez, Martina; Marin-Paz, Antonio Jesus; Sanchez-Sanchez, Eduardo; Bas-Sarmiento, Pilar] Univ Cadiz, Dept Nursing &amp; Physiotherapy, Cadiz, Spain; [Poza-Mendez, Miriam; Fernandez-Gutierrez, Martina; Marin-Paz, Antonio Jesus; Sanchez-Sanchez, Eduardo; Bas-Sarmiento, Pilar] Univ Cadiz, Fac Nursing, Venus St, Cadiz 11207, Spain; [Poza-Mendez, Miriam; Marin-Paz, Antonio Jesus; Bas-Sarmiento, Pilar] Univ Res Inst Sustainable Social Dev INDESS, Cadiz, Spain; [Fernandez-Gutierrez, Martina; Bas-Sarmiento, Pilar] Inst Res &amp; Innovat Biomed Sci Prov Cadiz INIBICA, Cadiz, Spain; [Sanchez-Sanchez, Eduardo] Punta Europa Hosp, Internal Med Dept, Cadiz 11207, Spain</t>
  </si>
  <si>
    <t>Universidad de Cadiz; Universidad de Cadiz</t>
  </si>
  <si>
    <t>Fernández-Gutiérrez, M (corresponding author), Univ Cadiz, Fac Nursing, Venus St, Cadiz 11204, Spain.</t>
  </si>
  <si>
    <t>Bas-Sarmiento, P/Y-7098-2019; FERNÁNDEZ-GUTIÉRREZ, MARTINA/AAN-2920-2020</t>
  </si>
  <si>
    <t>Teaching Innovation Unit at the University of Cadiz [Sol-202200229711-tra]</t>
  </si>
  <si>
    <t>Teaching Innovation Unit at the University of Cadiz</t>
  </si>
  <si>
    <t>This work was supported by the Teaching Innovation Unit at the University of Cadiz [Teaching Innovation Projects, number: Sol-202200229711-tra].</t>
  </si>
  <si>
    <t>0260-6917</t>
  </si>
  <si>
    <t>1532-2793</t>
  </si>
  <si>
    <t>NURS EDUC TODAY</t>
  </si>
  <si>
    <t>Nurse Educ. Today</t>
  </si>
  <si>
    <t>10.1016/j.nedt.2024.106328</t>
  </si>
  <si>
    <t>Education, Scientific Disciplines; Nursing</t>
  </si>
  <si>
    <t>Education &amp; Educational Research; Nursing</t>
  </si>
  <si>
    <t>C7I0L</t>
  </si>
  <si>
    <t>WOS:001291057300001</t>
  </si>
  <si>
    <t>Lukic, S; Petrovic, J</t>
  </si>
  <si>
    <t>Lukic, Stevo; Petrovic, Jovana</t>
  </si>
  <si>
    <t>The quality of information provided by the most popular dementia videos on TikTok</t>
  </si>
  <si>
    <t>dementia; online health information; video quality; social media; TikTok; credibility; reliability</t>
  </si>
  <si>
    <t>ONLINE HEALTH INFORMATION; INTERNET</t>
  </si>
  <si>
    <t>The Summary of background: Dementia is among the leading causes of death and disability worldwide, having a major impact not only on the affected person but also on all of society. The Internet is a popular and growing source of health-related information for patients, family members, carriers, and physicians. TikTok, one of the most popular social media platforms, is an important source for knowledge access and adoption. However, the quality of health information on TikTok has not been sufficiently studied. Objective: To evaluate the quality of the information provided in the most popular videos on dementia shared on TikTok.Study designA cross-sectional study. Methods: The top 100 most popular videos on TikTok obtained by searching the hashtag dementia were included in the study and grouped based on their source and content. The popularity of the videos was estimated based on the numbers of likes, comments, and shares. The quality of health-related information was evaluated using the DISCERN score and the Global Quality Score (GQS). Results: Videos had a median duration of 33.29 s; the median number of likes was 635,100, with a total of 93,698,200 likes, 903,859 comments, and 5,310,912 shares. The source (uploader) of 65% of the videos was family members, while only 4% were uploaded by doctors. The content was lifestyle-related in 62% of the videos, while 12% of the videos were for fun. Videos had a median DISCERN score of 22.5 (IQR 20-27) and a median GQS of 2 (IQR 1-3). The videos uploaded by doctors had the highest quality scores and the lowest popularity. Conclusion: The most popular dementia videos on TikTok are mostly shared by family members and are of poor quality. Given the major public health issues associated with dementia, experts must provide appropriate and active assistance to patients in interpreting the information identified.</t>
  </si>
  <si>
    <t>[Lukic, Stevo] Univ Nis, Fac Med, Neurol Dept, Nish, Serbia; [Lukic, Stevo] Univ Clin Ctr Nis, Clin Neurol, Nish, Serbia; [Petrovic, Jovana] Univ Clin Ctr Nis, Clin Psychiat, Nish, Serbia</t>
  </si>
  <si>
    <t>University of Nis</t>
  </si>
  <si>
    <t>Lukic, S (corresponding author), Univ Nis, Fac Med, Neurol Dept, Nish, Serbia.;Lukic, S (corresponding author), Univ Clin Ctr Nis, Clin Neurol, Nish, Serbia.</t>
  </si>
  <si>
    <t>slukic@medfak.ni.ac.rs</t>
  </si>
  <si>
    <t>Lukic, Stevo/LBH-1214-2024; Petrovic, Jovana/AAG-1896-2019</t>
  </si>
  <si>
    <t>Lukic, Stevo/0000-0001-9796-3433</t>
  </si>
  <si>
    <t>NOV 28</t>
  </si>
  <si>
    <t>10.3389/fpubh.2023.1266415</t>
  </si>
  <si>
    <t>AU1P4</t>
  </si>
  <si>
    <t>WOS:001120879200001</t>
  </si>
  <si>
    <t>Lewis, C</t>
  </si>
  <si>
    <t>Lewis, Christian</t>
  </si>
  <si>
    <t>THEATRE JOURNAL</t>
  </si>
  <si>
    <t>[Lewis, Christian] CUNY, Grad Ctr, New York, NY 10017 USA</t>
  </si>
  <si>
    <t>City University of New York (CUNY) System</t>
  </si>
  <si>
    <t>Lewis, C (corresponding author), CUNY, Grad Ctr, New York, NY 10017 USA.</t>
  </si>
  <si>
    <t>Lewis, Christian/0000-0003-1493-8297</t>
  </si>
  <si>
    <t>0192-2882</t>
  </si>
  <si>
    <t>1086-332X</t>
  </si>
  <si>
    <t>THEATRE J</t>
  </si>
  <si>
    <t>Theatre J.</t>
  </si>
  <si>
    <t>10.1353/tj.2021.0087</t>
  </si>
  <si>
    <t>YH9XY</t>
  </si>
  <si>
    <t>WOS:000743513600003</t>
  </si>
  <si>
    <t>Forsyth, RJ</t>
  </si>
  <si>
    <t>Forsyth, Rob J.</t>
  </si>
  <si>
    <t>Tics, TikTok and COVID-19</t>
  </si>
  <si>
    <t>ARCHIVES OF DISEASE IN CHILDHOOD</t>
  </si>
  <si>
    <t>[Forsyth, Rob J.] Newcastle Univ, Translat &amp; Clin Res Inst, Newcastle Upon Tyne NE1 4LP, Tyne &amp; Wear, England</t>
  </si>
  <si>
    <t>Newcastle University - UK</t>
  </si>
  <si>
    <t>Forsyth, RJ (corresponding author), Newcastle Univ, Translat &amp; Clin Res Inst, Newcastle Upon Tyne NE1 4LP, Tyne &amp; Wear, England.</t>
  </si>
  <si>
    <t>rob.forsyth@newcastle.ac.uk</t>
  </si>
  <si>
    <t>Forsyth, Rob/H-9193-2019; Forsyth, Rob/I-9226-2012</t>
  </si>
  <si>
    <t>Forsyth, Rob/0000-0002-5657-4180</t>
  </si>
  <si>
    <t>0003-9888</t>
  </si>
  <si>
    <t>1468-2044</t>
  </si>
  <si>
    <t>ARCH DIS CHILD</t>
  </si>
  <si>
    <t>Arch. Dis. Child.</t>
  </si>
  <si>
    <t>10.1136/archdischild-2021-321885</t>
  </si>
  <si>
    <t>RS4GU</t>
  </si>
  <si>
    <t>WOS:000643740100002</t>
  </si>
  <si>
    <t>Burke, S</t>
  </si>
  <si>
    <t>Burke, Siobhan</t>
  </si>
  <si>
    <t>Rise of the TikTok Dance</t>
  </si>
  <si>
    <t>DANCE MAGAZINE</t>
  </si>
  <si>
    <t>[Burke, Siobhan] Barnard Coll, New York, NY 10027 USA</t>
  </si>
  <si>
    <t>Burke, S (corresponding author), Barnard Coll, New York, NY 10027 USA.</t>
  </si>
  <si>
    <t>DANCE MAGAZINE INC</t>
  </si>
  <si>
    <t>33 WEST 60TH ST, NEW YORK, NY 10023 USA</t>
  </si>
  <si>
    <t>0011-6009</t>
  </si>
  <si>
    <t>DANCE MAG</t>
  </si>
  <si>
    <t>Dance Mag.</t>
  </si>
  <si>
    <t>PT4NV</t>
  </si>
  <si>
    <t>WOS:000608592700009</t>
  </si>
  <si>
    <t>Gupta, R; John, J; Gupta, M; Haq, M; Peshel, E; Boudiab, E; Shaheen, K; Chaiyasate, K</t>
  </si>
  <si>
    <t>Gupta, Rohun; John, Jithin; Gupta, Monik; Haq, Misha; Peshel, Emanuela; Boudiab, Elizabeth; Shaheen, Kenneth; Chaiyasate, Kongkrit</t>
  </si>
  <si>
    <t>A Cross-Sectional Analysis of Breast Reconstruction with Fat Grafting Content on TikTok</t>
  </si>
  <si>
    <t>ARCHIVES OF PLASTIC SURGERY-APS</t>
  </si>
  <si>
    <t>breast reconstruction; fat grafting; breast cancer</t>
  </si>
  <si>
    <t>INFORMATION; DISCERN; QUALITY</t>
  </si>
  <si>
    <t>As of November 2021, TikTok has one billion monthly active users and is recognized as the most engaging social media platform. TikTok has seen a surge in users and content creators, ranging from athletes to medical professionals. In the past year, content creators have utilized the app to advocate for social reforms, education, and other uses that were not previously considered. Breast cancer is the most commonly diagnosed cancer in women, with an expected 281,550 new cases of invasive breast cancer in 2021. As more individuals with breast cancer choose to undergo resection, the demand for autologous fat grafting in breast reconstruction has increased due to the natural look and feel of breast tissue. The purpose of this article is to analyze content related to breast reconstruction with fat grafting found on TikTok and recommend methods to improve patient education, care, and outcomes. We searched TikTok on November 1, 2021, for videos using the phrase breast reconstruction with fat grafting. The top 200 videos retrieved from the TikTok search algorithm were analyzed, and all commentaries, duplicates, and nonrelevant videos were removed. Video characteristics were collected, and two independent reviewers generated a DISCERN score A total of 131 videos were included in the study. They were found to have a combined 1,871,980 likes, 41,113 comments, and 58,662 shares. The videos had an average DISCERN score of 2.16. Content creators had an overall low DISCERN score in items involving the use of references, disclosure of risks for not obtaining treatment, and support for shared decision-making. When stratified, the DISCERN score was higher for videos created by physicians (DISCERN average 2.48) than for videos created by nonphysicians (DISCERN average 1.99; p &lt; 0.001). Content creators can improve the quality of their videos by disclosing treatment risks, benefits and risks, discussing risks for not obtaining treatment, and advocating for shared decision-making. Furthermore, including citations and academic references may offer increased credibility and promote evidence practice. This article is limited by the variability seen on the TikTok platform that is influenced by algorithmic trends. The top 200 search results vary, making each compilation of videos selected for analysis unique. Furthermore, although DISCERN is a reliable source to assess patient information, it has not been tested for its reliability with videos such as on TikTok. Despite TikTok being developed as a social media platform, it has shown to be a medium for patient outreach and an educational tool.</t>
  </si>
  <si>
    <t>[Gupta, Rohun; John, Jithin; Haq, Misha] Oakland Univ, William Beaumont Sch Med, Rochester, MI 48063 USA; [Gupta, Monik] Univ Toledo, Hlth Sci Campus, Toledo, OH 43606 USA; [Peshel, Emanuela; Boudiab, Elizabeth] Beaumont Hlth Syst, Dept Gen Surg, Royal Oak, MI USA; [Shaheen, Kenneth; Chaiyasate, Kongkrit] Beaumont Hlth Syst, Dept Plast Surg, Royal Oak, MI USA</t>
  </si>
  <si>
    <t>Oakland University; University System of Ohio; University of Toledo; University of Toledo Health Science Campus; Beaumont Health; Beaumont Health</t>
  </si>
  <si>
    <t>Chaiyasate, K (corresponding author), 3555 W 13 Mile Rd 120, Royal Oak, MI 48073 USA.</t>
  </si>
  <si>
    <t>kongkrit.chaiyasate@beaumont.org</t>
  </si>
  <si>
    <t>Gupta, Rohun/0000-0003-1491-2441</t>
  </si>
  <si>
    <t>2234-6163</t>
  </si>
  <si>
    <t>2234-6171</t>
  </si>
  <si>
    <t>ARCH PLAST SURG-APS</t>
  </si>
  <si>
    <t>Arch. Plast. Surg.-APS</t>
  </si>
  <si>
    <t>10.1055/s-0042-1756296</t>
  </si>
  <si>
    <t>4V7MW</t>
  </si>
  <si>
    <t>WOS:000859659200010</t>
  </si>
  <si>
    <t>Ataga, O; Arnold, VK</t>
  </si>
  <si>
    <t>Ataga, Onomeasike; Arnold, Valerie K.</t>
  </si>
  <si>
    <t>TikTok Challenges-Unintentional Injuries vs Suicide Attempts</t>
  </si>
  <si>
    <t>JAMA PSYCHIATRY</t>
  </si>
  <si>
    <t>[Ataga, Onomeasike; Arnold, Valerie K.] Univ Tennessee Hlth Sci Ctr Memphis, Dept Psychiat, Div Child &amp; Adolescent Psychiat, 920 Madison Ave,2nd Floor, Memphis, TN 38163 USA</t>
  </si>
  <si>
    <t>University of Tennessee System; University of Tennessee Health Science Center</t>
  </si>
  <si>
    <t>Ataga, O (corresponding author), Univ Tennessee Hlth Sci Ctr Memphis, Dept Psychiat, Div Child &amp; Adolescent Psychiat, 920 Madison Ave,2nd Floor, Memphis, TN 38163 USA.</t>
  </si>
  <si>
    <t>oataga@uthsc.edu</t>
  </si>
  <si>
    <t>AMER MEDICAL ASSOC</t>
  </si>
  <si>
    <t>330 N WABASH AVE, STE 39300, CHICAGO, IL 60611-5885 USA</t>
  </si>
  <si>
    <t>2168-622X</t>
  </si>
  <si>
    <t>2168-6238</t>
  </si>
  <si>
    <t>JAMA PSYCHIAT</t>
  </si>
  <si>
    <t>JAMA Psychiatry</t>
  </si>
  <si>
    <t>10.1001/jamapsychiatry.2024.3522</t>
  </si>
  <si>
    <t>L5G1V</t>
  </si>
  <si>
    <t>WOS:001350990100003</t>
  </si>
  <si>
    <t>McElrath, ME; Robb, C; Akbar, A; Banerjee, I; D'Ascanio, AM; Stifani, B</t>
  </si>
  <si>
    <t>McElrath, Madelaine E.; Robb, Carolyn; Akbar, Aneesah; Banerjee, Ipsha; D'Ascanio, Antonella M.; Stifani, Bianca</t>
  </si>
  <si>
    <t>#PapSmear on TikTok: User Sentiments and Health Information</t>
  </si>
  <si>
    <t>[McElrath, Madelaine E.] New York Med Coll, Irvington, NY USA</t>
  </si>
  <si>
    <t>New York Medical College</t>
  </si>
  <si>
    <t>19S</t>
  </si>
  <si>
    <t>10.1097/01.AOG.0001013088.85668.66</t>
  </si>
  <si>
    <t>WOS:001258908200030</t>
  </si>
  <si>
    <t>Rivera, JC; Juan, HY; Long, AS; Hauc, SC; Junn, AH; Persing, JA; Alperovich, M</t>
  </si>
  <si>
    <t>Rivera, Jean Carlo; Juan, Hui Yu; Long, Aaron S.; Hauc, Sacha C.; Junn, Adam H.; Persing, John A.; Alperovich, Michael</t>
  </si>
  <si>
    <t>Presence of Cosmetic and Aesthetic Surgery on TikTok</t>
  </si>
  <si>
    <t>PLASTIC AND RECONSTRUCTIVE SURGERY-GLOBAL OPEN</t>
  </si>
  <si>
    <t>[Rivera, Jean Carlo; Juan, Hui Yu; Long, Aaron S.; Hauc, Sacha C.; Junn, Adam H.; Persing, John A.; Alperovich, Michael] Yale Sch Med, Sect Plast &amp; Reconstruct Surg, Dept Surg, 330 Cedar St,Boardman Bldg, New Haven, CT 06510 USA</t>
  </si>
  <si>
    <t>Yale University</t>
  </si>
  <si>
    <t>Alperovich, M (corresponding author), Yale Sch Med, Sect Plast &amp; Reconstruct Surg, Dept Surg, 330 Cedar St,Boardman Bldg, New Haven, CT 06510 USA.</t>
  </si>
  <si>
    <t>michael.alperovich@yale.edu</t>
  </si>
  <si>
    <t>Hauc, Sacha/0000-0002-6666-8578</t>
  </si>
  <si>
    <t>National Institute of Diabetes and Digestive and Kidney Diseases [T35DK104689] Funding Source: NIH RePORTER</t>
  </si>
  <si>
    <t>National Institute of Diabetes and Digestive and Kidney Diseases(United States Department of Health &amp; Human ServicesNational Institutes of Health (NIH) - USANIH National Institute of Diabetes &amp; Digestive &amp; Kidney Diseases (NIDDK))</t>
  </si>
  <si>
    <t>2169-7574</t>
  </si>
  <si>
    <t>PRS-GLOB OPEN</t>
  </si>
  <si>
    <t>PRS-GLOB. OPEN</t>
  </si>
  <si>
    <t>e4519</t>
  </si>
  <si>
    <t>10.1097/GOX.0000000000004519</t>
  </si>
  <si>
    <t>4P6HZ</t>
  </si>
  <si>
    <t>WOS:000855495800002</t>
  </si>
  <si>
    <t>Sturm, H; Abdullah, M; Anand, A; Sethna, J; Frank, R; Castellanos, L; Singer, P; Basalely, A</t>
  </si>
  <si>
    <t>Sturm, Hannah; Abdullah, Mahie; Anand, Arshia; Sethna, Jonah; Frank, Rachel; Castellanos, Laura; Singer, Pamela; Basalely, Abby</t>
  </si>
  <si>
    <t>TikTok and pediatric nephrology: content quality assessment of videos related to pediatric kidney disease and kidney transplant</t>
  </si>
  <si>
    <t>PEDIATRIC NEPHROLOGY</t>
  </si>
  <si>
    <t>Pediatric chronic kidney disease; Pediatric kidney transplant; Social media; Patient engagement; Family-centered care</t>
  </si>
  <si>
    <t>HEALTH INFORMATION; YOUTUBE</t>
  </si>
  <si>
    <t>Background Social media platforms such as TikTok (TM) are key sources of health information for young patients and caregivers. Misinformation is prevalent on TikTok (TM) across healthcare fields, which can perpetuate false beliefs about medical care. Limited data exists on the reliability of pediatric nephrology TikTok (TM) content. This study aimed to describe the quality of medical content of TikTok (TM) Videos (TTVs), related to pediatric kidney disease and transplant. Methods TTVs were selected using specific search terms and categorized into pediatric kidney disease and kidney transplant, excluding duplicate and adult-related content. The top 100 TTVs in each category, based on views, were analyzed. TTV characteristics were stratified by account type (physician, non-physician healthcare professional (HCP), non-HCP) and video aim (personal story, education, entertainment). DISCERN scoring, a validated questionnaire evaluating health information reliability, was conducted by 4 independent raters. Inter-rater reliability was assessed using a 2-way random effects model, and differences between content creator types were evaluated using one-way ANOVA and post-Hoc Tukey test. Results TTVs had a total of 12.5 million likes and 113.1 million views. Over 70% of videos were created by non-HCPs (n = 147/200). DISCERN scoring revealed low reliability of medical information across content creator types. TTVs created by physicians and non-physician HCPs about kidney disease had significantly higher mean DISCERN scores compared to those created by non-HCPs (2.85, p &lt; 0.001 and 2.48, p = 0.005, respectively). Conclusions Educators within the pediatric nephrology community must keep in mind the lack of reliability of medical information available on TikTok (TM) and coordinate collective efforts to consider utilizing TikTok (TM) for patient education.</t>
  </si>
  <si>
    <t>[Abdullah, Mahie; Anand, Arshia; Sethna, Jonah; Frank, Rachel; Castellanos, Laura; Singer, Pamela; Basalely, Abby] Cohen Childrens Med Ctr, Div Pediat Nephrol, 269-01 76th Ave, New Hyde Pk, NY 11040 USA; [Castellanos, Laura; Singer, Pamela; Basalely, Abby] Feinstein Inst Med Res, Manhasset, NY 11030 USA; [Sturm, Hannah; Castellanos, Laura; Singer, Pamela; Basalely, Abby] Zucker Sch Med Northwell Hofstra, Uniondale, NY 11549 USA</t>
  </si>
  <si>
    <t>Northwell Health; North Shore University Hospital; Steven &amp; Alexandra Cohen Children's Medical Center of New York; Northwell Health</t>
  </si>
  <si>
    <t>Basalely, A (corresponding author), Cohen Childrens Med Ctr, Div Pediat Nephrol, 269-01 76th Ave, New Hyde Pk, NY 11040 USA.;Basalely, A (corresponding author), Feinstein Inst Med Res, Manhasset, NY 11030 USA.;Basalely, A (corresponding author), Zucker Sch Med Northwell Hofstra, Uniondale, NY 11549 USA.</t>
  </si>
  <si>
    <t>abasalely@northwell.edu</t>
  </si>
  <si>
    <t>Sturm, Hannah/0009-0007-5355-0566</t>
  </si>
  <si>
    <t>0931-041X</t>
  </si>
  <si>
    <t>1432-198X</t>
  </si>
  <si>
    <t>PEDIATR NEPHROL</t>
  </si>
  <si>
    <t>Pediatr. Nephrol.</t>
  </si>
  <si>
    <t>10.1007/s00467-024-06462-x</t>
  </si>
  <si>
    <t>K2K9X</t>
  </si>
  <si>
    <t>WOS:001280820500001</t>
  </si>
  <si>
    <t>Duarte, A; Albuquerque, L</t>
  </si>
  <si>
    <t>Adeli, H; Dzemyda, G; Moreira, F; Rocha, A; Poniszewska-Maranda, A</t>
  </si>
  <si>
    <t>Duarte, Alexandre; Albuquerque, Luis</t>
  </si>
  <si>
    <t>The Influence of TikTok in Portuguese Millennials' Footwear Consumer Behaviour</t>
  </si>
  <si>
    <t>GOOD PRACTICES AND NEW PERSPECTIVES IN INFORMATION SYSTEMS AND TECHNOLOGIES, VOL 6, WORLDCIST 2024</t>
  </si>
  <si>
    <t>Lecture Notes in Networks and Systems</t>
  </si>
  <si>
    <t>12th World Conference on Information Systems and Technologies (WorldCIST)</t>
  </si>
  <si>
    <t>MAR 26-28, 2024</t>
  </si>
  <si>
    <t>Lodz Univ Tech, Lodz, POLAND</t>
  </si>
  <si>
    <t>Lodz Univ Tech</t>
  </si>
  <si>
    <t>Content Marketing; Consumer Behaviour; electronic Word-of-Mouth; Influencer Marketing; Millennials; Social Media Marketing; TikTok</t>
  </si>
  <si>
    <t>This study focusses on the influence of TikTok on Portuguese millennials' footwear consumer behaviour. Recent data shows that there are over 3.5 millions of users in Portugal (almost half of the country's total socialmedia users), but little research has been done so far to understand how the platform impacts users and their consumer behaviour, specifically regarding the footwear industry. This investigation emphasizes how different strategies in Marketing (content marketing, influencer marketing, word-of-mouth, virality) are perceived by the consumers and to what extent it influences their purchase intentions. A mixed methodology was implemented, including a quantitatively analysis of an online survey with 142 valid participants, and then a qualitative analysis of two focus groups, to complement the information. The results concluded that TikTok is very influential with Portuguese millennials' footwear consumption.</t>
  </si>
  <si>
    <t>[Duarte, Alexandre] Univ Nova Lisboa, ICNOVA, Ave Berna 26 C, P-1069061 Lisbon, Portugal; [Albuquerque, Luis] UCP, FCH, Palma Cima, P-1649023 Lisbon, Portugal</t>
  </si>
  <si>
    <t>Universidade Nova de Lisboa; Universidade Catolica Portuguesa</t>
  </si>
  <si>
    <t>Duarte, A (corresponding author), Univ Nova Lisboa, ICNOVA, Ave Berna 26 C, P-1069061 Lisbon, Portugal.</t>
  </si>
  <si>
    <t>alexandreduarte@fcsh.unl.pt</t>
  </si>
  <si>
    <t>Duarte, Alexandre/IVH-7318-2023</t>
  </si>
  <si>
    <t>national funds through the FCT - Fundacao para a Ciencia e a Tecnologia [UIDB/05021/2020]</t>
  </si>
  <si>
    <t>national funds through the FCT - Fundacao para a Ciencia e a Tecnologia(Fundacao para a Ciencia e a Tecnologia (FCT))</t>
  </si>
  <si>
    <t>This study was funded by national funds through the FCT - Fundacao para a Ciencia e a Tecnologia within the project UIDB/05021/2020.</t>
  </si>
  <si>
    <t>2367-3370</t>
  </si>
  <si>
    <t>2367-3389</t>
  </si>
  <si>
    <t>978-3-031-60327-3; 978-3-031-60328-0</t>
  </si>
  <si>
    <t>LECT NOTE NETW SYST</t>
  </si>
  <si>
    <t>10.1007/978-3-031-60328-0_12</t>
  </si>
  <si>
    <t>Computer Science, Artificial Intelligence; Computer Science, Interdisciplinary Applications; Computer Science, Theory &amp; Methods; Telecommunications</t>
  </si>
  <si>
    <t>BX2RD</t>
  </si>
  <si>
    <t>WOS:001267244400012</t>
  </si>
  <si>
    <t>Fiennes, S; Anasari, SD; Hardianto, N</t>
  </si>
  <si>
    <t>Fiennes, Sicily; Anasari, Silvi Dwi; Hardianto, Novi</t>
  </si>
  <si>
    <t>TikTok facilitating songbird trade in Indonesia</t>
  </si>
  <si>
    <t>ORYX</t>
  </si>
  <si>
    <t>[Fiennes, Sicily] Univ Leeds, Fac Biol Sci, Leeds, England; [Anasari, Silvi Dwi; Hardianto, Novi] Kausa Resliensi, Jakarta, Indonesia</t>
  </si>
  <si>
    <t>University of Leeds</t>
  </si>
  <si>
    <t>Fiennes, S (corresponding author), Univ Leeds, Fac Biol Sci, Leeds, England.</t>
  </si>
  <si>
    <t>sicilyfiennes@gmail.com</t>
  </si>
  <si>
    <t>BAMBINI FIENNES, SICILY/JWP-6420-2024</t>
  </si>
  <si>
    <t>Fiennes, Sicily/0000-0003-3084-1209</t>
  </si>
  <si>
    <t>0030-6053</t>
  </si>
  <si>
    <t>1365-3008</t>
  </si>
  <si>
    <t>Oryx</t>
  </si>
  <si>
    <t>10.1017/S0030605323000510</t>
  </si>
  <si>
    <t>Biodiversity Conservation; Ecology</t>
  </si>
  <si>
    <t>Biodiversity &amp; Conservation; Environmental Sciences &amp; Ecology</t>
  </si>
  <si>
    <t>W7NT4</t>
  </si>
  <si>
    <t>WOS:001093462900010</t>
  </si>
  <si>
    <t>Pfender, EJ; Fowler, LR</t>
  </si>
  <si>
    <t>Pfender, Emily J.; Fowler, Leah R.</t>
  </si>
  <si>
    <t>Social Media Is Influencing Contraceptive Choice</t>
  </si>
  <si>
    <t>JOURNAL OF WOMENS HEALTH</t>
  </si>
  <si>
    <t>[Pfender, Emily J.] Univ Delaware, Dept Commun, 125 Acad St, Newark, DE 19716 USA; [Fowler, Leah R.] Univ Houston, Law Ctr, Hlth Law &amp; Policy Inst, Houston, TX USA</t>
  </si>
  <si>
    <t>University of Delaware; University of Houston System; University of Houston</t>
  </si>
  <si>
    <t>Pfender, EJ (corresponding author), Univ Delaware, Dept Commun, 125 Acad St, Newark, DE 19716 USA.</t>
  </si>
  <si>
    <t>epfender@udel.edu</t>
  </si>
  <si>
    <t>Pfender, Emily/AAC-1814-2021</t>
  </si>
  <si>
    <t>Fowler, Leah/0000-0002-9946-9196; Pfender, Emily Jo/0000-0001-9374-3521</t>
  </si>
  <si>
    <t>1540-9996</t>
  </si>
  <si>
    <t>1931-843X</t>
  </si>
  <si>
    <t>J WOMENS HEALTH</t>
  </si>
  <si>
    <t>J. Womens Health</t>
  </si>
  <si>
    <t>MAY 1</t>
  </si>
  <si>
    <t>10.1089/jwh.2023.1152</t>
  </si>
  <si>
    <t>Public, Environmental &amp; Occupational Health; Medicine, General &amp; Internal; Obstetrics &amp; Gynecology; Women's Studies</t>
  </si>
  <si>
    <t>Public, Environmental &amp; Occupational Health; General &amp; Internal Medicine; Obstetrics &amp; Gynecology; Women's Studies</t>
  </si>
  <si>
    <t>SF0C5</t>
  </si>
  <si>
    <t>WOS:001173873500003</t>
  </si>
  <si>
    <t>Comp, G; Dyer, S; Gottlieb, M</t>
  </si>
  <si>
    <t>Comp, Geoffrey; Dyer, Sean; Gottlieb, Michael</t>
  </si>
  <si>
    <t>Is TikTok The Next Social Media Frontier for Medicine?</t>
  </si>
  <si>
    <t>AEM EDUCATION AND TRAINING</t>
  </si>
  <si>
    <t>EDUCATION; LECTURES</t>
  </si>
  <si>
    <t>[Comp, Geoffrey] Univ Arizona, Creighton Univ, Coll Med Phoenix, Sch Med,Valleywise Hlth Med Ctr,Dept Emergency Me, Phoenix, AZ 85004 USA; [Dyer, Sean] John H Stroger Jr Hosp Cook Cty, Dept Emergency Med, Chicago, IL USA; [Gottlieb, Michael] Rush Univ, Med Ctr, Dept Emergency Med, Chicago, IL USA</t>
  </si>
  <si>
    <t>University of Arizona; Creighton University; John H Stroger Junior Hospital Cook County; University of Illinois System; University of Illinois Chicago; University of Illinois Chicago Hospital; Rush University</t>
  </si>
  <si>
    <t>Comp, G (corresponding author), Univ Arizona, Creighton Univ, Coll Med Phoenix, Sch Med,Valleywise Hlth Med Ctr,Dept Emergency Me, Phoenix, AZ 85004 USA.</t>
  </si>
  <si>
    <t>geoffbc@gmail.com</t>
  </si>
  <si>
    <t>comp, geoff/KFR-9987-2024; Gottlieb, Michael/K-3804-2019</t>
  </si>
  <si>
    <t>Gottlieb, Michael/0000-0003-3276-8375; Dyer, Sean/0000-0002-4360-4643</t>
  </si>
  <si>
    <t>2472-5390</t>
  </si>
  <si>
    <t>AEM EDUC TRAIN</t>
  </si>
  <si>
    <t>AEM Educ. Train.</t>
  </si>
  <si>
    <t>10.1002/aet2.10532</t>
  </si>
  <si>
    <t>Emergency Medicine; Education, Scientific Disciplines</t>
  </si>
  <si>
    <t>Emergency Medicine; Education &amp; Educational Research</t>
  </si>
  <si>
    <t>WD0FE</t>
  </si>
  <si>
    <t>WOS:000704623000087</t>
  </si>
  <si>
    <t>Bernstein, A; Loloi, J; Babar, M; Zhu, M; Winokur, N; Wysocki, M; Labagnara, K; Cohen, S</t>
  </si>
  <si>
    <t>Bernstein, A.; Loloi, J.; Babar, M.; Zhu, M.; Winokur, N.; Wysocki, M.; Labagnara, K.; Cohen, S.</t>
  </si>
  <si>
    <t>TIKTOK AS A SOURCE OF INFORMATION REGARDING PREMATURE EJACULATION: A QUALITATIVE ASSESSMENT</t>
  </si>
  <si>
    <t>JOURNAL OF SEXUAL MEDICINE</t>
  </si>
  <si>
    <t>[Bernstein, A.; Cohen, S.] NYU Langone Hlth, New York, NY USA; [Loloi, J.] Montefiore Med Ctr, Bronx, NY USA; [Babar, M.; Zhu, M.; Winokur, N.; Wysocki, M.; Labagnara, K.] Albert Einstein Coll Med, New York, NY USA</t>
  </si>
  <si>
    <t>NYU Langone Medical Center; Montefiore Medical Center; Albert Einstein College of Medicine; Yeshiva University</t>
  </si>
  <si>
    <t>1743-6095</t>
  </si>
  <si>
    <t>1743-6109</t>
  </si>
  <si>
    <t>J SEX MED</t>
  </si>
  <si>
    <t>J. Sex. Med.</t>
  </si>
  <si>
    <t>MAY 22</t>
  </si>
  <si>
    <t>qdad060.223</t>
  </si>
  <si>
    <t>P7FC3</t>
  </si>
  <si>
    <t>WOS:001052285000224</t>
  </si>
  <si>
    <t>Walshaw, E; Taylor, R; Iyer, S; Cashman, H</t>
  </si>
  <si>
    <t>Walshaw, E.; Taylor, R.; Iyer, S.; Cashman, H.</t>
  </si>
  <si>
    <t>TikTok™: an application that oral and maxillofacial surgery should not overlook</t>
  </si>
  <si>
    <t>BRITISH JOURNAL OF ORAL &amp; MAXILLOFACIAL SURGERY</t>
  </si>
  <si>
    <t>[Walshaw, E.; Taylor, R.; Iyer, S.; Cashman, H.] Univ Leeds, Sch Med, Dept Oral &amp; Maxillofacial Surg, Clarendon Way, Leeds LS2 9LU, W Yorkshire, England</t>
  </si>
  <si>
    <t>Walshaw, E (corresponding author), Univ Leeds, Sch Med, Dept Oral &amp; Maxillofacial Surg, Clarendon Way, Leeds LS2 9LU, W Yorkshire, England.</t>
  </si>
  <si>
    <t>emma.walshaw@nhs.net; Richard.taylor33@nhs.net; sandeep.iyer2@nhs.net; helen.cashman1@nhs.net</t>
  </si>
  <si>
    <t>Taylor, Richard/0000-0001-9781-1827</t>
  </si>
  <si>
    <t>0266-4356</t>
  </si>
  <si>
    <t>1532-1940</t>
  </si>
  <si>
    <t>BRIT J ORAL MAX SURG</t>
  </si>
  <si>
    <t>Br. J. Oral Maxillofac. Surg.</t>
  </si>
  <si>
    <t>Dentistry, Oral Surgery &amp; Medicine; Surgery</t>
  </si>
  <si>
    <t>NU1TC</t>
  </si>
  <si>
    <t>WOS:000573422900033</t>
  </si>
  <si>
    <t>Smith, JK; Mendelson, EA</t>
  </si>
  <si>
    <t>Smith, Jacob Kenton; Mendelson, Emily A.</t>
  </si>
  <si>
    <t>Parasocial parenting, adoption, and monetization of the internet parent with the Griswolds on TikTok</t>
  </si>
  <si>
    <t>parasocial relationships; TikTok; influencers; adolescents; internet parent; intimacy</t>
  </si>
  <si>
    <t>INTIMACY; FORMS</t>
  </si>
  <si>
    <t>This study investigates parasocial relationships between adolescents and a genre of TikTok microcelebrities who construct themselves as Internet Parents. We analyze Alex and Melinda Griswold's construction of themselves as the mom and dad of TikTok through their videos, comment sections, and off-platform interactive content. We ask how the Griswolds construct parasocial intimacy through modes of familial address, how viewers make sense of parasocial intimacy, and how the Griswolds monetize familial parasocial intimacy. Findings reveal how the Griswolds construct parasocial intimacy with their audience through the use of adoption rhetoric and engaging narrative structures, which viewers identify with by expressing their desire for a parent-child relationship with the Griswolds as their adopted children. However, these moments of parasocial intimacies become transformed through influencer economies that commodify social relationships. Ultimately, we consider the ethical obligations of the Griswolds to their target audience of adopted children.</t>
  </si>
  <si>
    <t>[Smith, Jacob Kenton] Univ N Carolina, Commun, Chapel Hill, NC USA; [Mendelson, Emily A.] Univ Illinois, Dept Commun, Champaign, IL USA</t>
  </si>
  <si>
    <t>University of North Carolina; University of North Carolina Chapel Hill; University of Illinois System; University of Illinois Urbana-Champaign</t>
  </si>
  <si>
    <t>Smith, JK (corresponding author), Univ North Carolina Chapel Hill, Dept Commun, Chapel Hill, NC 27599 USA.</t>
  </si>
  <si>
    <t>jacob.k.12456@gmail.com</t>
  </si>
  <si>
    <t>2024 OCT 22</t>
  </si>
  <si>
    <t>10.1177/13678779241288619</t>
  </si>
  <si>
    <t>J8Z8J</t>
  </si>
  <si>
    <t>WOS:001339900300001</t>
  </si>
  <si>
    <t>Hendrickx, J</t>
  </si>
  <si>
    <t>Hendrickx, Jonathan</t>
  </si>
  <si>
    <t>'Normal news is boring': How young adults encounter and experience news on Instagram and TikTok</t>
  </si>
  <si>
    <t>Digital news; Instagram; journalism; news consumption; qualitative research; social media; TikTok</t>
  </si>
  <si>
    <t>SOCIAL MEDIA; JOURNALISM; QUALITY</t>
  </si>
  <si>
    <t>Instagram and TikTok constitute the fastest rising social media apps for news consumption. However, very little remains known on how young people encounter and experience news content on these platforms. Drawing on 25 in-depth interviews with young adult Belgians, including operationalising the walkthrough method, this qualitative research article fills this existing gap in scholarship. I contextualise but also nuance how younger users are accustomed to relying on third-party social media apps as the primary location to encounter news rather than news outlets' own offline and online platforms. The study results also shine light on intriguing perception differences in young adults' varying news expectations of Instagram and TikTok, based on which ramifications and recommendations are discussed. Conceptually, I propose adopting the terms encountering and experiencing news rather than being exposed to or trusting it, in order to highlight the acknowledged (radical) audience turn in journalism studies and practice.</t>
  </si>
  <si>
    <t>[Hendrickx, Jonathan] Univ Vienna Austria, Journalism Studies, Vienna, Austria; [Hendrickx, Jonathan] Univ Vienna, Dept Commun, Wahringer Str 29, A-1090 Vienna, Austria</t>
  </si>
  <si>
    <t>University of Vienna; University of Vienna</t>
  </si>
  <si>
    <t>Hendrickx, J (corresponding author), Univ Vienna, Dept Commun, Wahringer Str 29, A-1090 Vienna, Austria.</t>
  </si>
  <si>
    <t>jonathan.hendrickx@univie.ac.at</t>
  </si>
  <si>
    <t>Hendrickx, Jonathan/JFT-0494-2023</t>
  </si>
  <si>
    <t>Hendrickx, Jonathan/0000-0003-2802-2802</t>
  </si>
  <si>
    <t>2024 MAY 29</t>
  </si>
  <si>
    <t>10.1177/14614448241255955</t>
  </si>
  <si>
    <t>SQ4S7</t>
  </si>
  <si>
    <t>WOS:001235910400001</t>
  </si>
  <si>
    <t>Richards, A</t>
  </si>
  <si>
    <t>Richards, Abbie</t>
  </si>
  <si>
    <t>Scientific communication on TikTok</t>
  </si>
  <si>
    <t>CELL</t>
  </si>
  <si>
    <t>Abbie Richards is an active scientific communicator on TikTok who posts videos to communicate climate sci-ence and to combat misinformation. Cell editor Jia Cheng chatted with Abbie Richards to get her viewpoint on scientific communication through social media. Annotated excerpts from this conversation are presented below, and the full conversation is available with the article online.</t>
  </si>
  <si>
    <t>0092-8674</t>
  </si>
  <si>
    <t>1097-4172</t>
  </si>
  <si>
    <t>Cell</t>
  </si>
  <si>
    <t>10.1069/cell.87.023</t>
  </si>
  <si>
    <t>Biochemistry &amp; Molecular Biology; Cell Biology</t>
  </si>
  <si>
    <t>4F6GV</t>
  </si>
  <si>
    <t>WOS:000848609200002</t>
  </si>
  <si>
    <t>Long, EA; Shiah, E; Lin, SJ</t>
  </si>
  <si>
    <t>Long, Emily A.; Shiah, Eric; Lin, Samuel J.</t>
  </si>
  <si>
    <t>TikTok: Is It Time to Start Trending with #PlasticSurgery?</t>
  </si>
  <si>
    <t>PLASTIC AND RECONSTRUCTIVE SURGERY</t>
  </si>
  <si>
    <t>90th Annual Meeting of the American Society of Plastic Surgeons</t>
  </si>
  <si>
    <t>OCT 29-NOV 01, 2021</t>
  </si>
  <si>
    <t>Atlanta, GA</t>
  </si>
  <si>
    <t>SOCIAL MEDIA; SURGERY</t>
  </si>
  <si>
    <t>Background:TikTok is a short-form video social media platform created in 2016 that has rapidly grown in popularity. The aim of this study was to examine trending plastic surgery videos on TikTok and to understand the dynamics of the #PlasticSurgery conversation on this relatively new social media platform. Methods:A prospective analysis of TikTok videos identified by directly querying the platform using #PlasticSurgery was performed during November of 2020. Top trending videos at time of data collection, defined as having more than 100,000 likes, were included. Videos were analyzed for user credentials, video engagement (number of views, likes, shares, and comments), associated hashtags, and video purpose and content. Results:The top 376 trending videos were viewed a total of 1,680,910,700 times at time of analysis. Videos made by board-certified plastic surgeons were, on average, more popular than videos made by non-plastic surgeons [490.4 versus 378.6 million likes (P = 0.006); 5.1 versus 3.8 billion views (P = 0.046)]. The most popular procedures featured were augmentation mammaplasty (531,143,800 views; 42,825,400 likes), followed by body contouring procedures such as liposuction and abdominoplasty (276,810,500 views; 22,362,000 likes) and rhinoplasty (243,724,100 views; 27,588,200 likes). Educational videos on average had significantly higher levels of engagement than entertainment-focused videos [549,336 versus 340,163 likes (P = 0.002); 6.3 versus 2.9 million views (P &lt; 0.001)]. Conclusions:Videos about plastic surgery, particularly educational videos by board-certified plastic surgeons, perform exceptionally well on the TikTok platform. TikTok presents an opportunity for plastic surgeons to educate patients about plastic surgery procedures and to present themselves as board-certified plastic surgeons.</t>
  </si>
  <si>
    <t>[Long, Emily A.; Shiah, Eric; Lin, Samuel J.] Harvard Med Sch, Beth Israel Deaconess Med Ctr, Div Plast Surg, Boston, MA USA</t>
  </si>
  <si>
    <t>Harvard University; Harvard Medical School; Beth Israel Deaconess Medical Center</t>
  </si>
  <si>
    <t>Lin, SJ (corresponding author), 110 Francis St,Suite 5A, Boston, MA 02215 USA.</t>
  </si>
  <si>
    <t>sjlin@bidmc.harvard.edu</t>
  </si>
  <si>
    <t>Long, Emily/JZD-0309-2024</t>
  </si>
  <si>
    <t>0032-1052</t>
  </si>
  <si>
    <t>1529-4242</t>
  </si>
  <si>
    <t>PLAST RECONSTR SURG</t>
  </si>
  <si>
    <t>Plast. Reconstr. Surg.</t>
  </si>
  <si>
    <t>1043E</t>
  </si>
  <si>
    <t>1050E</t>
  </si>
  <si>
    <t>10.1097/PRS.0000000000010121</t>
  </si>
  <si>
    <t>H2OK6</t>
  </si>
  <si>
    <t>WOS:000994409400016</t>
  </si>
  <si>
    <t>Henderson, G</t>
  </si>
  <si>
    <t>Henderson, Garnet</t>
  </si>
  <si>
    <t>Why Broadway Dancers Are Taking Over TikTok</t>
  </si>
  <si>
    <t>DM3C8</t>
  </si>
  <si>
    <t>WOS:001132411200039</t>
  </si>
  <si>
    <t>Malhotra, S</t>
  </si>
  <si>
    <t>Malhotra, Shefali</t>
  </si>
  <si>
    <t>TikTok worries over doctors and social media</t>
  </si>
  <si>
    <t>[Malhotra, Shefali] Univ Toronto, Dalla Lana Sch Publ Hlth, Toronto, ON, Canada</t>
  </si>
  <si>
    <t>Malhotra, S (corresponding author), Univ Toronto, Dalla Lana Sch Publ Hlth, Toronto, ON, Canada.</t>
  </si>
  <si>
    <t>shefali.m.delhi@gmail.com</t>
  </si>
  <si>
    <t>MAR 17</t>
  </si>
  <si>
    <t>p499</t>
  </si>
  <si>
    <t>10.1136/bmj.p499</t>
  </si>
  <si>
    <t>J9GB5</t>
  </si>
  <si>
    <t>WOS:001012625400005</t>
  </si>
  <si>
    <t>Roche, L; Dhonncha, EN; Murphy, M</t>
  </si>
  <si>
    <t>Roche, L.; Nic Dhonncha, E.; Murphy, M.</t>
  </si>
  <si>
    <t>TikTok™ and dermatology: promises and pearls</t>
  </si>
  <si>
    <t>[Roche, L.; Nic Dhonncha, E.; Murphy, M.] South Infirm Victoria Univ Hosp, Dept Dermatol, Cork, Ireland</t>
  </si>
  <si>
    <t>Roche, L (corresponding author), South Infirm Victoria Univ Hosp, Dept Dermatol, Cork, Ireland.</t>
  </si>
  <si>
    <t>lisamroche@physicians.ie</t>
  </si>
  <si>
    <t>10.1111/ced.14529</t>
  </si>
  <si>
    <t>SE2NZ</t>
  </si>
  <si>
    <t>WOS:000603671900001</t>
  </si>
  <si>
    <t>Kim, YJ; Lin, M; Davis, RJ; Ayo-Ajibola, O; Kwon, D; Hur, K</t>
  </si>
  <si>
    <t>Kim, Yun J.; Lin, Matthew; Davis, Ryan J.; Ayo-Ajibola, Oluwatobiloba; Kwon, Daniel; Hur, Kevin</t>
  </si>
  <si>
    <t>Evaluation of the quality of thyroidectomy-related posts on a video-based social media platform</t>
  </si>
  <si>
    <t>DISCERN; social media; thyroidectomy; TikTok</t>
  </si>
  <si>
    <t>ObjectiveTo evaluate the quality of thyroidectomy-related posts on TikTok, the fastest-growing social media platform worldwide.MethodsVideos posted from April 2020 to September 2022 were queried on TikTok using the search terms thyroidsurgery, thyroidectomy, and thyroidremoval. Two reviewers recorded thematic, demographic, and performance data of these posts. The DISCERN instrument was used to evaluate the quality and reliability of the information contained in the videos. Descriptive statistics were used to characterize post-submitter demographics and video content. Simple and multiple linear regression analyses were used to evaluate the association between DISCERN scores and video characteristics. Univariate analysis of variance was performed to compare DISCERN scores between author types.ResultsIn this study, 228 TikTok videos were included which totaled over 23 million views. On average, each video accumulated more than 6000 likes, 300 comments, and 70 shares. The average total DISCERN score was 27.46, which is deemed to be of poor overall quality. Upon multiple linear regression, video duration (beta = 4.66, p &lt; .001) and educational subject type (beta = 3.97, p &lt; .001) significantly positively predicted aggregate DISCERN scores, while journey subject type (beta = -3.19, p = .006), and reassurance subject type (beta = -2.52, p = .035) significantly negatively predicted aggregate DISCERN scores. Aggregate DISCERN scores varied significantly (p &lt; .05) between author types.ConclusionSocial media posts on TikTok about thyroidectomy are mostly of poor quality and reliability but vary by authorship, subject type, and video characteristics. Given its widespread popularity, TikTok videos may have an increasing role in shaping patient perception of thyroidectomy and may represent an opportunity to provide education.Lay summaryTikTok posts about thyroidectomy are mostly of poor quality but vary by authorship, subject, and video characteristics. Given its popularity, TikTok videos may have a role in shaping the patient perception of thyroidectomy and may represent an opportunity to provide education.Level of evidenceLevel 4.</t>
  </si>
  <si>
    <t>[Kim, Yun J.; Lin, Matthew; Davis, Ryan J.; Ayo-Ajibola, Oluwatobiloba] Univ Southern Calif, Keck Sch Med, Los Angeles, CA USA; [Kwon, Daniel; Hur, Kevin] Univ Southern Calif, Keck Sch Med, Caruso Dept Otolaryngol Head &amp; Neck Surg, Los Angeles, CA USA; [Hur, Kevin] Univ Southern California, Caruso Dept Otolaryngol Head &amp; Neck Surg, Keck Sch Med, 1537 Norfolk St,Suite 5800, Los Angeles, CA 90033 USA</t>
  </si>
  <si>
    <t>Hur, K (corresponding author), Univ Southern California, Caruso Dept Otolaryngol Head &amp; Neck Surg, Keck Sch Med, 1537 Norfolk St,Suite 5800, Los Angeles, CA 90033 USA.</t>
  </si>
  <si>
    <t>kevinhur@usc.edu</t>
  </si>
  <si>
    <t>Lin, Matthew/JEF-7096-2023</t>
  </si>
  <si>
    <t>Davis, Ryan/0009-0002-0408-8380; Ayo-Ajibola, Oluwatobiloba/0009-0002-4824-7160; Kim, Yun Ji/0000-0002-0763-2305; Kwon, Daniel/0000-0002-3574-4830; Lin, Matthew/0000-0001-9914-9670</t>
  </si>
  <si>
    <t>10.1002/lio2.1174</t>
  </si>
  <si>
    <t>CK6P8</t>
  </si>
  <si>
    <t>WOS:001095581600001</t>
  </si>
  <si>
    <t>Vazquez-Calvo, B; Duarte-Marti, S; Zhang, LT</t>
  </si>
  <si>
    <t>Vazquez-Calvo, Boris; Duarte-Marti, Sergio; Zhang, Leticia-Tian</t>
  </si>
  <si>
    <t>Commenting on learning Korean on TikTok and YouTube</t>
  </si>
  <si>
    <t>INTERACTIVE LEARNING ENVIRONMENTS</t>
  </si>
  <si>
    <t>Korean; TikTok; YouTube; online informal language learning; commenting</t>
  </si>
  <si>
    <t>LANGUAGE; TRANSLATION; ANIME</t>
  </si>
  <si>
    <t>Online informal language learning has surged due to the growing interaction on social networking sites, such as TikTok and YouTube. One vital interaction method is through comments, revealing insights into learner behaviors and thoughts. Concurrently, the Korean Wave has made Korean a sought-after language. This study examined comments under Korean language learning hashtags on TikTok and YouTube in English and Spanish. From 570 comments, three themes were discerned: (1) those oriented towards the video creator, (2) those focused on the community, and (3) those highlighting Korean language understanding. Findings indicate that these comments foster a supportive environment for sharing experiences and resources while addressing content inaccuracies or linguistic uncertainties. However, there was no interaction in Korean within these comments. Hence, while videos provide linguistic input, comments mainly facilitate metalinguistic reflection, but not a space for interactive Korean language use.</t>
  </si>
  <si>
    <t>[Vazquez-Calvo, Boris; Duarte-Marti, Sergio] Univ Malaga, Dept Language Educ, Malaga, Spain; [Zhang, Leticia-Tian] Beijing Foreign Studies Univ, Dept Hispan &amp; Portuguese Studies, Beijing, Peoples R China</t>
  </si>
  <si>
    <t>Universidad de Malaga; Beijing Foreign Studies University</t>
  </si>
  <si>
    <t>Vazquez-Calvo, B (corresponding author), Univ Malaga, Dept Language Educ, Malaga, Spain.</t>
  </si>
  <si>
    <t>bvazquezcalvo@uma.es</t>
  </si>
  <si>
    <t>Zhang, Leticia-Tian/AAY-7789-2021; Vazquez-Calvo, Boris/B-2743-2017</t>
  </si>
  <si>
    <t>Vazquez-Calvo, Boris/0000-0001-8574-7848</t>
  </si>
  <si>
    <t>Definers: Digital language learning of preservice and junior language teachers (Ministry of Science and Innovation, Spain) [TED2021-129984A-I00]; Segue: Social Media and Video Games in Language Learning and Teaching of Student Teachers (University of Malaga, Spain) [B1-2021_33]; University of Malaga [A1-2021_CCSSJJ_9]; Fundamental Research Funds (China) [2020QD036]</t>
  </si>
  <si>
    <t>Definers: Digital language learning of preservice and junior language teachers (Ministry of Science and Innovation, Spain); Segue: Social Media and Video Games in Language Learning and Teaching of Student Teachers (University of Malaga, Spain); University of Malaga; Fundamental Research Funds (China)</t>
  </si>
  <si>
    <t>This study was supported by Definers: Digital language learning of preservice and junior language teachers (Ministry of Science and Innovation, Spain, grant number TED2021-129984A-I00), Segue: Social Media and Video Games in Language Learning and Teaching of Student Teachers (University of Malaga, Spain, grant number B1-2021_33), Ayudas A1-2021_CCSSJJ_9 of the Research Plan from the University of Malaga, and Fundamental Research Funds for the Central Universities (grant number 2020QD036, China).</t>
  </si>
  <si>
    <t>1049-4820</t>
  </si>
  <si>
    <t>1744-5191</t>
  </si>
  <si>
    <t>INTERACT LEARN ENVIR</t>
  </si>
  <si>
    <t>Interact. Learn. Environ.</t>
  </si>
  <si>
    <t>2023 SEP 6</t>
  </si>
  <si>
    <t>10.1080/10494820.2023.2249045</t>
  </si>
  <si>
    <t>R2ZU1</t>
  </si>
  <si>
    <t>WOS:001063091400001</t>
  </si>
  <si>
    <t>Patel, KA; Thakur, N</t>
  </si>
  <si>
    <t>Stephanidis, C; Antona, M; Ntoa, S; Salvendy, G</t>
  </si>
  <si>
    <t>Patel, Kesha A.; Thakur, Nirmalya</t>
  </si>
  <si>
    <t>Dissemination of Misinformation About COVID-19 on TikTok: A Multimodal Analysis</t>
  </si>
  <si>
    <t>HCI INTERNATIONAL 2024 POSTERS, PT VI, HCII 2024</t>
  </si>
  <si>
    <t>Communications in Computer and Information Science</t>
  </si>
  <si>
    <t>26th International Conference on Human-Computer Interaction (HCII)</t>
  </si>
  <si>
    <t>TikTok; COVID-19; Misinformation; Big Data; Data Analysis; social media; Data Science</t>
  </si>
  <si>
    <t>OUTBREAK; TWITTER; TWEETS</t>
  </si>
  <si>
    <t>TikTok, a globally popular social media platform, that gained even more popularity amongst different age groups since the outbreak of COVID-19, has come under scrutiny in the recent past as the platform has significantly contributed to the dissemination of misinformation about COVID-19. Even though multiple works related to the analysis of misinformation about COVID-19 on social media have been published in the last few months, none of those works have focused on the analysis of misinformation by considering the user diversity and topics represented in TikTok videos. The work presented in this paper aims to address this research gap by presenting multiple novel findings from a comprehensive analysis of a dataset of TikTok videos containing different levels of misinformation (low, moderate, and high) about COVID-19. First, a diversity-based analysis showed that between male and female users of TikTok, males published a higher number of videos containing misinformation. Second, for videos containing low levels of misinformation, patients published a higher number of videos as compared to news sources or media outlets. Third, the analysis of the topics of these videos revealed multiple novel insights. For instance, for videos containing a moderate level of misinformation, the highest percentage of videos (18.889%) were videos that discussed the prevention of COVID-19. Finally, the average views, likes, and comments for videos with low levels of misinformation were found to be higher as compared to videos that contained moderate to high levels of misinformation.</t>
  </si>
  <si>
    <t>[Patel, Kesha A.] Emory Univ, Dept Math, Atlanta, GA 30322 USA; [Thakur, Nirmalya] Emory Univ, Dept Comp Sci, Atlanta, GA 30322 USA</t>
  </si>
  <si>
    <t>Emory University; Emory University</t>
  </si>
  <si>
    <t>Thakur, N (corresponding author), Emory Univ, Dept Comp Sci, Atlanta, GA 30322 USA.</t>
  </si>
  <si>
    <t>kesha.patel@emory.edu; nirmalya.thakur@emory.edu</t>
  </si>
  <si>
    <t>Patel, Kesha/0009-0009-4283-3311</t>
  </si>
  <si>
    <t>1865-0929</t>
  </si>
  <si>
    <t>1865-0937</t>
  </si>
  <si>
    <t>978-3-031-61965-6; 978-3-031-61966-3</t>
  </si>
  <si>
    <t>COMM COM INF SC</t>
  </si>
  <si>
    <t>10.1007/978-3-031-61966-3_13</t>
  </si>
  <si>
    <t>BX2SM</t>
  </si>
  <si>
    <t>WOS:001267657300013</t>
  </si>
  <si>
    <t>Weyers, BC; Carlos, KV; Navalta, JW</t>
  </si>
  <si>
    <t>Weyers, Bianca C.; Carlos, Katherine V.; Navalta, James W.</t>
  </si>
  <si>
    <t>Accuracy Of Wearable Technology Devices During Popular Tiktok Workout</t>
  </si>
  <si>
    <t>MEDICINE &amp; SCIENCE IN SPORTS &amp; EXERCISE</t>
  </si>
  <si>
    <t>Annual Meeting of the American-College-of-Sports-Medicine (ACSM)</t>
  </si>
  <si>
    <t>MAY 30-JUN 02, 2023</t>
  </si>
  <si>
    <t>Denver, CO</t>
  </si>
  <si>
    <t>Amer Coll Sports Med</t>
  </si>
  <si>
    <t>[Weyers, Bianca C.; Carlos, Katherine V.; Navalta, James W.] Univ Nevada, Las Vegas, NV 89154 USA</t>
  </si>
  <si>
    <t>Nevada System of Higher Education (NSHE); University of Nevada Las Vegas</t>
  </si>
  <si>
    <t>0195-9131</t>
  </si>
  <si>
    <t>1530-0315</t>
  </si>
  <si>
    <t>MED SCI SPORT EXER</t>
  </si>
  <si>
    <t>Med. Sci. Sports Exerc.</t>
  </si>
  <si>
    <t>HF7Z9</t>
  </si>
  <si>
    <t>WOS:001158156601203</t>
  </si>
  <si>
    <t>Jung, S; Murthy, D; Bateineh, BS; Loukas, A; Wilkinson, A</t>
  </si>
  <si>
    <t>Jung, Sungwon; Murthy, Dhiraj; Bateineh, Bara S.; Loukas, Alexandra; Wilkinson, Anna, V</t>
  </si>
  <si>
    <t>The Normalization of Vaping on TikTok Using Computer Vision, Natural Language Processing, and Qualitative Thematic Analysis: Mixed Methods Study</t>
  </si>
  <si>
    <t>electronic cigarettes; vaping; social media; natural language processing; computer vision</t>
  </si>
  <si>
    <t>ELECTRONIC CIGARETTE; BEHAVIOR; HEALTH</t>
  </si>
  <si>
    <t>Background: Social media posts that portray vaping in positive social contexts shape people's perceptions and serve to normalizevaping. Despite restrictions on depicting or promoting controlled substances, vape-related content is easily accessible on TikTok.There is a need to understand strategies used in promoting vaping on TikTok, especially among susceptible youth audiences. Objective: This study seeks to comprehensively describe direct (ie, explicit promotional efforts) and indirect (ie, subtlerstrategies) themes promoting vaping on TikTok using a mixture of computational and qualitative thematic analyses of socialmedia posts. In addition, we aim to describe how these themes might play a role in normalizing vaping behavior on TikTok foryouth audiences, thereby informing public health communication and regulatory policies regarding vaping endorsements onTikTok. Methods: We collected 14,002 unique TikTok posts using 50 vape-related hashtags (eg, #vapetokand #boxmod). Using thek-means unsupervised machine learning algorithm, we identified clusters and then categorized posts qualitatively based on themes.Next, we organized all videos from the posts thematically and extracted the visual features of each theme using 3 machinelearning-based model architectures: residual network (ResNet) with 50 layers (ResNet50), Visual Geometry Group model with16 layers, and vision transformer. We chose the best-performing model, ResNet50, to thoroughly analyze the image clusteringoutput. To assess clustering accuracy, we examined 4.01% (441/10,990) of the samples from each video cluster. Finally, werandomly selected 50 videos (5% of the total videos) from each theme, which were qualitatively coded and compared with the machine-derived classification for validation. Results: We successfully identified 5 major themes from the TikTok posts. Vape product marketing(1160/10,990, 8.28%)reflected direct marketing, while the other 4 themes reflected indirect marketing: TikTok influencer(3775/14,002, 26.96%),general vape(2741/14,002, 19.58%), vape brands(2042/14,002, 14.58%), and vaping cessation(1272/14,002, 9.08%). TheResNet50 model successfully classified clusters based on image features, achieving an average F-1-score of 0.97, the highestamong the 3 models. Qualitative content analyses indicated that vaping was depicted as a normal, routine part of daily life, withTikTok influencers subtly incorporating vaping into popular culture (eg, gaming, skateboarding, and tattooing) and social practices(eg, shopping sprees, driving, and grocery shopping). Conclusions: The results from both computational and qualitative analyses of text and visual data reveal that vaping is normalizedon TikTok. Our identified themes underscore how everyday conversations, promotional content, and the influence of popularfigures collectively contribute to depicting vaping as a normal and accepted aspect of daily life on TikTok. Our study provides valuable insights for regulatory policies and public health initiatives aimed at tackling the normalization of vaping on social mediaplatforms.</t>
  </si>
  <si>
    <t>[Jung, Sungwon; Murthy, Dhiraj] Univ Texas Austin, Sch Journalism &amp; Media, 300 W Dean Keeton St, Austin, TX 78712 USA; [Bateineh, Bara S.; Wilkinson, Anna, V] Univ Texas Hlth Sci Ctr Houston, Sch Publ Hlth, Houston, TX USA; [Loukas, Alexandra] Univ Texas Austin, Dept Kinesiol &amp; Hlth Educ, Austin, TX USA</t>
  </si>
  <si>
    <t>University of Texas System; University of Texas Austin; University of Texas System; University of Texas Health Science Center Houston; University of Texas School Public Health; University of Texas System; University of Texas Austin</t>
  </si>
  <si>
    <t>Jung, S (corresponding author), Univ Texas Austin, Sch Journalism &amp; Media, 300 W Dean Keeton St, Austin, TX 78712 USA.</t>
  </si>
  <si>
    <t>sungwon.jung@utexas.edu</t>
  </si>
  <si>
    <t>Murthy, Dhiraj/B-7067-2009</t>
  </si>
  <si>
    <t>Bataineh, Bara S./0000-0001-9505-3807; Murthy, Dhiraj/0000-0001-9734-1124; Jung, Sungwon/0009-0002-7401-1194</t>
  </si>
  <si>
    <t>e55591</t>
  </si>
  <si>
    <t>10.2196/55591</t>
  </si>
  <si>
    <t>G7W0V</t>
  </si>
  <si>
    <t>WOS:001318683100001</t>
  </si>
  <si>
    <t>Serrano, JCM; Papakyriakopoulos, O; Hegelich, S</t>
  </si>
  <si>
    <t>Serrano, Juan Carlos Medina; Papakyriakopoulos, Orestis; Hegelich, Simon</t>
  </si>
  <si>
    <t>Dancing to the Partisan Beat: A First Analysis of Political Communication on TikTok</t>
  </si>
  <si>
    <t>PROCEEDINGS OF THE 12TH ACM CONFERENCE ON WEB SCIENCE, WEBSCI 2020</t>
  </si>
  <si>
    <t>12th ACM Conference on Web Science (WebSci)</t>
  </si>
  <si>
    <t>JUL 06-10, 2020</t>
  </si>
  <si>
    <t>Assoc Comp Machinery,ACM SIGWEB,Starling Bank,Web Sci Trust,W3C,Alan Turing Inst</t>
  </si>
  <si>
    <t>TikTok; political communication; social media; US politics</t>
  </si>
  <si>
    <t>SOCIAL MEDIA; NEWS; TWITTER; TRUMP; CAMPAIGNS; FACEBOOK</t>
  </si>
  <si>
    <t>TikTok is a video-sharing social networking service, whose popularity is increasing rapidly. It was theworld's second-most downloaded app in 2019. Although the platform is known for having users posting videos of themselves dancing, lip-syncing, or showcasing other talents, user-videos expressing political views have seen a recent spurt. This study aims to perform a primary evaluation of political communication on TikTok. We collect a set of US partisan Republican and Democratic videos to investigate how users communicated with each other about political issues. With the help of computer vision, natural language processing, and statistical tools, we illustrate that political communication on TikTok is much more interactive in comparison to other social media platforms, with users combining multiple information channels to spread their messages. We show that political communication takes place in the form of communication trees since users generate branches of responses to existing content. In terms of user demographics, we find that users belonging to both the US parties are young and behave similarly on the platform. However, Republican users generated more political content and their videos received more responses; on the other hand, Democratic users engaged significantly more in cross-partisan discussions.</t>
  </si>
  <si>
    <t>[Serrano, Juan Carlos Medina; Papakyriakopoulos, Orestis; Hegelich, Simon] Tech Univ Munich, Munich, Germany</t>
  </si>
  <si>
    <t>Technical University of Munich</t>
  </si>
  <si>
    <t>Serrano, JCM (corresponding author), Tech Univ Munich, Munich, Germany.</t>
  </si>
  <si>
    <t>juan.medina@tum.de; orestis.p@tum.de; simon.hegelich@hfp.tum.de</t>
  </si>
  <si>
    <t>978-1-4503-7989-2</t>
  </si>
  <si>
    <t>10.1145/3394231.3397916</t>
  </si>
  <si>
    <t>BW2MJ</t>
  </si>
  <si>
    <t>WOS:001119019000028</t>
  </si>
  <si>
    <t>Costa, BBP; Maia, LRH; Junior, MAD; Oliveira, T; Massarani, L</t>
  </si>
  <si>
    <t>Costa, Ben-Hur Bernard Pereira; Maia, Lidia Raquel Herculano; Junior, Marcelo Alves dos Santos; Oliveira, Thaiane; Massarani, Luisa</t>
  </si>
  <si>
    <t>Covid-19 vaccines on TikTok in Brazil</t>
  </si>
  <si>
    <t>[Costa, Ben-Hur Bernard Pereira; Maia, Lidia Raquel Herculano; Massarani, Luisa] Fundacao Oswaldo Cruz, Inst Nacl Comunicacao Publ Ciencia &amp; Tecnol INCT C, Rio De Janeiro, Brazil; [Junior, Marcelo Alves dos Santos] Pontificia Univ Catolica Rio De Janeiro PUC RIO, Dept Comunicacao Social, Rio De Janeiro, Brazil; [Oliveira, Thaiane] Univ Fed Fluminense UFF, Programa Posgrad Comunicacao, Rio De Janeiro, Brazil</t>
  </si>
  <si>
    <t>Costa, BBP (corresponding author), Fundacao Oswaldo Cruz, Inst Nacl Comunicacao Publ Ciencia &amp; Tecnol INCT C, Rio De Janeiro, Brazil.</t>
  </si>
  <si>
    <t>bernardcosta89@gmail.co; lidiarhmaia@outlook.co; marcelo_alves@puc-rio.br; thaianeoliveira@id.uff.br; luisa.massarani@fiocruz.br</t>
  </si>
  <si>
    <t>10.7764/cdi.55.63663</t>
  </si>
  <si>
    <t>IE5A7</t>
  </si>
  <si>
    <t>WOS:001164652200003</t>
  </si>
  <si>
    <t>Purushothaman, V; McMann, T; Nali, M; Li, ZR; Cuomo, R; Mackey, TK</t>
  </si>
  <si>
    <t>Purushothaman, Vidya; McMann, Tiana; Nali, Matthew; Li, Zhuoran; Cuomo, Raphael; Mackey, Tim K.</t>
  </si>
  <si>
    <t>Content Analysis of Nicotine Poisoning (Nic Sick) Videos on TikTok: Retrospective Observational Infodemiology Study</t>
  </si>
  <si>
    <t>nic sick; vaping; tobacco; social media; TikTok; content analysis; smoking; nicotine; e-cigarette; adverse effects; public health; infodemiology</t>
  </si>
  <si>
    <t>Background: TikTok is a microvideo social media platform currently experiencing rapid growth and with 60% of its monthly users between the ages of 16 and 24 years. Increased exposure to e-cigarette content on social media may influence patterns of use, including the risk of overconsumption and possible nicotine poisoning, when users engage in trending challenges online. However, there is limited research assessing the characteristics of nicotine poisoning-related content posted on social media. Objective: We aimed to assess the characteristics of content on TikTok that is associated with a popular nicotine poisoning-related hashtag. Methods: We collected TikTok posts associated with the hashtag #nicsick, using a Python programming package (Selenium) and used an inductive coding approach to analyze video content and characteristics of interest. Videos were manually annotated to generate a codebook of the nicotine sickness-related themes. Statistical analysis was used to compare user engagement characteristics and video length in content with and without active nicotine sickness TikTok topics. Results: A total of 132 TikTok videos associated with the hashtag #nicsick were manually coded, with 52.3% (69/132) identified as discussing firsthand and secondhand reports of suspected nicotine poisoning symptoms and experiences. More than one-third of nicotine poisoning-related content (26/69, 37.68%) portrayed active vaping by users, which included content with vaping behavior such as vaping tricks and overconsumption, and 43% (30/69) of recorded users self-reported experiencing nicotine sickness, poisoning, or adverse events such as vomiting following nicotine consumption. The average follower count of users posting content related to nicotine sickness was significantly higher than that for users posting content unrelated to nicotine sickness (W=2350.5, P=.03). Conclusions: TikTok users openly discuss experiences, both firsthand and secondhand, with nicotine adverse events via the #nicsick hashtag including reports of overconsumption resulting in sickness. These study results suggest that there is a need to assess the utility of digital surveillance on emerging social media platforms for vaping adverse events, particularly on sites popular among youth and young adults. As vaping product use-patterns continue to evolve, digital adverse event detection likely represents an important tool to supplement traditional methods of public health surveillance (such as poison control center prevalence numbers).</t>
  </si>
  <si>
    <t>[Purushothaman, Vidya; McMann, Tiana; Nali, Matthew; Li, Zhuoran; Cuomo, Raphael; Mackey, Tim K.] Global Hlth Policy &amp; Data Inst, San Diego, CA USA; [Purushothaman, Vidya; Nali, Matthew; Cuomo, Raphael] Univ Calif San Diego, Dept Anesthesiol &amp; Infect Dis &amp; Global Publ Hlth, La Jolla, CA 92093 USA; [McMann, Tiana; Li, Zhuoran; Mackey, Tim K.] Univ Calif San Diego, Dept Anthropol, 9500 Gilman Dr Postal Code 0505, La Jolla, CA 92093 USA; [McMann, Tiana; Nali, Matthew; Li, Zhuoran; Mackey, Tim K.] S3 Res, San Diego, CA USA</t>
  </si>
  <si>
    <t>University of California System; University of California San Diego; University of California System; University of California San Diego</t>
  </si>
  <si>
    <t>Mackey, TK (corresponding author), Univ Calif San Diego, Dept Anthropol, 9500 Gilman Dr Postal Code 0505, La Jolla, CA 92093 USA.</t>
  </si>
  <si>
    <t>tmackey@ucsd.edu</t>
  </si>
  <si>
    <t>Cuomo, Raphael/KEH-3451-2024; Nali, Matthew/GNP-0209-2022; Mackey, Tim/H-9156-2013</t>
  </si>
  <si>
    <t>Cuomo, Raphael/0000-0002-8179-0619; Nali, Matthew/0000-0002-0565-8202; Mackey, Tim/0000-0002-2191-7833; Li, Zhuoran/0000-0001-6192-4301; McMann, Tiana/0000-0003-1964-5549</t>
  </si>
  <si>
    <t>University of California Tobacco-related Disease Research Program [T29IP0465, T29IP0384]</t>
  </si>
  <si>
    <t>University of California Tobacco-related Disease Research Program(University of California System)</t>
  </si>
  <si>
    <t>This study was funded by the University of California Tobacco-related Disease Research Program (T29IP0465 and T29IP0384) . We thank Cortni Bardier for her useful discussion, input, and assistance during the project.</t>
  </si>
  <si>
    <t>MAR 11</t>
  </si>
  <si>
    <t>e34050</t>
  </si>
  <si>
    <t>10.2196/34050</t>
  </si>
  <si>
    <t>0P1RS</t>
  </si>
  <si>
    <t>WOS:000784001500014</t>
  </si>
  <si>
    <t>Kesaria, S; Nguyen, QB; Hebert, A; Alam, M</t>
  </si>
  <si>
    <t>Kesaria, Sarah; Nguyen, Quoc-Bao; Hebert, Adelaide; Alam, Murad</t>
  </si>
  <si>
    <t>Hyaluron pens: A public safety issue compounded by TikTok</t>
  </si>
  <si>
    <t>MAR 25-29, 2022</t>
  </si>
  <si>
    <t>[Kesaria, Sarah] Galveston Sch Med, Univ Texas Med Branch, Galveston, TX USA; [Nguyen, Quoc-Bao; Hebert, Adelaide] UTHealth McGovern Med Sch, Dept Dermatol, Houston, TX USA; [Alam, Murad] Northwestern Univ, Feinberg Sch Med, Dept Dermatol, Chicago, IL USA</t>
  </si>
  <si>
    <t>University of Texas System; University of Texas Medical Branch Galveston; Northwestern University; Feinberg School of Medicine</t>
  </si>
  <si>
    <t>AB172</t>
  </si>
  <si>
    <t>6Q7LV</t>
  </si>
  <si>
    <t>WOS:000891793200683</t>
  </si>
  <si>
    <t>Diehl, K; Wisco, O; Simpson, E; Banh, M; Cantu, M; Price, K; Dao, T; Alcantara, C; Yu, T; Godil, S; Pham, Q; Hosseinian, K</t>
  </si>
  <si>
    <t>Diehl, K.; Wisco, O.; Simpson, E.; Banh, M.; Cantu, M.; Price, K.; Dao, T.; Alcantara, C.; Yu, T.; Godil, S.; Pham, Q.; Hosseinian, K.</t>
  </si>
  <si>
    <t>Tiktok promotes dietary treatment of atopic dermatitis</t>
  </si>
  <si>
    <t>Annual Meeting of the Society-for-Investigative-Dermatology (SID)</t>
  </si>
  <si>
    <t>MAY 15-18, 2024</t>
  </si>
  <si>
    <t>Dallas, TX</t>
  </si>
  <si>
    <t>Soc Investigat Dermatol</t>
  </si>
  <si>
    <t>[Diehl, K.; Banh, M.; Cantu, M.; Price, K.; Dao, T.; Alcantara, C.; Yu, T.; Godil, S.; Pham, Q.; Hosseinian, K.] Western Univ Hlth Sci, Pomona, CA USA; [Diehl, K.; Simpson, E.] Oregon Hlth &amp; Sci Univ, Dermatol, Portland, OR USA; [Simpson, E.] Brown Univ, Warren Alpert Med Sch, Dermatol, Providence, RI USA</t>
  </si>
  <si>
    <t>Western University of Health Sciences; Oregon Health &amp; Science University; Brown University</t>
  </si>
  <si>
    <t>S52</t>
  </si>
  <si>
    <t>ZQ9N0</t>
  </si>
  <si>
    <t>WOS:001276879001065</t>
  </si>
  <si>
    <t>Stormer, B; Chandler-Ofuya, N; Baker, AJL; Balin, T; Brassard, MR; Kagan, J; Rosenzweig, JF</t>
  </si>
  <si>
    <t>Stormer, Bri; Chandler-Ofuya, Naomi; Baker, Amy J. L.; Balin, Tara; Brassard, Marla R.; Kagan, Julia; Rosenzweig, Janet F.</t>
  </si>
  <si>
    <t>Caregiver Psychological Maltreatment Behaviors Toward Children on TikTok</t>
  </si>
  <si>
    <t>CHILD MALTREATMENT</t>
  </si>
  <si>
    <t>sharenting; TikTok; social norms on parenting; psychological maltreatment; emotional abuse and neglect</t>
  </si>
  <si>
    <t>DIAGNOSTIC-CRITERIA; YOUNG ADULTHOOD; EXPERIENCES; ABUSE; RELIABILITY; FORMS; NORMS</t>
  </si>
  <si>
    <t>We examined TikTok user engagement when parents post videos engaging in psychological maltreatment (PM) behaviors towards their children, using the APSAC-endorsed definition of PM. A new TikTok account was created and seeded with PM behavior videos identified previously; similar videos then appeared on the new account's For You Page (an algorithmic feed curated by TikTok). Researchers identified 35 creators who had posted at least one PM behavior video, resulting in their full profile being coded (N = 2684 videos) for five engagement metrics, presence of children, and presence of PM behavior. Non-parametric paired comparisons (Mann-Whitney tests) were made within individual creators for: (1) engagement metrics before and after the first PM behavior video, (2) engagement metrics for PM behavior videos versus non-PM videos, (3) engagement metrics for child videos versus non-child videos, and (4) proportion of videos containing children before and after the first PM video. All but one analysis was significant (effect sizes from .28 to .59, average r = .46). We discuss directions for future research, as well as how child welfare and content moderation policy can be updated to change social norms around sharenting.</t>
  </si>
  <si>
    <t>[Stormer, Bri] Illinois Act Children, Chicago, IL USA; [Chandler-Ofuya, Naomi; Baker, Amy J. L.; Balin, Tara] New York Foundling, New York, NY USA; [Brassard, Marla R.; Kagan, Julia] Columbia Univ, Teachers Coll, New York, NY USA; [Rosenzweig, Janet F.] Inst Human Serv, Columbus, OH USA; [Stormer, Bri] Illinois Act Children, 4753 N Broadway, Chicago, IL 60640 USA</t>
  </si>
  <si>
    <t>Columbia University Teachers College; Columbia University</t>
  </si>
  <si>
    <t>Stormer, B (corresponding author), Illinois Act Children, 4753 N Broadway, Chicago, IL 60640 USA.</t>
  </si>
  <si>
    <t>bri.stormer@gmail.com</t>
  </si>
  <si>
    <t>Brassard, Marla R/0000-0003-3521-698X; Stormer, Bri/0009-0002-7960-3578</t>
  </si>
  <si>
    <t>1077-5595</t>
  </si>
  <si>
    <t>1552-6119</t>
  </si>
  <si>
    <t>Child Maltreatment</t>
  </si>
  <si>
    <t>10.1177/10775595231211616</t>
  </si>
  <si>
    <t>Family Studies; Social Work</t>
  </si>
  <si>
    <t>G3N3K</t>
  </si>
  <si>
    <t>WOS:001101969900001</t>
  </si>
  <si>
    <t>Wang, X; Shang, Q</t>
  </si>
  <si>
    <t>Wang, Xin; Shang, Qian</t>
  </si>
  <si>
    <t>How do social and parasocial relationships on TikTok impact the well-being of university students? The roles of algorithm awareness and compulsive use</t>
  </si>
  <si>
    <t>Social relationships; User; Young people; Social media; Excessive use; Psychological well-being</t>
  </si>
  <si>
    <t>PROBLEMATIC SMARTPHONE USE; LIFE SATISFACTION; I AM; MEDIA; FACEBOOK; INTERNET; ANXIETY; FEAR; ADOLESCENTS; ADDICTION</t>
  </si>
  <si>
    <t>Social media now has emerged as one of the most widely used communication channels. The objective of this work is to verify the factors that influence the compulsive use of TikTok, as well as the mediating role of algorithm awareness, and to identify the predictors of well-being related to the use of TikTok. In the present work, the relevance of the study of PSRs and FoMO that affect the compulsive use of TikTok in young people is discussed. A total of 379 young university students (56.7 % girls) between 15 and 25 years old (M = 19.80; S.D. = 1.49) were surveyed using self-reports. Data treatment followed serial mediation through structural equation modeling. The results showed that exist significant relationships between these variables. Likewise, they reinforce the understanding of the diversity of the mechanisms of social and parasocial motivations on compulsive use and well-being. The results highlight the need to strengthen the training and education of young people in the appropriate and regulated use of TikTok in the university setting.</t>
  </si>
  <si>
    <t>[Wang, Xin] North China Inst Sci &amp; Technol, Dept Network &amp; New Media, Langfang, Peoples R China; [Shang, Qian] North China Inst Sci &amp; Technol, Dept Journalism, Langfang, Peoples R China</t>
  </si>
  <si>
    <t>North China Institute Science &amp; Technology; North China Institute Science &amp; Technology</t>
  </si>
  <si>
    <t>Wang, X (corresponding author), North China Inst Sci &amp; Technol, Dept Network &amp; New Media, 467 Xueyuan St, Langfang, Peoples R China.</t>
  </si>
  <si>
    <t>wangxin@ncist.edu.cn; 201701252sq@ncist.edu.cn</t>
  </si>
  <si>
    <t>Fundamental Research Funds for the Central Universities of China [3142020010]</t>
  </si>
  <si>
    <t>Fundamental Research Funds for the Central Universities of China(Fundamental Research Funds for the Central Universities)</t>
  </si>
  <si>
    <t>Funding This work was supported by the Fundamental Research Funds for the Central Universities of China [Grant number: 3142020010] .</t>
  </si>
  <si>
    <t>10.1016/j.actpsy.2024.104369</t>
  </si>
  <si>
    <t>XJ5M7</t>
  </si>
  <si>
    <t>WOS:001261329700001</t>
  </si>
  <si>
    <t>Reichelt, F</t>
  </si>
  <si>
    <t>Reichelt, Florian</t>
  </si>
  <si>
    <t>Fast Politics: Propaganda in the age of TikTok</t>
  </si>
  <si>
    <t>CAMBRIDGE REVIEW OF INTERNATIONAL AFFAIRS</t>
  </si>
  <si>
    <t>info@florianreichelt.com</t>
  </si>
  <si>
    <t>0955-7571</t>
  </si>
  <si>
    <t>1474-449X</t>
  </si>
  <si>
    <t>CAMB REV INT AFF</t>
  </si>
  <si>
    <t>Camb. Rev. Int. Aff.</t>
  </si>
  <si>
    <t>10.1080/09557571.2024.2390265</t>
  </si>
  <si>
    <t>I2V1A</t>
  </si>
  <si>
    <t>WOS:001308053100001</t>
  </si>
  <si>
    <t>Wu, JY; Greene, M; Happ, M; Trahair, E; Montoya, M; Swartz, JJ</t>
  </si>
  <si>
    <t>Wu, Jenny; Greene, Melissa; Happ, Megan; Trahair, Esme; Montoya, Melissa; Swartz, Jonas J.</t>
  </si>
  <si>
    <t>Medication abortion on TikTok: misinformation or reliable resource?</t>
  </si>
  <si>
    <t>[Wu, Jenny; Montoya, Melissa] Duke Univ, Med Ctr, Dept Obstet &amp; Gynecol, Durham, NC 27710 USA; [Greene, Melissa; Happ, Megan; Trahair, Esme] Duke Sch Med, Durham, NC USA; [Swartz, Jonas J.] Duke Univ, Med Ctr, Dept Obstet &amp; Gynecol, Div Womens Community &amp; Populat Hlth, Durham, NC USA</t>
  </si>
  <si>
    <t>Duke University; Duke University; Duke University</t>
  </si>
  <si>
    <t>Wu, JY (corresponding author), Duke Univ, Med Ctr, Dept Obstet &amp; Gynecol, Durham, NC 27710 USA.</t>
  </si>
  <si>
    <t>jw371@duke.edu</t>
  </si>
  <si>
    <t>Wu, Jenny/JLD-1660-2023</t>
  </si>
  <si>
    <t>Swartz, Jonas/0000-0002-9726-965X; Trahair, Esme/0000-0001-6941-703X; Happ, Megan/0009-0008-4069-9895; Wu, Jenny/0000-0003-1424-544X; Greene, Melissa/0009-0007-6832-5310</t>
  </si>
  <si>
    <t>Eunice Kennedy Shriver National Institute of Child Health and Human Development [K12HD103083]</t>
  </si>
  <si>
    <t>Eunice Kennedy Shriver National Institute of Child Health and Human Development(United States Department of Health &amp; Human ServicesNational Institutes of Health (NIH) - USANIH Eunice Kennedy Shriver National Institute of Child Health &amp; Human Development (NICHD))</t>
  </si>
  <si>
    <t>This study was supported by funding from the Eunice Kennedy Shriver National Institute of Child Health and Human Development under award number K12HD103083. The content is solely the responsibility of the authors and does not necessarily represent the official views of the National Institutes of Health. J.J.S. reports receiving personal fees as a contraceptive implant placement trainer for Organon.</t>
  </si>
  <si>
    <t>10.1016/j.ajog.2023.01.023</t>
  </si>
  <si>
    <t>K8CE8</t>
  </si>
  <si>
    <t>Green Accepted, Bronze</t>
  </si>
  <si>
    <t>WOS:001018655500001</t>
  </si>
  <si>
    <t>Perez-escolar, M; Alcaide-pulido, P; DEL Toro, A</t>
  </si>
  <si>
    <t>Perez-escolar, Marta; Alcaide-pulido, Purificacion; Del Toro, Andres</t>
  </si>
  <si>
    <t>NEW INFORMATION REFERENTS OF Z GENERATION STUDYING THE ROLE OF INFLUENCERS IN TIKTOK AS CONTENT DISSEMINATORS</t>
  </si>
  <si>
    <t>Information consumption; spreading news; reporter; influencer; Z generation; social networks; information mentors; TikTok</t>
  </si>
  <si>
    <t>FAKE NEWS; UNIVERSITY; YOUTUBE</t>
  </si>
  <si>
    <t>According to the results of the Edelman Trust Barometer, in 2022, post-pandemic, citizens have lost trust in businesses, governments, NGOs and the media. Faced with this, and without a trusted source of leadership that users can turn to, many influencers have decided to take advantage of their TikTok channels to educate society and, above all, young people -who are mainly informed through social networks. Thus, influencers act as information references and the new journalists for the so-called Z generation. Therefore, the aim of this study is to analyse, through a mixed methodology-quantitative and qualitative-, the activity of seven information disseminating influencers on TikTok. These seven accounts were selected because they are particularly well-known in Spain and popular for their literacy power: @charleyokei, @doctorfision, @cienciascomportamiento, @ farmaceuticofernandez, @lawtips, @ladyscience, and @raquelmascaraque. The results obtained shed light on the audience's reactions to the discursive strategies and informational intentions of each profile. In conclusion, we observed that the narrative and audiovisual strategies, among other parameters, used by each influencer in their videos determine not only the positive reactions and comments from subscribers, but also the degree of identification of young people from generation Z with these informational references on TikTok.</t>
  </si>
  <si>
    <t>[Perez-escolar, Marta; Alcaide-pulido, Purificacion; Del Toro, Andres] Univ Loyola Andalucia, Seville, Spain</t>
  </si>
  <si>
    <t>Perez-escolar, M (corresponding author), Univ Loyola Andalucia, Seville, Spain.</t>
  </si>
  <si>
    <t>MARTAPEREZ@ULOYOLA.ES; PALCAIDE@ULOYOLA.ES; ATORO@ULOYOLA.ES</t>
  </si>
  <si>
    <t>Pérez-Escolar, Marta/C-2678-2015; Alcaide-Pulido, Purificación/F-4670-2016</t>
  </si>
  <si>
    <t>WOS:000928070100012</t>
  </si>
  <si>
    <t>Banet-Weiser, S; Maddocks, S</t>
  </si>
  <si>
    <t>Boyle, K; Berridge, S</t>
  </si>
  <si>
    <t>Banet-Weiser, Sarah; Maddocks, Sophie</t>
  </si>
  <si>
    <t>NETWORKED MISOGYNY ON TIKTOK A critical conjuncture</t>
  </si>
  <si>
    <t>ROUTLEDGE COMPANION TO GENDER, MEDIA AND VIOLENCE</t>
  </si>
  <si>
    <t>Routledge Companions to Gender</t>
  </si>
  <si>
    <t>VIOLENCE</t>
  </si>
  <si>
    <t>[Banet-Weiser, Sarah; Maddocks, Sophie] Univ Penn, Annenberg Sch Commun, Philadelphia, PA 19104 USA; [Banet-Weiser, Sarah] Univ Southern Calif, Commun, Annenberg Sch Commun &amp; Journalism, Los Angeles, CA 90007 USA; [Banet-Weiser, Sarah] Ctr Collaborat Commun Annenberg Sch CCAS, Philadelphia, PA 19104 USA</t>
  </si>
  <si>
    <t>University of Pennsylvania; University of Southern California</t>
  </si>
  <si>
    <t>Banet-Weiser, S (corresponding author), Univ Penn, Annenberg Sch Commun, Philadelphia, PA 19104 USA.;Banet-Weiser, S (corresponding author), Univ Southern Calif, Commun, Annenberg Sch Commun &amp; Journalism, Los Angeles, CA 90007 USA.;Banet-Weiser, S (corresponding author), Ctr Collaborat Commun Annenberg Sch CCAS, Philadelphia, PA 19104 USA.</t>
  </si>
  <si>
    <t>Maddocks, Sophie/V-4007-2019</t>
  </si>
  <si>
    <t>978-1-032-06138-2; 978-1-003-20087-1; 978-1-032-06136-8</t>
  </si>
  <si>
    <t>Routledge Compani Ge</t>
  </si>
  <si>
    <t>10.4324/9781003200871-41</t>
  </si>
  <si>
    <t>10.4324/9781003200871</t>
  </si>
  <si>
    <t>Cultural Studies; Communication; Social Issues; Women's Studies</t>
  </si>
  <si>
    <t>BW9OP</t>
  </si>
  <si>
    <t>WOS:001216393200038</t>
  </si>
  <si>
    <t>Matamoros-Fernández, A; Rodriguez, A; Wikström, P</t>
  </si>
  <si>
    <t>Matamoros-Fernandez, Ariadna; Rodriguez, Aleesha; Wikstrom, Patrik</t>
  </si>
  <si>
    <t>Humor That Harms? Examining Racist Audio-Visual Memetic Media on TikTok During Covid-19</t>
  </si>
  <si>
    <t>Blackface; humor; memes; online harms; racism; social media; sonic color line; stereotypes; TikTok; yellowface</t>
  </si>
  <si>
    <t>RACE; FACEBOOK</t>
  </si>
  <si>
    <t>During times of crisis such as the Covid-19 pandemic, digital platforms are under public scrutiny to guarantee users' online safety and wellbeing. Following inconsistencies in how platforms moderate online content and behavior, governments around the world are putting pressure on them to curb the spread of illegal and lawful harmful content and behavior (e.g., UK's Draft Online Safety Bill). These efforts, though, mainly focus on overt abuse and false information, which misses more mundane social media practices such as racial stereotyping that are equally popular and can be inadvertently harmful. Building on Stoever's (2016) work on the sonic color line, this article problematizes sound, specifically, as a key element in racializing memetic practices on the popular short-video platform TikTok. We examine how humorous audio-visual memes about Covid-19 on TikTok contribute to social inequality by normalizing racial stereotyping, as facilitated through TikTok's Use This Sound feature. We found that users' appropriations of sounds and visuals on TikTok, in combination with the platform's lack of clear and transparent moderation processes for humorous content, reinforce and (re)produce systems of advantage based on race. Our article contributes to remediating the consistent downplaying of humor that negatively stereotypes historically marginalized communities. It also advances work on race and racism on social media by foregrounding the sonification of race as means for racism's evolving persistence, which represents a threat to social cohesion.</t>
  </si>
  <si>
    <t>[Matamoros-Fernandez, Ariadna; Rodriguez, Aleesha; Wikstrom, Patrik] Queensland Univ Technol, Digital Media Res Ctr, Brisbane, Qld, Australia; [Matamoros-Fernandez, Ariadna; Rodriguez, Aleesha; Wikstrom, Patrik] Queensland Univ Technol, Sch Commun, Sydney, NSW, Australia</t>
  </si>
  <si>
    <t>Queensland University of Technology (QUT); Queensland University of Technology (QUT)</t>
  </si>
  <si>
    <t>Matamoros-Fernández, A (corresponding author), Queensland Univ Technol, Digital Media Res Ctr, Brisbane, Qld, Australia.;Matamoros-Fernández, A (corresponding author), Queensland Univ Technol, Sch Commun, Sydney, NSW, Australia.</t>
  </si>
  <si>
    <t>Rodriguez, Aleesha/0000-0002-9898-2561; Matamoros Fernandez, Ariadna/0000-0003-2149-3820; Wikstrom, Patrik/0000-0003-4720-0416</t>
  </si>
  <si>
    <t>Queensland University of Technology</t>
  </si>
  <si>
    <t>Ariadna Matamoros-Fernandez would like to thank the Queensland University of Technology for the funding received under the QUT Early Career Researcher Scheme 2020 for her project Digital Blackface and the Limits of Humor on Social Media.</t>
  </si>
  <si>
    <t>10.17645/mac.v10i2.5154</t>
  </si>
  <si>
    <t>1X8QJ</t>
  </si>
  <si>
    <t>WOS:000807714800006</t>
  </si>
  <si>
    <t>Aragon-Guevara, D; Castle, G; Sheridan, E; Vivanti, G</t>
  </si>
  <si>
    <t>Aragon-Guevara, Diego; Castle, Grace; Sheridan, Elisabeth; Vivanti, Giacomo</t>
  </si>
  <si>
    <t>The Reach and Accuracy of Information on Autism on TikTok</t>
  </si>
  <si>
    <t>JOURNAL OF AUTISM AND DEVELOPMENTAL DISORDERS</t>
  </si>
  <si>
    <t>Autism; Social media; Public health; Policy; Stakeholder outcomes</t>
  </si>
  <si>
    <t>COVID-19 INFORMATION</t>
  </si>
  <si>
    <t>Purpose: Although social media platforms have made information about autism more accessible to the general public, concerns have been raised about the unfiltered nature of the content they host. In the current study, we examined the reach and accuracy of videos providing informational content about autism on TikTok, a popular social media platform. Methods: We examined engagement indicators (including views and likes) for the TikTok videos associated with the #Autism hashtag. Two coders independently fact-checked informational content of the most viewed videos from the #Autism hashtag videos and coded it as either accurate, inaccurate or 'overgeneralization' based on the consistency of the information in the videos with current knowledge on autism. Results: Videos associated with the #Autism hashtag accrued 11.5 billion views collectively. An examination of the top 133 videos providing informational content on autism, which totaled 198.7 million views and 25.2 million likes, showed that 27% of the videos were classified as accurate, while 41% were classified as inaccurate and 32% as overgeneralized. There were no significant differences in engagement between accurate and inaccurate/overgeneralized videos. Videos created by healthcare professionals were more likely to include accurate information. Conclusion: The informational content about autism made available on TikTok reaches a wide number of people. Most of the information provided, however, appears to be misaligned with current knowledge. It is important for healthcare providers and other professionals to be aware of the autism-related content being shared on TikTok so that they can better engage with the large community of TikTok users.</t>
  </si>
  <si>
    <t>[Aragon-Guevara, Diego] Drexel Univ, Dept Psychol &amp; Brain Sci, Philadelphia, PA USA; [Sheridan, Elisabeth; Vivanti, Giacomo] Drexel Univ, AJ Drexel Autism Inst, 3020 Market St 560, Philadelphia, PA 19104 USA; [Castle, Grace] Drexel Univ, Dornsife Sch Publ Hlth, Philadelphia, PA USA</t>
  </si>
  <si>
    <t>Drexel University; Drexel University; Drexel University</t>
  </si>
  <si>
    <t>Vivanti, G (corresponding author), Drexel Univ, AJ Drexel Autism Inst, 3020 Market St 560, Philadelphia, PA 19104 USA.</t>
  </si>
  <si>
    <t>gv89@drexel.edu</t>
  </si>
  <si>
    <t>Vivanti, Giacomo/AAH-3964-2020</t>
  </si>
  <si>
    <t>Aragon-Guevara, Diego/0009-0003-1487-522X; Sheridan, Elisabeth/0000-0001-9960-3490; Vivanti, Giacomo/0000-0002-4034-9157</t>
  </si>
  <si>
    <t>SPRINGER/PLENUM PUBLISHERS</t>
  </si>
  <si>
    <t>233 SPRING ST, NEW YORK, NY 10013 USA</t>
  </si>
  <si>
    <t>0162-3257</t>
  </si>
  <si>
    <t>1573-3432</t>
  </si>
  <si>
    <t>J AUTISM DEV DISORD</t>
  </si>
  <si>
    <t>J. Autism Dev. Disord.</t>
  </si>
  <si>
    <t>2023 AUG 6</t>
  </si>
  <si>
    <t>10.1007/s10803-023-06084-6</t>
  </si>
  <si>
    <t>Psychology, Developmental</t>
  </si>
  <si>
    <t>O4LX1</t>
  </si>
  <si>
    <t>WOS:001043556800002</t>
  </si>
  <si>
    <t>Mendoza, MEH</t>
  </si>
  <si>
    <t>Mendoza, Maria Elize H.</t>
  </si>
  <si>
    <t>Philippine Elections 2022: TikTok in Bongbong Marcos' Presidential Campaign</t>
  </si>
  <si>
    <t>CONTEMPORARY SOUTHEAST ASIA</t>
  </si>
  <si>
    <t>[Mendoza, Maria Elize H.] Univ Philippines, Polit Sci, Diliman, Philippines; [Mendoza, Maria Elize H.] Univ Philippines, Diliman 1001, Philippines</t>
  </si>
  <si>
    <t>University of the Philippines System; University of the Philippines Diliman; University of the Philippines System; University of the Philippines Diliman</t>
  </si>
  <si>
    <t>Mendoza, MEH (corresponding author), Univ Philippines, Polit Sci, Diliman, Philippines.;Mendoza, MEH (corresponding author), Univ Philippines, Diliman 1001, Philippines.</t>
  </si>
  <si>
    <t>mhmendoza@up.edu.ph</t>
  </si>
  <si>
    <t>Mendoza, Maria Elize/JND-8460-2023</t>
  </si>
  <si>
    <t>INST SOUTHEAST ASIAN STUDIES-ISEAS</t>
  </si>
  <si>
    <t>PASIR PANJANG</t>
  </si>
  <si>
    <t>30 HENG MUI KING TERACE, PASIR PANJANG, 119614, SINGAPORE</t>
  </si>
  <si>
    <t>0129-797X</t>
  </si>
  <si>
    <t>1793-284X</t>
  </si>
  <si>
    <t>CONTEMP SE ASIA</t>
  </si>
  <si>
    <t>Contemp. Southeast Asia</t>
  </si>
  <si>
    <t>Area Studies; International Relations; Political Science</t>
  </si>
  <si>
    <t>Area Studies; International Relations; Government &amp; Law</t>
  </si>
  <si>
    <t>G0YY2</t>
  </si>
  <si>
    <t>WOS:000986527700005</t>
  </si>
  <si>
    <t>Palermo, M</t>
  </si>
  <si>
    <t>Palermo, Massimo</t>
  </si>
  <si>
    <t>THE MULTIMODAL REPRESENTATION OF DIALECTS ON TIKTOK</t>
  </si>
  <si>
    <t>ITALIANO LINGUADUE</t>
  </si>
  <si>
    <t>[Palermo, Massimo] Univ Siena, Siena, Italy</t>
  </si>
  <si>
    <t>University of Siena</t>
  </si>
  <si>
    <t>Palermo, M (corresponding author), Univ Siena, Siena, Italy.</t>
  </si>
  <si>
    <t>Palermo, Massimo/IZE-2523-2023</t>
  </si>
  <si>
    <t>2037-3597</t>
  </si>
  <si>
    <t>ITAL LINGUADUE</t>
  </si>
  <si>
    <t>Ital. LinguaDue</t>
  </si>
  <si>
    <t>D3UA9</t>
  </si>
  <si>
    <t>WOS:000967999800007</t>
  </si>
  <si>
    <t>Schukow, CP; Herman, MK; Kochanowski, J; Hansma, PA</t>
  </si>
  <si>
    <t>Schukow, Casey P.; Herman, Meredith K.; Kochanowski, Julia; Hansma, Patrick A.</t>
  </si>
  <si>
    <t>Modernizing Forensic Pathology Education on TikTok: Lessons Learned on this Social Media Frontier</t>
  </si>
  <si>
    <t>[Schukow, Casey P.] Corewell Hlth Beaumont Hosp, Dept Pathol, Royal Oak, MI 48073 USA; [Herman, Meredith K.] Univ Michigan, Dept Pathol, Ann Arbor, MI USA; [Kochanowski, Julia] Univ North Dakota, Sch Med &amp; Hlth Sci, Dept Pathol, Grand Forks, ND USA; [Hansma, Patrick A.] Western Michigan Univ, Homer Stryker MD Sch Med, Dept Pathol, Kalamazoo, MI USA</t>
  </si>
  <si>
    <t>University of Michigan System; University of Michigan; University of North Dakota Grand Forks; Western Michigan University</t>
  </si>
  <si>
    <t>Schukow, CP (corresponding author), Corewell Hlth Beaumont Hosp, Dept Pathol, Royal Oak, MI 48073 USA.</t>
  </si>
  <si>
    <t>casey.schukow@gmail.com; meredithkherman@gmail.com; juliak20@gmail.com; Patrick.Hansma@wmed.edu</t>
  </si>
  <si>
    <t>10.1097/PAP.0000000000000437</t>
  </si>
  <si>
    <t>TM1S9</t>
  </si>
  <si>
    <t>WOS:001241593800008</t>
  </si>
  <si>
    <t>Krings, M; Nwankwo, I</t>
  </si>
  <si>
    <t>Krings, Matthias; Nwankwo, Izuu</t>
  </si>
  <si>
    <t>Playing with Difference: Oyibo Lip-Sync Performances of Nigerian Popular Culture on TikTok</t>
  </si>
  <si>
    <t>JOURNAL OF AFRICAN CULTURAL STUDIES</t>
  </si>
  <si>
    <t>Nigeria; Oyibo; popular culture; lip-syncing; social media; TikTok; audience research</t>
  </si>
  <si>
    <t>Following the surge in global consumption of Nigerian music and film, non-African content creators are now part of the emerging group of people participating in the production and circulation of African, specifically Nigerian, popular culture on social media. This article provides a scholarly interrogation of these emerging transracial online enactments, with a particular focus on these performers' use of lip-syncing to audio texts originally created by Nigerian artists. We examine the performances of three Oyibos (light-skinned foreigners) who create short videos on TikTok, arguing that through lip-syncing, each of them becomes part of networked publics built around Nigerian content and facilitated by the social media application TikTok. The article takes an audience-centred approach. Through focus group interviews with potential audiences in Nigeria, we seek to understand the meanings that Nigerian viewers (and potential members of these networked publics) derive from such clips and the transgressive play with difference that they entail.</t>
  </si>
  <si>
    <t>[Krings, Matthias] Johannes Gutenberg Univ Mainz, Dept Anthropol &amp; African Studies, Mainz, Germany; [Nwankwo, Izuu] Univ Toronto, Ctr Drama Theatre &amp; Performance Studies, Toronto, ON, Canada</t>
  </si>
  <si>
    <t>Johannes Gutenberg University of Mainz; University of Toronto</t>
  </si>
  <si>
    <t>Krings, M (corresponding author), Johannes Gutenberg Univ Mainz, Dept Anthropol &amp; African Studies, Mainz, Germany.</t>
  </si>
  <si>
    <t>krings@uni-mainz.de</t>
  </si>
  <si>
    <t>Deutsche Forschungsgemeinschaft [442261292]</t>
  </si>
  <si>
    <t>Deutsche Forschungsgemeinschaft(German Research Foundation (DFG))</t>
  </si>
  <si>
    <t>This work was supported by Deutsche Forschungsgemeinschaft: [Grant Number 442261292].</t>
  </si>
  <si>
    <t>1369-6815</t>
  </si>
  <si>
    <t>1469-9346</t>
  </si>
  <si>
    <t>J AFR CULT STUD</t>
  </si>
  <si>
    <t>J. Afr. Cult. Stud.</t>
  </si>
  <si>
    <t>2024 NOV 8</t>
  </si>
  <si>
    <t>10.1080/13696815.2024.2415355</t>
  </si>
  <si>
    <t>M1D8E</t>
  </si>
  <si>
    <t>WOS:001355025100001</t>
  </si>
  <si>
    <t>Wu, JX; Fetterman, JL; Ross, JC; Hong, TC</t>
  </si>
  <si>
    <t>Wu, Jiaxi; Fetterman, Jessica L.; Ross, Jennifer Cornacchione; Hong, Traci</t>
  </si>
  <si>
    <t>Quitting on TikTok: Effects of Message Themes, Frames, and Sources on Engagement with Vaping Cessation Videos</t>
  </si>
  <si>
    <t>RELATIVE PERSUASIVENESS; SOCIAL MEDIA; INFORMATION; PERCEPTIONS; PREVENTION; BEHAVIOR; CREDIBILITY; CAMPAIGNS; EMOTIONS; YOUTH</t>
  </si>
  <si>
    <t>This study examined how message themes, frames, and sources in vaping cessation videos on TikTok influenced positive (i.e. likes, shares, positive comments regarding quitting vaping) and negative video engagement (i.e. negative comments regarding quitting vaping). TikTok videos (N = 412) with the hashtags #quitvaping and #quittingvaping were analyzed. Aspect-based sentiment analysis was conducted to evaluate the sentiment of quitting vaping in comments. Negative binomial regression models predicted video engagement from six message themes, ratios of gain and loss frames, and message sources. Themes related to nicotine addiction and physical health effectively drove positive engagement, such as likes and shares. The theme of harmful chemicals elicited mixed responses, generating both positive and negative comments regarding quitting vaping. Videos with a higher ratio of gain frames led to more positive engagement, including likes, shares, and positive comments regarding quitting vaping. Sources with informal expertise (e.g. those who have successfully quit vaping) and current e-cigarette users were more effective in engaging the TikTok audience than non-expert and non-user sources. These findings provide insights into messaging strategies that can effectively engage TikTok audiences and encourage vaping cessation.</t>
  </si>
  <si>
    <t>[Wu, Jiaxi] Univ Penn, Annenberg Sch Commun, Philadelphia, PA 19104 USA; [Fetterman, Jessica L.] Boston Univ Chobanian, Evans Dept Med, Boston, MA USA; [Fetterman, Jessica L.] Boston Univ Chobanian, Whitaker Cardiovasc Inst, Boston, MA USA; [Fetterman, Jessica L.] Avedisian Sch Med, Boston, MA USA; [Ross, Jennifer Cornacchione] Boston Univ, Sch Publ Hlth, Dept Hlth Law Policy &amp; Management, Boston, MA USA; [Hong, Traci] Boston Univ, Coll Commun, Boston, MA USA</t>
  </si>
  <si>
    <t>University of Pennsylvania; Boston University; Boston University</t>
  </si>
  <si>
    <t>Wu, JX (corresponding author), Univ Penn, Annenberg Sch Commun, Philadelphia, PA 19104 USA.</t>
  </si>
  <si>
    <t>jiaxi.wu@asc.upenn.edu</t>
  </si>
  <si>
    <t>Wu, Jiaxi/0000-0001-5004-9492</t>
  </si>
  <si>
    <t>10.1080/10810730.2024.2394774</t>
  </si>
  <si>
    <t>F4E7Z</t>
  </si>
  <si>
    <t>WOS:001298440900001</t>
  </si>
  <si>
    <t>Liang, YQ; Yoon, S</t>
  </si>
  <si>
    <t>Liang, Ya Qing; Yoon, Sungjoon</t>
  </si>
  <si>
    <t>Uncovering the Cognitive, Psychological, and Social Mechanisms Affecting TikTok's Reuse Intention: Verifying the Role of Platform Characteristics, Psychological Distance, and Social Identity</t>
  </si>
  <si>
    <t>platform characteristics; social network; user attachment; user engagement; psychological distance; social identity</t>
  </si>
  <si>
    <t>SELF-PRESENTATION; CONSEQUENCES; ANTECEDENTS; ATTACHMENT</t>
  </si>
  <si>
    <t>With the consumption of user generated online contents content increasing rapidly, the short clip market in China is fast growing. TikTok, a leading short clip platform, has achieved great business success. However, there is not much research done on TikTok platform from the current customers' social and psychological viewpoints. Against this background, this study aims to verify the cognitive, emotional and behavioral pre-cursors of platform reuse decision by focusing on the platform's informational contents, users' network traits, user attachment, user engagement, psychological distance, and social identity. This way, this study extends the current understanding on the antecedent factors affecting users' behavioral intention of TikTok through broader perspectives including social and psychological predictors. During October 2021, an online questionnaire survey was administered in China. On the subject of TikTok platform. Firstly, the study found that both information characteristics and social network traits significantly affect the user engagement as well as attachment. Secondly, both the user attachment and engagement have a significant impact on reuse intention. Thirdly, the psychological distance plays a significant moderating role in the relationship between bridging network and attachment. Finally, the social identity significantly moderates the relationship between bridging network and user engagement. The study result is expected to add to the current literature which has not examined the antecedent factors affecting users' reuse intention of TikTok from broader aspects including social and psychological variables.</t>
  </si>
  <si>
    <t>[Liang, Ya Qing] Kyonggi Univ, Suwon, South Korea; [Yoon, Sungjoon] Kyonggi Univ, Dept Business Adm, Suwon, South Korea; [Yoon, Sungjoon] Kyonggi Univ, Dept Business Adm, Yeongtonggu Gwanggyosanro 154-42, Suwon 16227, South Korea</t>
  </si>
  <si>
    <t>Kyonggi University; Kyonggi University; Kyonggi University</t>
  </si>
  <si>
    <t>Yoon, S (corresponding author), Kyonggi Univ, Dept Business Adm, Yeongtonggu Gwanggyosanro 154-42, Suwon 16227, South Korea.</t>
  </si>
  <si>
    <t>sjyoon@kgu.ac.kr</t>
  </si>
  <si>
    <t>10.1177/20594364221131134</t>
  </si>
  <si>
    <t>6S4KU</t>
  </si>
  <si>
    <t>WOS:000892958800002</t>
  </si>
  <si>
    <t>Samuel, L; Kuijpers, K; Bleakley, A</t>
  </si>
  <si>
    <t>Samuel, Litty; Kuijpers, Katelynn; Bleakley, Amy</t>
  </si>
  <si>
    <t>TherapyTok for Depression and Anxiety: A Quantitative Content Analysis of High Engagement TikTok Videos</t>
  </si>
  <si>
    <t>Anxiety; Adolescents; Content analysis; Depression; Media literacy; Mental illness; Self-diagnosis; Therapy; TikTok; Young adults</t>
  </si>
  <si>
    <t>SOCIAL MEDIA; SEEKING</t>
  </si>
  <si>
    <t>Purpose: TikTok is increasingly becoming a source of health information, peer support, and validation regarding mental health. The goal of this study was to analyze the content of TikTok videos related to depression and anxiety. Methods: The sample included 100 videos, each with at least a million views, discussing either depression, anxiety, or both. The videos were retrieved from hashtag searches. The videos were coded for the type of mental health condition; speci fic content being discussed (e.g., symptoms or treatment); video presentation (i.e., personal experience, expert information, or general discussion), and more subcategories. Engagement statistics (i.e., likes, views, reposts, and number of comments) for each video were also recorded. Results: The engagement statistics were higher for personal experience videos than for videos from healthcare professionals. Anxiety was the subject of 57% of the videos irrespective of the search hashtags, and over two-thirds of the videos were created by females. The most discussed topics included the description or enactment of depression/anxiety symptoms (e.g., emotional displays); mention of being diagnosed by a healthcare professional was the least prevalent. Discussion: These results suggest that depression and anxiety videos featuring personal experiences are prevalent on TikTok with higher engagement compared to similar videos by health professionals. The attribution of generic symptoms to these mental health conditions may result in self -diagnosis. There is a need for more strategic efforts to ensure quality of health content on TikTok and increased focus on digital health literacy to make young social media users critical consumers of online content. (c) 2024 Society for Adolescent Health and Medicine. All rights reserved.</t>
  </si>
  <si>
    <t>[Samuel, Litty; Kuijpers, Katelynn; Bleakley, Amy] Univ Delaware, Dept Commun, 250 Pearson Hall, Newark, DE 19716 USA</t>
  </si>
  <si>
    <t>University of Delaware</t>
  </si>
  <si>
    <t>Samuel, L (corresponding author), Univ Delaware, Dept Commun, 250 Pearson Hall, Newark, DE 19716 USA.</t>
  </si>
  <si>
    <t>litty@udel.edu</t>
  </si>
  <si>
    <t>Kuijpers, Katelynn/0009-0009-6013-8486; Bleakley, Amy/0000-0002-4539-4424; Samuel, Litty/0009-0004-8341-124X</t>
  </si>
  <si>
    <t>10.1016/j.jadohealth.2024.02.002</t>
  </si>
  <si>
    <t>TQ8O6</t>
  </si>
  <si>
    <t>WOS:001242819300002</t>
  </si>
  <si>
    <t>Gilmore, D; Radford, D; Haas, MK; Shields, M; Bishop, L; Hand, B</t>
  </si>
  <si>
    <t>Gilmore, Daniel; Radford, Deondray; Haas, Meghan K.; Shields, Morgan; Bishop, Lauren; Hand, Brittany</t>
  </si>
  <si>
    <t>Building Community and Identity Online: A Content Analysis of Highly Viewed #Autism TikTok Videos</t>
  </si>
  <si>
    <t>AUTISM IN ADULTHOOD</t>
  </si>
  <si>
    <t>autism; TikTok; social media</t>
  </si>
  <si>
    <t>MENTAL-HEALTH; SOCIAL MEDIA; INFORMATION; DISORDER; CHILDREN; SUPPORT; STORY</t>
  </si>
  <si>
    <t>Background: TikTok is a popular social media site for connecting with others online where many users also access and share health-related information. Previous studies have characterized information shared about specific disabilities on TikTok, but descriptions of autism-related content are lacking. Understanding the information shared about autism on TikTok is important to understanding health communication in this space, the lived experiences of autistic people, and the role that social media platforms play in building community through connection, understanding, and inclusion.Methods: We used an open-source data scraper to identify and download videos with at least 1 million views and that used the hashtag #autism from TikTok. Using a joint inductive and deductive approach, we performed a content analysis of videos. We identified six content topics that described video content (e.g., positive social interactions and features of autism), and three categories that described video purpose (e.g., educational, experiential, and observational). We used descriptive statistics to describe characteristics of who was in the TikTok videos.Results: We analyzed n = 678 videos. The most common content topic of TikTok videos was features of autism (39.7%), followed by marginalization (25.4%). Most videos were categorized as experiential (61.4%) or observational (31.4%) rather than educational (7.2%). Approximately 65.5% of videos featured an autistic adult and 22.6% featured an autistic child. Among videos featuring an autistic person (n = 594), most autistic people were perceived to be White (87.0%) with similar numbers of feminine (52.9%) and masculine (44.8%) presenting autistic people.Conclusions: Highly viewed #autism TikTok videos primarily share autistic people's individual experiences rather than providing general education about autism. However, autistic Black, Indigenous, and people of color may have difficulty finding others that represent them along both disability and racial dimensions. Future research should investigate autistic people's motivations for using TikTok, and how #autism content shapes social discourse about autism. Community brief What was the purpose of this study?We wanted to describe information about autism that is highly viewed on TikTok to better understand what people see, hear, and learn about autism online. Autism content on TikTok can help autistic people find others with similar experiences and build community and can shape the way nonautistic people view and interact with autistic people. What did the researchers do?We downloaded videos from TikTok that used the hashtag #autism and had at least 1 million views. We watched the videos and assigned each video a content topic and a category. Content topics described the content of the video and categories described the purpose of the video. What were the results of the study?We included 678 videos grouped into six content topics: (1) features of autism, which included videos about restrictive and repetitive behaviors, social and communication differences, associated core experiences, and talents; (2) marginalization, which included videos about lack of access, stigma and misconceptions, and inspiration porn; (3) supports, which included accommodations, services and interventions, and caregiving; (4) positive social interactions; (5) daily life; and (6) miscellaneous/other.The most common content topic was features of autism (39.7%), followed by marginalization (25.4%). The least common content topic was positive social interactions (5.2%). The most common category of videos was experiential (61.4%), followed by observational (31.4%) and educational (7.2%). More than half of the videos included an autistic adult, and about a quarter included an autistic child. Among the videos that included an autistic person, most autistic people were perceived to be White, and there were similar numbers of masculine and feminine-presenting autistic people. What do these findings add to what was already known?We know that many autistic people like to communicate online and use social media. These findings show that most of the content about autism on TikTok involves autistic people sharing their life experiences instead of providing facts or education about autism. Because autistic people from diverse backgrounds were less often present in videos, these individuals may have difficulty connecting with each other on TikTok. What are potential weaknesses in this study?We did not download TikTok videos while logged into a user account, so the videos we included may be different than the videos shown to an individual user who searches #autism. The way that we categorized videos may have been different from how others would have done so. We did not include less-viewed videos in the study, which could have had different content topics. Our perceptions of the gender, race, and ethnicity of people in videos may not reflect how they would self-identify. How will these findings help autistic adults now or in the future?These findings may be helpful for autistic adults who are looking for online community building with other autistic people. Because many autistic people shared their lived experiences, these findings may promote understanding and acceptance of autistic people by nonautistic people.</t>
  </si>
  <si>
    <t>[Gilmore, Daniel; Radford, Deondray; Hand, Brittany] Ohio State Univ, Sch Hlth &amp; Rehabil Sci, Columbus, OH USA; [Haas, Meghan K.; Bishop, Lauren] Univ Wisconsin Madison, Sandra Rosenbaum Sch Social Work, Madison, WI USA; [Shields, Morgan] Washington Univ St Louis, St Louis, MO USA; [Gilmore, Daniel] Ohio State Univ, Coll Med, Sch Hlth &amp; Rehabil Sci, Columbus, OH 43210 USA</t>
  </si>
  <si>
    <t>University System of Ohio; Ohio State University; University of Wisconsin System; University of Wisconsin Madison; Washington University (WUSTL); University System of Ohio; Ohio State University</t>
  </si>
  <si>
    <t>Gilmore, D (corresponding author), Ohio State Univ, Coll Med, Sch Hlth &amp; Rehabil Sci, Columbus, OH 43210 USA.</t>
  </si>
  <si>
    <t>gilmore.257@osu.edu</t>
  </si>
  <si>
    <t>Gilmore, Daniel/0000-0003-4005-2799; Hand, Brittany/0000-0003-2026-8461</t>
  </si>
  <si>
    <t>2573-9581</t>
  </si>
  <si>
    <t>2573-959X</t>
  </si>
  <si>
    <t>AUTISM ADULTHOOD</t>
  </si>
  <si>
    <t>Autism Adulthood</t>
  </si>
  <si>
    <t>MAR 1</t>
  </si>
  <si>
    <t>10.1089/aut.2023.0019</t>
  </si>
  <si>
    <t>Psychology, Developmental; Rehabilitation</t>
  </si>
  <si>
    <t>Psychology; Rehabilitation</t>
  </si>
  <si>
    <t>JS3B1</t>
  </si>
  <si>
    <t>WOS:001020532300001</t>
  </si>
  <si>
    <t>Newton, J; Reinschmidt, A; Van Gorp, R; Sonstegard, A</t>
  </si>
  <si>
    <t>Newton, Jazmin; Reinschmidt, Alyssa; Van Gorp, Rachel; Sonstegard, Anna</t>
  </si>
  <si>
    <t>Nasal Tanning Sprays: Illuminating the Risks of a Popular TikTok Trend</t>
  </si>
  <si>
    <t>[Newton, Jazmin; Reinschmidt, Alyssa; Van Gorp, Rachel; Sonstegard, Anna] Univ South Dakota, Sanford Sch Med, Vermillion, SD USA; [Newton, Jazmin] 1400 W 22nd St, Sioux Falls, SD 57105 USA</t>
  </si>
  <si>
    <t>University of South Dakota</t>
  </si>
  <si>
    <t>Newton, J (corresponding author), 1400 W 22nd St, Sioux Falls, SD 57105 USA.</t>
  </si>
  <si>
    <t>jazmin.newton@coyotes.usd.edu</t>
  </si>
  <si>
    <t>E3</t>
  </si>
  <si>
    <t>E4</t>
  </si>
  <si>
    <t>10.12788/cutis.0933</t>
  </si>
  <si>
    <t>FL6N2</t>
  </si>
  <si>
    <t>WOS:001145987400002</t>
  </si>
  <si>
    <t>Ball, C; Watkins, SL; Fahrion, A; Morales, M; McDonald, A; Vogel, EA; Kim, M</t>
  </si>
  <si>
    <t>Ball, Coltin; Watkins, Shannon Lea; Fahrion, Alexis; Morales, Makayla; McDonald, Abigail; Vogel, Erin A.; Kim, Minji</t>
  </si>
  <si>
    <t>Do all bisexuals have this power?: An exploratory study of crippling nicotine addiction, identity, and other emergent themes in vaping messages on QueerTok</t>
  </si>
  <si>
    <t>SSM-QUALITATIVE RESEARCH IN HEALTH</t>
  </si>
  <si>
    <t>LGBTQ+; E-cigarettes; Electronic cigarettes; Social media; Adolescent health; Young adult; Qualitative analysis; TikTok</t>
  </si>
  <si>
    <t>TOBACCO PRODUCT USE; SOCIAL MEDIA; POPULATION ASSESSMENT; SEXUAL IDENTITY; MENTAL-HEALTH; US; YOUTH; GAY; ORIENTATION; CIGARETTES</t>
  </si>
  <si>
    <t>Nicotine and tobacco use disproportionally affects sexual and gender minority (SGM) populations in the United States. Social media narratives may contribute to these disparities. This qualitative study delineated perceptions and experiences depicted in SGM-related videos about nicotine vaping on TikTok. Young adult researchers engaged in every step of the research process, adding an insider perspective. Using four TikTok accounts, we used vaping and SGM-related search terms to sample videos in March-April 2022. Three TikTok accounts collected SGM-specific videos; a fourth provided non-SGM specific videos for comparison. We iteratively sorted 303 unique videos into 32 a priori and emergent codes and identified themes in SGM videos and comparison videos. In their videos, creators displayed awareness of and ambivalence toward vaping and nicotine dependence. SGM videos reflected vaping as a salient feature of identity and a consideration in romantic partnership. Studying video-based social media platforms, like TikTok, using an insider-engaged qualitative lens promotes rich interpretation of content to identify prevalent and emerging messages, which can inform appropriate interventions for SGM young people.</t>
  </si>
  <si>
    <t>[Ball, Coltin; Watkins, Shannon Lea; Fahrion, Alexis; Morales, Makayla] Univ Iowa, Coll Publ Hlth, Dept Community &amp; Behav Hlth, Iowa City, IA 52242 USA; [McDonald, Abigail] Univ Iowa, Coll Liberal Arts &amp; Sci, Iowa City, IA USA; [Vogel, Erin A.] Univ Oklahoma, TSET Hlth Promot Res Ctr, Hlth Sci Ctr, Oklahoma City, OK USA; [Kim, Minji] Univ South Carolina, Dept Hlth Promot Educ &amp; Behav, Columbia, SC USA</t>
  </si>
  <si>
    <t>University of Iowa; University of Iowa; University of Oklahoma System; University of Oklahoma Health Sciences Center; University of South Carolina System; University of South Carolina Columbia</t>
  </si>
  <si>
    <t>Watkins, SL (corresponding author), Univ Iowa, Coll Publ Hlth, Dept Community &amp; Behav Hlth, Iowa City, IA 52242 USA.</t>
  </si>
  <si>
    <t>shannon-watkins@uiowa.edu</t>
  </si>
  <si>
    <t>American Cancer Society [IRG-18-165-43]; Centers for Disease Control and Prevention [6U48DP006389]; University of Iowa College of Public Health; National Institute on Drug Abuse [K01DA055073]; National Cancer Institute [P30CA225520]; Oklahoma Tobacco Settlement Endowment Trust [R22-03]</t>
  </si>
  <si>
    <t>American Cancer Society(American Cancer Society); Centers for Disease Control and Prevention(United States Department of Health &amp; Human ServicesCenters for Disease Control &amp; Prevention - USA); University of Iowa College of Public Health; National Institute on Drug Abuse(United States Department of Health &amp; Human ServicesNational Institutes of Health (NIH) - USANIH National Institute on Drug Abuse (NIDA)); National Cancer Institute(United States Department of Health &amp; Human ServicesNational Institutes of Health (NIH) - USANIH National Cancer Institute (NCI)); Oklahoma Tobacco Settlement Endowment Trust</t>
  </si>
  <si>
    <t>This research was funded by the American Cancer Society, administered through the Holden Comprehensive Cancer Center at the University of Iowa (IRG-18-165-43) , the Centers for Disease Control and Prevention (6U48DP006389) , and by the University of Iowa College of Public Health. EAV's time was supported by the National Institute on Drug Abuse (K01DA055073) , National Cancer Institute (P30CA225520, awarded to the Stephenson Cancer Center) , and the Oklahoma Tobacco Settlement Endowment Trust (contract number R22-03) .</t>
  </si>
  <si>
    <t>2667-3215</t>
  </si>
  <si>
    <t>SSM-QUAL RES HEALTH</t>
  </si>
  <si>
    <t>SSM-Qual. Res. Health</t>
  </si>
  <si>
    <t>10.1016/j.ssmqr.2024.100471</t>
  </si>
  <si>
    <t>Public, Environmental &amp; Occupational Health; Social Sciences, Biomedical</t>
  </si>
  <si>
    <t>Public, Environmental &amp; Occupational Health; Biomedical Social Sciences</t>
  </si>
  <si>
    <t>K6W9N</t>
  </si>
  <si>
    <t>WOS:001345272900001</t>
  </si>
  <si>
    <t>Southerton, C; Clark, M</t>
  </si>
  <si>
    <t>Southerton, Clare; Clark, Marianne</t>
  </si>
  <si>
    <t>OBGYNs of TikTok and the role of misinformation in diffractive knowledge production</t>
  </si>
  <si>
    <t>JOURNAL OF SOCIOLOGY</t>
  </si>
  <si>
    <t>Digital health; diffraction; misinformation; sexual health; TikTok</t>
  </si>
  <si>
    <t>SOCIAL MEDIA; ONLINE HEALTH; COMPLETENESS; CREDIBILITY; INFORMATION; EXPERTISE; FUNNY</t>
  </si>
  <si>
    <t>Health misinformation on social media has largely been examined from a harms-focused perspective, with scholars seeking to identify what impacts misinformation has on public health and a popular focus on removing it from platforms. The act of debunking is one response wherein misinformation is corrected with knowledge from scientific sources. To date, little research exists examining how experts and the public engage with misinformation beyond a focus on harm. Using Karen Barad's concept of diffraction, we examine the iterative relationships between misinformation, obstetrician-gynaecologists (OBGYNs) and the educational content they generate on the short-form video platform TikTok. Though misinformation and debunking content have been seen as oppositional, they are brought into productive dialogue with one another using diffractive techniques and platform affordances. We conclude that through the educational content created by the OBGYNs of TikTok, misinformation becomes diffractively integrated into debunking content and is generative of new knowledge, rather than cleansed away.</t>
  </si>
  <si>
    <t>[Southerton, Clare] La Trobe Univ, Sch Educ, Melbourne, Vic, Australia; [Southerton, Clare; Clark, Marianne] UNSW, Vital Lab, Sydney, Australia; [Clark, Marianne] Acadia Univ, Sch Kinesiol, Wolfville, NS, Canada; [Southerton, Clare] La Trobe Univ, Sch Educ, Digital Technol &amp; Pedag, Bundoora, Vic 3083, Australia</t>
  </si>
  <si>
    <t>La Trobe University; University of New South Wales Sydney; Acadia University; La Trobe University</t>
  </si>
  <si>
    <t>Southerton, C (corresponding author), La Trobe Univ, Sch Educ, Digital Technol &amp; Pedag, Bundoora, Vic 3083, Australia.</t>
  </si>
  <si>
    <t>c.southerton@latrobe.edu.au</t>
  </si>
  <si>
    <t>1440-7833</t>
  </si>
  <si>
    <t>1741-2978</t>
  </si>
  <si>
    <t>J SOCIOL</t>
  </si>
  <si>
    <t>J. Sociol.</t>
  </si>
  <si>
    <t>10.1177/14407833221135209</t>
  </si>
  <si>
    <t>O8IL9</t>
  </si>
  <si>
    <t>WOS:000883207700001</t>
  </si>
  <si>
    <t>McLean, J; Southerton, C; Lupton, D</t>
  </si>
  <si>
    <t>McLean, Jessica; Southerton, Clare; Lupton, Deborah</t>
  </si>
  <si>
    <t>Young people and TikTok use in Australia: digital geographies of care in popular culture</t>
  </si>
  <si>
    <t>SOCIAL &amp; CULTURAL GEOGRAPHY</t>
  </si>
  <si>
    <t>TikTok; young people; digital geographies; care; popular culture; repair</t>
  </si>
  <si>
    <t>SOCIAL MEDIA; ETHICS; RESPONSIBILITY; ENCOUNTERS; RACE</t>
  </si>
  <si>
    <t>The short-form video-sharing app TikTok is the fastest growing social media platform globally, particularly among young people, and the app is attracting significant academic interest. However, the voices of young people have been mostly absent from these debates. This article offers a qualitative study of how young people are using TikTok to make care-full digital worlds in and around Sydney, Australia, drawing on interviews with sixteen young people and bringing together literatures on geographies of care, digital geographies and TikTok practices. Research participants identified care-related themes in these interviews, including that they enjoyed using the app to nurture relationships, found that it facilitated greater awareness of their relative privilege, and provided support and opportunities to express themselves. These practices proved important forms of connection and self-care during COVID-19-related periods of physical isolation and disruption to everyday routines. But a lack of care was also evident, from other users and the app itself, suggesting tensions in how care is negotiated in this digital space. Young people articulated structural problems with the app and offered constructive remedies that are practical and feasible.</t>
  </si>
  <si>
    <t>[McLean, Jessica] Macquarie Univ, Sch Social Sci, Discipline Geog &amp; Planning, N Ryde, Australia; [Southerton, Clare] Trobe Univ, Sch Educ, Melbourne, Australia; [Lupton, Deborah] UNSW, Ctr Social Res Hlth, Sydney, Australia; [McLean, Jessica] Macquarie Univ, Sch Social Sci, Discipline Geog &amp; Planning, Room 444,Bldg 25B Wallys Walk, N Ryde 2109, Australia</t>
  </si>
  <si>
    <t>Macquarie University; La Trobe University; University of New South Wales Sydney; Macquarie University</t>
  </si>
  <si>
    <t>McLean, J (corresponding author), Macquarie Univ, Sch Social Sci, Discipline Geog &amp; Planning, Room 444,Bldg 25B Wallys Walk, N Ryde 2109, Australia.</t>
  </si>
  <si>
    <t>jessica.mclean@mq.edu.au</t>
  </si>
  <si>
    <t>Lupton, Deborah/F-5638-2011; Southerton, Clare/AAC-2485-2019</t>
  </si>
  <si>
    <t>David Bissell</t>
  </si>
  <si>
    <t>AcknowledgmentsMany thanks to the research participants who shared their experiences of TikTok for this research; thanks also to the teachers and parents who helped facilitate their involvement. Thanks to David Bissell and the reviewers for their invaluable critique, feedback, and support. Last, many thanks to Alex Hastie and Robert Saunders for bringing together the special issue that includes this paper.</t>
  </si>
  <si>
    <t>1464-9365</t>
  </si>
  <si>
    <t>1470-1197</t>
  </si>
  <si>
    <t>SOC CULT GEOGR</t>
  </si>
  <si>
    <t>Soc. Cult. Geogr.</t>
  </si>
  <si>
    <t>10.1080/14649365.2023.2230943</t>
  </si>
  <si>
    <t>PW5X2</t>
  </si>
  <si>
    <t>WOS:001019842900001</t>
  </si>
  <si>
    <t>Lei, WJ; Hu, SQ; Hsu, CR</t>
  </si>
  <si>
    <t>Lei, Wenjing; Hu, Siqi; Hsu, Carol</t>
  </si>
  <si>
    <t>Uncovering the role of optimism bias in social media phishing: an empirical study on TikTok</t>
  </si>
  <si>
    <t>Social media phishing; phishing risk; optimism bias; &gt;</t>
  </si>
  <si>
    <t>INFORMATION SECURITY AWARENESS; UNREALISTIC OPTIMISM; POLICY COMPLIANCE; PRIVACY RISKS; BEHAVIOR; ONLINE; SUSCEPTIBILITY; MODERATORS; INTENTION; SMOKERS</t>
  </si>
  <si>
    <t>Driven by the rapid growth and prevalent use of social media, social media phishing has become an increasingly serious threat due to its wide-ranging disruptive potential. Researchers believe that optimism bias - where one tends to judge his or her own chance of experiencing a negative event to be lower than that of others - can partly explain the discrepancies between one's knowledge about threats and the actual behaviours taken to mitigate such threats. Therefore, the current study sought to explore social media phishing from the perspective of optimism bias. More specifically, we focused on a demonstration of optimism bias regarding being phished on social media, what leads to this bias, and the extent to which it ultimately influences users' intention to take preventive measures against social media phishing. The results showed that individuals displayed optimism bias of being phished on TikTok, that perceived controllability over phishing on TikTok increased optimism bias, and that TikTok addiction reduced optimism bias. While optimism bias had no effect on the intention to take preventive measures against social media phishing on TikTok, information security awareness exerted a positive effect on this intention.</t>
  </si>
  <si>
    <t>[Lei, Wenjing] Lanzhou Univ, Sch Management, Lanzhou, Peoples R China; [Hu, Siqi] Nanjing Forestry Univ, Coll Econ &amp; Management, Nanjing, Peoples R China; [Hsu, Carol] Univ Sydney, Business Sch, Sydney, Australia; [Hu, Siqi] Nanjing Forestry Univ, Coll Econ &amp; Management, 159 Longpan Rd, Nanjing, Jiangsu, Peoples R China</t>
  </si>
  <si>
    <t>Lanzhou University; Nanjing Forestry University; University of Sydney; Nanjing Forestry University</t>
  </si>
  <si>
    <t>Hu, SQ (corresponding author), Nanjing Forestry Univ, Coll Econ &amp; Management, 159 Longpan Rd, Nanjing, Jiangsu, Peoples R China.</t>
  </si>
  <si>
    <t>candicehu@njfu.edu.cn</t>
  </si>
  <si>
    <t>National Natural Science Foundation of China [71872129, 72011530135]</t>
  </si>
  <si>
    <t>This work was supported by the National Natural Science Foundation of China [grant numbers 71872129, 72011530135]</t>
  </si>
  <si>
    <t>10.1080/0144929X.2023.2230305</t>
  </si>
  <si>
    <t>ZF5Q1</t>
  </si>
  <si>
    <t>WOS:001020010900001</t>
  </si>
  <si>
    <t>Chinese app TikTok may be leaking users' data</t>
  </si>
  <si>
    <t>JV9OD</t>
  </si>
  <si>
    <t>WOS:000502688200012</t>
  </si>
  <si>
    <t>Szeto, MD; Presley, CL; Pulsipher, KJ; Harp, T; Rundle, CW; Sivesind, TE; Laughter, MR; Dellavalle, RP</t>
  </si>
  <si>
    <t>Szeto, Mindy D.; Presley, Colby L.; Pulsipher, Kayd J.; Harp, Taylor; Rundle, Chandler W.; Sivesind, Torunn E.; Laughter, Melissa R.; Dellavalle, Robert P.</t>
  </si>
  <si>
    <t>Dermatologist influencers on social media: Instagram Reels and TikTok interactive short videos</t>
  </si>
  <si>
    <t>[Szeto, Mindy D.; Sivesind, Torunn E.; Laughter, Melissa R.; Dellavalle, Robert P.] Univ Colorado, Dept Dermatol, Anschutz Med Campus, Aurora, CO USA; [Presley, Colby L.; Harp, Taylor] Rocky Vista Univ, Coll Osteopath Med, Parker, CO USA; [Pulsipher, Kayd J.] Rocky Vista Univ, Coll Osteopath Med, Ivins, UT USA; [Rundle, Chandler W.] St Josephs Hosp, Dept Med, Denver, CO USA; [Dellavalle, Robert P.] Rocky Mt Reg Vet Affairs Med Ctr, Aurora, CO USA</t>
  </si>
  <si>
    <t>University of Colorado System; University of Colorado Anschutz Medical Campus</t>
  </si>
  <si>
    <t>Dellavalle, RP (corresponding author), Univ Colorado, Sch Med, 1700 N Wheeling St,Rm E1-342, Aurora, CO 80045 USA.;Dellavalle, RP (corresponding author), US Dept Vet Affairs, Rocky Mt Reg VA Med Ctr, Colorado Sch Publ Hlth, Eastern Colorado Hlth Care Syst, 1700 N Wheeling St,Rm E1-342, Aurora, CO 80045 USA.</t>
  </si>
  <si>
    <t>Robert.dellavalle@ucdenver.edu</t>
  </si>
  <si>
    <t>Dellavalle, Robert/L-2020-2013; Szeto, Mindy/GPP-5886-2022</t>
  </si>
  <si>
    <t>Sivesind, Torunn/0000-0003-4805-0632; Rundle, Chandler/0000-0002-7624-8147</t>
  </si>
  <si>
    <t>Pfizer [58858477]</t>
  </si>
  <si>
    <t>Pfizer(Pfizer)</t>
  </si>
  <si>
    <t>Dr Dellavalle receives editorial stipends (JAAD, JID, JMIR Dermatology), royalties (UpToDate), and expense reimbursement from Cochrane Skin. Dr Sivesind receives fellowship funding from the Pfizer Global Medical Grant (58858477) Dermatology Fellowship 2020 (PI: R.P. Dellavalle), and serves as a medical advisor to Antedotum Inc.</t>
  </si>
  <si>
    <t>E185</t>
  </si>
  <si>
    <t>E188</t>
  </si>
  <si>
    <t>10.1016/j.jaad.2021.04.052</t>
  </si>
  <si>
    <t>TZ2CB</t>
  </si>
  <si>
    <t>WOS:000684282000023</t>
  </si>
  <si>
    <t>Barbic, SP; Zenone, M; Chasca, W; Nerada, SB</t>
  </si>
  <si>
    <t>Barbic, Skye Pamela; Zenone, Marco; Chasca, Whitney; Nerada, Samantha Barbic</t>
  </si>
  <si>
    <t>TikTok &amp; Its Role in OT Promotion, Best Practice, &amp; Innovation</t>
  </si>
  <si>
    <t>AMERICAN JOURNAL OF OCCUPATIONAL THERAPY</t>
  </si>
  <si>
    <t>[Barbic, Skye Pamela; Chasca, Whitney; Nerada, Samantha Barbic] Univ British Columbia, Vancouver, BC, Canada; [Zenone, Marco] London Sch Trop Hyg &amp; Trop Med, London, England</t>
  </si>
  <si>
    <t>University of British Columbia</t>
  </si>
  <si>
    <t>AMER OCCUPATIONAL THERAPY ASSOC, INC</t>
  </si>
  <si>
    <t>BETHESDA</t>
  </si>
  <si>
    <t>4720 MONTGOMERY LANE, BETHESDA, MD 20814-3425 USA</t>
  </si>
  <si>
    <t>0272-9490</t>
  </si>
  <si>
    <t>1943-7676</t>
  </si>
  <si>
    <t>AM J OCCUP THER</t>
  </si>
  <si>
    <t>Am. J. Occup. Ther.</t>
  </si>
  <si>
    <t>10.5014/ajot.2023.77S2-PO216</t>
  </si>
  <si>
    <t>Rehabilitation</t>
  </si>
  <si>
    <t>S0CT5</t>
  </si>
  <si>
    <t>WOS:001067944100217</t>
  </si>
  <si>
    <t>Kwon, MH; Kwon, SW; Das, RK; Drolet, BC</t>
  </si>
  <si>
    <t>Kwon, Michelle H.; Kwon, Sam W.; Das, Rishub K.; Drolet, Brian C.</t>
  </si>
  <si>
    <t>Obstetric and Gynecologic Care in TikTok: Top Influencers and Posts</t>
  </si>
  <si>
    <t>REPRODUCTIVE SCIENCES</t>
  </si>
  <si>
    <t>[Kwon, Michelle H.; Kwon, Sam W.] Vanderbilt Univ, Nashville, TN USA; [Das, Rishub K.] Vanderbilt Univ, Sch Med, 1161 21St Ave South, Nashville, TN 37212 USA; [Drolet, Brian C.] Vanderbilt Univ, Med Ctr, Dept Plast Surg, Nashville, TN USA; [Drolet, Brian C.] Vanderbilt Univ, Med Ctr, Ctr Biomed Ethics &amp; Soc, Nashville, TN USA</t>
  </si>
  <si>
    <t>Vanderbilt University; Vanderbilt University; Vanderbilt University; Vanderbilt University</t>
  </si>
  <si>
    <t>Das, RK (corresponding author), Vanderbilt Univ, Sch Med, 1161 21St Ave South, Nashville, TN 37212 USA.</t>
  </si>
  <si>
    <t>rishub.das@vanderbilt.edu</t>
  </si>
  <si>
    <t>Das, Rishub/HNP-4078-2023</t>
  </si>
  <si>
    <t>Das, Rishub/0000-0002-7368-7769</t>
  </si>
  <si>
    <t>1933-7191</t>
  </si>
  <si>
    <t>1933-7205</t>
  </si>
  <si>
    <t>REPROD SCI</t>
  </si>
  <si>
    <t>Reprod. Sci.</t>
  </si>
  <si>
    <t>10.1007/s43032-023-01274-0</t>
  </si>
  <si>
    <t>Obstetrics &amp; Gynecology; Reproductive Biology</t>
  </si>
  <si>
    <t>U0AM9</t>
  </si>
  <si>
    <t>WOS:000999630100004</t>
  </si>
  <si>
    <t>Mcmann, TJ; Calac, A; Nali, M; Cuomo, R; Maroulis, J; Mackey, TK</t>
  </si>
  <si>
    <t>Mcmann, Tiana J.; Calac, Alec; Nali, Matthew; Cuomo, Raphael; Maroulis, James; Mackey, Tim K.</t>
  </si>
  <si>
    <t>Synthetic Cannabinoids in Prisons: Content Analysis of TikToks</t>
  </si>
  <si>
    <t>social media; substance use disorder; synthetic drugs; prison; cannabinoid; synthetic; psychoactive; illicit; video; substance use; harmful; K2/Spice; TikTok</t>
  </si>
  <si>
    <t>HEALTH; ABUSE</t>
  </si>
  <si>
    <t>Background: Synthetic cannabinoids are a significant public health concern, especially among incarcerated populations due to increased reports of abuse. Recent news reports have highlighted the severe consequences of K2/Spice, a synthetic cannabinoid, among the prison population in the United States. Despite regulations against cell phone use, inmates use TikTok to post K2/Spice-related content.Objective: This study aimed to examine TikTok posts for use and illicit distribution of psychoactive substances (eg, K2/Spice) among incarcerated populations. Methods: The study collected TikTok videos associated with the #k2spice hashtag and used a data collection approach similar to snowball sampling. Inductive coding was used to conduct content analysis of video characteristics. Videos were manually annotated to generate binary classifications related to the use of K2/Spice as well as selling and buying activities associated with it. Statistical analysis was used to determine associations between a video's user engagement and an intent to buy or sell K2/Spice.Results: A total of 89 TikTok videos with the hashtag #k2spice were manually coded, with 40% (n=36) identified as displaying the use, solicitation, or adverse effects of K2/Spice among the prison population. Of them, 44.44% (n=16) were in a prison-based setting documenting adverse effects including possible overdose. Videos with higher user engagement were positively correlated with comments indicating an intent to buy or sell K2/Spice.Conclusions: K2/Spice is a drug subject to abuse among prison inmates in the United States, including depictions of its harmful effects being recorded and shared on TikTok. Lack of policy enforcement on TikTok and the need for better access to treatment services within the prison system may be exacerbating substance use among this highly vulnerable population. Minimizing the potential individual harm of this content on the incarcerated population should be a priority for social media platforms and the criminal justice system alike.</t>
  </si>
  <si>
    <t>[Mcmann, Tiana J.; Mackey, Tim K.] Univ Calif San Diego, Dept Anthropol, Global Hlth Program, 9500 Gilman Dr,Mail Code 0505, La Jolla, CA 92093 USA; [Mcmann, Tiana J.; Calac, Alec; Nali, Matthew; Cuomo, Raphael; Maroulis, James; Mackey, Tim K.] Global Hlth Policy &amp; Data Inst, San Diego, CA USA; [Mcmann, Tiana J.; Nali, Matthew; Mackey, Tim K.] S 3 Res, San Diego, CA USA; [Calac, Alec; Cuomo, Raphael] Univ Calif San Diego, Dept Anesthesiol, San Diego, CA USA</t>
  </si>
  <si>
    <t>Mackey, TK (corresponding author), Univ Calif San Diego, Dept Anthropol, Global Hlth Program, 9500 Gilman Dr,Mail Code 0505, La Jolla, CA 92093 USA.</t>
  </si>
  <si>
    <t>Cuomo, Raphael/0000-0002-8179-0619; Mackey, Tim/0000-0002-2191-7833; Nali, Matthew/0000-0002-0565-8202; McMann, Tiana/0000-0003-1964-5549; Calac, Alec/0000-0003-1348-9717</t>
  </si>
  <si>
    <t>National Institute on Drug Abuse [1R21DA050689-01]; National Institute on Drug Abuse Small Business Innovation Research Program [75N95020C00025]</t>
  </si>
  <si>
    <t>National Institute on Drug Abuse(United States Department of Health &amp; Human ServicesNational Institutes of Health (NIH) - USANIH National Institute on Drug Abuse (NIDA)); National Institute on Drug Abuse Small Business Innovation Research Program</t>
  </si>
  <si>
    <t>This study was funded by the National Institute on Drug Abuse (award 1R21DA050689-01) and the National Institute on Drug Abuse Small Business Innovation Research Program (award 75N95020C00025) .</t>
  </si>
  <si>
    <t>e37632</t>
  </si>
  <si>
    <t>10.2196/37632</t>
  </si>
  <si>
    <t>CQ9Z1</t>
  </si>
  <si>
    <t>WOS:001126839400027</t>
  </si>
  <si>
    <t>Tirocchi, S; Taddeo, G</t>
  </si>
  <si>
    <t>Tirocchi, Simona; Taddeo, Gabriella</t>
  </si>
  <si>
    <t>Unveiling informal learning of gender roles on Tik Tok: The #Stayathomegirlfriends phenomenon</t>
  </si>
  <si>
    <t>INTERNATIONAL COMMUNICATION GAZETTE</t>
  </si>
  <si>
    <t>SAHGF; media representations; digital creators; TikTok; gender roles; postfeminism; popular feminism; informal learning; digital literacy</t>
  </si>
  <si>
    <t>SOCIAL MEDIA; POSTFEMINISM; FEMININITY; YOUTUBERS; EDUCATION</t>
  </si>
  <si>
    <t>This study delves into the emergent and polarising representations of women on social media by analysing the issue of #StayAtHomeGirlfriends (SAHGF) profiles on TikTok. These profiles depict young women showcasing their domestic lives, emphasising activities such as cooking, cleaning, relaxing, meditating and exercising while being financially supported by their partners. The SAHGF trend emerged on TikTok in 2022 and received over 328.3 million views in one year. The research method involved a thematic analysis of three TikTok SAHGF case studies from different social contexts, focusing on both the creators' self-representations and the audience's reception, as reflected in user comments. The findings point to a contradictory relationship with instances of postfeminism and popular feminism, showing the use of social media as gender learning environments, where digital creators become informal educators transmitting norms, values and lifestyles, but also 'triggers' for dialogue and critical discussion.</t>
  </si>
  <si>
    <t>[Tirocchi, Simona; Taddeo, Gabriella] Univ Turin, via S Ottavio 20, I-10124 Turin, Italy</t>
  </si>
  <si>
    <t>University of Turin</t>
  </si>
  <si>
    <t>Tirocchi, S (corresponding author), Univ Turin, via S Ottavio 20, I-10124 Turin, Italy.</t>
  </si>
  <si>
    <t>simona.tirocchi@unito.it</t>
  </si>
  <si>
    <t>1748-0485</t>
  </si>
  <si>
    <t>1748-0493</t>
  </si>
  <si>
    <t>INT COMMUN GAZ</t>
  </si>
  <si>
    <t>Int. Commun. Gaz.</t>
  </si>
  <si>
    <t>10.1177/17480485241259836</t>
  </si>
  <si>
    <t>C7T2Q</t>
  </si>
  <si>
    <t>WOS:001290581200001</t>
  </si>
  <si>
    <t>Carignani, F; Iodice, G; Bifulco, F</t>
  </si>
  <si>
    <t>Carignani, Francesco; Iodice, Gesualda; Bifulco, Francesco</t>
  </si>
  <si>
    <t>TikTok in museum management: an effective museum enhancement tool?</t>
  </si>
  <si>
    <t>MUSEUM MANAGEMENT AND CURATORSHIP</t>
  </si>
  <si>
    <t>TikTok; museum; informal learning; social media; audience development; digital</t>
  </si>
  <si>
    <t>ENGAGEMENT; TOURISM</t>
  </si>
  <si>
    <t>Digital environments nowadays play a central role in creating value for organizations. In the cultural sector, the creation of value of organizations and in particular of museums is facing a paradigm shift in response to the contemporary demands of living in a hyperconnected world. Expression of a rapidly rising phenomenon in the hyperconnected digital scenario is represented by the use of the TikTok platform, whose value creation is based on interactive and multimedia contents. This research aims to explore through a mixed approach, the use that museums make of TikTok from a managerial perspective. The study highlights the use of a generally informal language structured on a predominantly aesthetic and non-scientific component, capable of attracting and interactively engaging heterogenous targets, especially less art-sensitive audiences like digital natives. Despite the enormous potential it represents, this social media is still little used by museums and little explored by the scientific community.</t>
  </si>
  <si>
    <t>[Carignani, Francesco; Iodice, Gesualda] Univ Naples Federico II, Econ Management &amp; Inst Dept, Naples, Italy; [Bifulco, Francesco] Univ Naples Federico II, Humanities Studies Dept, Naples, Italy; [Carignani, Francesco] Univ Napoli Federico II, Via Cinthia 26, I-80126 Naples, Italy</t>
  </si>
  <si>
    <t>University of Naples Federico II; University of Naples Federico II; University of Naples Federico II</t>
  </si>
  <si>
    <t>Carignani, F (corresponding author), Univ Napoli Federico II, Via Cinthia 26, I-80126 Naples, Italy.</t>
  </si>
  <si>
    <t>francesco.carignani@unina.it</t>
  </si>
  <si>
    <t>Bifulco, Francesco/N-9585-2019; Iodice, Gesualda/KLZ-2146-2024; Carignani, Francesco/ABG-2952-2022</t>
  </si>
  <si>
    <t>Iodice, Gesualda/0000-0001-7084-9091; Carignani, Francesco/0000-0002-5558-4440</t>
  </si>
  <si>
    <t>0964-7775</t>
  </si>
  <si>
    <t>1872-9185</t>
  </si>
  <si>
    <t>MUS MANAGE CURATOR</t>
  </si>
  <si>
    <t>Mus. Manag. Curatorship</t>
  </si>
  <si>
    <t>MAY 3</t>
  </si>
  <si>
    <t>10.1080/09647775.2023.2269123</t>
  </si>
  <si>
    <t>SO8X6</t>
  </si>
  <si>
    <t>WOS:001091951800001</t>
  </si>
  <si>
    <t>Seet, S; Tandoc, EC Jr</t>
  </si>
  <si>
    <t>Seet, Seth; Tandoc Jr, Edson C.</t>
  </si>
  <si>
    <t>Re-meme-bering Tiananmen? From collective memory to meta-memory on TikTok</t>
  </si>
  <si>
    <t>collective memory; commemoration; memes; memory; Tiananmen Square Massacre; TikTok</t>
  </si>
  <si>
    <t>SOCIAL MEDIA; ANNIVERSARY JOURNALISM; TRAJECTORIES</t>
  </si>
  <si>
    <t>The 1989 Tiananmen Square Massacre has been enshrined in the collective memory of different social groups globally in various ways, while the Chinese government enforces its own memory of Tiananmen through censorship and revisionism. These result in numerous memories of Tiananmen. Through a qualitative analysis of 27 TikToks posted on 3-5 June 2022, this study examines how Tiananmen is commemorated on TikTok on Tiananmen's anniversary and what is remembered about Tiananmen. This study found that commemoration posts on TikTok remember the protests, casualties, the Chinese Communist Party leaders' role, and the historical contexts, oft using the Tank Man image. The posts also remember the remembrance and memory formation of Tiananmen. Through commemorations, memes, and humor, some posts remember the Chinese government's attempts to recreate the collective memory and other commemoration events. This is best described as meta-memories, where people remember the remembering and possess memory of the memory of events.</t>
  </si>
  <si>
    <t>[Seet, Seth; Tandoc Jr, Edson C.] Nanyang Technol Univ, Wee Kim Wee Sch Commun &amp; Informat, Singapore, Singapore; [Seet, Seth] Nanyang Technol Univ, Wee Kim Wee Sch Commun &amp; Informat, 31 Nanyang Link, Singapore 639798, Singapore</t>
  </si>
  <si>
    <t>Nanyang Technological University; Nanyang Technological University</t>
  </si>
  <si>
    <t>Seet, S (corresponding author), Nanyang Technol Univ, Wee Kim Wee Sch Commun &amp; Informat, 31 Nanyang Link, Singapore 639798, Singapore.</t>
  </si>
  <si>
    <t>sethkai.seet@ntu.edu.sg</t>
  </si>
  <si>
    <t>Tandoc, Edson/A-6473-2018</t>
  </si>
  <si>
    <t>10.1177/01634437231191413</t>
  </si>
  <si>
    <t>IY3D8</t>
  </si>
  <si>
    <t>WOS:001047345100001</t>
  </si>
  <si>
    <t>Ehrhardt, J; Nakamura, L</t>
  </si>
  <si>
    <t>Ehrhardt, Jasmine; Nakamura, Lisa</t>
  </si>
  <si>
    <t>Infrastructural fugitivity: contraband cellphones, TikTok, and vital media behind bars</t>
  </si>
  <si>
    <t>JOURNAL OF VISUAL CULTURE</t>
  </si>
  <si>
    <t>carceral studies; critique of innovation from below; digital media studies; platform studies; infrastructural fugitivity; infrastructure; TikTok</t>
  </si>
  <si>
    <t>This article engages with TikToks created by incarcerated people using contraband cellphones. We read the #PrisonTok hashtag as part of a new genre of digital media created by imprisoned people that invites users to learn directly from them about everyday life behind bars, some of which includes producing and consuming digital media and memetic culture through practices of infrastructural fugitivity. TikTok's affordances permit imprisoned people to share and demystify aspects of their everyday lives such as cooking, charging phones and maintaining digital infrastructure, despite prison rules prohibiting prisoners from owning phones. We discuss viral TikTok users such as Jeron Combs whose cooking videos have attracted millions of viewers, and conclude with an analysis of #PrisonTok's implications for both media, visual culture and carceral studies. We do this to submit a framework for scholars, as well as free-world people broadly, to engage with illicit digital media created by imprisoned people.</t>
  </si>
  <si>
    <t>[Ehrhardt, Jasmine] Univ Michigan, Amer Culture Dept, Ann Arbor, MI USA; [Ehrhardt, Jasmine] 505 S State St, Ann Arbor, MI 48109 USA; [Nakamura, Lisa] Univ Michigan, Amer Culture &amp; Digital Studies Inst, Ann Arbor, MI USA; [Nakamura, Lisa] Univ Michigan, 2117 Washtenaw, Ann Arbor, MI 48104 USA</t>
  </si>
  <si>
    <t>University of Michigan System; University of Michigan; University of Michigan System; University of Michigan; University of Michigan System; University of Michigan</t>
  </si>
  <si>
    <t>Ehrhardt, J (corresponding author), 505 S State St, Ann Arbor, MI 48109 USA.;Nakamura, L (corresponding author), Univ Michigan, 2117 Washtenaw, Ann Arbor, MI 48104 USA.</t>
  </si>
  <si>
    <t>jlehrhar@umich.edu; lnakamur@umich.edu</t>
  </si>
  <si>
    <t>1470-4129</t>
  </si>
  <si>
    <t>1741-2994</t>
  </si>
  <si>
    <t>J VIS CULT</t>
  </si>
  <si>
    <t>J. Vis. Cult.</t>
  </si>
  <si>
    <t>10.1177/14704129221141922</t>
  </si>
  <si>
    <t>Art; Cultural Studies</t>
  </si>
  <si>
    <t>G3XB2</t>
  </si>
  <si>
    <t>WOS:000988513800001</t>
  </si>
  <si>
    <t>Clark, LS</t>
  </si>
  <si>
    <t>Clark, Lynn Schofield</t>
  </si>
  <si>
    <t>[Clark, Lynn Schofield] Univ Denver, Denver, CO 80208 USA</t>
  </si>
  <si>
    <t>University of Denver</t>
  </si>
  <si>
    <t>Clark, LS (corresponding author), Univ Denver, Denver, CO 80208 USA.</t>
  </si>
  <si>
    <t>Clark, Lynn Schofield/JNT-6148-2023</t>
  </si>
  <si>
    <t>Clark, Lynn Schofield/0000-0002-9795-3523</t>
  </si>
  <si>
    <t>10.1177/14614448231172430</t>
  </si>
  <si>
    <t>O9FK2</t>
  </si>
  <si>
    <t>WOS:000988191900001</t>
  </si>
  <si>
    <t>Repetto, M; Horvath, A; Sanders, M; Fernandez, S; Shackleford, M; Free, LL</t>
  </si>
  <si>
    <t>Repetto, Mayra; Horvath, Anna; Sanders, Maggie; Fernandez, Stephanie; Shackleford, Melanie; Free, Leanne L.</t>
  </si>
  <si>
    <t>An Analysis of Discourse Surrounding Oral Contraceptives on TikTok</t>
  </si>
  <si>
    <t>[Repetto, Mayra] Univ Nevada Las Vegas, Kirk Kerkorian Sch Med, Las Vegas, NV USA</t>
  </si>
  <si>
    <t>1S</t>
  </si>
  <si>
    <t>2S</t>
  </si>
  <si>
    <t>10.1097/01.AOG.0001012864.97060.c3</t>
  </si>
  <si>
    <t>WOS:001258908200083</t>
  </si>
  <si>
    <t>Bethell, MA; Anastasio, AT; Adu-Kwarteng, K; Tabarestani, TQ; Lau, BC</t>
  </si>
  <si>
    <t>Bethell, Mikhail A.; Anastasio, Albert T.; Adu-Kwarteng, Kwabena; Tabarestani, Troy Q.; Lau, Brian C.</t>
  </si>
  <si>
    <t>Analyzing the Quality, Reliability, and Educational Value of ACL Rehabilitation Exercises on TikTok: A Cross-Sectional Study</t>
  </si>
  <si>
    <t>ORTHOPAEDIC JOURNAL OF SPORTS MEDICINE</t>
  </si>
  <si>
    <t>ACL; educational value; rehabilitation; reliability; TikTok</t>
  </si>
  <si>
    <t>HEALTH LITERACY; INFORMATION; RECONSTRUCTION; SURGERY; INJURY</t>
  </si>
  <si>
    <t>Background:Videos relating to rehabilitation exercises for common injuries relevant to younger populations such as anterior cruciate ligament (ACL) tear receive high view counts on social media platforms such as TikTok.Purpose/Hypothesis:The purpose of this study was to analyze the quality, reliability, and educational value of TikTok videos among the patient population for ACL injury. It was hypothesized that TikTok videos related to ACL rehabilitation exercises would lack quality, reliability, and educational value.Study Design:Cross-sectional study.Methods:TikTok was queried for relevant videos using the hashtags #ACLrehab and #ACLexercises. For each included video, the type of uploader (general user or health care professional) was identified. In addition, the number of views, likes, shares, comments, and favorites for each included video was recorded, and the content of each video was graded using the DISCERN (a well-validated informational analysis tool) and the ACL exercise education score (ACLEES - a custom-designed tool for the evaluation of ACL-related exercises).Results:A total of 111 videos with 5,520,660 cumulative views were included; the median number of views per video was 9801.0 (interquartile range [IQR], 3583.0-28,000.0). Of these videos, 84 and 27 were created by the general public and health care professionals, respectively. The videos collectively received 335,577 likes, 2969 comments, 22,856 favorites, and 6142 shares, with a median of 439 (IQR, 111-1374), 10 (IQR, 2.5-25.5), 54 (IQR, 18-172.5), and 12 (IQR, 2-36), respectively. The tabulated scores for the DISCERN and ACLEES between general users and health care professionals were all statistically nonsignificant. Health care professionals had a higher percentage of videos with a very poor DISCERN score in comparison with the general public (66.67% vs 53.57%, respectively).Conclusion:The overall educational value of the TikTok videos related to ACL rehabilitation exercises was very poor. Health care professionals should be aware of the broad distribution of ACL rehabilitation exercise videos that are accessible on TikTok and raise awareness of the deficiencies of the platform as a medium for educational medical-related information.</t>
  </si>
  <si>
    <t>[Bethell, Mikhail A.; Anastasio, Albert T.; Adu-Kwarteng, Kwabena; Tabarestani, Troy Q.; Lau, Brian C.] Duke Univ, Sch Med, 40 Duke Med Circle,124 Davison Bldg, Durham, NC 27710 USA; [Anastasio, Albert T.; Lau, Brian C.] Duke Univ, Dept Orthopaed Surg, Med Ctr, Durham, NC 27710 USA</t>
  </si>
  <si>
    <t>Duke University; Duke University</t>
  </si>
  <si>
    <t>Bethell, MA (corresponding author), Duke Univ, Sch Med, 40 Duke Med Circle,124 Davison Bldg, Durham, NC 27710 USA.</t>
  </si>
  <si>
    <t>mikhail.bethell@duke.edu</t>
  </si>
  <si>
    <t>Bethell, Mikhail/0000-0002-2270-9067</t>
  </si>
  <si>
    <t>2325-9671</t>
  </si>
  <si>
    <t>ORTHOP J SPORTS MED</t>
  </si>
  <si>
    <t>Orthop. J. Sports Med.</t>
  </si>
  <si>
    <t>10.1177/23259671231218668</t>
  </si>
  <si>
    <t>Orthopedics; Sport Sciences</t>
  </si>
  <si>
    <t>CZ4V0</t>
  </si>
  <si>
    <t>WOS:001129048200001</t>
  </si>
  <si>
    <t>Patil, MK; Naik, A; Chappidi, R; Lam, CS; Tran, TN</t>
  </si>
  <si>
    <t>Patil, Mihir K.; Naik, Aryan; Chappidi, Rayvanth; Lam, Chloe S.; Tran, Thanh-Nga</t>
  </si>
  <si>
    <t>Dermatology in social media: A cross-sectional analysis of trending hyperhidrosis content on TikTok</t>
  </si>
  <si>
    <t>[Patil, Mihir K.] Univ Illinois, Carle Illinois Coll Med, 506 South Mathews Ave, Urbana, IL 61801 USA; [Patil, Mihir K.] Brigham &amp; Womens Hosp, Dept Dermatol, Boston, MA USA; [Naik, Aryan] Univ Vermont, Coll Med, Burlington, VT USA; [Chappidi, Rayvanth] NYU, Grossman Sch Med, New York, NY USA; [Lam, Chloe S.] Univ Wisconsin, Sch Med &amp; Publ Hlth, Madison, WI USA; [Tran, Thanh-Nga] Harvard Med Sch, Boston, MA USA; [Tran, Thanh-Nga] Massachusetts Gen Hosp, Dept Dermatol, Boston, MA USA</t>
  </si>
  <si>
    <t>University of Illinois System; University of Illinois Urbana-Champaign; Harvard University; Brigham &amp; Women's Hospital; University of Vermont; New York University; University of Wisconsin System; University of Wisconsin Madison; Harvard University; Harvard Medical School; Harvard University; Massachusetts General Hospital</t>
  </si>
  <si>
    <t>Patil, MK (corresponding author), Univ Illinois, Carle Illinois Coll Med, 506 South Mathews Ave, Urbana, IL 61801 USA.</t>
  </si>
  <si>
    <t>mihirkp2@illinois.edu</t>
  </si>
  <si>
    <t>Tran, Thanh/S-7939-2018</t>
  </si>
  <si>
    <t>Patil, Mihir K./0000-0001-6423-1746; Lam, Chloe/0000-0003-4227-6753</t>
  </si>
  <si>
    <t>e13734</t>
  </si>
  <si>
    <t>10.1111/srt.13734</t>
  </si>
  <si>
    <t>UU7V1</t>
  </si>
  <si>
    <t>WOS:001250649500001</t>
  </si>
  <si>
    <t>Breath of Change: Evaluating Asthma Information on TikTok and Introducing the Video Health Information Credibility Score</t>
  </si>
  <si>
    <t>social media analytics; digital health education; tiktok; asthma; online patient education; vhics</t>
  </si>
  <si>
    <t>Introduction Asthma's global prevalence underscores the need for accessible health information dissemination, especially in the digital age. TikTok, known for its wide reach and diverse content, presents both opportunities and challenges in health information dissemination. This study aims to characterize the quality and reach of asthma -related content on TikTok and introduces the Video Health Information Credibility Score (VHICS) as a novel tool for quality assessment. Materials and methods We used a systematic methodology to analyze the top 100 TikTok videos by the number of likes tagged with #asthma. Data were collected in June 2023 and January 2024 to allow for temporal trend analysis. Videos were evaluated based on engagement metrics (views, likes, comments, shares, and favorites) and quality using the DISCERN instrument. Results Our analysis showed that physician -generated content accounted for a significant proportion of asthmarelated videos, with varying levels of engagement. The DISCERN scores, with a range of 1 (lowest) to 5 highest), provided insights into content quality, revealing trends in user engagement and information reliability over time. Temporal analysis indicated changes in content creation and audience interaction. Discussion The study highlights the evolving landscape of digital health communication on TikTok. The introduction of VHICS added depth to the quality assessment of future directions, indicating the necessity for accurate and reliable health information on social media. The findings suggest an imperative for healthcare professionals to address misinformation and leverage digital platforms for patient education effectively. Conclusions TikTok is a significant medium for health information dissemination, with substantial potential for impact in patient education. The introduction of VHICS can enrich the analysis of video content, offering a robust tool for assessing the quality of health information on social media. This study underscores the importance of credible, clear, and audience -relevant health communication in the digital era.</t>
  </si>
  <si>
    <t>FEB 15</t>
  </si>
  <si>
    <t>e54247</t>
  </si>
  <si>
    <t>10.7759/cureus.54247</t>
  </si>
  <si>
    <t>NC4J6</t>
  </si>
  <si>
    <t>WOS:001198234200009</t>
  </si>
  <si>
    <t>Egnew, H; Yu, V; Nelson, AL; Guenther, E</t>
  </si>
  <si>
    <t>Egnew, H.; Yu, V.; Nelson, A. L.; Guenther, E.</t>
  </si>
  <si>
    <t>PERCEPTION AND CONTRACEPTION: ATTITUDES TOWARDS HORMONAL BIRTH CONTROL ON TIKTOK</t>
  </si>
  <si>
    <t>[Egnew, H.; Yu, V.; Nelson, A. L.; Guenther, E.] Western Univ Hlth Sci, Coll Osteopath Med Pacific, Pomona, CA USA</t>
  </si>
  <si>
    <t>Western University of Health Sciences</t>
  </si>
  <si>
    <t>J. Invest. Med.</t>
  </si>
  <si>
    <t>10.1136/jim-2022-WRMC.215</t>
  </si>
  <si>
    <t>XY9PH</t>
  </si>
  <si>
    <t>WOS:000737295900236</t>
  </si>
  <si>
    <t>Velarde-Camaqui, D; Viehmann, C; Diaz, R; Valerio-Ureña, G</t>
  </si>
  <si>
    <t>Velarde-Camaqui, Davis; Viehmann, Cristina; Diaz, Rosa; Valerio-Urena, Gabriel</t>
  </si>
  <si>
    <t>Factors favoring digital engagement of science communicators in TikTok</t>
  </si>
  <si>
    <t>Science dissemination; Science outreach; Digital engagement; TikTok; Interaction; Science communication</t>
  </si>
  <si>
    <t>Introduction: Science dissemination seeks to involve the public in science and stimulate discussion on scientific topics. This practice has spread in recent years thanks to the rise of social networks. Among these networks, TikTok has become a medium for science literacy, particularly among a young audience. Methodology: The methodological approach was made through a mixed position.The objective of this research was to describe the characteristics of the content associated with engagement in Spanish-speaking science communicators through TikTok. We analyzed the content (videos) of 10 popularizers who use a TikTok account to disseminate their content. The format, type and content of 94 videos shared by these popularizers between August and December 2022 were analyzed. Results: It was found that some of the characteristics related to higher engagement were: video length (&gt;60 seconds), number of hashtags (between 5 and 10), use of animated infographics, news presentation, adherence to the stated mission (typically disseminating science) and not making videos for advertising purposes. Discussion: Although the study of digital engagement in social networks is not new, the particular case of science communicators in social networks is still a new field. Conclusions: The results of this study can be important inputs to help science communicators improve their level of engagement.</t>
  </si>
  <si>
    <t>[Velarde-Camaqui, Davis; Viehmann, Cristina; Diaz, Rosa; Valerio-Urena, Gabriel] Tecnol Monterrey, Zapopan, Mexico</t>
  </si>
  <si>
    <t>Tecnologico de Monterrey</t>
  </si>
  <si>
    <t>Velarde-Camaqui, D (corresponding author), Tecnol Monterrey, Zapopan, Mexico.</t>
  </si>
  <si>
    <t>a00832505@tec.mx; a00807496@tec.mx; a00832504@tec.mx; gvalerio@tec.mx</t>
  </si>
  <si>
    <t>Viehmann, Cristina/KHV-6320-2024</t>
  </si>
  <si>
    <t>10.4185/RLCS-2024-2232</t>
  </si>
  <si>
    <t>KH6P0</t>
  </si>
  <si>
    <t>WOS:001179110900001</t>
  </si>
  <si>
    <t>Nikookam, Y; Guckian, J</t>
  </si>
  <si>
    <t>Nikookam, Y.; Guckian, J.</t>
  </si>
  <si>
    <t>TikTok™ and dermatology: lessons for medical education</t>
  </si>
  <si>
    <t>[Nikookam, Y.] Univ Birmingham, Birmingham Med Sch Birmingham, Coll Med &amp; Dent Sci, Birmingham, W Midlands, England; [Guckian, J.] Leeds Teaching Hosp NHS Trust, Med Educ Leeds Gen Infirm, Leeds, W Yorkshire, England</t>
  </si>
  <si>
    <t>University of Birmingham; University of Leeds</t>
  </si>
  <si>
    <t>Nikookam, Y (corresponding author), Univ Birmingham, Birmingham Med Sch Birmingham, Coll Med &amp; Dent Sci, Birmingham, W Midlands, England.</t>
  </si>
  <si>
    <t>yasminnikookam@gmail.com</t>
  </si>
  <si>
    <t>nikookam, yasmin/AAS-7607-2021</t>
  </si>
  <si>
    <t>Nikookam, Yasmin/0000-0003-0796-7233; Guckian, Jonathan/0000-0002-8162-1583</t>
  </si>
  <si>
    <t>10.1111/ced.14624</t>
  </si>
  <si>
    <t>SS6GW</t>
  </si>
  <si>
    <t>WOS:000630537500001</t>
  </si>
  <si>
    <t>Pose: Examining moments of digital dark sousveillance on TikTok</t>
  </si>
  <si>
    <t>Algorithms; content moderation; race; surveillance; TikTok; visual analysis</t>
  </si>
  <si>
    <t>Over the past year, many young creators who use the Chinese-owned social networking platform TikTok have claimed that its underlying algorithm surveils and suppresses the reach of content by Black, brown, fat, queer, and disabled creators. However, despite these algorithmic biases, these marginalized creators have continued to find new and ingenious ways to not only create but also successfully share anti-racist, anti-misogynistic, LGBTQIA+supportive, and body-positive content on the platform. Using this tension, this essay engages visual content analysis and critical technocultural discourse analysis to examine the innovative ways marginalized creators employ TikTok's various medium and technological affordances to evade algorithmic surveillance and oppression. Building on Simone Browne's concept of dark sousveillance, I theorize these practices as acts of digital dark sousveillance, defined within the essay as the use of digital tools to enact surveillance subversion, obfuscation, inversion while operating within systems of racializing surveillance.</t>
  </si>
  <si>
    <t>[Peterson-Salahuddin, Chelsea] Northwestern Univ, Media Technol &amp; Soc, Evanston, IL 60208 USA</t>
  </si>
  <si>
    <t>Peterson-Salahuddin, C (corresponding author), Northwestern Univ, 2240 Campus Dr, Evanston, IL 60208 USA.</t>
  </si>
  <si>
    <t>chelseapeterson-salahuddin2022@u.northwestern.edu</t>
  </si>
  <si>
    <t>10.1177/14614448221080480</t>
  </si>
  <si>
    <t>TH0A7</t>
  </si>
  <si>
    <t>WOS:000780141700001</t>
  </si>
  <si>
    <t>Porter, E; Tam, J; Lee, U</t>
  </si>
  <si>
    <t>Porter, Emily; Tam, Justina; Lee, Una</t>
  </si>
  <si>
    <t>EXAMINATION OF INFORMATION AND MISINFORMATION ON URINARY TRACT INFECTIONS ON TIKTOK AND YOUTUBE</t>
  </si>
  <si>
    <t>JOURNAL OF UROLOGY</t>
  </si>
  <si>
    <t>0022-5347</t>
  </si>
  <si>
    <t>1527-3792</t>
  </si>
  <si>
    <t>J UROLOGY</t>
  </si>
  <si>
    <t>J. Urol.</t>
  </si>
  <si>
    <t>PD32-08</t>
  </si>
  <si>
    <t>E547</t>
  </si>
  <si>
    <t>UN0BR</t>
  </si>
  <si>
    <t>WOS:000693688500353</t>
  </si>
  <si>
    <t>Isaac, S; Acero, N; Kolesnikova, K; Howell, E</t>
  </si>
  <si>
    <t>Isaac, Sarah; Acero, Nicole; Kolesnikova, Kateryna; Howell, Emily</t>
  </si>
  <si>
    <t>Endometriosis on TikTok: Evaluating social media misinformation and the role of healthcare professionals</t>
  </si>
  <si>
    <t>JOURNAL OF ENDOMETRIOSIS AND PELVIC PAIN DISORDERS</t>
  </si>
  <si>
    <t>social media; TikTok; misinformation; endometriosis; women's health; pelvic pain; healthcare professional</t>
  </si>
  <si>
    <t>SHARED DECISION-MAKING; SATISFACTION</t>
  </si>
  <si>
    <t>Introduction: TikTok is often the first source teens and young adult patients turn to for medical information, a short-form social media video application known to promote videos with inaccurate information. The primary goal of this study was to characterize popular endometriosis misinformation found on TikTok, with the secondary goal of describing attitudes surrounding endometriosis on TikTok so that physicians can be knowledgeable about the content available on the internet, and be prepared when patients talk about endometriosis misinformation.Methods: The top 100 videos under the three most popular endometriosis search terms were assessed for misinformation in four categories: incorrect causes, incorrect symptoms, incorrect treatment, and other incorrect information. Non-English, inaudible, duplicated, or irrelevant videos were excluded from analysis. Videos were analyzed until 100 valid videos were identified in each search term. Metadata was collected, including whether the video was created by a physician or non-physician and attitudes toward endometriosis. Chi squares, Fisher's Exact Tests, and Mann-Whitney U tests were performed as appropriate.Results: Of total, 298 videos met the eligibility criteria for review. Fifty videos were created by individual physicians and 248 were created by non-physicians. Overall, out of 298 videos, 69 videos (23%) had incorrect or misleading information about causes, treatment, symptoms, or information about endometriosis. Only 1% of the analyzed videos discussed medication management other than COCPs. Nonphysician sources were associated with negative attitudes (p &lt; 0.003). Nonphysician videos were more likely to contain misinformation in at least one category, compared to physician videos (p &lt; 0.0008). Despite the greater volume of non-physician videos, those created by physicians were more likely to be shared. Misinformation from non-physician sources was associated with positive/neutral attitudes toward endometriosis and treatment (p &lt; 0.00002).Discussion: This study reveals that TikTok hosts a high volume of endometriosis misinformation, especially about endometrosis treatments. Popular TikTok misinformation tends not to reflect traditional misconceptions, but rather modern misinformation trends of holistic health and wellness. Physicians should be prepared to have respectful discussions about endometriosis treatments found on TikTok without invalidating the emotions that led patients to seek information on the internet.</t>
  </si>
  <si>
    <t>[Isaac, Sarah; Acero, Nicole] Hackensack Meridian Sch Med, 123 Metro Blvd, Nutley, NJ 07110 USA; [Kolesnikova, Kateryna; Howell, Emily] Hackensack Meridian Univ, Dept Obstet &amp; Gynecol, Med Ctr, Hackensack, NJ USA</t>
  </si>
  <si>
    <t>Isaac, S (corresponding author), Hackensack Meridian Sch Med, 123 Metro Blvd, Nutley, NJ 07110 USA.</t>
  </si>
  <si>
    <t>smoisaac@gmail.com</t>
  </si>
  <si>
    <t>Isaac, Sarah/0009-0006-7090-0815; Acero, Nicole/0009-0003-4476-0415</t>
  </si>
  <si>
    <t>2284-0265</t>
  </si>
  <si>
    <t>2284-0273</t>
  </si>
  <si>
    <t>J ENDOMETR PELVIC PA</t>
  </si>
  <si>
    <t>J. Endometr. Pelvic Pain Disord.</t>
  </si>
  <si>
    <t>10.1177/22840265231220089</t>
  </si>
  <si>
    <t>LQ8W8</t>
  </si>
  <si>
    <t>WOS:001140048700001</t>
  </si>
  <si>
    <t>Fake German TikTok users could spread false election info</t>
  </si>
  <si>
    <t>NEW SCIENTIST LTD</t>
  </si>
  <si>
    <t>25 BEDFORD ST, LONDON, ENGLAND</t>
  </si>
  <si>
    <t>SEP 25</t>
  </si>
  <si>
    <t>UX1HP</t>
  </si>
  <si>
    <t>WOS:000700598500021</t>
  </si>
  <si>
    <t>Presley, CL; Pulsipher, KJ; Rietcheck, HR; Szeto, MD; Laughter, M; Dellavalle, R</t>
  </si>
  <si>
    <t>Presley, C. L.; Pulsipher, K. J.; Rietcheck, H. R.; Szeto, M. D.; Laughter, M.; Dellavalle, R.</t>
  </si>
  <si>
    <t>TikTok: An emerging social media platform for dermatologist influencers</t>
  </si>
  <si>
    <t>[Presley, C. L.; Pulsipher, K. J.] Rocky Vista Univ, Coll Osteopath Med, Parker, CO USA; [Rietcheck, H. R.; Szeto, M. D.; Laughter, M.; Dellavalle, R.] Univ Colorado, Dept Dermatol, Anschutz Med Campus, Aurora, CO USA; [Dellavalle, R.] Univ Colorado, Dept Epidemiol, Anschutz Med Campus, Aurora, CO USA; [Dellavalle, R.] US Dept Vet Affairs, Rocky Mt Reg Med Ctr, Dermatol Serv, Aurora, CO USA</t>
  </si>
  <si>
    <t>University of Colorado System; University of Colorado Anschutz Medical Campus; University of Colorado System; University of Colorado Anschutz Medical Campus; US Department of Veterans Affairs</t>
  </si>
  <si>
    <t>Szeto, Mindy/GPP-5886-2022; Dellavalle, Robert/L-2020-2013</t>
  </si>
  <si>
    <t>S65</t>
  </si>
  <si>
    <t>WOS:000641872800369</t>
  </si>
  <si>
    <t>Chapman, K</t>
  </si>
  <si>
    <t>Chapman, Kristina</t>
  </si>
  <si>
    <t>Making a Scene Telling Stories and Engaging Audiences on TikTok</t>
  </si>
  <si>
    <t>METRO</t>
  </si>
  <si>
    <t>AUSTRALIAN TEACHERS MEDIA INC</t>
  </si>
  <si>
    <t>KILDA WEST</t>
  </si>
  <si>
    <t>PO BOX 2040 ST, KILDA WEST, VIC 3182, AUSTRALIA</t>
  </si>
  <si>
    <t>0312-2654</t>
  </si>
  <si>
    <t>Metro</t>
  </si>
  <si>
    <t>8R4PE</t>
  </si>
  <si>
    <t>WOS:000927876100022</t>
  </si>
  <si>
    <t>Bouchard, L</t>
  </si>
  <si>
    <t>Bouchard, Lauren</t>
  </si>
  <si>
    <t>DECODING TIKTOK: UTILIZING SOCIAL MEDIA FOR DIFFICULT CONVERSATIONS ABOUT AGEISM</t>
  </si>
  <si>
    <t>INNOVATION IN AGING</t>
  </si>
  <si>
    <t>[Bouchard, Lauren] Concordia Univ Chicago, Chicago, IL USA</t>
  </si>
  <si>
    <t>2399-5300</t>
  </si>
  <si>
    <t>INNOV AGING</t>
  </si>
  <si>
    <t>Innov. Aging</t>
  </si>
  <si>
    <t>Geriatrics &amp; Gerontology; Gerontology</t>
  </si>
  <si>
    <t>3V9XA</t>
  </si>
  <si>
    <t>WOS:000842009900740</t>
  </si>
  <si>
    <t>Dubrosa, F; Sangiuolo, K; Terala, A; Cheng, EI; Wang, XH; O'Connor, M; Bakhtiani, P</t>
  </si>
  <si>
    <t>Dubrosa, Fiona; Sangiuolo, Kara; Terala, Ananya; Cheng, Elaine; Wang, Xihang; O'Connor, Mary; Bakhtiani, Priyanka</t>
  </si>
  <si>
    <t>Hashtag hormones: characterizing PCOS-related content on TikTok</t>
  </si>
  <si>
    <t>HORMONE RESEARCH IN PAEDIATRICS</t>
  </si>
  <si>
    <t>[Dubrosa, Fiona] Carnegie Mellon Univ, Pittsburgh, PA USA; [Sangiuolo, Kara] Univ Virginia, Charlottesville, VA USA; [Terala, Ananya] Vanderbilt Univ, Nashville, TN USA; [Cheng, Elaine] Yale Univ, New Haven, CT USA; [Wang, Xihang] Cornell Univ, New York, NY USA; [O'Connor, Mary] Harvard Univ, Boston, MA USA; [Bakhtiani, Priyanka] Childrens Hosp Los Angeles, Los Angeles, CA USA; [Bakhtiani, Priyanka] Univ Southern Calif, Keck Sch Med, Los Angeles, CA USA</t>
  </si>
  <si>
    <t>Carnegie Mellon University; University of Virginia; Vanderbilt University; Yale University; Cornell University; Harvard University; Children's Hospital Los Angeles; University of Southern California</t>
  </si>
  <si>
    <t>Bakhtiani, Priyanka/GQA-2597-2022</t>
  </si>
  <si>
    <t>KARGER</t>
  </si>
  <si>
    <t>ALLSCHWILERSTRASSE 10, CH-4009 BASEL, SWITZERLAND</t>
  </si>
  <si>
    <t>1663-2818</t>
  </si>
  <si>
    <t>1663-2826</t>
  </si>
  <si>
    <t>HORM RES PAEDIAT</t>
  </si>
  <si>
    <t>Horm. Res. Paediatr.</t>
  </si>
  <si>
    <t>SUPPL 2</t>
  </si>
  <si>
    <t>P134</t>
  </si>
  <si>
    <t>Endocrinology &amp; Metabolism; Pediatrics</t>
  </si>
  <si>
    <t>9V5SP</t>
  </si>
  <si>
    <t>WOS:000948452600222</t>
  </si>
  <si>
    <t>Chadee, P; Evans, S</t>
  </si>
  <si>
    <t>Chadee, Preetisha; Evans, Sacha</t>
  </si>
  <si>
    <t>Representation of #CAMHS on social media platform TikTok</t>
  </si>
  <si>
    <t>BJPSYCH OPEN</t>
  </si>
  <si>
    <t>[Chadee, Preetisha; Evans, Sacha] Great Ormond St Hosp Sick Children, London, England</t>
  </si>
  <si>
    <t>University of London; University College London; Great Ormond Street Hospital for Children NHS Foundation Trust</t>
  </si>
  <si>
    <t>Evans, Sacha/HNP-5929-2023</t>
  </si>
  <si>
    <t>Evans, Sacha/0000-0002-5113-8005</t>
  </si>
  <si>
    <t>2056-4724</t>
  </si>
  <si>
    <t>BJPsych Open</t>
  </si>
  <si>
    <t>S241</t>
  </si>
  <si>
    <t>S242</t>
  </si>
  <si>
    <t>10.1192/bjo.2021.645</t>
  </si>
  <si>
    <t>TI1YU</t>
  </si>
  <si>
    <t>WOS:000672583402128</t>
  </si>
  <si>
    <t>Rossi, NA; Devarajan, K; Chokshi, SN; Ochoa, VJ; Benavidez, M; Malaya, LT; Ohlstein, JF; Young, DL; McKinnon, BJ</t>
  </si>
  <si>
    <t>Rossi, Nicholas A.; Devarajan, Karthik; Chokshi, Shivan N.; Ochoa, Vanesa J.; Benavidez, Mia; Malaya, Lauren T.; Ohlstein, Jason F.; Young, Dayton L.; McKinnon, Brian J.</t>
  </si>
  <si>
    <t>Social Media Depictions of Cochlear Implants: An Instagram and TikTok Analysis</t>
  </si>
  <si>
    <t>OTOLOGY &amp; NEUROTOLOGY</t>
  </si>
  <si>
    <t>Cochlear implantation; Cochlear implants; Communications media; Otolaryngologists; Perception; Social media</t>
  </si>
  <si>
    <t>HEALTH-CARE PROFESSIONALS; INFORMATION; SURGEONS</t>
  </si>
  <si>
    <t>ObjectiveTo identify populations of authors who post about cochlear implants (CIs) on Instagram and TikTok, to illustrate the content of these posts, and to elucidate factors that might help surgeons better educate CI patients.Study DesignQualitative study.SettingInstagram and TikTok social media platforms.PatientsAll public social media posts identified with the search terms below. Posts were excluded if unrelated to CIs or if written in a non-English language.InterventionInstagram and TikTok were searched for posts from March 2021 through September 2021 with the search terms #cochlearimplant, #cochlearimplants, #cochlearimplantkids, #cochlearkids, and #cochlearfamily.Main Outcome MeasuresPosts were subclassified and analyzed for content including topics of posts, authorship, timeframe of posts, depiction of CIs, and popularity.ResultsOf 1,942 posts included in the final analysis, 1,400 were found on Instagram and 542 on TikTok. Authors were mostly patients (n = 771, 39.7%), companies (n = 568, 29.2%), and patients' family members (n = 482, 24.8%). Only 21 posts were made by physicians (1.1%). Out of 379 total educational posts examined, patients themselves were the most common authors (n = 219, 57.8%) followed by patients' family members (n = 139, 36.7%). Physicians authored only a small fraction of all educational posts (n = 19, 5.0%).ConclusionsThis study showed minimal physician involvement in the CI social media spheres of Instagram and TikTok. In addition, there were few educational posts on either platform, revealing ample opportunity for physicians to become more involved with CI social media.</t>
  </si>
  <si>
    <t>[Rossi, Nicholas A.; Devarajan, Karthik; Young, Dayton L.; McKinnon, Brian J.] Univ Texas Med Branch, Dept Otolaryngol Head &amp; Neck Surg, Galveston, TX USA; [Chokshi, Shivan N.; Ochoa, Vanesa J.; Benavidez, Mia; Malaya, Lauren T.] Univ Texas Med Branch, Sch Med, Galveston, TX USA; [Ohlstein, Jason F.] St Lukes Univ Hosp, Dept Otolaryngol, Bethlehem, PA USA; [Rossi, Nicholas A.] Univ Texas Med Branch, Dept Otolaryngol, 301Univers Blvd, Galveston, TX 77550 USA</t>
  </si>
  <si>
    <t>University of Texas System; University of Texas Medical Branch Galveston; University of Texas System; University of Texas Medical Branch Galveston; University of Texas System; University of Texas Medical Branch Galveston</t>
  </si>
  <si>
    <t>Rossi, NA (corresponding author), Univ Texas Med Branch, Dept Otolaryngol, 301Univers Blvd, Galveston, TX 77550 USA.</t>
  </si>
  <si>
    <t>nicholas.armando.rossi@gmail.com; kadevara@utmb.edu; snchoksh@utmb.edu; vjochoa@utmb.edu; mibenavi@utmb.edu; ltmalaya@utmb.edu; jasonohlstein@gmail.com; dlyoung@utmb.edu; brmckinn@utmb.edu</t>
  </si>
  <si>
    <t>McKinnon, Brian/J-7902-2019</t>
  </si>
  <si>
    <t>Malaya, Lauren/0000-0003-2942-8687</t>
  </si>
  <si>
    <t>1531-7129</t>
  </si>
  <si>
    <t>1537-4505</t>
  </si>
  <si>
    <t>OTOL NEUROTOL</t>
  </si>
  <si>
    <t>Otol. Neurotol.</t>
  </si>
  <si>
    <t>E13</t>
  </si>
  <si>
    <t>E21</t>
  </si>
  <si>
    <t>10.1097/MAO.0000000000003744</t>
  </si>
  <si>
    <t>Clinical Neurology; Otorhinolaryngology</t>
  </si>
  <si>
    <t>Neurosciences &amp; Neurology; Otorhinolaryngology</t>
  </si>
  <si>
    <t>7A2KR</t>
  </si>
  <si>
    <t>WOS:000898291800006</t>
  </si>
  <si>
    <t>Cooper, RA</t>
  </si>
  <si>
    <t>Cooper, R. Amanda</t>
  </si>
  <si>
    <t>#PositiveAging: A Content Analysis of Positive Aging TikTok Videos</t>
  </si>
  <si>
    <t>INTERNATIONAL JOURNAL OF AGING &amp; HUMAN DEVELOPMENT</t>
  </si>
  <si>
    <t>communication ecology model of successful aging; positive aging; TikTok; content analysis; communication</t>
  </si>
  <si>
    <t>INTERRATER RELIABILITY; MEMORABLE MESSAGES; COMMUNICATION; ADVERTISEMENTS; PORTRAYAL; VARIANCE</t>
  </si>
  <si>
    <t>The communication ecology model of successful aging (CEMSA) proposes that the messages individuals receive from the social environment, and their own communication about aging, shape the communication ecology of aging, which in turn influences the degree to which individuals experience successful aging. This content analysis study provides insight into the communication ecology of aging by examining the messages about aging forwarded by positive aging TikTok videos. Two-hundred and seventy videos from the top five most viewed positive aging hashtags were coded. Messages about appearance and evaluations of aging appear more frequently than messages about ability or advice about aging. Overall, these videos presented aging in a positive light; however, messages about skin, cognitive ability, advice about aging, and the #agingwell hashtag represented aging in a more negative light. The majority of positive aging TikTok videos feature middle-aged and older adults. Implications for the CEMSA are discussed.</t>
  </si>
  <si>
    <t>[Cooper, R. Amanda] Univ Connecticut, Dept Commun, 337 Mansfield Rd,Unit 1259, Storrs, CT 06269 USA</t>
  </si>
  <si>
    <t>University of Connecticut</t>
  </si>
  <si>
    <t>Cooper, RA (corresponding author), Univ Connecticut, Dept Commun, 337 Mansfield Rd,Unit 1259, Storrs, CT 06269 USA.</t>
  </si>
  <si>
    <t>amandacooper@uconn.edu</t>
  </si>
  <si>
    <t>Cooper, R. Amanda/0000-0001-8771-6842</t>
  </si>
  <si>
    <t>0091-4150</t>
  </si>
  <si>
    <t>1541-3535</t>
  </si>
  <si>
    <t>INT J AGING HUM DEV</t>
  </si>
  <si>
    <t>Int. J. Aging Human Dev.</t>
  </si>
  <si>
    <t>2024 NOV 18</t>
  </si>
  <si>
    <t>10.1177/00914150241297895</t>
  </si>
  <si>
    <t>Gerontology; Psychology, Developmental</t>
  </si>
  <si>
    <t>Geriatrics &amp; Gerontology; Psychology</t>
  </si>
  <si>
    <t>M3P4T</t>
  </si>
  <si>
    <t>WOS:001356696000001</t>
  </si>
  <si>
    <t>Marino, F</t>
  </si>
  <si>
    <t>Marino, Francesca</t>
  </si>
  <si>
    <t>#Twospirit: Identity construction through stance-taking on TikTok</t>
  </si>
  <si>
    <t>DISCOURSE CONTEXT &amp; MEDIA</t>
  </si>
  <si>
    <t>Two-spirit; Identity; Stance; TikTok; Multimodal discourse analysis</t>
  </si>
  <si>
    <t>Digital platforms offer users various meaning-making resources to express their stances towards specific issues, and, as a result, to perform and manage their identities. Drawing on multimodal discourse analysis, this paper explored how individuals who identify as Two-Spirit, an umbrella term used within Native American communities to refer to non-binary people, discursively construct their identities on the popular video-sharing platform TikTok by enacting varied practices of stance taking. Specifically, this paper provides a detailed analysis of three videos marked by the hashtag #TwoSpirit in which the content creators explain the meaning of the term to their audience. The findings not only illustrate the approaches taken by three content creators to the explanation of the term (i.e., contrastive, pedagogical, and metamorphic), but also shed light on the multimodal nature of stancetaking on TikTok and the centrality of embodied practices in the mediated era. In detail, embodied practices are seen as particularly relevant to disrupting colonial heteropatriarchy.</t>
  </si>
  <si>
    <t>[Marino, Francesca] Univ S Florida, Dept World Languages, 4202 E Fowler Ave, Tampa, FL 33620 USA</t>
  </si>
  <si>
    <t>State University System of Florida; University of South Florida</t>
  </si>
  <si>
    <t>Marino, F (corresponding author), Univ S Florida, Dept World Languages, 4202 E Fowler Ave, Tampa, FL 33620 USA.</t>
  </si>
  <si>
    <t>fmarino@usf.edu</t>
  </si>
  <si>
    <t>Marino, Francesca/0000-0003-2515-5642</t>
  </si>
  <si>
    <t>2211-6958</t>
  </si>
  <si>
    <t>2211-6966</t>
  </si>
  <si>
    <t>DISCOURSE CONTEXT ME</t>
  </si>
  <si>
    <t>Discourse Context Media</t>
  </si>
  <si>
    <t>10.1016/j.dcm.2023.100711</t>
  </si>
  <si>
    <t>N4XT6</t>
  </si>
  <si>
    <t>WOS:001037067000001</t>
  </si>
  <si>
    <t>Kang, H; Lou, C</t>
  </si>
  <si>
    <t>Kang, Hyunjin; Lou, Chen</t>
  </si>
  <si>
    <t>AI agency vs. human agency: understanding human-AI interactions on TikTok and their implications for user engagement</t>
  </si>
  <si>
    <t>TikTok; social media; human-machine communication; artificial intelligence; machine agency; user agency; user engagement</t>
  </si>
  <si>
    <t>SOCIAL MEDIA; ALGORITHMS; PERSONALIZATION; MOTIVATION; MODEL</t>
  </si>
  <si>
    <t>Lay Summary Artificial intelligence (AI) technology has now been widely applied to social media. AI arranges posts based on user preferences and helps users easily create and share social media posts. AI-based algorithms underlying social media make decisions and initiate actions when interacting with human users, suggesting that machine agency and human agency coexist in human-machine interactions on AI-based social media. This study explores how TikTok users collaborate with AI, specifically focusing on the dynamics between human agency and machine agency, and how such dynamics shape user engagement. In-depth interviews with 25 TikTok users indicate that users are largely receptive to the personalized experiences offered by AI-enabled algorithms. Human users and AI-based algorithms also influence each other when the two interact, leading to human-AI synergy effects. Users try to train algorithms to provide a personalized feed that caters to their interests more precisely. AI also facilitates users' content creation and networking by reducing the efforts to exercise user agency. This study also finds that AI-user collaboration on TikTok influences user engagement with the platform and social-interactive engagement. These findings advance our understanding of how human agency driven by users and machine agency driven by AI collaboratively transform user engagement. Artificial intelligence (AI) technology has vastly reshaped user experiences on social media. AI-powered social media use and its outcomes largely depend on how users collaborate with AI that exercises agency. Through in-depth interviews with TikTok users, this study investigates how users collaborate with AI when using AI-powered social media and how such dynamics shape user engagement. We found that TikTok users are receptive to personalized experiences enabled by machine agency. However, by influencing each other, user agency and machine agency also led to user-AI synergy. Users deliberately influence content curation algorithms to make them cater more precisely to their needs; AI also facilitates users' content creation and networking. Such AI-user collaboration on TikTok significantly influences medium engagement and social-interactive engagement. These findings advance our understanding of the dynamics between human agency and machine agency and, thus, how AI transforms user experiences on social media.</t>
  </si>
  <si>
    <t>[Kang, Hyunjin; Lou, Chen] Nanyang Technol Univ, Wee Kim Wee Sch Commun &amp; Informat, Singapore, Singapore</t>
  </si>
  <si>
    <t>Nanyang Technological University</t>
  </si>
  <si>
    <t>Kang, H (corresponding author), Nanyang Technol Univ, Wee Kim Wee Sch Commun &amp; Informat, Singapore, Singapore.</t>
  </si>
  <si>
    <t>hjkang@ntu.edu.sg</t>
  </si>
  <si>
    <t>Kang, Hyunjin/0000-0002-8076-7126</t>
  </si>
  <si>
    <t>Ministry of Education, Singapore [2019-T1-002-115]; Special Teaching and Research (STAR) Fund from Nanyang Technological University, Singapore</t>
  </si>
  <si>
    <t>Ministry of Education, Singapore(Ministry of Education, Singapore); Special Teaching and Research (STAR) Fund from Nanyang Technological University, Singapore</t>
  </si>
  <si>
    <t>The research was supported by the first author's Tier 1 Grant (2019-T1-002-115) from Ministry of Education, Singapore and Special Teaching and Research (STAR) Fund from Nanyang Technological University, Singapore.</t>
  </si>
  <si>
    <t>zmac014</t>
  </si>
  <si>
    <t>10.1093/jcmc/zmac014</t>
  </si>
  <si>
    <t>3V2ZK</t>
  </si>
  <si>
    <t>WOS:000841532700001</t>
  </si>
  <si>
    <t>Meade, MJ; Dreyer, CW</t>
  </si>
  <si>
    <t>Meade, Maurice J.; Dreyer, Craig W.</t>
  </si>
  <si>
    <t>Analysis of the information contained within TikTok videos regarding orthodontic retention</t>
  </si>
  <si>
    <t>JOURNAL OF THE WORLD FEDERATION OF ORTHODONTISTS</t>
  </si>
  <si>
    <t>Tiktok; Orthodontic retention; Quality of information; Retainers; Social media</t>
  </si>
  <si>
    <t>YOUTUBE; QUALITY; RETAINERS; POSTS</t>
  </si>
  <si>
    <t>Background: To analyze the content, reliability, and quality of relevant TikTok videos regarding orthodontic retention. Methods: Six relevant terms were searched on the TikTok social media Web site. Uploaded videos satis-fying inclusion/exclusion criteria were assessed for the presence of nine predetermined content domains and categorized as high-content ( &gt;= 5) or low-content ( &lt; 5). Reliability was determined using the DIS-CERN instrument and quality by the Global Quality Score (GQS). Layperson videos were evaluated for themes using discourse analysis. Intraclass coefficients for content, DISCERN scores, and GQS were calcu-lated for intrarater reliability. Statistical analysis was via IBM SPSS Statistics (version 27.0.0.0; SPSS Inc. Chicago, IL). Results: Orthodontists uploaded 37.8% and laypersons 34% of the 209 assessed videos. Just 22.1% of videos were considered to be 'high-content.' Quality of life issues related to retainer wear was the domain that was present least often in the videos provided by orthodontists (13.9%) and most often in those uploaded by laypersons (53.5%). High-content videos recorded greater mean GQS and DISCERN scores compared with low-content videos ( P &lt; 0.001). Strong positive associations existed between the number of domains present and DISCERN scores (rho = 0.808; P &lt; 0.01) and between GQS and DISCERN scores (rho = 0.67; P &lt; 0.01). Intraclass coefficient scores ranged between 0.92 and 0.98. Dissatisfaction with the need for long-term retainer wear was a prevalent negative theme in layperson videos. Conclusions: The content, reliability, and quality of TikTok videos regarding orthodontic retention were poor. The orthodontic profession must use TikTok effectively to ensure it delivers high-quality information relevant to laypersons' concerns.</t>
  </si>
  <si>
    <t>[Meade, Maurice J.] Univ Adelaide, PR Begg Chair Orthodont, Adelaide Dent Sch, Dept Orthodont, Adelaide, SA, Australia; [Dreyer, Craig W.] Univ Adelaide, Adelaide Dent Sch, Dept Orthodont, Adelaide, SA, Australia</t>
  </si>
  <si>
    <t>University of Adelaide; University of Adelaide</t>
  </si>
  <si>
    <t>Meade, MJ (corresponding author), Univ Adelaide, PR Begg Chair Orthodont, Adelaide Dent Sch, Dept Orthodont, Adelaide, SA, Australia.</t>
  </si>
  <si>
    <t>maurice.meade@adelaide.edu.au</t>
  </si>
  <si>
    <t>MEADE, MAURICE/AAN-8644-2020</t>
  </si>
  <si>
    <t>meade, maurice/0000-0001-5688-1079</t>
  </si>
  <si>
    <t>2212-4438</t>
  </si>
  <si>
    <t>J WORLD FED ORTHOD</t>
  </si>
  <si>
    <t>J. World Fed. Orthod.</t>
  </si>
  <si>
    <t>10.1016/j.ejwf.2022.06.001</t>
  </si>
  <si>
    <t>5M4MU</t>
  </si>
  <si>
    <t>WOS:000871072200006</t>
  </si>
  <si>
    <t>Greene, AK; Maloul, EK; Norling, HN; Palazzolo, LPA; Brownstone, LM</t>
  </si>
  <si>
    <t>Greene, Amanda K.; Maloul, Elana K.; Norling, Hannah N.; Palazzolo, L. P. A.; Brownstone, Lisa M.</t>
  </si>
  <si>
    <t>Systems and Selves: An Exploratory Examination of Dissociative Identity Disorder on TikTok</t>
  </si>
  <si>
    <t>QUALITATIVE PSYCHOLOGY</t>
  </si>
  <si>
    <t>thematic analysis; content analysis; dissociative identity disorder; TikTok; social media</t>
  </si>
  <si>
    <t>SOCIAL MEDIA USE; SUPPORT; INPATIENTS; MYTHS</t>
  </si>
  <si>
    <t>In 2020, in the midst of COVID-19 related social distancing, the relatively new social media platform, TikTok, burgeoned in popularity. One somewhat surprising topic area that rose to prominence on the platform during this time was dissociative identity disorder (DID). Some researchers and clinicians expressed concern that the proliferation of DID content on the platform may have contributed to a marked increase in individuals presenting with DID and related symptoms. However, given that the relationship between DID and the media has historically been fraught with skepticism, as well as recent work by Christensen (2022) highlighting the development of Plural cultures online, it is critical to better understand DID on TikTok before passing such judgements. This study presents the first examination of the DID TikTok community through a descriptive analysis of 325 user signatures. Using a combination of qualitative codebook thematic analysis and quantitative content analysis, this project maps the contours of the community and centers the creative identity work that individuals within this community appear to undertake. We identified the following three themes within this sample of signatures: (a) Describing DID (with System Architectures, Diagnostic Authenticity, and Being Plural as subthemes), (b) Establishing Boundaries, and (c) Labeling Intersecting Identities. In addition to providing insights into DID TikTok, this study offers a methodological contribution by modeling one way of scaling rigorous qualitative analysis for social media platforms by using quantitative content analysis to complement qualitative methods.</t>
  </si>
  <si>
    <t>[Greene, Amanda K.] Univ Michigan, Ctr Bioeth &amp; Social Sci Med, Med Sch, 2800 Plymouth Rd,Bldg 14,G016, Ann Arbor, MI 48109 USA; [Maloul, Elana K.] Univ Michigan, Dept English Language &amp; Literature, Ann Arbor, MI 48109 USA; [Norling, Hannah N.; Brownstone, Lisa M.] Univ Denver, Morgridge Coll Educ, Dept Counseling Psychol, Denver, CO USA; [Palazzolo, L. P. A.] Univ Oregon, Coll Educ, Dept Counseling Psychol, Eugene, OR USA</t>
  </si>
  <si>
    <t>University of Michigan System; University of Michigan; University of Michigan System; University of Michigan; University of Denver; University of Oregon</t>
  </si>
  <si>
    <t>Greene, AK (corresponding author), Univ Michigan, Ctr Bioeth &amp; Social Sci Med, Med Sch, 2800 Plymouth Rd,Bldg 14,G016, Ann Arbor, MI 48109 USA.</t>
  </si>
  <si>
    <t>akgreene@umich.edu</t>
  </si>
  <si>
    <t>Norling, Hannah/JDM-7853-2023; Greene, Amanda/AGG-1421-2022; Brownstone, Lisa/AAR-6244-2020</t>
  </si>
  <si>
    <t>Brownstone, Lisa/0000-0002-9164-7621; Greene, Amanda/0000-0003-1035-5617; Norling, Hannah/0000-0001-9336-6498</t>
  </si>
  <si>
    <t>AMER PSYCHOLOGICAL ASSOC</t>
  </si>
  <si>
    <t>750 FIRST ST NE, WASHINGTON, DC 20002-4242 USA</t>
  </si>
  <si>
    <t>2326-3601</t>
  </si>
  <si>
    <t>2326-3598</t>
  </si>
  <si>
    <t>QUAL PSYCHOL</t>
  </si>
  <si>
    <t>Qual. Psychol.</t>
  </si>
  <si>
    <t>10.1037/qup0000248</t>
  </si>
  <si>
    <t>HK3Y0</t>
  </si>
  <si>
    <t>WOS:001159368200015</t>
  </si>
  <si>
    <t>Al-Rawi, A; Zemenchik, K</t>
  </si>
  <si>
    <t>Al-Rawi, Ahmed; Zemenchik, Kiana</t>
  </si>
  <si>
    <t>Tiktoking COVID-19 with frontline workers</t>
  </si>
  <si>
    <t>TikTok; frontline workers; COVID-19; pandemic</t>
  </si>
  <si>
    <t>Introduction/ObjectiveDuring the COVID-19 pandemic, frontline workers have taken to social media platforms to discuss a variety of issues that concern their personal and professional lives. In particular, TikTok's increased prominence as a social media channel has proved significant for enhancing the public presence of healthcare workers and their ability to disseminate content to a wider audience. The ways that healthcare workers use TikTok draws attention to the type of health information disseminated to the public through social media platforms. This provides the public with succinct and often visually entertaining information that may not be otherwise distributed to them directly from elsewhere. This study also provides relevant insights into how social media-TikTok in particular-can be used as a tool for disseminating knowledge about COVID-19 related topics and combatting misinformation by using the credibility of frontline workers. MethodsThis study collected a sample of over 2100 TikTok videos posted by healthcare workers that were coded according to the dominant overarching themes. ResultsThe themes that arose from this sample were: (1) healthcare workers' mental health and working conditions, (2) healthcare heroes/appreciation, (3) criticism against official authorities, (4) countering misinformation, (5) humor/satire, and (6) educational content. ConclusionDue to the rise in public appreciation for frontline workers, examining the effects of the pandemic through the eyes of frontline workers has drawn attention to their lived realities in various forms. This study provided some insight into how frontline workers use TikTok to disseminate information and education to the public, often relying on their perceived credibility.</t>
  </si>
  <si>
    <t>[Al-Rawi, Ahmed] Simon Fraser Univ, Fac Commun Art &amp; Technol, Sch Commun, Burnaby, BC, Canada; [Zemenchik, Kiana] Simon Fraser Univ, Fac Commun Art &amp; Technol, Sch Int Studies, Burnaby, BC, Canada; [Al-Rawi, Ahmed] Simon Fraser Univ, Fac Commun Art &amp; Technol, Sch Commun, 8888 Univ Dr, Burnaby, BC V5A 1S6, Canada</t>
  </si>
  <si>
    <t>Simon Fraser University; Simon Fraser University; Simon Fraser University</t>
  </si>
  <si>
    <t>Al-Rawi, A (corresponding author), Simon Fraser Univ, Fac Commun Art &amp; Technol, Sch Commun, 8888 Univ Dr, Burnaby, BC V5A 1S6, Canada.</t>
  </si>
  <si>
    <t>aalrawi@sfu.ca</t>
  </si>
  <si>
    <t>Al-Rawi, Ahmed/0000-0001-7336-1550</t>
  </si>
  <si>
    <t>10.1177/20552076231152766</t>
  </si>
  <si>
    <t>8S7HU</t>
  </si>
  <si>
    <t>WOS:000928748600001</t>
  </si>
  <si>
    <t>Tzatzidou, A; Abdullmalek, HRS</t>
  </si>
  <si>
    <t>Tzatzidou, A.; Abdullmalek, H. R. S.</t>
  </si>
  <si>
    <t>Viral Vanity: Unmasking Plastic Surgery Trends on Instagram and TikTok</t>
  </si>
  <si>
    <t>BRITISH JOURNAL OF SURGERY</t>
  </si>
  <si>
    <t>48th Annual Conference of the Association-of-Surgeons-in-Training (ASiT)</t>
  </si>
  <si>
    <t>MAR 08-10, 2024</t>
  </si>
  <si>
    <t>Bournemouth, ENGLAND</t>
  </si>
  <si>
    <t>Assoc Surg Training</t>
  </si>
  <si>
    <t>[Tzatzidou, A.; Abdullmalek, H. R. S.] Univ Hosp North Midlands, Stoke On Trent, Staffs, England</t>
  </si>
  <si>
    <t>0007-1323</t>
  </si>
  <si>
    <t>1365-2168</t>
  </si>
  <si>
    <t>BRIT J SURG</t>
  </si>
  <si>
    <t>Br. J. Surg.</t>
  </si>
  <si>
    <t>AUG 29</t>
  </si>
  <si>
    <t>_6</t>
  </si>
  <si>
    <t>10.1093/bjs/znae163.512</t>
  </si>
  <si>
    <t>E9Y8G</t>
  </si>
  <si>
    <t>WOS:001306492400290</t>
  </si>
  <si>
    <t>Rust, BD; Choudhari, J; Christoforides, E; Copper, J; Kaspari, A; Patel, V; Ortiz, S; Ojo, D; Sharieff, K</t>
  </si>
  <si>
    <t>Rust, Brandon D.; Choudhari, Jashkumar; Christoforides, Elie; Copper, Jackson; Kaspari, Aidan; Patel, Vijay; Ortiz, Santiago; Ojo, Desiree; Sharieff, Khavir</t>
  </si>
  <si>
    <t>Quality Analysis of Patient Educational TikTok Videos For Knee Instability</t>
  </si>
  <si>
    <t>National Meeting of the American Federation for Medical Research (AFMR)</t>
  </si>
  <si>
    <t>OCT 27-29, 2023</t>
  </si>
  <si>
    <t>Reston, VA</t>
  </si>
  <si>
    <t>[Rust, Brandon D.; Choudhari, Jashkumar; Christoforides, Elie; Copper, Jackson; Kaspari, Aidan; Patel, Vijay; Ortiz, Santiago; Sharieff, Khavir] Nova Southeastern Univ, Coll Osteopath Med, Ft Lauderdale, FL USA; [Ojo, Desiree] Univ Incarnate Word, Sch Osteopath Med, San Antonio, TX USA</t>
  </si>
  <si>
    <t>Nova Southeastern University; University Incarnate Word</t>
  </si>
  <si>
    <t>Rust, Brandon/LQK-1467-2024</t>
  </si>
  <si>
    <t>P13</t>
  </si>
  <si>
    <t>F1F2R</t>
  </si>
  <si>
    <t>WOS:001307337600035</t>
  </si>
  <si>
    <t>Kells, MR; Davis, HA; Roske, C; Holzman, S; Wildes, JE</t>
  </si>
  <si>
    <t>Kells, Meredith R.; Davis, Heather A.; Roske, Chloe; Holzman, Sam; Wildes, Jennifer E.</t>
  </si>
  <si>
    <t>The experience of treatment for eating disorders as told by content creators on TikTok</t>
  </si>
  <si>
    <t>EATING DISORDERS</t>
  </si>
  <si>
    <t>HEALTH; LITERACY; GUILT; SHAME; US</t>
  </si>
  <si>
    <t>TikTok, a social media platform with substantial youth engagement, has been used to examine eating disorder (ED) recovery; however, no studies have described the experience of ED treatment as told on TikTok. The purpose of this study was to describe content related to ED treatment using the hashtag #EDtreatment. The 100 most-viewed videos using #EDtreatment were downloaded, transcribed verbatim, and coded. Using qualitative thematic analysis, a coding framework was created; themes were generated and reviewed by coauthors until consensus was reached. Ultimately, 55 videos were included in the analysis. The videos included in the analysis had, in total, 15.6 million views, 3 million likes, 36647 comments, and were shared by users 26,673 times. Themes generated included Aspects of Treatment, Interpersonal Relationships, Emotions and Psychiatric Comorbidities, and ED Experiences. Content ranged from uplifting and encouraging to negative and serious. Videos used dramatic reenactments, music, humor, and other entertainment methods, suggesting that creators attempted to generate high volume viewer consumption. When combined with TikTok's brief video format, users may consume large amounts of content rapidly. Individuals considering treatment may be influenced by viewing TikTok content. When clinically engaging individuals with EDs, the perceived significance of this content is a topic of consideration.</t>
  </si>
  <si>
    <t>[Kells, Meredith R.; Davis, Heather A.; Wildes, Jennifer E.] Univ Chicago, Dept Psychiat &amp; Behav Neurosci, Chicago, IL USA; [Kells, Meredith R.] Univ Rochester, Sch Nursing, 255 Crittenden Blvd,Box SON Helen Wood Hall 601 El, Rochester, NY 14642 USA; [Davis, Heather A.] Virginia Polytech Inst &amp; State Univ, Dept Psychol, Blacksburg, VA USA; [Roske, Chloe] Harvard Univ, Dept Psychol, Cambridge, MA USA; [Holzman, Sam] Albert Einstein Coll Med, Dept Psychiat &amp; Behav Sci, Bronx, NY USA</t>
  </si>
  <si>
    <t>University of Chicago; University of Rochester; Virginia Polytechnic Institute &amp; State University; Harvard University; Montefiore Medical Center; Albert Einstein College of Medicine; Yeshiva University</t>
  </si>
  <si>
    <t>Kells, MR (corresponding author), Univ Rochester, Sch Nursing, 255 Crittenden Blvd,Box SON Helen Wood Hall 601 El, Rochester, NY 14642 USA.</t>
  </si>
  <si>
    <t>Meredith_Kells@URMC.Rochester.edu</t>
  </si>
  <si>
    <t>Kells, Meredith/0000-0002-9982-9964</t>
  </si>
  <si>
    <t>National Institute of Mental Health [T32M082671]</t>
  </si>
  <si>
    <t>National Institute of Mental Health(United States Department of Health &amp; Human ServicesNational Institutes of Health (NIH) - USANIH National Institute of Mental Health (NIMH))</t>
  </si>
  <si>
    <t>This work was supported by the National Institute of Mental Health under Grant [T32M082671], PI: Peterson; NIMH had no role in the study design, collection, analysis or interpretation of the data, writing the manuscript, or the decision to submit the paper for publication.</t>
  </si>
  <si>
    <t>1064-0266</t>
  </si>
  <si>
    <t>1532-530X</t>
  </si>
  <si>
    <t>EAT DISORD</t>
  </si>
  <si>
    <t>Eat. Disord</t>
  </si>
  <si>
    <t>2024 SEP 21</t>
  </si>
  <si>
    <t>10.1080/10640266.2024.2401669</t>
  </si>
  <si>
    <t>Psychology, Clinical; Psychiatry; Psychology</t>
  </si>
  <si>
    <t>H0E1L</t>
  </si>
  <si>
    <t>WOS:001320255400001</t>
  </si>
  <si>
    <t>Vizcaíno-Verdú, A; Abidin, C</t>
  </si>
  <si>
    <t>Vizcaino-Verdu, Arantxa; Abidin, Crystal</t>
  </si>
  <si>
    <t>Music Challenge Memes on TikTok: Understanding In-Group Storytelling Videos</t>
  </si>
  <si>
    <t>music challenge; memes; TikTok; storytelling; transmedia music</t>
  </si>
  <si>
    <t>USER GENERATED CONTENT; AFFILIATION</t>
  </si>
  <si>
    <t>Through visual and audio elements in videos no longer than three minutes, TikTok has created new interactive modes to understand music. Amid its growing popularity, this study focuses on posts nestled under the hashtag #MusicChallenge to understand what constitutes a music challenge on TikTok, how this trend comprises a mode of storytelling rather than a competition, and what in-group affiliations occur through audio memetic music via image, audio, text, and story strategies. Through a qualitative content analysis via a music storytelling codebook consisting of image, audio, text, storytelling, and in-group affiliation codes, we analyzed 150 posts in English, Spanish, Portuguese, and French. This trend revealed a series of immersive-narrative patterns that define the music challenge meme as a phenomenon of transmedia storytelling, self-expression, and connecting people with in-group affiliations related to nostalgia, expertise, friendship, citizenship, and age, among others, mediated by music.</t>
  </si>
  <si>
    <t>[Vizcaino-Verdu, Arantxa] Univ Huelva, Huelva, Spain; [Abidin, Crystal] Curtin Univ, Bentley, WA, Australia</t>
  </si>
  <si>
    <t>Universidad de Huelva; Curtin University</t>
  </si>
  <si>
    <t>Vizcaíno-Verdú, A (corresponding author), Univ Huelva, Huelva, Spain.</t>
  </si>
  <si>
    <t>arantxa.vizcaino@dedu.uhu.es; crystalabidin@gmail.com</t>
  </si>
  <si>
    <t>Alfamed Euro-American Research Network, under Grant R+D+I Project (2019-2021), entitled Youtubers and Intagrammers: Media Competition in Emerging Prosumers (Spanish Ministry of Science, Innovation and Universities; ERDF) [RTI2018-093303-B-I00]; R+D-I Project (2020-2022), entitled Instagrammers and Youtubers for the Transmedia Empowerment of Andalusian Citizens. The Media Competence of Instatubers (Andalusian Regional Government; ERDF) [P18-RT-756]; Australian Research Council DECRA [DE190100789]; TikTok Cultures Research Network - Faculty of Humanities at Curtin; Australian Research Council [DE190100789] Funding Source: Australian Research Council</t>
  </si>
  <si>
    <t>Alfamed Euro-American Research Network, under Grant R+D+I Project (2019-2021), entitled Youtubers and Intagrammers: Media Competition in Emerging Prosumers (Spanish Ministry of Science, Innovation and Universities; ERDF); R+D-I Project (2020-2022), entitled Instagrammers and Youtubers for the Transmedia Empowerment of Andalusian Citizens. The Media Competence of Instatubers (Andalusian Regional Government; ERDF); Australian Research Council DECRA(Australian Research Council); TikTok Cultures Research Network - Faculty of Humanities at Curtin; Australian Research Council(Australian Research Council)</t>
  </si>
  <si>
    <t>1 This work was supported by the Alfamed Euro-American Research Network, under Grant R+D+I Project (2019-2021), entitled Youtubers and Intagrammers: Media Competition in Emerging Prosumers (RTI2018-093303-B-I00, Spanish Ministry of Science, Innovation and Universities; ERDF), and the R+D-I Project (2020-2022), entitled Instagrammers and Youtubers for the Transmedia Empowerment of Andalusian Citizens. The Media Competence of Instatubers (P18-RT-756, Andalusian Regional Government; ERDF). The time put toward this research is supported by an Australian Research Council DECRA (DE190100789), the TikTok Cultures Research Network supported by Strategic Research Funding from the Faculty of Humanities at Curtin. The study has also resulted from an International Internship between the University of Huelva and Curtin University.</t>
  </si>
  <si>
    <t>WOS:000789589100056</t>
  </si>
  <si>
    <t>Losh, E</t>
  </si>
  <si>
    <t>Losh, Elizabeth</t>
  </si>
  <si>
    <t>You are the main character: attribution and visibility on TikTok</t>
  </si>
  <si>
    <t>NEW REVIEW OF HYPERMEDIA AND MULTIMEDIA</t>
  </si>
  <si>
    <t>Hyperlinking; algorithmic profiling; content moderation; visibility labour; digital literacy</t>
  </si>
  <si>
    <t>Hypertext theory from the 1990s and database theory from the 2000s still provide a useful foundation for explaining new authoring practices on the video-sharing platform TikTok, but this earlier literature may underestimate the importance of labour. Because hyperlinking is automated on the platform whenever composers select filters, hashtags, audio clips, and author references to other videos for stitching and dueting to remix from pre-existing databases of material, TikTok is characterised by rich attributional practices of citation. At the same time, the site's users are keenly aware that search and recommendation algorithms may not showcase their published materials and that additional labour may be required for their contributions to be visible in the larger hyperlinked matrix of database participation. Users may also choose to de-link their content or the content of others. Case studies are drawn from variations of the 2020 main character meme, a 2023 moral panic about a supposedly dangerous TikTok boat jumping trend, and Ukrainian war influencers.</t>
  </si>
  <si>
    <t>[Losh, Elizabeth] William &amp; Mary, Dept English, Williamsburg, VA 23185 USA</t>
  </si>
  <si>
    <t>Losh, E (corresponding author), William &amp; Mary, Dept English, Williamsburg, VA 23185 USA.</t>
  </si>
  <si>
    <t>emlosh@wm.edu</t>
  </si>
  <si>
    <t>1361-4568</t>
  </si>
  <si>
    <t>1740-7842</t>
  </si>
  <si>
    <t>NEW REV HYPERMEDIA M</t>
  </si>
  <si>
    <t>New Rev. Hypermedia Multimed.</t>
  </si>
  <si>
    <t>2024 OCT 30</t>
  </si>
  <si>
    <t>10.1080/13614568.2024.2420107</t>
  </si>
  <si>
    <t>L0M8R</t>
  </si>
  <si>
    <t>WOS:001347759600001</t>
  </si>
  <si>
    <t>Duggan, J</t>
  </si>
  <si>
    <t>Duggan, Jessica</t>
  </si>
  <si>
    <t>Using TikTok to teach about abortion: combatting stigma and miseducation in the United States and beyond</t>
  </si>
  <si>
    <t>SEX EDUCATION-SEXUALITY SOCIETY AND LEARNING</t>
  </si>
  <si>
    <t>Abortion education; sex education; social media; TikTok; abortion stigma</t>
  </si>
  <si>
    <t>There is a great deal of misinformation and stigma surrounding abortion, even though it is a common reproductive health service. Teaching about abortion encompasses many things: managing the beliefs of students and teachers; state regulations around teaching or talking about abortion in schools; available resources; and the cultural miseducation and stigma around abortion. As social media becomes more accessible and widely used, educators can use it as a tool for teaching sensitive issues and navigating some of the restrictions and difficulties teaching about abortion comes with. This article explores current considerations and issues around abortion education and how TikTok can be used to teach this sensitive topic both inside and outside of the classroom, especially with adolescents and young adults. With its 1 billion monthly active users, TikTok is a potential educational space for teaching about abortion by spreading accurate information, engaging the audience, and working to open lines of communication to combat abortion stigma</t>
  </si>
  <si>
    <t>[Duggan, Jessica] Widener Univ, Ctr Human Sexual Studies, Chester, PA 19013 USA</t>
  </si>
  <si>
    <t>Widener University</t>
  </si>
  <si>
    <t>Duggan, J (corresponding author), Widener Univ, Ctr Human Sexual Studies, Chester, PA 19013 USA.</t>
  </si>
  <si>
    <t>jessduggan.sexed@gmail.com</t>
  </si>
  <si>
    <t>Duggan, Jessica/0000-0003-2649-2042</t>
  </si>
  <si>
    <t>1468-1811</t>
  </si>
  <si>
    <t>1472-0825</t>
  </si>
  <si>
    <t>SEX EDUC-SEX SOC LEA</t>
  </si>
  <si>
    <t>Sex Educ.-Sex. Soc. Learn.</t>
  </si>
  <si>
    <t>10.1080/14681811.2022.2028614</t>
  </si>
  <si>
    <t>7G2JI</t>
  </si>
  <si>
    <t>WOS:000745358200001</t>
  </si>
  <si>
    <t>Russell, AM; Davis, RE; Ortega, JM; Colditz, JB; Primack, B; Barry, AE</t>
  </si>
  <si>
    <t>Russell, A. M.; Davis, R. E.; Ortega, J. M.; Colditz, J. B.; Primack, B.; Barry, A. E.</t>
  </si>
  <si>
    <t>#ALCOHOL: PORTRAYALS OF ALCOHOL IN TOP VIDEOS ON TIKTOK</t>
  </si>
  <si>
    <t>ALCOHOLISM-CLINICAL AND EXPERIMENTAL RESEARCH</t>
  </si>
  <si>
    <t>[Russell, A. M.; Davis, R. E.; Ortega, J. M.; Colditz, J. B.; Primack, B.; Barry, A. E.] Univ Arkansas, Dept Hlth Human Performance &amp; Recreat, Fayetteville, AR 72703 USA</t>
  </si>
  <si>
    <t>University of Arkansas System; University of Arkansas Fayetteville</t>
  </si>
  <si>
    <t>Primack, Brian/AFL-3768-2022</t>
  </si>
  <si>
    <t>0145-6008</t>
  </si>
  <si>
    <t>1530-0277</t>
  </si>
  <si>
    <t>ALCOHOL CLIN EXP RES</t>
  </si>
  <si>
    <t>Alcoholism (NY)</t>
  </si>
  <si>
    <t>238A</t>
  </si>
  <si>
    <t>SS0RG</t>
  </si>
  <si>
    <t>WOS:000661449201477</t>
  </si>
  <si>
    <t>Ostrovsky, AM; Chen, JR</t>
  </si>
  <si>
    <t>Ostrovsky, Adam M.; Chen, Joshua R.</t>
  </si>
  <si>
    <t>TikTok and Its Role in COVID-19 Information Propagation</t>
  </si>
  <si>
    <t>[Ostrovsky, Adam M.; Chen, Joshua R.] Penn State Univ, Eberly Coll Sci, Premed, University Pk, PA 16802 USA</t>
  </si>
  <si>
    <t>Pennsylvania Commonwealth System of Higher Education (PCSHE); Pennsylvania State University; Pennsylvania State University - University Park</t>
  </si>
  <si>
    <t>Ostrovsky, AM (corresponding author), Penn State Univ, Eberly Coll Sci, Premed, University Pk, PA 16802 USA.</t>
  </si>
  <si>
    <t>Ostrovsky, Adam/0000-0001-9503-4841; Chen, Joshua/0009-0005-6550-7448</t>
  </si>
  <si>
    <t>10.1016/j.jadohealth.2020.07.039</t>
  </si>
  <si>
    <t>OE6NF</t>
  </si>
  <si>
    <t>WOS:000580644600023</t>
  </si>
  <si>
    <t>Easwar, S; Alonzi, S; Hirsch, J; Mossman, B; Hoerger, M</t>
  </si>
  <si>
    <t>Easwar, Sanjana; Alonzi, Sarah; Hirsch, Joseph; Mossman, Brenna; Hoerger, Michael</t>
  </si>
  <si>
    <t>Palliative Care TikTok: Describing the Landscape and Explaining Social Media Engagement</t>
  </si>
  <si>
    <t>JOURNAL OF PALLIATIVE MEDICINE</t>
  </si>
  <si>
    <t>palliative care; social media; TikTok</t>
  </si>
  <si>
    <t>Background: Although palliative care programs are beneficial to patients and families, most of the public is unfamiliar with and underutilizes palliative services. TikTok, a fast-growing social media platform worldwide, allows users to share short live-recorded videos and could be used to educate the public about palliative care.Objective: This study characterized palliative care TikTok videos and determined characteristics associated with higher user engagement metrics (views, likes, comments, and shares).Methods: The investigators analyzed the content and engagement metrics of palliative care TikTok videos. Each video was coded for author type (health care professional, patient, caregiver, or other) and demographics, features, and themes. Negative binomial regression analyses identified whether author type and themes were associated with engagement statistics.Results: After screening 510 videos, 146 met criteria for analysis. The most prominent author types were health care professionals (55.5%), followed by patients (32.9%) and caregivers (7.5%). Authors were often female (71.2%) and played music (59.5%) while talking (45.9%). Themes were describing personal experiences (47.3%), educating (39.7%), addressing misconceptions (16.4%), responding to questions and comments (14.4%), and raising awareness (11.0%). Caregivers' videos were most likely to be viewed (p = 0.003) and liked (p &lt; 0.001), whereas health care professionals' videos were most frequently shared (p = 0.01). Engagement was highest among videos describing personal experiences (views: p &lt; 0.001, likes: p = 0.002, shares: p = 0.003) and educating (views: p = 0.005, likes: p = 0.002, comments: p = 0.02, shares: p &lt; 0.001).Conclusion: TikTok provides an interactive platform for patients, professionals, and caregivers to share information and experiences about palliative care, making it potentially valuable for explaining palliative care to the public.</t>
  </si>
  <si>
    <t>[Easwar, Sanjana] LSU, Sch Med, Hlth Sci Ctr, New Orleans, LA USA; [Alonzi, Sarah] Univ Calif Los Angeles, Dept Psychol, Los Angeles, CA USA; [Hirsch, Joseph; Mossman, Brenna; Hoerger, Michael] Tulane Univ, Dept Psychol, New Orleans, LA USA; [Hoerger, Michael] Tulane Canc Ctr, New Orleans, LA USA; [Hoerger, Michael] Univ Med Ctr New Orleans, Dept Palliat &amp; Support Med, New Orleans, LA USA; [Hoerger, Michael] Tulane Univ, AB Freeman Sch Business, New Orleans, LA USA; [Hoerger, Michael] Tulane Univ, Dept Psychol, 3070 Stern Hall, New Orleans, LA 70118 USA</t>
  </si>
  <si>
    <t>Louisiana State University System; Louisiana State University Health Sciences Center New Orleans; University of California System; University of California Los Angeles; Tulane University; Tulane University; Tulane University; Tulane University</t>
  </si>
  <si>
    <t>Hoerger, M (corresponding author), Tulane Univ, Dept Psychol, 3070 Stern Hall, New Orleans, LA 70118 USA.</t>
  </si>
  <si>
    <t>mhoerger@tulane.edu</t>
  </si>
  <si>
    <t>Alonzi, Sarah/AAA-3839-2022</t>
  </si>
  <si>
    <t>Mossman, Brenna/0000-0002-3343-111X</t>
  </si>
  <si>
    <t>1096-6218</t>
  </si>
  <si>
    <t>1557-7740</t>
  </si>
  <si>
    <t>J PALLIAT MED</t>
  </si>
  <si>
    <t>J. Palliat. Med.</t>
  </si>
  <si>
    <t>10.1089/jpm.2022.0250</t>
  </si>
  <si>
    <t>9M9JH</t>
  </si>
  <si>
    <t>WOS:000856575300001</t>
  </si>
  <si>
    <t>Siva, N; Raiker, R; Pakhchanian, H; Waris, S; Chatterjee, A</t>
  </si>
  <si>
    <t>Siva, Nanda; Raiker, Rahul; Pakhchanian, Haig; Waris, Shanawar; Chatterjee, Arka</t>
  </si>
  <si>
    <t>EVALUATING HYPERTENSION-RELATED CONTENT ON TIKTOK: A SOCIAL MEDIA ANALYSIS</t>
  </si>
  <si>
    <t>JOURNAL OF THE AMERICAN COLLEGE OF CARDIOLOGY</t>
  </si>
  <si>
    <t>West Virginia Univ, Sch Med, Morgantown, WV USA; Univ Arizona, Coll Med, Tucson, AZ USA</t>
  </si>
  <si>
    <t>West Virginia University; University of Arizona</t>
  </si>
  <si>
    <t>Chatterjee, Arka/JFA-3026-2023; Siva, Nanda/HRA-3079-2023</t>
  </si>
  <si>
    <t>0735-1097</t>
  </si>
  <si>
    <t>1558-3597</t>
  </si>
  <si>
    <t>J AM COLL CARDIOL</t>
  </si>
  <si>
    <t>J. Am. Coll. Cardiol.</t>
  </si>
  <si>
    <t>MAR 8</t>
  </si>
  <si>
    <t>Cardiac &amp; Cardiovascular Systems</t>
  </si>
  <si>
    <t>0K8GF</t>
  </si>
  <si>
    <t>WOS:000781026601677</t>
  </si>
  <si>
    <t>Merga, Margaret K.</t>
  </si>
  <si>
    <t>How can Booktok on TikTok inform readers' advisory services for young people?</t>
  </si>
  <si>
    <t>LIBRARY &amp; INFORMATION SCIENCE RESEARCH</t>
  </si>
  <si>
    <t>Readers' advisory; Young readers; Social networking; TikTok; Reading for pleasure; Reading engagement</t>
  </si>
  <si>
    <t>FICTION</t>
  </si>
  <si>
    <t>Libraries provide readers' advisory services to young people to foster reading for pleasure. The Booktok community on TikTok is a resource that can be drawn upon to support promotion of books with this demographic. A hybrid content analysis of 116 TikTok videos explores presence of hashtags, authors and books, and recurring themes promoted in Booktok videos. Popular hashtags build community and promoted authors and books are a small and select group. Young people use Booktok to provide recommendations, explore reader experience and emotional response, generate reader community and identity, discuss fictional characters and places, develop and promote writing, and discuss personal library management and being a reader in the family. Libraries' reader advisory services for young people can use these findings to employ language of the discourse community for insider signposting of the library's physical space and give greater primacy to the emotional response evoked by books and reading.</t>
  </si>
  <si>
    <t>[Merga, Margaret K.] Edith Cowan Univ, Sch Educ, 270 Joondalup Dr, Joondalup 6027, Australia</t>
  </si>
  <si>
    <t>Edith Cowan University</t>
  </si>
  <si>
    <t>Merga, MK (corresponding author), Edith Cowan Univ, Sch Educ, 270 Joondalup Dr, Joondalup 6027, Australia.</t>
  </si>
  <si>
    <t>m.merga@ecu.edu.au</t>
  </si>
  <si>
    <t>0740-8188</t>
  </si>
  <si>
    <t>1873-1848</t>
  </si>
  <si>
    <t>LIBR INFORM SCI RES</t>
  </si>
  <si>
    <t>Libr. Infor. Sci. Res.</t>
  </si>
  <si>
    <t>10.1016/j.lisr.2021.101091</t>
  </si>
  <si>
    <t>SN8EI</t>
  </si>
  <si>
    <t>WOS:000658519200003</t>
  </si>
  <si>
    <t>Rehman, R; Saad, M; Suhrawardy, A; Kerr, H</t>
  </si>
  <si>
    <t>Rehman, Rafey; Saad, Marwa; Suhrawardy, Ameen; Kerr, Holly</t>
  </si>
  <si>
    <t>Contact Dermatitis and TikTok: A Cross-sectional Analysis of Trending Content</t>
  </si>
  <si>
    <t>DERMATITIS</t>
  </si>
  <si>
    <t>[Rehman, Rafey; Suhrawardy, Ameen] Oakland Univ, William Beaumont Sch Med, Rochester, MI 48309 USA; [Saad, Marwa] Univ Michigan Dearborn, Dearborn, MI USA; [Kerr, Holly] Henry Ford Hosp, Dept Dermatol, Detroit, MI USA</t>
  </si>
  <si>
    <t>Oakland University; University of Michigan System; University of Michigan Dearborn; Henry Ford Health System; Henry Ford Hospital</t>
  </si>
  <si>
    <t>Rehman, R (corresponding author), Oakland Univ, William Beaumont Sch Med, Rochester, MI 48309 USA.</t>
  </si>
  <si>
    <t>rrehman@oakland.edu; saadim@umich.edu; asuhrawardy@oakland.edu; hkerr1@hfhs.org</t>
  </si>
  <si>
    <t>1710-3568</t>
  </si>
  <si>
    <t>2162-5220</t>
  </si>
  <si>
    <t>Dermatitis</t>
  </si>
  <si>
    <t>E72</t>
  </si>
  <si>
    <t>E74</t>
  </si>
  <si>
    <t>10.1097/DER.0000000000000816</t>
  </si>
  <si>
    <t>6J6FW</t>
  </si>
  <si>
    <t>WOS:000886917500006</t>
  </si>
  <si>
    <t>Are You the Main Character? Visibility Labor and Attributional Practices on TikTok</t>
  </si>
  <si>
    <t>34TH ACM CONFERENCE ON HYPERTEXT AND SOCIAL MEDIA, HT 2023</t>
  </si>
  <si>
    <t>34th ACM Conference on Hypertext and Social Media (HT)</t>
  </si>
  <si>
    <t>SEP 04-08, 2023</t>
  </si>
  <si>
    <t>Max Planck Inst Art Hist, Bibliotheca Hertziana, Rome, ITALY</t>
  </si>
  <si>
    <t>Assoc Comp Machinery,Knowledge Media Inst,Open Univ,Hypertext Steering Comm,SigWeb</t>
  </si>
  <si>
    <t>Max Planck Inst Art Hist, Bibliotheca Hertziana</t>
  </si>
  <si>
    <t>Digital literacy; hyperlinking; database aesthetics; algorithmic profiling; content moderation</t>
  </si>
  <si>
    <t>This paper revisits hypertext theory from the 1990s (George Landow, Jay David Bolter, etc.) and database theory from the 2000s (Lev Manovich, Victoria Vesna, etc.) with attention to explaining new authoring practices on the video-sharing platform TikTok. Because hyperlinking is automated on the platform whenever composers select audio clips, effects, hashtags, and author references to other videos for dueting and stitching to remix from pre-existing databases of material, TikTok is characterized by rich attributional practices of citation. At the same time, the site's users are keenly aware that search and recommendation algorithms may obfuscate their published materials and that additional labor may be required for their contributions to be visible in the larger hyperlinked matrix of database participation. At the same time, users may also choose to de-link their content or the content of others. Case studies are drawn from variations of the main character meme and recent moral panics about supposedly dangerous TikTok trends.</t>
  </si>
  <si>
    <t>[Losh, Elizabeth] William &amp; Mary, Amer Studies, Williamsburg, VA 23185 USA</t>
  </si>
  <si>
    <t>Losh, E (corresponding author), William &amp; Mary, Amer Studies, Williamsburg, VA 23185 USA.</t>
  </si>
  <si>
    <t>979-8-4007-0232-7</t>
  </si>
  <si>
    <t>10.1145/3603163.3609049</t>
  </si>
  <si>
    <t>Computer Science, Information Systems; Communication; Computer Science, Interdisciplinary Applications</t>
  </si>
  <si>
    <t>BW2LW</t>
  </si>
  <si>
    <t>WOS:001118858800018</t>
  </si>
  <si>
    <t>Tan, YL; Yoon, S</t>
  </si>
  <si>
    <t>Tan, Yuelong; Yoon, Sungjoon</t>
  </si>
  <si>
    <t>Testing the effects of personalized recommendation service, filter bubble and big data attitude on continued use of TikTok</t>
  </si>
  <si>
    <t>ASIA PACIFIC JOURNAL OF MARKETING AND LOGISTICS</t>
  </si>
  <si>
    <t>Personalized recommendation service; Filter bubble; User engagement; Perceived usefulness; Big data attitudes; Continued usage intention</t>
  </si>
  <si>
    <t>ACCEPTANCE; MODEL</t>
  </si>
  <si>
    <t>PurposeThis study attempts to identify the determinant factors for Chinese users' intention of continuous use of TikTok.Design/methodology/approachDrawing on the theoretical background and previous literature, this study proposes the research model followed by research hypotheses. For the purpose of empirical analysis of this study, we conducted a questionnaire survey on current Chinese TikTok platform users. Factor analysis was conducted to verify the reliability and validity of the measurement variables; Confirmatory factor analysis was conducted to ensure that the structural dimensions of the measurement are effective; the analysis results of the structural equation model for hypothesis test.FindingsThe result of the study indicates that the core service traits (entertainment, informativeness and convenience of use) of TikTok all have a positive effect on user engagement and perceived usefulness. In addition, the study found that both personalized recommendation services and filter bubble, which are features of TikTok's service recommendation system, have a positive effect on user engagement and perceived usefulness of TikTok. In addition, it was found that both user engagement and perceived usefulness have a significant positive effect on continuous use intention. Finally, users' attitude toward big data indicating privacy concern only had a positive moderating effect on the personalized recommendation service but not on filter bubble.Originality/valueAs consumers' demand for services tailored to their needs and preferences fast increased, it calls for growing concern over the safety of personal data being used by the platforms. Although this paradox over increased user convenience versus privacy protection issue has been persistently recognized, no previous research empirically addressed this issue in the context of social media platforms.</t>
  </si>
  <si>
    <t>[Tan, Yuelong] Nanyang Normal Univ, Sch Econ &amp; Management, Nanyang, Peoples R China; [Yoon, Sungjoon] Kyonggi Univ, Dept Business Adm, Seoul, South Korea</t>
  </si>
  <si>
    <t>Nanyang Normal College; Kyonggi University</t>
  </si>
  <si>
    <t>Yoon, S (corresponding author), Kyonggi Univ, Dept Business Adm, Seoul, South Korea.</t>
  </si>
  <si>
    <t>20231006@nynu.edu.cn; yoons@hanafos.com</t>
  </si>
  <si>
    <t>Nanyang Normal University [2023BS003]</t>
  </si>
  <si>
    <t>Nanyang Normal University</t>
  </si>
  <si>
    <t>Name of the funder: Research Fund of Nanyang Normal University (No: 2023BS003).</t>
  </si>
  <si>
    <t>1355-5855</t>
  </si>
  <si>
    <t>1758-4248</t>
  </si>
  <si>
    <t>ASIA PAC J MARKET LO</t>
  </si>
  <si>
    <t>Asia Pac. J. Market. Logist.</t>
  </si>
  <si>
    <t>2024 OCT 17</t>
  </si>
  <si>
    <t>10.1108/APJML-06-2024-0738</t>
  </si>
  <si>
    <t>J0U5F</t>
  </si>
  <si>
    <t>WOS:001334308900001</t>
  </si>
  <si>
    <t>Al Hassan, S; Ghannam, AB; SSaade, J</t>
  </si>
  <si>
    <t>Al Hassan, Sally; Ghannam, Alaa Bou; S.Saade, Joanna</t>
  </si>
  <si>
    <t>An Emerging Ophthalmology Challenge: A Narrative Review of TikTok Trends Impacting Eye Health Among Children and Adolescents</t>
  </si>
  <si>
    <t>PLASTIC SURGEONS; TEAR FILM</t>
  </si>
  <si>
    <t>In today's digital age, children and teenagers are deeply entrenched in the world of personal electronic devices including laptops, tablets, and smartphones. These serve as gateways to captivate online content. With children as young as 4 years old having access to these gadgets, the potential benefits of technology coexist with many possible risks. One such risk is the growing global issue of myopia. TikTok, a mobile application that gained immense popularity since its inception in 2016, has garnered 1.7 billion active monthly users in 2023 and is expected to reach two billion in 2024. A significant portion of TikTok's user base consists of adolescents, with approximately 41% falling in the 16-24 age group and a third aged 14 or younger. This social media platform has given rise to the phenomenon of internet challenges, where users complete and share various tasks through videos. While most of these challenges are harmless, some pose serious risks to teenagers who eagerly seek validation and attention from their peers. This manuscript sheds light on a specific subset of TikTok challenges, namely those related to ophthalmological risks. These challenges include rubbing castor oil trend, bleach/bright eye challenge, mucus fishing challenge, eggsplosions, beezin challenge, Orbeez challenge, blow-drying eyelashes, sun gazing, and popping styes. The manuscript emphasizes the importance of monitoring and regulating potentially dangerous content on social media platforms like TikTok. While these platforms offer educational opportunities, they can also promote life-threatening actions, necessitating efforts to protect vulnerable young users and promote safe online engagement.</t>
  </si>
  <si>
    <t>[Al Hassan, Sally; Ghannam, Alaa Bou; S.Saade, Joanna] Amer Univ, Dept Ophthalmol, Beirut Med Ctr, Beirut, Lebanon</t>
  </si>
  <si>
    <t>American University of Beirut; Beirut Medical Center</t>
  </si>
  <si>
    <t>SSaade, J (corresponding author), Amer Univ, Dept Ophthalmol, Beirut Med Ctr, Beirut, Lebanon.</t>
  </si>
  <si>
    <t>10.1007/s40123-024-00885-3</t>
  </si>
  <si>
    <t>JY2V6</t>
  </si>
  <si>
    <t>WOS:001156481000001</t>
  </si>
  <si>
    <t>Lahooti, A; Hassan, A; Critelli, B; Westerveld, D; Newberry, C; Kumar, S; Sharaiha, RZ</t>
  </si>
  <si>
    <t>Lahooti, Ali; Hassan, Amier; Critelli, Brian; Westerveld, Donevan; Newberry, Carolyn; Kumar, Sonal; Sharaiha, Reem Z.</t>
  </si>
  <si>
    <t>Quality and Popularity Trends of Weight Loss Procedure Videos on TikTok</t>
  </si>
  <si>
    <t>OBESITY SURGERY</t>
  </si>
  <si>
    <t>TikTok; Obesity; Bariatric; Endoscopy</t>
  </si>
  <si>
    <t>Introduction The use of social media as a medical information tool parallels rising obesity rates. TikTok, the popular video-sharing platform, contains nearly 99,000 videos hashtagged weightloss.  Prior studies have analyzed the quality of medical information on TikTok in other areas of medicine. However, the quality of videos regarding weight loss procedures has not yet been determined.Methods Hashtags encompassing three weight loss modalities were searched using TikTok's algorithm. The first 50 videos meeting inclusion criteria for each modality were considered. Two independent reviewers categorized videos and assessed their content quality using DISCERN. Quality scores and popularity were compared between videos sources, modalities, and content categories.Results Of 150 videos included, 20.7% were created by physicians versus 79.3% by non-physicians (p &lt; 0.001). The average DISCERN score for physician-created content was significantly higher than that of non-physicians (p &lt; 0.001), despite significantly less popularity (p &lt; 0.002). The 50 most popular videos had significantly lower DISCERN scores than the 50 least popular (p &lt; 0.02). The average DISCERN score for endoscopic sleeve gastroplasty (ESG) videos were significantly higher than videos related to Roux-en-Y gastric bypass (RYGB) and vertical sleeve gastrectomy (VSG) (p &lt; 0.001). VSG-related videos were significantly more popular than RYGB- and ESG-related videos (p &lt; 0.001 and p &lt; 0.001). Finally, educational videos had significantly higher DISCERN scores than weight loss transformation and personal experience videos (p &lt; 0.001).Conclusion Videos on TikTok related to weight loss procedures are poor, and greater popularity trends with lower quality. Assessment of content can encourage viewers to seek better information and allow providers to improve patient information tools.</t>
  </si>
  <si>
    <t>[Lahooti, Ali; Hassan, Amier; Critelli, Brian; Westerveld, Donevan; Newberry, Carolyn; Kumar, Sonal; Sharaiha, Reem Z.] Weill Cornell Med Coll, Dept Gastroenterol &amp; Hepatol, 1305 York Ave,4thFloor, New York, NY 10021 USA</t>
  </si>
  <si>
    <t>Sharaiha, RZ (corresponding author), Weill Cornell Med Coll, Dept Gastroenterol &amp; Hepatol, 1305 York Ave,4thFloor, New York, NY 10021 USA.</t>
  </si>
  <si>
    <t>rzs9001@med.cornell.edu</t>
  </si>
  <si>
    <t>Lahooti, Ali/0000-0003-3708-2102</t>
  </si>
  <si>
    <t>0960-8923</t>
  </si>
  <si>
    <t>1708-0428</t>
  </si>
  <si>
    <t>OBES SURG</t>
  </si>
  <si>
    <t>Obes. Surg.</t>
  </si>
  <si>
    <t>10.1007/s11695-022-06409-x</t>
  </si>
  <si>
    <t>9N7DZ</t>
  </si>
  <si>
    <t>WOS:000919364300001</t>
  </si>
  <si>
    <t>Ghozali, M; Mursyid, AY; Fitriana, N</t>
  </si>
  <si>
    <t>Ghozali, Mahbub; Mursyid, Achmad Yafik; Fitriana, Nita</t>
  </si>
  <si>
    <t>Al-Qur'an (Re)Presentation in the Short Video App Tiktok: Reading, Teaching, and Interpretive</t>
  </si>
  <si>
    <t>PERTANIKA JOURNAL OF SOCIAL SCIENCE AND HUMANITIES</t>
  </si>
  <si>
    <t>Mediation; new media; teaching al-Qur'an; TikTok</t>
  </si>
  <si>
    <t>MEDIATIZATION; MEDIATION</t>
  </si>
  <si>
    <t>Several previous studies have proven the significant role of social media in the reading, teaching, and interpretation of al-Qur'an. Therefore, this study aims to determine the models, factors, and implications of teaching al-Qur'an using the TikTok application, a popular social media platform utilizing a logical structure to emphasize the importance of its contents. A qualitative approach was applied in this study to mediate this function by collecting 47 al-Qur'an-related contents from six influential accounts. The results showed that TikTok is a mediator in disseminating al-Qur'an-related content, especially in teaching al-Qur'an. It is indicated by illustrations of how to recite al-Qur'an properly by following the tajweed, displaying a variety of beautiful and contextually meaningful readings. Furthermore, the uploaded contents are driven by the need to teach and recite al-Qur'an, expand da'wah, and respond to encountered questions and events. Therefore, the teaching, recitation, and interpretation of al-Qur'an on TikTok have an impact on the shift of the authority of the traditional al-Qur'an teaching to the more dynamic social media. In other words, this learning model forms a variation in how people learn al-Qur'an, from the conventional system to online through social media. These changes in the way and form of teaching on TikTok indicate that this application can be effectively used for da'wah and is an excellent way to spread the recitation of al-Qur'an without distorting the meaning and intention of its users.</t>
  </si>
  <si>
    <t>[Ghozali, Mahbub; Mursyid, Achmad Yafik] Univ Islam Negeri Sunan Kalijaga, Fac Ushuluddin &amp; Islamic Thought, Dept Quran Studies, Yogyakarta 55281, Indonesia; [Fitriana, Nita] Sekolah Tinggi Ilmu Ekon Widya Wiwaha, Fac Management, Yogyakarta 55162, Indonesia</t>
  </si>
  <si>
    <t>Mursyid, AY (corresponding author), Univ Islam Negeri Sunan Kalijaga, Fac Ushuluddin &amp; Islamic Thought, Dept Quran Studies, Yogyakarta 55281, Indonesia.</t>
  </si>
  <si>
    <t>mahbub.ghozali@uin-suka.ac.id; achmad.mursyid@uin-suka.ac.id; nitafitriana@stieww.ac.id</t>
  </si>
  <si>
    <t>Mursyid, Achmad Yafik/ABH-5010-2020; Ghozali, Mahbub/GXF-6725-2022</t>
  </si>
  <si>
    <t>Fitriana, Nita/0000-0002-3061-5618; Mursyid, Achmad Yafik/0000-0003-0437-6681; Ghozali, Mahbub/0000-0002-0423-8601</t>
  </si>
  <si>
    <t>UNIV PUTRA MALAYSIA PRESS</t>
  </si>
  <si>
    <t>SELANGOR</t>
  </si>
  <si>
    <t>SERDANG, SELANGOR, 00000, MALAYSIA</t>
  </si>
  <si>
    <t>0128-7702</t>
  </si>
  <si>
    <t>2231-8534</t>
  </si>
  <si>
    <t>PERTANIKA J SOC SCI</t>
  </si>
  <si>
    <t>Pertanika J. Soc. Sci. Humanit.</t>
  </si>
  <si>
    <t>10.47836/pjssh.30.3.18</t>
  </si>
  <si>
    <t>5N0VG</t>
  </si>
  <si>
    <t>WOS:000871508300019</t>
  </si>
  <si>
    <t>Hassan, B; Mroueh, J; Mroueh, V; Escandon, JM; Ali-Khan, S; Del Corral, G; Ciudad, P; Manrique, OJ</t>
  </si>
  <si>
    <t>Hassan, Bashar; Mroueh, Jessica; Mroueh, Vanessa; Escandon, Joseph M.; Ali-Khan, Safi; Del Corral, Gabriel; Ciudad, Pedro; Manrique, Oscar J.</t>
  </si>
  <si>
    <t>TikTok in Transgender Health: Is it Really Useful for Plastic Surgeons?</t>
  </si>
  <si>
    <t>TRANSGENDER HEALTH</t>
  </si>
  <si>
    <t>Information Dissemination [MeSH]; Social Media [MAJR]; Transgender Persons [Mesh]; Video Recording [MeSH]</t>
  </si>
  <si>
    <t>EDUCATION</t>
  </si>
  <si>
    <t>Purpose: In 2020, videos with the hashtag #trans had over 6 billion views on the video-sharing application TikTok. We aim to analyze TikTok users' engagement with gender-affirming surgery (GAS) content by transgender and nonbinary (TGNB) patients and plastic surgeons.Methods: Between August 23 through September 11, 2021, we analyzed the top 14 hashtags for GAS and the top 10 most viewed videos for each hashtag using the TikTok application. We extracted the number of shares, likes, comments, and analyzed the quality of video comments, content, and creator.Results: Transmasculine top surgery (n=53, 37.9%) was the most featured GAS. Most videos were posted by patients (n=104, 74.3%). Videos posted by the patients' significant other (PSO) had a significantly higher number of shares (median [interquartile range (IQR)] 17,850 [18882.5]) and lower rate of negative comments per video (Median [IQR] 0% [0%]) compared with those posted by Patients (median [IQR] 214 [868.25], p=0.045; median [IQR] 0% [5%], p=0.006) or Plastic surgeon (median [IQR] 226.5 [297.25], p=0.02; median [IQR] 5% [10%], p=0.043). Most videos presented postoperative care/results (n=45, 32.1%) and had a significantly higher number of likes (median [IQR] 116,500 [212,700]) compared with educational videos (median [IQR] 20,700 [66,939], p=0.044) and those on TGNB awareness/pride (median [IQR] 31,050 [84226.5], p=0.034).Conclusion: TikTok users mostly engage with videos by the PSO on postoperative outcomes compared with educational and TGNB awareness/pride content posted by patients and surgeons. Adapting TikTok content may increase engagement with future patients and family members.</t>
  </si>
  <si>
    <t>[Hassan, Bashar; Mroueh, Jessica; Mroueh, Vanessa] Amer Univ Beirut, Fac Med, Beirut, Lebanon; [Escandon, Joseph M.; Ali-Khan, Safi; Manrique, Oscar J.] Univ Rochester, Med Ctr, Strong Mem Hosp, Div Plast &amp; Reconstruct Surg, Rochester, NY 14627 USA; [Del Corral, Gabriel] MedStar Georgetown Univ Hosp, Dept Plast &amp; Reconstruct Surg, Baltimore, MD USA; [Ciudad, Pedro] Arzobispo Loayza Natl Hosp, Dept Plast Reconstruct &amp; Burn Surg, Lima, Peru</t>
  </si>
  <si>
    <t>American University of Beirut; University of Rochester</t>
  </si>
  <si>
    <t>Manrique, OJ (corresponding author), Univ Rochester, Med Ctr, Strong Mem Hosp, Div Plast &amp; Reconstruct Surg, Rochester, NY 14627 USA.</t>
  </si>
  <si>
    <t>oscar_manrique@urmc.rochester.edu</t>
  </si>
  <si>
    <t>Escandón, Joseph/ABE-5594-2022</t>
  </si>
  <si>
    <t>Hassan, Bashar/0000-0002-4037-8740; Escandon, Joseph M/0000-0002-8982-1950</t>
  </si>
  <si>
    <t>2688-4887</t>
  </si>
  <si>
    <t>2380-193X</t>
  </si>
  <si>
    <t>Transgender Health</t>
  </si>
  <si>
    <t>2023 SEP 1</t>
  </si>
  <si>
    <t>10.1089/trgh.2022.0043</t>
  </si>
  <si>
    <t>Psychology, Clinical; Public, Environmental &amp; Occupational Health; Social Sciences, Biomedical</t>
  </si>
  <si>
    <t>Psychology; Public, Environmental &amp; Occupational Health; Biomedical Social Sciences</t>
  </si>
  <si>
    <t>IZ9Z7</t>
  </si>
  <si>
    <t>WOS:001170298100001</t>
  </si>
  <si>
    <t>CHINA INFORMATION</t>
  </si>
  <si>
    <t>0920-203X</t>
  </si>
  <si>
    <t>1741-590X</t>
  </si>
  <si>
    <t>CHINA INFORM</t>
  </si>
  <si>
    <t>China Inf.</t>
  </si>
  <si>
    <t>10.1177/0920203X231156977e</t>
  </si>
  <si>
    <t>X4ST9</t>
  </si>
  <si>
    <t>WOS:001098372900008</t>
  </si>
  <si>
    <t>Vernallis, C</t>
  </si>
  <si>
    <t>Vernallis, Carol</t>
  </si>
  <si>
    <t>TikTok and Costume-Drama Mashups on YouTube</t>
  </si>
  <si>
    <t>MEDIA SWIRL: Politics, Audiovisuality, and Aesthetics</t>
  </si>
  <si>
    <t>DUKE UNIV PRESS</t>
  </si>
  <si>
    <t>DURHAM</t>
  </si>
  <si>
    <t>905 W MAIN ST, SUITE 18-B, DURHAM, NC 27701 USA</t>
  </si>
  <si>
    <t>978-1-4780-1906-0; 978-1-4780-2369-2; 978-1-4780-1642-7</t>
  </si>
  <si>
    <t>Cultural Studies; Film, Radio, Television; Music</t>
  </si>
  <si>
    <t>Cultural Studies; Film, Radio &amp; Television; Music</t>
  </si>
  <si>
    <t>BW0EO</t>
  </si>
  <si>
    <t>WOS:001094889100013</t>
  </si>
  <si>
    <t>Subramanian, S</t>
  </si>
  <si>
    <t>Subramanian, Sujatha</t>
  </si>
  <si>
    <t>Bahujan girls' anti-caste activism on TikTok</t>
  </si>
  <si>
    <t>[Subramanian, Sujatha] Ohio State Univ, Dept Womens Gender &amp; Sexual Studies, Columbus, OH 43210 USA</t>
  </si>
  <si>
    <t>Subramanian, S (corresponding author), Ohio State Univ, Columbus, OH 43210 USA.</t>
  </si>
  <si>
    <t>subramanian.143@osu.edu</t>
  </si>
  <si>
    <t>S, Sujatha/ISS-3135-2023</t>
  </si>
  <si>
    <t>10.1080/14680777.2021.1864875</t>
  </si>
  <si>
    <t>PY5SK</t>
  </si>
  <si>
    <t>WOS:000600458400001</t>
  </si>
  <si>
    <t>Montesinos, SA; Saborit, FJZ</t>
  </si>
  <si>
    <t>Montesinos, Sandra Arias; Saborit, Francisco Javier Zamora</t>
  </si>
  <si>
    <t>Study of the use of TikTok in European marathon competitions: the case of the Valencia Marathon, the Berlin Marathon and the London Marathon</t>
  </si>
  <si>
    <t>ADCOMUNICA-REVISTA CIENTIFICA DE ESTRATEGIAS TENDENCIAS E INNOVACION EN COMMUNICACION</t>
  </si>
  <si>
    <t>Marathon TikTok sports communication social network city brand social media.</t>
  </si>
  <si>
    <t>ECONOMIC-IMPACT</t>
  </si>
  <si>
    <t>This research studies the use of TikTok as a communication channel for the Berlin, London and Valencia marathons with the aim of categorising and understanding their messages, their strategies and their impact on the city brand. The methodological design consists of a content analysis of the three profiles, analysing a total of 184 videos. The findings are contrasted with three in-depth interviews with sports professionals. The results show a diversification of content strategies according to competition, and explicit mentions that have an impact on the city brand.</t>
  </si>
  <si>
    <t>[Montesinos, Sandra Arias] Univ Alicante, Alicante, Spain; [Saborit, Francisco Javier Zamora] Univ Int Valencia, Valencia, Spain</t>
  </si>
  <si>
    <t>Universitat d'Alacant; Universidad Internacional de Valencia VIU</t>
  </si>
  <si>
    <t>Montesinos, SA (corresponding author), Univ Alicante, Alicante, Spain.</t>
  </si>
  <si>
    <t>ASOC DESARROLLO COMUNICACION</t>
  </si>
  <si>
    <t>CASTELLON</t>
  </si>
  <si>
    <t>DESPACHO RR 0022 SD, EDIF RECTORADO CAMPUS RIU SEC, CASTELLON, 12006, SPAIN</t>
  </si>
  <si>
    <t>2174-0992</t>
  </si>
  <si>
    <t>2254-2728</t>
  </si>
  <si>
    <t>ADCOMUNICA</t>
  </si>
  <si>
    <t>Adcomunica</t>
  </si>
  <si>
    <t>10.6035/adcomunica.7812</t>
  </si>
  <si>
    <t>HJ7E1</t>
  </si>
  <si>
    <t>WOS:001159190300006</t>
  </si>
  <si>
    <t>Henry, JA</t>
  </si>
  <si>
    <t>Henry, Jasmine A.</t>
  </si>
  <si>
    <t>Renegades: Digital Dance Cultures from Dubsmash to TikTok</t>
  </si>
  <si>
    <t>JOURNAL OF POPULAR MUSIC STUDIES</t>
  </si>
  <si>
    <t>[Henry, Jasmine A.] Univ Penn, Philadelphia, PA 19104 USA</t>
  </si>
  <si>
    <t>University of Pennsylvania</t>
  </si>
  <si>
    <t>Henry, JA (corresponding author), Univ Penn, Philadelphia, PA 19104 USA.</t>
  </si>
  <si>
    <t>henryja@sas.upenn.edu</t>
  </si>
  <si>
    <t>1524-2226</t>
  </si>
  <si>
    <t>1533-1598</t>
  </si>
  <si>
    <t>J POP MUSIC STUD</t>
  </si>
  <si>
    <t>J. Pop. Music Stud.</t>
  </si>
  <si>
    <t>10.1525/jpms.2024.36.1.156</t>
  </si>
  <si>
    <t>QO3W0</t>
  </si>
  <si>
    <t>WOS:001221784000008</t>
  </si>
  <si>
    <t>Herweck, A; Chey, P; Hipp, HS; Kawwass, JF</t>
  </si>
  <si>
    <t>Herweck, Alexandra; Chey, Paris; Hipp, Heather S.; Kawwass, Jennifer F.</t>
  </si>
  <si>
    <t>OOCYTE CRYOPRESERVATION ON TIKTOK AND INSTAGRAM: WHO IS TEACHING WHOM?</t>
  </si>
  <si>
    <t>FERTILITY AND STERILITY</t>
  </si>
  <si>
    <t>79th Scientific Congress of the American-Society-for-Reproductive-Medicine (ASRM)</t>
  </si>
  <si>
    <t>OCT 14-18, 2023</t>
  </si>
  <si>
    <t>Amer Soc Reproduct Med</t>
  </si>
  <si>
    <t>[Herweck, Alexandra; Chey, Paris; Hipp, Heather S.] Emory Univ, Sch Med, Dept Gynecol &amp; Obstet, Atlanta, GA USA; [Kawwass, Jennifer F.] Emory Univ, Emory GYN OB, Emory Reprod Ctr, Atlanta, GA USA</t>
  </si>
  <si>
    <t>Hipp, Heather/AAI-1111-2019</t>
  </si>
  <si>
    <t>0015-0282</t>
  </si>
  <si>
    <t>1556-5653</t>
  </si>
  <si>
    <t>FERTIL STERIL</t>
  </si>
  <si>
    <t>Fertil. Steril.</t>
  </si>
  <si>
    <t>O-114</t>
  </si>
  <si>
    <t>E48</t>
  </si>
  <si>
    <t>U4QU4</t>
  </si>
  <si>
    <t>WOS:001084670200115</t>
  </si>
  <si>
    <t>Aghajani, MJ; Aghajani, R</t>
  </si>
  <si>
    <t>Aghajani, Marra Jai; Aghajani, Rhian</t>
  </si>
  <si>
    <t>TikTok and #psoriasis: A cross- sectional study of content quality</t>
  </si>
  <si>
    <t>AUSTRALASIAN JOURNAL OF DERMATOLOGY</t>
  </si>
  <si>
    <t>[Aghajani, Marra Jai; Aghajani, Rhian] Royal North Shore Hosp, Sydney, NSW, Australia; [Aghajani, Marra Jai] Royal North Shore Hosp, Reserve Rd, Sydney, NSW 2065, Australia</t>
  </si>
  <si>
    <t>Royal North Shore Hospital; Royal North Shore Hospital</t>
  </si>
  <si>
    <t>Aghajani, MJ (corresponding author), Royal North Shore Hosp, Reserve Rd, Sydney, NSW 2065, Australia.</t>
  </si>
  <si>
    <t>marrajai.aghajani@health.nsw.gov.au</t>
  </si>
  <si>
    <t>Aghajani, Marra/0000-0002-8088-4509</t>
  </si>
  <si>
    <t>The authors thank Cesar Murphy for their expertise and assistance with retrieving and coding the raw data obtained from TikTok for inclusion within our study.</t>
  </si>
  <si>
    <t>0004-8380</t>
  </si>
  <si>
    <t>1440-0960</t>
  </si>
  <si>
    <t>AUSTRALAS J DERMATOL</t>
  </si>
  <si>
    <t>Australas. J. Dermatol.</t>
  </si>
  <si>
    <t>e369</t>
  </si>
  <si>
    <t>e371</t>
  </si>
  <si>
    <t>10.1111/ajd.14149</t>
  </si>
  <si>
    <t>IU7W4</t>
  </si>
  <si>
    <t>WOS:001061023400001</t>
  </si>
  <si>
    <t>Nassab, R</t>
  </si>
  <si>
    <t>Nassab, Reza</t>
  </si>
  <si>
    <t>Commentary on: Analyzing the Quality of Aesthetic Surgery Procedure Videos on TikTok</t>
  </si>
  <si>
    <t>PLASTIC-SURGERY; INSTAGRAM</t>
  </si>
  <si>
    <t>Nassab, R (corresponding author), CLNQ, 49-51 King St, Knutsford, Cheshire, England.</t>
  </si>
  <si>
    <t>contact@rezanassab.com</t>
  </si>
  <si>
    <t>NP2084</t>
  </si>
  <si>
    <t>NP2085</t>
  </si>
  <si>
    <t>10.1093/asj/sjab320</t>
  </si>
  <si>
    <t>WOS:000753445300056</t>
  </si>
  <si>
    <t>Deng, XJ; Yu, ZG</t>
  </si>
  <si>
    <t>Deng, Xinjie; Yu, Zhonggen</t>
  </si>
  <si>
    <t>An extended hedonic motivation adoption model of TikTok in higher education</t>
  </si>
  <si>
    <t>EDUCATION AND INFORMATION TECHNOLOGIES</t>
  </si>
  <si>
    <t>Hedonic motivation system adoption model (HMSAM); TikTok; Perceived ease of use; Perceived boredom; Personal innovativeness</t>
  </si>
  <si>
    <t>HIGHER-ORDER THINKING; PERSONAL INNOVATIVENESS; USER ACCEPTANCE; PERCEIVED EASE; PLS-SEM; INFORMATION; INTENTION; USAGE; FUN</t>
  </si>
  <si>
    <t>As information technologies develop, social networking services have gradually gained attention from both researchers and practitioners. However, little is known about the technology adoption of social networking from the perspective of hedonic motivation. For this purpose, this study applied the hedonic motivation system adoption model (HMSAM) to TikTok and incorporated two innovative factors, i.e., perceived boredom and personal innovativeness. Via structural equation modeling (SEM), this study used SmartPLS 4.0.8 to analyze 246 valid responses from Chinese university students via an online survey. The results showed that the research model was adequate for the adoption of TikTok. Curiosity and perceived boredom significantly mediated the positive relationships between perceived ease of use and behavioral intention. Additionally, the educational level moderated the relationship between joy and focused immersion. The results of this study provided insights for future researchers and innovative teaching.</t>
  </si>
  <si>
    <t>[Deng, Xinjie; Yu, Zhonggen] Beijing Language &amp; Culture Univ, Fac Foreign Studies, 15 Xueyuan Rd, Beijing 100083, Peoples R China</t>
  </si>
  <si>
    <t>Beijing Language &amp; Culture University</t>
  </si>
  <si>
    <t>Yu, ZG (corresponding author), Beijing Language &amp; Culture Univ, Fac Foreign Studies, 15 Xueyuan Rd, Beijing 100083, Peoples R China.</t>
  </si>
  <si>
    <t>1255811529@qq.com; yuzhonggen@blcu.edu.cn</t>
  </si>
  <si>
    <t>Yu, Zhonggen/AAJ-3063-2020; Deng, Xinjie/GLR-9248-2022</t>
  </si>
  <si>
    <t>Deng, Xinjie/0000-0002-8901-3080</t>
  </si>
  <si>
    <t>2019 MOOC of Beijing Language and Culture University [MOOC201902]; Special fund of Beijing Co-construction Project-Research [202010032003]; research project of Graduate Students of Beijing Language and Culture University Xi Jinping: The Governance of China [SJTS202108]; Fundamental Research Funds for the Central Universities; Research Funds of Beijing Language and Culture University [22YCX017]; Research Project of the 8th Education and Teaching Reform in Dali University [2022JGY08-129]</t>
  </si>
  <si>
    <t>2019 MOOC of Beijing Language and Culture University; Special fund of Beijing Co-construction Project-Research; research project of Graduate Students of Beijing Language and Culture University Xi Jinping: The Governance of China; Fundamental Research Funds for the Central Universities(Fundamental Research Funds for the Central Universities); Research Funds of Beijing Language and Culture University; Research Project of the 8th Education and Teaching Reform in Dali University</t>
  </si>
  <si>
    <t>This work is supported by 2019 MOOC of Beijing Language and Culture University (MOOC201902) (Important) Introduction to Linguistics; Introduction to Linguistics of online and offline mixed courses in Beijing Language and Culture University in 2020; Special fund of Beijing Co-construction Project-Research and reform of the Undergraduate Teaching Reform and Innovation Project of Beijing higher education in 2020-innovative multilingual + excellent talent training system (202010032003); The research project of Graduate Students of Beijing Language and Culture University Xi Jinping: The Governance of China (SJTS202108); The Fundamental Research Funds for the Central Universities, and the Research Funds of Beijing Language and Culture University (22YCX017); and the Research Project of the 8th Education and Teaching Reform in Dali University (2022JGY08-129).</t>
  </si>
  <si>
    <t>1360-2357</t>
  </si>
  <si>
    <t>1573-7608</t>
  </si>
  <si>
    <t>EDUC INF TECHNOL</t>
  </si>
  <si>
    <t>Educ. Inf. Technol.</t>
  </si>
  <si>
    <t>10.1007/s10639-023-11749-x</t>
  </si>
  <si>
    <t>EI1D7</t>
  </si>
  <si>
    <t>Bronze, Green Published</t>
  </si>
  <si>
    <t>WOS:000983781900005</t>
  </si>
  <si>
    <t>Maris, E; Caplan, R; Thach, H</t>
  </si>
  <si>
    <t>Maris, Elena; Caplan, Robyn; Thach, Hibby</t>
  </si>
  <si>
    <t>Taking back and giving back on TikTok: Algorithmic mutual aid in the platform economy</t>
  </si>
  <si>
    <t>Algorithmic ethnography; algorithmic imaginaries; digital activism; influencers; monetization; mutual aid; platform governance; platform labor; TikTok; users</t>
  </si>
  <si>
    <t>This article explores three genres of TikTok content in which creators and users collaborate to re(direct) the value they create on-platform toward specific needs, people, and causes. Drawing from literatures on platform economies, user and creator labor, algorithmic imaginaries and resistance, and mutual aid, we used algorithmic ethnography to identify and define major genres of content, eventually creating a sample of 192 TikTok videos (including comments and metadata) and conducting a thematic analysis. The videos and practices shared the following themes: realizations of on-platform value, tactics oriented against platform logics and monetization programs, shared theories of value, and digital collaboration for a cause. We argue the genres constitute forms of algorithmic mutual aid, a practice unfolding in platform economies that demonstrates people's increased recognition of the value of their digital labor, and efforts to reorient platform logics of value, visibility, and compensation to care for one another.</t>
  </si>
  <si>
    <t>[Maris, Elena] Univ Illinois, Chicago, IL 60607 USA; [Caplan, Robyn] Duke Univ, Durham, NC USA; [Thach, Hibby] Univ Michigan, Ann Arbor, MI USA; [Maris, Elena] Univ Illinois, Dept Commun, 1007 W Harrison St,1140 BSB, Chicago, IL 60607 USA</t>
  </si>
  <si>
    <t>University of Illinois System; University of Illinois Chicago; University of Illinois Chicago Hospital; Duke University; University of Michigan System; University of Michigan; University of Illinois System; University of Illinois Chicago; University of Illinois Chicago Hospital</t>
  </si>
  <si>
    <t>Maris, E (corresponding author), Univ Illinois, Dept Commun, 1007 W Harrison St,1140 BSB, Chicago, IL 60607 USA.</t>
  </si>
  <si>
    <t>emaris@uic.edu</t>
  </si>
  <si>
    <t>Thach, Hibby/IUO-5378-2023</t>
  </si>
  <si>
    <t>Thach, Hibby/0000-0002-0520-0218</t>
  </si>
  <si>
    <t>2024 MAR 25</t>
  </si>
  <si>
    <t>10.1177/14614448241238396</t>
  </si>
  <si>
    <t>LX6P2</t>
  </si>
  <si>
    <t>WOS:001190153000001</t>
  </si>
  <si>
    <t>Livas, LI; Ojo, ED; Sims, K</t>
  </si>
  <si>
    <t>Livas, Lydia I.; Ojo, Enioluwafe D.; Sims, Katy</t>
  </si>
  <si>
    <t>LET'S TALK ABOUT AUTTOK: ANALYSIS OF ASD CONTENT ON TIKTOK</t>
  </si>
  <si>
    <t>70th Annual Meeting of the American-Academy-of-Child-and-Adolescent-Psychiatry (AACAP)</t>
  </si>
  <si>
    <t>OCT 23-28, 2023</t>
  </si>
  <si>
    <t>New York, NY</t>
  </si>
  <si>
    <t>Amer Acad Child &amp; Adolesc Psychiat</t>
  </si>
  <si>
    <t>[Livas, Lydia I.; Ojo, Enioluwafe D.] Univ North Carolina HealthCare, Chapel Hill, NC USA</t>
  </si>
  <si>
    <t>University North Carolina Hospital</t>
  </si>
  <si>
    <t>lydia.livas@unchealth.unc.edu; enioluwafe.ojo@unchealth.unc.edu</t>
  </si>
  <si>
    <t>S200</t>
  </si>
  <si>
    <t>10.1016/j.jaac.2023.09.148</t>
  </si>
  <si>
    <t>X5KF4</t>
  </si>
  <si>
    <t>WOS:001098830401001</t>
  </si>
  <si>
    <t>Lundy, M</t>
  </si>
  <si>
    <t>Lundy, Morgan</t>
  </si>
  <si>
    <t>TikTok and COVID-19 Vaccine Misinformation: New Avenues for Misinformation Spread, Popular Infodemic Topics, and Dangerous Logical Fallacies</t>
  </si>
  <si>
    <t>TikTok; COVID-19 vaccine; health communication; infodemic; health misinformation; misinformation spread; social media; logical fallacies</t>
  </si>
  <si>
    <t>FORMS; MEMES</t>
  </si>
  <si>
    <t>TikTok's microvideo format, audio virality, and algorithmic focus present fundamental shifts and understudied challenges to health communication. This health misinformation study first takes a step toward filling this gap and extends common approaches to TikTok research that rely on a single hashtag. To identify the realistically slippery nature of COVID-19 vaccine misinformation, this study employs algorithm training and snowball sampling across misinformation trails of adjacent hashtags, coded language, audio memes, and user accounts to collect a data set of 100 microvideos across many misinformation-related hashtags. Then, thematic analysis illuminates the dominance of novel misinformation spread through viral music and sounds and other platform features, as well as persistent vaccine misinformation topics, such as side effects, harm to children, and experimental vaccine contents. Finally, rhetorical analysis identifies misleading misinformation arguments, including appeals to the populace and emotion, nirvana, slippery slopes, and false-cause logical fallacies.</t>
  </si>
  <si>
    <t>[Lundy, Morgan] Univ Illinois, Champaign, IL 61820 USA</t>
  </si>
  <si>
    <t>Lundy, M (corresponding author), Univ Illinois, Champaign, IL 61820 USA.</t>
  </si>
  <si>
    <t>morganelainelundy@gmail.com</t>
  </si>
  <si>
    <t>G0MS6</t>
  </si>
  <si>
    <t>WOS:000986205400009</t>
  </si>
  <si>
    <t>Du, YY; Lin, SL; Zhang, XL</t>
  </si>
  <si>
    <t>Du, Yanyan; Lin, Shengliang; Zhang, Xueli</t>
  </si>
  <si>
    <t>An Empirical Study on the Factors Influencing the Number of Fans of Female-Oriented Accounts on Chinese Tik Tok</t>
  </si>
  <si>
    <t>female-oriented accounts on Chinese TikTok; fans; influential factors; statistics; inner needs</t>
  </si>
  <si>
    <t>This paper selects 500 samples through a recommendation algorithm and, on the basis of content analysis, examines the factors that affect the number of fans of female-oriented accounts on Chinese TikTok in terms of intrinsic attributes, surface form, and deep content. The results show that in order to increase the number of fans of female-oriented accounts on Chinese TikTok, there are four variables of the intrinsic attribute with statistically significant differences, 13 variables of the surface form with statistically significant differences, and 9 variables of the deep content with statistically significant differences. Beauty-related content is not the best means to attract fans. It requires TikTok creators to get rid of stereotyped and conceptual female impressions, display the rich social roles of women, and build true, complete, and harmonious female images in innovative ways in accordance with the humanistic communication concept.</t>
  </si>
  <si>
    <t>[Du, Yanyan] Zhejiang Univ Technol, Sch Humanities, Hangzhou, Peoples R China; [Lin, Shengliang] Jinan Univ, Sch Journalism &amp; Commun, Guangzhou, Peoples R China; [Zhang, Xueli] Fujian Normal Univ, Dept Commun, Fuzhou, Peoples R China</t>
  </si>
  <si>
    <t>Zhejiang University of Technology; Jinan University; Fujian Normal University</t>
  </si>
  <si>
    <t>Lin, SL (corresponding author), Jinan Univ, Sch Journalism &amp; Commun, Guangzhou, Peoples R China.</t>
  </si>
  <si>
    <t>linshengliang2021@126.com</t>
  </si>
  <si>
    <t>Fundamental Research Funds for Zhejiang Provincial Universities - Interdisciplinary Research [GB202103007]</t>
  </si>
  <si>
    <t>Fundamental Research Funds for Zhejiang Provincial Universities - Interdisciplinary Research</t>
  </si>
  <si>
    <t>Funding This work was supported by the Fundamental Research Funds for Zhejiang Provincial Universities - Interdisciplinary Research (No. GB202103007).</t>
  </si>
  <si>
    <t>JUN 23</t>
  </si>
  <si>
    <t>10.3389/fpsyg.2022.826819</t>
  </si>
  <si>
    <t>3B1IK</t>
  </si>
  <si>
    <t>WOS:000827701800001</t>
  </si>
  <si>
    <t>Martel, T; Gualiteri, L; Mitchell, L</t>
  </si>
  <si>
    <t>Martel, Tori; Gualiteri, Lisa; Mitchell, Lynda</t>
  </si>
  <si>
    <t>Views Over Validity: Analyzing Asthma Information on TikTok to Increase Reach</t>
  </si>
  <si>
    <t>JOURNAL OF ALLERGY AND CLINICAL IMMUNOLOGY</t>
  </si>
  <si>
    <t>Annual Meeting of the American-Academy-of-Allergy-Asthma-and-Immunology (AAAAI)</t>
  </si>
  <si>
    <t>FEB 24-27, 2023</t>
  </si>
  <si>
    <t>San Antonio, TX</t>
  </si>
  <si>
    <t>Amer Acad Allergy Asthma &amp; Immunol</t>
  </si>
  <si>
    <t>[Martel, Tori; Mitchell, Lynda] Allergy &amp; Asthma Network, Fairfax, VA USA; [Gualiteri, Lisa] Tufts Univ, Medford, MA USA</t>
  </si>
  <si>
    <t>Tufts University</t>
  </si>
  <si>
    <t>0091-6749</t>
  </si>
  <si>
    <t>1097-6825</t>
  </si>
  <si>
    <t>J ALLERGY CLIN IMMUN</t>
  </si>
  <si>
    <t>J. Allergy Clin. Immunol.</t>
  </si>
  <si>
    <t>AB183</t>
  </si>
  <si>
    <t>Allergy; Immunology</t>
  </si>
  <si>
    <t>G8NF0</t>
  </si>
  <si>
    <t>WOS:000991651900560</t>
  </si>
  <si>
    <t>Murphy, J</t>
  </si>
  <si>
    <t>Murphy, Jerome</t>
  </si>
  <si>
    <t>There's more to the TikTok story than its sudden rise</t>
  </si>
  <si>
    <t>APR 4</t>
  </si>
  <si>
    <t>LB6TN</t>
  </si>
  <si>
    <t>WOS:000524766200032</t>
  </si>
  <si>
    <t>Ortiz-Martínez, Y; Ortiz-Martínez, HM</t>
  </si>
  <si>
    <t>Ortiz-Martinez, Yeimer; Ortiz-Martinez, Heysell M.</t>
  </si>
  <si>
    <t>TikTok and Its Importance in Monkeypox Public Health Engagement</t>
  </si>
  <si>
    <t>[Ortiz-Martinez, Yeimer] Univ Ind Santander, Dept Internal Med, Bucaramanga, Colombia; [Ortiz-Martinez, Heysell M.] Univ Atlantico, Fac Ciencias Jurid, Programa Derecho, Barranquilla, Colombia</t>
  </si>
  <si>
    <t>Universidad Industrial de Santander</t>
  </si>
  <si>
    <t>Ortiz-Martínez, Y (corresponding author), Univ Ind Santander, Dept Internal Med, Bucaramanga, Colombia.</t>
  </si>
  <si>
    <t>Ortiz-Martínez, Yeimer/AAJ-5320-2020</t>
  </si>
  <si>
    <t>Ortiz-Martinez, Yeimer/0000-0001-9035-5654</t>
  </si>
  <si>
    <t>10.1016/j.jadohealth.2022.10.016</t>
  </si>
  <si>
    <t>8G8ZA</t>
  </si>
  <si>
    <t>WOS:000920629700001</t>
  </si>
  <si>
    <t>Solea, AI; Sugiura, L</t>
  </si>
  <si>
    <t>Solea, Anda Iulia; Sugiura, Lisa</t>
  </si>
  <si>
    <t>Mainstreaming the Blackpill: Understanding the Incel Community on TikTok</t>
  </si>
  <si>
    <t>EUROPEAN JOURNAL ON CRIMINAL POLICY AND RESEARCH</t>
  </si>
  <si>
    <t>Incels; Online misogyny; TikTok; Online harms; Mainstream media</t>
  </si>
  <si>
    <t>ONLINE; CULTURE</t>
  </si>
  <si>
    <t>Incels (involuntary celibates), a subgroup of the so called 'manosphere,' have become an increasing security concern for policymakers, researchers, and practitioners following their association with several violent attacks. Once mostly contained on niche men's forums, redpilled and blackpilled communities and theories are gaining prominence on mainstream social media platforms. However, whilst previous research considerably enhanced our understanding of the incel phenomenon and their presence on Reddit and secluded incel forums, incel's presence on mainstream social media platforms is understudied and their presence on TikTok is yet to be addressed. The present paper examines the incel subculture on TikTok, through an analysis of incel accounts, videos and their respective comments, to understand the role mainstream social media platforms play in the 'normiefication' and normalisation of incel ideology and discourse. The findings suggest that on TikTok the expression of incel ideology takes a covert form, employing emotional appeals and pseudo-science to disseminate common incelosphere tropes. Further, we demonstrate how the process of mainstreaming incel beliefs is facilitated by their interconnectedness with wider sexism and structural misogyny. The harms generating from this association are conducive to the normalisation of blackpill beliefs and the reinforcement of misogyny, sexism and justification of rape culture.</t>
  </si>
  <si>
    <t>[Solea, Anda Iulia; Sugiura, Lisa] Univ Portsmouth, Sch Criminol &amp; Criminal Justice, Portsmouth, England</t>
  </si>
  <si>
    <t>University of Portsmouth</t>
  </si>
  <si>
    <t>Solea, AI (corresponding author), Univ Portsmouth, Sch Criminol &amp; Criminal Justice, Portsmouth, England.</t>
  </si>
  <si>
    <t>Anda.Solea@port.ac.uk; Lisa.Sugiura@port.ac.uk</t>
  </si>
  <si>
    <t>Solea, Anda Iulia/KIH-6876-2024</t>
  </si>
  <si>
    <t>Sugiura, Lisa/0000-0002-2167-3613; Solea, Anda Iulia/0009-0004-5722-4934</t>
  </si>
  <si>
    <t>0928-1371</t>
  </si>
  <si>
    <t>1572-9869</t>
  </si>
  <si>
    <t>EUR J CRIM POLICY RE</t>
  </si>
  <si>
    <t>Eur. J. Crim. Policy Res.</t>
  </si>
  <si>
    <t>10.1007/s10610-023-09559-5</t>
  </si>
  <si>
    <t>Y6DL2</t>
  </si>
  <si>
    <t>WOS:001046643400001</t>
  </si>
  <si>
    <t>Situmorang, DDB</t>
  </si>
  <si>
    <t>Situmorang, Dominikus David Biondi</t>
  </si>
  <si>
    <t>Using TikTok App for Therapy and Sharing Happiness in COVID-19 Outbreak</t>
  </si>
  <si>
    <t>ADDICTIVE DISORDERS &amp; THEIR TREATMENT</t>
  </si>
  <si>
    <t>MUSIC-THERAPY</t>
  </si>
  <si>
    <t>[Situmorang, Dominikus David Biondi] Atma Jaya Catholic Univ Indonesia, Dept Guidance &amp; Counseling, Jakarta, Indonesia</t>
  </si>
  <si>
    <t>University Katolik Indonesia Atma Jaya</t>
  </si>
  <si>
    <t>Situmorang, DDB (corresponding author), Atma Jaya Catholic Univ Indonesia, Dept Guidance &amp; Counseling, Jakarta, Indonesia.</t>
  </si>
  <si>
    <t>Situmorang, Dominikus David Biondi/AAB-8293-2021</t>
  </si>
  <si>
    <t>Situmorang, Dominikus David Biondi/0000-0002-6065-2022</t>
  </si>
  <si>
    <t>1531-5754</t>
  </si>
  <si>
    <t>1535-1122</t>
  </si>
  <si>
    <t>ADDICT DISORD TREAT</t>
  </si>
  <si>
    <t>Addict. Disord. Treat.</t>
  </si>
  <si>
    <t>10.1097/ADT.0000000000000255</t>
  </si>
  <si>
    <t>WX3VG</t>
  </si>
  <si>
    <t>WOS:000718527000048</t>
  </si>
  <si>
    <t>Paksoy, T; Sen, SC; Ustaoglu, G; Bulut, DG</t>
  </si>
  <si>
    <t>Paksoy, Tugce; Sen, Seval Ceylan; Ustaoglu, Gulbahar; Bulut, Duygu Goller</t>
  </si>
  <si>
    <t>What do TikTok videos offer us about dental implants treatment?</t>
  </si>
  <si>
    <t>Dental implants; Dental implants surgery; Dental implants treatment; Implant dentistry; Social media; Tiktok E-health</t>
  </si>
  <si>
    <t>INFORMATION; YOUTUBE; INSTAGRAM</t>
  </si>
  <si>
    <t>Objective: To evaluate the quality, source, popularity, visibility and reliability of Tiktok videos on dental implants. Materials and Methods: A Tiktok search for dental implants was performed English language setting. Search hashtags were determined as #dentalimplants, #dentalimplantsurgery, #dentalimplantstreatment, and #implantdentistry. 148 of the 300 videos watched were included the study. Two periodontologists scored the videos for quality, reliability, utility, visibility and popularity. Videos' quality was evaluated using the Global Quality Scale (GQS) and the DISCERN tools, by categorizing them through quality of communication, duration, likes and dislikes, views, source and video type of each video were recorded. Results: There was significant positive correlation between GQS and Total DISCERN (Rho: 0.636) and Duration in seconds (Rho: 0.343) (p &lt; 0.05). For Total DISCERN, averages of the 31-45 seconds (p=0.010) and 46 seconds and above (p=.018) groups were higher than the averages of the 0-15 seconds group and average of the Educational group was higher than the average of the Testimonial, Product Advertisement and Entertainment groups (p=0.001, p=0.033 and p=0.041). Healthcare professionals mostly upload GQS 2 score videos and Hospital/Universities mostly upload GQS 2 and 3 score videos (p &lt; 0.05). Testimonial videos mostly receive GQS2 score videos and the 'Videos rich in supplementary visuals' quality also receives the most GQS4 score videos (p &lt; 0.05). Conclusions: The results of this study demonstrate that TikTok videos provide low to moderate quality information about dental implants and that TikTok may not provide reliable information about dental implants.</t>
  </si>
  <si>
    <t>[Paksoy, Tugce] Istanbul Atlas Univ, Fac Dent, Dept Periodontol, Istanbul, Turkiye; [Sen, Seval Ceylan; Ustaoglu, Gulbahar] Univ Hlth Sci, Gulhane Fac Dent, Dept Periodontol, Ankara, Turkiye; [Bulut, Duygu Goller] Bolu Abant Izzet Baysal Univ, Fac Dent, Dept Oral &amp; Maxillofacial Radiol, Bolu, Turkiye</t>
  </si>
  <si>
    <t>Istanbul Atlas University; University of Health Sciences Turkey; Abant Izzet Baysal University</t>
  </si>
  <si>
    <t>Paksoy, T (corresponding author), Anadolu Cd 40, TR-34403 Istanbul, Turkiye.</t>
  </si>
  <si>
    <t>tugceakap86@hotmail.com</t>
  </si>
  <si>
    <t>Paksoy, Tuğçe/GVR-7554-2022; ceylan şen, seval/JTU-9293-2023; USTAOĞLU, GÜLBAHAR/AAA-6407-2021</t>
  </si>
  <si>
    <t>Paksoy, Tugce/0000-0001-6204-7304; Ustaoglu, Gulbahar/0000-0002-4205-861X; Ceylan Sen, Seval/0000-0002-3286-7819</t>
  </si>
  <si>
    <t>10.1016/j.jormas.2022.10.019</t>
  </si>
  <si>
    <t>C8MX6</t>
  </si>
  <si>
    <t>WOS:000964405800030</t>
  </si>
  <si>
    <t>Kovar, EM; Ravi, S; Walsh, C; Loh, M; Monge, M</t>
  </si>
  <si>
    <t>Kovar, E. M.; Ravi, S.; Walsh, C.; Loh, M.; Monge, M.</t>
  </si>
  <si>
    <t>TIKTOK AND DEPOT MEDROXYPROGESTERONE ACETATE (DMPA): A REVIEW OF SOCIAL MEDIA CONTENT AND QUALITY</t>
  </si>
  <si>
    <t>[Kovar, E. M.] Univ Texas Austin, Dell Med Sch, Austin, TX 78712 USA</t>
  </si>
  <si>
    <t>University of Texas System; University of Texas Austin</t>
  </si>
  <si>
    <t>P077</t>
  </si>
  <si>
    <t>10.1016/j.contraception.2023.110244</t>
  </si>
  <si>
    <t>Z7UG3</t>
  </si>
  <si>
    <t>WOS:001114085100099</t>
  </si>
  <si>
    <t>McElrath, ME; Robb, C; D'Ascanio, A; Akbar, A; Steinhart, A; Banerjee, I; Andiman, SE; Grimes, CL; Stifani, BM</t>
  </si>
  <si>
    <t>McElrath, M. E.; Robb, C.; D'Ascanio, A.; Akbar, A.; Steinhart, A.; Banerjee, I.; Andiman, S. E.; Grimes, C. L.; Stifani, B. M.</t>
  </si>
  <si>
    <t>#HORMONALBIRTHCONTROL VS. #FERTILITYAWARENESSMETHOD: TRENDING ANTI-BIRTH CONTROL SENTIMENTS ON TIKTOK</t>
  </si>
  <si>
    <t>[McElrath, M. E.] New York Med Coll, Valhalla, NY 10595 USA</t>
  </si>
  <si>
    <t>P086</t>
  </si>
  <si>
    <t>WOS:001330525700108</t>
  </si>
  <si>
    <t>Azhar, AF</t>
  </si>
  <si>
    <t>Azhar, Aaminah F.</t>
  </si>
  <si>
    <t>The Evidence Behind Topical Hair Loss Remedies on TikTok</t>
  </si>
  <si>
    <t>ECOTOXICOLOGY AND ENVIRONMENTAL SAFETY</t>
  </si>
  <si>
    <t>ALOPECIA</t>
  </si>
  <si>
    <t>[Azhar, Aaminah F.] Univ Oklahoma, Dept Dermatol, Hlth Sci Ctr, Oklahoma City, OK USA; [Azhar, Aaminah F.] 1000 NE 13th St,Ste 1C, Oklahoma City, OK 73104 USA</t>
  </si>
  <si>
    <t>University of Oklahoma System; University of Oklahoma Health Sciences Center</t>
  </si>
  <si>
    <t>Azhar, AF (corresponding author), 1000 NE 13th St,Ste 1C, Oklahoma City, OK 73104 USA.</t>
  </si>
  <si>
    <t>Aaminah-Azhar@ouhsc.edu</t>
  </si>
  <si>
    <t>ACADEMIC PRESS INC ELSEVIER SCIENCE</t>
  </si>
  <si>
    <t>SAN DIEGO</t>
  </si>
  <si>
    <t>525 B ST, STE 1900, SAN DIEGO, CA 92101-4495 USA</t>
  </si>
  <si>
    <t>0147-6513</t>
  </si>
  <si>
    <t>1090-2414</t>
  </si>
  <si>
    <t>ECOTOX ENVIRON SAFE</t>
  </si>
  <si>
    <t>Ecotox. Environ. Safe.</t>
  </si>
  <si>
    <t>10.12788/cutis.0731</t>
  </si>
  <si>
    <t>Environmental Sciences; Toxicology</t>
  </si>
  <si>
    <t>Environmental Sciences &amp; Ecology; Toxicology</t>
  </si>
  <si>
    <t>H1RE1</t>
  </si>
  <si>
    <t>WOS:000993796100006</t>
  </si>
  <si>
    <t>Who Needs Music Documentaries When There's TikTok and Carpool Karaoke?</t>
  </si>
  <si>
    <t>WOS:001094889100012</t>
  </si>
  <si>
    <t>Hatch, J; Albrecht, J; Presley, C; Anderson, J; Hamp, A; Anderson, J; Rundle, C; Laughter, M; Dellavalle, R</t>
  </si>
  <si>
    <t>Hatch, J.; Albrecht, J.; Presley, C.; Anderson, J.; Hamp, A.; Anderson, J.; Rundle, C.; Laughter, M.; Dellavalle, R.</t>
  </si>
  <si>
    <t>An analysis of androgenetic alopecia treatment content on Instagram and TikTok</t>
  </si>
  <si>
    <t>[Albrecht, J.] Univ Utah Hlth, Sch Med, Salt Lake City, UT USA; [Presley, C.] Lehigh Valley Hlth Network, Div Dermatol, Allentown, PA USA; [Anderson, J.; Hamp, A.] Midwestern Univ Arizona, Coll Osteopath Med, Glendale, AZ USA; [Anderson, J.] Stanford Univ, Dept Pathol, Stanford, CA 94305 USA; [Rundle, C.] Duke Univ, Dept Dermatol, Durham, NC USA; [Laughter, M.] Univ Texas Austin, Dept Med, Austin, TX USA; [Dellavalle, R.] Univ Colorado, Dept Dermatol, Anschutz Med Campus, Aurora, CO USA; [Hatch, J.] Univ North Texas Hlth Sci Ctr, Texas Coll Osteopath Med, Ft Worth, TX USA</t>
  </si>
  <si>
    <t>Utah System of Higher Education; University of Utah; Lehigh Valley Health Network; Midwestern University; Stanford University; Duke University; University of Texas System; University of Texas Austin; University of Colorado System; University of Colorado Anschutz Medical Campus</t>
  </si>
  <si>
    <t>Dellavalle, Robert/L-2020-2013</t>
  </si>
  <si>
    <t>S63</t>
  </si>
  <si>
    <t>3E0OZ</t>
  </si>
  <si>
    <t>WOS:000829693000544</t>
  </si>
  <si>
    <t>Brekelmans, A</t>
  </si>
  <si>
    <t>Brekelmans, Alana</t>
  </si>
  <si>
    <t>Multimedia Review Column: TikTok and the New Public Ethnographer</t>
  </si>
  <si>
    <t>ASIA PACIFIC JOURNAL OF ANTHROPOLOGY</t>
  </si>
  <si>
    <t>[Brekelmans, Alana] Univ Queensland, Brisbane, Qld, Australia</t>
  </si>
  <si>
    <t>University of Queensland</t>
  </si>
  <si>
    <t>Brekelmans, A (corresponding author), Univ Queensland, Brisbane, Qld, Australia.</t>
  </si>
  <si>
    <t>a.brekelmans@uq.edu.au</t>
  </si>
  <si>
    <t>Brekelmans, Alana/KBB-4273-2024</t>
  </si>
  <si>
    <t>1444-2213</t>
  </si>
  <si>
    <t>1740-9314</t>
  </si>
  <si>
    <t>ASIA PAC J ANTHROPOL</t>
  </si>
  <si>
    <t>Asia Pac. J. Anthropol.</t>
  </si>
  <si>
    <t>10.1080/14442213.2024.2314335</t>
  </si>
  <si>
    <t>NN9I9</t>
  </si>
  <si>
    <t>WOS:001171523100001</t>
  </si>
  <si>
    <t>Lau, N; Srinakarin, K; Aalfs, H; Zhao, X; Palermo, TM</t>
  </si>
  <si>
    <t>Lau, Nancy; Srinakarin, Kavin; Aalfs, Homer; Zhao, Xin; Palermo, Tonya M.</t>
  </si>
  <si>
    <t>TikTok and teen mental health: an analysis of user-generated content and engagement</t>
  </si>
  <si>
    <t>JOURNAL OF PEDIATRIC PSYCHOLOGY</t>
  </si>
  <si>
    <t>adolescents; dissemination &amp; implementation science; eHealth/mHealth; psychosocial functioning</t>
  </si>
  <si>
    <t>ADOLESCENCE; TECHNOLOGY; STIGMA</t>
  </si>
  <si>
    <t>Background: TikTok is a social media mobile application that is widely used by adolescents, and has the potential to serve as a revolutionary platform for public and mental health discourse, education, and intervention. Objective: Our study aimed to describe the content and engagement metrics of the hashtag #teenmentalhealth on TikTok. Methods: In this study, we: (a) conducted a directed content analysis of the Top 100 TikTok videos tagged with #teenmentalhealth, and (b) collected data on video engagements (views, likes, saves, and shares) and computed view-based engagement rates. Results: The videos collectively garnered 144,320,591 views; 28,289,655 likes; 219,780 comments; 1,971,492 saves; and 478,696 shares. Most of the generated content were from teens and therapists. Engagement metrics revealed strong user engagement rates across user types. The most prevalent content categories represented across videos were personal experience, coping techniques or treatment, humor, interpersonal relationships, and health campaign. The content categories with the highest engagement rates were relatable media representation, health campaign, social isolation, and humor. Only a single video incorporated evidence-based treatment content. Conclusion: TikTok facilitates communication and information dissemination on teen mental health. Future research should focus on improving the quality and credibility of digital content while maintaining engagement through creativity, self-expression, and relatability. Use of popular social media platforms and community-engaged research to disseminate evidence-based content may help bridge the translational research gap.</t>
  </si>
  <si>
    <t>[Lau, Nancy; Aalfs, Homer; Palermo, Tonya M.] Seattle Childrens Res Inst, Ctr Child Hlth Behav &amp; Dev, Seattle, WA USA; [Lau, Nancy; Zhao, Xin] Univ Washington, Sch Med, Dept Psychiat &amp; Behav Sci, Seattle, WA USA; [Srinakarin, Kavin] Univ Washington, Dept Psychol, Seattle, WA USA; [Palermo, Tonya M.] Univ Washington Sch Med, Dept Anesthesiol &amp; Pain Med, Seattle, WA USA</t>
  </si>
  <si>
    <t>Seattle Children's Hospital; University of Washington; University of Washington Seattle; University of Washington; University of Washington Seattle; University of Washington; University of Washington Seattle</t>
  </si>
  <si>
    <t>Lau, N (corresponding author), Seattle Childrens Res Inst, 1920 Terry Ave, Seattle, WA 98101 USA.</t>
  </si>
  <si>
    <t>nancy.lau@seattlechildrens.org</t>
  </si>
  <si>
    <t>Palermo, Tonya/0000-0001-6036-6715</t>
  </si>
  <si>
    <t>National Cancer Institute at the National Institutes of Health [1K08CA263474]</t>
  </si>
  <si>
    <t>National Cancer Institute at the National Institutes of Health(United States Department of Health &amp; Human ServicesNational Institutes of Health (NIH) - USANIH National Cancer Institute (NCI))</t>
  </si>
  <si>
    <t>N.L. was supported by the National Cancer Institute at the National Institutes of Health (grant number 1K08CA263474). The opinions herein represent those of the authors and not necessarily the funders.</t>
  </si>
  <si>
    <t>0146-8693</t>
  </si>
  <si>
    <t>1465-735X</t>
  </si>
  <si>
    <t>J PEDIATR PSYCHOL</t>
  </si>
  <si>
    <t>J. Pediatr. Psychol.</t>
  </si>
  <si>
    <t>2024 JUL 1</t>
  </si>
  <si>
    <t>10.1093/jpepsy/jsae039</t>
  </si>
  <si>
    <t>XE9F9</t>
  </si>
  <si>
    <t>WOS:001260118500001</t>
  </si>
  <si>
    <t>Mahran, M; Rashid, SFA; Ramli, R; Abu Hassan, NS</t>
  </si>
  <si>
    <t>Mahran, Munawarah; Rashid, Siti Fatimah Abdul; Ramli, Rosiati; Abu Hassan, Norul Syuhada</t>
  </si>
  <si>
    <t>Factors Influencing Tax Compliance among TikTok Users Engaged in E-Commerce Activities in Malaysia</t>
  </si>
  <si>
    <t>ASIA-PACIFIC MANAGEMENT ACCOUNTING JOURNAL</t>
  </si>
  <si>
    <t>tax knowledge; tax morale; tax compliance; tax awareness; tax complexity</t>
  </si>
  <si>
    <t>TAXPAYERS</t>
  </si>
  <si>
    <t>The Covid-19 pandemic has catalysed the growth of e-commerce, including using social media platforms for business. However, the lack of a physical presence in e-commerce introduces tax issues, potentially risking tax revenue losses. This study aimed to understand tax compliance among e-commerce operators in Malaysia who use TikTok. It examined the level of tax compliance, awareness, knowledge, morale, and complexity among these operators and explored the relationship between these factors and tax compliance. Data were collected via an online questionnaire and analysed from 106 responses using SPSS. The results indicated that TikTok users demonstrated a high level of tax compliance, solid tax knowledge, and strong morale but displayed low levels of tax awareness and complexity. Tax knowledge and morale positively influenced tax compliance among TikTok e-commerce operators in Malaysia, while tax awareness and complexity did not significantly affect compliance. These findings aid in understanding the behaviour of e-commerce operators regarding tax compliance, thereby promoting tax compliance and minimising potential tax revenue losses for the government.</t>
  </si>
  <si>
    <t>[Mahran, Munawarah] Univ Kebangsaan Malaysia, Fac Econ &amp; Management, Bangi, Malaysia; [Rashid, Siti Fatimah Abdul; Ramli, Rosiati; Abu Hassan, Norul Syuhada] Univ Kebangsaan Malaysia, Fac Econ &amp; Management, Ctr Governance Resilience &amp; Accountabil Studies, Bangi, Malaysia</t>
  </si>
  <si>
    <t>Rashid, SFA (corresponding author), Univ Kebangsaan Malaysia, Fac Econ &amp; Management, Ctr Governance Resilience &amp; Accountabil Studies, Bangi, Malaysia.</t>
  </si>
  <si>
    <t>fatimahrashid@ukm.edu.my</t>
  </si>
  <si>
    <t>Abdul Rashid, Siti Fatimah/GON-3793-2022; ABU HASSAN, NORUL SYUHADA/AGQ-1981-2022</t>
  </si>
  <si>
    <t>Research Initiative Grant (Geran Inisiatif Penyelidikan) [EP-2021-011]; Faculty of Economics and Management, Universiti Kebangsaan Malaysia</t>
  </si>
  <si>
    <t>Research Initiative Grant (Geran Inisiatif Penyelidikan); Faculty of Economics and Management, Universiti Kebangsaan Malaysia</t>
  </si>
  <si>
    <t>This work was supported by the Research Initiative Grant (Geran Inisiatif Penyelidikan: EP-2021-011) under the Faculty of Economics and Management, Universiti Kebangsaan Malaysia.</t>
  </si>
  <si>
    <t>ASIA-PACIFIC MANAGEMENT ACCOUNTING ASSOC</t>
  </si>
  <si>
    <t>SHAH ALAM</t>
  </si>
  <si>
    <t>ASIA-PACIFIC MANAGEMENT ACCOUNTING ASSOC, SHAH ALAM, 00000, MALAYSIA</t>
  </si>
  <si>
    <t>1675-3194</t>
  </si>
  <si>
    <t>ASIA-PAC MANAG ACCOU</t>
  </si>
  <si>
    <t>Asia-Pac. Manag. Account. J.</t>
  </si>
  <si>
    <t>Business, Finance</t>
  </si>
  <si>
    <t>W2ZD1</t>
  </si>
  <si>
    <t>WOS:001090353200009</t>
  </si>
  <si>
    <t>Loveland, M</t>
  </si>
  <si>
    <t>Loveland, Macklin</t>
  </si>
  <si>
    <t>ANALYSIS OF LIVER DISEASE MISINFORMATION &amp; ACCURATE INFORMATION WITHIN THE SOCIAL MEDIA PLATFORM, TIKTOK</t>
  </si>
  <si>
    <t>GASTROENTEROLOGY</t>
  </si>
  <si>
    <t>Digestive Disease Week (DDW)</t>
  </si>
  <si>
    <t>MAY 06-09, 2023</t>
  </si>
  <si>
    <t>Chicago, IL</t>
  </si>
  <si>
    <t>W B SAUNDERS CO-ELSEVIER INC</t>
  </si>
  <si>
    <t>1600 JOHN F KENNEDY BOULEVARD, STE 1800, PHILADELPHIA, PA 19103-2899 USA</t>
  </si>
  <si>
    <t>0016-5085</t>
  </si>
  <si>
    <t>1528-0012</t>
  </si>
  <si>
    <t>Gastroenterology</t>
  </si>
  <si>
    <t>Tu1523</t>
  </si>
  <si>
    <t>S1400</t>
  </si>
  <si>
    <t>S1401</t>
  </si>
  <si>
    <t>Gastroenterology &amp; Hepatology</t>
  </si>
  <si>
    <t>O0QN2</t>
  </si>
  <si>
    <t>WOS:001040954706051</t>
  </si>
  <si>
    <t>Chang, IA; Wells, MW; Slack, GC; Rampazzo, A; Gatherwright, JR</t>
  </si>
  <si>
    <t>Chang, Irene A.; Wells, Michael W.; Slack, Ginger C.; Rampazzo, Antonio; Gatherwright, James R.</t>
  </si>
  <si>
    <t>Analysis of TikTok's Most Viewed #PlasticSurgery Content: An Opportunity for Educational Outreach</t>
  </si>
  <si>
    <t>[Chang, Irene A.; Wells, Michael W.] Case Western Reserve Univ, Sch Med, 9501 Euclid Ave, Cleveland, OH 44106 USA; [Slack, Ginger C.] Univ Calif Los Angeles, Div Plast &amp; Reconstruct Surg, Los Angeles, CA 90024 USA; [Rampazzo, Antonio] Cleveland Clin, Lerner Coll Med, Dept Plast Surg, Cleveland, OH USA; [Gatherwright, James R.] Akron Gen Hosp, Cleveland Clin, Dept Plast Surg, Akron, OH USA</t>
  </si>
  <si>
    <t>University System of Ohio; Case Western Reserve University; University of California System; University of California Los Angeles; University System of Ohio; Case Western Reserve University; Cleveland Clinic Foundation; Cleveland Clinic Foundation</t>
  </si>
  <si>
    <t>Gatherwright, JR (corresponding author), Case Western Reserve Univ, Sch Med, 9501 Euclid Ave, Cleveland, OH 44106 USA.</t>
  </si>
  <si>
    <t>iac23@case.edu</t>
  </si>
  <si>
    <t>1271E</t>
  </si>
  <si>
    <t>1273E</t>
  </si>
  <si>
    <t>10.1097/PRS.0000000000009113</t>
  </si>
  <si>
    <t>1M4WB</t>
  </si>
  <si>
    <t>WOS:000799970200044</t>
  </si>
  <si>
    <t>Bringley, J; Dobrowolski, C; Springer-Miller, R</t>
  </si>
  <si>
    <t>Bringley, Johanna; Dobrowolski, Ciara; Springer-Miller, Ryan</t>
  </si>
  <si>
    <t>Abortion on TikTok Versus YouTube: An Analysis of Abortion Stance and Purpose</t>
  </si>
  <si>
    <t>[Bringley, Johanna; Dobrowolski, Ciara; Springer-Miller, Ryan] Albany Med Ctr, Albany, NY USA</t>
  </si>
  <si>
    <t>Albany Medical College</t>
  </si>
  <si>
    <t>20S</t>
  </si>
  <si>
    <t>O4AR3</t>
  </si>
  <si>
    <t>WOS:001043263400069</t>
  </si>
  <si>
    <t>Marcon, AR; Zenone, M; Caulfield, T</t>
  </si>
  <si>
    <t>Marcon, Alessandro R.; Zenone, Marco; Caulfield, Timothy</t>
  </si>
  <si>
    <t>The portrayal of organ donation on TikTok: A content analysis of popular English-language TikTok videos</t>
  </si>
  <si>
    <t>Public health; disease; organ donation; social media; media; TikTok; organ transplantation; health communications; general; digital health</t>
  </si>
  <si>
    <t>ObjectiveTikTok is one of the most popular social media platforms and plays a role in shaping public perceptions. This research examined how organ donation was portrayed on the platform.MethodsWe built a dataset of the most popular English-language TikTok videos that used the hashtags #organdonor or #organdonation. We then performed content analysis on the 400 most viewed videos after limiting data set inclusion to one video per user account.ResultsThe finalized videos (N = 313) had generated nearly 80 million views and 10 million likes. Featuring both donors (56.2%) and recipients (44.1%), videos shared experiences that celebrated and lamented lost donor lives (41.8%) while also celebrating transplantation successes (31.3%). Very few videos included public solicitation (2.9%). Common video traits included detailing medical procedures (45.4%), presenting honor walks (10.9%), and displaying donors and recipients connecting or wanting to connect (16.9%). Videos mostly had a positive (74.1%) versus negative (10.2%) leaning tone.ConclusionFar from superficially glamorizing organ donation/transplantation processes and procedures, popular English-language TikTok videos depicted what we perceived as highly emotional and expository experiences. While the videos likely offered learning and cathartic opportunities for individuals and communities, they also highlight some tensions between personal anecdotes and data/research. Findings from this research can inform public outreach efforts as well as policies related to protecting anonymity and celebrating donors with honor walks. Indeed, given TikTok's increasing popularity and influence, it could be a valuable tool to meaningfully learn from, and engage with, patient and donor communities.</t>
  </si>
  <si>
    <t>[Marcon, Alessandro R.; Zenone, Marco; Caulfield, Timothy] Univ Alberta, Hlth Law Inst, Fac Law, Edmonton, AB, Canada; [Marcon, Alessandro R.] Univ Alberta, Hlth Law Inst, Fac Law, Edmonton, AB T6G 2H5, Canada</t>
  </si>
  <si>
    <t>University of Alberta; University of Alberta</t>
  </si>
  <si>
    <t>Marcon, AR (corresponding author), Univ Alberta, Hlth Law Inst, Fac Law, Edmonton, AB T6G 2H5, Canada.</t>
  </si>
  <si>
    <t>marcon@ualberta.ca</t>
  </si>
  <si>
    <t>Marcon, Alessandro R/0000-0001-5018-423X</t>
  </si>
  <si>
    <t>CIHR</t>
  </si>
  <si>
    <t>CIHR(Canadian Institutes of Health Research (CIHR))</t>
  </si>
  <si>
    <t>The authors thank Robyn Hyde-Lay for her support of this project.</t>
  </si>
  <si>
    <t>10.1177/20552076231222422</t>
  </si>
  <si>
    <t>DF7U0</t>
  </si>
  <si>
    <t>WOS:001130687400001</t>
  </si>
  <si>
    <t>Motta, M; Liu, YN; Yarnell, A</t>
  </si>
  <si>
    <t>Motta, Matt; Liu, Yuning; Yarnell, Amanda</t>
  </si>
  <si>
    <t>Influencing the influencers: a field experimental approach to promoting effective mental health communication on TikTok</t>
  </si>
  <si>
    <t>SCIENTIFIC REPORTS</t>
  </si>
  <si>
    <t>A substantial body of social scientific research considers the negative mental health consequences of social media use on TikTok. Fewer, however, consider the potentially positive impact that mental health content creators (influencers) on TikTok can have to improve health outcomes; including the degree to which the platform exposes users to evidence-based mental health communication. Our novel, influencer-led approach remedies this shortcoming by attempting to change TikTok creator content-producing behavior via a large, within-subject field experiment (N = 105 creators with a reach of over 16.9 million viewers; N = 3465 unique videos). Our randomly-assigned field intervention exposed influencers on the platform to either (a) asynchronous digital (.pdf) toolkits, or (b) both toolkits and synchronous virtual training sessions that aimed to promote effective evidence-based mental health communication (relative to a control condition, exposed to neither intervention). We find that creators treated with our asynchronous toolkits-and, in some cases, those also attending synchronous training sessions-were significantly more likely to (i) feature evidence-based mental health content in their videos and (ii) generate video content related to mental health issues. Moderation analyses further reveal that these effects are not limited to only those creators with followings under 2 million users. Importantly, we also document large system-level effects of exposure to our interventions; such that TikTok videos featuring evidence-based content received over half a million additional views in the post-intervention period in the study's treatment groups, while treatment group mental health content (in general) received over three million additional views. We conclude by discussing how simple, cost-effective, and influencer-led interventions like ours can be deployed at scale to influence mental health content on TikTok.</t>
  </si>
  <si>
    <t>[Motta, Matt] Boston Univ, Sch Publ Hlth, Dept Hlth Law Policy &amp; Management, Boston, MA 02215 USA; [Liu, Yuning; Yarnell, Amanda] Harvard Univ TH Chan Sch Publ Hlth, Ctr Hlth Commun, Boston, MA USA</t>
  </si>
  <si>
    <t>Boston University; Harvard University; Harvard T.H. Chan School of Public Health</t>
  </si>
  <si>
    <t>Motta, M (corresponding author), Boston Univ, Sch Publ Hlth, Dept Hlth Law Policy &amp; Management, Boston, MA 02215 USA.</t>
  </si>
  <si>
    <t>mmotta@bu.edu</t>
  </si>
  <si>
    <t>; Liu, Yuning/KPB-8203-2024</t>
  </si>
  <si>
    <t>Yarnell, Amanda/0009-0000-9045-0117; Liu, Yuning/0000-0002-0513-4011</t>
  </si>
  <si>
    <t>NATURE PORTFOLIO</t>
  </si>
  <si>
    <t>HEIDELBERGER PLATZ 3, BERLIN, 14197, GERMANY</t>
  </si>
  <si>
    <t>2045-2322</t>
  </si>
  <si>
    <t>SCI REP-UK</t>
  </si>
  <si>
    <t>Sci Rep</t>
  </si>
  <si>
    <t>10.1038/s41598-024-56578-1</t>
  </si>
  <si>
    <t>KV0M5</t>
  </si>
  <si>
    <t>WOS:001182621300005</t>
  </si>
  <si>
    <t>Smith, T; Short, A</t>
  </si>
  <si>
    <t>Smith, Troy; Short, Andy</t>
  </si>
  <si>
    <t>Needs affordance as a key factor in likelihood of problematic social media use: Validation, latent Profile analysis and comparison of TikTok and Facebook problematic use measures</t>
  </si>
  <si>
    <t>ADDICTIVE BEHAVIORS</t>
  </si>
  <si>
    <t>problematic social media use; Bergen facebook addiction scale; Problematic TikTok use scale; Caribbean psychometric studies; Latent profile analysis; Cut-off score</t>
  </si>
  <si>
    <t>INTERNET ADDICTION; STUDENTS; MODELS; SITES</t>
  </si>
  <si>
    <t>Despite increasing concerns of maladaptive cognitive responses associated with social media, estimates of its prevalence are lacking in the literature. Further, existing studies have disproportionately focused on Facebook, while ignoring the penetration of TikTok and concerns of associated maladaptive behaviors. This study aims to 1) validate scale measures for problematic Facebook and TikTok use (PFU and PTTU) 2) comparatively assess the underlying cognitive pathways of the PFU and PTTU among a sample of university students, 3) determine the cut-off score of the PTTU assessment scale using Latent Profile Analysis (LPA) and 4) evaluate the contribution of specific criteria in the diagnosis of PTTU. The scales used to assess PFU and PTTU were found to have appropriate psychometric properties. The scores between the PFU and PTTU scales were found to be strongly associated, however, the relationship was stronger in the group of Facebook users than in the group of TikTok users. Further, the manifestation of problematic use was not consistent between TikTok and Facebook. Loneliness was positively associated with both PFU and PTTU, while self-esteem was negatively associated with PFU only. The optimal cutoff score of the PTTU scale was determined to be 21, giving 8.7% as the estimated prevalence of PTTU. The criteria with the highest predictive power in the diagnosis of addiction among university students were withdrawal and relapse. The study concludes that while the underlying addiction pathways are similar between platforms the manifestation of maladaptive behavior and the drivers for usage intensity and problematic use are unique.</t>
  </si>
  <si>
    <t>[Smith, Troy; Short, Andy] Univ Trinidad &amp; Tobago, Inst Criminol &amp; Publ Safety, Arima, Trinidad Tobago</t>
  </si>
  <si>
    <t>Smith, T (corresponding author), Univ Trinidad &amp; Tobago, Inst Criminol &amp; Publ Safety, Arima, Trinidad Tobago.</t>
  </si>
  <si>
    <t>troy.smith078@vve.utt.edu.tt</t>
  </si>
  <si>
    <t>Smith, Troy/ABD-7638-2021</t>
  </si>
  <si>
    <t>Smith, Troy/0000-0002-4196-5007; Short, Andy Matthew/0009-0005-9811-865X</t>
  </si>
  <si>
    <t>0306-4603</t>
  </si>
  <si>
    <t>1873-6327</t>
  </si>
  <si>
    <t>ADDICT BEHAV</t>
  </si>
  <si>
    <t>Addict. Behav.</t>
  </si>
  <si>
    <t>10.1016/j.addbeh.2022.107259</t>
  </si>
  <si>
    <t>Psychology, Clinical; Substance Abuse</t>
  </si>
  <si>
    <t>Psychology; Substance Abuse</t>
  </si>
  <si>
    <t>1Q8BE</t>
  </si>
  <si>
    <t>WOS:000802906700013</t>
  </si>
  <si>
    <t>Sheikh-Oleslami, S; Tuen, YJ; Hynes, S</t>
  </si>
  <si>
    <t>Sheikh-Oleslami, Sara; Tuen, Young Ji; Hynes, Sally</t>
  </si>
  <si>
    <t>The Quality of TikTok Videos in the Education, Prevention, and Management of Burn Injuries</t>
  </si>
  <si>
    <t>JOURNAL OF BURN CARE &amp; RESEARCH</t>
  </si>
  <si>
    <t>Univ British Columbia, Vancouver, BC, Canada; Univ British Columbia, Div Plast Surg, Vancouver, BC, Canada; BC Childrens Hosp, Vancouver, BC, Canada</t>
  </si>
  <si>
    <t>University of British Columbia; University of British Columbia; University of British Columbia; BC Childrens Hospital</t>
  </si>
  <si>
    <t>1559-047X</t>
  </si>
  <si>
    <t>1559-0488</t>
  </si>
  <si>
    <t>J BURN CARE RES</t>
  </si>
  <si>
    <t>J. Burn Care Res.</t>
  </si>
  <si>
    <t>MAY 15</t>
  </si>
  <si>
    <t>_2</t>
  </si>
  <si>
    <t>S107</t>
  </si>
  <si>
    <t>10.1093/jbcr/irad045.146</t>
  </si>
  <si>
    <t>Critical Care Medicine; Dermatology; Surgery</t>
  </si>
  <si>
    <t>General &amp; Internal Medicine; Dermatology; Surgery</t>
  </si>
  <si>
    <t>MV9P1</t>
  </si>
  <si>
    <t>WOS:001196531200019</t>
  </si>
  <si>
    <t>Aaron, BL; Neff, K; Cai, F; Burns, LP</t>
  </si>
  <si>
    <t>Aaron, Bryan L.; Neff, Katherine; Cai, Fei; Burns, Luke P.</t>
  </si>
  <si>
    <t>Natural Language Processing Analysis of TikTok's Most Popular #Pitocin Videos</t>
  </si>
  <si>
    <t>44th annual meeting of the Society-for-Maternal-Fetal-Medicine (SMFM)</t>
  </si>
  <si>
    <t>FEB 10-14, 2024</t>
  </si>
  <si>
    <t>National Harbor, MD</t>
  </si>
  <si>
    <t>Soc Maternal Fetal Med</t>
  </si>
  <si>
    <t>[Aaron, Bryan L.; Neff, Katherine] Univ Michigan, Sch Med, Ann Arbor, MI USA; [Cai, Fei] Oregon Hlth &amp; Sci Univ, Portland, OR USA; [Burns, Luke P.] Univ Chicago Med, Chicago, IL USA</t>
  </si>
  <si>
    <t>University of Michigan System; University of Michigan; Oregon Health &amp; Science University</t>
  </si>
  <si>
    <t>S367</t>
  </si>
  <si>
    <t>A5K3S</t>
  </si>
  <si>
    <t>WOS:001282913903112</t>
  </si>
  <si>
    <t>Harness, J; Getzen, H</t>
  </si>
  <si>
    <t>Harness, Jane; Getzen, Hayley</t>
  </si>
  <si>
    <t>TikTok's Sick-Role Subculture and What to Do About It</t>
  </si>
  <si>
    <t>[Harness, Jane; Getzen, Hayley] Univ Michigan, 4250 Plymouth Rd, Ann Arbor, MI 48109 USA</t>
  </si>
  <si>
    <t>Harness, J (corresponding author), Univ Michigan, 4250 Plymouth Rd, Ann Arbor, MI 48109 USA.</t>
  </si>
  <si>
    <t>Getzen, Hayley/0000-0003-3213-5113; Harness, Jane/0000-0002-4837-1594</t>
  </si>
  <si>
    <t>10.1016/j.jaac.2021.09.312</t>
  </si>
  <si>
    <t>ZG9XB</t>
  </si>
  <si>
    <t>WOS:000760602800002</t>
  </si>
  <si>
    <t>Herlihy, M; Bowe, S; Ahmad, K</t>
  </si>
  <si>
    <t>Herlihy, Maeve; Bowe, Stephanie; Ahmad, Kashif</t>
  </si>
  <si>
    <t>Trending on TikTok: An analysis of melanotan content on social media</t>
  </si>
  <si>
    <t>JOURNAL OF THE EUROPEAN ACADEMY OF DERMATOLOGY AND VENEREOLOGY</t>
  </si>
  <si>
    <t>[Herlihy, Maeve; Bowe, Stephanie; Ahmad, Kashif] Univ Hosp Limerick, Limerick, Ireland; [Bowe, Stephanie] South Infirm Victoria Univ Hosp, Cork, Ireland</t>
  </si>
  <si>
    <t>University of Limerick</t>
  </si>
  <si>
    <t>Herlihy, M (corresponding author), Univ Hosp Limerick, Dermatol Dept, 5th Floor Leben Bldg, Limerick V94 F858, Ireland.</t>
  </si>
  <si>
    <t>maeveherlihy94@gmail.com</t>
  </si>
  <si>
    <t>Bowe, Stephanie/0000-0002-4958-820X; Herlihy, Maeve/0000-0002-2160-4829</t>
  </si>
  <si>
    <t>0926-9959</t>
  </si>
  <si>
    <t>1468-3083</t>
  </si>
  <si>
    <t>J EUR ACAD DERMATOL</t>
  </si>
  <si>
    <t>J. Eur. Acad. Dermatol. Venereol.</t>
  </si>
  <si>
    <t>2024 AUG 16</t>
  </si>
  <si>
    <t>10.1111/jdv.20275</t>
  </si>
  <si>
    <t>C8U5U</t>
  </si>
  <si>
    <t>WOS:001292064100001</t>
  </si>
  <si>
    <t>Weigle, PE; Pietra, PHD; Peeples, DA</t>
  </si>
  <si>
    <t>Weigle, Paul E.; Pietra, Pamela Hurst-Della; Peeples, Dale A.</t>
  </si>
  <si>
    <t>TIKTOK TEENS: NEW RESEARCH REVEALS HOW SOCIAL MEDIA AFFECTS MENTAL HEALTH</t>
  </si>
  <si>
    <t>Annual Meeting of the American-Academy-of Child and-Adolescent-Psychiatry (AACAP) and the Canadian-Academy-of-Child-and-Adolescent-Psychiatry (CACAP)</t>
  </si>
  <si>
    <t>OCT 17-22, 2022</t>
  </si>
  <si>
    <t>Toronto, CANADA</t>
  </si>
  <si>
    <t>Amer Acad Child &amp; Adolescent Psychiat,Canadian Acad Child &amp; Adolescent Psychiat</t>
  </si>
  <si>
    <t>[Weigle, Paul E.] Hartford HealthCare Inst Living, Hartford, CT USA; [Pietra, Pamela Hurst-Della] Children &amp; Screens Inst Digital Media &amp; Child Dev, Jericho, NY USA; [Peeples, Dale A.] Augusta Univ, Augusta, GA USA</t>
  </si>
  <si>
    <t>University System of Georgia; Augusta University</t>
  </si>
  <si>
    <t>paul.weigle@hhchealth.org; pam@childrenandscreens.com; dpeeples@augusta.edu</t>
  </si>
  <si>
    <t>Peeples, Dale/AAF-6720-2020</t>
  </si>
  <si>
    <t>AACAP's Media Committee</t>
  </si>
  <si>
    <t>Sponsored by AACAP's Media Committee</t>
  </si>
  <si>
    <t>S328</t>
  </si>
  <si>
    <t>10.1016/j.jaac.2022.07.744</t>
  </si>
  <si>
    <t>5Q0ZE</t>
  </si>
  <si>
    <t>WOS:000873567901426</t>
  </si>
  <si>
    <t>Xu, AJ; Taylor, J; Gao, T; Mihalcea, R; Perez-Rosas, V; Loeb, S</t>
  </si>
  <si>
    <t>Xu, Alex J.; Taylor, Jacob; Gao, Tian; Mihalcea, Rada; Perez-Rosas, Veronica; Loeb, Stacy</t>
  </si>
  <si>
    <t>TikTok and prostate cancer: misinformation and quality of information using validated questionnaires</t>
  </si>
  <si>
    <t>BJU INTERNATIONAL</t>
  </si>
  <si>
    <t>[Xu, Alex J.; Taylor, Jacob; Loeb, Stacy] New York Univ Langone Hlth, Dept Urol, 227 E 30th St,612, New York, NY 10016 USA; [Gao, Tian; Mihalcea, Rada; Perez-Rosas, Veronica] Univ Michigan, Dept Comp Sci &amp; Engn, Ann Arbor, MI 48109 USA; [Loeb, Stacy] NYU, Grossman Sch Med, Dept Populat Hlth, New York, NY USA; [Loeb, Stacy] New York Harbor Healthcare Syst, Dept Vet Affairs, New York, NY USA</t>
  </si>
  <si>
    <t>New York University; University of Michigan System; University of Michigan; New York University</t>
  </si>
  <si>
    <t>Loeb, S (corresponding author), New York Univ Langone Hlth, Dept Urol, 227 E 30th St,612, New York, NY 10016 USA.</t>
  </si>
  <si>
    <t>stacyloeb@gmail.com</t>
  </si>
  <si>
    <t>Taylor, Jacob/0000-0003-2190-7309; Xu, Alex/0000-0003-0645-2908; Loeb, Stacy/0000-0003-3933-9207</t>
  </si>
  <si>
    <t>Prostate Cancer Foundation; Department of Defense Health Disparity Research Award</t>
  </si>
  <si>
    <t>Prostate Cancer Foundation; Department of Defense Health Disparity Research Award(United States Department of Defense)</t>
  </si>
  <si>
    <t>This study was supported by the Prostate Cancer Foundation and a Department of Defense Health Disparity Research Award to Stacy Loeb.</t>
  </si>
  <si>
    <t>1464-4096</t>
  </si>
  <si>
    <t>1464-410X</t>
  </si>
  <si>
    <t>BJU INT</t>
  </si>
  <si>
    <t>BJU Int.</t>
  </si>
  <si>
    <t>10.1111/bju.15403</t>
  </si>
  <si>
    <t>UX0CG</t>
  </si>
  <si>
    <t>WOS:000663943900001</t>
  </si>
  <si>
    <t>Baumel, NM; Spatharakis, JK; Karitsiotis, ST; Sellas, EI</t>
  </si>
  <si>
    <t>Baumel, Nicholas M.; Spatharakis, John K.; Karitsiotis, Steven T.; Sellas, Evangelos I.</t>
  </si>
  <si>
    <t>Dissemination of Mask Effectiveness Misinformation Using TikTok as a Medium</t>
  </si>
  <si>
    <t>COVID-19</t>
  </si>
  <si>
    <t>[Baumel, Nicholas M.] Univ Michigan, Premed Studies, Ann Arbor, MI 48109 USA; [Spatharakis, John K.] Univ Illinois, Premed Studies, Chicago, IL USA; [Karitsiotis, Steven T.; Sellas, Evangelos I.] Depaul Univ, Prehlth Studies, Chicago, IL 60604 USA</t>
  </si>
  <si>
    <t>University of Michigan System; University of Michigan; University of Illinois System; University of Illinois Chicago; University of Illinois Chicago Hospital; DePaul University</t>
  </si>
  <si>
    <t>Baumel, NM (corresponding author), Univ Michigan, Premed Studies, Ann Arbor, MI 48109 USA.</t>
  </si>
  <si>
    <t>Spatharakis, John/0000-0002-0813-587X; Baumel, Nicholas/0000-0003-3665-720X</t>
  </si>
  <si>
    <t>RS0OW</t>
  </si>
  <si>
    <t>WOS:000643486900032</t>
  </si>
  <si>
    <t>⟪WHO'S THE GIRL NOW?⟫: THE #GAMERGRRRL TOGETHERNESS ON TIKTOK</t>
  </si>
  <si>
    <t>INDEX COMUNICACION</t>
  </si>
  <si>
    <t>Gamer Girl; Videogame Culture; Gender Stereotypes; Together- ness; Feminism; Riot Grrrl</t>
  </si>
  <si>
    <t>GENDER; STEREOTYPE; CULTURE</t>
  </si>
  <si>
    <t>Despite research highlighting the prevalence of sexism towards women in the video game industry, the resistance discourse of newer generations of gamer girls has been largely overlooked. This study focuses on the TikTok posts of gamer girls, who purposefully assume various gamer girl personas to challenge prevailing stereotypes within gaming communities. Embracing the principles of the Riot Grrrl manifesto, the research involves an examination of 161 TikTok videos featuring the #GamerGirl hashtag. The analysis explores how these gamer girls use the platform to construct an affective discourse, shedding light on the sexism and harassment they experience in gaming culture. Through their creative and ironic performances, these young girls effectively subvert traditional norms, posing a direct challenge to the male-dominated narrative pervasive in the gaming industry. This dynamic fosters a &lt;&lt; gamer Grrrl &gt;&gt; togetherness sensibility on TikTok, wherein these individuals employ ludic caricaturization to diminish the significance of their gender in their interactions with other gamers.</t>
  </si>
  <si>
    <t>TEEN_ON_FIT project by UNIR ITEI; COYSODI Research Group at the Universidad Internacional de la Rioja</t>
  </si>
  <si>
    <t>This study has been supported by the TEEN_ON_FIT project by UNIR ITEI as well as by the COYSODI Research Group at the Universidad Internacional de la Rioja. In addition, the time dedicated to this research took part in the studies of the TikTok Cultures Research Network and the Influencer Ethnography Research Lab (IERLab) at Curtin University (Australia)</t>
  </si>
  <si>
    <t>UNIV REY JUAN CARLOS, FAC CIENCIAS COMUNICACION</t>
  </si>
  <si>
    <t>CAMINO DEL MOLINO S-N, FUENLABRADA, MADRID, 28943, SPAIN</t>
  </si>
  <si>
    <t>2444-3239</t>
  </si>
  <si>
    <t>2174-1859</t>
  </si>
  <si>
    <t>INDEX COMUN</t>
  </si>
  <si>
    <t>Index Comun.</t>
  </si>
  <si>
    <t>10.62008/ixc/14/02Whosth</t>
  </si>
  <si>
    <t>ZF4W3</t>
  </si>
  <si>
    <t>WOS:001273878000011</t>
  </si>
  <si>
    <t>Costantini, JG; Yang, AGQ; Steinemann, TL</t>
  </si>
  <si>
    <t>Costantini, Julia G.; Yang, Aaron Goh Qi; Steinemann, Thomas L.</t>
  </si>
  <si>
    <t>Gone Viral: A Cross-Sectional Analysis of Contact Lens-Related Videos on TikTok</t>
  </si>
  <si>
    <t>EYE &amp; CONTACT LENS-SCIENCE AND CLINICAL PRACTICE</t>
  </si>
  <si>
    <t>Social media; TikTok; Contact lenses; Decorative lenses; DISCERN</t>
  </si>
  <si>
    <t>Objectives: To evaluate the content, sources, and quality of contact lens (CL)-related videos on TikTok, the fastest growing social media platform worldwide. Methods: TikTok was queried on October 25, 2021 for the top 200 posts with the hashtag #contactlenses. Posts meeting inclusion criteria were characterized and assessed for quality with DISCERN, a validated scoring instrument for the appraisal of consumer health information (score range 1-5 with a higher score indicating a higher quality video). Results: The included 113 posts showed a mean quality of 1.94 +/- 0.44. Content included product displays (42%), patient experiences (23%), educational (22%), and comedy (12%). Most product displays featured decorative lenses (98%). Although videos by eye-care providers (ECPs) accounted for most educational content (52%) and showed significantly higher mean quality compared with posts by non-ECPs (2.57 +/- 0.18 vs. 1.85 +/- 0.13, P&lt;0.001), they were a minority (12%) and showed poor overall quality. Contact lens representation was greatly skewed toward decorative lenses (74%), whereas only 3.5% of videos promoted seeing an ECP. Conclusions: Poor quality and skewed representation of posts indicate that CL-related information on TikTok has serious shortcomings. These findings are particularly concerning given that most TikTok users are adolescents and young adults, the same population who tend to be decorative lens wearers and who are at increased risk of CL-related complications. Eye-care providers, professional organizations, and regulatory agencies should be urged to increase their engagement with the platform, especially regarding educational content creation and CL marketing oversight.</t>
  </si>
  <si>
    <t>[Costantini, Julia G.; Steinemann, Thomas L.] Case Western Reserve Univ, Sch Med, 9501 Euclid Ave, Cleveland, OH 44106 USA; [Yang, Aaron Goh Qi] MOH Holdings Private Ltd, Cleveland, OH USA; [Steinemann, Thomas L.] MetroHlth Med Ctr, Cleveland, OH USA</t>
  </si>
  <si>
    <t>Costantini, JG (corresponding author), Case Western Reserve Univ, Sch Med, 9501 Euclid Ave, Cleveland, OH 44106 USA.</t>
  </si>
  <si>
    <t>jgc71@case.edu</t>
  </si>
  <si>
    <t>Steinemann, Thomas/IWU-5950-2023</t>
  </si>
  <si>
    <t>Goh, Aaron/0000-0003-0581-4508</t>
  </si>
  <si>
    <t>1542-2321</t>
  </si>
  <si>
    <t>1542-233X</t>
  </si>
  <si>
    <t>EYE CONTACT LENS</t>
  </si>
  <si>
    <t>Eye Contact Lens-Sci. Clin. Pra.</t>
  </si>
  <si>
    <t>10.1097/ICL.0000000000000936</t>
  </si>
  <si>
    <t>5N3OW</t>
  </si>
  <si>
    <t>WOS:000871702000006</t>
  </si>
  <si>
    <t>Zhang, W; Yuan, H; Zhu, CY; Chen, Q; Evans, RD; Min, C</t>
  </si>
  <si>
    <t>Zhang, Wei; Yuan, Hui; Zhu, Chengyan; Chen, Qiang; Evans, Richard David; Min, Chen</t>
  </si>
  <si>
    <t>Factors influencing public engagement in government TikTok during the COVID-19 crisis</t>
  </si>
  <si>
    <t>ELECTRONIC LIBRARY</t>
  </si>
  <si>
    <t>Government TikTok; Message sensation value; Media character; Emotional valence; Public engagement; Public health crisis; COVID-19</t>
  </si>
  <si>
    <t>SOCIAL MEDIA USE; MESSAGE SENSATION VALUE; NATURAL DISASTERS; ACTIVATION MODEL; HEALTH; TWITTER; INFORMATION; COMMUNICATION; CREDIBILITY; INVOLVEMENT</t>
  </si>
  <si>
    <t>PurposeAlthough governments have used social media platforms to interact with the public in an attempt to minimize anxiety and provide a forum for public discussion during the pandemic, governments require sufficient crisis communication skills to engage citizens in taking appropriate action effectively. This study aims to examine how the National Health Commission of China (NHCC) has used TikTok, the leading short video-based platform, to facilitate public engagement during COVID-19.Design/methodology/approachBuilding upon dual process theories, this study integrates the activation of information exposure, prosocial interaction theory and social sharing of emotion theory to explore how public engagement is related to message sensation value (MSV), media character, content theme and emotional valence. A total of 354 TikTok videos posted by NHCC were collected during the pandemic to explore the determinants of public engagement in crises.FindingsThe findings demonstrate that MSV negatively predicts public engagement with government TikTok, but that instructional information increases engagement. The presence of celebrities and health-care professionals negatively affects public engagement with government TikTok accounts. In addition, emotional valence serves a moderating role between MSV, media characters and public engagement.Originality/valueGovernment agencies must be fully aware of the different combinations of MSV and emotion use in the video title when releasing crisis-related videos. Government agencies can also leverage media characters - health professionals in particular - to enhance public engagement. Government agencies are encouraged to solicit public demand for the specific content of instructing information through data mining techniques.</t>
  </si>
  <si>
    <t>[Zhang, Wei; Yuan, Hui] Huazhong Univ Sci &amp; Technol, Tongji Med Coll, Sch Med &amp; Hlth Management, Wuhan, Peoples R China; [Zhu, Chengyan] Wuhan Univ, Sch Polit Sci &amp; Pub Adm, Wuhan, Peoples R China; [Chen, Qiang] Xi An Jiao Tong Univ, Sch Journalism &amp; New Media, Xian, Peoples R China; [Evans, Richard David] Dalhousie Univ, Fac Comp Sci, Halifax, NS, Canada; [Min, Chen] Huazhong Univ Sci &amp; Technol, Sch Journalism &amp; Informat Commun, Wuhan, Peoples R China</t>
  </si>
  <si>
    <t>Huazhong University of Science &amp; Technology; Wuhan University; Xi'an Jiaotong University; Dalhousie University; Huazhong University of Science &amp; Technology</t>
  </si>
  <si>
    <t>Chen, Q (corresponding author), Xi An Jiao Tong Univ, Sch Journalism &amp; New Media, Xian, Peoples R China.</t>
  </si>
  <si>
    <t>weizhanghust@hust.edu.cn; qiezai@hust.edu.cn; zhuchengyan0323@163.com; hustcq@163.com; R.Evans@dal.ca; minchen_com@hust.edu.cn</t>
  </si>
  <si>
    <t>Yuan, Hui/B-6738-2013</t>
  </si>
  <si>
    <t>National Natural Science Foundation of China [72104087]; National Social Science Foundation of China [23BXW029]; Natural Science Foundation of Shaanxi Province [2022JM-418]</t>
  </si>
  <si>
    <t>National Natural Science Foundation of China(National Natural Science Foundation of China (NSFC)); National Social Science Foundation of China(National Office of Philosophy and Social Sciences); Natural Science Foundation of Shaanxi Province(Natural Science Foundation of Shaanxi Province)</t>
  </si>
  <si>
    <t>The authors disclosed receipt of the following financial support for the research, authorship and/or publication of this article: This research is funded by the National Natural Science Foundation of China [grant number 72104087], the National Social Science Foundation of China [grant number 23BXW029] and the Natural Science Foundation of Shaanxi Province (Project No.2022JM-418). The authors received no financial support for the research, authorship and/or publication of this article.</t>
  </si>
  <si>
    <t>0264-0473</t>
  </si>
  <si>
    <t>1758-616X</t>
  </si>
  <si>
    <t>ELECTRON LIBR</t>
  </si>
  <si>
    <t>Electron. Libr.</t>
  </si>
  <si>
    <t>APR 10</t>
  </si>
  <si>
    <t>10.1108/EL-06-2023-0150</t>
  </si>
  <si>
    <t>NC9R1</t>
  </si>
  <si>
    <t>WOS:001129026400001</t>
  </si>
  <si>
    <t>Martucci, C; Ogliari, E; Vallorani, N</t>
  </si>
  <si>
    <t>Martucci, Chiara; Ogliari, Elena; Vallorani, Nicoletta</t>
  </si>
  <si>
    <t>TikTok Mundi: A Guide to the DNA Map</t>
  </si>
  <si>
    <t>[Martucci, Chiara; Ogliari, Elena; Vallorani, Nicoletta] Univ Milan, Milan, Italy</t>
  </si>
  <si>
    <t>Martucci, C (corresponding author), Univ Milan, Milan, Italy.</t>
  </si>
  <si>
    <t>Ogliari, Elena/JFJ-4397-2023</t>
  </si>
  <si>
    <t>WOS:001336390400001</t>
  </si>
  <si>
    <t>Hernandez, LE; Mohsin, N; Dreyfuss, I; Frech, FS; Nouri, K</t>
  </si>
  <si>
    <t>Hernandez, L. E.; Mohsin, N.; Dreyfuss, I.; Frech, F. S.; Nouri, K.</t>
  </si>
  <si>
    <t>Analysis of fibroblast pen usage on TikTok: A cross-sectional study</t>
  </si>
  <si>
    <t>MAY 18-21, 2022</t>
  </si>
  <si>
    <t>Portland, OR</t>
  </si>
  <si>
    <t>[Hernandez, L. E.; Mohsin, N.; Frech, F. S.; Nouri, K.] Univ Miami, Sch Med, Dr Phillip Frost Dept Dermatol &amp; Cutaneous Surg, Miami, FL USA; [Dreyfuss, I.] Nova Southeastern Univ, Dr Kiran C Patel Coll Osteopath Med, Ft Lauderdale, FL 33314 USA</t>
  </si>
  <si>
    <t>S60</t>
  </si>
  <si>
    <t>WOS:000829693000525</t>
  </si>
  <si>
    <t>Ryan, D; Patel, S; Stammer, A; George, M</t>
  </si>
  <si>
    <t>Ryan, David; Patel, Seeta; Stammer, Adam; George, Marc</t>
  </si>
  <si>
    <t>From TikTok to intensive care: A case of suspected toluene poisoning</t>
  </si>
  <si>
    <t>BRITISH JOURNAL OF CLINICAL PHARMACOLOGY</t>
  </si>
  <si>
    <t>Pharmacology Annual Meeting</t>
  </si>
  <si>
    <t>SEP 13-14, 2022</t>
  </si>
  <si>
    <t>Liverpool, ENGLAND</t>
  </si>
  <si>
    <t>[Ryan, David] UCL, London, England; [Patel, Seeta; Stammer, Adam; George, Marc] Univ Coll London Hosp, London, England</t>
  </si>
  <si>
    <t>University of London; University College London; University College London Hospitals NHS Foundation Trust; University of London; University College London</t>
  </si>
  <si>
    <t>0306-5251</t>
  </si>
  <si>
    <t>1365-2125</t>
  </si>
  <si>
    <t>BRIT J CLIN PHARMACO</t>
  </si>
  <si>
    <t>Br. J. Clin. Pharmacol.</t>
  </si>
  <si>
    <t>P063</t>
  </si>
  <si>
    <t>8W6MY</t>
  </si>
  <si>
    <t>WOS:000931445500057</t>
  </si>
  <si>
    <t>Tabakin, A; Choi, S; Sandozi, A; Aibel, K; Weintraub, M; Winkler, H; Shalom, D; Tam, J; Lee, W</t>
  </si>
  <si>
    <t>Tabakin, Alexandra; Choi, Sharon; Sandozi, Arshia; Aibel, Kelli; Weintraub, Michael; Winkler, Harvey; Shalom, Dara; Tam, Justina; Lee, Wai</t>
  </si>
  <si>
    <t>HOW DO TIKTOK USERS PRESENT THIRD LINE OAB THERAPIES TO THE PUBLIC?</t>
  </si>
  <si>
    <t>Tabakin, Alexandra/JXL-3085-2024</t>
  </si>
  <si>
    <t>MP74-16</t>
  </si>
  <si>
    <t>E1076</t>
  </si>
  <si>
    <t>H2TT0</t>
  </si>
  <si>
    <t>WOS:000994549503363</t>
  </si>
  <si>
    <t>Kendall, T</t>
  </si>
  <si>
    <t>Kendall, Tina</t>
  </si>
  <si>
    <t>FROM BINGE-WATCHING TO BINGE-SCROLLING: TIKTOK AND THE RHYTHMS OF #LOCKDOWNLIFE</t>
  </si>
  <si>
    <t>FILM QUARTERLY</t>
  </si>
  <si>
    <t>Kendall, Tina/KPA-4167-2024</t>
  </si>
  <si>
    <t>Kendall, Tina/0000-0002-2908-9956</t>
  </si>
  <si>
    <t>0015-1386</t>
  </si>
  <si>
    <t>1533-8630</t>
  </si>
  <si>
    <t>FILM QUART</t>
  </si>
  <si>
    <t>Film Q.</t>
  </si>
  <si>
    <t>FAL</t>
  </si>
  <si>
    <t>10.1525/FQ.2021.75.1.41</t>
  </si>
  <si>
    <t>UN2FY</t>
  </si>
  <si>
    <t>WOS:000693836900006</t>
  </si>
  <si>
    <t>Celik, TO; Koca, N</t>
  </si>
  <si>
    <t>Celik, Tugba Ozudogru; Koca, Nadide</t>
  </si>
  <si>
    <t>Assessing the Quality and Reliability of Rheumatoid Arthritis Exercise Videos on TikTok and YouTube</t>
  </si>
  <si>
    <t>EUROPEAN JOURNAL OF THERAPEUTICS</t>
  </si>
  <si>
    <t>Rheumatoid arthritis; exercise; social media platforms; YouTube; TikTok</t>
  </si>
  <si>
    <t>CONSUMER HEALTH INFORMATION</t>
  </si>
  <si>
    <t>Objective: An autoimmune condition that frequently affects the synovial joints and other organ systems is called rheumatoid arthritis (RA). Social media platforms are increasingly used to access health-related information. The purpose of this study is to evaluate the RA exercise videos on YouTube and TikTok in terms of their accuracy, quality, and content-specificity. Methods: The term rheumatoid arthritis exercise was sorted on YouTube and TikTok on 25 July 2023. To simulate an average search query, the keyword by top results on TikTok and by relevance on YouTube were used. The Journal of American Medical Association (JAMA), DISCERN, and Global Quality Scale (GQS) scoring systems were used to evaluate the information's quality and accuracy. Additionally, the videos' attributes and sources were examined. Results: Fifty videos from each platform were included out of the 186 videos that were evaluated. YouTube videos had more views (35438 vs. 5989, p&lt;0.001), likes (871 vs. 199, p&lt;0.001), and uploads by doctors (34% vs.14%, p&lt;0.001) in addition to being longer (12.12 minutes vs. 0.42 minutes, p&lt;0.001). YouTube videos were also significantly more likely to receive high DISCERN reliability, quality and overall scores (21,5(11) vs. 15(6), 15(9) vs. 9(4) and 40,5(21) vs. 28(9), p&lt;0.001, respectively). In addition, YouTube videos had higher GQS scores and JAMA scores (24% vs. 4%, 2(1) vs. 1(1), p&lt;0.001, respectively). Conclusion: RA exercise related videos are more likely to have higher quality and accuracy on YouTube than on TikTok. It is important to provide videos by healthcare professionals to guide patients about accurate and high-quality health-related information.</t>
  </si>
  <si>
    <t>[Celik, Tugba Ozudogru] Univ Hlth Sci Turkey, Ankara Bilkent City Hosp, Dept Phys Med &amp; Rehabil, Ankara, Turkiye; [Koca, Nadide] Univ Hlth Sci Turkey, Ankara Educ &amp; Res Hosp, Dept Phys Med &amp; Rehabil, Ankara, Turkiye</t>
  </si>
  <si>
    <t>Ankara Training &amp; Research Hospital</t>
  </si>
  <si>
    <t>Celik, TO (corresponding author), Univ Hlth Sci Turkey, Ankara Bilkent City Hosp, Dept Phys Med &amp; Rehabil, Ankara, Turkiye.</t>
  </si>
  <si>
    <t>tugbaozudogru0626@gmail.com</t>
  </si>
  <si>
    <t>Koca, Nadide/0000-0002-0839-5700</t>
  </si>
  <si>
    <t>Pera Yayincilik Hizmetleri</t>
  </si>
  <si>
    <t>Istanbul</t>
  </si>
  <si>
    <t>Ataky 3-4-11 Kisim Mah. Dr Remzi Kazancgil Cd. O-114 N:12 D:7, Istanbul, Turkiye</t>
  </si>
  <si>
    <t>2564-7784</t>
  </si>
  <si>
    <t>2564-7040</t>
  </si>
  <si>
    <t>EUR J THER-ISTANBUL</t>
  </si>
  <si>
    <t>Eur. J. Ther.</t>
  </si>
  <si>
    <t>10.58600/eurjther1967</t>
  </si>
  <si>
    <t>QB3U1</t>
  </si>
  <si>
    <t>WOS:001161645800001</t>
  </si>
  <si>
    <t>Rein, B</t>
  </si>
  <si>
    <t>Rein, Ben</t>
  </si>
  <si>
    <t>Making Science Education More Accessible: A Case Study of TikTok's Utility as a Science Communication Tool</t>
  </si>
  <si>
    <t>NEUROSCIENCE</t>
  </si>
  <si>
    <t>science communication; social media; outreach; TikTok; Instagram; science education</t>
  </si>
  <si>
    <t>media has revolutionized science communication, allowing for rapid dissemination of science-related content to the public. In recent years, video platforms like TikTok and Instagram have implemented recom-mendation algorithms that track users' interests and suggest personalized videos. As a result, these apps have become powerful tools for public messaging, facilitating access to audiences that are naturally curious about science. In 2020 I began uploading educational science videos to TikTok which have collectively accumulated more than 48 million views and 8 million likes. Here I present an analysis of video metrics collected from the TikTok app for a random sampling of 150 videos, searching for factors that predict the number of views a video receives and the level of viewer engagement. Videos with higher view counts were liked and shared at higher rates and sustained viewer attention for longer. Properties like hashtags, sounds, and effects did not significantly influ-ence video views. Interestingly, videos summarizing research papers received the highest levels of engagement, potentially reflecting high demand from lay audiences who are traditionally unable to access scientific literature. Finally, I present survey data demonstrating that 84% of users report feeling more trustful of science &amp; scientists after following this account. Although the generalizability of these findings is limited, the results offer insights into the factors that drive video performance on TikTok and how users engage with scientific content on social media. These findings may help science communicators more effectively reach wider audiences and promote science literacy in new and innovative ways.(c) 2023 IBRO. Published by Elsevier Ltd. All rights reserved.</t>
  </si>
  <si>
    <t>[Rein, Ben] Stanford Univ, Dept Psychiat &amp; Behav Sci, Nancy Pritzker Lab, Palo Alto, CA 94306 USA; [Rein, Ben] 265 Campus Dr, Palo Alto, CA 94305 USA</t>
  </si>
  <si>
    <t>Stanford University</t>
  </si>
  <si>
    <t>Rein, B (corresponding author), 265 Campus Dr, Palo Alto, CA 94305 USA.</t>
  </si>
  <si>
    <t>brein@stanford.edu</t>
  </si>
  <si>
    <t>Rein, Benjamin/0000-0002-9202-4469</t>
  </si>
  <si>
    <t>0306-4522</t>
  </si>
  <si>
    <t>1873-7544</t>
  </si>
  <si>
    <t>Neuroscience</t>
  </si>
  <si>
    <t>OCT 15</t>
  </si>
  <si>
    <t>10.1016/j.neuroscience.2023.08.021</t>
  </si>
  <si>
    <t>Neurosciences</t>
  </si>
  <si>
    <t>W4CJ6</t>
  </si>
  <si>
    <t>WOS:001091118400001</t>
  </si>
  <si>
    <t>Mcbriar, JD; Mishra, A; Shah, HA; Boockvar, JA; Langer, DJ; D'Amico, RS</t>
  </si>
  <si>
    <t>Mcbriar, Joshua D.; Mishra, Akash; Shah, Harshal A.; Boockvar, John A.; Langer, David J.; D'Amico, Randy S.</t>
  </si>
  <si>
    <t>#Neurosurgery: A Cross-Sectional Analysis of Neurosurgical Content on TikTok</t>
  </si>
  <si>
    <t>WORLD NEUROSURGERY-X</t>
  </si>
  <si>
    <t>DISCERN; Neurosurgery; Social media; Video bias; TikTok</t>
  </si>
  <si>
    <t>OBJECTIVES: TikTok is a social media platform that has gained popularity and become a powerful engine to disseminate public health and medical information. To date, no study has characterized the qualities of popular TikTok videos related to neurosurgery, or assessed biases in the content of these videos. METHODS: The TikTok web browser application was queried using #neurosurgery to identify neurosurgery-related videos. The top 100 videos meeting inclusion criteria were analyzed and video characteristics determined. Bias was assessed by the DISCERN scoring system using 3 independent reviewers. A Kruskal-Wallis H test was used to correlate video popularity with video characteristics and to correlate bias with creator and video type. RESULTS: The 100 videos evaluated totaled 8.8 million likes, 104,718 comments, and 100,856 shares. The oldest video was posted February 2020 and the most recent March 2022. Videos were most commonly entertaining (n = 64, 64%), and educational (n = 46, 46%). Video popularity was associated with videos that aimed to entertain, and least associated with videos depicting neurosurgery lifestyle. Low DISCERN scores, indicating more biased content, were seen across the neurosurgical content with the entertaining video category demonstrating the highest bias. CONCLUSIONS: Neurosurgical content on TikTok contains a high degree of bias across all creator and video types. Entertaining videos are associated with the highest numbers of likes but also the greatest bias. These data may be used to guide institutions and neurosurgeons to grow interest in the field of neurosurgery and disseminate unbiased information while expanding their social media presence.</t>
  </si>
  <si>
    <t>[Mcbriar, Joshua D.; Mishra, Akash; Shah, Harshal A.; Boockvar, John A.; Langer, David J.; D'Amico, Randy S.] Lenox Hill Hosp, Donald &amp; Barbara Zucker Sch Med Hofstra Northwell, Dept Neurol Surg, New York, NY 10075 USA</t>
  </si>
  <si>
    <t>Shah, HA (corresponding author), Lenox Hill Hosp, Donald &amp; Barbara Zucker Sch Med Hofstra Northwell, Dept Neurol Surg, New York, NY 10075 USA.</t>
  </si>
  <si>
    <t>hshah5@northwell.edu</t>
  </si>
  <si>
    <t>Shah, Harshal/0000-0003-4088-6232</t>
  </si>
  <si>
    <t>2590-1397</t>
  </si>
  <si>
    <t>WORLD NEUROSURG-X</t>
  </si>
  <si>
    <t>World Neurosurg.-X</t>
  </si>
  <si>
    <t>10.1016/j.wnsx.2022.100137</t>
  </si>
  <si>
    <t>Clinical Neurology; Surgery</t>
  </si>
  <si>
    <t>Neurosciences &amp; Neurology; Surgery</t>
  </si>
  <si>
    <t>L4C1H</t>
  </si>
  <si>
    <t>WOS:001350205500009</t>
  </si>
  <si>
    <t>Hamm, M; Hoeting, K</t>
  </si>
  <si>
    <t>Hamm, Margaret; Hoeting, Kate</t>
  </si>
  <si>
    <t>#ChristianCheck: TikTok and the Construction of Generation Z Faith</t>
  </si>
  <si>
    <t>Christianity; religion; lived religion; social media; TikTok; Generation Z; material culture</t>
  </si>
  <si>
    <t>MEDIA; IDENTITY; ONLINE</t>
  </si>
  <si>
    <t>This paper examines the media practices of young Christians as expressed in the TikTok trend #ChristianCheck, a challenge in which TikTokers create videos displaying objects that represent their faith. Through #ChristianCheck, Christian TikTokers emphasize the tangibility of their faith at a time when United States media expresses anxiety over the dilution of Christianity in a new generation of non-religious teens to whom the tangible components of religion do not seem to matter. Ultimately, in the face of notions that Christianity is dead or uncool, Generation Z TikTokers pose their own understandings of Christianity through reiterative processes oriented around race-and gender-based values.</t>
  </si>
  <si>
    <t>[Hamm, Margaret] Harvard Univ, MTS, Cambridge, MA 02138 USA; [Hoeting, Kate] Catholics Choice, MTS, Washington, DC USA</t>
  </si>
  <si>
    <t>Harvard University</t>
  </si>
  <si>
    <t>Hamm, M (corresponding author), Harvard Univ, MTS, Cambridge, MA 02138 USA.</t>
  </si>
  <si>
    <t>margarethamm@g.harvard.edu; khoeting@catholicsforchoice.org</t>
  </si>
  <si>
    <t>10.1163/21659214-BJA10088</t>
  </si>
  <si>
    <t>P4WL7</t>
  </si>
  <si>
    <t>WOS:001050680300002</t>
  </si>
  <si>
    <t>Georgiou, A; Duarte, M</t>
  </si>
  <si>
    <t>Georgiou, Andreas; Duarte, Marco</t>
  </si>
  <si>
    <t>TikTok: An Opportunity for Hand Surgery Awareness Which Plastic Surgeons Should Acknowledge</t>
  </si>
  <si>
    <t>[Georgiou, Andreas; Duarte, Marco] Royal Free Hosp, Pond St, Hampstead NW3 2QG, England</t>
  </si>
  <si>
    <t>University of London; University College London; UCL Medical School</t>
  </si>
  <si>
    <t>Georgiou, A (corresponding author), Royal Free Hosp, Pond St, Hampstead NW3 2QG, England.</t>
  </si>
  <si>
    <t>drakgeorgiou@gmail.com</t>
  </si>
  <si>
    <t>Georgiou, Andreas/AAJ-9683-2021</t>
  </si>
  <si>
    <t>525E</t>
  </si>
  <si>
    <t>526E</t>
  </si>
  <si>
    <t>10.1097/PRS.0000000000008286</t>
  </si>
  <si>
    <t>UG0RR</t>
  </si>
  <si>
    <t>WOS:000688971300056</t>
  </si>
  <si>
    <t>Pandher, M; Fastenau, J; Shah, P; Mina, G; Pedrosa, GF; Nguyen, A; Sadeghi-Nejad, H</t>
  </si>
  <si>
    <t>Pandher, M.; Fastenau, J.; Shah, P.; Mina, G.; Pedrosa, G. Fernandez; Nguyen, A.; Sadeghi-Nejad, H.</t>
  </si>
  <si>
    <t>COMPARATIVE ANALYSIS OF YOUTUBE AND TIKTOK VIDEOS ON TREATMENTS FOR LOW TESTOSTERONE</t>
  </si>
  <si>
    <t>[Pandher, M.; Fastenau, J.; Shah, P.; Mina, G.; Pedrosa, G. Fernandez; Nguyen, A.; Sadeghi-Nejad, H.] Univ Med &amp; Dent New Jersey, Newark, NJ USA</t>
  </si>
  <si>
    <t>Rutgers University System; Rutgers University New Brunswick; Rutgers University Biomedical &amp; Health Sciences</t>
  </si>
  <si>
    <t>Mina, George/JMP-4586-2023</t>
  </si>
  <si>
    <t>qdad060.365</t>
  </si>
  <si>
    <t>WOS:001052285000366</t>
  </si>
  <si>
    <t>Aghajani, M; Aghajani, R</t>
  </si>
  <si>
    <t>Aghajani, Marra; Aghajani, Rhian</t>
  </si>
  <si>
    <t>TikTok and #Psoriasis: A cross-sectional study of content quality</t>
  </si>
  <si>
    <t>[Aghajani, Marra] Royal North Shore Hosp, Pyrmont, NSW, Australia; [Aghajani, Rhian] Royal North Shore Hosp, Sydney, NSW, Australia</t>
  </si>
  <si>
    <t>O3SR6</t>
  </si>
  <si>
    <t>WOS:001043053900039</t>
  </si>
  <si>
    <t>Wang, F; Cheng, TY; Rothchild, E; Chemakin, K; Ricci, JA</t>
  </si>
  <si>
    <t>Wang, Fei; Cheng, Tiffany; Rothchild, Evan; Chemakin, Katherine; Ricci, Joseph A.</t>
  </si>
  <si>
    <t>#TransTok: An Analysis of Surgical Gender Affirmation Content on TikTok</t>
  </si>
  <si>
    <t>JOURNAL OF THE AMERICAN COLLEGE OF SURGEONS</t>
  </si>
  <si>
    <t>8th Annual Own H Wangensteen Scientific Forum and Annual Clinical Congress of the American-College-of-Surgeons (ACS)</t>
  </si>
  <si>
    <t>OCT 16-20, 2022</t>
  </si>
  <si>
    <t>Amer Coll Surg</t>
  </si>
  <si>
    <t>Albert Einstein Coll Med, Bronx, NY USA; Montefiore Med Ctr, Bronx, NY USA</t>
  </si>
  <si>
    <t>Yeshiva University; Montefiore Medical Center; Albert Einstein College of Medicine; Montefiore Medical Center; Albert Einstein College of Medicine</t>
  </si>
  <si>
    <t>1072-7515</t>
  </si>
  <si>
    <t>1879-1190</t>
  </si>
  <si>
    <t>J AM COLL SURGEONS</t>
  </si>
  <si>
    <t>J. Am. Coll. Surg.</t>
  </si>
  <si>
    <t>S196</t>
  </si>
  <si>
    <t>10.1097/01.XCS.0000894504.42036.e0</t>
  </si>
  <si>
    <t>5H7YD</t>
  </si>
  <si>
    <t>WOS:000867889300380</t>
  </si>
  <si>
    <t>Chiossi, F; Haliburton, L; Ou, CK; Butz, A; Schmidt, A</t>
  </si>
  <si>
    <t>Chiossi, Francesco; Haliburton, Luke; Ou, Changkun; Butz, Andreas; Schmidt, Albrecht</t>
  </si>
  <si>
    <t>Short-Form Videos Degrade Our Capacity to Retain Intentions: Effect of Context Switching On Prospective Memory</t>
  </si>
  <si>
    <t>PROCEEDINGS OF THE 2023 CHI CONFERENCE ON HUMAN FACTORS IN COMPUTING SYSTEMS, CHI 2023</t>
  </si>
  <si>
    <t>Prospective Memory; Social Media; Digital Wellbeing; TikTok</t>
  </si>
  <si>
    <t>ATTENTION RESIDUE; MODEL; INTERRUPTION; PERFORMANCE; RETRIEVAL; COST; DEMANDS; MULTITASKING; VARIABILITY; TASKS</t>
  </si>
  <si>
    <t>Social media platforms use short, highly engaging videos to catch users' attention. While the short-form video feeds popularized by TikTok are rapidly spreading to other platforms, we do not yet understand their impact on cognitive functions. We conducted a between-subjects experiment (N = 60) investigating the impact of engaging with TikTok, Twitter, and YouTube while performing a Prospective Memory task (i.e., executing a previously planned action). The study required participants to remember intentions over interruptions. We found that the TikTok condition significantly degraded the users' performance in this task. As none of the other conditions (Twitter, YouTube, no activity) had a similar effect, our results indicate that the combination of short videos and rapid context-switching impairs intention recall and execution. We contribute a quantified understanding of the effect of social media feed format on Prospective Memory and outline consequences for media technology designers to not harm the users' memory and wellbeing.</t>
  </si>
  <si>
    <t>[Chiossi, Francesco; Haliburton, Luke; Ou, Changkun; Butz, Andreas; Schmidt, Albrecht] Ludwig Maximilians Univ Munchen, Munich, Germany</t>
  </si>
  <si>
    <t>University of Munich</t>
  </si>
  <si>
    <t>Chiossi, F (corresponding author), Ludwig Maximilians Univ Munchen, Munich, Germany.</t>
  </si>
  <si>
    <t>francesco.chiossi@ifi.lmu.de; luke.haliburton@ifi.lmu.de; research@changkun.de; butz@ifi.lmu.de; albrecht.schmidt@ifi.lmu.de</t>
  </si>
  <si>
    <t>Ou, Changkun/0000-0002-4595-7485; Butz, Andreas/0000-0002-9007-9888; Chiossi, Francesco/0000-0003-2987-7634; Haliburton, Luke/0000-0002-5654-2453</t>
  </si>
  <si>
    <t>Deutsche Forschungsgemeinschaft (DFG, German Research Foundation) [251654672-TRR 161]; Bavarian Research Alliance association For DigitHealth</t>
  </si>
  <si>
    <t>Deutsche Forschungsgemeinschaft (DFG, German Research Foundation)(German Research Foundation (DFG)); Bavarian Research Alliance association For DigitHealth</t>
  </si>
  <si>
    <t>We would like to thank Martina Gluderer for her support during data collection and the submission of this work. Francesco Chiossi was supported by the Deutsche Forschungsgemeinschaft (DFG, German Research Foundation), Project-ID 251654672-TRR 161. Luke Haliburton was supported by the Bavarian Research Alliance association ForDigitHealth.</t>
  </si>
  <si>
    <t>10.1145/3544548.3580778</t>
  </si>
  <si>
    <t>BV4OO</t>
  </si>
  <si>
    <t>WOS:001037809502034</t>
  </si>
  <si>
    <t>Jerasa, S; Burriss, SK</t>
  </si>
  <si>
    <t>Jerasa, Sarah; Burriss, Sarah K.</t>
  </si>
  <si>
    <t>Writing with, for, and against the algorithm: TikTokers' relationships with AI as audience, co-author, and censor</t>
  </si>
  <si>
    <t>Artificial intelligence; TikTok; Multimodal composition; BookTok; Critical posthumanist literacy</t>
  </si>
  <si>
    <t>DIGITAL LITERACIES</t>
  </si>
  <si>
    <t>PurposeArtificial intelligence (AI) has become increasingly important and influential in reading and writing. The influx of social media digital spaces, like TikTok, has also shifted the ways multimodal composition takes place alongside AI. This study aims to argue that within spaces like TikTok, human composers must attend to the ways they write for, with and against the AI-powered algorithm.Design/methodology/approachData collection was drawn from a larger study on #BookTok (the TikTok subcommunity for readers) that included semi-structured interviews including watching and reflecting on a TikTok they created. The authors grounded this study in critical posthumanist literacies to analyze and open code five #BookTok content creators' interview transcripts. Using axial coding, authors collaboratively determined three overarching and entangled themes: writing for, with and against.FindingsFindings highlight the nuanced ways #BookTokers consider the AI algorithm in their compositional choices, namely, in the ways how they want to disseminate their videos to a larger audience or more niche-focused community. Throughout the interviews, participants revealed how the AI algorithm was situated differently as both audience member, co-author and censor.Originality/valueThis study is grounded in critical posthumanist literacies and explores composition as a joint accomplishment between humans and machines. The authors argued that it is necessary to expand our human-centered notions of what it means to write for an audience, to co-author and to resist censorship or gatekeeping.</t>
  </si>
  <si>
    <t>[Jerasa, Sarah] Clemson Univ, Dept Educ &amp; Human Dev, Clemson 29634, SC USA; [Burriss, Sarah K.] Vanderbilt Univ, Dept Comp Sci, Nashville, TN USA</t>
  </si>
  <si>
    <t>Clemson University; Vanderbilt University</t>
  </si>
  <si>
    <t>Jerasa, S (corresponding author), Clemson Univ, Dept Educ &amp; Human Dev, Clemson 29634, SC USA.</t>
  </si>
  <si>
    <t>sjerasa@clemson.edu</t>
  </si>
  <si>
    <t>Burriss, Sarah/LPQ-9274-2024</t>
  </si>
  <si>
    <t>Burriss, Sarah/0000-0002-5598-0363; Jerasa, Sarah/0000-0001-8969-0383</t>
  </si>
  <si>
    <t>APR 8</t>
  </si>
  <si>
    <t>10.1108/ETPC-08-2023-0100</t>
  </si>
  <si>
    <t>MY0I4</t>
  </si>
  <si>
    <t>WOS:001179036600001</t>
  </si>
  <si>
    <t>Chen, KP; Duan, ZN; Kim, SJ</t>
  </si>
  <si>
    <t>Chen, Kaiping; Duan, Zening; Kim, Sang Jung</t>
  </si>
  <si>
    <t>Uncovering gender stereotypes in controversial science discourse: evidence from computational text and visual analyses across digital platforms</t>
  </si>
  <si>
    <t>gender stereotypes; public engagement; science communication; multi-modal communication; video-as-data</t>
  </si>
  <si>
    <t>This study examines how gender stereotypes are reflected in discourses around controversial science issues across two platforms, YouTube and TikTok. Utilizing the Social Identity Model of Deindividuation Effects, we developed hypotheses and research questions about how content creators might use gender-related stereotypes to engage audiences. Our analyses of climate change and vaccination videos, considering various modalities such as captions and thumbnails, revealed that themes related to children and health often appeared in videos mentioning women, while science misinformation was more common in videos mentioning men. We observed cross-platform differences in portraying gender stereotypes. YouTube's video descriptions often highlighted women-associated moral language, whereas TikTok emphasized men-associated moral language. YouTube's thumbnails frequently featured climate activists or women with nature, while TikTok's thumbnails showed women in Vlog-style selfies and with feminine gestures. These findings advance understanding about gender and science through a cross-platform, multi-modal approach and offer potential intervention strategies. This study explores the use of gender cues and stereotypes in digital science communication on two platforms, YouTube and TikTok, focusing on climate change and vaccination. We observed that on both platforms, women are often associated with themes related to children and health, while men are often mentioned with themes related to conspiracy and misinformation discourses. Notably, gender stereotypes differ across platforms. YouTube's video descriptions tend to emphasize moral language associated with women, such as care, fairness, and loyalties, whereas TikTok's video descriptions highlight moral language associated with men, such as authority. Visual differences were also found across platforms. YouTube thumbnails often depict women in nature sceneries or as women scientists and activists. TikTok thumbnails tend to feature women in Vlog-style selfies and with feminine gestures. Our findings offer insights and implications for developing strategies to alleviate gender stereotypes in digital science discussions.</t>
  </si>
  <si>
    <t>[Chen, Kaiping] Univ Wisconsin Madison, Dept Life Sci Commun, Madison, WI 53706 USA; [Duan, Zening] Univ Wisconsin Madison, Sch Journalism &amp; Mass Commun, Madison, WI USA; [Kim, Sang Jung] Univ Iowa, Sch Journalism &amp; Mass Commun, Iowa City, IA USA</t>
  </si>
  <si>
    <t>University of Wisconsin System; University of Wisconsin Madison; University of Wisconsin System; University of Wisconsin Madison; University of Iowa</t>
  </si>
  <si>
    <t>Chen, KP (corresponding author), Univ Wisconsin Madison, Dept Life Sci Commun, Madison, WI 53706 USA.</t>
  </si>
  <si>
    <t>kchen67@wisc.edu</t>
  </si>
  <si>
    <t>Kim, Sang/AAV-9665-2021; Chen, Kaiping/AAD-7014-2022</t>
  </si>
  <si>
    <t>Duan, Zening/0000-0001-7369-657X; KIM, SANG JUNG/0000-0001-5861-728X; Chen, Kaiping/0000-0002-5864-5333</t>
  </si>
  <si>
    <t>WARF Accelerator Big Data Challenge Grant; Robert F. and Jean E. Holtz Center; Graduate Student Research Fund at the School of Journalism and Mass Communication, University of Wisconsin-Madison</t>
  </si>
  <si>
    <t>Funding support for this article was provided by the WARF Accelerator Big Data Challenge Grant, the Robert F. and Jean E. Holtz Center, and the Graduate Student Research Fund at the School of Journalism and Mass Communication, University of Wisconsin-Madison.</t>
  </si>
  <si>
    <t>NOV 8</t>
  </si>
  <si>
    <t>zmad052</t>
  </si>
  <si>
    <t>10.1093/jcmc/zmad052</t>
  </si>
  <si>
    <t>GY8Y3</t>
  </si>
  <si>
    <t>WOS:001156341500008</t>
  </si>
  <si>
    <t>Susilo, ME; Pawito; Purwasito, A; Rahmanto, AN</t>
  </si>
  <si>
    <t>Susilo, Muhammad Edy; Pawito, Andrik; Purwasito, Andrik; Rahmanto, Andre Noevi</t>
  </si>
  <si>
    <t>TikTok's influence on Indonesia's 2024 election: From general to gemoy</t>
  </si>
  <si>
    <t>ASIAN POLITICS &amp; POLICY</t>
  </si>
  <si>
    <t>[Susilo, Muhammad Edy; Pawito, Andrik; Purwasito, Andrik; Rahmanto, Andre Noevi] Univ Sebelas Maret, Surakarta, Indonesia</t>
  </si>
  <si>
    <t>Susilo, ME (corresponding author), Univ Sebelas Maret, Doctoral Program Commun Sci, Surakarta, Indonesia.</t>
  </si>
  <si>
    <t>edysusilo@upnyk.ac.id</t>
  </si>
  <si>
    <t>1943-0779</t>
  </si>
  <si>
    <t>1943-0787</t>
  </si>
  <si>
    <t>ASIAN POLIT POLICY</t>
  </si>
  <si>
    <t>Asian Polit. Policy</t>
  </si>
  <si>
    <t>10.1111/aspp.12764</t>
  </si>
  <si>
    <t>K8Q6F</t>
  </si>
  <si>
    <t>WOS:001328517200001</t>
  </si>
  <si>
    <t>Jones, J; Dean, L; Hak, L; Sellers, L; Thompson, J; Vu, A; Fleeger, T; Kolacki, C; Seamon, J; Chassee, T; Jones, J</t>
  </si>
  <si>
    <t>Jones, J.; Dean, L.; Hak, L.; Sellers, L.; Thompson, J.; Vu, A.; Fleeger, T.; Kolacki, C.; Seamon, J.; Chassee, T.; Jones, J.</t>
  </si>
  <si>
    <t>Assessing the Educational Value of YouTube and TikTok Videos on Home Suture Removal</t>
  </si>
  <si>
    <t>ANNALS OF EMERGENCY MEDICINE</t>
  </si>
  <si>
    <t>American College of Emergency Physicians RESEARCH FORUM (ACEP)</t>
  </si>
  <si>
    <t>OCT 09-12, 2023</t>
  </si>
  <si>
    <t>[Jones, J.; Dean, L.; Hak, L.; Sellers, L.; Thompson, J.; Vu, A.; Fleeger, T.; Kolacki, C.; Seamon, J.; Chassee, T.; Jones, J.] Michigan State Univ, Coll Human Med, Grand Rapids, MI USA</t>
  </si>
  <si>
    <t>Michigan State University; Michigan State University College of Human Medicine</t>
  </si>
  <si>
    <t>0196-0644</t>
  </si>
  <si>
    <t>1097-6760</t>
  </si>
  <si>
    <t>ANN EMERG MED</t>
  </si>
  <si>
    <t>Ann. Emerg. Med.</t>
  </si>
  <si>
    <t>S150</t>
  </si>
  <si>
    <t>S151</t>
  </si>
  <si>
    <t>Emergency Medicine</t>
  </si>
  <si>
    <t>T9GQ3</t>
  </si>
  <si>
    <t>WOS:001080998600339</t>
  </si>
  <si>
    <t>Devjani, S; Ezemma, O; Kelley, K; Stratton, E; Senna, M</t>
  </si>
  <si>
    <t>Devjani, Shivali; Ezemma, Ogechi; Kelley, Kristen; Stratton, Emma; Senna, Maryanne</t>
  </si>
  <si>
    <t>''Skinfluencers'' versus dermatologists as creators of the top dermatology-related videos on TikTok</t>
  </si>
  <si>
    <t>[Devjani, Shivali; Ezemma, Ogechi; Kelley, Kristen; Stratton, Emma; Senna, Maryanne] Lahey Hosp &amp; Med Ctr, Dept Dermatol, Burlington, MA USA; [Senna, Maryanne] Harvard Med Sch, Boston, MA USA</t>
  </si>
  <si>
    <t>Lahey Hospital &amp; Medical Center; Harvard University; Harvard Medical School</t>
  </si>
  <si>
    <t>Senna, Maryanne/ABB-6684-2021</t>
  </si>
  <si>
    <t>AB3</t>
  </si>
  <si>
    <t>WOS:001078492800007</t>
  </si>
  <si>
    <t>Dimitroyannis, R; Fenton, D; Cho, S; Nordgren, R; Pinto, JM; Roxbury, CR</t>
  </si>
  <si>
    <t>Dimitroyannis, Rose; Fenton, David; Cho, Stella; Nordgren, Rachel; Pinto, Jayant M.; Roxbury, Christopher R.</t>
  </si>
  <si>
    <t>A Social Media Quality Review of Popular Sinusitis Videos on TikTok</t>
  </si>
  <si>
    <t>OTOLARYNGOLOGY-HEAD AND NECK SURGERY</t>
  </si>
  <si>
    <t>health care education; public health; sinusitis; social media; TikTok</t>
  </si>
  <si>
    <t>INFORMATION; RHINOSINUSITIS; THERAPIES; INTERNET; ADULTS; IMPACT</t>
  </si>
  <si>
    <t>ObjectiveSocial media may inform health care decisions among younger patient populations. TikTok is a social media platform that allows users to post short-form videos. This study aimed to assess the quality of sinusitis-related videos on TikTok.Study DesignWe searched TikTok on January 29, 2023, for sinusitis-related hashtags: #sinusitis, #sinus, #sinusinfection.SettingInternet.MethodsThe number of views/shares per day, uploader type (nonmedical influencer, lay individual, and medical professional) content categories (medical advice, marketing, comedy, and lifestyle/acceptability), and content type (educational vs factual) were collected. The Patient Education Materials Assessment Tool for Audiovisual Material and Journal of the American Medical Association criteria score was used to measure understandability, actionability, and reliability. The Global Quality Scale (GQS) was used to evaluate the quality of videos; the harm/benefit score was used to evaluate causative effects. Analyses were performed using analysis of variance (alpha = .05).ResultsThere were 221 videos identified, which garnered over 300 million views and 1 million shares. Almost half of the videos were published by nonmedical influencers. When controlling for covariates, nonmedical influencers and lay uploaders were more likely to have harmful harm/benefit scores, less understandable videos, and lower GQS scores compared to medical professionals. Less than half of videos posted by nonmedical influencers categorized as educational were factual (46.7%); lay individuals and medical professionals had higher rates of factual educational content (79.9% and 83.7%, respectively).ConclusionMost nonmedical influencer-posted TikTok videos about sinusitis are inaccurate, despite being portrayed as medical advice/educational. Rhinologists must find modern ways to disseminate true disease-related content via social media to combat medical misinformation.</t>
  </si>
  <si>
    <t>[Dimitroyannis, Rose; Fenton, David; Cho, Stella] Univ Chicago, Pritzker Sch Med, Chicago, IL USA; [Nordgren, Rachel] Univ Chicago, Dept Publ Hlth Sci, Chicago, IL USA; [Pinto, Jayant M.; Roxbury, Christopher R.] Univ Chicago Med, Dept Surg, Sect Otolaryngol, Chicago, IL USA; [Roxbury, Christopher R.] Univ Chicago, Sect Otolaryngol Head &amp; Neck Surg, Chicago, IL 60637 USA</t>
  </si>
  <si>
    <t>University of Chicago; University of Chicago; University of Chicago</t>
  </si>
  <si>
    <t>Roxbury, CR (corresponding author), Univ Chicago, Sect Otolaryngol Head &amp; Neck Surg, Chicago, IL 60637 USA.</t>
  </si>
  <si>
    <t>croxbury@surgery.bsd.uchicago.edu</t>
  </si>
  <si>
    <t>0194-5998</t>
  </si>
  <si>
    <t>1097-6817</t>
  </si>
  <si>
    <t>OTOLARYNG HEAD NECK</t>
  </si>
  <si>
    <t>Otolaryngol. Head Neck Surg.</t>
  </si>
  <si>
    <t>10.1002/ohn.688</t>
  </si>
  <si>
    <t>Otorhinolaryngology; Surgery</t>
  </si>
  <si>
    <t>XT8K2</t>
  </si>
  <si>
    <t>WOS:001178099400001</t>
  </si>
  <si>
    <t>Basch, CH; Fera, J; Pierce, I; Basch, CE</t>
  </si>
  <si>
    <t>Basch, Corey H.; Fera, Joseph; Pierce, Isabela; Basch, Charles E.</t>
  </si>
  <si>
    <t>Promoting Mask Use on TikTok: Descriptive, Cross-sectional Study</t>
  </si>
  <si>
    <t>JMIR PUBLIC HEALTH AND SURVEILLANCE</t>
  </si>
  <si>
    <t>TikTok; COVID-19; social media; infodemiology; infoveillance; mask use; prevention; promotion; communication; public health; cross-sectional; content analysis; transmission</t>
  </si>
  <si>
    <t>Background: Over the past decade, there has been an increasing secular trend in the number of studies on social media and health. Objective: The purpose of this cross-sectional study was to examine the content and characteristics of TikTok videos that are related to an important aspect of community mitigation-the use of masks as a method for interrupting the transmission of SARS-CoV-2. Methods: In total, 100 trending videos with the hashtag #WearAMask (ie, a campaign on TikTok), along with 32 videos that were posted by the World Health Organization (WHO) and involved masks in any way (ie, all related WHO videos at the time of this study), were included in our sample. We collected the metadata of each post, and created content categories based on fact sheets that were provided by the WHO and the US Centers for Disease Control and Prevention. We used these fact sheets to code the characteristics of mask use. Results: Videos that were posted on TikTok and had the hashtag #WearAMask garnered almost 500 million views, and videos that were posted by the WHO garnered almost 57 million views. Although the ratio of the number of trending #WearAMask videos to the number of WHO videos was around 3:1, the #WearAMask videos received almost 10 times as many cumulative views as the WHO videos. In total, 68% (68/100) of the trending #WearAMask videos involved humor and garnered over 355 million cumulative views. However, only 9% (3/32) of the WHO videos involved humor. Furthermore, 27% (27/100) of the trending #WearAMask videos involved dance and garnered over 130 million cumulative views, whereas none of the WHO videos involved dance. Conclusions: This study is one of the first to describe how TikTok is being used to mitigate the community spread of COVID-19 by promoting mask use. Due to the platform's incredible reach, TikTok has great potential in conveying important public health messages to various segments of the population.</t>
  </si>
  <si>
    <t>[Basch, Corey H.; Pierce, Isabela] William Paterson Univ, Dept Publ Hlth, 300 Pompton Rd,Univ Hall, Wayne, NJ 07470 USA; [Fera, Joseph] CUNY, Dept Math, Lehman Coll, Bronx, NY USA; [Basch, Charles E.] Columbia Univ, Teachers Coll, Dept Hlth &amp; Behav Studies, New York, NY 10027 USA</t>
  </si>
  <si>
    <t>City University of New York (CUNY) System; Lehman College (CUNY); Columbia University; Columbia University Teachers College</t>
  </si>
  <si>
    <t>Basch, CH (corresponding author), William Paterson Univ, Dept Publ Hlth, 300 Pompton Rd,Univ Hall, Wayne, NJ 07470 USA.</t>
  </si>
  <si>
    <t>baschc@wpunj.edu</t>
  </si>
  <si>
    <t>Basch, Corey H/0000-0003-4862-4229</t>
  </si>
  <si>
    <t>2369-2960</t>
  </si>
  <si>
    <t>JMIR PUBLIC HLTH SUR</t>
  </si>
  <si>
    <t>JMIR Public Health Surveill.</t>
  </si>
  <si>
    <t>e26392</t>
  </si>
  <si>
    <t>10.2196/26392</t>
  </si>
  <si>
    <t>QR5YN</t>
  </si>
  <si>
    <t>WOS:000625293400019</t>
  </si>
  <si>
    <t>Rathore, A; Ekram, J; Zaidi, SF; Haider, MZ; Kadariya, D</t>
  </si>
  <si>
    <t>Rathore, Azeem; Ekram, Jahanzaib; Zaidi, Syeda F.; Haider, Mobeen Z.; Kadariya, Dinesh</t>
  </si>
  <si>
    <t>Evaluating Atrial Fibrillation-Related Content on TikTok: A Social Media Analysis</t>
  </si>
  <si>
    <t>Southeastern Regional Meeting of the American-Federation-for-Medical-Research (AFMR)</t>
  </si>
  <si>
    <t>MAY 23-24, 2024</t>
  </si>
  <si>
    <t>Birmingham, AL</t>
  </si>
  <si>
    <t>Amer Federat Med Res</t>
  </si>
  <si>
    <t>[Rathore, Azeem] Univ Florida, Internal Med, Hlth Sci Ctr, Jacksonville, FL USA; [Ekram, Jahanzaib] Univ S Florida, Morsani Coll Med, Tampa, FL USA; [Ekram, Jahanzaib] Univ S Florida, H Lee Moffitt Canc Ctr &amp; Res Inst, Tampa, FL USA; [Zaidi, Syeda F.] Queen Mary Univ, London, England; [Haider, Mobeen Z.] Carle Fdn Hosp, Internal Med, Jacksonville, IL USA; [Kadariya, Dinesh] Univ Florida, Hlth Sci Ctr, Cardiol, Jacksonville, FL USA</t>
  </si>
  <si>
    <t>State University System of Florida; University of Florida; State University System of Florida; University of South Florida; State University System of Florida; University of South Florida; H Lee Moffitt Cancer Center &amp; Research Institute; University of London; Queen Mary University London; State University System of Florida; University of Florida</t>
  </si>
  <si>
    <t>Haider, Mobeen/AAH-4453-2021; Rathore, Azeem/AAJ-4521-2020</t>
  </si>
  <si>
    <t>C6X7B</t>
  </si>
  <si>
    <t>WOS:001290786700019</t>
  </si>
  <si>
    <t>Esielionis, A; Stambaugh, S; Huffstutter, M; Pellosmaa, H</t>
  </si>
  <si>
    <t>Esielionis, Allyson; Stambaugh, Sarah; Huffstutter, Madison; Pellosmaa, Hollie</t>
  </si>
  <si>
    <t>TIKTOK USE AND ADDICTION ARE RELATED TO IMPAIRED MENTAL HEALTH OUTCOMES</t>
  </si>
  <si>
    <t>PSYCHOSOMATIC MEDICINE</t>
  </si>
  <si>
    <t>80th Annual Scientific Meeting Challenging the Future: Towards a Better Biopsychosocial Health</t>
  </si>
  <si>
    <t>MAR 08-11, 2023</t>
  </si>
  <si>
    <t>San Juan, PR</t>
  </si>
  <si>
    <t>[Esielionis, Allyson; Stambaugh, Sarah; Huffstutter, Madison; Pellosmaa, Hollie] Univ Tennessee, Knoxville, TN USA; [Pellosmaa, Hollie] Tusculum Univ, Tusculum, TN USA</t>
  </si>
  <si>
    <t>0033-3174</t>
  </si>
  <si>
    <t>1534-7796</t>
  </si>
  <si>
    <t>PSYCHOSOM MED</t>
  </si>
  <si>
    <t>Psychosom. Med.</t>
  </si>
  <si>
    <t>A52</t>
  </si>
  <si>
    <t>A53</t>
  </si>
  <si>
    <t>Psychiatry; Psychology; Psychology, Multidisciplinary</t>
  </si>
  <si>
    <t>Psychiatry; Psychology</t>
  </si>
  <si>
    <t>IN6H9</t>
  </si>
  <si>
    <t>WOS:001167041400126</t>
  </si>
  <si>
    <t>Lahooti, A; Critelli, B; Hassan, A; Westerveld, DR; Rogers, L; Gazi, M; Dawod, E; Mahadev, S; Kumar, S; Newberry, C; Sharaiha, RZ</t>
  </si>
  <si>
    <t>Lahooti, Ali; Critelli, Brian; Hassan, Amier; Westerveld, Donevan R.; Rogers, Lindsay; Gazi, Maryam; Dawod, Enad; Mahadev, SriHari; Kumar, Sonal; Newberry, Carolyn; Sharaiha, Reem Z.</t>
  </si>
  <si>
    <t>THE REYNOLDS-MCELHENNEY EFFECT?: THE EFFECT OF CELEBRITY ENDORSEMENT ON COLONOSCOPY-RELATED VIDEOS ON TIKTOK</t>
  </si>
  <si>
    <t>Mo1950</t>
  </si>
  <si>
    <t>S941</t>
  </si>
  <si>
    <t>S942</t>
  </si>
  <si>
    <t>WOS:001040954704064</t>
  </si>
  <si>
    <t>Durbano, A; Bert, F; Pivi, A; Lo Moro, G; Scaioli, G; Siliquini, R</t>
  </si>
  <si>
    <t>Durbano, A.; Bert, F.; Pivi, A.; Lo Moro, G.; Scaioli, G.; Siliquini, R.</t>
  </si>
  <si>
    <t>Use of TikTok by nutrition healthcare professionals: analysis of the Italian context</t>
  </si>
  <si>
    <t>[Durbano, A.; Bert, F.; Pivi, A.; Lo Moro, G.; Scaioli, G.; Siliquini, R.] Univ Turin, Dept Publ Hlth Sci, Turin, Italy; [Siliquini, R.] AOU City Hlth &amp; Sci Turin, Turin, Italy</t>
  </si>
  <si>
    <t>University of Turin; A.O.U. Citta della Salute e della Scienza di Torino</t>
  </si>
  <si>
    <t>alessandro.durbano@unito.it</t>
  </si>
  <si>
    <t>Moro, Giuseppina/AAQ-4179-2020</t>
  </si>
  <si>
    <t>ckac131.3</t>
  </si>
  <si>
    <t>III546</t>
  </si>
  <si>
    <t>6W0ZD</t>
  </si>
  <si>
    <t>WOS:000895463401570</t>
  </si>
  <si>
    <t>Ravikumar, V; Kapadia, K; Dalena, M; Ayyala, HS; Ramanadham, S</t>
  </si>
  <si>
    <t>Ravikumar, Vaishali; Kapadia, Kailash; Dalena, Margaret; Ayyala, Haripriya S.; Ramanadham, Smita</t>
  </si>
  <si>
    <t>Is TikTok the New Instagram? Analysis of Plastic Surgeons on Social Media</t>
  </si>
  <si>
    <t>[Ravikumar, Vaishali; Kapadia, Kailash; Dalena, Margaret; Ayyala, Haripriya S.] Rutgers New Jersey Med Sch, Div Plast &amp; Reconstruct Surg, Newark, NJ USA; [Ramanadham, Smita] SR Plast Surg PC, East Brunswick, NJ USA</t>
  </si>
  <si>
    <t>Kapadia, K (corresponding author), Rutgers New Jersey Med Sch, Dept Surg, Div Plast &amp; Reconstruct Surg, 140 Bergen St,Suite E1620, Newark, NJ 07103 USA.</t>
  </si>
  <si>
    <t>vita20k@njms.rutgers.edu</t>
  </si>
  <si>
    <t>920E</t>
  </si>
  <si>
    <t>922E</t>
  </si>
  <si>
    <t>10.1097/PRS.0000000000007873</t>
  </si>
  <si>
    <t>RU2PI</t>
  </si>
  <si>
    <t>WOS:000644992000058</t>
  </si>
  <si>
    <t>Deleonibus, A; Patel, V; Zelko, I; Wells, M; Maasarani, S; Bahat, D; Kotha, V; Gharb, BB; Rampazzo, A</t>
  </si>
  <si>
    <t>Deleonibus, Anthony; Patel, Viren; Zelko, Ian; Wells, Michael; Maasarani, Samantha; Bahat, Daniel; Kotha, Vikas; Bassiri Gharb, Bahar; Rampazzo, Antonio</t>
  </si>
  <si>
    <t>TikTok Famous: Can One Viral Video Affect Your Plastic Surgery Practice?</t>
  </si>
  <si>
    <t>[Deleonibus, Anthony; Patel, Viren; Zelko, Ian; Wells, Michael; Maasarani, Samantha; Bahat, Daniel; Kotha, Vikas; Bassiri Gharb, Bahar; Rampazzo, Antonio] Cleveland Clin Fdn, Dept Plast &amp; Reconstruct Surg, Cleveland, OH USA; [Rampazzo, Antonio] Cleveland Clin, Plast Surg Dept, 9500 Euclid Ave,Suite A60, Cleveland, OH 44195 USA</t>
  </si>
  <si>
    <t>Cleveland Clinic Foundation; Cleveland Clinic Foundation</t>
  </si>
  <si>
    <t>Rampazzo, A (corresponding author), Cleveland Clin, Plast Surg Dept, 9500 Euclid Ave,Suite A60, Cleveland, OH 44195 USA.</t>
  </si>
  <si>
    <t>rampaza@ccf.org</t>
  </si>
  <si>
    <t>Wells, Michael/AAJ-9356-2020</t>
  </si>
  <si>
    <t>966E</t>
  </si>
  <si>
    <t>968E</t>
  </si>
  <si>
    <t>10.1097/PRS.0000000000010792</t>
  </si>
  <si>
    <t>U9MX3</t>
  </si>
  <si>
    <t>WOS:001087985900029</t>
  </si>
  <si>
    <t>Nguyen, QBD; Kesaria, SA; Hebert, AA; Alam, M</t>
  </si>
  <si>
    <t>Nguyen, Quoc-Bao D.; Kesaria, Sarah A.; Hebert, Adelaide A.; Alam, Murad</t>
  </si>
  <si>
    <t>Cross-Sectional Study of Hyaluron Pens Posted on the TikTok Social Media Platform</t>
  </si>
  <si>
    <t>DERMATOLOGIC SURGERY</t>
  </si>
  <si>
    <t>[Nguyen, Quoc-Bao D.; Hebert, Adelaide A.] Univ Texas MD Anderson Canc Ctr, Dept Dermatol, Houston, TX 77030 USA; [Nguyen, Quoc-Bao D.] UTHealth, Dept Dermatol, McGovern Med Sch, Houston, TX USA; [Kesaria, Sarah A.] UTMB Sch Med, Galveston, TX 77555 USA; [Hebert, Adelaide A.] UTHealth McGovern Med Sch, Dept Pediat, Houston, TX USA; [Alam, Murad] Northwestern Univ, Feinberg Sch Med, Dept Dermatol, Chicago, IL 60611 USA; [Alam, Murad] Northwestern Univ, Dept Otolaryngol, Feinberg Sch Med, Chicago, IL 60611 USA; [Alam, Murad] Northwestern Univ, Dept Surg, Feinberg Sch Med, Chicago, IL 60611 USA</t>
  </si>
  <si>
    <t>University of Texas System; UTMD Anderson Cancer Center; University of Texas System; University of Texas Health Science Center Houston; Northwestern University; Feinberg School of Medicine; Northwestern University; Feinberg School of Medicine; Northwestern University; Feinberg School of Medicine</t>
  </si>
  <si>
    <t>Kesaria, SA (corresponding author), UTMB Sch Med, Galveston, TX 77555 USA.</t>
  </si>
  <si>
    <t>sakesari@utmb.edu; Adelaide.A.Hebert@uth.tmc.edu; m-alam@northwestern.edu</t>
  </si>
  <si>
    <t>1076-0512</t>
  </si>
  <si>
    <t>1524-4725</t>
  </si>
  <si>
    <t>DERMATOL SURG</t>
  </si>
  <si>
    <t>Dermatol. Surg.</t>
  </si>
  <si>
    <t>10.1097/DSS.0000000000003332</t>
  </si>
  <si>
    <t>Dermatology; Surgery</t>
  </si>
  <si>
    <t>YS1NU</t>
  </si>
  <si>
    <t>WOS:000750451900030</t>
  </si>
  <si>
    <t>Hiebert, A; Kortes-Miller, K</t>
  </si>
  <si>
    <t>Hiebert, Alexa; Kortes-Miller, Kathy</t>
  </si>
  <si>
    <t>Finding home in online community: exploring TikTok as a support for gender and sexual minority youth throughout COVID-19</t>
  </si>
  <si>
    <t>JOURNAL OF LGBT YOUTH</t>
  </si>
  <si>
    <t>Gender and sexual minority; 2SLGBTQ+; social media; COVID-19; TikTok</t>
  </si>
  <si>
    <t>NEGATIVE HEALTH OUTCOMES; FAMILY REJECTION; MENTAL-HEALTH; TRANSGENDER; GAY; STIGMA; DISCRIMINATION; EXPERIENCES; PREDICTOR; MEDIA</t>
  </si>
  <si>
    <t>In March 2020, with the global number of COVID-19 cases on the rise, many people were advised to stay at home and leave only for necessities. Across the globe, people were on lockdown. Very little is known about how this period of quarantine due to the pandemic has impacted the lives of gender and sexual minority youth. Between February and June of 2020, TikTok-a short- video sharing platform-was the most downloaded social media app. The purpose of this study was to use a digital ethnographic approach on TikTok to explore the experiences of gender and sexual minority youth during COVID-19. Thematic analysis of the data collected resulted in an overarching theme of TikTok as a supportive community. Additionally, four sub themes were examined including support with family relationships, identity formation, community and belonging and sharing knowledge and information. This study demonstrates the need for further research into gender and sexual minority youth social media cultures and highlights the resilience and resourcefulness of gender and sexual minority youth when faced with unprecedented circumstances.</t>
  </si>
  <si>
    <t>[Hiebert, Alexa; Kortes-Miller, Kathy] Lakehead Univ, Thunder Bay, ON, Canada</t>
  </si>
  <si>
    <t>Lakehead University</t>
  </si>
  <si>
    <t>Hiebert, A (corresponding author), Lakehead Univ, Thunder Bay, ON, Canada.</t>
  </si>
  <si>
    <t>ajhieber@lakeheadu.ca</t>
  </si>
  <si>
    <t>1936-1653</t>
  </si>
  <si>
    <t>1936-1661</t>
  </si>
  <si>
    <t>J LGBT YOUTH</t>
  </si>
  <si>
    <t>J. LGBT Youth</t>
  </si>
  <si>
    <t>OCT 2</t>
  </si>
  <si>
    <t>10.1080/19361653.2021.2009953</t>
  </si>
  <si>
    <t>Q5ZX6</t>
  </si>
  <si>
    <t>WOS:000726011100001</t>
  </si>
  <si>
    <t>Wang, SF; Sun, Z; Li, MT; Zhang, H; Metwally, AHS</t>
  </si>
  <si>
    <t>Wang, Shaofeng; Sun, Zhuo; Li, Mengti; Zhang, Hao; Metwally, Ahmed Hosny Saleh</t>
  </si>
  <si>
    <t>Leveraging TikTok for active learning in management education: An extended technology acceptance model approach</t>
  </si>
  <si>
    <t>INTERNATIONAL JOURNAL OF MANAGEMENT EDUCATION</t>
  </si>
  <si>
    <t>Active learning intention; Technology acceptance model; TikTok; Management education; Social media in education; Short-form video; International business education</t>
  </si>
  <si>
    <t>USER ACCEPTANCE; INTENTION; KNOWLEDGE; ADOPTION</t>
  </si>
  <si>
    <t>This study investigates the role of TikTok, a prominent short-form video platform, in facilitating active learning intention within management education. Employing an extended Technology Acceptance Model (TAM), the research examines how perceived ease of use, usefulness, playfulness, interactivity, immersion, and virtual reward enhance students' active learning intention. Data collected from 414 students majoring in international business across two universities in China reveal that perceived ease of use and usefulness significantly influence interactivity, while virtual rewards impact immersion and playfulness, further influencing students' active learning intention. The study developed a new scale to measure active learning intention in TikTok usage, rigorously validating its reliability and validity through pre-testing and statistical analyses. Furthermore, the research uncovers the moderating role of novelty experience in the relationship between these factors and active learning intention. The findings offer significant implications for integrating emerging technologies like TikTok into management education, highlighting the need for pedagogical strategies that leverage the unique features of social media platforms for creating and sharing short videos to enhance student engagement and learning outcomes. By providing empirical evidence and a discussion of the practical implications, this research contributes to advancing the understanding of digital pedagogies in management education and encourages exploring innovative teaching methods to promote management learning in the digital era.</t>
  </si>
  <si>
    <t>[Wang, Shaofeng] Fuzhou Univ Int Studies &amp; Trade, Int Business Sch, Fuzhou 350202, Peoples R China; [Li, Mengti] Beijing Normal Univ, Smart Learning Inst, Beijing 100875, Peoples R China; [Zhang, Hao] Zhejiang Shuren Univ, Sch Management, Hangzhou 310015, Peoples R China; [Metwally, Ahmed Hosny Saleh] Helwan Univ, Fac Educ, Educ Technol Dept, Cairo, Egypt; [Sun, Zhuo] Renmin Univ China, BDA New Town Sch High Sch, Beijing 100176, Peoples R China</t>
  </si>
  <si>
    <t>Beijing Normal University; Zhejiang Shuren University; Egyptian Knowledge Bank (EKB); Helwan University; Renmin University of China</t>
  </si>
  <si>
    <t>Zhang, H (corresponding author), Zhejiang Shuren Univ, Sch Management, Hangzhou 310015, Peoples R China.</t>
  </si>
  <si>
    <t>vipwhsl@hotmail.com; sunzship@163.com; limengti951001@163.com; zhanghao08042022@163.com; ahmed_hosny@edu.helwan.edu.eg</t>
  </si>
  <si>
    <t>Metwally, Ahmed/P-8004-2019; Sun, Zhuo/HIZ-7048-2022; Wang, Shaofeng/N-6103-2017</t>
  </si>
  <si>
    <t>Metwally, Ahmed Hosny Saleh/0000-0002-9545-5870; Wang, Shaofeng/0000-0002-0300-2453; Zhang, Hao/0009-0009-7997-9410</t>
  </si>
  <si>
    <t>Zhejiang Provincial Philosophy and Social Sciences Planning Project [45]; The 2024 Fuzhou Philosophy and Social Science Key Research Base Project [2024FZB26]; The 2024 Fujian Provincial Civil Affairs Policy Theory Research Project [129]; Zhejiang Province Education Science Planning 2023 General Planning Project [2023SCG399]</t>
  </si>
  <si>
    <t>Zhejiang Provincial Philosophy and Social Sciences Planning Project; The 2024 Fuzhou Philosophy and Social Science Key Research Base Project; The 2024 Fujian Provincial Civil Affairs Policy Theory Research Project; Zhejiang Province Education Science Planning 2023 General Planning Project</t>
  </si>
  <si>
    <t>This work was supported by the Zhejiang Provincial Philosophy and Social Sciences Planning Project (45) ; 2024 Fuzhou Philosophy and Social Science Key Research Base Project under Grant [2024FZB26] ; 2024 Fujian Provincial Civil Affairs Policy Theory Research Project under Grant [129] ; and Zhejiang Province Education Science Planning 2023 General Planning Project under Grant [2023SCG399] .</t>
  </si>
  <si>
    <t>1472-8117</t>
  </si>
  <si>
    <t>2352-3565</t>
  </si>
  <si>
    <t>INT J MANAG EDUC-OXF</t>
  </si>
  <si>
    <t>Int. J. Manag. Educ.</t>
  </si>
  <si>
    <t>10.1016/j.ijme.2024.101009</t>
  </si>
  <si>
    <t>Business; Education &amp; Educational Research; Management</t>
  </si>
  <si>
    <t>Business &amp; Economics; Education &amp; Educational Research</t>
  </si>
  <si>
    <t>YF8A4</t>
  </si>
  <si>
    <t>WOS:001267150600001</t>
  </si>
  <si>
    <t>Gentry, BA</t>
  </si>
  <si>
    <t>Gentry, Briand A.</t>
  </si>
  <si>
    <t>TikTok's 'Republicansona' trend as cross-party cross-dressing: Legible normativity, (in)dividual representation and performing subversive ambiguity</t>
  </si>
  <si>
    <t>CONVERGENCE-THE INTERNATIONAL JOURNAL OF RESEARCH INTO NEW MEDIA TECHNOLOGIES</t>
  </si>
  <si>
    <t>TikTok; neoliberalism; internet memes; mimesis; partisan politics; marginalization; counterpublics; queer epistemology; refrain; remediation; legible normativity; performance; strategic ambiguity; technological affordance</t>
  </si>
  <si>
    <t>In the early months of 2021, a curious trend began to emerge on TikTok: left-leaning TikTokkers engaging in lampoonish performances of cross-party cross-dressing to re-present themselves as their alter-ego 'Republicansonas'. Fascinatingly, the most profuse and popular engagements with this trend have been to cannily recode BIPOC and queer self-presentations through a sardonic pantomime of a legibly centrist normativity generated by strategically ambiguous performances of 'whitewashing' and 'straightifying'. Deploying affect theory, Deleuzian critiques of neoliberalism, affordance theories of algorithmic culture, critical race theory, queer epistemologies of discursive space and textual analysis of Republicansona content, this article interrogates the operations of not just TikTok but of an increasingly right-leaning America. The central questions in this article are to examine the utility and ideology of this memetic mimesis trend while examining what this trend reveals about TikTok's infrastructure and the potential for revolution from within the apparatus. This analysis of the mindful sardonicism of the Republicansona trend reveals its disruptive potential to call attention to the impacts of neoliberalism on expression. The act of simulating legible normativity generates a subversively ambiguous depth where testimonies of survival in the face of image-violence are shared as a second layer to the trend's inside joke modality.</t>
  </si>
  <si>
    <t>[Gentry, Briand A.] Univ Michigan, Film Televis &amp; Media, Ann Arbor, MI 48109 USA</t>
  </si>
  <si>
    <t>Gentry, BA (corresponding author), Univ Michigan, 6330 N Quad,105 S State St, Ann Arbor, MI 48109 USA.</t>
  </si>
  <si>
    <t>gentryb@umich.edu</t>
  </si>
  <si>
    <t>Gentry, Briand/0000-0002-4186-7888</t>
  </si>
  <si>
    <t>1354-8565</t>
  </si>
  <si>
    <t>1748-7382</t>
  </si>
  <si>
    <t>CONVERGENCE-US</t>
  </si>
  <si>
    <t>Convergence</t>
  </si>
  <si>
    <t>10.1177/13548565221113469</t>
  </si>
  <si>
    <t>LH3F5</t>
  </si>
  <si>
    <t>WOS:000824941000001</t>
  </si>
  <si>
    <t>Not Too Old for TikTok: How Older Adults Are Reframing Aging</t>
  </si>
  <si>
    <t>Aging narratives; Content analysis; Self-portrayals of aging; Social construction of old age; Social media</t>
  </si>
  <si>
    <t>SOCIAL MEDIA; AGE; STEREOTYPES; WOMENS; HUMOR</t>
  </si>
  <si>
    <t>Background and Objectives Although reputed for being the virtual playground of teenagers, TikTok has since made its way to older adults, some of whom have become content creators with millions of followers. Despite their immense sway over audiences, as well as their potential to reconfigure socially constructed notions of aging, these older TikTok personalities have been given scant attention in gerontological literature. We fill this gap by exploring how older adults use TikTok to engage in discourses on old age. Research Design and Methods We compiled the most viewed videos of users aged 60 and older with at least 100,000 followers, generating 1,382 videos with over 3.5 billion views. Videos that did not feature older adults engaging in discourses on aging were excluded, resulting in 348 videos for content analysis. Both inductive and deductive approaches guided the qualitative analysis. Results Three themes emerged: Nearly 3 in 4 videos featured older adults Defying Age Stereotypes (71%; Theme 1), 18% featured them Making Light of Age-Related Vulnerabilities (Theme 2), and 11% involved older adults Calling out Ageism (Theme 3). Discussion and Implications This is the first known study exploring how older adults consciously engage in discourses of aging through their participation on TikTok. Our findings highlight the potential for older adults to be put at the vanguard of a movement aimed at challenging socially constructed notions of old age.</t>
  </si>
  <si>
    <t>[Ng, Reuben; Indran, Nicole] Natl Univ Singapore, Lee Kuan Yew Sch Publ Policy, Singapore, Singapore; [Ng, Reuben] Natl Univ Singapore, Lloyds Register Fdn Inst Publ Understanding Risk, Singapore, Singapore</t>
  </si>
  <si>
    <t>Ng, R (corresponding author), 469C Bukit Timah Rd, Singapore 259772, Singapore.</t>
  </si>
  <si>
    <t>Ng, Reuben/0000-0002-1186-0570; Indran, Nicole/0000-0003-3095-2988</t>
  </si>
  <si>
    <t>We gratefully acknowledge support from the Social Science Research Council SSHR Fellowship (MOE2018-SSHR-004). The funder had no role in study design, data collection, analysis, writing, and decision to publish.</t>
  </si>
  <si>
    <t>10.1093/geront/gnac055</t>
  </si>
  <si>
    <t>WOS:000803727400001</t>
  </si>
  <si>
    <t>Zhang, W; Mei, J; Song, WF; Evans, R; Xiang, YQ</t>
  </si>
  <si>
    <t>Zhang, Wei; Mei, Jie; Song, Weifang; Evans, Richard; Xiang, Yaqian</t>
  </si>
  <si>
    <t>Why Do Citizens Engage With the TikTok Accounts of Public Hospitals in China?</t>
  </si>
  <si>
    <t>SAGE OPEN</t>
  </si>
  <si>
    <t>health communication; public hospitals; healthcare delivery; social media; China</t>
  </si>
  <si>
    <t>MESSAGE SENSATION VALUE; SOCIAL MEDIA; COMMUNICATION; INFORMATION; ACTIVATION; VIDEOS</t>
  </si>
  <si>
    <t>Chinese public hospitals have increased usage of TikTok to communicate with citizens on health-related matters. This study aims to investigate the engagement of citizens with the official TikTok accounts of public hospitals, and identify the major characters of the videos with the highest public engagement level, as well as underlying factors that make them successful. A comprehensive search on TikTok, a video-sharing social networking service, was completed to identify all official accounts of public hospitals in Mainland China. Data was collected from 40 public hospitals with the top 100 TikTok videos being identified for content analysis. The majority of them were created by public hospitals located in the Central and Western regions of China. The common features of the top 100 identified videos include: low message sensation value and short video length, and are typically accompanied by background music, subtitles, and an introduction at the beginning of the video. The most frequently viewed video type is film clips which are used to disseminate knowledge of diseases and promote healthcare professionals. Health communication via the official TikTok accounts of public hospitals in China offers significant potential. Hospitals are encouraged to engage citizens in health-related conversations to build their credibility and professional image online. Among the popular short-videos, the message sensation value is not largely connected to video popularity, while the content of videos seems more important. This requires skills in video creation or procurement, and editing, while rhetoric should be cautiously applied. The content of videos should provide education and positive energy.</t>
  </si>
  <si>
    <t>[Zhang, Wei; Mei, Jie] Huazhong Univ Sci &amp; Technol, Wuhan, Hubei, Peoples R China; [Song, Weifang] Xiamen Univ, Chenggong Hosp, Xiamen, Fujian, Peoples R China; [Evans, Richard] Brunel Univ, London, England; [Xiang, Yaqian] Guizhou Univ Finance &amp; Econ, Guiyang, Peoples R China; [Evans, Richard] Dalhousie Univ, Halifax, NS, Canada</t>
  </si>
  <si>
    <t>Huazhong University of Science &amp; Technology; Xiamen University; Brunel University; Guizhou University of Finance &amp; Economics; Dalhousie University</t>
  </si>
  <si>
    <t>Xiang, YQ (corresponding author), Guizhou Univ Finance &amp; Econ, Sch Publ Adm, Guiyang 550025, Guizhou, Peoples R China.</t>
  </si>
  <si>
    <t>201801160@mail.gufe.edu.cn</t>
  </si>
  <si>
    <t>Zhang, Wei/AAS-6646-2021; mei, jie/KMA-6084-2024</t>
  </si>
  <si>
    <t>Zhang, Wei/0000-0003-0178-0750; Evans, Richard/0000-0001-6367-0560</t>
  </si>
  <si>
    <t>National Natural Science Fund of China [7210041729]; Fundamental Research Funds for the Central Universities [HUST 2021WKYXQN018]</t>
  </si>
  <si>
    <t>National Natural Science Fund of China(National Natural Science Foundation of China (NSFC)); Fundamental Research Funds for the Central Universities(Fundamental Research Funds for the Central Universities)</t>
  </si>
  <si>
    <t>The author(s) disclosed receipt of the following financial support for the research, authorship, and/or publication of this article: This work was partially supported by National Natural Science Fund of China (7210041729) and the Fundamental Research Funds for the Central Universities (HUST 2021WKYXQN018).</t>
  </si>
  <si>
    <t>2158-2440</t>
  </si>
  <si>
    <t>SAGE Open</t>
  </si>
  <si>
    <t>10.1177/21582440211061568</t>
  </si>
  <si>
    <t>XO4XD</t>
  </si>
  <si>
    <t>WOS:000730189200001</t>
  </si>
  <si>
    <t>Siva, N; Waris, S; Raiker, R; Pakhchanian, H; Singh, S</t>
  </si>
  <si>
    <t>Siva, Nanda; Waris, Shanawar; Raiker, Rahul; Pakhchanian, Haig; Singh, Shailendra</t>
  </si>
  <si>
    <t>A Social Media Analysis of Constipation-Related Videos on TikTok</t>
  </si>
  <si>
    <t>AMERICAN JOURNAL OF GASTROENTEROLOGY</t>
  </si>
  <si>
    <t>[Siva, Nanda; Waris, Shanawar; Raiker, Rahul] West Virginia Univ, Sch Med, Morgantown, WV 26506 USA; [Pakhchanian, Haig] George Washington Univ, Sch Med, Washington, DC 20037 USA; [Singh, Shailendra] West Virginia Univ, Morgantown, WV 26506 USA</t>
  </si>
  <si>
    <t>West Virginia University; George Washington University; West Virginia University</t>
  </si>
  <si>
    <t>Siva, Nanda/HRA-3079-2023; Singh, Shailendra/AAZ-1583-2020</t>
  </si>
  <si>
    <t>0002-9270</t>
  </si>
  <si>
    <t>1572-0241</t>
  </si>
  <si>
    <t>AM J GASTROENTEROL</t>
  </si>
  <si>
    <t>Am. J. Gastroenterol.</t>
  </si>
  <si>
    <t>S585</t>
  </si>
  <si>
    <t>S413</t>
  </si>
  <si>
    <t>6Z6XC</t>
  </si>
  <si>
    <t>WOS:000897916001183</t>
  </si>
  <si>
    <t>Kong, G; Anand, T; Ouellette, R; Lee, J; Murthy, D</t>
  </si>
  <si>
    <t>Kong, Grace; Anand, Tanvi; Ouellette, Rachel; Lee, Juhan; Murthy, Dhiraj</t>
  </si>
  <si>
    <t>Identifying Vape-Related Content on TikTok Using Automatic Clustering</t>
  </si>
  <si>
    <t>DRUG AND ALCOHOL DEPENDENCE</t>
  </si>
  <si>
    <t>85th Annual Scientific Meeting of the College-on-Problems-of-Drug-Dependence (CPDD)</t>
  </si>
  <si>
    <t>JUL 17-21, 2023</t>
  </si>
  <si>
    <t>Coll Problems Drug Dependence</t>
  </si>
  <si>
    <t>[Kong, Grace; Ouellette, Rachel; Lee, Juhan] Yale Univ, Sch Med, New Haven, CT USA; [Anand, Tanvi] Univ Texas Austin, Cockrell Sch Engn, Austin, TX USA; [Murthy, Dhiraj] Univ Texas Austin, Sch Journalism &amp; Media, Austin, TX USA</t>
  </si>
  <si>
    <t>Yale University; University of Texas System; University of Texas Austin; University of Texas System; University of Texas Austin</t>
  </si>
  <si>
    <t>[R01DA049878]</t>
  </si>
  <si>
    <t>R01DA049878</t>
  </si>
  <si>
    <t>ELSEVIER IRELAND LTD</t>
  </si>
  <si>
    <t>CLARE</t>
  </si>
  <si>
    <t>ELSEVIER HOUSE, BROOKVALE PLAZA, EAST PARK SHANNON, CO, CLARE, 00000, IRELAND</t>
  </si>
  <si>
    <t>0376-8716</t>
  </si>
  <si>
    <t>1879-0046</t>
  </si>
  <si>
    <t>DRUG ALCOHOL DEPEN</t>
  </si>
  <si>
    <t>Drug Alcohol Depend.</t>
  </si>
  <si>
    <t>JUL 1</t>
  </si>
  <si>
    <t>M86</t>
  </si>
  <si>
    <t>10.1016/j.drugalcdep.2023.110366</t>
  </si>
  <si>
    <t>Substance Abuse; Psychiatry</t>
  </si>
  <si>
    <t>A2D5W</t>
  </si>
  <si>
    <t>WOS:001280690400392</t>
  </si>
  <si>
    <t>Salka, B; Almsaddi, F; Kaakarli, H; Aljamal, M; Hasan, S; Nesi, L; Lim, K</t>
  </si>
  <si>
    <t>Salka, Bassel; Almsaddi, Firas; Kaakarli, Hamza; Aljamal, Malik; Hasan, Sazid; Nesi, Lauren; Lim, Kenneth</t>
  </si>
  <si>
    <t>TIKTOK AS AN EDUCATION TOOL FOR KIDNEY STONE PREVENTION</t>
  </si>
  <si>
    <t>MP10-14</t>
  </si>
  <si>
    <t>E119</t>
  </si>
  <si>
    <t>E120</t>
  </si>
  <si>
    <t>WOS:000994549500235</t>
  </si>
  <si>
    <t>Oulee, A; Ivanic, M; Norden, A; Javadi, SS; Wu, JJ</t>
  </si>
  <si>
    <t>Oulee, Aislyn; Ivanic, Mirjana; Norden, Alexandra; Javadi, Sogol S.; Wu, Jashin J.</t>
  </si>
  <si>
    <t>Atopic dermatitis on TikTok™: a cross-sectional study</t>
  </si>
  <si>
    <t>[Oulee, Aislyn] Univ Calif Riverside, Sch Med, Riverside, CA 92521 USA; [Ivanic, Mirjana] Meharry Med Coll, Sch Med, Nashville, TN 37208 USA; [Norden, Alexandra] Donald &amp; Barbara Zucker Sch Med Hofstra Northwell, Dept Dermatol, New Hyde Pk, NY USA; [Javadi, Sogol S.] Univ Calif Los Angeles, David Geffen Sch Med, Los Angeles, CA 90095 USA; [Wu, Jashin J.] Univ Miami, Sch Med, Dept Dermatol, Miami, FL 33152 USA</t>
  </si>
  <si>
    <t>University of California System; University of California Riverside; Meharry Medical College; Northwell Health; University of California System; University of California Los Angeles; University of California Los Angeles Medical Center; David Geffen School of Medicine at UCLA; University of Miami</t>
  </si>
  <si>
    <t>Wu, JJ (corresponding author), Univ Miami, Sch Med, Dept Dermatol, Miami, FL 33152 USA.</t>
  </si>
  <si>
    <t>jashinwu@hotmail.com</t>
  </si>
  <si>
    <t>Oulee, Aislyn/0000-0003-1300-9840</t>
  </si>
  <si>
    <t>10.1111/ced.15322</t>
  </si>
  <si>
    <t>5L8WJ</t>
  </si>
  <si>
    <t>WOS:000839559600001</t>
  </si>
  <si>
    <t>Robertson, TS</t>
  </si>
  <si>
    <t>Robertson, Thomas S.</t>
  </si>
  <si>
    <t>Selling on TikTok and Taobao The growing power of online video platforms</t>
  </si>
  <si>
    <t>HARVARD BUSINESS REVIEW</t>
  </si>
  <si>
    <t>[Robertson, Thomas S.] Univ Penn Wharton Sch, Mkt, Philadelphia, PA 19104 USA; [Robertson, Thomas S.] Univ Penn Wharton Sch, Jay H Baker Retailing Ctr, Philadelphia, PA 19104 USA</t>
  </si>
  <si>
    <t>University of Pennsylvania; University of Pennsylvania</t>
  </si>
  <si>
    <t>Robertson, TS (corresponding author), Univ Penn Wharton Sch, Mkt, Philadelphia, PA 19104 USA.;Robertson, TS (corresponding author), Univ Penn Wharton Sch, Jay H Baker Retailing Ctr, Philadelphia, PA 19104 USA.</t>
  </si>
  <si>
    <t>HARVARD BUSINESS SCHOOL PUBLISHING CORPORATION</t>
  </si>
  <si>
    <t>WATERTOWN</t>
  </si>
  <si>
    <t>300 NORTH BEACON STREET, WATERTOWN, MA 02472 USA</t>
  </si>
  <si>
    <t>0017-8012</t>
  </si>
  <si>
    <t>HARVARD BUS REV</t>
  </si>
  <si>
    <t>Harv. Bus. Rev.</t>
  </si>
  <si>
    <t>9-10</t>
  </si>
  <si>
    <t>3W8UE</t>
  </si>
  <si>
    <t>WOS:000842623000017</t>
  </si>
  <si>
    <t>Peipert, BJ; Wu, J; Taylor-Cho, IA; Lunn, SJ; Swartz, JJ; Acharya, K</t>
  </si>
  <si>
    <t>Peipert, Benjamin J.; Wu, Jenny; Taylor-Cho, Ian A.; Lunn, Siera J.; Swartz, Jonas J.; Acharya, Kelly</t>
  </si>
  <si>
    <t>THE #IVF JOURNEY: CONTENT ANALYSIS OF IN-VITRO-FERTILIZATION VIDEOS ON TIKTOK.</t>
  </si>
  <si>
    <t>[Peipert, Benjamin J.; Wu, Jenny; Taylor-Cho, Ian A.; Lunn, Siera J.; Swartz, Jonas J.; Acharya, Kelly] Duke Univ, Sch Med, Dept Obstet &amp; Gynecol, Durham, NC USA</t>
  </si>
  <si>
    <t>Duke University</t>
  </si>
  <si>
    <t>Eunice Kennedy Shriver National Institute of Child Health and Human Development (NICHD) of the National Institutes of Health (NIH) [K12HD103083]</t>
  </si>
  <si>
    <t>Eunice Kennedy Shriver National Institute of Child Health and Human Development (NICHD) of the National Institutes of Health (NIH)(United States Department of Health &amp; Human ServicesNational Institutes of Health (NIH) - USANIH Eunice Kennedy Shriver National Institute of Child Health &amp; Human Development (NICHD))</t>
  </si>
  <si>
    <t>JJS is supported by the Eunice Kennedy Shriver National Institute of Child Health and Human Development (NICHD) of the National Institutes of Health (NIH) under award K12HD103083. This manuscript is solely the responsibility of the authors and does not necessarily represent the official views of the NIH.</t>
  </si>
  <si>
    <t>P18</t>
  </si>
  <si>
    <t>E18</t>
  </si>
  <si>
    <t>E19</t>
  </si>
  <si>
    <t>N7CZ8</t>
  </si>
  <si>
    <t>WOS:001038561400029</t>
  </si>
  <si>
    <t>Fulton, J; Chalif, J; Morton, M; Chambers, L</t>
  </si>
  <si>
    <t>Fulton, Jessica; Chalif, Julia; Morton, Molly; Chambers, Laura</t>
  </si>
  <si>
    <t>Pain Management in Outpatient Gynecologic Procedures: An Exploration of #Colposcopy on TikTok</t>
  </si>
  <si>
    <t>[Fulton, Jessica] James Canc Hosp &amp; Solove Res Inst, Div Gynecol Oncol, Columbus, OH USA</t>
  </si>
  <si>
    <t>University System of Ohio; Ohio State University; James Cancer Hospital &amp; Solove Research Institute</t>
  </si>
  <si>
    <t>71S</t>
  </si>
  <si>
    <t>10.1097/01.AOG.0001013932.79033.06</t>
  </si>
  <si>
    <t>WOS:001258908200076</t>
  </si>
  <si>
    <t>Kalifa, N; Beil, J; Tesema, F; Watkins, SE</t>
  </si>
  <si>
    <t>Kalifa, N.; Beil, J.; Tesema, F.; Watkins, S. E.</t>
  </si>
  <si>
    <t>AS SEEN ON TIKTOK: PERCEPTIONS AND UNDERSTANDINGS OF HORMONAL CONTRACEPTIVES ON SOCIAL MEDIA</t>
  </si>
  <si>
    <t>[Kalifa, N.; Beil, J.; Tesema, F.] Med Coll Georgia, AU UGA Med Partnership, Athens, GA USA; [Watkins, S. E.] George Washington Sch Med &amp; Hlth Sci, Athens, GA USA</t>
  </si>
  <si>
    <t>JUN 17</t>
  </si>
  <si>
    <t>_5</t>
  </si>
  <si>
    <t>qdae054103</t>
  </si>
  <si>
    <t>10.1093/jsxmed/qdae054.103</t>
  </si>
  <si>
    <t>UP5F7</t>
  </si>
  <si>
    <t>WOS:001249267800028</t>
  </si>
  <si>
    <t>Avdeeff, MK</t>
  </si>
  <si>
    <t>Avdeeff, Melissa K.</t>
  </si>
  <si>
    <t>TikTok, Twitter, and Platform-Specific Technocultural Discourse in Response to Taylor Swift's LGBTQ plus Allyship in 'You Need to Calm Down'</t>
  </si>
  <si>
    <t>CONTEMPORARY MUSIC REVIEW</t>
  </si>
  <si>
    <t>Twitter; TikTok; CTDA; LGBTQ plus; Reception</t>
  </si>
  <si>
    <t>PERSPECTIVE; PEOPLE; FANDOM</t>
  </si>
  <si>
    <t>For most of her career thus far, Taylor Swift's cultural outputs have remained apolitical, often addressing heteronormative notions of romance, young adult life, and heartbreak. In 2019, Swift broke her politicised silence with 'You Need to Calm Down', a track which self-proclaims the artist as an ally to LGBTQ+ communities through her co-option of language historically used to silence marginalised voices, and the inclusion of LGBTQ+-identified celebrities in the accompanying music video. Through a critical technocultural discourse analysis (CTDA) approach, and incorporating digital ethnography, this article examines and compares the multimodal response to 'You Need to Calm Down' on TikTok and Twitter. CTDA multimodal analysis is utilised as a method to ascertain both the cultural situatedness of the track, its reception through digital spaces, and also how that reception is connected to the conventions of each platform. Through an analysis of over 20,000 tweets utilising the #YouNeedToCalmDown hashtag, and over 100 TikTok videos based on the track, I examine platform-specific discourse: the de-politicised mimetic creativity of TikTok in comparison to the more hegemonic interpretations found on Twitter. Discussion is organised around three themes of response to 'You Need to Calm Down': online communities and ambient affiliations, performative allyship, and cancel culture.</t>
  </si>
  <si>
    <t>[Avdeeff, Melissa K.] Coventry Univ, Sch Media &amp; Performing Arts, Coventry, W Midlands, England</t>
  </si>
  <si>
    <t>Coventry University</t>
  </si>
  <si>
    <t>Avdeeff, MK (corresponding author), Coventry Univ, Sch Media &amp; Performing Arts, Coventry, W Midlands, England.</t>
  </si>
  <si>
    <t>Avdeeff, Melissa/IUM-1399-2023</t>
  </si>
  <si>
    <t>Avdeeff, Melissa/0000-0003-2474-6053</t>
  </si>
  <si>
    <t>0749-4467</t>
  </si>
  <si>
    <t>1477-2256</t>
  </si>
  <si>
    <t>CONTEMP MUSIC REV</t>
  </si>
  <si>
    <t>Contemp. Music Rev.</t>
  </si>
  <si>
    <t>10.1080/07494467.2021.1945225</t>
  </si>
  <si>
    <t>WA0CA</t>
  </si>
  <si>
    <t>WOS:000673164100001</t>
  </si>
  <si>
    <t>García-Prieto, V; Bonilla-del-Rio, M; Figuereo-Benítez, JC</t>
  </si>
  <si>
    <t>Garcia-Prieto, Victoria; Bonilla-del-Rio, Monica; Figuereo-Benitez, Juan C.</t>
  </si>
  <si>
    <t>Disability, hate speech and social media: video replies to haters on TikTok</t>
  </si>
  <si>
    <t>Disability; Ableism; Social media; TikTok; Internet; Hate speech; Haters</t>
  </si>
  <si>
    <t>INSTAGRAM</t>
  </si>
  <si>
    <t>Introduction: In recent years, the spread of hate speech through social media has grown to become an increasingly worrisome problem in our societies. This study focuses on hate speech against people with disabilities. The objective is to analyze their video replies to haters on TikTok, considering aspects such as content, reach, interaction, engagement, tone and intentionality of the response itself. As well as to delve into the perspective of the authors of the video replies regarding hate speech and their stance towards this phenomenon. Methodology: The study includes a mixed methodology, consisting of content analysis of 64 TikTok video replies posted by users with disabilities in response to hate messages received on this social network, and 14 structured interviews to users among the profiles that integrate the sample. Results: The results reflect how, in addition to the negative comments, insults, belittling or mockery received by other groups, other content such as ableism or denial of disability is added. Conclusions y discussion: The findings agree that the expansion of hate speech is greater on TikTok and point to causes such as the age of the users of this social network, the algorithm operation or the anonymity allowed by the social media. Ways to reduce hate speech in social networks are explored, focusing on the legal framework, education and mental</t>
  </si>
  <si>
    <t>[Garcia-Prieto, Victoria] Univ Seville, Seville, Spain; [Bonilla-del-Rio, Monica] Univ Europea Atlantico, Grad Periodismo Comunicac Audiovisual Publicidad &amp;, Santander, Spain; [Figuereo-Benitez, Juan C.] Univ Seville, Dept Periodismo 2, Seville, Spain</t>
  </si>
  <si>
    <t>University of Sevilla; University of Sevilla</t>
  </si>
  <si>
    <t>García-Prieto, V (corresponding author), Univ Seville, Seville, Spain.</t>
  </si>
  <si>
    <t>vgarcia8@us.es; monica.bonilla@uneatlantico.es; figuereo@us.es</t>
  </si>
  <si>
    <t>Figuereo-Benítez, Juan/HDM-9072-2022</t>
  </si>
  <si>
    <t>10.4185/RLCS-2024-2258</t>
  </si>
  <si>
    <t>IQ7J2</t>
  </si>
  <si>
    <t>WOS:001167856600001</t>
  </si>
  <si>
    <t>PSYCHOEDUCATION: ALL ABOUT TIKTOK, SNAPCHAT, AND INSTAGRAM, AND HOW PSYCHIATRISTS LEVERAGE SOCIAL MEDIA FOR PUBLIC HEALTH</t>
  </si>
  <si>
    <t>[Sood, Ashvin] Washington Intervent Psychiat, Washington, DC USA</t>
  </si>
  <si>
    <t>S131</t>
  </si>
  <si>
    <t>S132</t>
  </si>
  <si>
    <t>10.1016/j.jaac.2022.07.521</t>
  </si>
  <si>
    <t>WOS:000873567900445</t>
  </si>
  <si>
    <t>Cordero, DA Jr</t>
  </si>
  <si>
    <t>Cordero Jr, Dalmacito A.</t>
  </si>
  <si>
    <t>Exploring TikTok to increase one's health literacy: the Philippine experience</t>
  </si>
  <si>
    <t>POSTGRADUATE MEDICAL JOURNAL</t>
  </si>
  <si>
    <t>[Cordero Jr, Dalmacito A.] De La Salle Univ, Dept Theol &amp; Religious Educ, 2401 Taft Ave, Manila 1004, Philippines</t>
  </si>
  <si>
    <t>De La Salle University</t>
  </si>
  <si>
    <t>Cordero, DA Jr (corresponding author), De La Salle Univ, Dept Theol &amp; Religious Educ, 2401 Taft Ave, Manila 1004, Philippines.</t>
  </si>
  <si>
    <t>dalmacito.cordero@dlsu.edu.ph</t>
  </si>
  <si>
    <t>Cordero Jr, Dalmacito/AAG-7967-2019</t>
  </si>
  <si>
    <t>Cordero Jr., Dalmacito/0000-0001-8062-1242</t>
  </si>
  <si>
    <t>0032-5473</t>
  </si>
  <si>
    <t>1469-0756</t>
  </si>
  <si>
    <t>POSTGRAD MED J</t>
  </si>
  <si>
    <t>Postgrad. Med. J.</t>
  </si>
  <si>
    <t>10.1093/postmj/qgae044</t>
  </si>
  <si>
    <t>G6J2T</t>
  </si>
  <si>
    <t>WOS:001198349900001</t>
  </si>
  <si>
    <t>Scrolling TikTok to Soothe and Foster Self-Care During the COVID-19 Pandemic</t>
  </si>
  <si>
    <t>TikTok scrolling; algorithms; algorithmic coping; politics of self-care; the COVID-19 pandemic; mental well-being; distraction</t>
  </si>
  <si>
    <t>The coronavirus pandemic reinforced the burden of self-care, which was imperative to maintaining positivity and controlling discontent amid uncertainty. Burdened with caring for themselves in the absence of psychological support covered by social health care, individuals resorted to scrolling through algorithm-ridden social media feeds to contain their stress and anxiety. Drawing on qualitative interviews with 36 individuals, this research explores the extent to which TikTok scrolling, which users would normally consider a waste of time, became a modality of fostering mental well-being and self-care in Turkey during the COVID-19 pandemic. The study initially positions the coronavirus pandemic as a situation that compelled individuals to wait amid uncertainty. The argument weaves anthropological approaches to waiting, critical approaches to self-care, and research on continuous connection to argue distinctive waiting experiences generated different meanings ascribed to TikTok scrolling. The findings center on resorting to algorithmic coping in self-care pursuits and perceiving TikTok scrolling as conducive to gaining practical knowledge, sociality, and physical activity. These understandings are indebted to the pressures of containing discomfort under the uncertainty of the pandemic, which rendered TikTok scrolling useful and meaningful, reducing the guilt attached to the practice. Moreover, the efficacy of algorithms in detaching users from toxic content or delivering useful content constituted a healthy way of engaging with the platform. Both the perception of healthy usage and receiving algorithmic content as contributive to mental well-being marked a shift from wasting time on social media to making time for oneself.</t>
  </si>
  <si>
    <t>[Sot, Irem] Univ Antwerp, Film Studies &amp; Visual Culture Program, Antwerp, Belgium; [Sot, Irem] Koc Univ, Design Technol &amp; Soc Program, Istanbul, Turkiye; [Sot, Irem] Koc Univ, Rumelifeneri Kampusu,Rumelifeneri Yolu, TR-34450 Istanbul, Turkiye</t>
  </si>
  <si>
    <t>University of Antwerp; Koc University; Koc University</t>
  </si>
  <si>
    <t>Sot, I (corresponding author), Koc Univ, Rumelifeneri Kampusu,Rumelifeneri Yolu, TR-34450 Istanbul, Turkiye.</t>
  </si>
  <si>
    <t>10.1177/20563051231213542</t>
  </si>
  <si>
    <t>Z1XE6</t>
  </si>
  <si>
    <t>WOS:001110072200001</t>
  </si>
  <si>
    <t>Pandher, M; Veliky, J; Fastenau, J; Pedrosa, GF; Nguyen, A; Sadeghi-Nejad, H</t>
  </si>
  <si>
    <t>Pandher, M.; Veliky, J.; Fastenau, J.; Pedrosa, G. Fernandez; Nguyen, A.; Sadeghi-Nejad, H.</t>
  </si>
  <si>
    <t>TIKTOK'S MISINFORMATION ABOUT COVID-19 INFECTIONS AND VACCINATIONS ON MALE FERTILITY</t>
  </si>
  <si>
    <t>[Pandher, M.; Veliky, J.; Fastenau, J.; Pedrosa, G. Fernandez; Nguyen, A.; Sadeghi-Nejad, H.] Univ Med &amp; Dent New Jersey, Newark, NJ USA</t>
  </si>
  <si>
    <t>qdad060.303</t>
  </si>
  <si>
    <t>WOS:001052285000304</t>
  </si>
  <si>
    <t>Rehman, R; Hasan, S; Akram, H; Jahnke, M</t>
  </si>
  <si>
    <t>Rehman, Rafey; Hasan, Sazid; Akram, Hassan; Jahnke, Marla</t>
  </si>
  <si>
    <t>TikTok as a Source of Dermatologic Information on Atopic Dermatitis</t>
  </si>
  <si>
    <t>GUIDELINES; MANAGEMENT; CARE</t>
  </si>
  <si>
    <t>[Rehman, Rafey] Oakland Univ, William Beaumont Sch Med, Rochester, MI 48309 USA; [Hasan, Sazid; Akram, Hassan] Oakland Univ, William Beaumont Sch Med, Rochester, MI USA; [Jahnke, Marla] Henry Ford Hlth Syst, Dept Dermatol, Detroit, MI USA</t>
  </si>
  <si>
    <t>Oakland University; Oakland University; Henry Ford Health System; Henry Ford Hospital</t>
  </si>
  <si>
    <t>rrehman@oakland.edu; sazhasan01@gmail.com; hakram@oakland.edu; mjahnke1@hfhs.org</t>
  </si>
  <si>
    <t>6S</t>
  </si>
  <si>
    <t>S133</t>
  </si>
  <si>
    <t>S134</t>
  </si>
  <si>
    <t>10.1097/DER.0000000000000830</t>
  </si>
  <si>
    <t>6R3UD</t>
  </si>
  <si>
    <t>WOS:000892231500019</t>
  </si>
  <si>
    <t>Einsle, CS; García-Fernández, J; Izquierdo, GE</t>
  </si>
  <si>
    <t>Einsle, Carmen Sarah; Garcia-Fernandez, Jeronimo; Escalera Izquierdo, Gregorio</t>
  </si>
  <si>
    <t>TikTok video formats' impact on user interaction - evidence from the Ocean Race</t>
  </si>
  <si>
    <t>MANAGING SPORT AND LEISURE</t>
  </si>
  <si>
    <t>Sport event; sports tourism; social media; online marketing; sailing; engagement</t>
  </si>
  <si>
    <t>SOCIAL MEDIA; COMMUNICATION; EVENT; SATISFACTION; INFORMATION</t>
  </si>
  <si>
    <t>Purpose/Rationale: As little research is done about TikTok in the field of sport events, the aim of this study is the analysis of video format characteristics and their influence on user interaction. Design/Methodology/Approach: A content analysis of the posted videos of the Ocean Race on TikTok was conducted. For the analysis, descriptive statistics, as well as hypothesis testing, were done. Findings: The findings revealed more likes for shorter videos and less user interaction for a low hashtag category. Using emojis showed a positive influence on shares. Videos without texts showed higher mean ranks for likes, shares, and views. Videos containing spoken language and music showed higher mean ranks for favourites than those containing only spoken language. Practical implications: Social media marketers of sport events can be guided by this study in the decision-making about video characteristics of event-related brand posts. Research contribution: The study's findings contribute to the literature on social media marketing on modern social media within sport events by exploring TikTok video characteristics and their influence on user interaction. Originality/Value: The study gives deeper insight into the characteristics of TikTok, which is gaining prominence in all sectors and where still a research gap can be found among sport events. [GRAPHICS] .</t>
  </si>
  <si>
    <t>[Einsle, Carmen Sarah; Escalera Izquierdo, Gregorio] Natl Distance Educ Univ UNED, Dept Econ &amp; Business Sci, Madrid, Spain; [Garcia-Fernandez, Jeronimo] Univ Seville, Dept Phys Educ &amp; Sport, Seville, Spain; [Einsle, Carmen Sarah] Natl Distance Educ Univ UNED, Dept Econ &amp; Business Sci, Senda Rey P, P Senda Del Rey 11, Madrid 28040, Spain</t>
  </si>
  <si>
    <t>Universidad Nacional de Educacion a Distancia (UNED); University of Sevilla; Universidad Nacional de Educacion a Distancia (UNED)</t>
  </si>
  <si>
    <t>Einsle, CS (corresponding author), Natl Distance Educ Univ UNED, Dept Econ &amp; Business Sci, Senda Rey P, P Senda Del Rey 11, Madrid 28040, Spain.</t>
  </si>
  <si>
    <t>ceinsle1@alumno.uned.es</t>
  </si>
  <si>
    <t>Einsle, Carmen Sarah/JFS-2560-2023; García-Fernández, Jerónimo/ACZ-1763-2022; Garcia-Fernandez, Jeronimo/V-4709-2018</t>
  </si>
  <si>
    <t>Garcia-Fernandez, Jeronimo/0000-0001-6574-9758; Einsle, Carmen Sarah/0000-0002-9829-7193</t>
  </si>
  <si>
    <t>2375-0472</t>
  </si>
  <si>
    <t>2375-0480</t>
  </si>
  <si>
    <t>MANAG SPORT LEIS</t>
  </si>
  <si>
    <t>Manag. Sport Leis.</t>
  </si>
  <si>
    <t>2024 MAR 12</t>
  </si>
  <si>
    <t>10.1080/23750472.2024.2327506</t>
  </si>
  <si>
    <t>KO2L1</t>
  </si>
  <si>
    <t>WOS:001180840400001</t>
  </si>
  <si>
    <t>Micaletto-Belda, JP; Morejón-Llamas, N; Martín-Ramallal, P</t>
  </si>
  <si>
    <t>Micaletto-Belda, Juan-Pablo; Morejon-Llamas, Noemi; Martin-Ramallal, Pablo</t>
  </si>
  <si>
    <t>The Role of TikTok as an Educational Platform: Analysis of User Perceptions on Scientific Content</t>
  </si>
  <si>
    <t>TikTok; social media; science; gender gap; branches of knowledge</t>
  </si>
  <si>
    <t>GENDER</t>
  </si>
  <si>
    <t>This research focuses on observing, describing, and evaluating science-related content transmitted on TikTok. In addition, a study of perceptions is conducted to understand the opinions of members within this community regarding these publications. The objective is to determine the areas and disciplines of science that find a place within this ecosystem and the extent to which they are consumed. Using an inductive approach, a mixed methodology was developed, comprising an analysis sheet and a self-designed questionnaire. A total of 1,612 videos were analysed, and 497 individuals were surveyed. The results demonstrate that content related to Natural and Exact Sciences predominates in this ecosystem, followed by videos on Social Sciences, Health Sciences, Arts and Humanities, and Engineering and Architecture. Significant gender differences were detected regarding scientific production, with Physics, Biology, Chemistry, and Computer science having more dissemination among men. Women excel in Biology, Physics, Chemistry and Astronomy. The study of perceptions reveals that a relevant percentage of respondents are interested in scientific and technological subjects and consider TikTok as a useful tool for acquiring knowledge. However, doubts persist in respect of its reliability. In conclusion, TikTok has the potential to become a socially and culturally impactful learning tool. However, it remains an entertainment-focused platform where content lacking epistemological value emerges.</t>
  </si>
  <si>
    <t>[Micaletto-Belda, Juan-Pablo; Martin-Ramallal, Pablo] Ctr Univ San Isidoro, Seville, Spain; [Morejon-Llamas, Noemi] Univ Loyola Andalucia, Seville, Spain</t>
  </si>
  <si>
    <t>Micaletto-Belda, JP (corresponding author), Ctr Univ San Isidoro, Seville, Spain.</t>
  </si>
  <si>
    <t>jmicaletto@centrosanisidoro.es; nmorejon@uloyola.es; pmartin@centrosanisidoro.es</t>
  </si>
  <si>
    <t>10.14198/MEDCOM.25419</t>
  </si>
  <si>
    <t>WOS:001248434900007</t>
  </si>
  <si>
    <t>Sánchez-Castillo, S; Mercado-Sáez, MT</t>
  </si>
  <si>
    <t>Sanchez-Castillo, Sebastian; Mercado-Saez, Maria-Teresa</t>
  </si>
  <si>
    <t>I suffer from a serious rare disease: a challenge to sing and choreograph on TikTok</t>
  </si>
  <si>
    <t>Social networks; Social media; Social network analysis; TikTok; Health communication; Rare diseases; Disability; Content analysis; Image interpretation</t>
  </si>
  <si>
    <t>SOCIAL MEDIA; TWITTER USE; FACEBOOK; RELIABILITY; CARE; ERA</t>
  </si>
  <si>
    <t>Rare diseases are extremely severe, disabling pathologies. In total, 7% of the world's population suffers from a rare disease. To publicize their plight, people suffering from such diseases and their families have turned to Facebook, Twitter, and YouTube, among other social media platforms, as effective tools for sharing their problems, calling for greater investment in research and to cope with their day-to-day hardships. Symbols and representations defining rare diseases that have been established in the media and on social networking services have thus gained in prominence. This research asks what the emergence of the TikTok app, the second most downloaded in 2019 and the first in 2020, has meant for how these diseases are made visible. To answer this question, 2,750 TikTok posts with the 11 most popular hashtags related to rare diseases in six languages were analyzed between 1 January 2019 and 30 September 2020. The findings confirm that, against this highly personalized backdrop, the widespread use of TikTok is changing an already consolidated discourse of protest and fostering the creation of new codes with unpredictable results for the recognition and support needed by this marginalized community.</t>
  </si>
  <si>
    <t>[Sanchez-Castillo, Sebastian] Univ Valencia, Fac Filol Traducc &amp; Comunicac, Av Blasco Ibanez 32, Valencia 46010, Spain; [Mercado-Saez, Maria-Teresa] Univ Cardenal Herrera CEU, Fac Humanidades &amp; Ciencias Comunicac, Luis Vives 1, Alfara Del Patriarca 46115, Valencia, Spain</t>
  </si>
  <si>
    <t>University of Valencia; Universidad CEU Cardenal Herrera</t>
  </si>
  <si>
    <t>Sánchez-Castillo, S (corresponding author), Univ Valencia, Fac Filol Traducc &amp; Comunicac, Av Blasco Ibanez 32, Valencia 46010, Spain.</t>
  </si>
  <si>
    <t>sebastian.sanchez@uv.es; mmercado@uch.ceu.es</t>
  </si>
  <si>
    <t>Sanchez-Castillo, Sebastian/D-2568-2011</t>
  </si>
  <si>
    <t>Sanchez-Castillo, Sebastian/0000-0003-3751-6425</t>
  </si>
  <si>
    <t>e300414</t>
  </si>
  <si>
    <t>10.3145/epi.2021.jul.14</t>
  </si>
  <si>
    <t>WOS:000691799000012</t>
  </si>
  <si>
    <t>Subramanian, T; Araghi, K; Akosman, I; Tuma, O; Hassan, A; Lahooti, A; Pajak, A; Shahi, P; Merrill, R; Maayan, O; Sheha, E; Dowdell, J; Iyer, S; Qureshi, S</t>
  </si>
  <si>
    <t>Subramanian, Tejas; Araghi, Kasra; Akosman, Izzet; Tuma, Olivia; Hassan, Amier; Lahooti, Ali; Pajak, Anthony; Shahi, Pratyush; Merrill, Robert; Maayan, Omri; Sheha, Evan; Dowdell, James; Iyer, Sravisht; Qureshi, Sheeraz</t>
  </si>
  <si>
    <t>Quality of Spine Surgery Information on Social Media: A DISCERN Analysis of TikTok Videos</t>
  </si>
  <si>
    <t>NEUROSPINE</t>
  </si>
  <si>
    <t>Social media; TikTok; Spine surgery; Quality; DISCERN</t>
  </si>
  <si>
    <t>BILATERAL PERCUTANEOUS KYPHOPLASTY; OSTEOPOROTIC VERTEBRAL FRACTURES; SINGLE-BALLOON KYPHOPLASTY; BONE-CEMENT DISTRIBUTION; VOXEL-BASED ANALYSIS; CLINICAL-EFFICACY; RANDOMIZED-TRIAL; RISK-FACTORS; VERTEBROPLASTY; VOLUME</t>
  </si>
  <si>
    <t>Objective: The use of social media applications to disseminate information has substantially risen in recent decades. Spine and back pain-related hashtags have garnered several billion views on TikTok. As such, these videos, which share experiences, offer entertainment, and educate users about spinal surgery, have become increasingly influential. Herein, we assess the quality of spine surgery content TikTok from providers and patients.Methods: Fifty hashtags encompassing spine surgery (#spinalfusion, #scoliosissurgery, and #spinaldecompression) were searched using TikTok's algorithm and included. Two independent reviewers rated the quality of each video via the DISCERN questionnaire. Video metadata (likes, shares, comments, views, length) were all collected; type of content creator (musculoskeletal, layperson) and content category (educational, patient experience, entertainment) were determined.Results: The overall DISCERN score was, on average, 24.4. #Spinalfusion videos demonstrated greater engagement, higher average likes (p = 0.02), and more comments (p &lt; 0.001) compared to #spinaldecompression and #scoliosissurgery. #Spinaldecompression had the highest DISCERN score (p &lt; 0.001), likely explained by the higher percentage of videos that were educational (p &lt; 0.001) and created by musculoskeletal (MSK) professionals (p &lt; 0.001). Compared to laypersons, MSK professionals had significantly higher quality videos (p &lt; 0.001). Similarly, the educational category demonstrated higher quality videos (p &lt; 0.001). Video interaction trended lower with MSK videos and educational videos had the lowest interaction of the content categories (likes: p = 0.023, comments: p = 0.005).Conclusion: The quality of spine surgery videos on TikTok is low. As the influence of the new social media landscape governs how the average person consumes information, MSK providers should participate in disseminating high-quality content.</t>
  </si>
  <si>
    <t>[Subramanian, Tejas; Araghi, Kasra; Akosman, Izzet; Tuma, Olivia; Pajak, Anthony; Shahi, Pratyush; Maayan, Omri; Sheha, Evan; Dowdell, James; Iyer, Sravisht; Qureshi, Sheeraz] Hosp Special Surg, New York, NY USA; [Subramanian, Tejas; Akosman, Izzet; Hassan, Amier; Lahooti, Ali; Merrill, Robert; Maayan, Omri; Qureshi, Sheeraz] Weill Cornell Med Coll, New York, NY USA; [Qureshi, Sheeraz] Hosp Special Surg, Dept Spine Surg, 545 East 70th St, New York, NY 10021 USA</t>
  </si>
  <si>
    <t>Qureshi, S (corresponding author), Hosp Special Surg, Dept Spine Surg, 545 East 70th St, New York, NY 10021 USA.</t>
  </si>
  <si>
    <t>qureshis@hss.edu</t>
  </si>
  <si>
    <t>Maayan, Omri/0000-0002-2581-5447; Tuma, Olivia/0009-0008-0156-7152; Akosman, Izzet/0000-0002-1433-9078; Shahi, Pratyush/0000-0003-4903-9697; Lahooti, Ali/0000-0003-3708-2102; Subramanian, Tejas/0000-0003-0323-6716; Hassan, Amier/0009-0000-1460-4364</t>
  </si>
  <si>
    <t>KOREAN SPINAL NEUROSURGERY SOC</t>
  </si>
  <si>
    <t>SEOUL</t>
  </si>
  <si>
    <t>ND #407, DONG-A VILLATE 2 TOWN, 350, SEOCHO-DAERO, SEOCHO-GU, SEOUL, 06631, SOUTH KOREA</t>
  </si>
  <si>
    <t>2586-6583</t>
  </si>
  <si>
    <t>2586-6591</t>
  </si>
  <si>
    <t>Neurospine</t>
  </si>
  <si>
    <t>10.14245/ns.2346700.350</t>
  </si>
  <si>
    <t>EC5N8</t>
  </si>
  <si>
    <t>WOS:001136730100037</t>
  </si>
  <si>
    <t>Yarchi, M; Boxman-Shabtai, L</t>
  </si>
  <si>
    <t>Yarchi, Moran; Boxman-Shabtai, Lillian</t>
  </si>
  <si>
    <t>The Image War Moves to TikTok Evidence from the May 2021 Round of the Israeli-Palestinian Conflict</t>
  </si>
  <si>
    <t>DIGITAL JOURNALISM</t>
  </si>
  <si>
    <t>Image war; social media; TikTok; public diplomacy; civic diplomacy; the Israeli-Palestinian conflict</t>
  </si>
  <si>
    <t>NEWS MEDIA; ENGAGEMENT; MEMES</t>
  </si>
  <si>
    <t>The increasing mediatization of war makes battles over public image evermore prominent. Individual citizens, no longer mediated by traditional gatekeepers, engage in public diplomacy and citizen-journalism, communicating directly to the public. TikTok, a visual social media platform, was used extensively by Palestinians and Israelis to mobilize international support during the 2021 round of the Israeli-Palestinian conflict. This paper examines appeals that Israeli and Palestinian TikTok users made to international audiences by comparing 318 posts sampled from two rhetorically equivalent hashtags. A content analysis examining the strategies used, found that each side emphasized different themes (e.g., victimization on the Israeli side, personal narratives on the Palestinian side). Although pro-Israeli users were more strategic in their use of the platform's features, a multi-variate analysis of engagement found that pro-Palestinian activists were more successful in creating engagement. To further understand the complex and subtle meaning structures encoded into the posts, a subsample of 42 highly shared posts was probed qualitatively for its aesthetics and values, using a semiotic analysis. A first study to compare public diplomacy efforts on TikTok across parties, this paper contributes to knowledge about the ways citizens bear witness from warzones, use platform affordance for storytelling, and engage with the international community.</t>
  </si>
  <si>
    <t>[Yarchi, Moran] Reichman Univ, Sch Commun, Herzliyya, Israel; [Boxman-Shabtai, Lillian] Hebrew Univ Jerusalem, Dept Commun &amp; Journalism, Jerusalem, Israel</t>
  </si>
  <si>
    <t>Reichman University; Hebrew University of Jerusalem</t>
  </si>
  <si>
    <t>Yarchi, M (corresponding author), Reichman Univ, Sch Commun, Herzliyya, Israel.</t>
  </si>
  <si>
    <t>moran.yarchi@gmail.com</t>
  </si>
  <si>
    <t>Yarchi, Moran/H-6480-2015</t>
  </si>
  <si>
    <t>Boxman-Shabtai, Lillian/0000-0003-4893-6425</t>
  </si>
  <si>
    <t>2167-0811</t>
  </si>
  <si>
    <t>2167-082X</t>
  </si>
  <si>
    <t>DIGIT JOURNAL</t>
  </si>
  <si>
    <t>Digit. Journal.</t>
  </si>
  <si>
    <t>2023 DEC 6</t>
  </si>
  <si>
    <t>10.1080/21670811.2023.2291650</t>
  </si>
  <si>
    <t>CH1J6</t>
  </si>
  <si>
    <t>WOS:001124268100001</t>
  </si>
  <si>
    <t>Li, BY; Liu, M; Liu, J; Zhang, YX; Yang, WJ; Xie, LF</t>
  </si>
  <si>
    <t>Li, Bingyan; Liu, Min; Liu, Jia; Zhang, Yuxi; Yang, Wenjuan; Xie, Lunfang</t>
  </si>
  <si>
    <t>Quality assessment of health science-related short videos on TikTok: A scoping review</t>
  </si>
  <si>
    <t>INTERNATIONAL JOURNAL OF MEDICAL INFORMATICS</t>
  </si>
  <si>
    <t>Health science-related short videos; TikTok; Quality; Scoping review; E -health; Health information on the Web; Video-sharing sites</t>
  </si>
  <si>
    <t>INFORMATION; MISINFORMATION</t>
  </si>
  <si>
    <t>Objective: The aims of this review are to clarify the current state of research in terms of assessment tools and assessors of the quality of health science-related short videos on TikTok, to identify limitations in existing research; and to provide a reference for future studies. Methods: A scoping review was conducted. The Cochrane Library, PubMed, MEDLINE, Web of Science, Embase, Scopus, EBSCO, CNKI, VIP, Wanfang Data, and CBM databases were searched from September 2016 to November 2022. Manual searching was also performed to identify additional eligible studies. A total of 2620 documents were initially retrieved, and 29 were ultimately included. The literature was screened and collected, and data were extracted and summarized by 2 researchers. Results: (1) The quality evaluation tools used in the 29 papers included the DISCERN, PEMAT(A/V), GQS, JAMA, HONcode, guidelines and self-developed tools. Twenty-four of the included articles used the DISCERN for quality assessment, which was the most frequently used evaluation tool. However, most of these tools were not developed to assess health science-related short videos, lacked credibility tests, and had poor applicability; therefore, the accuracy of the evaluation results might be biased. (2) The assessors of the quality of health science-related short videos on TikTok were mainly experts in related fields and medical students, with doctors (12/14) being the most common evaluators. Fifteen studies did not report the identity of the evaluators, and 12 studies did not report interrater reliability. Conclusion: This scoping review found that there is a lack of specific quality assessment tools for health science- related short videos on TikTok. Second, the current quality assessors of health science-related short videos on TikTok are limited. Future research should focus on the development of reliable, scientific quality assessment tools for health science-related short videos; unifying the evaluation standards; inviting users with different backgrounds and different health literacy levels to conduct quality assessments; exploring the quality assessment of health science-related short videos on TikTok from different perspectives.</t>
  </si>
  <si>
    <t>[Li, Bingyan; Liu, Min; Liu, Jia; Zhang, Yuxi; Yang, Wenjuan; Xie, Lunfang] Anhui Med Univ, Dept Nursing, Hefei 230032, Peoples R China</t>
  </si>
  <si>
    <t>Xie, LF (corresponding author), Anhui Med Univ, Dept Nursing, Hefei 230032, Peoples R China.</t>
  </si>
  <si>
    <t>772231306@qq.com</t>
  </si>
  <si>
    <t>Li, Chaoqun/KIL-7588-2024; Zhang, Yuxi/IWU-4264-2023</t>
  </si>
  <si>
    <t>1386-5056</t>
  </si>
  <si>
    <t>1872-8243</t>
  </si>
  <si>
    <t>INT J MED INFORM</t>
  </si>
  <si>
    <t>Int. J. Med. Inform.</t>
  </si>
  <si>
    <t>10.1016/j.ijmedinf.2024.105426</t>
  </si>
  <si>
    <t>Computer Science, Information Systems; Health Care Sciences &amp; Services; Medical Informatics</t>
  </si>
  <si>
    <t>Computer Science; Health Care Sciences &amp; Services; Medical Informatics</t>
  </si>
  <si>
    <t>C6N8L</t>
  </si>
  <si>
    <t>WOS:001290527800001</t>
  </si>
  <si>
    <t>Hong, TI; Bernstein, SL; Ramirez, A; Gu, AL; Agarwal, AR; Lutton, DM; Tabaie, S</t>
  </si>
  <si>
    <t>Hong, Thomas I.; Bernstein, Sophie L.; Ramirez, Alejandra; Gu, Alex; Agarwal, Amil R.; Lutton, David M.; Tabaie, Sean</t>
  </si>
  <si>
    <t>Analysis of the Perception and Treatment of Osteoarthritis of the Knee Through Social Media: An Observational Study of the Top 100 Viral TikTok Videos</t>
  </si>
  <si>
    <t>patient education; knee treatment; video content analysis; evidence-based practice; orthopaedic guidelines; medical misinformation; social media; tiktok; osteoarthritis</t>
  </si>
  <si>
    <t>Background: TikTok is a popular platform that can be used for medical insights. However, spreading inaccurate information about diagnosing or treating medical conditions can undermine the quality of patient care. Our assessment focused on the discourse surrounding knee osteoarthritis on TikTok, with two primary objectives: 1) identifying the creators behind osteoarthritis-related content, and 2) examining whether a connection exists between the reach of video content and the strength of recommendations provided. Methods: The top 100 TikTok videos were chosen based on likes on March 29, 2023. Posts were identified using the hashtag (#Osteoarthritis). Videos were classified by the following: number of likes, comments, shares, date of upload, uploader (medical professional, non-medical professional, or business), and video content (medical treatment, home remedy, personal story). Treatments were rated according to the American Academy of Orthopaedic Surgeons (AAOS) Evidence-Based Clinical Practice Guideline for Osteoarthritis using the strength of evidence criteria (1-4 stars). Descriptive and univariate analyses were performed. Results: Among the top videos, 67.7% were uploaded by medical professionals. Private companies, despite having the highest average likes (29,681.2) and shares (1,367.5) per video, had a limited average evidence strength of 2.13. Physician-created videos had the second-highest average number of likes (25,440.1) and shares (1,224.5) per video with a strength of evidence of 3.03. Non-medical professional videos had the lowest evidence support (0.89). Medical treatments, the most liked and shared content, had the lowest evidence strength (1). There was no statistically significant correlation between the number of likes (p=0.808), comments (p=0.647), or shares (p=0.439) to the strength of evidence regarding the intervention. Discussion: TikTok can be unreliable for knee osteoarthritis treatment information. It is common to find non-physicians sharing medical advice on the platform, with medical treatments demonstrating the weakest level of supporting evidence. Orthopaedic surgeons should advise their patients that TikTok treatment recommendations may not align with established guidelines.</t>
  </si>
  <si>
    <t>[Hong, Thomas I.; Ramirez, Alejandra; Gu, Alex; Agarwal, Amil R.; Lutton, David M.] George Washington Univ, Sch Med &amp; Hlth Sci, Orthopaed Surg, Washington, DC USA; [Bernstein, Sophie L.] Univ Missouri Kansas City, Sch Med, Orthopaed Surg, Kansas City, MO USA; [Tabaie, Sean] Childrens Natl Hosp, Orthopaed Surg, Washington, DC 20010 USA</t>
  </si>
  <si>
    <t>George Washington University; University of Missouri System; University of Missouri Kansas City; Children's National Health System</t>
  </si>
  <si>
    <t>Tabaie, S (corresponding author), Childrens Natl Hosp, Orthopaed Surg, Washington, DC 20010 USA.</t>
  </si>
  <si>
    <t>tabaiesa@gmail.com</t>
  </si>
  <si>
    <t>AUG 11</t>
  </si>
  <si>
    <t>e48487</t>
  </si>
  <si>
    <t>10.7759/cureus.48487</t>
  </si>
  <si>
    <t>Z5MA1</t>
  </si>
  <si>
    <t>WOS:001112502300011</t>
  </si>
  <si>
    <t>Sandozi, A; Aibel, K; Tabakin, A; Choi, S; Lee, W; Tam, J</t>
  </si>
  <si>
    <t>Sandozi, Arshia; Aibel, Kelli; Tabakin, Alexandra; Choi, Sharon; Lee, Wai; Tam, Justina</t>
  </si>
  <si>
    <t>QUALITY OF OVERACTIVE BLADDER VIDEOS ON SOCIAL MEDIA: WHAT IS THE PUBLIC LEARNING FROM TIKTOK?</t>
  </si>
  <si>
    <t>[Aibel, Kelli] Donald &amp; Barbara Zucker Sch Med, Hofstra Northwell, Hempstead, NY USA; [Tabakin, Alexandra; Lee, Wai] Northwell Hlth, Div Female Pelv Med &amp; Reconstruct Surg, Great Neck, NY USA; [Choi, Sharon] Northwell Hlth, Smith Inst Urol, Lake Success, NY USA; [Tam, Justina] Stony Brook Univ Hosp, Dept Urol, Stony Brook, NY USA; [Sandozi, Arshia] Maimonides Hosp, Div Urol, Brooklyn, NY USA</t>
  </si>
  <si>
    <t>Northwell Health; Northwell Health; Northwell Health; State University of New York (SUNY) System; Stony Brook University; Stony Brook University Hospital; Maimonides Medical Center</t>
  </si>
  <si>
    <t>NM17</t>
  </si>
  <si>
    <t>S212</t>
  </si>
  <si>
    <t>S213</t>
  </si>
  <si>
    <t>O3RL0</t>
  </si>
  <si>
    <t>WOS:001043021100212</t>
  </si>
  <si>
    <t>Hasan, S; Ahlgren, CD; Lipphardt, M; Chrumka, A; Zaman, R; Khan, R; Waheed, M; Higginbotham, DO; Saleh, E; McCarty, SA</t>
  </si>
  <si>
    <t>Hasan, Sazid; Ahlgren, Conner D.; Lipphardt, Matthew; Chrumka, Alexandria; Zaman, Razeen; Khan, Ridwana; Waheed, Muhammad; Higginbotham, Devan O.; Saleh, Ehab; McCarty, Scott A.</t>
  </si>
  <si>
    <t>#lowbackpain on TikTok: A New Frontier for Orthopaedic Medical Education</t>
  </si>
  <si>
    <t>JOURNAL OF THE AMERICAN ACADEMY OF ORTHOPAEDIC SURGEONS GLOBAL RESEARCH AND REVIEWS</t>
  </si>
  <si>
    <t>SURGEONS</t>
  </si>
  <si>
    <t>Introduction: Low back pain has become a substantial health problem in all developed countries. Many healthcare professionals and content creators have begun sharing their treatment methods and opinions through social media, especially the video-based platform TikTok. TikTok has been downloaded more than 2.6 billion times with over a billion daily users. Its influence on public health makes it imperative that information be accurate and safe. This study aims to analyze TikTok's most popular content on lower back pain and how orthopaedic surgeons contribute on this growing platform. Objectives: To analyze TikTok's most popular content on lower back pain and how orthopaedic surgeons are and can contribute on this growing platform. Methods: A TikTok search conducted on April 22, 2023, using the terms '#lowerbackpain'and '#lowbackpainrelief,' resulted in numerous videos, 100 of which met inclusion criteria. Videos were included if they were related to the content, had more than 1000 views, were in English, and were not duplicates. Video characteristics were recorded and evaluated for quality by two reviewers using DISCERN. A two-sample t-test was used to assess differences. Results: Overall, the top videos on lower back pain had an average of 2,061,396 views, with a mean DISCERN score of 34. The mean total DISCERN score was 36 and 34 for physicians and nonphysicians, respectively, while the video by the orthopaedic surgeon (n = 1) scored 31. The most recommended treatments included at-home exercises (n = 75) and visiting a chiropractor (n = 4). Conclusion: We find that the information presented by nonphysicians offered quick, at-home fixes to medical problems without offering any research or proven data to support their claims. We cannot overlook Tiktok's immense influence in the realm of orthopaedic health as it has become a sphere of information dissemination and education. Thus, we suggest that there is not necessarily a need for a greater number of surgeons and/or resident physicians to involve themselves on the platform, but rather the involvement of governing bodies and spine societies to put out position statements for our patients.</t>
  </si>
  <si>
    <t>[Hasan, Sazid] William Beaumont Hosp, Royal Oak, MI 48073 USA; [Hasan, Sazid; Saleh, Ehab] Oakland Univ, William Beaumont Sch Med, Rochester, MI USA; [Ahlgren, Conner D.; Lipphardt, Matthew; Chrumka, Alexandria; Zaman, Razeen] Beaumont Hosp, Dept Orthopaed Surg, Royal Oak, MI USA; [Khan, Ridwana] Univ Michigan, Coll Literature Sci &amp; Arts, Ann Arbor, MI USA; [Waheed, Muhammad; Higginbotham, Devan O.; McCarty, Scott A.] Detroit Med Ctr, Dept Orthopaed Surg, Detroit, MI USA</t>
  </si>
  <si>
    <t>Beaumont Health; Oakland University; Beaumont Health; University of Michigan System; University of Michigan; Detroit Medical Center</t>
  </si>
  <si>
    <t>Hasan, S (corresponding author), William Beaumont Hosp, Royal Oak, MI 48073 USA.</t>
  </si>
  <si>
    <t>shasan2@oakland.edu; razeenz@umich.edu; ridwanak@umich.edu; ehabsaleh@hotmail.com</t>
  </si>
  <si>
    <t>Waheed, Muhammad/GLV-0803-2022</t>
  </si>
  <si>
    <t>Hasan, Sazid/0000-0003-2840-7876</t>
  </si>
  <si>
    <t>2474-7661</t>
  </si>
  <si>
    <t>JAAOS GLOB RES REV</t>
  </si>
  <si>
    <t>J. Am. Acad. Orthop. Surg. Glob. Res. Rev.</t>
  </si>
  <si>
    <t>e2300181</t>
  </si>
  <si>
    <t>10.5435/JAAOSGlobal-D-23-00181</t>
  </si>
  <si>
    <t>OJ3J4</t>
  </si>
  <si>
    <t>WOS:001206860800001</t>
  </si>
  <si>
    <t>Al-Duwairi, B; Shatnawi, AS; Jaradat, H; Al-Musa, A; Al-Awadat, H</t>
  </si>
  <si>
    <t>Varol, A; Karabatak, M; Varol, C</t>
  </si>
  <si>
    <t>Al-Duwairi, Basheer; Shatnawi, Ahmed S.; Jaradat, Hala; Al-Musa, Afnan; Al-Awadat, Hamzah</t>
  </si>
  <si>
    <t>On the Digital Forensics of Social Networking Web-based Applications</t>
  </si>
  <si>
    <t>2022 10TH INTERNATIONAL SYMPOSIUM ON DIGITAL FORENSICS AND SECURITY (ISDFS)</t>
  </si>
  <si>
    <t>10th International Symposium on Digital Forensics and Security (ISDFS)</t>
  </si>
  <si>
    <t>JUN 06-07, 2022</t>
  </si>
  <si>
    <t>Maltepe, TURKEY</t>
  </si>
  <si>
    <t>Maltepe Univ,Firat Univ,Sam Houston State Univ,Gazi Univ,San Diego State Univ,Arab Open Univ,Hacettepe Univ,Polytechn Inst Cavado &amp; Ave,Balikesir Univ,Ondokuz Mayis Univ,Assoc Software &amp; Cyber Secur Turkey,Informat Assoc Turkey,Singidunum Univ,TELUQ Univ,Osmangazi Univ,Univ Tennessee Chattanooga,Yildiz Teknik Univ,IEEE Soc,IEEE Turkey Sect</t>
  </si>
  <si>
    <t>Cybercrimes; Digital Forensics; Tiktok; Social Media</t>
  </si>
  <si>
    <t>BROWSER</t>
  </si>
  <si>
    <t>The popularity and increased adoption of social networking applications have opened Internet users' doors to conduct different malicious activities. This includes invasion of personal privacy, identity theft, blackmailing, harassment, bullying, fraud, etc. In this context, collecting evidence from social media applications offers invaluable information about users and their activities and interactions with each other. This paper illustrates the forensic procedure used to analyze and retrieve data from a web browser-based Tiktok application as one of the mainstream social networking applications. We mainly considered a scenario of logging into Tiktok from the Google Chrome web browser. The collected digital evidence includes essential information such as chat messages, shared links, uploaded videos, deleted videos, browsing history, etc.</t>
  </si>
  <si>
    <t>[Al-Duwairi, Basheer; Jaradat, Hala; Al-Musa, Afnan; Al-Awadat, Hamzah] Jordan Univ Sci &amp; Tech, Dept Network Eng &amp; Secur, Irbid, Jordan; [Shatnawi, Ahmed S.] Jordan Univ Sci &amp; Tech, Dept Software Eng, Irbid, Jordan</t>
  </si>
  <si>
    <t>Jordan University of Science &amp; Technology; Jordan University of Science &amp; Technology</t>
  </si>
  <si>
    <t>Al-Duwairi, B (corresponding author), Jordan Univ Sci &amp; Tech, Dept Network Eng &amp; Secur, Irbid, Jordan.</t>
  </si>
  <si>
    <t>basheer@just.edu.jo; ahmmedshatnawi@just.edu.jo; hmjaradat17@cit.just.edu.jo; amalmusa17@cit.just.edu.jo; hkalawadat17@cit.just.edu.jo</t>
  </si>
  <si>
    <t>Shatnawi, Ahmed/JPX-5927-2023</t>
  </si>
  <si>
    <t>978-1-6654-9796-1</t>
  </si>
  <si>
    <t>10.1109/ISDFS55398.2022.9800839</t>
  </si>
  <si>
    <t>Computer Science, Cybernetics; Computer Science, Information Systems</t>
  </si>
  <si>
    <t>BT8AE</t>
  </si>
  <si>
    <t>WOS:000852444000058</t>
  </si>
  <si>
    <t>From TikTok Territory to the Moon Landing: A Look at the Generations</t>
  </si>
  <si>
    <t>UROLOGIE</t>
  </si>
  <si>
    <t>2731-7064</t>
  </si>
  <si>
    <t>2731-7072</t>
  </si>
  <si>
    <t>Urologie</t>
  </si>
  <si>
    <t>C2H4A</t>
  </si>
  <si>
    <t>WOS:001287615500006</t>
  </si>
  <si>
    <t>United States Pursues Regulatory Actions Against TikTok and WeChat Over Data Security Concerns</t>
  </si>
  <si>
    <t>AMERICAN JOURNAL OF INTERNATIONAL LAW</t>
  </si>
  <si>
    <t>0002-9300</t>
  </si>
  <si>
    <t>2161-7953</t>
  </si>
  <si>
    <t>AM J INT LAW</t>
  </si>
  <si>
    <t>Am. J. Int. Law</t>
  </si>
  <si>
    <t>10.1017/ajil.2020.98</t>
  </si>
  <si>
    <t>International Relations; Law</t>
  </si>
  <si>
    <t>PS3KZ</t>
  </si>
  <si>
    <t>WOS:000607825900011</t>
  </si>
  <si>
    <t>Hauc, SC; Mehrzad, R; Rivera, JC; Hanrahan, GB; de Baun, HM; Cruz, CA; Woo, AS</t>
  </si>
  <si>
    <t>Hauc, Sacha C.; Mehrzad, Raman; Rivera, Jean C.; Hanrahan, Grace B.; de Baun, Heloise M.; Cruz, Claudia A.; Woo, Albert S.</t>
  </si>
  <si>
    <t>Assessing the Reliability of Facial Feminization Content on Social Media and Its Impact on the Dissemination of Misinformation</t>
  </si>
  <si>
    <t>ANNALS OF PLASTIC SURGERY</t>
  </si>
  <si>
    <t>gender-affirming surgery; social media; trans-health</t>
  </si>
  <si>
    <t>SURGERY</t>
  </si>
  <si>
    <t>BackgroundThe surge in social media usage has transformed the dissemination and consumption of healthcare information, notably impacting plastic surgery and cosmetic specialties. This study focuses on the influence of social media, particularly Instagram and TikTok, in shaping perceptions of individuals seeking facial feminization (FF) procedures.MethodsUsing the validated DISCERN scale, we assessed the reliability and accuracy of FF content on TikTok and Instagram. The study also analyzed the relationship between content reliability on engagement metrics (likes, comments, views) and the type of content shared (educational, testimonial, promotional).ResultsThe analysis encompassed 225 TikTok videos and 75 Instagram posts. TikTok content showed 9.33% as very poor, 66.2% as poor, 22.6% as fair, and only 1.33% as excellent. Similarly, Instagram content demonstrated 14.67% as very poor and 69.33% as poor, with no content rated as good or excellent. Educational content received higher reliability scores on both platforms. TikTok engagement metrics showed lower reliability ratings correlating with more views, comments, and likes.ConclusionThe study underscores the critical role of social media in shaping patient perspectives on FF procedures. The prevalence of inaccurate information necessitates a focus on responsible engagement by healthcare professionals, aiming to provide accurate, educational content that aligns with patients' informational needs and ultimately enhances surgical outcomes.</t>
  </si>
  <si>
    <t>[Hauc, Sacha C.; Rivera, Jean C.; Hanrahan, Grace B.; de Baun, Heloise M.; Cruz, Claudia A.] Yale Sch Med, Div Plast Surg, New Haven, CT USA; [Mehrzad, Raman; Woo, Albert S.] Brown Univ, Div Plast Surg, Warren Alpert Med Sch, Providence, RI USA; [Mehrzad, Raman] Brown Univ, Warren Alpert Med Sch, Brown Sch Med, Dept Surg ,Sect Plast &amp; Reconstruct Surg, Providence, RI 02860 USA</t>
  </si>
  <si>
    <t>Yale University; Brown University; Brown University</t>
  </si>
  <si>
    <t>Mehrzad, R (corresponding author), Brown Univ, Warren Alpert Med Sch, Brown Sch Med, Dept Surg ,Sect Plast &amp; Reconstruct Surg, Providence, RI 02860 USA.</t>
  </si>
  <si>
    <t>sacha.hauc@yale.edu; raman.mehrzad@gmail.com; jeancarlo.rivera@outlook.com; grace.hanrahan@umassmed.edu; Heloise.debaun@stonybrookmedicine.edu; cac14h@med.fsu.edu; albertswoo@gmail.com</t>
  </si>
  <si>
    <t>0148-7043</t>
  </si>
  <si>
    <t>1536-3708</t>
  </si>
  <si>
    <t>ANN PLAS SURG</t>
  </si>
  <si>
    <t>Ann. Plast. Surg.</t>
  </si>
  <si>
    <t>10.1097/SAP.0000000000003912</t>
  </si>
  <si>
    <t>TG5Q8</t>
  </si>
  <si>
    <t>WOS:001240130600007</t>
  </si>
  <si>
    <t>Graham, S; Huffer, D; Simons, J</t>
  </si>
  <si>
    <t>Graham, Shawn; Huffer, Damien; Simons, Jaime</t>
  </si>
  <si>
    <t>When TikTok Discovered the Human Remains Trade: A Case Study</t>
  </si>
  <si>
    <t>OPEN ARCHAEOLOGY</t>
  </si>
  <si>
    <t>human remains; social media; network analysis; computer vision</t>
  </si>
  <si>
    <t>ILLICIT ANTIQUITIES</t>
  </si>
  <si>
    <t>In the summer of 2021, a video on TikTok was heavily reposted across a variety of social media platforms (attracting conventional media attention too). Unusually (for TikTok), it was about the trade in human remains. Thus, we were presented with the opportunity to watch how knowledge of the trade exploded into broader public consciousness on a comparatively newer platform. In this article, we scrape TikTok for reactions to that moment. In our previous research on the human remains trade on Instagram, we used a particular suite of digital humanities methods to understand how Instagram was being used by participants in the trade. Here, we employ those same methods to develop a case study for contrast. The original individual, whose TikTok account is used to promote his bricks-and-mortar business buying and selling human remains, has, as a result of this attention, gained an even greater number of followers and views, making the video a success. Nevertheless, several users engaged in long discussions in the comments concerning the ethics of what this individual is doing. A number of users created videos to criticize his activities, discussing the moral, ethical, and legal issues surrounding the trade in human remains, which in many ways makes the success of this video one of fostering opposition and a wider understanding of the ethical and moral issues around this trade.</t>
  </si>
  <si>
    <t>[Graham, Shawn; Huffer, Damien; Simons, Jaime] Carleton Univ, Dept Hist, Ottawa, ON, Canada</t>
  </si>
  <si>
    <t>Carleton University</t>
  </si>
  <si>
    <t>Graham, S (corresponding author), Carleton Univ, Dept Hist, Ottawa, ON, Canada.</t>
  </si>
  <si>
    <t>shawn.graham@carleton.ca; damien.huffer@gmail.com; jaimesimons@cmail.carleton.ca</t>
  </si>
  <si>
    <t>Graham, Shawn/0000-0002-2887-3554; Simons, Jaime/0000-0002-3428-2849</t>
  </si>
  <si>
    <t>Social Sciences and Humanities Research Council of Canada</t>
  </si>
  <si>
    <t>This article was funded by the Social Sciences and Humanities Research Council of Canada.</t>
  </si>
  <si>
    <t>DE GRUYTER POLAND SP Z O O</t>
  </si>
  <si>
    <t>BOGUMILA ZUGA 32A STR, 01-811 WARSAW, MAZOVIA, POLAND</t>
  </si>
  <si>
    <t>2300-6560</t>
  </si>
  <si>
    <t>OPEN ARCHAEOL</t>
  </si>
  <si>
    <t>Open Archaeol.</t>
  </si>
  <si>
    <t>10.1515/opar-2022-0235</t>
  </si>
  <si>
    <t>Archaeology</t>
  </si>
  <si>
    <t>0W2EJ</t>
  </si>
  <si>
    <t>WOS:000788846600001</t>
  </si>
  <si>
    <t>Nguyen, B; Perez, AG; Mesinkovska, NA; Tosti, A</t>
  </si>
  <si>
    <t>Nguyen, Betty; Perez, Alexandra G.; Mesinkovska, Natasha A.; Tosti, Antonella</t>
  </si>
  <si>
    <t>Characterizing and assessing the reliability of TikTok's most viewed alopecia-related videos</t>
  </si>
  <si>
    <t>[Nguyen, Betty; Perez, Alexandra G.; Tosti, Antonella] Univ Miami, Miller Sch Med, Dr Phillip Frost Dept Dermatol &amp; Cutaneous Surg, 1295 NW 14th St,Suite L, Miami, FL 33125 USA; [Nguyen, Betty] Univ Calif Riverside, Sch Med, Riverside, CA 92521 USA; [Mesinkovska, Natasha A.] Univ Calif Irvine, Dept Dermatol, Irvine, CA 92717 USA</t>
  </si>
  <si>
    <t>University of Miami; University of California System; University of California Riverside; University of California System; University of California Irvine</t>
  </si>
  <si>
    <t>Nguyen, B (corresponding author), Univ Miami, Miller Sch Med, Dr Phillip Frost Dept Dermatol &amp; Cutaneous Surg, 1295 NW 14th St,Suite L, Miami, FL 33125 USA.</t>
  </si>
  <si>
    <t>betty.nguyen@medsch.ucr.edu</t>
  </si>
  <si>
    <t>Nguyen, Betty/AAW-6506-2021</t>
  </si>
  <si>
    <t>Nguyen, Betty/0000-0002-0402-3926</t>
  </si>
  <si>
    <t>E90</t>
  </si>
  <si>
    <t>E92</t>
  </si>
  <si>
    <t>10.1111/jdv.18500</t>
  </si>
  <si>
    <t>7K0SW</t>
  </si>
  <si>
    <t>WOS:000843615800001</t>
  </si>
  <si>
    <t>Sabri, NM; Subki, SNAM; Bahrin, UFM; Puteh, M</t>
  </si>
  <si>
    <t>Sabri, Norlina Mohd; Subki, Siti Nur Athira Muhamad; Bahrin, Ummu Fatihah Mohd; Puteh, Mazidah</t>
  </si>
  <si>
    <t>Post Pandemic Tourism: Sentiment Analysis using Support Vector Machine Based on TikTok Data</t>
  </si>
  <si>
    <t>Post pandemic tourism; support vector machine; sentiment classification; TikTok data</t>
  </si>
  <si>
    <t>The tourism industry is one of the hard hit businesses during the Covid-19 pandemic and has been struggling for backup ever since. However, nowadays the industry has started to bloom again with the lifting of all of the restrictions of Covid-19. This research aims to analyze the sentiments of the tourists using the Support Vector Machine (SVM) algorithm to know their views on the tourist spots after the pandemic. The scope of the research covers the state of Terengganu which is popularly known for its islands and unique culture on the east coast of Malaysia. TikTok data has been used as the source of data as social media currently has become one of the top mediums for reviewing, selling and promoting products and services. The objective of the research is to explore the SVM algorithm in the sentiment classification of tourist spots in Terengganu. This research is expected to help the Tourism Terengganu to improve their tourist spots and their services. The phases of the research include collecting data from TikTok, data pre-processing, data labelling, feature extraction, model creation using SVM, graphical user interface development and performance evaluation. The evaluation results showed that the performance of the SVM classifier model was good and reliable, with 90.68% accuracy. The future work would be collecting more data from TikTok regularly to further improve the accuracy of the algorithm.</t>
  </si>
  <si>
    <t>[Sabri, Norlina Mohd; Subki, Siti Nur Athira Muhamad; Bahrin, Ummu Fatihah Mohd; Puteh, Mazidah] Univ Teknol MARA Cawangan Terengganu, Coll Comp Informat &amp; Math, Kampus Kuala Terengganu, Malaysia</t>
  </si>
  <si>
    <t>Sabri, NM (corresponding author), Univ Teknol MARA Cawangan Terengganu, Coll Comp Informat &amp; Math, Kampus Kuala Terengganu, Malaysia.</t>
  </si>
  <si>
    <t>Universiti Teknologi MARA; UiTM Geran Penyelidikan Myra Lepasan PHD [600-RMC/GPM LPHD 5/3 (068/2021)]</t>
  </si>
  <si>
    <t>Universiti Teknologi MARA; UiTM Geran Penyelidikan Myra Lepasan PHD</t>
  </si>
  <si>
    <t>Special gratitude goes to Universiti Teknologi MARA for the support given towards the advancement of research in the university. This research is funded under the UiTM Geran Penyelidikan Myra Lepasan PHD (600-RMC/GPM LPHD 5/3 (068/2021).</t>
  </si>
  <si>
    <t>G6A1V</t>
  </si>
  <si>
    <t>WOS:001317434000032</t>
  </si>
  <si>
    <t>Saborit, FJZ; Peris, GS; Montesinos, SA</t>
  </si>
  <si>
    <t>Saborit, Francisco Javier Zamora; Peris, Guillermo Sanahuja; Montesinos, Sandra Arias</t>
  </si>
  <si>
    <t>Evolution of the use of TikTok in Spanish football. Comparative study 2021-2023</t>
  </si>
  <si>
    <t>TikTok; football; sports communication; social media</t>
  </si>
  <si>
    <t>SOCCER; MEDIA</t>
  </si>
  <si>
    <t>This paper studies in a comparative and longitudinal way the use of TikTok as a communication channel of FC Barcelona, Real Madrid, Atletico de Madrid, Sevilla CF and Valencia CF, with the aim of categorising and understanding their messages. The methodological design consists of a content analysis of the five profiles during March 2021 and March 2023, analysing a total of 312 videos. The findings are contrasted with four indepth interviews with sports professionals. The results show a 135% increase in the number of publications, as well as the stylistic use of humour and entertainment as the main content. The results show a 135% increase in the number of publications, the stylistic use of humour and entertainment as the main content.</t>
  </si>
  <si>
    <t>[Saborit, Francisco Javier Zamora] Univ Int Valencia, Valencia, Spain; [Peris, Guillermo Sanahuja] Univ Jaume 1, Plana, Spain; [Montesinos, Sandra Arias] Univ Alacant, Alacant, Spain</t>
  </si>
  <si>
    <t>Universidad Internacional de Valencia VIU; Universitat Jaume I; Universitat d'Alacant</t>
  </si>
  <si>
    <t>Saborit, FJZ (corresponding author), Univ Int Valencia, Valencia, Spain.</t>
  </si>
  <si>
    <t>Franciscojavier.zamoras@campusviu.es; gsanahuj@uji.es; sandra.arias.mon@gmail.com</t>
  </si>
  <si>
    <t>10.25029/od.2023.385.24</t>
  </si>
  <si>
    <t>gold, Green Submitted, Green Published</t>
  </si>
  <si>
    <t>WOS:001165584700014</t>
  </si>
  <si>
    <t>Russell, AM; Bergman, BG; Colditz, JB; Kelly, JF; Milaham, PJ; Massey, PM</t>
  </si>
  <si>
    <t>Russell, Alex M.; Bergman, Brandon G.; Colditz, Jason B.; Kelly, John F.; Milaham, Plangkat J.; Massey, Philip M.</t>
  </si>
  <si>
    <t>Using TikTok in recovery from substance use disorder</t>
  </si>
  <si>
    <t>Addiction; Substance use disorder; Recovery; Social media; TikTok</t>
  </si>
  <si>
    <t>ALCOHOL-USE; BEHAVIOR-CHANGE; SOCIAL NETWORKING; MECHANISMS; MARIJUANA; SUPPORT; TWITTER; MEDIA; INDIVIDUALS; PREVALENCE</t>
  </si>
  <si>
    <t>Background: There are many effective treatment options for substance use disorder (SUD), yet most individuals with SUD do not seek formal treatment services. Given the rising popularity of TikTok and need to foster innovative means through which to attract and engage individuals with SUD with treatment, we sought to characterize how TikTok users in SUD recovery are using this platform to bolster their recovery support and/or give hope to others who are struggling with substance use. Methods: Our sample consisted of 82 of the most liked TikTok videos related to attempts to cut down on or abstain from substances and/or strengthen SUD recovery. We employed an iterative process to codebook development resulting in codes for demographics, user-sentiment, video type, and mechanisms of recovery related behavior change. Videos were independently double-coded and evaluated for inter-rater reliability. Results: Video in this sample were heavily viewed, accounting for over 2 million views per video and 325,000 likes on average. Most common video themes were sharing a journey from active SUD to recovery (40.2%) and sharing/celebrating a recovery milestone (37.8%), followed by recurrence of substance use (12.2%). Commonly exemplified mechanisms of recovery-related behavior change included embracing a strong social identity as a person in recovery (81.7%), social support (45.1%), and participation in rewarding alternative activities (39.0%). Conclusion: TikTok SUD recovery-focused videos can potentially reach millions with portrayed themes similar to established therapeutic mobilizers and mechanisms. More research is needed to better understand whether digital recovery narratives can effectively normalize experiences of addiction and help-seeking behaviors.</t>
  </si>
  <si>
    <t>[Russell, Alex M.; Milaham, Plangkat J.; Massey, Philip M.] Univ Arkansas, Dept Hlth Human Performance &amp; Recreat, Fayetteville, AR 72701 USA; [Bergman, Brandon G.; Kelly, John F.] Massachusetts Gen Hosp, Recovery Res Inst, Boston, MA 02114 USA; [Bergman, Brandon G.; Kelly, John F.] Harvard Med Sch, Boston, MA 02115 USA; [Colditz, Jason B.] Univ Pittsburgh, Sch Med, Ctr Res Media Technol &amp; Hlth, Pittsburgh, PA USA</t>
  </si>
  <si>
    <t>University of Arkansas System; University of Arkansas Fayetteville; Harvard University; Massachusetts General Hospital; Harvard University; Harvard Medical School; Pennsylvania Commonwealth System of Higher Education (PCSHE); University of Pittsburgh</t>
  </si>
  <si>
    <t>Russell, AM (corresponding author), Univ Arkansas, HPER Bldg 308-V, Fayetteville, AR 72701 USA.</t>
  </si>
  <si>
    <t>ar117@uark.edu</t>
  </si>
  <si>
    <t>A</t>
  </si>
  <si>
    <t>10.1016/j.drugalcdep.2021.109147</t>
  </si>
  <si>
    <t>WX1OW</t>
  </si>
  <si>
    <t>WOS:000718374400007</t>
  </si>
  <si>
    <t>Khan, S; Shaik, M; Khan, N; Potts, G</t>
  </si>
  <si>
    <t>Khan, Shahrin; Shaik, Moaid; Khan, Nawrin; Potts, Geoffrey</t>
  </si>
  <si>
    <t>Sunscreen on Screen: Cross-Sectional Study of TikTok Content on Sunscreen</t>
  </si>
  <si>
    <t>[Khan, Shahrin; Khan, Nawrin] Wayne State Univ, Sch Med, Detroit, MI USA; [Shaik, Moaid] Michigan State Univ, Coll Osteopath Med, E Lansing, MI 48824 USA; [Potts, Geoffrey] Wayne State Univ, Dept Dermatol, Detroit, MI USA</t>
  </si>
  <si>
    <t>Wayne State University; Michigan State University; Michigan State University College of Osteopathic Medicine; Wayne State University</t>
  </si>
  <si>
    <t>Shaik, M (corresponding author), Michigan State Univ, Coll Osteopath Med, E Lansing, MI 48824 USA.</t>
  </si>
  <si>
    <t>shaikmoa@msu.edu</t>
  </si>
  <si>
    <t>e70061</t>
  </si>
  <si>
    <t>10.1111/srt.70061</t>
  </si>
  <si>
    <t>I2U1I</t>
  </si>
  <si>
    <t>WOS:001328848200001</t>
  </si>
  <si>
    <t>Doyon, VC; Liu, CC; Bailey, K; Beleznay, K</t>
  </si>
  <si>
    <t>Doyon, Valerie C.; Liu, Chaocheng; Bailey, Kristy; Beleznay, Katie</t>
  </si>
  <si>
    <t>When tanning is trending: A content quality study of skin cancer on TikTok</t>
  </si>
  <si>
    <t>[Doyon, Valerie C.] Univ British Columbia, Fac Med, Vancouver, BC, Canada; [Liu, Chaocheng; Beleznay, Katie] Univ British Columbia, Dept Dermatol &amp; Skin Sci, Vancouver, BC, Canada; [Bailey, Kristy] FCP Dermatol, Toronto, ON, Canada</t>
  </si>
  <si>
    <t>University of British Columbia; University of British Columbia</t>
  </si>
  <si>
    <t>AB220</t>
  </si>
  <si>
    <t>WOS:000891793201081</t>
  </si>
  <si>
    <t>de Baun, H; Cerri-Droz, PE; Khan, S; Rao, B</t>
  </si>
  <si>
    <t>de Baun, H.; Cerri-Droz, P. E.; Khan, S.; Rao, B.</t>
  </si>
  <si>
    <t>Tiktok and dermal fillers: A cross-sectional study on dermal filler-related content quality</t>
  </si>
  <si>
    <t>1st International Societies for Investigative Dermatology Meeting</t>
  </si>
  <si>
    <t>MAY 12-13, 2023</t>
  </si>
  <si>
    <t>Tokyo, JAPAN</t>
  </si>
  <si>
    <t>[de Baun, H.; Cerri-Droz, P. E.] SUNY Stony Brook, Renaissance Sch Med, Stony Brook, NY 11794 USA; [Khan, S.; Rao, B.] Rutgers Robert Wood Johnson Med Sch, Piscataway, NJ USA</t>
  </si>
  <si>
    <t>State University of New York (SUNY) System; Stony Brook University; Stony Brook University Hospital; Rutgers University System; Rutgers University New Brunswick; Rutgers University Biomedical &amp; Health Sciences</t>
  </si>
  <si>
    <t>Cerri-Droz, Patricia/IUQ-8294-2023</t>
  </si>
  <si>
    <t>S118</t>
  </si>
  <si>
    <t>N6FZ4</t>
  </si>
  <si>
    <t>WOS:001037960300685</t>
  </si>
  <si>
    <t>Lane, F; Morris, K; Stohl, H; Nelson, AL</t>
  </si>
  <si>
    <t>Lane, F.; Morris, K.; Stohl, H.; Nelson, A. L.</t>
  </si>
  <si>
    <t>HOME BIRTH IS TRENDING: ATTITUDES AND PRECEPTIONS OF HOME AND HOSPITAL BIRTH ON TIKTOK</t>
  </si>
  <si>
    <t>[Lane, F.; Morris, K.; Stohl, H.; Nelson, A. L.] Western Univ Hlth Sci, Pomona, CA USA</t>
  </si>
  <si>
    <t>NP128</t>
  </si>
  <si>
    <t>WOS:000972423800110</t>
  </si>
  <si>
    <t>Suárez-Alvarez, R; García-Jiménez, A; Montana, MLU</t>
  </si>
  <si>
    <t>Suarez-Alvarez, Rebeca; Garcia-Jimenez, Antonio; Urbina Montana, Maria L.</t>
  </si>
  <si>
    <t>Sexualising characteristics of adolescent on TikTok. Comparative study Great Britain-Spain</t>
  </si>
  <si>
    <t>TikTok; adolescents; sexualisation; age; gender</t>
  </si>
  <si>
    <t>SEXUALIZATION; GENDER; GIRLS; MEDIA; SEX; OBJECTIFICATION; APPEARANCE; CULTURE</t>
  </si>
  <si>
    <t>The research addresses whether adolescents are increasing their self-sexualisation on TikTok through content analysis. It has studied the type and number of sexualising features present in the videos that Spanish and British teenagers share on the social network TikTok, offering a comparative view. A total of 447 videos from 12 British and 12 Spanish tiktokers aged 11 to 17 have been analysed, considering their gender and age and comparing both nationalities. A high level of self-sexualisation has been found in the videos of adolescents of both genders and nationalities. The results show that age and gender determine the sexualising characteristics included in their videos and that British and Spanish minors do not use the same sexualising codes, although neither nationality is more sexualised than the other. It has been confirmed that boys and girls self-sexualise in similar proportions. Age determines sexualising characteristics they incorporate in their audio-visual productions, which indicate the blurring of traditional stereotyped roles and the unification of sexual codes that have traditionally been considered a female domain.</t>
  </si>
  <si>
    <t>[Suarez-Alvarez, Rebeca] Rey Juan Carlos Univ, Dept Journalism &amp; Corp Commun, Madrid, Spain; [Garcia-Jimenez, Antonio] Rey Juan Carlos Univ, Journalism Media Studies, Madrid, Spain; [Garcia-Jimenez, Antonio] Rey Juan Carlos Univ, Fac Commun Sci, Madrid, Spain; [Urbina Montana, Maria L.] Univ Derby, Journalism, Derby, England; [Urbina Montana, Maria L.] Univ Derby, Ident Culture &amp; Representat Res Ctr, Derby, England</t>
  </si>
  <si>
    <t>Universidad Rey Juan Carlos; Universidad Rey Juan Carlos; Universidad Rey Juan Carlos; University of Derby; University of Derby</t>
  </si>
  <si>
    <t>Suárez-Alvarez, R (corresponding author), Rey Juan Carlos Univ, Dept Journalism &amp; Corp Commun, Social Commun, Camino Molino 5, Madrid 28942, Spain.</t>
  </si>
  <si>
    <t>rebeca.suarez@urjc.es</t>
  </si>
  <si>
    <t>García Jiménez, Antonio/ABF-2279-2021; Suarez-Alvarez, Rebeca/ACS-8344-2022</t>
  </si>
  <si>
    <t>Suarez-Alvarez, Rebeca/0000-0002-0102-4472; Garcia Jimenez, Antonio/0000-0002-8423-9486</t>
  </si>
  <si>
    <t>Social networks, adolescents, and young people: media convergence and digital culture [CSO2016-74980-C2-2-R]; 'New scenarios of digital vulnerability: media literacy for an inclusive society' (PRO-VULDIG-2-CM) [H2019/HUM5775]</t>
  </si>
  <si>
    <t>Social networks, adolescents, and young people: media convergence and digital culture; 'New scenarios of digital vulnerability: media literacy for an inclusive society' (PRO-VULDIG-2-CM)</t>
  </si>
  <si>
    <t>The author(s) disclosed receipt of the following financial support for the research, authorship, and/or publication of this article: This research is part of two projects: 'Social networks, adolescents, and young people: media convergence and digital culture' (CSO2016-74980-C2-2-R), which is associated with the national R&amp;D&amp;I plan, and 'New scenarios of digital vulnerability: media literacy for an inclusive society' (PRO-VULDIG-2-CM) (ref. H2019/HUM5775), Autonomous Region of Madrid (CAM) and the European Social Fund (01/01/2020-31/12/2022).</t>
  </si>
  <si>
    <t>10.1177/13548565231187728</t>
  </si>
  <si>
    <t>JK8S4</t>
  </si>
  <si>
    <t>WOS:001173158200009</t>
  </si>
  <si>
    <t>Maddox, J</t>
  </si>
  <si>
    <t>Maddox, Jessica</t>
  </si>
  <si>
    <t>I've Heard People on TikTok Love This Attention as Materiality and Looking Relation</t>
  </si>
  <si>
    <t>INTERNET IS FOR CATS: How Animal Images Shape Our Digital Lives</t>
  </si>
  <si>
    <t>RUTGERS UNIV PRESS</t>
  </si>
  <si>
    <t>NEW BRUNSWICK</t>
  </si>
  <si>
    <t>30 COLLEGE AVE, NEW BRUNSWICK, NJ 08903 USA</t>
  </si>
  <si>
    <t>978-1-9788-2791-2; 978-1-9788-2794-3; 978-1-9788-2792-9</t>
  </si>
  <si>
    <t>BW3LE</t>
  </si>
  <si>
    <t>WOS:001139673200003</t>
  </si>
  <si>
    <t>Aleem, A; Sarihan, M; Aujla, P; Catinis, C</t>
  </si>
  <si>
    <t>Aleem, Abdullah; Sarihan, Maya; Aujla, Parvir; Catinis, Christine</t>
  </si>
  <si>
    <t>Inadequate Representation of Gastroenterologists on TikTok: Is It Time to Take the Narrative in Our Own Hands?</t>
  </si>
  <si>
    <t>Annual Scientific Meeting of the American-College-of-Gastroenterology (ACG)</t>
  </si>
  <si>
    <t>OCT 20-25, 2023</t>
  </si>
  <si>
    <t>Vancouver, CANADA</t>
  </si>
  <si>
    <t>[Aleem, Abdullah; Sarihan, Maya; Aujla, Parvir; Catinis, Christine] Univ Texas Hlth Sci Ctr Houston, Houston, TX USA</t>
  </si>
  <si>
    <t>University of Texas System; University of Texas Health Science Center Houston</t>
  </si>
  <si>
    <t>S1727</t>
  </si>
  <si>
    <t>S1287</t>
  </si>
  <si>
    <t>S1288</t>
  </si>
  <si>
    <t>W5EF4</t>
  </si>
  <si>
    <t>WOS:001091849303424</t>
  </si>
  <si>
    <t>Kang, HJ; Shin, WS</t>
  </si>
  <si>
    <t>Kang, Hyunjin; Shin, Wonsun</t>
  </si>
  <si>
    <t>Feeling Safer Than Peers: Influence of Privacy-related Perceptions and Parental Mediation on Teen Tiktok Users' Comparative Optimism about Privacy Risks</t>
  </si>
  <si>
    <t>UNREALISTIC OPTIMISM; SELF-DISCLOSURE; CALCULUS MODEL; ONLINE; BIAS; FACEBOOK; ATTITUDES</t>
  </si>
  <si>
    <t>This study investigates how privacy-related perceptions and parental mediation relate to teens' comparative optimism about the privacy risks of TikTok, and the role of such optimism in teens' privacy management on the platform. Our online survey of teen TikTok users residing in the U.S. revealed that those who were more concerned about privacy displayed less comparative optimism. Active parental mediation further enhanced this negative association between privacy concerns and comparative optimism. We also found that comparative optimism is negatively related to privacy-protecting behavior among teen users. Study findings guide youth-serving stakeholders in honing teens' critical orientation toward social media privacy.</t>
  </si>
  <si>
    <t>[Kang, Hyunjin] Nanyang Technol Univ, Wee Kim Wee Sch Commun &amp; Informat, 31 Nanyang Link, Singapore 637718, Singapore; [Shin, Wonsun] Univ Melbourne, Sch Culture &amp; Commun, Melbourne, Vic, Australia</t>
  </si>
  <si>
    <t>Nanyang Technological University; University of Melbourne</t>
  </si>
  <si>
    <t>Kang, HJ (corresponding author), Nanyang Technol Univ, Wee Kim Wee Sch Commun &amp; Informat, 31 Nanyang Link, Singapore 637718, Singapore.</t>
  </si>
  <si>
    <t>Shin, Wonsun/E-6526-2014</t>
  </si>
  <si>
    <t>Shin, Wonsun/0000-0002-1636-8171</t>
  </si>
  <si>
    <t>MOE AcRF Tier 1 Grant Ministry of Education - Singapore [RG 132/19]</t>
  </si>
  <si>
    <t>MOE AcRF Tier 1 Grant Ministry of Education - Singapore(Ministry of Education, Singapore)</t>
  </si>
  <si>
    <t>The research was supported by the first author's MOE AcRF Tier 1 Grant Ministry of Education - Singapore [Tier 1, RG 132/19].</t>
  </si>
  <si>
    <t>10.1080/08838151.2024.2407541</t>
  </si>
  <si>
    <t>J1I4P</t>
  </si>
  <si>
    <t>WOS:001334676200001</t>
  </si>
  <si>
    <t>St Lawrence, E</t>
  </si>
  <si>
    <t>St Lawrence, Emma</t>
  </si>
  <si>
    <t>The Algorithm Holy: TikTok, Technomancy, and the Rise of Algorithmic Divination</t>
  </si>
  <si>
    <t>RELIGIONS</t>
  </si>
  <si>
    <t>technomancy; technospirituality; witchcraft; paganism; algorithmic divination; witchtok; TikTok; neopagans; COVID-19 pandemic; magic; algorithms; artificial intelligence</t>
  </si>
  <si>
    <t>The social media app TikTok was launched in the US in 2017 with a very specific purpose: sharing 15-s clips of singing and dancing to popular songs. Seven years and several billion downloads later, it is now the go-to app for Gen Z Internet users and much better known for its ultra-personalized algorithm, AI-driven filters, and network of thriving subcultures. Among them, a growing community of magical and spiritual practitioners, frequently collectivized as Witchtok, who use the app not only share their craft and create community but consider the technology itself a powerful partner with which to conduct readings, channel deities, connect to a collective conscious, and transcend the communicative boundaries between the human and spirit realms-a practice that can be understood as algorithmic divination. In analyzing contemporary witchcraft on TikTok and contextualizing it within the larger history of technospirituality, this paper aims to explore algorithmic divination as an increasingly popular and powerful practice of technomancy open to practitioners of diverse creed and belief.</t>
  </si>
  <si>
    <t>[St Lawrence, Emma] Univ Colorado Boulder, Dept Media Studies, Boulder, CO 80309 USA</t>
  </si>
  <si>
    <t>University of Colorado System; University of Colorado Boulder</t>
  </si>
  <si>
    <t>St Lawrence, E (corresponding author), Univ Colorado Boulder, Dept Media Studies, Boulder, CO 80309 USA.</t>
  </si>
  <si>
    <t>emma.lawrence@colorado.edu</t>
  </si>
  <si>
    <t>2077-1444</t>
  </si>
  <si>
    <t>Religions</t>
  </si>
  <si>
    <t>10.3390/rel15040435</t>
  </si>
  <si>
    <t>Religion</t>
  </si>
  <si>
    <t>OV3A5</t>
  </si>
  <si>
    <t>WOS:001210003700001</t>
  </si>
  <si>
    <t>Das, RK; Drolet, BC</t>
  </si>
  <si>
    <t>Das, Rishub K.; Drolet, Brian C.</t>
  </si>
  <si>
    <t>Plastic Surgeons in TikTok: Top Influencers, Most Recent Posts, and User Engagement</t>
  </si>
  <si>
    <t>[Das, Rishub K.] Vanderbilt Univ, Sch Med, Nashville, TN 37212 USA; [Drolet, Brian C.] Vanderbilt Univ, Med Ctr, Dept Plast Surg Biomed Informat, Nashville, TN USA; [Drolet, Brian C.] Vanderbilt Univ, Med Ctr, Ctr Biomed Eth &amp; Soc, Nashville, TN USA</t>
  </si>
  <si>
    <t>Vanderbilt University; Vanderbilt University; Vanderbilt University</t>
  </si>
  <si>
    <t>Drolet, BC (corresponding author), Vanderbilt Univ, Med Ctr, Dept Plast Surg, D-4207 Med Ctr North,1161 21st Ave South, Nashville, TN 37212 USA.</t>
  </si>
  <si>
    <t>brian.c.drolet@vumc.org</t>
  </si>
  <si>
    <t>1094E</t>
  </si>
  <si>
    <t>1097E</t>
  </si>
  <si>
    <t>10.1097/PRS.0000000000008566</t>
  </si>
  <si>
    <t>XF1FU</t>
  </si>
  <si>
    <t>WOS:000723823800051</t>
  </si>
  <si>
    <t>Pluta, M; Siuda, P</t>
  </si>
  <si>
    <t>Pluta, Magdalena; Siuda, Piotr</t>
  </si>
  <si>
    <t>Educating Cancer on TikTok: Expanding Online Self-Disclosure of Cancer Patients</t>
  </si>
  <si>
    <t>self-disclosure; TikTok; cancer; social media; positive culture</t>
  </si>
  <si>
    <t>SOCIAL NETWORKING; SUPPORT; ADOLESCENTS; INFORMATION; COMMUNITY; MEDIA</t>
  </si>
  <si>
    <t>The article uses the concept of online self-disclosure and examines whether TikTok videos reveal information similar to what is reported in existing research on social media within this field. In addition, the study aims to identify the creators' motivations and the meanings they attribute to disclosing cancer and asks whether this disclosure challenges or supports the concept of a positive culture defined within the online self-disclosure framework. While similar research typically focuses on posts and is thus limited, this study combines conventional content analysis of 862 videos with in-depth interviews, offering a more nuanced understanding of the users' lived experience. The findings highlight that TikTok is a platform for negative (e.g., fears, anxiety) and positive self-disclosure (e.g., joyful life events, self-acceptance). What is crucial, though, is that users feel exceedingly competent in educating others. The research debunks positive culture as an overly general category and undermines the traditional understanding of online self-disclosure. It reveals that seeking support is less important for patients than informing and warning others. By focusing on the educational meanings attributed to self-disclosure, this study enriches the body of research on cancer-related content shared on TikTok, including studies on low-quality cancer-related information.</t>
  </si>
  <si>
    <t>[Pluta, Magdalena; Siuda, Piotr] Kazimierz Wielki Univ, Bydgoszcz, Poland</t>
  </si>
  <si>
    <t>Kazimierz Wielki University</t>
  </si>
  <si>
    <t>Siuda, P (corresponding author), Kazimierz Wielki Univ, Fac Cultural Studies, Ul Jagiellonska 11, PL-85067 Bydgoszcz, Poland.</t>
  </si>
  <si>
    <t>piotr.siuda@ukw.edu.pl</t>
  </si>
  <si>
    <t>Siuda, Piotr/L-6683-2019</t>
  </si>
  <si>
    <t>Siuda, Piotr/0000-0002-1644-5915</t>
  </si>
  <si>
    <t>Polish Ministry of Science under Regionalna Inicjatywa Doskonalosacute;ci program</t>
  </si>
  <si>
    <t>The author(s) disclosed receipt of the following financial support for the research, authorship, and/or publication of this article: Financed by the Polish Ministry of Science under Regionalna Inicjatywa Doskonalo &amp; sacute;ci program</t>
  </si>
  <si>
    <t>10.1177/20563051241274673</t>
  </si>
  <si>
    <t>D4Y0E</t>
  </si>
  <si>
    <t>WOS:001296242500001</t>
  </si>
  <si>
    <t>Forja-Pena, T</t>
  </si>
  <si>
    <t>Forja-Pena, Tania</t>
  </si>
  <si>
    <t>Engagement of the Spanish, English and German health ministries on TikTok</t>
  </si>
  <si>
    <t>Engagement; TikTok; Covid-19; politics; health; Spain; United Kingdom; Germany</t>
  </si>
  <si>
    <t>SOCIAL MEDIA; TWITTER; BLOG</t>
  </si>
  <si>
    <t>During the pandemic caused by Covid-19, government-dependent institutions had to take on numerous challenges, including communication efforts to inform citizens about the situation. One of the main communication channels was social networks and, among them, the emerging social network TikTok. This study addresses the analysis of the engagement of three European ministries of health, that of Spain, the United Kingdom and Germany, on the social network TikTok. The objective of the study is to conclude which are the communication strategies of each profile and which content achieved greater engagement with users. These countries are the only ones that have a profile on the social network, and they were created during the pandemic caused by Covid-19, so the work of the ministries and the content created on TikTok was influenced by the health situation. In this study, the methodology used was content analysis, studying each of the profiles of the health ministries and each of the published videos. Each country took on the challenge differently, Germany was the profile that created the most content and the one that achieved the highest levels of engagement; The United Kingdom only published eight videos, but it achieved very high engagement figures and Spain, unlike its European peers, achieved more humble engagement levels.</t>
  </si>
  <si>
    <t>[Forja-Pena, Tania] Univ Santiago de Compostela, Santiago De Compostela, Spain</t>
  </si>
  <si>
    <t>Forja-Pena, T (corresponding author), Univ Santiago de Compostela, Santiago De Compostela, Spain.</t>
  </si>
  <si>
    <t>taniaforja@gmail.com</t>
  </si>
  <si>
    <t>Forja-Pena, Tania/0000-0003-1192-9141</t>
  </si>
  <si>
    <t>10.17163/uni.n36.2022.07</t>
  </si>
  <si>
    <t>WOS:000766642800007</t>
  </si>
  <si>
    <t>Auzinger, E</t>
  </si>
  <si>
    <t>Auzinger, Eva</t>
  </si>
  <si>
    <t>CRYING OVER BOOKS ON TIKTOK BUT WHY WE SHOULDN'T CRY OVER BOOKTOK</t>
  </si>
  <si>
    <t>LITERATUR UND KRITIK</t>
  </si>
  <si>
    <t>OTTO MULLER VERLAG</t>
  </si>
  <si>
    <t>SALZBURG</t>
  </si>
  <si>
    <t>POSTFACH 167, A-5021 SALZBURG, AUSTRIA</t>
  </si>
  <si>
    <t>0024-466X</t>
  </si>
  <si>
    <t>LIT KRITIK</t>
  </si>
  <si>
    <t>Lit. Krit.</t>
  </si>
  <si>
    <t>Literary Reviews</t>
  </si>
  <si>
    <t>D5B2I</t>
  </si>
  <si>
    <t>WOS:001296326700023</t>
  </si>
  <si>
    <t>Dangeva, A; Zayyad, S; Quinn, GP</t>
  </si>
  <si>
    <t>Dangeva, Aleksandria; Zayyad, Shadin; Quinn, Gwendolyn P.</t>
  </si>
  <si>
    <t>#BIRTHCONTROL: A CROSS-SECTIONAL STUDY ON THE QUALITY OF CONTRACEPTIVE INFORMATION ON TIKTOK</t>
  </si>
  <si>
    <t>[Zayyad, Shadin] NYU, Tandon Sch Engn, Brooklyn, NY USA; [Quinn, Gwendolyn P.] NYU, Sch Med, Dept Obstet &amp; Gynecol, Brooklyn, NY USA</t>
  </si>
  <si>
    <t>New York University; New York University Tandon School of Engineering; New York University</t>
  </si>
  <si>
    <t>P-335</t>
  </si>
  <si>
    <t>E242</t>
  </si>
  <si>
    <t>E243</t>
  </si>
  <si>
    <t>WOS:001084670200571</t>
  </si>
  <si>
    <t>Steele, CK</t>
  </si>
  <si>
    <t>Steele, Catherine Knight</t>
  </si>
  <si>
    <t>Black Feminist Pleasure on TikTok: An Ode to Hurston's Characteristics of Negro Expression</t>
  </si>
  <si>
    <t>WOMENS STUDIES IN COMMUNICATION</t>
  </si>
  <si>
    <t>[Steele, Catherine Knight] Univ Maryland, Dept Commun, 2130 Skinner Bldg,4300 Chapel Lane, College Pk, MD 20742 USA</t>
  </si>
  <si>
    <t>University System of Maryland; University of Maryland College Park</t>
  </si>
  <si>
    <t>Steele, CK (corresponding author), Univ Maryland, Dept Commun, 2130 Skinner Bldg,4300 Chapel Lane, College Pk, MD 20742 USA.</t>
  </si>
  <si>
    <t>cksteele@umd.edu</t>
  </si>
  <si>
    <t>0749-1409</t>
  </si>
  <si>
    <t>2152-999X</t>
  </si>
  <si>
    <t>WOMEN STUD COMMUN</t>
  </si>
  <si>
    <t>Women. Stud. Commun.</t>
  </si>
  <si>
    <t>10.1080/07491409.2021.1987822</t>
  </si>
  <si>
    <t>XJ8SN</t>
  </si>
  <si>
    <t>WOS:000727050400002</t>
  </si>
  <si>
    <t>#AfricanAunties: performing diasporic digital disbelongings on TikTok (Mar, 10.1080/10462937.2022.2044071, 2022)</t>
  </si>
  <si>
    <t>Correction</t>
  </si>
  <si>
    <t>I</t>
  </si>
  <si>
    <t>10.1080/10462937.2022.2061110</t>
  </si>
  <si>
    <t>5E0HX</t>
  </si>
  <si>
    <t>WOS:000780916900001</t>
  </si>
  <si>
    <t>Rosen, R; Vasiloudes, V; Mhaskar, R</t>
  </si>
  <si>
    <t>Rosen, Ross; Vasiloudes, Vasilis; Mhaskar, Rahul</t>
  </si>
  <si>
    <t>The emergence of MedTok: a qualitative analysis of popular medical TikTok videos</t>
  </si>
  <si>
    <t>education and training; medical education &amp; training; medical journalism; public health; qualitative research</t>
  </si>
  <si>
    <t>Social media is increasingly being used by the public as a medium for health information. Unfortunately, misinformation has become widely available on these sites, often being provided using content that is designed to be more popular and engaging, and it is difficult for the public to differentiate between what is true and what is false. TikTok is one of these platforms and has been rapidly growing over the last few years. As an increasing number of people look to TikTok for their health information, it is important that quality information is accessible and popular on the platform. We conducted a review of TikTok videos using the top 10 videos to show when searching for 13 common conditions. Characteristics of both the creator and video were recorded and analyzed. Videos on conditions commonly diagnosed younger were commonly produced by younger creators with the condition, often based on their own experiences. Conversely, videos on conditions commonly diagnosed older were commonly produced by healthcare professionals providing educational information. Though for conditions affecting older individuals healthcare professionals may be able to create didactic, educational videos, for those affecting younger individuals, it may be beneficial to partner with younger creators, or influencers, to produce more viral content. Further studies may expand on these ideas to encompass more facets of healthcare. As this study did not analyze the quality of the information in the videos, future research should also focus on determining the quality of popular content on TikTok and other social media platforms.</t>
  </si>
  <si>
    <t>[Rosen, Ross; Vasiloudes, Vasilis] Univ S Florida, Morsani Coll Med, 560 Channelside Dr, Tampa, FL 33602 USA; [Mhaskar, Rahul] Univ S Florida, Morsani Coll Med, Dept Med Educ, 560 Channelside Dr, Tampa, FL 33602 USA</t>
  </si>
  <si>
    <t>Rosen, R (corresponding author), Univ S Florida, Morsani Coll Med, 560 Channelside Dr, Tampa, FL 33602 USA.</t>
  </si>
  <si>
    <t>rosenr@usf.edu; vasilis@usf.edu; rmhaskar@usf.edu</t>
  </si>
  <si>
    <t>Florida, University of/GRT-0107-2022</t>
  </si>
  <si>
    <t>2024 FEB 20</t>
  </si>
  <si>
    <t>10.1093/postmj/qgae021</t>
  </si>
  <si>
    <t>IN9B2</t>
  </si>
  <si>
    <t>WOS:001167113900001</t>
  </si>
  <si>
    <t>Gaskarth, M; Lam, J; Sneddon, J</t>
  </si>
  <si>
    <t>Gaskarth, Mary; Lam, Jennifer; Sneddon, Jane</t>
  </si>
  <si>
    <t>Social medical: a preliminary analysis of medical content on TikTok</t>
  </si>
  <si>
    <t>CURRENT MEDICAL RESEARCH AND OPINION</t>
  </si>
  <si>
    <t>Education; social media; visual communication</t>
  </si>
  <si>
    <t>[Gaskarth, Mary; Lam, Jennifer; Sneddon, Jane] CMC Affin, Div IPG Hlth Med Commun, Macclesfield, Cheshire, England</t>
  </si>
  <si>
    <t>0300-7995</t>
  </si>
  <si>
    <t>1473-4877</t>
  </si>
  <si>
    <t>CURR MED RES OPIN</t>
  </si>
  <si>
    <t>Curr. Med. Res. Opin.</t>
  </si>
  <si>
    <t>S34</t>
  </si>
  <si>
    <t>O3TB2</t>
  </si>
  <si>
    <t>WOS:001043063600056</t>
  </si>
  <si>
    <t>Martínez, AF; López, NA</t>
  </si>
  <si>
    <t>Martinez, Aurora Forteza; Lopez, Nadia Alonso</t>
  </si>
  <si>
    <t>EUROPEAN MUSEUMS ON TIKTOK: CONTENT AND STRATEGIES TO SPREAD ART ONLINE</t>
  </si>
  <si>
    <t>Museums; TikTok; art; social networks; communicative strategies; short video</t>
  </si>
  <si>
    <t>In the current media ecosystem, marked by hyperconnectivity and technological advances, social networks constitute windows of access to different content for a large part of the population, even more so after the COVID-19 pandemic. In this context, cultural institutions such as museums develop different communicative strategies in these networks, as in TikTok, adapting to their narrative codes. This research aims to study the communicative strategies of European museums through their TikTok profiles. To this end, a methodology based on quantitative and qualitative parameters is used, based on the case study of the official accounts of the Museo del Prado and the Museo Thyssen in Madrid (Spain), The National Gallery in London (UK), the Rijksmuseum in Amsterdam (Netherlands) and the Galleria degli Uffizi in Florence (Italy), analysing 1,544 videos. The results point to a disparity in the communication strategies of the museums studied. However, they coincide in the publications that refer to the masterpieces as the most popular and the option of the sound provided by the application as the type of audio mostly used.</t>
  </si>
  <si>
    <t>[Martinez, Aurora Forteza] Univ Int La Rioja UNIR, Logrono, La Rioja, Spain; [Lopez, Nadia Alonso] Univ Politecn Valencia, Valencia, Spain</t>
  </si>
  <si>
    <t>Universidad Internacional de La Rioja (UNIR); Universitat Politecnica de Valencia</t>
  </si>
  <si>
    <t>Martínez, AF (corresponding author), Univ Int La Rioja UNIR, Logrono, La Rioja, Spain.</t>
  </si>
  <si>
    <t>AURORA.FORTEZA@UNIR.NET; NAALLO1@HAR.UPV.ES</t>
  </si>
  <si>
    <t>E5S0S</t>
  </si>
  <si>
    <t>WOS:001303587900015</t>
  </si>
  <si>
    <t>Sharevski, F; Vander Loop, J; Jachim, P; Devine, A; Pieroni, E</t>
  </si>
  <si>
    <t>Sharevski, Filipo; Vander Loop, Jennifer; Jachim, Peter; Devine, Amy; Pieroni, Emma</t>
  </si>
  <si>
    <t>Talking Abortion (Mis)information with ChatGPT on TikTok</t>
  </si>
  <si>
    <t>2023 IEEE EUROPEAN SYMPOSIUM ON SECURITY AND PRIVACY WORKSHOPS, EUROS&amp;PW</t>
  </si>
  <si>
    <t>IEEE European Symposium on Security and Privacy Workshops</t>
  </si>
  <si>
    <t>8th IEEE European Symposium on Security and Privacy (EuroS and P)</t>
  </si>
  <si>
    <t>JUL 03-07, 2023</t>
  </si>
  <si>
    <t>TU Delft, ECHO, Delft, NETHERLANDS</t>
  </si>
  <si>
    <t>TU Delft, ECHO</t>
  </si>
  <si>
    <t>In this study, we tested users' perception of accuracy and engagement with TikTok videos in which ChatGPT responded to prompts about at-home abortion remedies. The chatbot's responses, though somewhat vague and confusing, nonetheless recommended consulting with health professionals before attempting an at-home abortion. We used ChatGPT to create two TikTok video variants - one where users can see ChatGPT explicitly typing back a response, and one where the text response is presented without any notion to the chatbot. We randomly exposed 100 participants to each variant and found that the group of participants unaware of ChatGPT's text synthetization was more inclined to believe the responses were misinformation. Under the same impression, TikTok itself attached misinformation warning labels (Get the facts about abortion) to all videos after we collected our initial results. We then decided to test the videos again with another set of 50 participants and found that the labels did affect the perceptions of abortion misinformation. We also found that more than 60% of the participants expressed negative or hesitant opinions about chatbots as sources of credible health information.</t>
  </si>
  <si>
    <t>[Sharevski, Filipo; Vander Loop, Jennifer; Jachim, Peter; Devine, Amy; Pieroni, Emma] Depaul Univ, Chicago, IL 60604 USA</t>
  </si>
  <si>
    <t>DePaul University</t>
  </si>
  <si>
    <t>Sharevski, F (corresponding author), Depaul Univ, Chicago, IL 60604 USA.</t>
  </si>
  <si>
    <t>fsharevs@depaul.edu; jvade27@depaul.edu; pjachim@depaul.edu; adevine@depaul.edu; epieroni@depaul.edu</t>
  </si>
  <si>
    <t>2768-0649</t>
  </si>
  <si>
    <t>979-8-3503-2720-5</t>
  </si>
  <si>
    <t>Security and Privacy</t>
  </si>
  <si>
    <t>10.1109/EuroSPW59978.2023.00071</t>
  </si>
  <si>
    <t>BV5DA</t>
  </si>
  <si>
    <t>WOS:001046699200067</t>
  </si>
  <si>
    <t>Darvin, R</t>
  </si>
  <si>
    <t>Darvin, Ron</t>
  </si>
  <si>
    <t>Design, resistance and the performance of identity on TikTok</t>
  </si>
  <si>
    <t>Memes; Identity; Design; Resistance; TikTok; Multimodal discourse analysis</t>
  </si>
  <si>
    <t>One of the most downloaded apps in the world, TikTok is known widely for its act-out memes and lip sync videos, where music and sound clips are remixed among users. While most social media platforms serve as sites of self-presentation and identity management, embedded in TikTok's design is a memetic logic that encourages imitation and replication and downplays individual identities and social connections. By conducting a multimodal discourse analysis of videos produced by popular Hong Kong-based TikTokers, this paper demonstrates how these content creators were able to resist this memetic logic by finding ways to assert their Hongkonger identities and to forge a sense of community among fellow Hongkongers. Through the production of sound memes that use sound as an anchoring mode for producing derivative videos, these TikTokers foregrounded not only their embodied selves but also local spaces and languages. By formulating and promoting context-bound tracks that connected local users, they evoked a sense of pride and affinity among Hongkongers. As content creators produce videos on TikTok, the interplay of platform affordances and constraints can be understood as a negotiation of designs: the platform design which indexes the sociotechnical purposes of app developers and software engineers and the user design which involves the assembly of semiotic resources that enable users to achieve their own intentions. Recognizing the capacity of social media platforms to program sociality, this paper asserts the need for research methods that examine the tension between the structuring power of these platforms and the agentive participation of users.(c) 2022 Elsevier Ltd. All rights reserved.</t>
  </si>
  <si>
    <t>[Darvin, Ron] Chinese Univ Hong Kong, Shatin, 3 F Fung King Hey Bldg, Hong Kong, Peoples R China</t>
  </si>
  <si>
    <t>Darvin, R (corresponding author), Chinese Univ Hong Kong, Shatin, 3 F Fung King Hey Bldg, Hong Kong, Peoples R China.</t>
  </si>
  <si>
    <t>Darvin, Ron/AFK-4975-2022</t>
  </si>
  <si>
    <t>10.1016/j.dcm.2022.100591</t>
  </si>
  <si>
    <t>ZZ1UA</t>
  </si>
  <si>
    <t>WOS:000773060400001</t>
  </si>
  <si>
    <t>Tam, B; Lin, ME; Shah, RS; Ulloa, R; Luu, N; Markarian, A; Moayer, R</t>
  </si>
  <si>
    <t>Tam, Benjamin; Lin, Matthew E.; Shah, Rishabh; Ulloa, Ruben; Luu, Neil; Markarian, Alexander; Moayer, Roxana</t>
  </si>
  <si>
    <t>An Evaluation of Male Rhinoplasty Videos on YouTube and TikTok: A DISCERN Analysis</t>
  </si>
  <si>
    <t>[Tam, Benjamin; Lin, Matthew E.; Shah, Rishabh; Ulloa, Ruben] Univ Southern Calif, Keck Sch Med, Los Angeles, CA USA; [Luu, Neil; Markarian, Alexander; Moayer, Roxana] Univ Southern Calif, Keck Sch Med, Rick &amp; Tina Caruso Dept Otolaryngol Head &amp; Neck Su, Los Angeles, CA USA; [Moayer, Roxana] Univ Southern Calif, Keck Sch Med, Rick &amp; Tina Caruso Dept Otolaryngol Head &amp; Neck Su, 1537 Norfolk St,Suite 5800, Los Angeles, CA 90033 USA</t>
  </si>
  <si>
    <t>University of Southern California; University of Southern California; University of Southern California</t>
  </si>
  <si>
    <t>Moayer, R (corresponding author), Univ Southern Calif, Keck Sch Med, Rick &amp; Tina Caruso Dept Otolaryngol Head &amp; Neck Su, 1537 Norfolk St,Suite 5800, Los Angeles, CA 90033 USA.</t>
  </si>
  <si>
    <t>roxana.moayer@med.usc.edu</t>
  </si>
  <si>
    <t>Lin, Matthew/JEF-7096-2023; Tam, Benjamin/HSF-1300-2023</t>
  </si>
  <si>
    <t>, Roxana/0009-0001-8013-2403; Lin, Matthew/0000-0001-9914-9670</t>
  </si>
  <si>
    <t>2024 APR 16</t>
  </si>
  <si>
    <t>10.1089/fpsam.2023.0249</t>
  </si>
  <si>
    <t>NT3E6</t>
  </si>
  <si>
    <t>WOS:001202658200001</t>
  </si>
  <si>
    <t>Bermúdez, J</t>
  </si>
  <si>
    <t>Rogers, H; Freitas, J; Porfirio, JF</t>
  </si>
  <si>
    <t>Bermudez, Juan</t>
  </si>
  <si>
    <t>Performing Beyond the Platform: Experiencing Musicking on and Through YouTube, TikTok and Instagram</t>
  </si>
  <si>
    <t>REMEDIATING SOUND: Repeatable Culture, YouTube and Music</t>
  </si>
  <si>
    <t>New Approaches to Sound Music and Media</t>
  </si>
  <si>
    <t>[Bermudez, Juan] Univ Mus &amp; Performing Arts, Inst Ethnomusicol, Graz, Austria; [Bermudez, Juan] Univ Vienna, Dept Mus, Vienna, Austria; [Bermudez, Juan] Autonomous Univ Barcelona, Dept Arts &amp; Mus, Barcelona, Spain</t>
  </si>
  <si>
    <t>University of Vienna; Autonomous University of Barcelona</t>
  </si>
  <si>
    <t>Bermúdez, J (corresponding author), Univ Vienna, Dept Mus, Vienna, Austria.;Bermúdez, J (corresponding author), Autonomous Univ Barcelona, Dept Arts &amp; Mus, Barcelona, Spain.</t>
  </si>
  <si>
    <t>BLOOMSBURY ACADEMIC</t>
  </si>
  <si>
    <t>1385 BROADWAY, NEW YORK, NY 10018 USA</t>
  </si>
  <si>
    <t>978-1-5013-8736-4; 978-1-5013-8734-0; 978-1-5013-8732-6</t>
  </si>
  <si>
    <t>N AP SOUND MUSIC MED</t>
  </si>
  <si>
    <t>10.5040/9781501387357</t>
  </si>
  <si>
    <t>Cultural Studies; Music</t>
  </si>
  <si>
    <t>BW4QS</t>
  </si>
  <si>
    <t>WOS:001154213500010</t>
  </si>
  <si>
    <t>Pomerantz, S; Field, M</t>
  </si>
  <si>
    <t>Blaikie, F</t>
  </si>
  <si>
    <t>Pomerantz, Shauna; Field, Miriam</t>
  </si>
  <si>
    <t>A TikTok assemblage Girlhood, radical media engagement, and parent-child generativity</t>
  </si>
  <si>
    <t>VISUAL AND CULTURAL IDENTITY CONSTRUCTS OF GLOBAL YOUTH AND YOUNG ADULTS: Situated, Embodied and Performed Ways of Being, Engaging and Belonging</t>
  </si>
  <si>
    <t>Routledge Research in Cultural and Media Studies</t>
  </si>
  <si>
    <t>GIRLS; INNOCENCE</t>
  </si>
  <si>
    <t>[Pomerantz, Shauna] Brock Univ, Child &amp; Youth Studies, St Catharines, ON, Canada</t>
  </si>
  <si>
    <t>Brock University</t>
  </si>
  <si>
    <t>Pomerantz, S (corresponding author), Brock Univ, Child &amp; Youth Studies, St Catharines, ON, Canada.</t>
  </si>
  <si>
    <t>978-0-367-51951-3; 978-1-003-05582-2; 978-0-367-51949-0</t>
  </si>
  <si>
    <t>ROUTL RES CULT MEDIA</t>
  </si>
  <si>
    <t>BT0JU</t>
  </si>
  <si>
    <t>WOS:000788257800009</t>
  </si>
  <si>
    <t>Irfan, B; Yasin, I</t>
  </si>
  <si>
    <t>Irfan, Bilal; Yasin, Ihsaan</t>
  </si>
  <si>
    <t>The spread of sleep health information on TikTok: An analysis of user-generated content</t>
  </si>
  <si>
    <t>SLEEP MEDICINE</t>
  </si>
  <si>
    <t>[Irfan, Bilal; Yasin, Ihsaan] Univ Michigan, Ann Arbor, MI 48109 USA</t>
  </si>
  <si>
    <t>Irfan, B (corresponding author), Univ Michigan, Ann Arbor, MI 48109 USA.</t>
  </si>
  <si>
    <t>1389-9457</t>
  </si>
  <si>
    <t>1878-5506</t>
  </si>
  <si>
    <t>SLEEP MED</t>
  </si>
  <si>
    <t>Sleep Med.</t>
  </si>
  <si>
    <t>10.1016/j.sleep.2023.08.009</t>
  </si>
  <si>
    <t>R7AP8</t>
  </si>
  <si>
    <t>WOS:001065846900001</t>
  </si>
  <si>
    <t>Rajanala, S; Watchmaker, JD; Dover, JS</t>
  </si>
  <si>
    <t>Rajanala, Susruthi; Watchmaker, Jacqueline D.; Dover, Jeffrey S.</t>
  </si>
  <si>
    <t>TikTok Sheds Light on Lasers: An Analysis of Laser, Light, and Energy-based Device Videos</t>
  </si>
  <si>
    <t>[Rajanala, Susruthi] Boston Univ, Dept Dermatol, Sch Med, Boston, MA 02215 USA; [Watchmaker, Jacqueline D.] Southwest Skin Specialists, Scottsdale, AZ USA; [Dover, Jeffrey S.] SkinCare Phys, Chestnut Hill, MA USA</t>
  </si>
  <si>
    <t>Boston University</t>
  </si>
  <si>
    <t>Rajanala, S (corresponding author), Boston Univ, Dept Dermatol, Sch Med, Boston, MA 02215 USA.</t>
  </si>
  <si>
    <t>jacqueline.watchmaker@gmail.com; jdover@skincarephysicians.net</t>
  </si>
  <si>
    <t>10.1097/DSS.0000000000003782</t>
  </si>
  <si>
    <t>K8CX6</t>
  </si>
  <si>
    <t>WOS:001018674300024</t>
  </si>
  <si>
    <t>#Dubailiving and Digital Placemaking on TikTok: Migrant, Domestic, and Service Workers' Affective Social Mediascapes</t>
  </si>
  <si>
    <t>TikTok; algorithms; social mediascape; global semiotics; digital placemaking; digital labor; affect; migrants</t>
  </si>
  <si>
    <t>While Dubai, the small emirate in the United Arab Emirates, tends to be associated with luxurious social media images of elite social actors, startling architecture, and consumer status symbols, this study addresses migrant, domestic, and service workers' everyday digital placemaking. To explore these issues, a global semiotic framework reorientates traditional notions of the geopolitical context in terms of Dubai's social mediascape. TikTok is taken as a case to explore a corpus of Dubai-related hashtags and content being shared by migrant, domestic, and service workers. The central argument of the article is that, while Dubai's social media cultures reflect hegemonies of Gulf governance and TikTok's algorithms, they are also infused by workers' affective digital-placemaking as a form of neoliberal resilience to communicative capitalism and deterritorialization in the social media age. Overall, the article provides much-needed insights into how social mediashapes and is shaped by transnational social actors' digital placemaking in the Middle East region.</t>
  </si>
  <si>
    <t>[Hurley, Zoe] Zayed Univ, Dubai, U Arab Emirates; [Hurley, Zoe] Zayed Univ, POB 19282, Dubai, U Arab Emirates</t>
  </si>
  <si>
    <t>Zayed University; Zayed University</t>
  </si>
  <si>
    <t>Hurley, Z (corresponding author), Zayed Univ, POB 19282, Dubai, U Arab Emirates.</t>
  </si>
  <si>
    <t>Policy Research Incentive Program, Zayed University; College of Interdisciplinary Studies, Zayed University</t>
  </si>
  <si>
    <t>The author(s) disclosed receipt of the following financial support for the research, authorship, and/or publication of this article: This work was funded by the Policy Research Incentive Program, Zayed University and supported by the College of Interdisciplinary Studies, Zayed University.</t>
  </si>
  <si>
    <t>10.1177/20563051231196897</t>
  </si>
  <si>
    <t>R3HN5</t>
  </si>
  <si>
    <t>WOS:001063296700001</t>
  </si>
  <si>
    <t>Li, YZ; Qian, J; Guo, L</t>
  </si>
  <si>
    <t>Li, Yazheng; Qian, Jin; Guo, Lu</t>
  </si>
  <si>
    <t>Factors Impacting Users' Negative Interaction Behaviors When They Enjoy Short Videos on TikTok</t>
  </si>
  <si>
    <t>DISCRETE DYNAMICS IN NATURE AND SOCIETY</t>
  </si>
  <si>
    <t>PRIVACY MANAGEMENT</t>
  </si>
  <si>
    <t>Short video media has become an essential new media channel for Chinese people to obtain information daily. However, an interesting negative interaction phenomenon exists, such as many users canceling likes after giving likes to a video, hiding their likes and following list. Our article aims to explore the factors impacting users' negative interaction behaviors that may lead to short video media burnout. The structural equation modeling method was used to analyze 423 valid responses in a survey from TikTok users in the Chinese mainland. The results indicate that information redundancy concerns, social image concerns, information disclosure concerns, and content value deviation are the main potential variables that affect users' negative interactions when they enjoy short videos on TikTok. We concluded that privacy concern is critical for users' negative interaction behaviors compared to the video content dimension. This article extends short video users' engagement behavior research by first investigating the influence factors of TikTok users' negative behaviors. This article also provides practical and managerial implications for app designers on stimulating users' active interaction and participation through the innovative design of privacy management functions.</t>
  </si>
  <si>
    <t>[Li, Yazheng; Qian, Jin] Anhui Univ, Sch Journalism &amp; Commun, Hefei, Peoples R China; [Guo, Lu] Hefei Normal Univ, Sch Humanities, Hefei, Peoples R China</t>
  </si>
  <si>
    <t>Anhui University; Hefei Normal University</t>
  </si>
  <si>
    <t>Guo, L (corresponding author), Hefei Normal Univ, Sch Humanities, Hefei, Peoples R China.</t>
  </si>
  <si>
    <t>yazheng@ahu.edu.cn; 522877532@qq.com; 776398501@qq.com</t>
  </si>
  <si>
    <t>Anhui Office of Philosophy and Social Science [AHSKQ2018D62]</t>
  </si>
  <si>
    <t>Anhui Office of Philosophy and Social Science</t>
  </si>
  <si>
    <t>AcknowledgmentsThis study was supported by the Anhui Office of Philosophy and Social Science (AHSKQ2018D62).</t>
  </si>
  <si>
    <t>HINDAWI LTD</t>
  </si>
  <si>
    <t>ADAM HOUSE, 3RD FLR, 1 FITZROY SQ, LONDON, W1T 5HF, ENGLAND</t>
  </si>
  <si>
    <t>1026-0226</t>
  </si>
  <si>
    <t>1607-887X</t>
  </si>
  <si>
    <t>DISCRETE DYN NAT SOC</t>
  </si>
  <si>
    <t>Discrete Dyn. Nat. Soc.</t>
  </si>
  <si>
    <t>FEB 25</t>
  </si>
  <si>
    <t>10.1155/2023/3238404</t>
  </si>
  <si>
    <t>Mathematics, Interdisciplinary Applications; Multidisciplinary Sciences</t>
  </si>
  <si>
    <t>Mathematics; Science &amp; Technology - Other Topics</t>
  </si>
  <si>
    <t>9O1PV</t>
  </si>
  <si>
    <t>WOS:000943377500001</t>
  </si>
  <si>
    <t>Nieto-Sandoval, AG; Ferre-Pavia, C</t>
  </si>
  <si>
    <t>Nieto-Sandoval, Alejandra G.; Ferre-Pavia, Carme</t>
  </si>
  <si>
    <t>Communicating Climate Change on TikTok During the Climate Summits: From the Environmental Issues to the Politicization of Discourse</t>
  </si>
  <si>
    <t>Climate change; climate summit; COP26; COP27; social media; TikTok; environmental communication</t>
  </si>
  <si>
    <t>SOCIAL MEDIA; YOUTUBE; NEWS</t>
  </si>
  <si>
    <t>Climate Change (CC) communication is one of the most important areas to inform and raise awareness of the current climate emergency. This research studies how CC was communicated on the fastest growing platform, TikTok, during the Glasgow (2021) and Sharm el-Sheikh (2022) Climate Summits. Content analysis of the videos (N = 1013) showed a significant reduction in the number of CC-related videos during the Egypt Summit compared to its predecessor. While the Glasgow Summit was notable for addressing primarily environmental issues, the Sharm el-Sheikh one saw a politicization of the discourse, often unrelated to the climate issue. The results reveal that the main voices communicating CC on TikTok are influencers, media, and journalists, mostly men. The small number of sources of information cited in the videos is relevant. On the few occasions in which a source is mentioned, it is the media. These, in turn, do not report the origin of the information transmitted.</t>
  </si>
  <si>
    <t>[Nieto-Sandoval, Alejandra G.; Ferre-Pavia, Carme] Autonomous Univ Barcelona, Dept Media Commun &amp; Culture, Barcelona, Spain</t>
  </si>
  <si>
    <t>Ferre-Pavia, C (corresponding author), Autonomous Univ Barcelona, Dept Media Commun &amp; Culture, Barcelona, Spain.</t>
  </si>
  <si>
    <t>Carme.Ferre@uab.cat</t>
  </si>
  <si>
    <t>10.1080/17524032.2023.2299753</t>
  </si>
  <si>
    <t>A5K9S</t>
  </si>
  <si>
    <t>WOS:001140878100001</t>
  </si>
  <si>
    <t>Lawrence, C; Meivitawanli, B</t>
  </si>
  <si>
    <t>Lawrence, Caroline; Meivitawanli, Bryna</t>
  </si>
  <si>
    <t>The Role of Parasocial Relationships, Congruence and Source Credibility in Indonesia: A Study on Tiktok Live Streaming Commerce in the Cosmetics Industry</t>
  </si>
  <si>
    <t>AUSTRALASIAN ACCOUNTING BUSINESS AND FINANCE JOURNAL</t>
  </si>
  <si>
    <t>Congruence; Internet celebrity; Match-up hypothesis; Parasocial relationships; Source credibility; TikTok Live streaming</t>
  </si>
  <si>
    <t>SOCIAL MEDIA; ENDORSER; FRIEND; BEAUTY; IMPACT</t>
  </si>
  <si>
    <t>This study aimed to investigate how parasocial relationships, congruence, and source credibility influence purchase intention in TikTok Live Streaming commerce for cosmetics among Indonesian Generation Z users. Data was collected from 270 respondents through an online questionnaire, and validity and reliability tests were conducted. The data were analyzed using Structural Equation Modeling (SEM-PLS). Results showed that celebrity endorsers' attractiveness, trustworthiness, and expertise positively impact purchase intention. Parasocial relationship mediated the connection between celebrity characteristics and purchase intention. Moreover, celebrity-product congruence positively influenced endorsers' perceived credibility and mediated the relationship with purchase intention. The findings emphasize the importance of celebrity attractiveness, trustworthiness, and expertise in shaping purchase intention. The mediating role of parasocial relationships highlights the significance of strong celebrity-audience connections. Additionally, celebrity-product congruence enhances endorsers' credibility and positively influences purchase intention. These insights assist brands and marketers in optimizing influencer marketing strategies on TikTok, fostering engagement and driving purchase behavior.</t>
  </si>
  <si>
    <t>[Lawrence, Caroline; Meivitawanli, Bryna] Bina Nusantara Univ, Binus Business Sch, Jakarta 10270, Indonesia</t>
  </si>
  <si>
    <t>Meivitawanli, B (corresponding author), Bina Nusantara Univ, Binus Business Sch, Jakarta 10270, Indonesia.</t>
  </si>
  <si>
    <t>caroline.lawrence@binus.ac.id; bryna.meivitawanli@binus.edu</t>
  </si>
  <si>
    <t>Meivitawanli, Bryna/AEY-4918-2022</t>
  </si>
  <si>
    <t>Meivitawanli, Bryna/0000-0003-0891-5945</t>
  </si>
  <si>
    <t>UNIV WOLLONGONG</t>
  </si>
  <si>
    <t>WOLLONGONG</t>
  </si>
  <si>
    <t>NORTHFIELDS AVE, WOLLONGONG, NSW 2522, AUSTRALIA</t>
  </si>
  <si>
    <t>1834-2000</t>
  </si>
  <si>
    <t>1834-2019</t>
  </si>
  <si>
    <t>AUSTRALAS ACCOUNT BU</t>
  </si>
  <si>
    <t>Australas. Account. Bus. Financ. J.</t>
  </si>
  <si>
    <t>X1KK1</t>
  </si>
  <si>
    <t>WOS:001096102400004</t>
  </si>
  <si>
    <t>Morejon-Llamas, N; Ramos-Ruiz, A; Cristofol, FJ</t>
  </si>
  <si>
    <t>Morejon-Llamas, Noemi; Ramos-Ruiz, Alvaro; Cristofol, F. J.</t>
  </si>
  <si>
    <t>Institutional and political communication on TikTok: Systematic review of scientific production in Web of Science and Scopus</t>
  </si>
  <si>
    <t>COMMUNICATION &amp; SOCIETY-SPAIN</t>
  </si>
  <si>
    <t>TikTok; institucional communication; political communication; systematized bibliographic review; scientific production; Web of Science; Scopus</t>
  </si>
  <si>
    <t>SOCIAL MEDIA; SHORT VIDEO; TOOL</t>
  </si>
  <si>
    <t>After the Covid-19 pandemic, political parties and international public institutions consolidated the use of TikTok as a communication tool in order to reach a young audience, which requires dynamic formats and more flexible languages. This study aims to reflect on the characteristics of institutional and political communication research in TikTok, the suitability of its methodologies, conclusions and limitations, and its future prospects. To this end, a systematic review of the scientific literature (SLR) for the period 2018-2023 is carried out, following the standards of the PRISMA Statement (Preferred Reporting Items for Systematic Reviews and Meta-Analyses). After applying the inclusion and exclusion criteria to 1.186 scientific documents, 21 articles published in the Scopus and Web of Science databases were analysed. The findings indicate that Spain concentrates the highest number of publications, that the phenomenon was not studied until 2021 and that 2022 was the year of highest production. The conclusions suggest that the study of TikTok is in an incipient phase and that content analysis is the predominant methodology, although its samples are small. They also suggest that there is little bidirectionality in communication strategies, that interaction is not related to adaptation to the multimodal language of the platform and that the focus should be on studying the community rather than the messages disseminated from official profiles.</t>
  </si>
  <si>
    <t>[Morejon-Llamas, Noemi; Ramos-Ruiz, Alvaro; Cristofol, F. J.] Univ Loyola Andalucia, Seville, Spain</t>
  </si>
  <si>
    <t>Morejon-Llamas, N (corresponding author), Univ Loyola Andalucia, Seville, Spain.</t>
  </si>
  <si>
    <t>nmorejon@uloyola.es; aramos@uloyola.es; fjcristofol@uloyola.es</t>
  </si>
  <si>
    <t>Morejón Llamas, Noemí/AAZ-5738-2021; Cristòfol, Francisco/R-1422-2018</t>
  </si>
  <si>
    <t>Cristofol Rodriguez, Francisco Javier/0000-0002-0967-3514; Morejon Llamas, Noemi/0000-0001-6927-1931; Ramos Ruiz, Alvaro/0000-0002-9101-2642</t>
  </si>
  <si>
    <t>UNIV NAVARRA, SERVICIO PUBLICACIONES</t>
  </si>
  <si>
    <t>PAMPLONA</t>
  </si>
  <si>
    <t>CAMPUS UNIV, CARRETERA DEL SADAR S-N, APARTADO 177, 31080 PAMPLONA, SPAIN</t>
  </si>
  <si>
    <t>2386-7876</t>
  </si>
  <si>
    <t>COMMUN SOC-SPAIN</t>
  </si>
  <si>
    <t>Commun. Soc.-Spain</t>
  </si>
  <si>
    <t>10.15581/003.37.2.159-177</t>
  </si>
  <si>
    <t>QV0D2</t>
  </si>
  <si>
    <t>WOS:001223517200019</t>
  </si>
  <si>
    <t>Grad, VM; Khan, A; D'Mello, K; Kirpalani, A</t>
  </si>
  <si>
    <t>Grad, Veronica M.; Khan, Ahmad; D'Mello, Keegan; Kirpalani, Amrit</t>
  </si>
  <si>
    <t>None of us asked to be in this community. Understanding nephrotic syndrome through TikTok: patient and caregiver perspectives</t>
  </si>
  <si>
    <t>TikTok; Nephrotic syndrome; Disease burden; Mental health</t>
  </si>
  <si>
    <t>BackgroundTikTok, a popular social media platform, is increasingly used for health information dissemination; however, the accuracy and quality of medical content remain uncertain, including in the context of nephrotic syndrome (NS). This study aims to identify prominent patient and caregiver experiences with NS on TikTok and demonstrate how they may vary.MethodsA convenience sample of TikTok videos containing the hashtag nephrotic syndrome posted between July 1, 2020, and February 29, 2024, was analyzed. Videos underwent cyclical and inductive coding, followed by content and discourse analysis to identify common themes and narratives.ResultsOne hundred twenty-three videos were included in the analysis. 62.6% of videos (N = 77) consisted of caregivers sharing their experiences of their child's disease. Three prominent topics included: (1) navigating healthcare and managing illness, where users shared their disease journeys; (2) emotional and physical wellbeing, where caregivers focused on physical disease signs while patients highlighted the mental health toll of the illness; and (3) education, awareness, and support systems, where users shared feelings of social isolation post-diagnosis. The discourse analysis revealed language portraying patients as warriors, reflecting the resiliency promoted by TikTok support systems.ConclusionsWe uncovered a hidden disease burden associated with NS that affects everyday life, reinforcing the importance of the journey and stress patients and caregivers experience outside of the clinician's office. Our findings also highlight that patient priorities may differ from those reported by caregivers, particularly in pediatrics. TikTok may also be an outlet for feelings of isolation and community-building within NS.Graphical AbstractA higher resolution version of the Graphical abstract is available as Supplementary information</t>
  </si>
  <si>
    <t>[Grad, Veronica M.; Khan, Ahmad; Kirpalani, Amrit] Western Univ, Schulich Sch Med &amp; Dent, Dept Paediat, London, ON, Canada; [D'Mello, Keegan; Kirpalani, Amrit] Lawson Hlth Res Inst, London, ON, Canada; [Kirpalani, Amrit] London Hlth Sci Ctr, Childrens Hosp, Div Paediat Nephrol, 800 Commissioners Rd, London, ON N6A 5W9, Canada</t>
  </si>
  <si>
    <t>Western University (University of Western Ontario); Western University (University of Western Ontario); London Health Sciences Centre; Western University (University of Western Ontario)</t>
  </si>
  <si>
    <t>Kirpalani, A (corresponding author), Western Univ, Schulich Sch Med &amp; Dent, Dept Paediat, London, ON, Canada.;Kirpalani, A (corresponding author), Lawson Hlth Res Inst, London, ON, Canada.;Kirpalani, A (corresponding author), London Hlth Sci Ctr, Childrens Hosp, Div Paediat Nephrol, 800 Commissioners Rd, London, ON N6A 5W9, Canada.</t>
  </si>
  <si>
    <t>amrit.kirpalani@lhsc.on.ca</t>
  </si>
  <si>
    <t>2024 NOV 11</t>
  </si>
  <si>
    <t>10.1007/s00467-024-06589-x</t>
  </si>
  <si>
    <t>L7N5W</t>
  </si>
  <si>
    <t>WOS:001352550300001</t>
  </si>
  <si>
    <t>Rando-Cueto, D; de las Heras-pedrosa, C; Paniagua-Rojano, FJ</t>
  </si>
  <si>
    <t>Rando-Cueto, Dolores; de las Heras-Pedrosa, Carlos; Paniagua-Rojano, Francisco Javier</t>
  </si>
  <si>
    <t>Health Communication Strategies via TikTok for the Prevention of Eating Disorders</t>
  </si>
  <si>
    <t>SYSTEMS</t>
  </si>
  <si>
    <t>eating disorders; anorexia; health communication; TikTok; social media</t>
  </si>
  <si>
    <t>INFLUENCER; INSTAGRAM</t>
  </si>
  <si>
    <t>Patient assistance with severe eating disorders (EDs) is covered in hospital institutions by the specialized service offered. To a lesser extent, these types of pathologies are treated from health prevention, and there are hardly any experiences of health promotion in EDs through social networks. The main objective of this study was to evaluate the effectiveness of the messages about ED spread on TikTok, particularly those disseminated by international hospitals. For this, a systematic review of the scientific literature has been conducted, and the analytic tools Fanpagekarma and analisa.io have been used to analyse TikTok accounts of hospital entities and an intentional sample of different tiktokers with EDs or in recovery and people who show themselves as valid advisers in this matter, as well as their followers, respectively. Among the results obtained (due to volume and lack of transparency), the strategies of those who participate in TikTok to promote unhealthy eating habits are striking, as well as the amount of content presented against the spread of EDs that has the opposite effect on receivers. This study highlights the influence of TikTok on people affected by an eating disorder or are vulnerable to suffer from it and advocates for the spread of communication proposals via this social network that are supervised or led by health specialists who validate the content of the messages from a hospital environment to prevent such disorders. The definition of lines of action in communication by health institutions in this sense is shown to be necessary to prevent the appearance of EDs or to slow down their growth.</t>
  </si>
  <si>
    <t>[Rando-Cueto, Dolores; de las Heras-Pedrosa, Carlos] Univ Malaga, Fac Commun Sci, Dept Audiovisual Commun &amp; Advertising, Malaga 29071, Spain; [Paniagua-Rojano, Francisco Javier] Univ Malaga, Fac Commun Sci, Dept Journalism, Malaga 29071, Spain</t>
  </si>
  <si>
    <t>Universidad de Malaga; Universidad de Malaga</t>
  </si>
  <si>
    <t>Paniagua-Rojano, FJ (corresponding author), Univ Malaga, Fac Commun Sci, Dept Journalism, Malaga 29071, Spain.</t>
  </si>
  <si>
    <t>lrandocueto@uma.es; cheras@uma.es; fjpaniagua@uma.es</t>
  </si>
  <si>
    <t>Rando, Dolores/F-7686-2016; Paniagua Rojano, Francisco Javier/K-7709-2014; de las Heras-Pedrosa, Carlos/M-4492-2015</t>
  </si>
  <si>
    <t>de las Heras-Pedrosa, Carlos/0000-0002-2738-4177; Paniagua Rojano, Francisco Javier/0000-0001-7376-4536; Rando Cueto, Dolores/0000-0002-8512-5034</t>
  </si>
  <si>
    <t>Universidad de Malaga/CBUA</t>
  </si>
  <si>
    <t>This research was funded by Universidad de Malaga/CBUA.</t>
  </si>
  <si>
    <t>2079-8954</t>
  </si>
  <si>
    <t>SYSTEMS-BASEL</t>
  </si>
  <si>
    <t>Systems-Basel</t>
  </si>
  <si>
    <t>10.3390/systems11060274</t>
  </si>
  <si>
    <t>K7AW8</t>
  </si>
  <si>
    <t>WOS:001017941500001</t>
  </si>
  <si>
    <t>Basch, CH; Yalamanchili, B; Fera, J</t>
  </si>
  <si>
    <t>Basch, Corey H.; Yalamanchili, Bhavya; Fera, Joseph</t>
  </si>
  <si>
    <t>#Climate Change on TikTok: A Content Analysis of Videos</t>
  </si>
  <si>
    <t>JOURNAL OF COMMUNITY HEALTH</t>
  </si>
  <si>
    <t>Climate change; Social media; TikTok</t>
  </si>
  <si>
    <t>HEALTH IMPACTS; UNITED-STATES</t>
  </si>
  <si>
    <t>Current day youth have an important role in climate activism, as the decisions and policies made now will have long lasting impacts on the climate and sustainability. Climate change is becoming an increasing concern for younger generations. As such, the purpose of this study was to describe content related to climate change on TikTok. This study included 100 English-language videos related to climate change featured on TikTok. The hashtag #climatechange was chosen because it had the most views of any related hashtag at the time of the study. The number of views, comments, and likes were recorded for each video. Each video was also observed for the presence of predetermined content characteristics. The 100 videos sampled collectively received 205,551,200 views, 40, 203,400 likes, and 666,089 comments. Only eight of the 100 videos included information from a reputable source. Only three of the characteristics were featured in a majority (&gt; 50) of the videos. These were, presents climate change as real (93), affected populations (76), and climate anxiety/frustration (57). Videos mentioning natural disasters garnered 63,453,100 (30.87%) views, 14,245,200 (35.43%) likes, and 236,493 (35.50%) comments. In all, 73 of the 100 videos mentioned at least one environmental impact. Videos including this theme earned 156,677,200 (76.22%) views, 32,000,700 (79.60%) likes, and 563,195 (84.55%) comments. Social media platforms such as TikTok are important tools for understanding popular opinion regarding public health issues such as global climate change. However, the presence of credible professionals is essential on platforms such as TikTok to increase the chances that messaging is as comprehensive as time allows, while also being scientifically sound.</t>
  </si>
  <si>
    <t>[Basch, Corey H.; Yalamanchili, Bhavya] William Paterson Univ, Dept Publ Hlth, Univ Hall, Wayne, NJ 07470 USA; [Fera, Joseph] CUNY Bronx, Lehman Coll, Dept Math, New York, NY USA</t>
  </si>
  <si>
    <t>City University of New York (CUNY) System; Lehman College (CUNY)</t>
  </si>
  <si>
    <t>Basch, CH (corresponding author), William Paterson Univ, Dept Publ Hlth, Univ Hall, Wayne, NJ 07470 USA.</t>
  </si>
  <si>
    <t>0094-5145</t>
  </si>
  <si>
    <t>1573-3610</t>
  </si>
  <si>
    <t>J COMMUN HEALTH</t>
  </si>
  <si>
    <t>J. Community Health</t>
  </si>
  <si>
    <t>10.1007/s10900-021-01031-x</t>
  </si>
  <si>
    <t>Health Policy &amp; Services; Public, Environmental &amp; Occupational Health</t>
  </si>
  <si>
    <t>YV7KS</t>
  </si>
  <si>
    <t>WOS:000698152800001</t>
  </si>
  <si>
    <t>Diehl, K; Barber, C; Simpson, EL; Banh, M; Cantu, M; Price, K; Dao, T; Alcantara, CA; Yu, TJ; Godil, S; Pham, QD; Hosseinian, K; Wisco, OJ</t>
  </si>
  <si>
    <t>Diehl, Kyra; Barber, Cara; Simpson, Eric L.; Banh, Marian; Cantu, Monique; Price, Kenna; Dao, Tiffany; Alcantara, Cheldon Ann; Yu, Tai Jung; Godil, Suha; Pham, Quang D.; Hosseinian, Kiana; Wisco, Oliver J.</t>
  </si>
  <si>
    <t>TikTok Misinformation on the Role of Diet in Atopic Dermatitis Management</t>
  </si>
  <si>
    <t>EUROPEAN GUIDELINES; ADULTS</t>
  </si>
  <si>
    <t>[Diehl, Kyra; Banh, Marian; Cantu, Monique; Price, Kenna; Dao, Tiffany; Alcantara, Cheldon Ann; Yu, Tai Jung; Godil, Suha; Pham, Quang D.; Hosseinian, Kiana] Western Univ Hlth Sci, Coll Osteopath Med, Pomona, CA 91766 USA; [Barber, Cara] Silver Falls Dermatol, Salem, OR USA; [Simpson, Eric L.] Oregon Hlth &amp; Sci Univ, Dept Dermatol, Portland, OR USA; [Wisco, Oliver J.] Brown Univ, Warren Alpert Med Sch, Dept Dermatol, Providence, RI USA</t>
  </si>
  <si>
    <t>Diehl, K (corresponding author), Western Univ Hlth Sci, Coll Osteopath Med, Pomona, CA 91766 USA.</t>
  </si>
  <si>
    <t>kyra.diehl@westernu.edu</t>
  </si>
  <si>
    <t>Simpson, Eric/HKM-8715-2023</t>
  </si>
  <si>
    <t>Diehl, Kyra/0009-0001-2243-6484</t>
  </si>
  <si>
    <t>2024 AUG 7</t>
  </si>
  <si>
    <t>10.1089/derm.2024.0123</t>
  </si>
  <si>
    <t>A8W2N</t>
  </si>
  <si>
    <t>WOS:001285279400001</t>
  </si>
  <si>
    <t>Aghajani, R; Aghajani, M</t>
  </si>
  <si>
    <t>Aghajani, R.; Aghajani, M.</t>
  </si>
  <si>
    <t>TikTok and #inflammatory bowel disease: A cross-sectional study of content quality and accuracy</t>
  </si>
  <si>
    <t>JOURNAL OF GASTROENTEROLOGY AND HEPATOLOGY</t>
  </si>
  <si>
    <t>[Aghajani, R.; Aghajani, M.] Royal North Shore Hosp, Sydney, NSW, Australia</t>
  </si>
  <si>
    <t>Royal North Shore Hospital</t>
  </si>
  <si>
    <t>0815-9319</t>
  </si>
  <si>
    <t>1440-1746</t>
  </si>
  <si>
    <t>J GASTROEN HEPATOL</t>
  </si>
  <si>
    <t>J. Gastroenterol. Hepatol.</t>
  </si>
  <si>
    <t>U2AD2</t>
  </si>
  <si>
    <t>WOS:001082874200201</t>
  </si>
  <si>
    <t>Sampson, A; Barrett, F; Quinn, GP</t>
  </si>
  <si>
    <t>Sampson, Amani; Barrett, Francesca; Quinn, Gwendolyn P.</t>
  </si>
  <si>
    <t>#LEARN ABOUT FERTILITY ON TIKTOK: A CROSS SECTIONAL CONTENT ANALYSIS OF FERTILITY RELATED HASHTAGS</t>
  </si>
  <si>
    <t>78th Annual Scientific Congress and Expo of the American-Society-for-Reproductive-Medicine (ASRM)</t>
  </si>
  <si>
    <t>OCT 22-26, 2022</t>
  </si>
  <si>
    <t>Anaheim, CA</t>
  </si>
  <si>
    <t>Amer Soc Reprod Med</t>
  </si>
  <si>
    <t>[Sampson, Amani] Univ Med &amp; Dent New Jersey, New York, NY USA; [Quinn, Gwendolyn P.] NYU, New York, NY USA</t>
  </si>
  <si>
    <t>Rutgers University System; Rutgers University New Brunswick; Rutgers University Biomedical &amp; Health Sciences; New York University</t>
  </si>
  <si>
    <t>P-516</t>
  </si>
  <si>
    <t>E326</t>
  </si>
  <si>
    <t>6Q7QF</t>
  </si>
  <si>
    <t>WOS:000891804601069</t>
  </si>
  <si>
    <t>Contractor, M</t>
  </si>
  <si>
    <t>Contractor, Maryam</t>
  </si>
  <si>
    <t>USING MACHINE LEARNING TO DETECT SYMPTOMS OF A DEPRESSIVE EPISODE OFF OF TIKTOK VIDEOS</t>
  </si>
  <si>
    <t>[Contractor, Maryam] DuPont Manual High Sch, Louisville, KY USA</t>
  </si>
  <si>
    <t>maryamcontractor102@gmail.com</t>
  </si>
  <si>
    <t>S180</t>
  </si>
  <si>
    <t>10.1016/j.jaac.2021.09.142</t>
  </si>
  <si>
    <t>WOS:000707082801005</t>
  </si>
  <si>
    <t>Mina, G; Fahmy, M; Ibrahim, S; Gamil, A; Elias, D; Saad, A; Mosaad, G; Gurgis, D; Mansour, C; Ibrahim, M; Verardo, A</t>
  </si>
  <si>
    <t>Mina, George; Fahmy, Maria; Ibrahim, Sarah; Gamil, Amir; Elias, Daniel; Saad, Anthony; Mosaad, George; Gurgis, Daniella; Mansour, Charlene; Ibrahim, Miriam; Verardo, Angela</t>
  </si>
  <si>
    <t>Comparison of Formal and Informal Search Terms for Anabolic Steroids Among YouTube and TikTok</t>
  </si>
  <si>
    <t>[Mina, George; Gamil, Amir; Saad, Anthony; Ibrahim, Miriam] Rutgers New Jersey Med Sch, Newark, NJ USA; [Fahmy, Maria] Montclair State Univ, Montclair, NJ USA; [Ibrahim, Sarah] Albert Einstein Coll Med, Bronx, NY USA; [Elias, Daniel] Univ Med &amp; Dent New Jersey, Newark, NJ USA; [Mosaad, George] Lake Erie Coll Osteopath Med, Bradenton, FL USA; [Gurgis, Daniella] New Jersey Inst Technol, Newark, NJ USA; [Mansour, Charlene] Univ Alabama Birmingham, Birmingham, AL USA; [Verardo, Angela] RWJBH, Newark, NJ USA</t>
  </si>
  <si>
    <t>Rutgers University System; Rutgers University New Brunswick; Rutgers University Biomedical &amp; Health Sciences; Montclair State University; Montefiore Medical Center; Albert Einstein College of Medicine; Yeshiva University; Rutgers University System; Rutgers University New Brunswick; Rutgers University Biomedical &amp; Health Sciences; New Jersey Institute of Technology; University of Alabama System; University of Alabama Birmingham</t>
  </si>
  <si>
    <t>JUL 26</t>
  </si>
  <si>
    <t>SUPPL 3</t>
  </si>
  <si>
    <t>P4OY6</t>
  </si>
  <si>
    <t>WOS:001050468900156</t>
  </si>
  <si>
    <t>Luo, P</t>
  </si>
  <si>
    <t>Luo, Pan</t>
  </si>
  <si>
    <t>Brand Marketing Path of Tiktok Platform under the Influence of COVID-19 Epidemic Situation</t>
  </si>
  <si>
    <t>BASIC &amp; CLINICAL PHARMACOLOGY &amp; TOXICOLOGY</t>
  </si>
  <si>
    <t>[Luo, Pan] Zhengzhou Univ Aeronaut, Zhengzhou, Henan, Peoples R China</t>
  </si>
  <si>
    <t>Zhengzhou University of Aeronautics</t>
  </si>
  <si>
    <t>Science Foundation of Ministry of Education of China [20YJC860022]</t>
  </si>
  <si>
    <t>Science Foundation of Ministry of Education of China(Ministry of Education, China)</t>
  </si>
  <si>
    <t>This paper is supported by Science Foundation of Ministry of Education of China (No. 20YJC860022).</t>
  </si>
  <si>
    <t>1742-7835</t>
  </si>
  <si>
    <t>1742-7843</t>
  </si>
  <si>
    <t>BASIC CLIN PHARMACOL</t>
  </si>
  <si>
    <t>Basic Clin. Pharmacol. Toxicol.</t>
  </si>
  <si>
    <t>Pharmacology &amp; Pharmacy; Toxicology</t>
  </si>
  <si>
    <t>MS6RV</t>
  </si>
  <si>
    <t>WOS:000554401700623</t>
  </si>
  <si>
    <t>Faith, JE; Chang, R; Feuerstein, MA</t>
  </si>
  <si>
    <t>Faith, Jared E.; Chang, Robert; Feuerstein, Michael A.</t>
  </si>
  <si>
    <t>UROLOGY ON TIKTOK: CROSS-SECTIONAL ANALYSIS OF POPULAR UROLOGY CONTENT AND CREATORS</t>
  </si>
  <si>
    <t>MAY 03-06, 2024</t>
  </si>
  <si>
    <t>Amer Urolog Assoc</t>
  </si>
  <si>
    <t>PD60-02</t>
  </si>
  <si>
    <t>E1273</t>
  </si>
  <si>
    <t>XT3H9</t>
  </si>
  <si>
    <t>WOS:001263885304219</t>
  </si>
  <si>
    <t>Saad, F; Hassan, AZ; Hartman, CL</t>
  </si>
  <si>
    <t>Saad, Faaiz; Hassan, Ali Z.; Hartman, Corey L.</t>
  </si>
  <si>
    <t>Are you the doctor? An analysis of dermatology content creators on TikTok</t>
  </si>
  <si>
    <t>[Saad, Faaiz] Univ Alabama Birmingham, Sch Med, Birmingham, AL USA; [Hassan, Ali Z.] Univ Alabama Birmingham, Coll Arts &amp; Sci, Birmingham, AL USA; [Hartman, Corey L.] Univ Alabama Birmingham, Dept Dermatol, Birmingham, AL USA</t>
  </si>
  <si>
    <t>University of Alabama System; University of Alabama Birmingham; University of Alabama System; University of Alabama Birmingham; University of Alabama System; University of Alabama Birmingham</t>
  </si>
  <si>
    <t>Hartman, Corey/JEP-6341-2023</t>
  </si>
  <si>
    <t>AB141</t>
  </si>
  <si>
    <t>WOS:000891793200560</t>
  </si>
  <si>
    <t>Morton, M; Haight, P; Backes, F; Bixel, K; O'Malley, D; Nagel, C; Vargas, R; Chambers, L</t>
  </si>
  <si>
    <t>Morton, Molly; Haight, Paulina; Backes, Floor; Bixel, Kristin; O'Malley, David; Nagel, Christa; Vargas, Roberto; Chambers, Laura</t>
  </si>
  <si>
    <t>More than just a song and dance: An analysis of gynecologic cancer content on TikTok</t>
  </si>
  <si>
    <t>GYNECOLOGIC ONCOLOGY</t>
  </si>
  <si>
    <t>[Morton, Molly; Haight, Paulina; Backes, Floor; Bixel, Kristin; O'Malley, David; Nagel, Christa; Chambers, Laura] Ohio State Univ, Wexner Med Ctr, Columbus, OH USA; [Vargas, Roberto] Cleveland Clin Fdn, Cleveland, OH USA</t>
  </si>
  <si>
    <t>University System of Ohio; Ohio State University; Cleveland Clinic Foundation</t>
  </si>
  <si>
    <t>0090-8258</t>
  </si>
  <si>
    <t>1095-6859</t>
  </si>
  <si>
    <t>GYNECOL ONCOL</t>
  </si>
  <si>
    <t>Gynecol. Oncol.</t>
  </si>
  <si>
    <t>S109</t>
  </si>
  <si>
    <t>10.1016/j.ygyno.2023.06.076</t>
  </si>
  <si>
    <t>Oncology; Obstetrics &amp; Gynecology</t>
  </si>
  <si>
    <t>T7DS5</t>
  </si>
  <si>
    <t>WOS:001079556100165</t>
  </si>
  <si>
    <t>Podszun, R</t>
  </si>
  <si>
    <t>Podszun, Rupprecht</t>
  </si>
  <si>
    <t>News ecosystems: tackling unfinished business</t>
  </si>
  <si>
    <t>JOURNAL OF ANTITRUST ENFORCEMENT</t>
  </si>
  <si>
    <t>Information economy; News ecosystem; TikTok; Democracy; European Media Freedom Act</t>
  </si>
  <si>
    <t>[Podszun, Rupprecht] Heinrich Heine Univ, Fac Law, Dusseldorf, Germany</t>
  </si>
  <si>
    <t>Heinrich Heine University Dusseldorf</t>
  </si>
  <si>
    <t>Podszun, R (corresponding author), Heinrich Heine Univ, Fac Law, Dusseldorf, Germany.</t>
  </si>
  <si>
    <t>podszun@hhu.de</t>
  </si>
  <si>
    <t>2050-0688</t>
  </si>
  <si>
    <t>2050-0696</t>
  </si>
  <si>
    <t>J ANTITRUST ENFORC</t>
  </si>
  <si>
    <t>J. Antitrust Enforc.</t>
  </si>
  <si>
    <t>APR 9</t>
  </si>
  <si>
    <t>10.1093/jaenfo/jnae015</t>
  </si>
  <si>
    <t>XW9X5</t>
  </si>
  <si>
    <t>WOS:001198843200001</t>
  </si>
  <si>
    <t>Balogun, M; Mathe, N; Yoo, J</t>
  </si>
  <si>
    <t>Balogun, M.; Mathe, N.; Yoo, J.</t>
  </si>
  <si>
    <t>Correspondence on prevailing dermatology-related topics on the rapidly growing TikTok™ social media platform</t>
  </si>
  <si>
    <t>[Balogun, M.; Mathe, N.; Yoo, J.] Univ Hosp Birmingham, Dept Dermatol, Birmingham, W Midlands, England</t>
  </si>
  <si>
    <t>Mathe, N (corresponding author), Univ Hosp Birmingham, Dept Dermatol, Birmingham, W Midlands, England.</t>
  </si>
  <si>
    <t>n.mathe@nhs.net</t>
  </si>
  <si>
    <t>Yoo, Jinah/0000-0002-1656-1158</t>
  </si>
  <si>
    <t>10.1111/ced.14927</t>
  </si>
  <si>
    <t>YP1EM</t>
  </si>
  <si>
    <t>WOS:000703523600001</t>
  </si>
  <si>
    <t>Sineath, RC; Verlage, K; Vu, K; Seideman, C</t>
  </si>
  <si>
    <t>Sineath, R. Craig; Verlage, Kenneth; Vu, Kathryn; Seideman, Casey</t>
  </si>
  <si>
    <t>IS TIKTOK A RELIABLE SOURCE OF EDUCATIONAL INFORMATION ON TESTICULAR TORSION?</t>
  </si>
  <si>
    <t>MP18-06</t>
  </si>
  <si>
    <t>E225</t>
  </si>
  <si>
    <t>WOS:000994549500432</t>
  </si>
  <si>
    <t>Rehman, R; Saad, M; Huq, F; Oska, S; Mehregan, D; Daveluy, S</t>
  </si>
  <si>
    <t>Rehman, Rafey; Saad, Marwa; Huq, Farhan; Oska, Sandra; Mehregan, Darius; Daveluy, Steven</t>
  </si>
  <si>
    <t>A cross-sectional analysis of popular hidradenitis suppurativa content on TikTok</t>
  </si>
  <si>
    <t>[Rehman, Rafey] Oakland Univ, William Beaumont Sch Med, Rochester, MI USA; [Saad, Marwa; Huq, Farhan; Mehregan, Darius; Daveluy, Steven] Wayne State Univ, Dept Dermatol, Dearborn, MI USA; [Oska, Sandra] Henry Ford Hlth Syst, Dept Dermatol, Detroit, MI USA; [Daveluy, Steven] 18100 Oakwood Blvd,Suite 300, Dearborn, MI 48124 USA</t>
  </si>
  <si>
    <t>Oakland University; Wayne State University; Henry Ford Health System; Henry Ford Hospital</t>
  </si>
  <si>
    <t>Daveluy, S (corresponding author), 18100 Oakwood Blvd,Suite 300, Dearborn, MI 48124 USA.</t>
  </si>
  <si>
    <t>sdaveluy@med.wayne.edu</t>
  </si>
  <si>
    <t>Daveluy, Steven/0000-0002-6951-2894</t>
  </si>
  <si>
    <t>10.1016/j.jdin.2021.09.004</t>
  </si>
  <si>
    <t>RG8V9</t>
  </si>
  <si>
    <t>WOS:001226614700017</t>
  </si>
  <si>
    <t>Sun, SJ; Liu, ZY; Zhai, YJ; Wang, F</t>
  </si>
  <si>
    <t>Sun, Shaojing; Liu, Zhiyuan; Zhai, Yujia; Wang, Fan</t>
  </si>
  <si>
    <t>COVID-19 Vaccines on TikTok: A Big-Data Analysis of Entangled Discourses</t>
  </si>
  <si>
    <t>social media; vaccine; TikTok; health communication; big data; China</t>
  </si>
  <si>
    <t>Focusing on social media affordances and China's social/political context, the present study analyzed the digital communication practices about COVID-19 vaccines on a popular social media platform-TikTok-which is called DouYin in China. Overall, this study identified five major forces partaking in constructing the discourses, with government agencies and state media being the dominant contributors. Furthermore, video posters demonstrated different patterns of utilizing social media affordances (e.g., hashtags) in disseminating their messages. The top hashtags adopted by state media were more representative of international relations and Taiwan; those by government agencies were of updates on pandemic outbreaks; those by individual accounts were of mainstream values and health education; those by commercial media were of celebrities and health education; those by enterprise accounts were of TikTok built-in marketing hashtags. The posted videos elicited both cognitive and affective feedback from online viewers. Implications of the findings were discussed in the context of health communication and global recovery against the backdrop of the COVID-19 pandemic and Chinese culture.</t>
  </si>
  <si>
    <t>[Sun, Shaojing; Liu, Zhiyuan] Fudan Univ, Sch Journalism, Inst Global Commun &amp; Integrated Media, Shanghai 200433, Peoples R China; [Zhai, Yujia] Tianjin Normal Univ, Management Sch, Tianjin 300387, Peoples R China; [Zhai, Yujia] Wuhan Univ, Sch Informat Management, Wuhan 430072, Peoples R China; [Wang, Fan] Fudan Univ, Fudan Dev Inst FDDI, Shanghai 200433, Peoples R China</t>
  </si>
  <si>
    <t>Fudan University; Tianjin Normal University; Wuhan University; Fudan University</t>
  </si>
  <si>
    <t>Zhai, YJ (corresponding author), Tianjin Normal Univ, Management Sch, Tianjin 300387, Peoples R China.;Zhai, YJ (corresponding author), Wuhan Univ, Sch Informat Management, Wuhan 430072, Peoples R China.;Wang, F (corresponding author), Fudan Univ, Fudan Dev Inst FDDI, Shanghai 200433, Peoples R China.</t>
  </si>
  <si>
    <t>zhaiyujiachn@gmail.com; wangfan512@126.com</t>
  </si>
  <si>
    <t>Zhai, Yujia/JCP-2194-2023; Zhai, Yujia/R-5298-2018</t>
  </si>
  <si>
    <t>Zhai, Yujia/0000-0002-3231-4077; sun, shaojing/0000-0003-2189-5336</t>
  </si>
  <si>
    <t>Major Program of National Social Science Foundation of China [20ZD141]</t>
  </si>
  <si>
    <t>Major Program of National Social Science Foundation of China(National Natural Science Foundation of China (NSFC))</t>
  </si>
  <si>
    <t>This research was funded by the Major Program of National Social Science Foundation of China, grant number 20&amp;ZD141.</t>
  </si>
  <si>
    <t>10.3390/ijerph192013287</t>
  </si>
  <si>
    <t>5S5UL</t>
  </si>
  <si>
    <t>WOS:000875254600001</t>
  </si>
  <si>
    <t>Sidorenko-Bautista, P; de la Casa, JMH; de Julián, JIC</t>
  </si>
  <si>
    <t>Sidorenko-Bautista, Pavel; Herranz de la Casa, Jose Maria; Cantero de Julian, Juan Ignacio</t>
  </si>
  <si>
    <t>Use of New Narratives for COVID-19 Reporting: From 360° Videos to Ephemeral TikTok Videos in Online Media</t>
  </si>
  <si>
    <t>TRIPODOS</t>
  </si>
  <si>
    <t>COVID-19; 360 video; ephemeral video; journalism; Generation Z</t>
  </si>
  <si>
    <t>The disruptive evolution of technology has impacted on all aspects of communication. Consequently, various alternatives are being developed for storytelling, delivering messages, and connecting to people. The evolution of social media and multimedia technologies is evident. Since 2014, we have witnessed changes both in the concept of immersion over the 360 degrees format and virtual reality. Such changes aim at much closer proximity between user and content, strengthening possible empathic bonds. Even so, emerging audiences, especially Generation Z, spend time in digital environments that do not support this type of content. As a consequence, their interactions and multimedia behavior focus on vertical, ephemeral content, rendering TikTok as an innovative alternative with a significant growth trend. This study proposes a review of media outlets and journalists' work reporting on the COVID-19 pandemic using 360 degrees multimedia narratives and TikTok. Research shows evidence of the limited use of the immersive multimedia format and the increase of productions in the ephemeral vertical format of TikTok-whose audience reach has grown significantly.</t>
  </si>
  <si>
    <t>[Sidorenko-Bautista, Pavel] Francisco de Vitoria Univ, Advertising Bachelors Degree, Fac Commun Sci, Madrid, Spain; [Herranz de la Casa, Jose Maria] Univ Castilla La Mancha, Fac Commun Cuenca, Ciudad Real, Spain; [Cantero de Julian, Juan Ignacio] Univ Castilla La Mancha, Ciudad Real, Spain</t>
  </si>
  <si>
    <t>Universidad Francisco de Vitoria; Universidad de Castilla-La Mancha; Universidad de Castilla-La Mancha</t>
  </si>
  <si>
    <t>Sidorenko-Bautista, P (corresponding author), Francisco de Vitoria Univ, Advertising Bachelors Degree, Fac Commun Sci, Madrid, Spain.</t>
  </si>
  <si>
    <t>pavel.sidorenko@ufv.es; josemaria.herranz@uclm.es; juanigna-cio.cantero@alu.uclm.es</t>
  </si>
  <si>
    <t>Herranz de la Casa, Jose/L-7771-2013; Bautista, Pavel/ABF-3242-2020</t>
  </si>
  <si>
    <t>Herranz de la Casa, Jose Maria/0000-0002-3667-2664; Sidorenko Bautista, Pavel/0000-0002-8094-3089</t>
  </si>
  <si>
    <t>UNIV RAMON LLULL, FAC CIENCIES COMUNICACIO BLANQUERNA</t>
  </si>
  <si>
    <t>C VALLDONZELLA, 23, BARCELONA, 08001, SPAIN</t>
  </si>
  <si>
    <t>1138-3305</t>
  </si>
  <si>
    <t>2340-5007</t>
  </si>
  <si>
    <t>Tripodos</t>
  </si>
  <si>
    <t>QJ4LL</t>
  </si>
  <si>
    <t>WOS:000619663100007</t>
  </si>
  <si>
    <t>Brown, Y; Pini, B; Pavlidis, A</t>
  </si>
  <si>
    <t>Brown, Yanni; Pini, Barbara; Pavlidis, Adele</t>
  </si>
  <si>
    <t>Affective design and memetic qualities: Generating affect and political engagement through bushfire TikToks</t>
  </si>
  <si>
    <t>affect; bushfires; politics; TikTok; youth</t>
  </si>
  <si>
    <t>YOUTH; FORMS; POWER; HUMOR</t>
  </si>
  <si>
    <t>This article explores the affective dimensions of social media platform TikTok, and its potential as a novel form of political participation among young people. It draws on data from a sample of 24 TikToks focused on the 2019/20 Australian bushfires, as well as seven interviews with young people who create, view and share TikToks. Building on Ash's notion of 'affective design', the article demonstrates how the memetic qualities of juxtaposition, whimsy and humour are utilised to enable escape and/or connection. As young people grappled with the intensity of emotions from the Australian bushfires, TikTok gave them space for the expression of complex affects through humour, whimsy, and juxtaposition.</t>
  </si>
  <si>
    <t>[Brown, Yanni; Pavlidis, Adele] Griffith Univ, Nathan, Qld, Australia; [Pini, Barbara] Griffith Univ, Sch Humanities Languages &amp; Social Sci, Nathan, Qld, Australia</t>
  </si>
  <si>
    <t>Griffith University; Griffith University</t>
  </si>
  <si>
    <t>Brown, Y (corresponding author), Griffith Univ, Sch Humanities Languages &amp; Social Sci Arts Educ &amp;, 170 Kessels Rd, Nathan, Qld 4111, Australia.</t>
  </si>
  <si>
    <t>yanni.brown@griffithuni.edu.au</t>
  </si>
  <si>
    <t>Pavlidis, Adele/R-9210-2019</t>
  </si>
  <si>
    <t>Pavlidis, Adele/0000-0002-9218-6572</t>
  </si>
  <si>
    <t>10.1177/14407833221110267</t>
  </si>
  <si>
    <t>LH7R5</t>
  </si>
  <si>
    <t>WOS:000824785200001</t>
  </si>
  <si>
    <t>Seekis, V; Lawrence, RK</t>
  </si>
  <si>
    <t>Seekis, Veya; Lawrence, Rebecca K.</t>
  </si>
  <si>
    <t>How exposure to body neutrality content on TikTok affects young women's body image and mood</t>
  </si>
  <si>
    <t>Body neutrality; TikTok; Functionality appreciation; Positive body image; Body satisfaction; Upward appearance comparisons</t>
  </si>
  <si>
    <t>FUNCTIONALITY APPRECIATION; PSYCHOMETRIC EVALUATION; INSTAGRAM; BEAUTY</t>
  </si>
  <si>
    <t>Body neutrality aims to encourage a non-judgmental attitude towards the body and prioritize functionality over appearance. This study examined the impact of exposure to TikTok body neutrality content on young women's body image and mood. The sample comprised 189 undergraduate women (Mage = 19.25, SD = 1.98) who were randomly assigned to view one of three compilation TikTok videos on body neutrality, thin ideal, or art. Controlling for pre-test measures, results showed that women in the body neutrality group reported higher functionality appreciation and body satisfaction than women in the thin ideal and art control groups. Higher levels of positive mood and fewer upward appearance comparisons were reported by women in the body neutrality group relative to the thin ideal group. Although women in the body neutrality and thin ideal groups thought about their appearance and what they were wearing whilst viewing the videos, women in the body neutrality group reported that those thoughts were more positive than those in the thin ideal group. Findings demonstrate that brief exposure to body neutrality content on TikTok may induce immediate positive body image and mood in young women whilst providing a useful alternative to the unrealistic beauty standards popularized on such platforms.</t>
  </si>
  <si>
    <t>[Seekis, Veya; Lawrence, Rebecca K.] Griffith Univ, Sch Appl Psychol, Brisbane, Australia; [Seekis, Veya] 1 Parklands Dr, Southport, Qld 4215, Australia</t>
  </si>
  <si>
    <t>Seekis, V (corresponding author), 1 Parklands Dr, Southport, Qld 4215, Australia.</t>
  </si>
  <si>
    <t>v.seekis@griffith.edu.au; rebecca.lawrence@griffith.edu.au</t>
  </si>
  <si>
    <t>Seekis, Veya/AAW-3503-2020; Lawrence, Rebecca/AAI-4014-2021</t>
  </si>
  <si>
    <t>Seekis, Veya/0000-0002-4079-009X; Lawrence, Rebecca/0000-0003-1214-0740</t>
  </si>
  <si>
    <t>10.1016/j.bodyim.2023.101629</t>
  </si>
  <si>
    <t>EH0B6</t>
  </si>
  <si>
    <t>WOS:001137901900001</t>
  </si>
  <si>
    <t>Baumel, NM; Spatharakis, JK; Baumel, LD; Sellas, EI</t>
  </si>
  <si>
    <t>Baumel, Nicholas M.; Spatharakis, John K.; Baumel, Luke D.; Sellas, Evangelos I.</t>
  </si>
  <si>
    <t>Disparity in Public Perception of Pfizer and Moderna COVID-19 Vaccines on TikTok</t>
  </si>
  <si>
    <t>[Baumel, Nicholas M.] Univ Michigan, Western Springs, IL USA; [Spatharakis, John K.] Univ Illinois, Chicago, IL USA; [Baumel, Luke D.] Loyola Univ, Chicago, IL 60611 USA; [Sellas, Evangelos I.] Depaul Univ, Chicago, IL 60604 USA</t>
  </si>
  <si>
    <t>University of Illinois System; University of Illinois Chicago; University of Illinois Chicago Hospital; Loyola University Chicago; DePaul University</t>
  </si>
  <si>
    <t>Baumel, NM (corresponding author), Univ Michigan, Western Springs, IL USA.</t>
  </si>
  <si>
    <t>Baumel, Nicholas/0000-0003-3665-720X</t>
  </si>
  <si>
    <t>10.1016/j.jadohealth.2021.12.004</t>
  </si>
  <si>
    <t>ZG5SA</t>
  </si>
  <si>
    <t>WOS:000760316700026</t>
  </si>
  <si>
    <t>Sharma, AA</t>
  </si>
  <si>
    <t>Sharma, Ashley Ajai</t>
  </si>
  <si>
    <t>TIKTOK, SUICIDE, AND SELF-HARM: A CROSS-SECTIONAL STUDY OF SOCIAL MEDIA CONTENT QUALITY</t>
  </si>
  <si>
    <t>[Sharma, Ashley Ajai] Johns Hopkins Bloomberg Sch Publ Hlth, Baltimore, MD USA</t>
  </si>
  <si>
    <t>Johns Hopkins University; Johns Hopkins Bloomberg School of Public Health</t>
  </si>
  <si>
    <t>asharm79@jhu.edu</t>
  </si>
  <si>
    <t>Sharma, Ashley/KHD-9195-2024</t>
  </si>
  <si>
    <t>S395</t>
  </si>
  <si>
    <t>10.1016/j.jaac.2023.07.882</t>
  </si>
  <si>
    <t>WOS:001098830401589</t>
  </si>
  <si>
    <t>Suárez-Alvarez, R</t>
  </si>
  <si>
    <t>Suarez-Alvarez, Rebeca</t>
  </si>
  <si>
    <t>Communicational analysis about building of unequal relationships on social networks. Case #sugardaddy in TikTok</t>
  </si>
  <si>
    <t>HISTORIA Y COMUNICACION SOCIAL</t>
  </si>
  <si>
    <t>social media; TikTok; stereotypes; gender; sugardaddy</t>
  </si>
  <si>
    <t>GENDER-DIFFERENCES; MUSIC VIDEO; ADOLESCENTS; VIOLENCE; HASHTAG; MEDIA</t>
  </si>
  <si>
    <t>The current socio-cultural and communicational system, in many cases, implies the undervaluing of the role of women. This research delves into these viral manifestations on social networks and invites us to ask whether they encourage the persistence of traditional gender stereotypes. The content analysis methodology is applied to 130 videos tagged with the hashtag #sugardaddy on TikTok. The androcentric vision and the intersectionality of gender and age are confirmed through a sexual neoliberalism in which boys/girls become objects of consumption. Female stereotypes and roles ' appropriation is detected in male tiktokers. The analysis of discursive features exposes stereotyping assertion and the transactional nature of relationships.</t>
  </si>
  <si>
    <t>[Suarez-Alvarez, Rebeca] Univ Rey Juan Carlos, Madrid, Spain</t>
  </si>
  <si>
    <t>Universidad Rey Juan Carlos</t>
  </si>
  <si>
    <t>Suárez-Alvarez, R (corresponding author), Univ Rey Juan Carlos, Madrid, Spain.</t>
  </si>
  <si>
    <t>Suarez-Alvarez, Rebeca/ACS-8344-2022</t>
  </si>
  <si>
    <t>Suarez-Alvarez, Rebeca/0000-0002-0102-4472</t>
  </si>
  <si>
    <t>UNIV COMPLUTENSE MADRID, SERVICIO PUBLICACIONES</t>
  </si>
  <si>
    <t>CIUDAD UNIV, OBISPO TREJO 3, MADRID, 28040, SPAIN</t>
  </si>
  <si>
    <t>1137-0734</t>
  </si>
  <si>
    <t>1988-3056</t>
  </si>
  <si>
    <t>HIST COMUN SOC</t>
  </si>
  <si>
    <t>Hist. Comun. Soc.</t>
  </si>
  <si>
    <t>10.5209/hics.84389</t>
  </si>
  <si>
    <t>Film, Radio, Television; History</t>
  </si>
  <si>
    <t>Film, Radio &amp; Television; History</t>
  </si>
  <si>
    <t>D0BY2</t>
  </si>
  <si>
    <t>WOS:000965478900003</t>
  </si>
  <si>
    <t>Gitomer, A; Atienza-Barthelemy, J; Welles, BF</t>
  </si>
  <si>
    <t>Gitomer, Adina; Atienza-Barthelemy, Julia; Welles, Brooke Foucault</t>
  </si>
  <si>
    <t>Youth activism and (de)personalized remix on TikTok</t>
  </si>
  <si>
    <t>SOCIAL MOVEMENT STUDIES</t>
  </si>
  <si>
    <t>Tiktok; remix; personalization; activism; youth; social media</t>
  </si>
  <si>
    <t>SOCIAL MEDIA; POLITICAL EXPRESSION; YOUNG-PEOPLE; PARTICIPATION; MAINTENANCE</t>
  </si>
  <si>
    <t>Social media has provided everyday actors with a platform to share their personal stories and ideas. This has had a profound effect on activism, as movements are increasingly built up and amplified through the circulation of participants' individualized motivations, experiences, and sentiments. TikTok has emerged as a salient site for studying this turn: it has proven to be a highly successful tool in activist campaigns, strongly affords personalized communication, and supports a main user base of young people known for emphasizing self-expression in their online participation. Since remix is the core form of sharing on TikTok, users are encouraged to insert and articulate themselves not only in the process of content creation, but in the process of circulation as well. Here, we focus on the way remix is exploited as a mode of personalizing activist content on TikTok, particularly among young users. We do so by qualitatively coding and analyzing remixed content associated with the digital activist organization Gen-Z for Change. We find that, despite expectations based on prior research and the observed behavior of older users, young users tended to resist personalization in their remix strategies. Yet, they simultaneously managed to assert their presence in ways that are meaningful on the app. Our results elaborate on digital activist strategies and the role of platform affordances therein, and add important nuance to common conceptions of youth political participation styles.</t>
  </si>
  <si>
    <t>[Gitomer, Adina; Welles, Brooke Foucault] Northeastern Univ, Network Sci Inst, Boston, MA 02115 USA; [Atienza-Barthelemy, Julia] Univ Politecn Madrid, Escuela Tecn Super Ingn Agron Alimentaria &amp; Biosis, Grp Sistemas Complejos, Madrid, Spain; [Welles, Brooke Foucault] Northeastern Univ, Coll Arts Media &amp; Design, Boston, MA USA</t>
  </si>
  <si>
    <t>Northeastern University; Universidad Politecnica de Madrid; Northeastern University</t>
  </si>
  <si>
    <t>Gitomer, A (corresponding author), Northeastern Univ, Network Sci Inst, Boston, MA 02115 USA.</t>
  </si>
  <si>
    <t>gitomer.a@northeastern.edu</t>
  </si>
  <si>
    <t>Foucault Welles, Brooke/0000-0002-4155-8815</t>
  </si>
  <si>
    <t>National Science Foundation [1815940]</t>
  </si>
  <si>
    <t>This work was supported, in part, by a grant from the National Science Foundation (award 1815940). Any opinions, findings, and conclusions or recommendations expressed in this material are those of the authors and do not necessarily reflect the views of the National Science Foundation.</t>
  </si>
  <si>
    <t>1474-2837</t>
  </si>
  <si>
    <t>1474-2829</t>
  </si>
  <si>
    <t>SOC MOVEMENT STUD</t>
  </si>
  <si>
    <t>Soc. Mov. Stud.</t>
  </si>
  <si>
    <t>10.1080/14742837.2024.2415672</t>
  </si>
  <si>
    <t>Political Science; Sociology</t>
  </si>
  <si>
    <t>Government &amp; Law; Sociology</t>
  </si>
  <si>
    <t>J6M3K</t>
  </si>
  <si>
    <t>WOS:001338184100001</t>
  </si>
  <si>
    <t>Berdida, DJE; Franco, FMC; Santos, XAG; Dacol, CB; Dimaano, M; Del Rosario, ES; Lantin, CC</t>
  </si>
  <si>
    <t>Berdida, Daniel Joseph E.; Franco, Franchesca Mae C.; Santos, Xyllyne Allyah G.; Dacol, Camille B.; Dimaano, Michaela; Del Rosario, Erika S.; Lantin, Charlotte Christianne</t>
  </si>
  <si>
    <t>Filipinos' COVID-19 vaccine hesitancy comments in TikTok videos: A manifest content analysis</t>
  </si>
  <si>
    <t>PUBLIC HEALTH NURSING</t>
  </si>
  <si>
    <t>content analysis; COVID-19 vaccine; infodemic; social media; TikTok; vaccine hesitancy</t>
  </si>
  <si>
    <t>HEALTH BELIEF MODEL; MISINFORMATION; ACCEPTANCE</t>
  </si>
  <si>
    <t>Objectives Vaccine hesitancy is one of the top 10 threats to world health. The ongoing pandemic highlighted this health threat. The COVID-19 vaccine hesitancy remains underreported in the Philippines. Thus, this study aimed to describe and analyze the comments of Filipinos in TikTok videos about COVID-19 vaccine hesitancy. Design Manifest content analysis. Sample A total of 25 TikTok videos and their comments (n = 4564) were analyzed. Methods We collected data between July 2021 and October 2021. Bengtsson's approach to content analysis was utilized to analyze the data. Data were validated using member-checking and intercoder reliability. Results This study afforded three themes of COVID-19 vaccine hesitancy: (a) fear and mistrust (subthemes: influence of Dengvaxia vaccine, the influence of people who refuse to be vaccinated, lack of trust in the government, lack of trust in healthcare workers, doubts on vaccines' effectiveness), (b) misinformation and disinformation (subthemes: misbeliefs, insufficient knowledge), and (c) adamant attitudes (subthemes: unwillingness to be vaccinated, picky on vaccine brand). Conclusion Our study established Filipinos' diverse reasons for COVID-19 vaccine hesitancy. TikTok, as a social media platform, is used for COVID-19 vaccine discussions and the dissemination of misinformation. To prepare for the next pandemic or public health disaster, the government, HCWs, and the public must efficiently convey timely, accurate health information and dispel misinformation on social media platforms.</t>
  </si>
  <si>
    <t>[Berdida, Daniel Joseph E.] Univ Santo Tomas, Coll Nursing, St Martin Porres Bldg,Espana Blvd, Manila 1015, Philippines; [Berdida, Daniel Joseph E.; Franco, Franchesca Mae C.; Santos, Xyllyne Allyah G.; Dacol, Camille B.; Dimaano, Michaela; Del Rosario, Erika S.; Lantin, Charlotte Christianne] Univ Manila, Dept Nursing, Coll Hlth Sci, Manila, Philippines</t>
  </si>
  <si>
    <t>Berdida, DJE (corresponding author), Univ Santo Tomas, Coll Nursing, St Martin Porres Bldg,Espana Blvd, Manila 1015, Philippines.</t>
  </si>
  <si>
    <t>deberdida@ust.edu.ph</t>
  </si>
  <si>
    <t>Berdida, Daniel Joseph/AAM-9383-2021</t>
  </si>
  <si>
    <t>Berdida, Daniel Joseph/0000-0002-5001-6946</t>
  </si>
  <si>
    <t>0737-1209</t>
  </si>
  <si>
    <t>1525-1446</t>
  </si>
  <si>
    <t>PUBLIC HEALTH NURS</t>
  </si>
  <si>
    <t>Public Health Nurs.</t>
  </si>
  <si>
    <t>10.1111/phn.13143</t>
  </si>
  <si>
    <t>Public, Environmental &amp; Occupational Health; Nursing</t>
  </si>
  <si>
    <t>7U3UO</t>
  </si>
  <si>
    <t>WOS:000876015700001</t>
  </si>
  <si>
    <t>Ramos, MRV; Sermeño, GC; Monteiro, PMD; Castro, DEM</t>
  </si>
  <si>
    <t>Ramos, Marisel Roxana Valenzuela; Sermeno, Gustavo Canales; Monteiro, Pedro Miguel Dias; Castro, Dario Emiliano Medina</t>
  </si>
  <si>
    <t>Use of TikTok to improve the knowledge of Peruvian accreditation in Dentistry students</t>
  </si>
  <si>
    <t>ATENCION PRIMARIA</t>
  </si>
  <si>
    <t>[Ramos, Marisel Roxana Valenzuela] Univ Tecnol Los Andes, Abancay, Peru; [Ramos, Marisel Roxana Valenzuela] Univ Oberta Catalunya, Barcelona, Spain; [Sermeno, Gustavo Canales] Univ Nacl San Luis Gonzaga, Ica, Peru; [Monteiro, Pedro Miguel Dias] Univ Senor Sipan, Lambayeque, Peru; [Castro, Dario Emiliano Medina] Univ Nacl Trujillo, Trujillo, Peru</t>
  </si>
  <si>
    <t>UOC Universitat Oberta de Catalunya; Universidad Nacional San Luis Gonzaga; Universidad Senor de Sipan; Universidad Nacional de Trujillo</t>
  </si>
  <si>
    <t>Ramos, MRV (corresponding author), Univ Tecnol Los Andes, Abancay, Peru.;Ramos, MRV (corresponding author), Univ Oberta Catalunya, Barcelona, Spain.</t>
  </si>
  <si>
    <t>mariselroxanavr@gmail.com</t>
  </si>
  <si>
    <t>Monteiro, Pedro/D-3767-2009</t>
  </si>
  <si>
    <t>EDICIONES DOYMA S A</t>
  </si>
  <si>
    <t>TRAV DE GRACIA 17-21, 08021 BARCELONA, SPAIN</t>
  </si>
  <si>
    <t>0212-6567</t>
  </si>
  <si>
    <t>1578-1275</t>
  </si>
  <si>
    <t>ATEN PRIM</t>
  </si>
  <si>
    <t>Aten. Prim.</t>
  </si>
  <si>
    <t>10.1016/j.aprim.2023.102812</t>
  </si>
  <si>
    <t>Primary Health Care; Medicine, General &amp; Internal</t>
  </si>
  <si>
    <t>KP2G1</t>
  </si>
  <si>
    <t>WOS:001181098400001</t>
  </si>
  <si>
    <t>When Tanning is Trending: A Content Quality Study of Skin Cancer on TikTok</t>
  </si>
  <si>
    <t>Doyon, VC (corresponding author), Univ British Columbia, Fac Med, Vancouver, BC, Canada.</t>
  </si>
  <si>
    <t>valdoyon@student.ubc.ca; cl13@ualberta.ca; kristy.bailey@medportal.ca; kbeleznay@gmail.com</t>
  </si>
  <si>
    <t>Doyon, Valerie/0000-0002-3901-646X</t>
  </si>
  <si>
    <t>10.1097/DSS.0000000000003538</t>
  </si>
  <si>
    <t>4G2LF</t>
  </si>
  <si>
    <t>WOS:000849034200031</t>
  </si>
  <si>
    <t>Pretorius, C; McCashin, D; Coyle, D</t>
  </si>
  <si>
    <t>Pretorius, Claudette; McCashin, Darragh; Coyle, David</t>
  </si>
  <si>
    <t>Mental health professionals as influencers on TikTok and Instagram: What role do they play in mental health literacy and help-seeking?</t>
  </si>
  <si>
    <t>INTERNET INTERVENTIONS-THE APPLICATION OF INFORMATION TECHNOLOGY IN MENTAL AND BEHAVIOURAL HEALTH</t>
  </si>
  <si>
    <t>Social media; Mental health literacy; Help -seeking; Mental health; Influencers</t>
  </si>
  <si>
    <t>THERAPISTS</t>
  </si>
  <si>
    <t>Background: Mental disorders are recognised as the leading causes of disability worldwide. Despite high rates of incidence, few young people pursue formal help-seeking. Low levels of mental health literacy have been identified as a contributing factor to the notable lack of formal help-seeking by young people. Social media offers a potential means through which to engage and improve young people's mental health literacy. Mental health influencers could be a means through which to do this. Objective: The objectives of this study were two-fold: (1) to systematically identify the most popular mental health professionals who could be classified as 'influencers'; and (2) to determine whether their content contributed to mental health literacy. Methods: The search function of Instagram and TikTok was used to generate a list of accounts owned by mental health professionals with over 100,000 followers. Accounts not in English, in private, with no posts in the last year or with content unrelated to the search terms were excluded. Accounts were assessed for number of followers, country of origin, verified status and whether a disclaimer was included. Using content analysis, the five most recent posts dating back from 15 November 2021 were analysed for purpose and dimensions of mental health literacy as outlined by Jorm (2000) by three separate reviewers. Results: A total of 28 influencer accounts were identified on TikTok and 22 on Instagram. Majority of the accounts on both TikTok and Instagram originated from the United States (n = 35). A greater number of accounts included disclaimer and crisis support information on Instagram (12/22, 54.55 %) than on TikTok (8/22, 36.36 %). A total of 140 posts were analysed on TikTok and 110 posts on Instagram. When addressing elements of mental health literacy from this sample, 23.57 % (33/140) TikTok posts and 7.27 %. (8/110) posts on Instagram enhanced the ability to recognise specific difficulties. Conclusions: These platforms and accounts provide a potential means through which to make mental health information more accessible, however, these accounts are not subjected to any credibility checks. Careful consideration should be given to the impact of content created by mental health professionals and its role in supporting help-seeking.</t>
  </si>
  <si>
    <t>[Pretorius, Claudette] Univ Coll Dublin, Insight Ctr Data Analyt, Sch Comp Sci, Dublin, Ireland; [McCashin, Darragh] Dublin City Univ, Sch Psychol, Dublin, Ireland; [Coyle, David] Univ Coll Dublin, Sch Comp Sci, Dublin, Ireland</t>
  </si>
  <si>
    <t>University College Dublin; Dublin City University; University College Dublin</t>
  </si>
  <si>
    <t>Coyle, D (corresponding author), Univ Coll Dublin, Sch Comp Sci, Dublin, Ireland.</t>
  </si>
  <si>
    <t>Claudette.pretorius@ucdconnect.ie; darragh.mccashin@dcu.ie; d.coyle@ucd.ie</t>
  </si>
  <si>
    <t>Coyle, David/P-3920-2019; Pretorius, Claudette/AAD-5801-2019</t>
  </si>
  <si>
    <t>Science Foundation Ireland [12/RC/2289_P2]</t>
  </si>
  <si>
    <t>Science Foundation Ireland(Science Foundation Ireland (SFI))</t>
  </si>
  <si>
    <t>The authors declare that they have no known competing financial interests or personal relationships that could have appeared to influence the work reported in this paper. This project was partly funded by Science Foundation Ireland (12/RC/2289_P2).</t>
  </si>
  <si>
    <t>2214-7829</t>
  </si>
  <si>
    <t>INTERNET INTERV</t>
  </si>
  <si>
    <t>Internet Interv.</t>
  </si>
  <si>
    <t>10.1016/j.invent.2022.100591</t>
  </si>
  <si>
    <t>Psychology, Clinical; Health Care Sciences &amp; Services; Medical Informatics; Psychiatry</t>
  </si>
  <si>
    <t>Psychology; Health Care Sciences &amp; Services; Medical Informatics; Psychiatry</t>
  </si>
  <si>
    <t>6Q7MC</t>
  </si>
  <si>
    <t>WOS:000891793900002</t>
  </si>
  <si>
    <t>Martínez-Sanz, R; Buitrago, A; Martín-García, A</t>
  </si>
  <si>
    <t>Martinez-Sanz, Raquel; Buitrago, Alex; Martin-Garcia, Alberto</t>
  </si>
  <si>
    <t>Communication for health through TikTok. Study of influencers in the pharmaceutical field and connection with their audience</t>
  </si>
  <si>
    <t>Audiences; health communication; scientific dissemination; influencers; social media; TikTok</t>
  </si>
  <si>
    <t>SCIENCE; NARRATIVES; YOUTUBERS</t>
  </si>
  <si>
    <t>The consolidation of TikTok as a platform aimed at mere entertainment has not limited the informative efforts of professionals from very different fields who have found an opportunity to share rigorous, useful and demystifying knowledge on this social network (Guinez-Cabrera, &amp; Mansilla-Obando, 2022; Yalamanchili et al., 2022). Through a methodology based on content analysis, the publications and reactions of the main pharmaceutical-themed profiles on TikTok are examined, delving into the communication resources, interaction strategies and topics with which they connect with their audience. The results reveal that, unlike other digital spaces, which are more prone to tension and confrontation, pharmaceutical influencers can openly expose their experience and professional opinion, and also demonstrate their mastery of the technical resources offered by TikTok to create informative videos about health. The use of a close language and away from technicalities, added to a natural tone and with a certain dose of humour, represent its hallmarks and the key to its good reception by an audience that responds (79,696 comments analysed) assertively, raising doubts, recounting their own experiences and, above all, expressing support for the theses defended by the professional. Faced with a topic of general interest such as health, every effort to use the communication tools and codes of the young population contributes to integrating them into the new dissemination channels.</t>
  </si>
  <si>
    <t>[Martinez-Sanz, Raquel; Buitrago, Alex; Martin-Garcia, Alberto] Univ Valladolid, Valladolid, Spain</t>
  </si>
  <si>
    <t>Martínez-Sanz, R (corresponding author), Univ Valladolid, Valladolid, Spain.</t>
  </si>
  <si>
    <t>raquel.martinez.sanz@uva.es; alejandro.buitrago@uva.es; alberto.martin.garcia@uva.es</t>
  </si>
  <si>
    <t>Buitrago, Álex/L-3662-2014; Martínez-Sanz, Raquel/AAK-5756-2020</t>
  </si>
  <si>
    <t>10.14198/MEDCOM.23435</t>
  </si>
  <si>
    <t>R7BV8</t>
  </si>
  <si>
    <t>WOS:001065878900007</t>
  </si>
  <si>
    <t>Literat, I</t>
  </si>
  <si>
    <t>Literat, Ioana</t>
  </si>
  <si>
    <t>Teachers Act Like We're Robots: TikTok as a Window Into Youth Experiences of Online Learning During COVID-19</t>
  </si>
  <si>
    <t>AERA OPEN</t>
  </si>
  <si>
    <t>youth; online learning; COVID-19; TikTok; social media</t>
  </si>
  <si>
    <t>SOCIAL MEDIA; TECHNOLOGIES; IDENTITY; PRIVACY</t>
  </si>
  <si>
    <t>Social media, and especially popular youth-focused platforms like TikTok, can offer a valuable window into youth experiences, including their perceptions of online learning. Building on a large-scale thematic analysis of 1,930 TikTok videos posted in March-June 2020, this study examines how young people shared their experiences of online learning during the COVID-19 pandemic. Findings indicate that youth portrayed online coursework as overwhelming and relentless against the traumatic background of the pandemic. They sought support, empathy, and authenticity from teachers, and both received and provided emotional and educational support to peers on the platform. Students' home contexts emerged as particularly salient, making visible the intersections between young people's home, school and social lives. By facilitating a grounded, bottom-up understanding of students' experiences and perceptions-shared in their preferred spaces and modes of expression-this research stresses the need to attend to youth perspectives to craft more equitable and empowering educational futures.</t>
  </si>
  <si>
    <t>[Literat, Ioana] Columbia Univ, Teachers Coll, Commun Media &amp; Learning Technol Design Program, New York, NY 10027 USA</t>
  </si>
  <si>
    <t>Columbia University; Columbia University Teachers College</t>
  </si>
  <si>
    <t>Literat, I (corresponding author), Columbia Univ, Teachers Coll, Commun Media &amp; Learning Technol Design Program, New York, NY 10027 USA.</t>
  </si>
  <si>
    <t>il2311@tc.columbia.edu</t>
  </si>
  <si>
    <t>Literat, Ioana/0000-0001-8192-769X</t>
  </si>
  <si>
    <t>2332-8584</t>
  </si>
  <si>
    <t>AERA Open</t>
  </si>
  <si>
    <t>10.1177/2332858421995537</t>
  </si>
  <si>
    <t>QR2TR</t>
  </si>
  <si>
    <t>WOS:000625067500001</t>
  </si>
  <si>
    <t>The tourism industry is one of the hard hit businesses during the Covid-19 pandemic and has been struggling for backup ever since. However, nowadays the industry has started to bloom again with the lifting of all of the restrictions of Covid-19. This research aims to analyze the sentiments of the tourists using the Support Vector Machine (SVM) algorithm to know their views on the tourist spots after the pandemic. The scope of the research covers the state of Terengganu which is popularly known for its islands and unique culture on the east coast of Malaysia. TikTok data has been used as the source of data as social media currently has become one of the top mediums for reviewing, selling and promoting products and services. The objective of the research is to explore the SVM algorithm in the sentiment classification of tourist spots in Terengganu. This research is expected to help the Tourism Terengganu to improve their tourist spots and their services. The phases of the research include collecting data from TikTok, data pre-processing, data labelling, feature extraction, model creation using SVM, graphical user interface development and performance evaluation. The evaluation results showed that the performance of the SVM classifier model was good and reliable, with 90.68% accuracy. The future work would be collecting more data from TikTok regularly to further improve the of the algorithm.</t>
  </si>
  <si>
    <t>[Sabri, Norlina Mohd; Subki, Siti Nur Athira Muhamad; Bahrin, Ummu Fatihah Mohd; Puteh, Mazidah] Univ Teknol MARA Cawangan Terengganu, Coll Comp Informat &amp; Math, Kampus Kuala Terengganu, Kuala Terengganu, Malaysia</t>
  </si>
  <si>
    <t>Sabri, NM (corresponding author), Univ Teknol MARA Cawangan Terengganu, Coll Comp Informat &amp; Math, Kampus Kuala Terengganu, Kuala Terengganu, Malaysia.</t>
  </si>
  <si>
    <t>Special gratitude goes to Universiti Teknologi MARA for the support given towards the advancement of research in the university. This research is funded under the UiTM Geran Penyelidikan Myra Lepasan PHD (600-RMC/GPM LPHD 5/3 (068/2021) .</t>
  </si>
  <si>
    <t>H6M0C</t>
  </si>
  <si>
    <t>WOS:001324548200001</t>
  </si>
  <si>
    <t>Briggs, DV; Anastasio, AT; Bethell, MA; Taylor, JR; Richard, MJ; Klifto, CS</t>
  </si>
  <si>
    <t>Briggs, Damon V.; Anastasio, Albert T.; Bethell, Mikhail A.; Taylor, Joshua R.; Richard, Marc J.; Klifto, Christopher S.</t>
  </si>
  <si>
    <t>How Useful Is TikTok for Patients Searching for Carpal Tunnel Syndrome-Related Treatment Exercises?</t>
  </si>
  <si>
    <t>TikTok; carpal tunnel; educational value; DISCERN; social media</t>
  </si>
  <si>
    <t>SOCIAL MEDIA; INFORMATION; QUALITY; INTERNET; DISEASE</t>
  </si>
  <si>
    <t>Since orthopedic surgery has been slower to acknowledge the rise of social media for distributing medical information, this study aims to evaluate TikTok videos' quality and educational value in relation to carpal tunnel syndrome treatment exercises. TikTok was searched using the hashtags #carpaltunnelexercises, #carpaltunnelremedies, #carpaltunnelrehab, and #physicaltherapyforcarpaltunnel. The engagement indicators were documented and the video content quality was assessed using the DISCERN, CTEES, JAMA, and GQS grading scales. There were 101 videos included, which accumulated 20,985,730 views. The videos received 1,460,953 likes, 15,723 comments, 243,245 favorites, and 159,923 shares. Healthcare professionals were responsible for 72% of the video uploads, whereas general users contributed 28%. More healthcare professionals' videos were graded as poor (79%) compared to general users (21%). General users received slightly more video grades of very poor (52%) than healthcare professionals (48%). For the DISCERN grading, the videos by healthcare professionals were significantly better than those by general users in terms of reliability, achieving aims, and relevancy. They were also superior in the overall composition of the health information derived from the total DISCERN score. However, no significant differences were found between the two groups when using the CTEES, JAMA, and GQS grading scales. Overall, despite the emergence of TikTok as a medical information tool, the quality and educational value of the carpal tunnel syndrome exercise videos were poor.</t>
  </si>
  <si>
    <t>[Briggs, Damon V.; Bethell, Mikhail A.] Duke Univ, Sch Med, Durham, NC 27710 USA; [Anastasio, Albert T.; Richard, Marc J.; Klifto, Christopher S.] Duke Univ, Med Ctr, Dept Orthopaed Surg, Durham, NC 27710 USA; [Taylor, Joshua R.] Univ N Carolina, Sch Med, Chapel Hill, NC 27599 USA</t>
  </si>
  <si>
    <t>Duke University; Duke University; University of North Carolina; University of North Carolina Chapel Hill; University of North Carolina School of Medicine</t>
  </si>
  <si>
    <t>Briggs, DV (corresponding author), Duke Univ, Sch Med, Durham, NC 27710 USA.</t>
  </si>
  <si>
    <t>damon.briggs@duke.edu; albert.anastasio@duke.edu; mikhail.bethell@duke.edu; joshua.taylor@duke.edu; marc.richard@duke.edu; christopher.klifto@duke.edu</t>
  </si>
  <si>
    <t>Bethell, Mikhail/0000-0002-2270-9067; Briggs, Damon/0009-0004-4145-6765; Anastasio, Albert/0000-0001-5817-3826</t>
  </si>
  <si>
    <t>10.3390/healthcare12171697</t>
  </si>
  <si>
    <t>F6W6X</t>
  </si>
  <si>
    <t>WOS:001311204900001</t>
  </si>
  <si>
    <t>Wang, SF; Yang, D; Shehata, B; Li, MT</t>
  </si>
  <si>
    <t>Wang, Shaofeng; Yang, Dong; Shehata, Boulus; Li, Mengti</t>
  </si>
  <si>
    <t>Exploring effects of intelligent recommendation, interactivity, and playfulness on learning engagement: An application of TikTok considering the meditation of anxiety and moderation of virtual reward</t>
  </si>
  <si>
    <t>Short video platforms; Learning engagement; TikTok; Intelligent recommendation; Virtual reward; Anxiety; PLS-SEM</t>
  </si>
  <si>
    <t>TECHNOLOGY ACCEPTANCE MODEL; STUDENT ENGAGEMENT; SATISFACTION; ADOPTION; SYSTEM; CONTEXTUALIZATION; PERSPECTIVES; SELECTION; SUCCESS; GAME</t>
  </si>
  <si>
    <t>The rise of short video applications such as TikTok has brought new opportunities to maximize student learning experiences in online learning environments. Meanwhile, literature that explores its potential to foster student engagement is scarce. To understand the effect of short video applications on students' learning engagement, we take Douyin (the Chinese version of TikTok) as an example to include user experience variables (i.e., playfulness, satisfaction, anxiety) and technology features variables (i.e., interactivity and virtual reward). Five hundred-two valid questionnaire responses were collected from Chinese undergraduates. Data were analyzed using Partial Least Squares Structural Equation Model (PLS-SEM) to test the hypothesis. Overall, learning anxiety has a negative effect on learning engagement, whereas learning satisfaction has a positive effect. Virtual reward has a negative moderating effect on the relationship between interaction and anxiety. Still, it positively moderates the relationship between satisfaction and learning engagement. In addition, both years of using a mobile phone and TikTok positively influence learning engagement. Collectively, the proposed model was supported and provided empirical evidence regarding the importance of user experience and product features (such as Intelligent recommendation and virtual reward) on student engagement. Implications for theories and teaching practice and limitations were discussed.</t>
  </si>
  <si>
    <t>[Wang, Shaofeng] Zhejiang Wanli Univ, Sch Logist &amp; ECommerce, Ningbo 315000, Peoples R China; [Yang, Dong] Beijing Normal Univ, Coll Educ Future, Zhuhai 519087, Peoples R China; [Shehata, Boulus; Li, Mengti] Beijing Normal Univ, Smart Learning Inst, Beijing, Peoples R China</t>
  </si>
  <si>
    <t>Zhejiang Wanli University; Beijing Normal University; Beijing Normal University</t>
  </si>
  <si>
    <t>Yang, D (corresponding author), Beijing Normal Univ, Coll Educ Future, Zhuhai 519087, Peoples R China.</t>
  </si>
  <si>
    <t>vipwhsl@hotmail.com; dydyor@outlook.com; boulus.shehata@gmail.com; limengti951001@163.com</t>
  </si>
  <si>
    <t>; Wang, Shaofeng/N-6103-2017</t>
  </si>
  <si>
    <t>Shehata, Boulus/0000-0001-9445-6559; Wang, Shaofeng/0000-0002-0300-2453</t>
  </si>
  <si>
    <t>Zhejiang Province Education Science Planning 2023 General Planning Project [2023SCG399]; Zhejiang Wanli University Teaching Reform Research Project; Key Research Institute of Philosophy and Social Sciences of Zhejiang Province-Modern Port Service Industry and Creative Culture Research Center; Ningbo Philosophy and Social Science Planning Project [2022YZD012]; Ningbo Education Science Planning Project [KT2022412]; Zhejiang Province Association for Higher Education Project [24]; [G22-5-JY09]</t>
  </si>
  <si>
    <t>Zhejiang Province Education Science Planning 2023 General Planning Project; Zhejiang Wanli University Teaching Reform Research Project; Key Research Institute of Philosophy and Social Sciences of Zhejiang Province-Modern Port Service Industry and Creative Culture Research Center; Ningbo Philosophy and Social Science Planning Project; Ningbo Education Science Planning Project; Zhejiang Province Association for Higher Education Project;</t>
  </si>
  <si>
    <t>This work was supported by Zhejiang Province Education Science Planning 2023 General Planning Project under Grant [2023SCG399] ; Zhejiang Wanli University Teaching Reform Research Project [24] ; Key Research Institute of Philosophy and Social Sciences of Zhejiang Province-Modern Port Service Industry and Creative Culture Research Center [2023] ; Ningbo Philosophy and Social Science Planning Project [G22-5-JY09] ; Ningbo Education Science Planning Project under Grant [2022YZD012] ; and Zhejiang Province Association for Higher Education Project under Grant [KT2022412] .</t>
  </si>
  <si>
    <t>10.1016/j.chb.2023.107951</t>
  </si>
  <si>
    <t>T9DQ2</t>
  </si>
  <si>
    <t>WOS:001080920400001</t>
  </si>
  <si>
    <t>Wang, L; Li, YJ; Gu, JL; Xiao, L</t>
  </si>
  <si>
    <t>Wang, Li; Li, Yongjin; Gu, Jiali; Xiao, Li</t>
  </si>
  <si>
    <t>A quality analysis of thyroid cancer videos available on TikTok</t>
  </si>
  <si>
    <t>thyroid cancer; TikTok; health information; short video; social media</t>
  </si>
  <si>
    <t>YOUTUBE VIDEOS; UNITED-STATES; INFORMATION; DISCERN</t>
  </si>
  <si>
    <t>BackgroundThyroid cancer (TC) is becoming an increasing public health problem worldwide. TikTok is a global video-sharing social media app, which can be a source of information on TC. However, the information quality of these videos remains unknown. MethodsA search of TikTok was performed with the term (sic) (thyroid cancer and thyroid neoplasm in Chinese). Videos included were independently assessed using six predefined questions for content scores and DISCERN scale for information quality, while the video popularity index (VPI) was also calculated. A correlation analysis was performed among duration, presence of animation, VPI, DISCERN scores, and content scores. ResultsA total of 56 videos were finally included, of which 49 were uploaded by physicians, 4 by health organizations, and 3 by hospitals. While 43 were real content videos, 13 were animated. The mean of DISCERN score and content score was 3.44 +/- 0.72 and 5.19 +/- 0.95, respectively. Good consistency was found between the two reviewers in terms of both DISCERN scores and content scores. The video duration and presence of animation were positively correlated with VPI, while DISCERN scores and content scores were not correlated with VPI. ConclusionThe overall quality of TC-related videos was satisfactory, although the quality varies greatly depending on the type of source. Patients should be cautious when using TikTok as a source of TC-related information.</t>
  </si>
  <si>
    <t>[Wang, Li] Huzhou Univ, Coll Humanities, Huzhou, Zhejiang, Peoples R China; [Li, Yongjin; Gu, Jiali; Xiao, Li] Huzhou Univ, Coll Life Sci, Huzhou, Zhejiang, Peoples R China</t>
  </si>
  <si>
    <t>Huzhou University; Huzhou University</t>
  </si>
  <si>
    <t>Li, YJ (corresponding author), Huzhou Univ, Coll Life Sci, Huzhou, Zhejiang, Peoples R China.</t>
  </si>
  <si>
    <t>liyongjin@zjhu.edu.cn</t>
  </si>
  <si>
    <t>Science and Technology Department of Zhejiang Province [LGC21H200001]; Huzhou Science and Technology Bureau [2020GZ29]</t>
  </si>
  <si>
    <t>Science and Technology Department of Zhejiang Province; Huzhou Science and Technology Bureau</t>
  </si>
  <si>
    <t>Funding This work was supported by Science and Technology Department of Zhejiang Province (LGC21H200001) and Huzhou Science and Technology Bureau (2020GZ29).</t>
  </si>
  <si>
    <t>MAR 23</t>
  </si>
  <si>
    <t>10.3389/fpubh.2023.1049728</t>
  </si>
  <si>
    <t>C6YG1</t>
  </si>
  <si>
    <t>WOS:000963343300001</t>
  </si>
  <si>
    <t>Wu, JX; Harlow, AF; Wijaya, D; Berman, M; Benjamin, EJ; Xuan, ZM; Hong, T; Fetterman, JL</t>
  </si>
  <si>
    <t>Wu, Jiaxi; Harlow, Alyssa F.; Wijaya, Derry; Berman, Micah; Benjamin, Emelia J.; Xuan, Ziming; Hong, Traci; Fetterman, Jessica L.</t>
  </si>
  <si>
    <t>The Impact of Influencers on Cigar Promotions: A Content Analysis of Large Cigar and Swisher Sweets Videos on TikTok</t>
  </si>
  <si>
    <t>cigars; little cigars; flavored cigars; Swisher Sweets; social media; influencer promotion; TikTok</t>
  </si>
  <si>
    <t>HIGH-SCHOOL-STUDENTS; TOBACCO PRODUCT USE; UNITED-STATES; YOUNG-ADULTS; INSTAGRAM; MIDDLE; SALES; US</t>
  </si>
  <si>
    <t>Little is known about the content, promotions, and individuals in cigar-related videos on TikTok. TikTok videos with large cigar and Swisher Sweets-related hashtags between July 2016 and September 2020 were analyzed. Follower count was used to identify influencers. We compared content characteristics and demographics of featured individuals between cigar types, and by influencer status. We also examined the association between content characteristics and video engagement. Compared to large cigar videos, Swisher Sweets videos were more likely to feature arts and crafts with cigar packages, cannabis use, and flavored products. In addition, Swisher Sweets videos were also more likely to feature females, Black individuals, and younger individuals. Both Swisher Sweets and large cigar influencers posted more videos of cigar purchasing behaviors than non-influencers, which was associated with more video views. None of the videos disclosed sponsorship with #ad or #sponsored. Videos containing the use of cigar packages for arts and crafts, and flavored products highlight the importance of colorful packaging and flavors in the appeal of Swisher Sweets cigars, lending support for plain packaging requirements and the prohibition of flavors in cigar products to decrease the appeal of cigars. The presence and broad reach of cigar promotions on TikTok requires stricter enforcement of anti-tobacco promotion policies.</t>
  </si>
  <si>
    <t>[Wu, Jiaxi; Hong, Traci] Boston Univ, Coll Commun, Boston, MA 02215 USA; [Harlow, Alyssa F.] Univ Southern Calif, Keck Sch Med, Dept Populat &amp; Publ Hlth Sci, Los Angeles, CA 90032 USA; [Wijaya, Derry] Boston Univ, Dept Comp Sci, Boston, MA 02215 USA; [Berman, Micah] Ohio State Univ, Coll Publ Hlth, Columbus, OH 43210 USA; [Berman, Micah] Ohio State Univ, Moritz Coll Law, Columbus, OH 43210 USA; [Benjamin, Emelia J.] Natl Heart Lung &amp; Blood Inst Framingham Heart Stu, Framingham, MA 01702 USA; [Benjamin, Emelia J.] Boston Univ, Sch Med, Sect Cardiovasc Med, Boston Med Ctr,Dept Med, Boston, MA 02118 USA; [Benjamin, Emelia J.] Boston Univ, Sch Publ Hlth, Dept Epidemiol, Boston, MA 02118 USA; [Xuan, Ziming] Boston Univ, Sch Publ Hlth, Dept Community Hlth Sci, Boston, MA 02118 USA; [Fetterman, Jessica L.] Boston Univ, Whitaker Cardiovasc Inst, Sch Med, Evans Dept Med, Boston, MA 02118 USA</t>
  </si>
  <si>
    <t>Boston University; University of Southern California; Boston University; University System of Ohio; Ohio State University; University System of Ohio; Ohio State University; National Institutes of Health (NIH) - USA; NIH National Heart Lung &amp; Blood Institute (NHLBI); Framingham Heart Study; Boston University; Boston Medical Center; Boston University; Boston University; Boston University</t>
  </si>
  <si>
    <t>Fetterman, JL (corresponding author), Boston Univ, Whitaker Cardiovasc Inst, Sch Med, Evans Dept Med, Boston, MA 02118 USA.</t>
  </si>
  <si>
    <t>jiaxiw@bu.edu; afharlow@usc.edu; wijaya@bu.edu; berman.31@osu.edu; emelia@bu.edu; zxuan@bu.edu; tjhong@bu.edu; jefetter@bu.edu</t>
  </si>
  <si>
    <t>; Benjamin, Emelia/E-7103-2011</t>
  </si>
  <si>
    <t>Hong, Traci/0000-0001-9107-1880; Benjamin, Emelia/0000-0003-4076-2336; Wijaya, Derry/0000-0002-0848-4703; Wu, Jiaxi/0000-0001-5004-9492; Fetterman, Jessica/0000-0002-9286-7538</t>
  </si>
  <si>
    <t>National Heart, Lung, And Blood Institute of the National Institutes of Health [U54HL120163]; American Heart Association [AHA_18SFRN34110082]; National Heart, Lung, and Blood Institute [K01 HL143142]; NIH [R01HL092577]</t>
  </si>
  <si>
    <t>National Heart, Lung, And Blood Institute of the National Institutes of Health(United States Department of Health &amp; Human ServicesNational Institutes of Health (NIH) - USANIH National Heart Lung &amp; Blood Institute (NHLBI)); American Heart Association(American Heart Association); National Heart, Lung, and Blood Institute(United States Department of Health &amp; Human ServicesNational Institutes of Health (NIH) - USANIH National Heart Lung &amp; Blood Institute (NHLBI)); NIH(United States Department of Health &amp; Human ServicesNational Institutes of Health (NIH) - USA)</t>
  </si>
  <si>
    <t>Research reported in this publication was supported, in part, by the National Heart, Lung, And Blood Institute of the National Institutes of Health under Award Number U54HL120163. The content is solely the responsibility of the authors and does not necessarily represent the official views of the National Institutes of Health. J. Wu reports grants from American Heart Association. J.L. Fetterman reports grants from American Heart Association and a National Heart, Lung, and Blood Institute K01 HL143142. A.F. Harlow reports grants from American Heart Association. E.J. Benjamin reports grants from NIH R01HL092577 and American Heart Association AHA_18SFRN34110082.</t>
  </si>
  <si>
    <t>10.3390/ijerph19127064</t>
  </si>
  <si>
    <t>2M0RC</t>
  </si>
  <si>
    <t>WOS:000817417100001</t>
  </si>
  <si>
    <t>Waidyaratne, G; Daboul, J; Liyanarachchi, S; Chakraborty, S</t>
  </si>
  <si>
    <t>Waidyaratne, Gavisha; Daboul, Judy; Liyanarachchi, Sandya; Chakraborty, Subhankar</t>
  </si>
  <si>
    <t>The Evaluation and Analysis of Irritable Bowel Syndrome Related Short Videos on Social Media (TikTok)</t>
  </si>
  <si>
    <t>[Waidyaratne, Gavisha; Daboul, Judy; Liyanarachchi, Sandya; Chakraborty, Subhankar] Ohio State Univ, Wexner Med Ctr, Columbus, OH USA</t>
  </si>
  <si>
    <t>S645</t>
  </si>
  <si>
    <t>S471</t>
  </si>
  <si>
    <t>S472</t>
  </si>
  <si>
    <t>WOS:001091849301191</t>
  </si>
  <si>
    <t>Morton, M; Khadraoui, W; Haight, P; Backes, F; Bixel, K; O'Malley, D; Nagel, C; Vargas, R; Chambers, L</t>
  </si>
  <si>
    <t>Morton, Molly; Khadraoui, Wafa; Haight, Paulina; Backes, Floor; Bixel, Kristin; O'Malley, David; Nagel, Christa; Vargas, Roberto; Chambers, Laura</t>
  </si>
  <si>
    <t>Inequalities in cyberspace?: An exploration of racial and ethnic differences in gynecologic cancer content on TikTok</t>
  </si>
  <si>
    <t>[Morton, Molly; Khadraoui, Wafa; Haight, Paulina; Backes, Floor; Bixel, Kristin; O'Malley, David; Nagel, Christa; Chambers, Laura] Ohio State Univ, Wexner Med Ctr, Columbus, OH USA; [Vargas, Roberto] Cleveland Clin Fdn, Cleveland, OH USA</t>
  </si>
  <si>
    <t>S216</t>
  </si>
  <si>
    <t>10.1016/j.ygyno.2023.06.256</t>
  </si>
  <si>
    <t>WOS:001079556100343</t>
  </si>
  <si>
    <t>Basu, S</t>
  </si>
  <si>
    <t>Basu, Soma</t>
  </si>
  <si>
    <t>Why do Indians cry passionately on Insta?: Grief performativity and ecologies of commerce of crying videos</t>
  </si>
  <si>
    <t>SOUTH ASIAN POPULAR CULTURE</t>
  </si>
  <si>
    <t>Tear effect; social media filters; selfies; crying videos; performativity; TikTok; Instagram</t>
  </si>
  <si>
    <t>The article attempts to explore the specific performative and digital practice of users sharing digital self-images and videos on social media platforms in which they cry, with or without a 'tear filter'. In this article, the author employs Netnography (Kozinets, 2010) to look at social media accounts and online archives to track the origins of the trend of 'crying videos on TikTok' and through comments, reactions, and user interactions, attempts to understand how grief is performed on Instagram and TikTok. The article offers a diversion from the ossification of the current scholarship on self-images and identity construction on social media by looking at the marketability and entanglements in ecologies of commerce and sociality that the crying videos lead to.</t>
  </si>
  <si>
    <t>[Basu, Soma] Tampere Univ, Fac Informat Technol &amp; Commun Sci, Tampere, Finland; [Basu, Soma] Tampere Univ, Fac Informat Technol &amp; Commun Sci, Kalevantie 4, Tampere 33100, Finland</t>
  </si>
  <si>
    <t>Tampere University; Tampere University</t>
  </si>
  <si>
    <t>Basu, S (corresponding author), Tampere Univ, Fac Informat Technol &amp; Commun Sci, Kalevantie 4, Tampere 33100, Finland.</t>
  </si>
  <si>
    <t>soma.basu@tuni.fi</t>
  </si>
  <si>
    <t>Basu, Soma/ADS-9413-2022</t>
  </si>
  <si>
    <t>Basu, Soma/0000-0001-7971-1304</t>
  </si>
  <si>
    <t>1474-6689</t>
  </si>
  <si>
    <t>1474-6697</t>
  </si>
  <si>
    <t>S ASIAN POPUL CULT</t>
  </si>
  <si>
    <t>S. Asian Pop. Cult.</t>
  </si>
  <si>
    <t>10.1080/14746689.2023.2215227</t>
  </si>
  <si>
    <t>Cultural Studies; Asian Studies</t>
  </si>
  <si>
    <t>Z3HE3</t>
  </si>
  <si>
    <t>WOS:000996094700001</t>
  </si>
  <si>
    <t>Comeau, N; Abdelnour, A; Ashack, K</t>
  </si>
  <si>
    <t>Comeau, Nicholas; Abdelnour, Alyssa; Ashack, Kurt</t>
  </si>
  <si>
    <t>Assessing public interest in monkeypox via social media platforms: Google Trends, YouTube, and TikTok</t>
  </si>
  <si>
    <t>[Comeau, Nicholas; Abdelnour, Alyssa] Michigan State Univ, Coll Human Med, E Lansing, MI 48824 USA; [Ashack, Kurt] Dermatol Associates West Michigan, Grand Rapids, MI USA</t>
  </si>
  <si>
    <t>AB123</t>
  </si>
  <si>
    <t>WOS:001078492800479</t>
  </si>
  <si>
    <t>Baghdadi, JD; Coffey, KC; Belcher, R; Frisbie, J; Hassan, N; Sim, D; Malik, RD</t>
  </si>
  <si>
    <t>Baghdadi, Jonathan D.; Coffey, K. C.; Belcher, Rachael; Frisbie, James; Hassan, Naeemul; Sim, Danielle; Malik, Rena D.</t>
  </si>
  <si>
    <t>#Coronavirus on TikTok: user engagement with misinformation as a potential threat to public health behavior</t>
  </si>
  <si>
    <t>JAMIA OPEN</t>
  </si>
  <si>
    <t>TikTok; misinformation; COVID-19; public health</t>
  </si>
  <si>
    <t>SOCIAL MEDIA; SPREAD; DISINFORMATION; INFORMATION; NEWS</t>
  </si>
  <si>
    <t>Coronavirus disease (COVID)-related misinformation is prevalent online, including on social media. The purpose of this study was to explore factors associated with user engagement with COVID-related misinformation on the social media platform, TikTok. A sample of TikTok videos associated with the hashtag #coronavirus was downloaded on September 20, 2020. Misinformation was evaluated on a scale (low, medium, and high) using a codebook developed by experts in infectious diseases. Multivariable modeling was used to evaluate factors associated with number of views and presence of user comments indicating intention to change behavior. One hundred and sixty-six TikTok videos were identified and reviewed. Moderate misinformation was present in 36 (22%) videos viewed a median of 6.8 million times (interquartile range [IQR] 3.6-16 million), and high-level misinformation was present in 11 (7%) videos viewed a median of 9.4 million times (IQR 5.1-18 million). After controlling for characteristics and content, videos containing moderate misinformation were less likely to generate a user response indicating intended behavior change. By contrast, videos containing high-level misinformation were less likely to be viewed but demonstrated a nonsignificant trend towards higher engagement among viewers. COVID-related misinformation is less frequently viewed on TikTok but more likely to engage viewers. Public health authorities can combat misinformation on social media by posting informative content of their own. Lay Summary Coronavirus disease (COVID)-related misinformation is prevalent online, including on social media. The purpose of this study was to explore factors associated with user engagement with COVID-related misinformation on the social media platform, TikTok. We reviewed a sample of 166 TikTok videos associated with the hashtag #coronavirus posted between the beginning of the pandemic and September 2020. Misinformation was evaluated on a scale (low, medium, and high) using a codebook developed by experts in infectious diseases. Moderate misinformation was present in 36 (22%) videos viewed a median of 6.8 million times, and high-level misinformation was present in 11 (7%) videos view a median of 9.4 million times. After controlling for characteristics and content, videos containing moderate misinformation were less likely to generate a user response indicating intended behavior change. By contrast, videos containing high-level misinformation were less likely to be viewed but demonstrated a trend towards higher engagement among viewers. Public health authorities can combat misinformation on social media by posting informative content of their own.</t>
  </si>
  <si>
    <t>[Baghdadi, Jonathan D.; Coffey, K. C.] Univ Maryland, Dept Epidemiol &amp; Publ Hlth, Div Genom Epidemiol &amp; Clin Outcomes, Sch Med, Baltimore, MD USA; [Belcher, Rachael; Frisbie, James; Sim, Danielle; Malik, Rena D.] Univ Maryland, Dept Surg, Div Urol, Sch Med, Baltimore, MD USA; [Hassan, Naeemul] Univ Maryland, Coll Informat Studies, College Pk, MD USA; [Hassan, Naeemul] Univ Maryland, Philip Merrill Coll Journalism, College Pk, MD USA</t>
  </si>
  <si>
    <t>University System of Maryland; University of Maryland Baltimore; University System of Maryland; University of Maryland Baltimore; University System of Maryland; University of Maryland College Park; University System of Maryland; University of Maryland College Park</t>
  </si>
  <si>
    <t>Baghdadi, JD (corresponding author), Univ Maryland, Dept Epidemiol &amp; Publ Hlth, Sch Med, MSTF Suite 334,10 S Pine St, Baltimore, MD 21201 USA.</t>
  </si>
  <si>
    <t>jbaghdadi@som.umaryland.edu</t>
  </si>
  <si>
    <t>Baghdadi, Jonathan/HYU-0929-2023</t>
  </si>
  <si>
    <t>Hassan, Naeemul/0000-0002-3951-6886; , Danielle J Sim/0009-0002-8923-3435</t>
  </si>
  <si>
    <t>Agency for Healthcare Research and Quality [1K08HS028854-01]</t>
  </si>
  <si>
    <t>Agency for Healthcare Research and Quality(United States Department of Health &amp; Human ServicesAgency for Healthcare Research &amp; Quality)</t>
  </si>
  <si>
    <t>Agency for Healthcare Research and Quality grant number 1K08HS028854-01 (to J.D.B.)</t>
  </si>
  <si>
    <t>2574-2531</t>
  </si>
  <si>
    <t>JAMIA Open</t>
  </si>
  <si>
    <t>JAN 6</t>
  </si>
  <si>
    <t>ooad013</t>
  </si>
  <si>
    <t>10.1093/jamiaopen/ooad013</t>
  </si>
  <si>
    <t>9H5EG</t>
  </si>
  <si>
    <t>WOS:000938855100001</t>
  </si>
  <si>
    <t>Pandher, Meher; Veliky, Jacob; Fastenau, John; Pedrosa, Gabriel Fernandez; Anh Nguyen; Sadeghi-Nejad, Hossein</t>
  </si>
  <si>
    <t>MISINFORMATION ON TIKTOK ABOUT THE EFFECT OF COVID-19 INFECTIONS AND VACCINATIONS ON MALE FERTILITY</t>
  </si>
  <si>
    <t>MP45-18</t>
  </si>
  <si>
    <t>E628</t>
  </si>
  <si>
    <t>WOS:000994549502082</t>
  </si>
  <si>
    <t>PD14-06</t>
  </si>
  <si>
    <t>E414</t>
  </si>
  <si>
    <t>E415</t>
  </si>
  <si>
    <t>WOS:000994549501240</t>
  </si>
  <si>
    <t>Alzahrani, F; Tolson, H; McCune, M; Price, H; Dupuy, E</t>
  </si>
  <si>
    <t>Alzahrani, Fatmah; Tolson, Hannah; McCune, Mariana; Price, Harper; Dupuy, Elizabeth</t>
  </si>
  <si>
    <t>TIKTOK AS A SOURCE OF MEDICAL INFORMATION: PORT WINE STAIN BIRTHMARKS AND TREATMENT USING VASCULAR LASERS</t>
  </si>
  <si>
    <t>LASERS IN SURGERY AND MEDICINE</t>
  </si>
  <si>
    <t>Phoenix Childrens Hosp Phoenix, Phoenix, AZ USA; Mayo Clin, Sch Med, Scottsdale, AZ USA; Univ Arizona, Phoenix, AZ USA; Univ Arizona, Coll Med, Phoenix, AZ USA</t>
  </si>
  <si>
    <t>Mayo Clinic; Mayo Clinic Phoenix; University of Arizona; University of Arizona</t>
  </si>
  <si>
    <t>Alzahrani, Fatmah/JRW-8817-2023</t>
  </si>
  <si>
    <t>0196-8092</t>
  </si>
  <si>
    <t>1096-9101</t>
  </si>
  <si>
    <t>LASER SURG MED</t>
  </si>
  <si>
    <t>Lasers Surg. Med.</t>
  </si>
  <si>
    <t>O3PW4</t>
  </si>
  <si>
    <t>WOS:001042980400222</t>
  </si>
  <si>
    <t>Ioschpe, AD; Roy, N; James, J; Alexis, M; Kim, E; Oleru, OO; Seyidova, N; Henderson, PW</t>
  </si>
  <si>
    <t>Ioschpe, Anais Di Via; Roy, Nikita; James, Justin; Alexis, Malory; Kim, Esther; Oleru, Olachi O.; Seyidova, Nargiz; Henderson, Peter W.</t>
  </si>
  <si>
    <t>Scrolling for Answers About Breast Implant Illness: Application of Validated Tools to Assess the Quality of Content on YouTube and TikTok</t>
  </si>
  <si>
    <t>PLASTIC SURGERY</t>
  </si>
  <si>
    <t>breast implant illness; social media; DISCERN; PEMAT; TikTok; YouTube; maladie des implants mammaires; medias sociaux</t>
  </si>
  <si>
    <t>VIDEOS; PAIN</t>
  </si>
  <si>
    <t>Introduction: Popular video-sharing platforms YouTube and TikTok offer a plethora of information on the topic of breast implant illness (BII). As a largely patient-driven phenomenon, it is important to understand the influence of social media on patient knowledge regarding BII. This study sought to evaluate the quality, reliability, visibility, and popularity of YouTube and TikTok videos about BII. Methods: Two validated tools for health information, DISCERN and the Patient Education Materials Assessment Tool (PEMAT), were utilized to evaluate the quality of information regarding the topic of BII on YouTube and TikTok. High DISCERN score indicates content of superior quality and reliability, while elevated PEMAT scores signify content that is easily understandable and actionable for viewers. The search phrase breast implant illness was used to screen videos, which were sorted based on relevance and view count. The first 100 videos that fulfilled inclusion criteria were independently graded by three reviewers. Results: TikTok videos of longer duration, a higher number of shares, and in the patient education category were all significantly associated with a higher total DISCERN score (P &lt; 0.05). YouTube videos that included a provider or a patient were significantly more likely to have a higher total DISCERN and PEMAT understandability score (all P &lt; 0.05). Discussion of physician education, operation details, and patient experience was significantly associated with higher total DISCERN and PEMAT understandability scores (all P &lt; 0.05). Conclusions: Total DISCERN and PEMAT scores for videos regarding BII on two popular social media platforms are low. Video length, patient experience categorization, and the presence of a provider are worth considering when developing high-quality online content for breast reconstruction and augmentation patients.</t>
  </si>
  <si>
    <t>[Ioschpe, Anais Di Via; Roy, Nikita; Kim, Esther; Oleru, Olachi O.; Seyidova, Nargiz; Henderson, Peter W.] Icahn Sch Med Mt Sinai, Div Plast &amp; Reconstruct Surg, 10 Union Sq East,Suite 2L, New York, NY 10029 USA; [James, Justin] CUNY, Sch Med, New York, NY USA; [Alexis, Malory] Florida State Univ, Coll Med, Tallahassee, FL USA</t>
  </si>
  <si>
    <t>Icahn School of Medicine at Mount Sinai; City University of New York (CUNY) System; State University System of Florida; Florida State University</t>
  </si>
  <si>
    <t>Henderson, PW (corresponding author), Icahn Sch Med Mt Sinai, Div Plast &amp; Reconstruct Surg, 10 Union Sq East,Suite 2L, New York, NY 10029 USA.</t>
  </si>
  <si>
    <t>Peter.henderson@mountsinai.org</t>
  </si>
  <si>
    <t>Di Via Ioschpe, Anais/0000-0002-1991-4318</t>
  </si>
  <si>
    <t>2292-5503</t>
  </si>
  <si>
    <t>2292-5511</t>
  </si>
  <si>
    <t>PLAST SURG-CHIR PLAS</t>
  </si>
  <si>
    <t>Plast. Surg.</t>
  </si>
  <si>
    <t>2024 APR 2</t>
  </si>
  <si>
    <t>10.1177/22925503241234936</t>
  </si>
  <si>
    <t>MU6K1</t>
  </si>
  <si>
    <t>WOS:001196186000001</t>
  </si>
  <si>
    <t>Murthy, D; Ouellette, RR; Anand, T; Radhakrishnan, S; Mohan, NC; Lee, J; Kong, G</t>
  </si>
  <si>
    <t>Murthy, Dhiraj; Ouellette, Rachel R.; Anand, Tanvi; Radhakrishnan, Srijith; Mohan, Nikhil C.; Lee, Juhan; Kong, Grace</t>
  </si>
  <si>
    <t>Using Computer Vision to Detect E-cigarette Content in TikTok Videos</t>
  </si>
  <si>
    <t>Introduction Previous research has identified abundant e-cigarette content on social media using primarily text-based approaches. However, frequently used social media platforms among youth, such as TikTok, contain primarily visual content, requiring the ability to detect e-cigarette-related content across large sets of videos and images. This study aims to use a computer vision technique to detect e-cigarette-related objects in TikTok videos.Aims and Methods We searched 13 hashtags related to vaping on TikTok (eg, #vape) in November 2022 and obtained 826 still images extracted from a random selection of 254 posts. We annotated images for the presence of vaping devices, hands, and/or vapor clouds. We developed a YOLOv7-based computer vision model to detect these objects using 85% of extracted images (N = 705) for training and 15% (N = 121) for testing.Results Our model's recall value was 0.77 for all three classes: vape devices, hands, and vapor. Our model correctly classified vape devices 92.9% of the time, with an average F1 score of 0.81.Conclusions The findings highlight the importance of having accurate and efficient methods to identify e-cigarette content on popular video-based social media platforms like TikTok. Our findings indicate that automated computer vision methods can successfully detect a range of e-cigarette-related content, including devices and vapor clouds, across images from TikTok posts. These approaches can be used to guide research and regulatory efforts.Implications Object detection, a computer vision machine learning model, can accurately and efficiently identify e-cigarette content on a primarily visual-based social media platform by identifying the presence of vaping devices and evidence of e-cigarette use (eg, hands and vapor clouds). The methods used in this study can inform computational surveillance systems for detecting e-cigarette content on video- and image-based social media platforms to inform and enforce regulations of e-cigarette content on social media.</t>
  </si>
  <si>
    <t>[Murthy, Dhiraj] Univ Texas Austin, Moody Coll Commun, Austin, TX USA; [Ouellette, Rachel R.] Yale Sch Med, Dept Psychiat, New Haven, CT USA; [Anand, Tanvi] Univ Texas Austin, Cockrell Sch Engn, Austin, TX USA; [Radhakrishnan, Srijith; Mohan, Nikhil C.] Manipal Inst Technol, Dept Informat &amp; Commun Technol, Manipal, Karnataka, India; [Lee, Juhan; Kong, Grace] Yale Sch Med, Dept Psychiat, New Haven, CT USA; [Murthy, Dhiraj] Univ Texas Austin, DMC, 300 W Dean Keeton St, Austin, TX 78712 USA</t>
  </si>
  <si>
    <t>University of Texas System; University of Texas Austin; Yale University; University of Texas System; University of Texas Austin; Manipal Academy of Higher Education (MAHE); Yale University; University of Texas System; University of Texas Austin</t>
  </si>
  <si>
    <t>Murthy, D (corresponding author), Univ Texas Austin, DMC, 300 W Dean Keeton St, Austin, TX 78712 USA.</t>
  </si>
  <si>
    <t>Dhiraj.Murthy@austin.utexas.edu</t>
  </si>
  <si>
    <t>Murthy, Dhiraj/B-7067-2009; Lee, Joseph/D-2441-2012</t>
  </si>
  <si>
    <t>Murthy, Dhiraj/0000-0001-9734-1124; Lee, Juhan/0000-0003-0860-3327; Ouellette, Rachel/0000-0001-6982-0830; Kong, Grace/0000-0002-9269-3435</t>
  </si>
  <si>
    <t>National Institute on Drug Abuse (NIDA) [R01DA049878]; US Food and Drug Administration (FDA) Center for Tobacco Products; NIDA [5T32DA019426-18]</t>
  </si>
  <si>
    <t>National Institute on Drug Abuse (NIDA)(United States Department of Health &amp; Human ServicesNational Institutes of Health (NIH) - USANIH National Institute on Drug Abuse (NIDA)); US Food and Drug Administration (FDA) Center for Tobacco Products; NIDA(United States Department of Health &amp; Human ServicesNational Institutes of Health (NIH) - USANIH National Institute on Drug Abuse (NIDA))</t>
  </si>
  <si>
    <t>The research reported in this publication was supported by grant number R01DA049878 (PI: Kong) from the National Institute on Drug Abuse (NIDA) and US Food and Drug Administration (FDA) Center for Tobacco Products. The content is solely the responsibility of the authors and does not necessarily represent the official views of NIDA or FDA CTP. Author RRO's effort was supported by grant number 5T32DA019426-18 (PI: Tebes) from the NIDA.</t>
  </si>
  <si>
    <t>_1</t>
  </si>
  <si>
    <t>S36</t>
  </si>
  <si>
    <t>S42</t>
  </si>
  <si>
    <t>10.1093/ntr/ntad184</t>
  </si>
  <si>
    <t>IA5I2</t>
  </si>
  <si>
    <t>WOS:001163609800005</t>
  </si>
  <si>
    <t>Granfluencers on TikTok: Factors linked to positive self-portrayals of older adults on social media</t>
  </si>
  <si>
    <t>AGE; WELL; HEALTH; HUMOR; METAANALYSIS; STEREOTYPES; RETIREMENT; LONGEVITY</t>
  </si>
  <si>
    <t>Lately, there have been news reports on the rise of older content creators on various social media outlets. However, while journalists have picked up on this topic, scholars have been slow to accord it any attention. Our study delves into this topic and looks at how older TikTokers' self-perceptions of aging are expressed in their videos. Specifically, we analyze the valence of the content of these videos and factors associated with older adults' self-presentations. TikTok has only gone from strength to strength since its global launch in 2017. Even as stay-at-home orders and safe distancing protocols amid the COVID-19 pandemic have led to a dramatic increase in the consumption of media across various platforms, TikTok stands out among its rivals in terms of growth and user activity. Given its wide reach, content on TikTok has the potential to influence public opinion. We collated 1,382 videos created by TikTokers aged 60 and above with at least 100,000 followers. These videos amassed over 3.5 billion views. Following previous studies, three raters coded each video for valence (negative-neutral-positive). We found that women created twice as many videos as men. The middle-old group (ages 75-84) created more videos than the young-old and oldest-old groups. Positive videos outnumbered negative ones by 10 times. As hypothesized, themes linked to positive self-portrayals were 'physical functioning' (p &lt; .001) and 'social interaction' (p &lt; .001). Conversely, 'cognitive functioning' (p &lt; .001) evidenced a negative association, controlling for age and gender of the user. This is one of the first studies on older adults' self-portrayals of aging on TikTok. Our findings suggest that older adults tend to portray themselves positively across various domains on the application. If used purposefully, TikTok may serve as a promising platform for improving public perceptions of old age.</t>
  </si>
  <si>
    <t>Ng, R (corresponding author), Natl Univ Singapore, Lee Kuan Yew Sch Publ Policy, Singapore, Singapore.;Ng, R (corresponding author), Natl Univ Singapore, Lloyds Register Fdn Inst Publ Understanding Risk, Singapore, Singapore.</t>
  </si>
  <si>
    <t>We gratefully acknowledge the support of the Social Science Research Council SSHR Fellowship (MOE2018-SSHR-004). The funder had no role in study design, data collection, analysis, writing and decision to publish.</t>
  </si>
  <si>
    <t>FEB 7</t>
  </si>
  <si>
    <t>e0280281</t>
  </si>
  <si>
    <t>10.1371/journal.pone.0280281</t>
  </si>
  <si>
    <t>G4NZ9</t>
  </si>
  <si>
    <t>WOS:000988955100001</t>
  </si>
  <si>
    <t>Douyin, TikTok and China's Online Screen Industry The Rise of Short-Video Platforms Preface</t>
  </si>
  <si>
    <t>Editorial Material; Book Chapter</t>
  </si>
  <si>
    <t>Su, Meizi/HJA-8476-2022</t>
  </si>
  <si>
    <t>XII</t>
  </si>
  <si>
    <t>XIII</t>
  </si>
  <si>
    <t>WOS:001219761700001</t>
  </si>
  <si>
    <t>Kream, EJ; Watchmaker, JD; Dover, JS</t>
  </si>
  <si>
    <t>Kream, Elizabeth J.; Watchmaker, Jacqueline D.; Dover, Jeffrey S.</t>
  </si>
  <si>
    <t>TikTok Sheds Light on Tanning: Tanning Is Still Popular and Emerging Trends Pose New Risks</t>
  </si>
  <si>
    <t>[Kream, Elizabeth J.] Univ Illinois, Coll Med, Dept Dermatol, Chicago, IL 60680 USA; [Watchmaker, Jacqueline D.; Dover, Jeffrey S.] SkinCare Phys, Chestnut Hill, MA 02467 USA; [Dover, Jeffrey S.] Yale Univ, Sch Med, Dept Dermatol, New Haven, CT 06510 USA</t>
  </si>
  <si>
    <t>University of Illinois System; University of Illinois Chicago; University of Illinois Chicago Hospital; Yale University</t>
  </si>
  <si>
    <t>Watchmaker, JD (corresponding author), SkinCare Phys, Chestnut Hill, MA 02467 USA.</t>
  </si>
  <si>
    <t>10.1097/DSS.0000000000003549</t>
  </si>
  <si>
    <t>WOS:000849034200030</t>
  </si>
  <si>
    <t>Aaron, BL; Neff, KE; Wu, JY; Cai, F; Swartz, JJ; Burns, LP</t>
  </si>
  <si>
    <t>Aaron, Bryan L.; Neff, Katherine E.; Wu, Jenny; Cai, Fei; Swartz, Jonas J.; Burns, Luke P.</t>
  </si>
  <si>
    <t>Labor induction in the age of TikTok: what are influencers teaching patients about oxytocin infusion?</t>
  </si>
  <si>
    <t>AMERICAN JOURNAL OF OBSTETRICS &amp; GYNECOLOGY MFM</t>
  </si>
  <si>
    <t>[Aaron, Bryan L.; Neff, Katherine E.] Univ Michigan, Med Sch, Ann Arbor, MI 48109 USA; [Wu, Jenny] Duke Univ, Dept Obstet &amp; Gynecol, Durham, NC USA; [Cai, Fei] Oregon Hlth &amp; Sci Univ, Dept Obstet &amp; Gynecol, Div Perinatol, Portland, OR USA; [Swartz, Jonas J.] Duke Univ Sch Med, Dept Obstet &amp; Gynecol, Durham, NC USA; [Burns, Luke P.] Univ Michigan, Dept Obstet &amp; Gynecol, Ann Arbor, MI USA</t>
  </si>
  <si>
    <t>University of Michigan System; University of Michigan; Duke University; Oregon Health &amp; Science University; Duke University; University of Michigan System; University of Michigan</t>
  </si>
  <si>
    <t>Aaron, BL (corresponding author), Univ Michigan, Med Sch, Ann Arbor, MI 48109 USA.</t>
  </si>
  <si>
    <t>bryaaron@med.umich.edu</t>
  </si>
  <si>
    <t>Burns, Luke/KUD-3625-2024</t>
  </si>
  <si>
    <t>Swartz, Jonas/0000-0002-9726-965X; Neff, Katherine/0009-0003-3538-6230</t>
  </si>
  <si>
    <t>2589-9333</t>
  </si>
  <si>
    <t>AM J OBST GYNEC MFM</t>
  </si>
  <si>
    <t>Amer. J. Obstet. Gynecol. MFM</t>
  </si>
  <si>
    <t>10.1016/j.ajogmf.2023.101138</t>
  </si>
  <si>
    <t>U3EF7</t>
  </si>
  <si>
    <t>WOS:001083657900001</t>
  </si>
  <si>
    <t>Rabby, MII; Badiuzzaman, M; Akhi, IJ</t>
  </si>
  <si>
    <t>Rabby, Md Insiat Islam; Badiuzzaman, Md; Akhi, Israt Jahan</t>
  </si>
  <si>
    <t>Does TikTok Open Gates for Sexual Violence Against Young Girls in Bangladesh Amid COVID-19?</t>
  </si>
  <si>
    <t>ASIA-PACIFIC JOURNAL OF PUBLIC HEALTH</t>
  </si>
  <si>
    <t>[Rabby, Md Insiat Islam] Univ Putra Malaysia, Serdang, Selangor, Malaysia; [Badiuzzaman, Md] Univ New South Wales, Sydney, NSW, Australia; [Akhi, Israt Jahan] Bangladesh Hlth Profess Inst, Dhaka, Bangladesh</t>
  </si>
  <si>
    <t>Universiti Putra Malaysia; University of New South Wales Sydney</t>
  </si>
  <si>
    <t>Rabby, MII (corresponding author), Univ Putra Malaysia, Dept Mech &amp; Mfg Engn, Jalan Univ 1, Serdang 43400, Selangor, Malaysia.</t>
  </si>
  <si>
    <t>insiatislam8@gmail.com</t>
  </si>
  <si>
    <t>Rabby, Md Insiat Islam/AAN-6382-2020</t>
  </si>
  <si>
    <t>Rabby, Md Insiat Islam/0000-0003-0431-6101</t>
  </si>
  <si>
    <t>1010-5395</t>
  </si>
  <si>
    <t>1941-2479</t>
  </si>
  <si>
    <t>ASIA-PAC J PUBLIC HE</t>
  </si>
  <si>
    <t>Asia-Pac. J. Public Health</t>
  </si>
  <si>
    <t>10.1177/10105395211046479</t>
  </si>
  <si>
    <t>XU6DK</t>
  </si>
  <si>
    <t>WOS:000700417300001</t>
  </si>
  <si>
    <t>Pryde, S; Kemps, E; Prichard, I</t>
  </si>
  <si>
    <t>Pryde, Samantha; Kemps, Eva; Prichard, Ivanka</t>
  </si>
  <si>
    <t>You started working out to get a flat stomach and a fat a$$: A content analysis of fitspiration videos on TikTok</t>
  </si>
  <si>
    <t>Fitspiration; Social media; TikTok content analysis; Objectification theory</t>
  </si>
  <si>
    <t>BODY-IMAGE CONCERNS; DISCLAIMER LABELS; OBJECTIFICATION THEORY; VIEWING FITSPIRATION; SELF-OBJECTIFICATION; EXERCISE MOTIVATION; SOCIAL MEDIA; IMPACT; IDEAL; SKINNY</t>
  </si>
  <si>
    <t>Fitspiration presents idealised bodies to viewers, emphasising a fit ideal to women and a muscular ideal to men. Previous content analyses have focused on images from Instagram, with research yet to examine video content on TikTok or verify the accuracy of the diet and exercise information posted by fitness influencers. This content analysis examined 200 videos from popular TikTok fitspiration hashtags (fitness, fitspo, gymtok, fittok). Two independent coders used a standardised codebook containing definitions and examples for coding. Overall, 78 % of videos showed only women, and 10 % of videos showed only men. Videos of women included both fit and thin idealised bodies, whole body and specific body part objectification, harmful themes, and promoted appearancerelated reasons for exercise more frequently than videos containing men. Videos of men included muscular idealised bodies and objectification through face obscurity (excluding the face from view) more frequently than videos of women. Most videos were posted by fitness influencers, and 60 % of videos presented incorrect or harmful information. Findings suggest that fitspiration TikTok content contains characteristics known to negatively impact body image and highlights gendered differences in content themes. Further investigation is required on the promotion of appearance reasons to exercise, and the credibility of information and content creators.</t>
  </si>
  <si>
    <t>[Pryde, Samantha; Kemps, Eva] Flinders Univ S Australia, Coll Educ Psychol &amp; Social Work, Psychol, Adelaide, Australia; [Pryde, Samantha; Prichard, Ivanka] Flinders Univ S Australia, Caring Futures Inst, Adelaide, Australia; [Pryde, Samantha; Prichard, Ivanka] SHAPE Res Ctr, Adelaide, Australia</t>
  </si>
  <si>
    <t>Flinders University South Australia; Flinders University South Australia</t>
  </si>
  <si>
    <t>Pryde, S (corresponding author), Flinders Univ S Australia, Coll Educ Psychol &amp; Social Work, Psychol, Adelaide, Australia.</t>
  </si>
  <si>
    <t>Prichard, Ivanka/0000-0001-8892-9129; Pryde, Samantha/0009-0003-7488-1306</t>
  </si>
  <si>
    <t>10.1016/j.bodyim.2024.101769</t>
  </si>
  <si>
    <t>YX9W0</t>
  </si>
  <si>
    <t>WOS:001271914700001</t>
  </si>
  <si>
    <t>Alonso-Lopez, N; Bautista, PS; Apablaza-Campos, A</t>
  </si>
  <si>
    <t>Alonso-Lopez, Nadia; Bautista, Pavel Sidorenko; Apablaza-Campos, Alexis</t>
  </si>
  <si>
    <t>TikTok and active audiences in processes for political and structural change. An exploratory study based on the Scottish referendum</t>
  </si>
  <si>
    <t>TikTok; political change; active audiences; referendum; Scotland</t>
  </si>
  <si>
    <t>COMMUNICATION; INSTAGRAM; CATALAN; TWITTER</t>
  </si>
  <si>
    <t>Plebiscites, secession consultations, and referendums are electoral processes that are different from conventional voting. Conversations before these types of elections tend to focus on very different aspects than those generated during the election of an authority or public office, with a focus on the future impacts that each decision may have on a country, generally taking one side or the other. In the current media ecosystem, this conversation takes place largely on social platforms and networks, where users consume content and interact with it, becoming active prosumer audiences. The aim of this research is to determine what elements determine this type of discourse on TikTok -as a social network that is trending among digital communities-, what type of profiles promote them, and what narrative code is used. To this end, based on the case of the referendum planned in Scotland for 2023, an exploratory quantitative and qualitative study is proposed based on the publications discriminated by hashtags related to the topic through an analysis carried out in an application called PyCharm (Python) TikTok Research. The results suggest that on TikTok this type of content has a large reach, but it is not possible to determine precisely whether it has a specific effect or impact. However, the rate of user engagement and interaction with this content opens the possibility of eventually greater influence than on other platforms.</t>
  </si>
  <si>
    <t>[Alonso-Lopez, Nadia] Univ Politecn Valencia, Valencia, Spain; [Bautista, Pavel Sidorenko] Univ Int La Rioja, Logrono, La Rioja, Spain; [Apablaza-Campos, Alexis] Univ Artes Ciencias &amp; Comunicac, Providencia, Chile</t>
  </si>
  <si>
    <t>Alonso-Lopez, N (corresponding author), Univ Politecn Valencia, Valencia, Spain.</t>
  </si>
  <si>
    <t>naallo1@har.upv.es; pavel.sidorenkobautista@unir.net; alexis.apablaza@uniacc.edu</t>
  </si>
  <si>
    <t>Alonso-López, Nadia/ABA-2566-2022; Bautista, Pavel/ABF-3242-2020; Apablaza-Campos, Alexis/JFT-1307-2023</t>
  </si>
  <si>
    <t>Sidorenko Bautista, Pavel/0000-0002-8094-3089; Alonso Lopez, Nadia/0000-0002-5220-2232; Apablaza Campos, Alexis Javier/0000-0003-4407-1145</t>
  </si>
  <si>
    <t>10.15581/003.36.3.87-101</t>
  </si>
  <si>
    <t>K4VC6</t>
  </si>
  <si>
    <t>WOS:001016423000006</t>
  </si>
  <si>
    <t>Raffoul, A; Santoso, M; Lu, J; Duran, V; Austin, SB</t>
  </si>
  <si>
    <t>Raffoul, Amanda; Santoso, Monique; Lu, Junjie; Duran, Valeria; Austin, S. Bryn</t>
  </si>
  <si>
    <t>INVESTIGATING THE PROMOTION OF DIETING-RELATED PRODUCTS ON TIKTOK: A PILOT STUDY</t>
  </si>
  <si>
    <t>[Raffoul, Amanda; Santoso, Monique] Boston Childrens Hosp, Div Adolescent Young Adult Med, Boston, MA USA; [Lu, Junjie; Duran, Valeria] Harvard T H Chan Sch Publ Hlth, Boston, MA USA; [Austin, S. Bryn] Boston Childrens Hosp, Harvard T H Chan Sch Publ Hlth, Boston, MA USA</t>
  </si>
  <si>
    <t>Harvard University; Boston Children's Hospital; Harvard University; Harvard T.H. Chan School of Public Health; Harvard University; Harvard T.H. Chan School of Public Health; Boston Children's Hospital</t>
  </si>
  <si>
    <t>Lu, Junjie/JDM-4751-2023</t>
  </si>
  <si>
    <t>LU, JUNJIE/0000-0002-8370-7858</t>
  </si>
  <si>
    <t>Strategic Training Initiative for the Prevention of Eating Disorders - Canadian Institutes of Health Research Fellowship</t>
  </si>
  <si>
    <t>Pilot study funded by the Strategic Training Initiative for the Prevention of Eating Disorders. First author funded by a Canadian Institutes of Health Research Fellowship.</t>
  </si>
  <si>
    <t>H3TZ4</t>
  </si>
  <si>
    <t>WOS:000995238000104</t>
  </si>
  <si>
    <t>Fowler, LR; Schoen, L; Smith, HS; Morain, SR</t>
  </si>
  <si>
    <t>Fowler, Leah R.; Schoen, Lauren; Smith, Hadley Stevens; Morain, Stephanie R.</t>
  </si>
  <si>
    <t>Sex Education on TikTok: A Content Analysis of Themes</t>
  </si>
  <si>
    <t>HEALTH PROMOTION PRACTICE</t>
  </si>
  <si>
    <t>child/adolescent health; sexual health; internet/electronic interventions; technology; mass media; social marketing/health communication; public health laws/policies; health education</t>
  </si>
  <si>
    <t>Leading medical and public health societies endorse comprehensive sex education, but only 20 states and Washington, D.C., currently require information about contraception when sex education is taught, and even fewer require the inclusion of topics such as gender diversity or consent. At the same time, social media use, especially the video-sharing app TikTok, is increasing among teens. TikTok, therefore, offers a novel opportunity to make up for shortcomings in sex education and convey sexual health information to adolescents. To describe the availability and content of sexual education on TikTok, we conducted a content analysis of themes for 100 sex education-focused videos. We found that female anatomy was the most frequently addressed topic. Sexual pleasure was the second most common theme, within which discussions of the female orgasm and arousal constituted the most common subtheme. Other common themes include contraception and sexual health. These sought-after topics may be incongruent with those presented in standard school- or home-based sex education or interactions with health care providers, and this disconnect suggests opportunities for health care providers and educators to initiate conversations or offer resources on these themes as part of routine interaction. We conclude with recommendations for future research to consider the factual accuracy of sex education on TikTok and determine how exposure to this content affects adolescents' understanding of the risks and benefits of intercourse, sexual practices, age- and gender-based sexual norms, and other health behaviors.</t>
  </si>
  <si>
    <t>[Fowler, Leah R.] Univ Houston, Hlth Law Policy Inst, Law Ctr, 4604 Calhoun Rd,TUII Suite 104, Houston, TX 77204 USA; [Schoen, Lauren; Smith, Hadley Stevens; Morain, Stephanie R.] Baylor Coll Med, Ctr Med Eth &amp; Hlth Policy, Houston, TX USA</t>
  </si>
  <si>
    <t>University of Houston System; University of Houston; Baylor College of Medicine</t>
  </si>
  <si>
    <t>Fowler, LR (corresponding author), Univ Houston, Hlth Law Policy Inst, Law Ctr, 4604 Calhoun Rd,TUII Suite 104, Houston, TX 77204 USA.</t>
  </si>
  <si>
    <t>lfowler@central.uh.edu</t>
  </si>
  <si>
    <t>Morain, Stephanie/0000-0001-7278-7517; Fowler, Leah/0000-0002-9946-9196</t>
  </si>
  <si>
    <t>1524-8399</t>
  </si>
  <si>
    <t>1552-6372</t>
  </si>
  <si>
    <t>HEALTH PROMOT PRACT</t>
  </si>
  <si>
    <t>Health Promot. Pract.</t>
  </si>
  <si>
    <t>10.1177/15248399211031536</t>
  </si>
  <si>
    <t>5F8DN</t>
  </si>
  <si>
    <t>WOS:000686976800001</t>
  </si>
  <si>
    <t>Bagenal, J; Zenone, M; Maani, N; Barbic, S</t>
  </si>
  <si>
    <t>Bagenal, Jessamy; Zenone, Marco; Maani, Nason; Barbic, Skye</t>
  </si>
  <si>
    <t>Embracing the non-traditional: alcohol advertising on TikTok</t>
  </si>
  <si>
    <t>BMJ GLOBAL HEALTH</t>
  </si>
  <si>
    <t>Health policies and all other topics</t>
  </si>
  <si>
    <t>[Bagenal, Jessamy] London Sch Hyg &amp; Trop Med, Masters Publ Hlth Programme, London, England; [Bagenal, Jessamy] Lancet, Editorial Dept, London, England; [Zenone, Marco] London Sch Hyg &amp; Trop Med, Fac Publ Hlth &amp; Policy, London, England; [Maani, Nason] Univ Edinburgh, Sch Social &amp; Polit Sci, Global Hlth Policy Unit, Edinburgh, Scotland; [Barbic, Skye] Univ British Columbia, Dept Occupat Sci &amp; Occupat Therapy, Vancouver, BC, Canada</t>
  </si>
  <si>
    <t>University of London; London School of Hygiene &amp; Tropical Medicine; University of London; London School of Hygiene &amp; Tropical Medicine; University of Edinburgh; University of British Columbia</t>
  </si>
  <si>
    <t>Bagenal, J (corresponding author), London Sch Hyg &amp; Trop Med, Masters Publ Hlth Programme, London, England.;Bagenal, J (corresponding author), Lancet, Editorial Dept, London, England.</t>
  </si>
  <si>
    <t>jessamy.bagenal@lancet.com</t>
  </si>
  <si>
    <t>Maani, Nason/HSG-2673-2023; Barbic, Skye/AAW-4044-2020</t>
  </si>
  <si>
    <t>Maani, Nason/0000-0002-3398-0688</t>
  </si>
  <si>
    <t>Canadian Institutes of Health Research Operating Grant [477262]</t>
  </si>
  <si>
    <t>Canadian Institutes of Health Research Operating Grant(Canadian Institutes of Health Research (CIHR))</t>
  </si>
  <si>
    <t>This project was partially funded by the Canadian Institutes of Health Research Operating Grant for emerging COVID- 19 research gaps and priorities (application #477262).</t>
  </si>
  <si>
    <t>2059-7908</t>
  </si>
  <si>
    <t>BMJ GLOB HEALTH</t>
  </si>
  <si>
    <t>BMJ Glob. Health</t>
  </si>
  <si>
    <t>e009954</t>
  </si>
  <si>
    <t>10.1136/bmjgh-2022-009954</t>
  </si>
  <si>
    <t>8M6WH</t>
  </si>
  <si>
    <t>WOS:000924601900001</t>
  </si>
  <si>
    <t>Waterton, KA; Lipner, SR</t>
  </si>
  <si>
    <t>Waterton, Kelita A.; Lipner, Shari R.</t>
  </si>
  <si>
    <t>Truth or Trend - Misinformation Spreading Fast on TikTok: A Cross-Sectional Analysis of Onychomycosis Content</t>
  </si>
  <si>
    <t>SKIN APPENDAGE DISORDERS</t>
  </si>
  <si>
    <t>Onychomycosis; Nail fungus; TikTok; Social media</t>
  </si>
  <si>
    <t>Background: Onychomycosis is the most frequently diagnosed nail condition in clinical practice. With the growing popularity of TikTok and online health information-seeking behavior, it is imperative to understand onychomycosis-related content on this platform. Objective: Our objective was to assess content and quality of the most popular onychomycosis-related content on TikTok. Methods: We queried TikTok for videos using the search terms onychomycosis and nail fungus for the top 100 videos by view count, with DISCERN scoring used to rate videos for quality. Results: Average DISCERN score was 1.77 and dermatologists posted videos with the highest mean score (2.56). Most of the videos were educational (72%) and/or related to treatment (69%). Home remedies were recommended more often (58%) than FDA-approved therapies (7%). Physician versus nonphysician posted videos had higher mean DISCERN score (2.28 vs. 1.44) (p &lt; 0.001), greater view number (1,209,953 vs. 343,993) (p &lt; 0.05), and more often discussed medical therapy (p &lt; 0.05). Conclusion: While social media is a valuable resource for providing medical information to an interminable audience, there are significant shortcomings. Therefore, we recommend that dermatologists advise patients against relying on social media for medical information and consider using social media to provide accessible evidence-based health education on onychomycosis.</t>
  </si>
  <si>
    <t>[Waterton, Kelita A.] SUNY Downstate Hlth Sci Univ, Coll Med, Brooklyn, NY USA; [Lipner, Shari R.] Weill Cornell Med, Dept Dermatol, New York, NY 10065 USA</t>
  </si>
  <si>
    <t>State University of New York (SUNY) System; SUNY Downstate Health Sciences University; Cornell University; Weill Cornell Medicine</t>
  </si>
  <si>
    <t>Lipner, SR (corresponding author), Weill Cornell Med, Dept Dermatol, New York, NY 10065 USA.</t>
  </si>
  <si>
    <t>2296-9195</t>
  </si>
  <si>
    <t>2296-9160</t>
  </si>
  <si>
    <t>SKIN APPENDAGE DISOR</t>
  </si>
  <si>
    <t>Skin. Appendage Disord.</t>
  </si>
  <si>
    <t>10.1159/000533319</t>
  </si>
  <si>
    <t>Z9HZ3</t>
  </si>
  <si>
    <t>WOS:001063366900001</t>
  </si>
  <si>
    <t>Zhu, JS; Ma, Y; Xia, GE; Salle, SM; Huang, HY; Sannusi, SN</t>
  </si>
  <si>
    <t>Zhu, Jinsheng (Jason); Ma, Yan; Xia, Guoen; Salle, Sabariah Mohamed; Huang, Hongye; Sannusi, Shahrul Nazmi</t>
  </si>
  <si>
    <t>Self-perception evolution among university student TikTok users: evidence from China</t>
  </si>
  <si>
    <t>short video; value formation; university students; self-perception; TikTok (Douyin in China)</t>
  </si>
  <si>
    <t>SOCIAL MEDIA; GROUNDED THEORY</t>
  </si>
  <si>
    <t>The effects of short movies on social media platforms are gaining worldwide popularity and are now attracting global academic attention. Employing self-perception theory and qualitative research methodology, the study examines the influence of short video applications (TikTok) on app-user engagement and evaluates the self-perceived cognitive psychological understanding of Chinese university students. The findings show that identity, attitude change, emotional perception, and civic engagement are the most influential aspects of Chinese youths' self-perceptions. Furthermore, the positive and negative correlated components influence the distribution of short video values. Such tactical use of personality construction contributes to the present psychological research of Chinese university students.</t>
  </si>
  <si>
    <t>[Zhu, Jinsheng (Jason); Ma, Yan; Salle, Sabariah Mohamed; Sannusi, Shahrul Nazmi] Univ Kebangsaan Malaysia, Fac Social Sci &amp; Humanities, Ctr Res Media &amp; Commun, Bangi, Selangor, Malaysia; [Zhu, Jinsheng (Jason)] Guilin Tourism Univ, Belt &amp; Rd Int Sch, Guilin, Peoples R China; [Ma, Yan; Xia, Guoen] Guangxi Univ Finance &amp; Econ, Sch Journalism &amp; Commun, Nanning, Peoples R China; [Xia, Guoen] Guangxi Univ Finance &amp; Econ, Sch Business Adm, Nanning, Peoples R China; [Huang, Hongye] Nanning Normal Univ, Sch Journalism &amp; Commun, Nanning 530000, Peoples R China</t>
  </si>
  <si>
    <t>Universiti Kebangsaan Malaysia; Guilin Tourism University; Guangxi University of Finance &amp; Economics; Guangxi University of Finance &amp; Economics; Nanning Normal University</t>
  </si>
  <si>
    <t>Zhu, JS (corresponding author), Univ Kebangsaan Malaysia, Fac Social Sci &amp; Humanities, Ctr Res Media &amp; Commun, Bangi, Selangor, Malaysia.;Zhu, JS (corresponding author), Guilin Tourism Univ, Belt &amp; Rd Int Sch, Guilin, Peoples R China.</t>
  </si>
  <si>
    <t>git.jason@qq.com</t>
  </si>
  <si>
    <t>Huang, Hongye/HNR-9794-2023; Zhu, Jinsheng (Jason)/AAE-9885-2021</t>
  </si>
  <si>
    <t>Zhu, Jinsheng (Jason)/0000-0003-0586-1291</t>
  </si>
  <si>
    <t>academic achievements of Research Project of the Ministry of Education of China in Humanities and Social Sciences: A Study on the Use of Social Media [22YJC860023]; New Liberal Arts Research and Reform Project of Ministry of Education of China: Exploration and Practice of ASEAN International Management Applied Talents Cultivation under the Background of New Liberal Arts [2021110077]; Guangxi Higher Education Undergraduate Teaching Reform Project [2021JGZ153]; National Social Science Fund [23BXW107]; academic achievements of First-class universities and disciplines in tourism management discipline (project) in Guangxi, China</t>
  </si>
  <si>
    <t>academic achievements of Research Project of the Ministry of Education of China in Humanities and Social Sciences: A Study on the Use of Social Media; New Liberal Arts Research and Reform Project of Ministry of Education of China: Exploration and Practice of ASEAN International Management Applied Talents Cultivation under the Background of New Liberal Arts; Guangxi Higher Education Undergraduate Teaching Reform Project; National Social Science Fund; academic achievements of First-class universities and disciplines in tourism management discipline (project) in Guangxi, China</t>
  </si>
  <si>
    <t>This article was funded as part of the academic achievements of Research Project of the Ministry of Education of China in Humanities and Social Sciences: A Study on the Use of Social Media and the Connotation of Chinese Ethnic Community Consciousness among Ethnic Minorities in the Southwest Border Areas (22YJC860023); New Liberal Arts Research and Reform Project of Ministry of Education of China: Exploration and Practice of ASEAN International Management Applied Talents Cultivation under the Background of New Liberal Arts (No. 2021110077), Guangxi Higher Education Undergraduate Teaching Reform Project (No. 2021JGZ153), and National Social Science Fund (23BXW107). This article was also funded as part of the academic achievements of First-class universities and disciplines in tourism management discipline (project) in Guangxi, China.r This article was funded as part of the academic achievements of Research Project of the Ministry of Education of China in Humanities and Social Sciences: A Study on the Use of Social Media and the Connotation of Chinese Ethnic Community Consciousness among Ethnic Minorities in the Southwest Border Areas (22YJC860023); New Liberal Arts Research and Reform Project of Ministry of Education of China: Exploration and Practice of ASEAN International Management Applied Talents Cultivation under the Background of New Liberal Arts (No. 2021110077), Guangxi Higher Education Undergraduate Teaching Reform Project (No. 2021JGZ153), and National Social Science Fund (23BXW107). This article was also funded as part of the academic achievements of First-class universities and disciplines in tourism management discipline (project) in Guangxi, China.</t>
  </si>
  <si>
    <t>FEB 19</t>
  </si>
  <si>
    <t>10.3389/fpsyg.2023.1217014</t>
  </si>
  <si>
    <t>JS5G6</t>
  </si>
  <si>
    <t>WOS:001175160300001</t>
  </si>
  <si>
    <t>Zhang, JJ; Yuan, J; Zhang, DQ; Yang, Y; Wang, CY; Dou, ZQ; Li, Y</t>
  </si>
  <si>
    <t>Zhang, Juanjuan; Yuan, Jun; Zhang, Danqin; Yang, Yi; Wang, Chaoyun; Dou, Zhiqian; Li, Yan</t>
  </si>
  <si>
    <t>Short video platforms as sources of health information about cervical cancer: A content and quality analysis</t>
  </si>
  <si>
    <t>Background The development of short popular science video platforms helps people obtain health information, but no research has evaluated the information characteristics and quality of short videos related to cervical cancer. The purpose of this study was to evaluate the quality and reliability of short cervical cancer-related videos on TikTok and Kwai. Methods The Chinese keyword cervical cancer was used to search for related videos on TikTok and Kwai, and a total of 163 videos were ultimately included. The overall quality of these videos was evaluated by the Global Quality Score (GQS) and the modified DISCERN tool. Results A total of 163 videos were included in this study, TikTok and Kwai contributed 82 and 81 videos, respectively. Overall, these videos received much attention; the median number of likes received was 1360 (403-6867), the median number of comments was 147 (40-601), and the median number of collections was 282 (71-1296). In terms of video content, the etiology of cervical cancer was the most frequently discussed topic. Short videos posted on TikTok received more attention than did those posted on Kwai, and the GQS and DISCERN score of videos posted on TikTok were significantly better than those of videos posted on Kwai. In addition, the videos posted by specialists were of the highest quality, with a GQS and DISCERN score of 3 (2-3) and 2 (2-3), respectively. Correlation analysis showed that GQS was significantly correlated with the modified DISCERN scores (p&lt;0.001). Conclusion In conclusion, the quality and reliability of cervical cancer-related health information provided by short videos were unsatisfactory, and the quality of the videos posted on TikTok was better than that of videos posted on Kwai. Compared with those posted by individual users, short videos posted by specialists provided higher-quality health information.</t>
  </si>
  <si>
    <t>[Zhang, Juanjuan; Yang, Yi; Wang, Chaoyun; Li, Yan] Hubei Univ Med, Taihe Hosp, Ctr Reprod Med, Shiyan, Hubei, Peoples R China; [Yuan, Jun] Hubei Univ Med, Taihe Hosp, Dept Ophthalmol, Shiyan, Hubei, Peoples R China; [Zhang, Danqin] Hubei Univ Med, Taihe Hosp, Dept Gastroenterol, Shiyan, Hubei, Peoples R China; [Dou, Zhiqian] Hubei Univ Med, Taihe Hosp, Dept Gynaecol &amp; Obstet, Shiyan, Hubei, Peoples R China</t>
  </si>
  <si>
    <t>Hubei University of Medicine; Hubei University of Medicine; Hubei University of Medicine; Hubei University of Medicine</t>
  </si>
  <si>
    <t>Li, Y (corresponding author), Hubei Univ Med, Taihe Hosp, Ctr Reprod Med, Shiyan, Hubei, Peoples R China.</t>
  </si>
  <si>
    <t>274012494@qq.com</t>
  </si>
  <si>
    <t>Zhang, Juan/GRX-2638-2022</t>
  </si>
  <si>
    <t>e0300180</t>
  </si>
  <si>
    <t>10.1371/journal.pone.0300180</t>
  </si>
  <si>
    <t>KR5G9</t>
  </si>
  <si>
    <t>WOS:001181701200055</t>
  </si>
  <si>
    <t>Grillo, R</t>
  </si>
  <si>
    <t>Grillo, Ricardo</t>
  </si>
  <si>
    <t>Urgent concern regarding bone smashing, a dangerous trend on TikTok</t>
  </si>
  <si>
    <t>Maxillofacial injuries; Social media; Tooth Fractures</t>
  </si>
  <si>
    <t>[Grillo, Ricardo] Univ Sao Paulo, Dept Oral &amp; Maxillofacial Surg, Traumatol &amp; Prosthesis, Fac Dent, Sao Paulo, SP, Brazil; [Grillo, Ricardo] Fac Patos De Minas, Dept Oral &amp; Maxillofacial Surg, Brasilia, DF, Brazil; [Grillo, Ricardo] Univ Sao Paulo, Fac Odontol, Av Prof Lineu Prestes,2227 Cidade Univ, BR-05508000 Sao Paulo, SP, Brazil</t>
  </si>
  <si>
    <t>Universidade de Sao Paulo; Universidade de Sao Paulo</t>
  </si>
  <si>
    <t>Grillo, R (corresponding author), Univ Sao Paulo, Fac Odontol, Av Prof Lineu Prestes,2227 Cidade Univ, BR-05508000 Sao Paulo, SP, Brazil.</t>
  </si>
  <si>
    <t>doutorgrillo@uol.com.br</t>
  </si>
  <si>
    <t>Grillo, Ricardo/AAL-6203-2021</t>
  </si>
  <si>
    <t>Grillo, Ricardo/0000-0002-8096-738X</t>
  </si>
  <si>
    <t>10.1016/j.jormas.2024.101783</t>
  </si>
  <si>
    <t>JV0L6</t>
  </si>
  <si>
    <t>WOS:001175818700001</t>
  </si>
  <si>
    <t>Hernández, NL; Miquel-Segarra, S; Jiménez, DZ</t>
  </si>
  <si>
    <t>Hernandez, Nerea Lozano; Miquel-Segarra, Susana; Jimenez, Daniel Zomeno</t>
  </si>
  <si>
    <t>TikTok as a political communication tool: the case of Podemos and the Spanish Popular Party in the law of only yes is yes</t>
  </si>
  <si>
    <t>Political communication; Political crisis; Law; Social media; Social networks; TikTok; Videos</t>
  </si>
  <si>
    <t>SOCIAL MEDIA; CANDIDATES; INSTAGRAM; FACEBOOK; TWITTER; IMAGE; STRATEGIES</t>
  </si>
  <si>
    <t>Introduction: TikTok has become an important channel for the dissemination of messages in video format aimed at younger audiences. The main objective of this research focuses on the analysis of the construction of the political message that both Podemos and the Popular Party have made of the TikTok platform around a specific legislation, such as the only yes is yes law. Methodology: To achieve the stated objective and answer the research questions formulated, a quantitative methodology was chosen, and the technique of content analysis was used on a sample of 80 videos published by the Popular Party and Podemos between March 1, 2020, and March 7, 2023. Results: the use of TikTok by the two parties is very different in terms of the use of discourse, but similar in terms of the use of technical resources in the construction of the image, and in both cases, with visible shortcomings in terms of lack of adaptation to the audiences and resources offered by the network. Discussion: As with other platforms, the parties do not use the potential of the network and its resources to reach younger audiences. Conclusions: Parties transfer the discourse and strategies of the real world to the digital world, maintaining the roles of attack and defense against the only yes is yes law.</t>
  </si>
  <si>
    <t>[Hernandez, Nerea Lozano] Univ Jaume 1, Nuevas Tendencias &amp; Proc Innovac Comunicac, Castellon De La Plana, Spain; [Miquel-Segarra, Susana; Jimenez, Daniel Zomeno] Univ Jaume 1, Castellon De La Plana, Spain</t>
  </si>
  <si>
    <t>Universitat Jaume I; Universitat Jaume I</t>
  </si>
  <si>
    <t>Hernández, NL (corresponding author), Univ Jaume 1, Nuevas Tendencias &amp; Proc Innovac Comunicac, Castellon De La Plana, Spain.</t>
  </si>
  <si>
    <t>al374137@uji.es; smiquel@uji.es; zomeno@uji.es</t>
  </si>
  <si>
    <t>10.4185/RLCS-2024-2262</t>
  </si>
  <si>
    <t>TF4R7</t>
  </si>
  <si>
    <t>WOS:001239839100001</t>
  </si>
  <si>
    <t>Unay-Gailhard, I; Lawson, K; Brennan, MA</t>
  </si>
  <si>
    <t>Unay-Gailhard, Ilkay; Lawson, Kati; Brennan, Mark A.</t>
  </si>
  <si>
    <t>An examination of digital empathy: When farmers speak for the climate through TikTok</t>
  </si>
  <si>
    <t>JOURNAL OF RURAL STUDIES</t>
  </si>
  <si>
    <t>Digital empathy; Young farmers; Online dialogue engagement; Climate change dialogue; Food system communication; TikTok; UN COP26</t>
  </si>
  <si>
    <t>SOCIAL MEDIA; COMMUNICATION; AGRICULTURE; DISCOURSE</t>
  </si>
  <si>
    <t>Food production contributes to and is affected by climate change. With this dual-sided nature of food production, separate from policymakers, the media, scientists, and activists, how climate dialogue engagement occurs when farmers speak about climate is the interest of this research. Due to the important role of youth in climate activism, we analyze climate dialogue engagement on the youthful platform of TikTok during the most recent United Nations COP26 meeting, when climate dialogues peaked globally in the media. This study includes a twostep analyses: Step-I involved a post-focused analysis investigating digital empathy surrounding TikTok posts created by farmers. Step-II was a user-focused analysis exploring TikTok farmers' perspectives on the public engagement with their climate-farming related posts. The results suggest that the typical empathic engagement of the analyzed climate dialogue is emotional reactions (expressed briefly or explicitly). Even though the analyzed videos contain alternative ways of communication (dynamic demonstrations, humor), cognitive empathy can differ based on the narrative and narrator. These findings contribute to studies investigating the outcome of climate communication among communities that share specific interests, elaborating on the role of alternative ways of communication in climate dialogues, and exploring how digital empathy serves to break down self-silencing among farmers and the online communities that they reach out to.</t>
  </si>
  <si>
    <t>[Unay-Gailhard, Ilkay] Penn State Univ PSU, UNESCO Community Leadership &amp; Youth Dev, 307 Armsby Bldg, University Pk, PA 16802 USA; [Unay-Gailhard, Ilkay] Leibniz Inst Agr Dev Transit Econ IAMO, Theodor Lieser Str 2, D-06120 Halle, Germany; [Lawson, Kati] Univ Florida, Dept Agr Educ &amp; Commun AEC, 1200 North Pk Rd, Plant City, FL 33563 USA; [Brennan, Mark A.] Penn State Univ PSU, UNESCO Community Leadership &amp; Youth Dev, 204C Ferguson Bldg, University Pk, PA 16802 USA</t>
  </si>
  <si>
    <t>Leibniz Institut fur Agrarentwicklung in Transformationsokonomien (IAMO); State University System of Florida; University of Florida</t>
  </si>
  <si>
    <t>Unay-Gailhard, I (corresponding author), Penn State Univ PSU, UNESCO Community Leadership &amp; Youth Dev, 307 Armsby Bldg, University Pk, PA 16802 USA.</t>
  </si>
  <si>
    <t>unaygailhard@iamo.de; katilawson@ufl.edu; mab187@psu.edu</t>
  </si>
  <si>
    <t>unay-gailhard, ilkay/0000-0002-5408-6642</t>
  </si>
  <si>
    <t>European Union [895185]; Marie Curie Actions (MSCA) [895185] Funding Source: Marie Curie Actions (MSCA)</t>
  </si>
  <si>
    <t>European Union(European Union (EU)); Marie Curie Actions (MSCA)(Marie Curie Actions)</t>
  </si>
  <si>
    <t>Funding was received for this study's data analyses and writing period from the European Union's Horizon 2020 research and innovation programme under the Marie Sklodowska-Curie Global Fellowship grant agreement No [895185]. Project title: YOUNG FARMERS: What can digital communications do for generational renewal in farming? This research utilized data collected from TikTok, a publicly available social media platform. For ethical research issues involving social media, this study received ethics committee approval from the research institute of the first author (IUG). The data collection and initial analyses were carried out during the research stay of the first author (IUG) at the University of Florida, Department of Agricultural Education and Communication (AEC) between January-April 2022.</t>
  </si>
  <si>
    <t>0743-0167</t>
  </si>
  <si>
    <t>1873-1392</t>
  </si>
  <si>
    <t>J RURAL STUD</t>
  </si>
  <si>
    <t>J. Rural Stud.</t>
  </si>
  <si>
    <t>10.1016/j.jrurstud.2023.103075</t>
  </si>
  <si>
    <t>Geography; Regional &amp; Urban Planning</t>
  </si>
  <si>
    <t>Geography; Public Administration</t>
  </si>
  <si>
    <t>X3WR3</t>
  </si>
  <si>
    <t>WOS:001097796200001</t>
  </si>
  <si>
    <t>TikTok's Role in the COVID-19 Pandemic: An Analysis of the Spread of Treatment Information</t>
  </si>
  <si>
    <t>INFECTIOUS DISEASES IN CLINICAL PRACTICE</t>
  </si>
  <si>
    <t>[Irfan, Bilal; Yasin, Ihsaan] Univ Michigan, Ann Arbor, MI 48109 USA; [Yaqoob, Aneela] Beaumont Hosp Wayne Corewell Hlth, Wayne, MI USA</t>
  </si>
  <si>
    <t>birfan@umich.edu; iyasin@umich.edu; aneela3000@gmail.com</t>
  </si>
  <si>
    <t>1056-9103</t>
  </si>
  <si>
    <t>1536-9943</t>
  </si>
  <si>
    <t>INFECT DIS CLIN PRAC</t>
  </si>
  <si>
    <t>Infect. Dis. Clin. Pract.</t>
  </si>
  <si>
    <t>10.1097/IPC.0000000000001319</t>
  </si>
  <si>
    <t>Immunology; Infectious Diseases</t>
  </si>
  <si>
    <t>KI6T1</t>
  </si>
  <si>
    <t>WOS:001179376600009</t>
  </si>
  <si>
    <t>Gajjar, AA; Sioutas, GS; Corral-Tarbay, A; Salem, MM; Patel, S; Srinivasan, VM; Jankowitz, BT; Burkhardt, JK</t>
  </si>
  <si>
    <t>Gajjar, Avi A.; Sioutas, Georgios S.; Corral-Tarbay, Antonio; Salem, Mohamed M.; Patel, Saarang; Srinivasan, Visish M.; Jankowitz, Brian T.; Burkhardt, Jan-Karl</t>
  </si>
  <si>
    <t>Exploring arteriovenous malformations patient sentiments through 1401 social media posts</t>
  </si>
  <si>
    <t>INTERVENTIONAL NEURORADIOLOGY</t>
  </si>
  <si>
    <t>Neurosurgery; AVM; arteriovenous malformation; social media; Twitter; Instagram; TikTok</t>
  </si>
  <si>
    <t>Introduction Social media has allowed patients with rare diseases to connect and discuss their experiences with others online. This study analyzed various social media platforms to better understand the patient's perception of arteriovenous malformation.Methods Twitter, Instagram, and TikTok were searched to find posts about patients' experiences with arteriovenous malformations (AVM). Posts unrelated to the patient's experience were excluded. Posts were coded for the relevant themes related to their experience with the disease, as well as engagement, and gender.Results The most common theme was raising awareness about the condition (87.0%). Recounting symptoms (50.2%), spreading positivity (17.5%), and survival (8.3%) were other common themes. Other prevalent themes were pain (5.2%) and fear of a rare disease (3.5%). Approximately half of AVM-related Instagram (47.93%) and TikTok (52.94%) posts raised awareness about the condition. Most Instagram (67.75%) and TikTok (89.71%) posts focused on recovery and rehabilitation. Most TikTok posts discussed survival or death (57.35%), while the majority focused on spreading positivity (79.41%). Most posts were made by women (69.6%). Females were more likely than males to post about the scientific explanation of AVMs (p = 0.003).Conclusion Social media allows patients across the country and the globe to discuss their experiences with uncommon diseases and connect with others. It also allows AVM patients to share their experiences with other patients and the public.</t>
  </si>
  <si>
    <t>[Gajjar, Avi A.; Sioutas, Georgios S.; Corral-Tarbay, Antonio; Salem, Mohamed M.; Srinivasan, Visish M.; Burkhardt, Jan-Karl] Hosp Univ Penn, Dept Neurosurg, Penn Med, Philadelphia, PA 19104 USA; [Gajjar, Avi A.] Albany Med Coll, Dept Neurosurg, Albany, NY USA; [Patel, Saarang] Seton Hall Univ, Coll Arts &amp; Sci, S Orange, NJ USA; [Jankowitz, Brian T.] Hackensack Meridian JFK Univ Med Ctr, Dept Neurosurg, Edison, NJ USA</t>
  </si>
  <si>
    <t>University of Pennsylvania; Pennsylvania Medicine; Albany Medical College; Seton Hall University</t>
  </si>
  <si>
    <t>Burkhardt, JK (corresponding author), Hosp Univ Penn, Dept Neurosurg, Penn Med, Philadelphia, PA 19104 USA.</t>
  </si>
  <si>
    <t>jan.burkhardt@pennmedicine.upenn.edu</t>
  </si>
  <si>
    <t>Gajjar, Avi/0000-0003-3686-9413</t>
  </si>
  <si>
    <t>We would like to acknowledge Nicholas Webb, PhD, Union College, Schenectady, NY, for his assistance in coding the data scrapper.</t>
  </si>
  <si>
    <t>1591-0199</t>
  </si>
  <si>
    <t>2385-2011</t>
  </si>
  <si>
    <t>INTERV NEURORADIOL</t>
  </si>
  <si>
    <t>Interv. Neuroradiol.</t>
  </si>
  <si>
    <t>2024 SEP 5</t>
  </si>
  <si>
    <t>10.1177/15910199241272621</t>
  </si>
  <si>
    <t>Clinical Neurology; Radiology, Nuclear Medicine &amp; Medical Imaging</t>
  </si>
  <si>
    <t>Neurosciences &amp; Neurology; Radiology, Nuclear Medicine &amp; Medical Imaging</t>
  </si>
  <si>
    <t>E9X6O</t>
  </si>
  <si>
    <t>WOS:001306461900001</t>
  </si>
  <si>
    <t>van der Nagel, E; Hutchinson, J; Abidin, C</t>
  </si>
  <si>
    <t>van der Nagel, Emily; Hutchinson, Jonathon; Abidin, Crystal</t>
  </si>
  <si>
    <t>Black summer on TikTok and ABC news: Shaping cultural identity during an Australian bushfire crisis</t>
  </si>
  <si>
    <t>TikTok; Australian identity; bushfire; crisis; content creators; Australian broadcasting corporation</t>
  </si>
  <si>
    <t>VISIBILITY</t>
  </si>
  <si>
    <t>This study investigates the role of two intermediaries, a mainstream media outlet and a popular digital media platform, to shape cultural identity through a case study of the 2019-2020 Australian bushfire crisis (colloquially known as the 'Black Summer'). Theoretically framed by networked publics, this study explores the vernacular creativity of social media users and mainstream media coverage during the Black Summer bushfire crisis. Findings draw on a thematic analysis of 100 news articles published between September 2019 and January 2020 by the Australian Broadcasting Corporation (ABC) randomly selected from a larger corpus of bushfire coverage (n = 1269) and 120 TikTok videos posted between November 2019 and January 2021 that included prominent hashtags associated with the bushfires. Findings from news coverage highlight the ways in which the ABC framed the role of social media to connect with wider audiences while preserving their values as a public service media outlet. Findings from TikTok videos illustrate the role of 'templates' that encourage user participation and vernacular creativity on the platform. Comparing coverage of the bushfires on the ABC and TikTok revealed a shared set of striking visual elements used to shape cultural identity, communicate information, and make sense of a significant public crisis. This article offers directions for future research to explore the relationships and tensions between digital content creators and journalists and their capacity to create and contest cultural identities and imaginaries.</t>
  </si>
  <si>
    <t>[van der Nagel, Emily] Monash Univ, Caulfield, Australia; [Hutchinson, Jonathon] Univ Sydney, Sydney, Australia; [Abidin, Crystal] Curtin Univ, Perth, Australia</t>
  </si>
  <si>
    <t>Monash University; University of Sydney; Curtin University</t>
  </si>
  <si>
    <t>van der Nagel, E (corresponding author), Monash Univ, Sch Media Film &amp; Journalism, 900 Dandenong Rd, Caulfield, Vic 3145, Australia.</t>
  </si>
  <si>
    <t>Emily.vanderNagel@monash.edu</t>
  </si>
  <si>
    <t>Hutchinson, Jonathon/P-7182-2017</t>
  </si>
  <si>
    <t>Hutchinson, Jonathon/0000-0001-7349-1662</t>
  </si>
  <si>
    <t>10.1177/13548565231178005</t>
  </si>
  <si>
    <t>LH2J8</t>
  </si>
  <si>
    <t>WOS:001185830500010</t>
  </si>
  <si>
    <t>Marynak, KL; Moran, M</t>
  </si>
  <si>
    <t>Marynak, Kristy L.; Moran, Meghan</t>
  </si>
  <si>
    <t>Ad Watch: 'Unstoppable' VUSE Alto TV Spot Closely Mirrors 'Nicotine Addiction Checks' on TikTok</t>
  </si>
  <si>
    <t>TOBACCO CONTROL</t>
  </si>
  <si>
    <t>[Marynak, Kristy L.; Moran, Meghan] Johns Hopkins Univ, Bloomberg Sch Publ Hlth, Hlth Behav &amp; Soc, Baltimore, MD 21205 USA</t>
  </si>
  <si>
    <t>Marynak, KL (corresponding author), Johns Hopkins Univ, Bloomberg Sch Publ Hlth, Hlth Behav &amp; Soc, Baltimore, MD 21205 USA.</t>
  </si>
  <si>
    <t>kmaryna1@jhu.edu</t>
  </si>
  <si>
    <t>Marynak, Kristy/0000-0002-3385-6468</t>
  </si>
  <si>
    <t>Burroughs Wellcome Fund</t>
  </si>
  <si>
    <t>Burroughs Wellcome Fund(Burroughs Wellcome Fund)</t>
  </si>
  <si>
    <t>MM holds an Innovation in Regulatory Science Award from the Burroughs Wellcome Fund.</t>
  </si>
  <si>
    <t>0964-4563</t>
  </si>
  <si>
    <t>1468-3318</t>
  </si>
  <si>
    <t>TOB CONTROL</t>
  </si>
  <si>
    <t>Tob. Control</t>
  </si>
  <si>
    <t>E1</t>
  </si>
  <si>
    <t>E60</t>
  </si>
  <si>
    <t>E61</t>
  </si>
  <si>
    <t>10.1136/tobaccocontrol-2020-055936</t>
  </si>
  <si>
    <t>XC8DQ</t>
  </si>
  <si>
    <t>WOS:000722240400012</t>
  </si>
  <si>
    <t>Quevedo-Redondo, R; Gómez-García, S</t>
  </si>
  <si>
    <t>Quevedo-Redondo, Raquel; Gomez-Garcia, Salvador</t>
  </si>
  <si>
    <t>Political communication on TikTok: from the feminisation of discourse to incivility expressed in emoji form. An analysis of the Spanish political platform Sumar and reactions to its strategy</t>
  </si>
  <si>
    <t>TikTok; Social media; Political communication; Political feminization; Incivility; Flaming; Yolanda Diaz; Sumar; Political parties; Politicians; Anti-polarization rhetoric; Storytelling; Emojis; Sentiment analysis</t>
  </si>
  <si>
    <t>HILLARY CLINTON; MUSIC; STYLE</t>
  </si>
  <si>
    <t>In a context of permanent electoral campaign, an increasing number of political communication specialists are trying to unravel the resources with which government officials and their parties seek to influence TikTok users. From a broad perspective, the theme is more current than novel, however, in the specific case of this research, an academic void is identified by combining the identification of idiosyncratic traits of the feminization of political discourse in TikTok with the study of reactions (text and emojis) that audiovisual content imbued with this trend provokes in users. The intention is to find out whether the inclusive tone of the feminized rhetorical style can be extrapolated to the Chinese-origin social network and, if so, whether its particular characteristics mitigate forms of incivility. To carry out the checks, the first seven months of activity on TikTok by the political platform Sumar with its leader, Yolanda Diaz, as the protagonist of most of the videos, are selected. The mixed methodology of analysis on audiovisual content and comments allows to verify that, although the new Spanish party does not apply a strategy perfectly adapted to the social network under study, the anti-polarization rhetoric and the storytelling techniques manage to neutralize extreme forms of flaming.</t>
  </si>
  <si>
    <t>[Quevedo-Redondo, Raquel] Univ Valladolid, Dept Hist Moderna Contemporanea Amer &amp; Periodismo, Plaza Campus Univ S-N, Valladolid 47011, Spain; [Gomez-Garcia, Salvador] Univ Complutense Madrid, Dept Periodismo &amp; Comunicac Global, Ave Complutense 3, Madrid 28040, Spain</t>
  </si>
  <si>
    <t>Universidad de Valladolid; Complutense University of Madrid</t>
  </si>
  <si>
    <t>Quevedo-Redondo, R (corresponding author), Univ Valladolid, Dept Hist Moderna Contemporanea Amer &amp; Periodismo, Plaza Campus Univ S-N, Valladolid 47011, Spain.</t>
  </si>
  <si>
    <t>raquel.quevedo.redondo@uva.es; salvgome@ucm.es</t>
  </si>
  <si>
    <t>Gomez Garcia, Salvador/S-8593-2018; Quevedo-Redondo, Raquel/E-5907-2016</t>
  </si>
  <si>
    <t>Gomez Garcia, Salvador/0000-0001-5126-6464; Quevedo-Redondo, Raquel/0000-0002-6219-3237</t>
  </si>
  <si>
    <t>Spanish Ministry of Science and Innovation (Micin) / State Agency of Research (AEI) [PID2020-114193RB-I00]; European Regional Development Fund (ERDF)</t>
  </si>
  <si>
    <t>Spanish Ministry of Science and Innovation (Micin) / State Agency of Research (AEI); European Regional Development Fund (ERDF)(European Union (EU))</t>
  </si>
  <si>
    <t>This article is part of the project 'Politainment' in the face of media fragmentation: Disintermediation, engagement and polarisation (PID2020-114193RB-I00), funded by the Spanish Ministry of Science and Innovation (Micin) / State Agency of Research (AEI) and by the European Regional Development Fund (ERDF).</t>
  </si>
  <si>
    <t>e320611</t>
  </si>
  <si>
    <t>10.3145/epi.2023.nov.11</t>
  </si>
  <si>
    <t>GZ7F9</t>
  </si>
  <si>
    <t>WOS:001156562800004</t>
  </si>
  <si>
    <t>Selvan, B; Tran, M; OConnell, CB; Wilder, J</t>
  </si>
  <si>
    <t>Selvan, Bharathi; Tran, Melissa; OConnell, Christine B.; Wilder, Julius</t>
  </si>
  <si>
    <t>What Are TikTok Users Saying About Colorectal Cancer? An Examination of Content, Quality, and Emerging Themes</t>
  </si>
  <si>
    <t>[Selvan, Bharathi; Tran, Melissa; OConnell, Christine B.] Duke Univ, Sch Med, Durham, NC USA; [Wilder, Julius] Duke Univ, Durham, NC USA</t>
  </si>
  <si>
    <t>S256</t>
  </si>
  <si>
    <t>S192</t>
  </si>
  <si>
    <t>WOS:001091849300254</t>
  </si>
  <si>
    <t>Lahooti, A; Hassan, A; Critelli, B; Westerveld, DR; Newberry, C; Kumar, S; Sharaiha, RZ</t>
  </si>
  <si>
    <t>Lahooti, Ali; Hassan, Amier; Critelli, Brian; Westerveld, Donevan R.; Newberry, Carolyn; Kumar, Sonal; Sharaiha, Reem Z.</t>
  </si>
  <si>
    <t>ANALYSIS OF SURGICAL AND ENDOSCOPIC WEIGHT LOSS PROCEDURE VIDEOS ON TIKTOK DURING THE COVID-19 PANDEMIC</t>
  </si>
  <si>
    <t>Mo1949</t>
  </si>
  <si>
    <t>WOS:001040954704063</t>
  </si>
  <si>
    <t>Chochol, MD; Gandhi, K; Elmaghraby, R; Croarkin, PE</t>
  </si>
  <si>
    <t>Chochol, Megan D.; Gandhi, Kriti; Elmaghraby, Rana; Croarkin, Paul E.</t>
  </si>
  <si>
    <t>Harnessing Youth Engagement With Mental Health TikTok and Its Potential as a Public Health Tool</t>
  </si>
  <si>
    <t>[Chochol, Megan D.] Huntsman Mental Hlth Inst, Salt Lake City, UT USA; [Gandhi, Kriti] Childrens Natl Med Ctr, Washington, DC USA; [Elmaghraby, Rana] Community Ctr, Vancouver, WA USA; [Croarkin, Paul E.] Mayo Clin, Rochester, MN USA; [Chochol, Megan D.] Huntsman Mental Hlth Inst, 501 Chipeta Way, Salt Lake City, UT 84108 USA</t>
  </si>
  <si>
    <t>Children's National Health System; Mayo Clinic</t>
  </si>
  <si>
    <t>Chochol, MD (corresponding author), Huntsman Mental Hlth Inst, 501 Chipeta Way, Salt Lake City, UT 84108 USA.</t>
  </si>
  <si>
    <t>megan.chochol@hsc.utah.edu</t>
  </si>
  <si>
    <t>; Croarkin, Paul/I-3310-2014</t>
  </si>
  <si>
    <t>Elmaghraby, Rana/0000-0002-6435-7469; Croarkin, Paul/0000-0001-6843-6503</t>
  </si>
  <si>
    <t>10.1016/j.jaac.2022.11.015</t>
  </si>
  <si>
    <t>N7MO8</t>
  </si>
  <si>
    <t>WOS:001038811300001</t>
  </si>
  <si>
    <t>Olayinka, JT; Szeto, MD; Dellavalle, RP</t>
  </si>
  <si>
    <t>Olayinka, Jadesola T.; Szeto, Mindy D.; Dellavalle, Robert P.</t>
  </si>
  <si>
    <t>Skin of color dermatology on TikTok: An analysis of popular social media content and sources</t>
  </si>
  <si>
    <t>[Olayinka, Jadesola T.] SUNY Downstate Hlth Sci Univ, Coll Med, New York, NY USA; [Szeto, Mindy D.; Dellavalle, Robert P.] Univ Colorado, Dept Dermatol, Anschutz Med Campus, Aurora, CO USA</t>
  </si>
  <si>
    <t>State University of New York (SUNY) System; SUNY Downstate Health Sciences University; University of Colorado System; University of Colorado Anschutz Medical Campus</t>
  </si>
  <si>
    <t>AB111</t>
  </si>
  <si>
    <t>WOS:000891793200438</t>
  </si>
  <si>
    <t>Kanthawala, S; Cotter, K; Ritchart, A; De, AKLK; Mcatee, H; Yun, CN; Decook, J</t>
  </si>
  <si>
    <t>Kanthawala, Shaheen; Cotter, Kelley; Ritchart, Amy; De, Ankolika; Mcatee, Haley; Yun, Connie; Decook, Julia</t>
  </si>
  <si>
    <t>Algorithmic conspirituality: Explicating its emergence, dimensions, and persuasibility</t>
  </si>
  <si>
    <t>Affordances; algorithmic conspirituality; algorithms; conspirituality; TikTok</t>
  </si>
  <si>
    <t>AFFORDANCES; EXPERIENCE; FRAMEWORK; POWER</t>
  </si>
  <si>
    <t>Algorithmic conspirituality is the belief that social media algorithms have the capacity to know users intimately and convey personally meaningful messages at the exact right moment to revelatory effect. Through a thematic analysis of TikTok videos, this study explicates this concept by identifying five distinct dimensions of its expression on TikTok-(1) relational, (2) injunctive, (3) personal, (4) spiritual, (5) conspiratorial-and explaining their relationship with the platform's affordances-(1) connectedness, (2) personalization, and (3) social creativity. We then connect the emergence and impact of this phenomenon to the possibility for persuasion and behavior changes through normalization of messaging in areas such as mental health, smoking, attention deficit/hyperactivity disorder (ADHD), and body dysmorphia that could lead to positive and negative health outcomes.</t>
  </si>
  <si>
    <t>[Kanthawala, Shaheen] Univ Alabama, Dept Journalism &amp; Creat Media, Tuscaloosa, AL USA; [Cotter, Kelley] Penn State Univ, Coll Informat Sci &amp; Technol, State Coll, PA USA; [Ritchart, Amy] Univ Alabama, Coll Commun &amp; Informat Sci, Tuscaloosa, AL USA; [De, Ankolika] Penn State Univ, Coll Informat Sci &amp; Technol, State Coll, PA USA; [Mcatee, Haley] Univ Alabama, Coll Arts &amp; Sci, Tuscaloosa, AL USA; [Yun, Connie] Univ Illinois, Dept Elect &amp; Comp Engn, Champaign, IL USA; [Decook, Julia] Mozilla Corp, San Francisco, CA USA; [Kanthawala, Shaheen] Univ Alabama, Coll Commun &amp; Informat Sci, Dept Journalism &amp; Creat Media, 490 Reese Phifer Hall, Tuscaloosa, AL 35487 USA</t>
  </si>
  <si>
    <t>University of Alabama System; University of Alabama Tuscaloosa; Pennsylvania Commonwealth System of Higher Education (PCSHE); Pennsylvania State University; University of Alabama System; University of Alabama Tuscaloosa; Pennsylvania Commonwealth System of Higher Education (PCSHE); Pennsylvania State University; University of Alabama System; University of Alabama Tuscaloosa; University of Illinois System; University of Illinois Urbana-Champaign; University of Alabama System; University of Alabama Tuscaloosa</t>
  </si>
  <si>
    <t>Kanthawala, S (corresponding author), Univ Alabama, Coll Commun &amp; Informat Sci, Dept Journalism &amp; Creat Media, 490 Reese Phifer Hall, Tuscaloosa, AL 35487 USA.</t>
  </si>
  <si>
    <t>skanthawala@ua.edu</t>
  </si>
  <si>
    <t>De, Ankolika/0009-0000-5279-1420; Applebaum Ritchart, Amy/0000-0002-1195-6994; Cotter, Kelley/0000-0003-1243-0131; Kanthawala, Shaheen/0000-0001-9321-0266</t>
  </si>
  <si>
    <t>2023 DEC 16</t>
  </si>
  <si>
    <t>10.1177/14614448231217425</t>
  </si>
  <si>
    <t>CN2U9</t>
  </si>
  <si>
    <t>WOS:001125871300001</t>
  </si>
  <si>
    <t>Wong, N; So, WZ; Selvan, VS; Lee, JY; Hung, CEHR; Tiong, HY</t>
  </si>
  <si>
    <t>Wong, Nicholas; So, Wei Zheng; Selvan, Vikneshwaren Senthamil; Lee, Jing Yang; Hung, Collin Elijah Ho Rui; Tiong, Ho Yee</t>
  </si>
  <si>
    <t>TikTok as a source of health information for Benign Prostatic Hyperplasia: quality or just mere quantity?</t>
  </si>
  <si>
    <t>Annual Scientific Meeting of the Singapore-Urological-Association (SUA)</t>
  </si>
  <si>
    <t>JUL 06-08, 2023</t>
  </si>
  <si>
    <t>SINGAPORE</t>
  </si>
  <si>
    <t>Singapore Urolog Assoc</t>
  </si>
  <si>
    <t>[Wong, Nicholas; Selvan, Vikneshwaren Senthamil; Lee, Jing Yang] Lee Kong Chian Sch Med, Singapore, Singapore; [So, Wei Zheng; Tiong, Ho Yee] Natl Univ Singapore Hosp, Dept Urol, Singapore, Singapore; [Hung, Collin Elijah Ho Rui] Yong Loo Lin Sch Med, Singapore, Singapore</t>
  </si>
  <si>
    <t>Nanyang Technological University; National University of Singapore; National University of Singapore</t>
  </si>
  <si>
    <t>LB6O7</t>
  </si>
  <si>
    <t>WOS:001184359200002</t>
  </si>
  <si>
    <t>Christianson, J; Calonder, S; Leiberg, J; Riggs, V</t>
  </si>
  <si>
    <t>Christianson, Jacqueline; Calonder, Sarah; Leiberg, Jessica; Riggs, Virginia</t>
  </si>
  <si>
    <t>Understanding the 'Dancing Nurses of TikTok'</t>
  </si>
  <si>
    <t>AMERICAN JOURNAL OF NURSING</t>
  </si>
  <si>
    <t>Judgment by nursing leaders is the wrong response.</t>
  </si>
  <si>
    <t>[Christianson, Jacqueline; Calonder, Sarah; Riggs, Virginia] Marquette Univ, Coll Nursing, Milwaukee, WI 53233 USA; [Leiberg, Jessica] Univ Wisconsin, Madison, WI USA; [Riggs, Virginia] Alverno Coll, Milwaukee, WI USA</t>
  </si>
  <si>
    <t>Marquette University; University of Wisconsin System; University of Wisconsin Madison; Alverno College</t>
  </si>
  <si>
    <t>Christianson, J (corresponding author), Marquette Univ, Coll Nursing, Milwaukee, WI 53233 USA.</t>
  </si>
  <si>
    <t>jacqueline.christianson@marquette.edu</t>
  </si>
  <si>
    <t>0002-936X</t>
  </si>
  <si>
    <t>1538-7488</t>
  </si>
  <si>
    <t>AM J NURS</t>
  </si>
  <si>
    <t>Am. J. Nurs.</t>
  </si>
  <si>
    <t>10.1097/01.NAJ.0001016308.83547.53</t>
  </si>
  <si>
    <t>SP7M1</t>
  </si>
  <si>
    <t>WOS:001235719500013</t>
  </si>
  <si>
    <t>García, RP; García, MP</t>
  </si>
  <si>
    <t>Garcia, Rosario Perez; Garcia, Manuela Perez</t>
  </si>
  <si>
    <t>Influence and consequences of neuromarketing on the use of TikTok by children and adolescents</t>
  </si>
  <si>
    <t>PEDIATRIA-ASUNCION</t>
  </si>
  <si>
    <t>[Garcia, Rosario Perez] Ctr Salud Fontinas, Serv Gallego Salud SERGAS, Med Familia, Santiago De Compostela, Spain; [Garcia, Manuela Perez] Hosp Prov Conxo, Serv Gallego Salud SERGAS, Serv Psiquiatria Santiago De Compostela, Santiago De Compostela, Spain</t>
  </si>
  <si>
    <t>García, RP (corresponding author), Ctr Salud Fontinas, Serv Gallego Salud SERGAS, Med Familia, Santiago De Compostela, Spain.</t>
  </si>
  <si>
    <t>mrpg1@hotmail.es</t>
  </si>
  <si>
    <t>Garcia, Rosario/KJL-9048-2024</t>
  </si>
  <si>
    <t>SOC PARAGUAYA PEDIATRIA</t>
  </si>
  <si>
    <t>ASUNCION</t>
  </si>
  <si>
    <t>MCAL ESTIGARRIBIA 1764, C RCA FRANCESA, ASUNCION, 00000, PARAGUAY</t>
  </si>
  <si>
    <t>1683-979X</t>
  </si>
  <si>
    <t>1683-9803</t>
  </si>
  <si>
    <t>Pediatria-Asuncion</t>
  </si>
  <si>
    <t>10.31698/ped.50032023002</t>
  </si>
  <si>
    <t>IO5V1</t>
  </si>
  <si>
    <t>WOS:001167292600004</t>
  </si>
  <si>
    <t>Abramson, M; Feiertag, N; Javidi, D; Loeb, S; Watts, K</t>
  </si>
  <si>
    <t>Abramson, Max; Feiertag, Nathan; Javidi, Darius; Loeb, Stacy; Watts, Kara</t>
  </si>
  <si>
    <t>ACCURACY AND RACIAL/ETHNIC REPRESENTATION OF PROSTATE CANCER SCREENING VIDEOS ON YOUTUBE AND TIKTOK</t>
  </si>
  <si>
    <t>MAY 13-16, 2022</t>
  </si>
  <si>
    <t>Department of Defense Health Disparity Research Award; Prostate Cancer Foundation; Edward Blank and Sharon Cosloy-Blank Family Foundation</t>
  </si>
  <si>
    <t>Department of Defense Health Disparity Research Award(United States Department of Defense); Prostate Cancer Foundation; Edward Blank and Sharon Cosloy-Blank Family Foundation</t>
  </si>
  <si>
    <t>Funding for SL: Department of Defense Health Disparity Research Award, the Prostate Cancer Foundation and the Edward Blank and Sharon Cosloy-Blank Family Foundation</t>
  </si>
  <si>
    <t>PD11-03</t>
  </si>
  <si>
    <t>E189</t>
  </si>
  <si>
    <t>E190</t>
  </si>
  <si>
    <t>3O6HF</t>
  </si>
  <si>
    <t>WOS:000836935501177</t>
  </si>
  <si>
    <t>Villa-Ruiz, C; Kassamali, B; Mazori, DR; Min, M; Cobos, G; LaChance, A</t>
  </si>
  <si>
    <t>Villa-Ruiz, Camila; Kassamali, Bina; Mazori, Daniel R.; Min, Michelle; Cobos, Gabriela; LaChance, Avery</t>
  </si>
  <si>
    <t>Overview of TikTok's most viewed dermatologic content and assessment of its reliability</t>
  </si>
  <si>
    <t>[Villa-Ruiz, Camila; Kassamali, Bina; Mazori, Daniel R.; Min, Michelle; Cobos, Gabriela; LaChance, Avery] Harvard Med Sch, Brigham &amp; Womens Hosp, Dept Dermatol, Boston, MA 02115 USA; [Villa-Ruiz, Camila] Ponce Hlth Sci Univ, Sch Med, Boston, MA USA</t>
  </si>
  <si>
    <t>Harvard University; Harvard Medical School; Brigham &amp; Women's Hospital</t>
  </si>
  <si>
    <t>LaChance, A (corresponding author), Brigham &amp; Womens Hosp, Dept Dermatol, 221 Longwood Ave, Boston, MA 02115 USA.</t>
  </si>
  <si>
    <t>10.1016/j.jaad.2020.12.028</t>
  </si>
  <si>
    <t>WOS:000659921800083</t>
  </si>
  <si>
    <t>Sharpe, A; Feldman, R; Zosel, A</t>
  </si>
  <si>
    <t>Sharpe, Abigail; Feldman, Ryan; Zosel, Amy</t>
  </si>
  <si>
    <t>Impact of the TikTok™ Benadryl® challenge on frequency and severity of adolescent diphenhydramine ingestions</t>
  </si>
  <si>
    <t>CLINICAL TOXICOLOGY</t>
  </si>
  <si>
    <t>[Sharpe, Abigail; Feldman, Ryan; Zosel, Amy] Wisconsin Poison Control Ctr, Milwaukee, WI USA; [Sharpe, Abigail; Feldman, Ryan] Froedtert, Milwaukee, WI USA; [Sharpe, Abigail; Feldman, Ryan; Zosel, Amy] Med Coll Wisconsin, Milwaukee, WI 53226 USA</t>
  </si>
  <si>
    <t>Medical College of Wisconsin</t>
  </si>
  <si>
    <t>arsharpe@wisc.edu</t>
  </si>
  <si>
    <t>Feldman, Ryan/ABH-6172-2020</t>
  </si>
  <si>
    <t>1556-3650</t>
  </si>
  <si>
    <t>1556-9519</t>
  </si>
  <si>
    <t>CLIN TOXICOL</t>
  </si>
  <si>
    <t>Clin. Toxicol.</t>
  </si>
  <si>
    <t>Toxicology</t>
  </si>
  <si>
    <t>WI2QC</t>
  </si>
  <si>
    <t>WOS:000708210400302</t>
  </si>
  <si>
    <t>Rutherford, BN; Sun, T; Johnson, B; Co, S; Lim, TL; Lim, CCW; Chiu, V; Leung, J; Stjepanovic, D; Connor, JP; Chan, GCK</t>
  </si>
  <si>
    <t>Rutherford, Brienna N.; Sun, Tianze; Johnson, Benjamin; Co, Steven; Lim, Tong Liang; Lim, Carmen C. W.; Chiu, Vivian; Leung, Janni; Stjepanovic, Daniel; Connor, Jason P.; Chan, Gary C. K.</t>
  </si>
  <si>
    <t>HOW CANNABIS USE IS PORTRAYED TO ADOLESCENTS AND YOUNG ADULTS VIA TIKTOK: A THEMATIC CONTENT ANALYSIS</t>
  </si>
  <si>
    <t>[Rutherford, Brienna N.; Sun, Tianze; Johnson, Benjamin; Co, Steven; Lim, Carmen C. W.; Chiu, Vivian; Leung, Janni; Stjepanovic, Daniel; Connor, Jason P.; Chan, Gary C. K.] Univ Queensland, Natl Ctr Youth Substance Use Res, Brisbane, Qld, Australia; [Rutherford, Brienna N.; Sun, Tianze; Johnson, Benjamin; Co, Steven; Lim, Carmen C. W.; Chiu, Vivian; Leung, Janni; Stjepanovic, Daniel; Chan, Gary C. K.] Univ Queensland, Sch Psychol, Brisbane, Qld, Australia; [Lim, Tong Liang] Univ Hosp Leicester NHS Trust, Leicester, Leics, England; [Leung, Janni] UNSW Sydney, Natl Drug &amp; Alcohol Res Ctr, Sydney, NSW, Australia; [Connor, Jason P.] Univ Queensland, Discipline Psychiat, Brisbane, Qld, Australia</t>
  </si>
  <si>
    <t>University of Queensland; University of Queensland; University Hospitals of Leicester NHS Trust; University of Leicester; University of New South Wales Sydney; University of Queensland</t>
  </si>
  <si>
    <t>b.rutherford@uqconnect.edu.au</t>
  </si>
  <si>
    <t>Sun, Tianze/LFS-0433-2024; Stjepanovic, Daniel/B-3658-2009; Leung, Janni/H-1003-2012; Connor, Jason/F-7040-2010; Lim, Carmen/O-7634-2016; Chan, Gary/B-7220-2015</t>
  </si>
  <si>
    <t>S130</t>
  </si>
  <si>
    <t>WS3GJ</t>
  </si>
  <si>
    <t>WOS:000715073200317</t>
  </si>
  <si>
    <t>Nair, I; Patel, SP; Bolen, A; Roger, S; Bucci, K; Schwab-Reese, L; Demaria, AL</t>
  </si>
  <si>
    <t>Nair, Isha; Patel, Sophia P.; Bolen, Ashley; Roger, Samantha; Bucci, Kayla; Schwab-Reese, Laura; Demaria, Andrea L.</t>
  </si>
  <si>
    <t>Reproductive Health Experiences Shared on TikTok by Young People: Content Analysis</t>
  </si>
  <si>
    <t>TikTok; social media; reproductive health; women's health; health outcome; content analysis; health information; sexual health; web-based information; COVID-19; health message</t>
  </si>
  <si>
    <t>Background: TikTok is a popular social media platform that allows users to create and share content through short videos. It has become a place for everyday users, especially Generation Z users, to share experiences about their reproductive health. Owing to its growing popularity and easy accessibility, TikTok can help raise awareness for reproductive health issues as well as help destigmatize these conversations. Objective: We aimed to identify and understand the visual, audio, and written components of content that TikTok users create about their reproductive health experiences. Methods: A sampling framework was implemented to narrow down the analytic data set. The top 6 videos from each targeted hashtag (eg, #BirthControl, #MyBodyMyChoice, and #LoveYourself) were extracted biweekly for 16 weeks (July-November 2020). During data collection, we noted video characteristics such as captioning, music, likes, and cited sources. Qualitative content analysis was performed on the extracted videos. Results: The top videos in each hashtag were consistent over time; for example, only 11 videos appeared in the top 6 category for #BirthControl throughout the data collection. Most videos fell into 2 primary categories: personal experiences and informational content. Among the personal experiences, people shared stories (eg, intrauterine device removal experiences), crafts (eg, painting their pill case), or humor (eg, celebrations of the arrival of their period). Dancing and demonstrations were commonly used in informational content. Conclusions: TikTok is used to share messages on myriad reproductive health topics. Understanding users' exposure provides important insights into their beliefs and knowledge of sexual and reproductive health. The study findings can be used to generate valuable information for teenagers and young adults, their health care providers, and their communities. Producing health messages that are both meaningful and accessible will contribute to the cocreation of critical health information for professional and personal use.</t>
  </si>
  <si>
    <t>[Nair, Isha; Bolen, Ashley] Purdue Univ, Sch Hlth Sci, W Lafayette, IN USA; [Patel, Sophia P.] Purdue Univ, Dept Biol Sci, Lafayette, IN USA; [Roger, Samantha] Purdue Univ, Sch Nursing, W Lafayette, IN USA; [Bucci, Kayla; Schwab-Reese, Laura; Demaria, Andrea L.] Purdue Univ, Dept Publ Hlth, W Lafayette, IN USA; [Demaria, Andrea L.] Purdue Univ, Dept Publ Hlth, 812 W State St, W Lafayette, IN 47907 USA</t>
  </si>
  <si>
    <t>Purdue University System; Purdue University; Purdue University System; Purdue University; Purdue University System; Purdue University; Purdue University System; Purdue University; Purdue University System; Purdue University</t>
  </si>
  <si>
    <t>Demaria, AL (corresponding author), Purdue Univ, Dept Publ Hlth, W Lafayette, IN USA.;Demaria, AL (corresponding author), Purdue Univ, Dept Publ Hlth, 812 W State St, W Lafayette, IN 47907 USA.</t>
  </si>
  <si>
    <t>ademaria@purdue.edu</t>
  </si>
  <si>
    <t>Nair, Isha/0009-0005-9622-5443; Schwab-Reese, Laura/0000-0002-9174-1730</t>
  </si>
  <si>
    <t>JAN-DEC</t>
  </si>
  <si>
    <t>e42810</t>
  </si>
  <si>
    <t>10.2196/42810</t>
  </si>
  <si>
    <t>IZ5M3</t>
  </si>
  <si>
    <t>WOS:001170178800020</t>
  </si>
  <si>
    <t>Chiang, BJ; Lo, KD; Jorgensen, AA; Tabaie, SA</t>
  </si>
  <si>
    <t>Chiang, Benjamin J.; Lo, Karen D.; Jorgensen, Alexis A.; Tabaie, Sean A.</t>
  </si>
  <si>
    <t>The Evolving Role of Social Media in Pediatric Orthopaedics</t>
  </si>
  <si>
    <t>JOURNAL OF PEDIATRIC ORTHOPAEDICS</t>
  </si>
  <si>
    <t>social media; Instagram; TikTok; health care information; public perception</t>
  </si>
  <si>
    <t>SURGERY; PATIENT</t>
  </si>
  <si>
    <t>Background: Social media has grown significantly and its application in health care has been dramatically accentuated by the COVID-19 pandemic. It is often considered as a new dimension of health care, particularly in its ability to provide health information. In 2017, the top social media sites utilized by pediatric orthopaedic surgeons included Facebook, LinkedIn, and Twitter. In our study, we analyze the current social media usage, trends in Instagram and TikTok content, and the perceptions on social media usage among pediatric orthopaedic surgeons. Methods: The Pediatric Orthopaedic Society of North America (POSNA) membership directory was searched for the presence of social media. A review of all Instagram and TikTok posts made by the POSNA members were reviewed. A survey regarding the perception of social media networks and content was distributed to all POSNA members. Results: A total of 1231 POSNA members actively practicing in the United States were included in our study. In all, 327 (26.6%) had a LinkedIn profile, 34 (2.8%) had a professional Facebook profile, 15 (1.2%) had a public Instagram account, 0 (0%) had TikTok, and 72 (5.8%) had a professional Twitter account. Fifteen POSNA members with public Instagram accounts had 10,878 followers. A total of 907 Instagram posts were made, 134 (14.8%) of which were education and 462 (50.9%) of which were personal or political. The perception of various social media networks such as Instagram (3.02), Facebook (3.16), and LinkedIn (3.51) were positive on a 5-point Likert scale, while perceptions of TikTok (2.36) and Twitter (2.99) were negative. Educational posts on Instagram (3.19) and Facebook (3.37) were positive. Conclusions: We provide an update to the utilization of social media by pediatric orthopaedists. Use of Instagram and TikTok accounts remain rare. Educational posts, when hosted on an appropriate social media platform, are perceived positively among pediatric orthopaedists.</t>
  </si>
  <si>
    <t>[Chiang, Benjamin J.; Lo, Karen D.] Virginia Commonwealth Univ, Sch Med, Richmond, VA 23284 USA; [Jorgensen, Alexis A.] Virginia Commonwealth Univ, Dept Orthopaed Surg, Richmond, VA 23284 USA; [Tabaie, Sean A.] Childrens Natl Hosp, Dept Orthopaed Surg, Washington, DC 20010 USA</t>
  </si>
  <si>
    <t>Virginia Commonwealth University; Virginia Commonwealth University; Children's National Health System</t>
  </si>
  <si>
    <t>Tabaie, SA (corresponding author), Childrens Natl Hosp, Dept Orthopaed Surg &amp; Sports Med, 111 Michigan Ave NW, Washington, DC 20010 USA.</t>
  </si>
  <si>
    <t>stabaie@childrensnational.org</t>
  </si>
  <si>
    <t>Chiang, Benjamin/0000-0003-4366-4790</t>
  </si>
  <si>
    <t>Dianne Wright Center for Clinical and Translational Research [UL1TR002649]; National Institute of Health</t>
  </si>
  <si>
    <t>Dianne Wright Center for Clinical and Translational Research; National Institute of Health(United States Department of Health &amp; Human ServicesNational Institutes of Health (NIH) - USA)</t>
  </si>
  <si>
    <t>Grant support was granted to the C. Kenneth and Dianne Wright Center for Clinical and Translational Research (UL1TR002649) by the National Institute of Health.</t>
  </si>
  <si>
    <t>0271-6798</t>
  </si>
  <si>
    <t>1539-2570</t>
  </si>
  <si>
    <t>J PEDIATR ORTHOPED</t>
  </si>
  <si>
    <t>J. Pediatr. Orthop.</t>
  </si>
  <si>
    <t>10.1097/BPO.0000000000002054</t>
  </si>
  <si>
    <t>Orthopedics; Pediatrics</t>
  </si>
  <si>
    <t>ZO1EW</t>
  </si>
  <si>
    <t>WOS:000765471200011</t>
  </si>
  <si>
    <t>Schlosser, A; Subramanian, R; Kirkpatrick, CE; Butler, A; Boling, KS; Hample, J; Habecker, P; Jones, V</t>
  </si>
  <si>
    <t>Schlosser, Allison; Subramanian, Roma; Kirkpatrick, Ciera E.; Butler, Annie; Boling, Kelli S.; Hample, Jessica; Habecker, Patrick; Jones, Valerie</t>
  </si>
  <si>
    <t>Algorithmic Doors to Community and the Trap of Visibility: TikTok for Harm Reduction Activism in the US Overdose Crisis</t>
  </si>
  <si>
    <t>CONTEMPORARY DRUG PROBLEMS</t>
  </si>
  <si>
    <t>harm reduction; drug overdose; social media; digital activism; qualitative research</t>
  </si>
  <si>
    <t>INJECTION-DRUG USERS; PROGRAMS; DEATHS; HEALTH</t>
  </si>
  <si>
    <t>Opioid-related overdose death continues to be a public health crisis in the United States, reaching a new peak in 2021 with more than 100,000 people dying of drug overdose; 75% of these deaths involved an opioid. Naloxone, often known by the brand name Narcan (R), can be easily administered to prevent opioid overdose death. While naloxone is a central harm reduction tool, it has generated controversy as discussions of its use have been framed by longstanding stigmas associated with drug use. Critics have framed it as a moral hazard that encourages drug use, stigmatizing its distribution and uptake. Harm reductionists have responded by countering misinformation about drug use and harm reduction and humanizing people who use drugs. Social media platforms have become key sites for these debates. These are digital social spaces in which individuals may fuel stigma and/or build community with others by enacting identities, exchanging knowledge, and bonding over shared experiences. TikTok, a video-based platform, has become an active space for community-building around harm reduction. This article examines the experiences of people who post about naloxone on TikTok. We draw on thematic analyses of semistructured, open-ended interviews with 13 TikTok users who tagged posts with #naloxonesaveslives or #narcansaveslives hashtags from June 2020 to April 2023. Specifically, we explore how these individuals understand and leverage TikTok's association, creative, and interactive affordances as doors to build harm reduction community and to educate others about drug use and harm reduction. We also explore how they navigate the traps of visibility on TikTok that pose challenges to using the platform for harm reduction activism: stigma, burnout, mental distress, and digital silencing. Finally, we consider the implications of our findings for future research and practice related to digital harm reduction activism.</t>
  </si>
  <si>
    <t>[Schlosser, Allison; Subramanian, Roma; Butler, Annie] Univ Nebraska, Omaha, NE USA; [Kirkpatrick, Ciera E.; Boling, Kelli S.; Habecker, Patrick; Jones, Valerie] Univ Nebraska, Coll Journalism &amp; Mass Commun, Lincoln, New Zealand; [Hample, Jessica] Univ Nebraska, Dept Commun, Kearney, NE USA; [Schlosser, Allison] 6001 Dodge St, 383N Arts &amp; Sci Hall, Omaha, NE 68182 USA</t>
  </si>
  <si>
    <t>University of Nebraska System; University of Nebraska System; University Nebraska Kearney</t>
  </si>
  <si>
    <t>Schlosser, A (corresponding author), 6001 Dodge St, 383N Arts &amp; Sci Hall, Omaha, NE 68182 USA.</t>
  </si>
  <si>
    <t>allisonschlosser@unomaha.edu</t>
  </si>
  <si>
    <t>Schlosser, Allison/0000-0002-2930-963X; Habecker, Patrick/0000-0003-4435-1593; Kirkpatrick, Ciera/0000-0002-2598-753X</t>
  </si>
  <si>
    <t>University of Nebraska System - Nebraska Research Initiative</t>
  </si>
  <si>
    <t>0091-4509</t>
  </si>
  <si>
    <t>2163-1808</t>
  </si>
  <si>
    <t>CONTEMP DRUG PROBL</t>
  </si>
  <si>
    <t>Contemp. Drug. Probl.</t>
  </si>
  <si>
    <t>10.1177/00914509241252031</t>
  </si>
  <si>
    <t>SK6L0</t>
  </si>
  <si>
    <t>WOS:001234384400002</t>
  </si>
  <si>
    <t>Early Detection can save Children's Lives TikTok Star Fiorella explains about Type 1 Diabetes Warning Signs</t>
  </si>
  <si>
    <t>PADIATRIE UND PADOLOGIE</t>
  </si>
  <si>
    <t>WIEN</t>
  </si>
  <si>
    <t>SACHSENPLATZ 4-6, PO BOX 89, A-1201 WIEN, AUSTRIA</t>
  </si>
  <si>
    <t>0030-9338</t>
  </si>
  <si>
    <t>1613-7558</t>
  </si>
  <si>
    <t>PADIATR PADOL</t>
  </si>
  <si>
    <t>Padiatr. Padol.</t>
  </si>
  <si>
    <t>5U0VX</t>
  </si>
  <si>
    <t>WOS:000876273400014</t>
  </si>
  <si>
    <t>Wright, PJ; Tokunaga, R; Herbenick, D</t>
  </si>
  <si>
    <t>Wright, Paul J.; Tokunaga, Robert; Herbenick, Debby</t>
  </si>
  <si>
    <t>But Do Porn Sites Get More Traffic than TikTok, OpenAI, and Zoom?</t>
  </si>
  <si>
    <t>JOURNAL OF SEX RESEARCH</t>
  </si>
  <si>
    <t>PORNOGRAPHY USE; SEX</t>
  </si>
  <si>
    <t>[Wright, Paul J.] Indiana Univ, Media Sch, 601 East Kirkwood Ave, Bloomington, IN 47405 USA; [Tokunaga, Robert] Univ Texas, Dept Commun, Austin, TX USA; [Herbenick, Debby] Indiana Univ, Ctr Sexual Hlth Promot, Sch Publ Hlth, Bloomington, IN 47405 USA</t>
  </si>
  <si>
    <t>Indiana University System; Indiana University Bloomington; University of Texas System; University of Texas Austin; Indiana University System; Indiana University Bloomington</t>
  </si>
  <si>
    <t>Wright, PJ (corresponding author), Indiana Univ, Media Sch, 601 East Kirkwood Ave, Bloomington, IN 47405 USA.</t>
  </si>
  <si>
    <t>paulwrig@indiana.edu</t>
  </si>
  <si>
    <t>Wright, Paul J./0000-0003-1571-3700</t>
  </si>
  <si>
    <t>0022-4499</t>
  </si>
  <si>
    <t>1559-8519</t>
  </si>
  <si>
    <t>J SEX RES</t>
  </si>
  <si>
    <t>J. Sex Res.</t>
  </si>
  <si>
    <t>JUL 24</t>
  </si>
  <si>
    <t>10.1080/00224499.2023.2220690</t>
  </si>
  <si>
    <t>N5OD8</t>
  </si>
  <si>
    <t>WOS:001000977000001</t>
  </si>
  <si>
    <t>Greene, AK; Norling, HN</t>
  </si>
  <si>
    <t>Greene, Amanda K.; Norling, Hannah N.</t>
  </si>
  <si>
    <t>Follow to *actually* heal binge eating: A mixed methods textual content analysis of #BEDrecovery on TikTok</t>
  </si>
  <si>
    <t>Binge eating disorder; TikTok; Pro-recovery; Social media; Content analysis; Diet culture</t>
  </si>
  <si>
    <t>SOCIAL MEDIA; BODY-IMAGE; DISORDER; RECOVERY; STIGMA; ONLINE; NEWS</t>
  </si>
  <si>
    <t>Binge eating disorder (BED) has been relatively overlooked in research on eating disorders and social media. Existing literature suggests that time spent on social media may be associated with increased binge eating. However, more granular details of social media experiences such as the consumption of pro-recovery content have not received sufficient scholarly attention. The present study begins to address this gap through analysis of 1074 captions from public posts on TikTok, a video-based social media platform, tagged with #BEDrecovery between July 2021-2022. We generated six themes by examining word frequencies in the data and engaging in reflexive categorization of commonly used words within the context of different posts. These themes were: (1) diets and eating approaches, (2) help and support, (3) mental health, (4) diet culture critique, (5) body monitoring, and (6) fitness. To understand which videos in the BED recovery community had the broadest reach, we also examined how themes were associated with user engagement - concretely, the number plays (times the post was watched) and shares (times users shared a link to the post with other TikTok users). Notably, we found that the number of shares was significantly lower in posts that included diet culture critique than in those that did not. By contrast plays and shares were higher in posts with body monitoring than in those without. Our findings suggest that highly engaged with #BEDrecovery TikTok content may include the promotion of diet culture and potentially create an unproductive environment for individuals seeking BED recovery support.</t>
  </si>
  <si>
    <t>[Greene, Amanda K.] Univ Michigan, Ctr Bioeth &amp; Social Sci Med CBSSM, Med Sch, 2800 Plymouth Rd, Ann Arbor, MI 48104 USA; [Norling, Hannah N.] Univ Denver, Morgridge Coll Educ, Dept Counseling Psychol, 1999 East Evans Ave, Denver, CO 80208 USA</t>
  </si>
  <si>
    <t>University of Michigan System; University of Michigan; University of Denver</t>
  </si>
  <si>
    <t>Greene, AK (corresponding author), Univ Michigan, Ctr Bioeth &amp; Social Sci Med CBSSM, Med Sch, 2800 Plymouth Rd, Ann Arbor, MI 48104 USA.</t>
  </si>
  <si>
    <t>akgreene@umich.edu; Hannah.Norling@du.edu</t>
  </si>
  <si>
    <t>Norling, Hannah/JDM-7853-2023; Greene, Amanda/AGG-1421-2022</t>
  </si>
  <si>
    <t>10.1016/j.eatbeh.2023.101793</t>
  </si>
  <si>
    <t>R9XG8</t>
  </si>
  <si>
    <t>WOS:001067801400001</t>
  </si>
  <si>
    <t>Morales, M; Fahrion, A; Watkins, SL</t>
  </si>
  <si>
    <t>Morales, Makayla; Fahrion, Alexis; Watkins, Shannon Lea</t>
  </si>
  <si>
    <t>#NicotineAddictionCheck: Puff Bar Culture, Addiction Apathy, and Promotion of E-Cigarettes on TikTok</t>
  </si>
  <si>
    <t>vaping; qualitative analysis; new media; nicotine</t>
  </si>
  <si>
    <t>TOBACCO; MEDIA; SMOKING</t>
  </si>
  <si>
    <t>This study aimed to classify and delineate types of user-generated content about the disposable e-cigarette Puff Bar shared on the popular video-based social media platform TikTok. We qualitatively analyzed 148 popular TikTok videos collected in July 2020. During an iterative process of data reduction and thematic analysis, we categorized videos by overarching genres and identified emergent themes. Young adults were engaged at all stages of the research process. Together, videos were viewed over 137 million times on TikTok. Seven genres of Puff Bar content emerged: skits and stories, shared vaper experiences, videos to show off, product reviews, product unboxing, promotion of Puff Bar, and crafts. Videos depicted Puff Bar users' apathy about addiction and a lack of concern of the health effects of e-cigarette use. Additionally, Puff Bar promotion content from underground retailers was extensive and some targeted underage persons. Qualitative analysis of social media content can richly describe emerging online culture and illuminate the motivations of adolescent and young adult e-cigarette use. Social media can facilitate new product adoption; comprehensive e-cigarette regulation and enforcement can counteract these effects by closing loopholes through which new products emerge.</t>
  </si>
  <si>
    <t>[Morales, Makayla] Univ Iowa, Coll Publ Hlth, Iowa City, IA 52242 USA; [Fahrion, Alexis; Watkins, Shannon Lea] Univ Iowa, Coll Publ Hlth, Community &amp; Behav Hlth, Iowa City, IA 52242 USA</t>
  </si>
  <si>
    <t>University of Iowa; University of Iowa</t>
  </si>
  <si>
    <t>Watkins, SL (corresponding author), Univ Iowa, Coll Publ Hlth, Community &amp; Behav Hlth, Iowa City, IA 52242 USA.</t>
  </si>
  <si>
    <t>makayla-morales@uiowa.edu; alexis-fahrion@uiowa.edu; shannon-watkins@uiowa.edu</t>
  </si>
  <si>
    <t>Watkins, Shannon Lea/0000-0001-6234-6654</t>
  </si>
  <si>
    <t>10.3390/ijerph19031820</t>
  </si>
  <si>
    <t>ZE8MF</t>
  </si>
  <si>
    <t>WOS:000759131500001</t>
  </si>
  <si>
    <t>Munro, Emily; Wells, Gabriella; Paciente, Rigel; Wickens, Nicole; Ta, Daniel; Mandzufas, Joelie; Lombardi, Karen; Woolard, Alix</t>
  </si>
  <si>
    <t>Diet culture on TikTok: a descriptive content analysis</t>
  </si>
  <si>
    <t>PUBLIC HEALTH NUTRITION</t>
  </si>
  <si>
    <t>Diet; TikTok; Eating disorders; Eating behaviours; Social media; Content analysis; Dieting; Body image; Adolescents</t>
  </si>
  <si>
    <t>SOCIAL MEDIA; IMAGES; YOUNG; WOMEN; RISK</t>
  </si>
  <si>
    <t>Objective: To investigate how dieting is portrayed on TikTok and the potential implications for public health considering the effect of diet culture on eating disorders amongst young people.Design: A cross-sectional descriptive content analysis of 250 videos from the five most popular diet-related hashtags. A codebook was developed to analyse the content of the videos and collect the engagement for each video (likes, comments and shares).Setting: TikTok website.Participants: There were no participants in this study.Results: More than half of the videos portrayed 'body checking', a potentially harmful practice for body image. Of the videos that represented body image, almost half represented body image negatively. However, most videos promoted the idea of 'healthy eating', and only 64 % displayed disordered eating behaviours. Over half of the videos provided dietary advice, and of those videos, most content creators claimed to be experts (64 %). Claiming expertise was not significantly associated with engagement; however, the use of humour was significantly associated with engagement. Additionally, males were more likely than females to disclose their goals of the diet.Conclusions: Overall, it appears that TikTok is commonly used to share nutrition tips and personal experiences around dieting and eating in general, often employing humour as an effective technique. The popularity of the platform and rapid dissemination of information would be a useful tool for health professionals, especially those working with eating disorders, to utilise.</t>
  </si>
  <si>
    <t>[Munro, Emily; Wells, Gabriella; Paciente, Rigel; Wickens, Nicole; Ta, Daniel; Mandzufas, Joelie; Lombardi, Karen; Woolard, Alix] Kids Res Inst Australia, Nedlands, WA 6009, Australia; [Munro, Emily; Paciente, Rigel; Ta, Daniel; Mandzufas, Joelie; Lombardi, Karen; Woolard, Alix] Univ Western Australia, Crawley, WA 6009, Australia; [Wells, Gabriella; Mandzufas, Joelie; Lombardi, Karen] Edith Cowan Univ, Joondalup, WA 6027, Australia</t>
  </si>
  <si>
    <t>University of Western Australia; Edith Cowan University</t>
  </si>
  <si>
    <t>Munro, E (corresponding author), Kids Res Inst Australia, Nedlands, WA 6009, Australia.;Munro, E (corresponding author), Univ Western Australia, Crawley, WA 6009, Australia.</t>
  </si>
  <si>
    <t>emily.munro@thekids.org.au</t>
  </si>
  <si>
    <t>Ta, Daniel/JCN-6256-2023; Munro, Emily/KEE-7388-2024; Mandzufas, Joelie/AFT-0615-2022; Wickens, Nicole/CAG-5606-2022; Woolard, Alix/AAF-8744-2021</t>
  </si>
  <si>
    <t>Munro, Emily/0000-0001-7677-0878; Mandzufas, Joelie/0000-0003-4236-1384; Woolard, Alix/0000-0003-3427-351X; Wickens, Nicole/0000-0002-7202-7187; Lombardi, Karen/0000-0001-8016-2197; Ta, Daniel/0000-0001-9875-0704; Wells, Gabriella/0000-0002-5189-4329</t>
  </si>
  <si>
    <t>Kids Research Institute Australia Research Focus Area Collaboration Award</t>
  </si>
  <si>
    <t>This project is funded by a 2022 The Kids Research Institute Australia Research Focus Area Collaboration Award.</t>
  </si>
  <si>
    <t>1368-9800</t>
  </si>
  <si>
    <t>1475-2727</t>
  </si>
  <si>
    <t>PUBLIC HEALTH NUTR</t>
  </si>
  <si>
    <t>Public Health Nutr.</t>
  </si>
  <si>
    <t>SEP 23</t>
  </si>
  <si>
    <t>e169</t>
  </si>
  <si>
    <t>10.1017/S1368980024001381</t>
  </si>
  <si>
    <t>Public, Environmental &amp; Occupational Health; Nutrition &amp; Dietetics</t>
  </si>
  <si>
    <t>G6O3R</t>
  </si>
  <si>
    <t>WOS:001317804900001</t>
  </si>
  <si>
    <t>Sadler, O</t>
  </si>
  <si>
    <t>Sadler, Olivia</t>
  </si>
  <si>
    <t>Defiant Amplification or Decontextualized Commercialization. Protest Music, TikTok, and Social Movements</t>
  </si>
  <si>
    <t>social movements; connective action; protest music; TikTok</t>
  </si>
  <si>
    <t>MEDIA; AFFORDANCES; RESISTANCE; CULTURE; YOUTUBE</t>
  </si>
  <si>
    <t>Protest music has historically been a central part of American social change movements. Although some protest music is used solely to bring attention to the evils of an oppressive group, another purpose it may serve is to foster positive self-definition and feelings of unity in communities of oppressed people, and some songs may even do both. This project aimed to explore how TikTok affords expression and connection in relation to the use of and interaction with protest music in online spaces. A critical discourse analysis of a specific case of TikTok protest music, You About To Lose Yo Job, was conducted through the lenses of personal expression as a feature of connective action and affordance theory. The following three themes emerged: lip-syncing as a tool of defiance and reclamation of space, the use of hashtags to game a commercialized platform, and the decontextualization or loss of essence of protest music. These findings indicated that the social and ideological functions served by protest music as background sounds on TikTok created potential new avenues for agency through spatial defiance afforded by green screens and strategies to amplify users' content to new audiences. However, dominant ideologies of capitalism were also reinforced through gaming of hashtags that were associated with events and trends of culture, diluting the context and blurring the movement affiliation of users, making unclear the function the protest music may serve.</t>
  </si>
  <si>
    <t>[Sadler, Olivia] Univ Illinois, 1007 W Harrison St, Chicago, IL 60607 USA</t>
  </si>
  <si>
    <t>Sadler, O (corresponding author), Univ Illinois, 1007 W Harrison St, Chicago, IL 60607 USA.</t>
  </si>
  <si>
    <t>osadle2@uic.edu</t>
  </si>
  <si>
    <t>Sadler, Olivia/0000-0001-6753-2608</t>
  </si>
  <si>
    <t>10.1177/20563051221094769</t>
  </si>
  <si>
    <t>0X8DA</t>
  </si>
  <si>
    <t>WOS:000789929100001</t>
  </si>
  <si>
    <t>Wilches-Tinjacá, JA; Guerrero-Sierra, HF; Niño, C</t>
  </si>
  <si>
    <t>Wilches-Tinjaca, Jaime Andres; Guerrero-Sierra, Hugo Fernando; Nino, Cesar</t>
  </si>
  <si>
    <t>Political emotions and prototypical narratives: TikTok in political campaigns: a case study</t>
  </si>
  <si>
    <t>TikTok; Gustavo Petro; Rodolfo Hernandez; Elections; Campaigns; Narratives; Emotions</t>
  </si>
  <si>
    <t>Introduction: The presidential elections in Colombia were marked by the use of TikTok as an electoral campaign strategy. The aim of this article is to analyze the use of this social network in the candidacies of Gustavo Petro and Rodolfo Hernandez. Methodology: A qualitative approach is used, taking as working corpus two hundred contents made on TikTok by the two candidates from the official announcement of their candidacies until the end of the second round of elections. The information was organized with content analysis matrices and data processing in Python, from three conceptual categories in electoral campaigns: a. Intentions: creation of communicative pieces by the candidates based on the production possibilities of TikTok and hashtags; b. Strategies: political emotions and narratives of the candidates; c. Intentions: political emotions and narratives of the candidates; d. Intentions: political emotions and narratives of the candidates; e. Intentions: political emotions and narratives of the candidates. Strategies: political emotions and prototypical narratives that standardize the performance of campaigns, from the speeches issued in the social network; and c. Tools: users' interest in the electoral contest, taking as a reference Google trends reports and levels of engagement with the content. Results and Discussion: a. The personalization of the political leader predominates from an emotional and short story that does not exceed one minute of exposure and oriented to show himself close to the forms of multimedia interaction of TikTok; b. The narrative roles are focused in both cases with political emotions oriented to change and in which they are self -represented as heroes with the mission of bringing hope to their voters in the face of crisis and uncertainty scenarios; c. The accounts of the candidates surpass in popularity and interest the news related to spaces for debate of proposals and government plans. Although both campaigns had slight decreases in content production for the second round, Petro maintained a growth curve and level of engagement with users, while Hernandez reduced his interaction and impact. Conclusions: The article contributes to the literature on political campaigns with the arrival of TikTok and the increase in the use of social networks and digital platforms as marketing strategies in future electoral scenarios.</t>
  </si>
  <si>
    <t>[Wilches-Tinjaca, Jaime Andres] Inst Univ Politecn Grancolombiano, Programa Adm Publ, Bogota, Colombia; [Guerrero-Sierra, Hugo Fernando] Univ Santo Tomas, Tunja, Colombia; [Nino, Cesar] Univ la Salle, Relac Int, Bogota, Colombia</t>
  </si>
  <si>
    <t>Universidad Santo Tomas USTA; Universidad de La Salle</t>
  </si>
  <si>
    <t>Wilches-Tinjacá, JA (corresponding author), Inst Univ Politecn Grancolombiano, Programa Adm Publ, Bogota, Colombia.</t>
  </si>
  <si>
    <t>jwilches@poligran.edu.co; hugo.guerrero@usantoto.edu.co; cnino@unisalle.edu.co</t>
  </si>
  <si>
    <t>Niño, César/G-8960-2018; Wilches, Jaime Andres/ITN-3972-2023; Guerrero Sierra Ph.D., Hugo Fernando/D-3690-2017</t>
  </si>
  <si>
    <t>10.4185/rlcs-2024-2234</t>
  </si>
  <si>
    <t>KH9Z9</t>
  </si>
  <si>
    <t>WOS:001179200700001</t>
  </si>
  <si>
    <t>Canatan, AN</t>
  </si>
  <si>
    <t>Canatan, Ahmed N.</t>
  </si>
  <si>
    <t>Assessing the Quality and Reliability of Videos Related to Fibromyalgia on TikTok: A Comprehensive Analysis</t>
  </si>
  <si>
    <t>patient education; health information; social media; tiktok; fibromyalgia</t>
  </si>
  <si>
    <t>CONSUMER HEALTH INFORMATION; SOCIAL MEDIA</t>
  </si>
  <si>
    <t>Introduction Fibromyalgia, characterized by chronic musculoskeletal pain and associated symptoms, poses significant challenges in diagnosis and management. While social media platforms like TikTok have emerged as popular sources of health information, their variable content quality necessitates critical evaluation. This study aimed to assess the quality and reliability of TikTok videos related to fibromyalgia, thereby enhancing the understanding of their impact on patient education and self-management. Methods A cross-sectional observational study was conducted in June 2024, which analyzed 150 TikTok videos using search terms like Fibromyalgia, Fibromyalgia Symptoms, and Fibromyalgia Treatment. Videos were evaluated for inclusion based on relevance and language (English), by employing the Global Quality Scale (GQS) and Quality Criteria for Consumer Health Information (DISCERN) score for assessment. Statistical analysis was performed by using IBM SPSS Statistics v21.0 (IBM Corp., Armonk, NY). The Kruskall-Wallis test was employed, and a p-value less than 0.05 was deemed statistically significant. Results Of the 150 videos initially reviewed, 96 (64%) met the inclusion criteria. Content categories included disease description (34, 35.42%), symptoms (81, 84.38%), management (64, 66.67%), and personal experiences (63, 65.63%). The videos were uploaded by doctors (8, 8.33%), patients (63, 65.63%), healthcare workers ( 7, 7.29%), and others (18, 18.75%). Mean GQS scores varied significantly by uploader type: doctors (4.63 +/- 0.52), healthcare workers (3.43 +/- 0.79), patients (2.37 +/- 0.81), and others (2.11 +/- 0.47) (p&lt;0.001). DISCERN scores followed a similar trend: doctors (3.88 +/- 0.64), healthcare workers (2.14 +/- 1.46), patients (1.08 +/- 0.27), and others (1.61 +/- 0.50) (p&lt;0.001). Conclusions TikTok serves as a pivotal platform for fibromyalgia-related discourse, predominantly shaped by patientgenerated content. However, even though it provides insights into symptoms and management strategies, gaps exist in comprehensive medical guidance and preventive measures. The study underscores the critical role of healthcare professionals in enhancing content reliability and educational value on social media. Future research should explore cultural and linguistic diversity to broaden the accessibility and relevance of health information on platforms like TikTok.</t>
  </si>
  <si>
    <t>[Canatan, Ahmed N.] Marmara Univ, Sch Med, Istanbul, Turkiye</t>
  </si>
  <si>
    <t>Marmara University</t>
  </si>
  <si>
    <t>Canatan, AN (corresponding author), Marmara Univ, Sch Med, Istanbul, Turkiye.</t>
  </si>
  <si>
    <t>drcanatan@gmail.com</t>
  </si>
  <si>
    <t>JUL 17</t>
  </si>
  <si>
    <t>e64704</t>
  </si>
  <si>
    <t>10.7759/cureus.64704</t>
  </si>
  <si>
    <t>ZF3F2</t>
  </si>
  <si>
    <t>WOS:001273834800038</t>
  </si>
  <si>
    <t>Bossen, CB; Kottasz, R</t>
  </si>
  <si>
    <t>Bucknell Bossen, Christina; Kottasz, Rita</t>
  </si>
  <si>
    <t>Uses and gratifications sought by pre-adolescent and adolescent TikTok consumers</t>
  </si>
  <si>
    <t>YOUNG CONSUMERS</t>
  </si>
  <si>
    <t>Uses and gratification; Adolescent psychology; Identity-creation; Social media site; TikTok</t>
  </si>
  <si>
    <t>ONLINE SOCIAL NETWORKING; MEDIA ENGAGEMENT; INTERNET USE; SELF; BEHAVIOR; FACEBOOK; BELIEFS; MOTIVES; SITES; FAME</t>
  </si>
  <si>
    <t>Purpose The purpose of this paper was to explore the uses and gratifications sought by the primary target market (pre-adolescent and adolescent groups) of a new social media site, TikTok. The paper also sought to identify how much of a role the motivations of self-expression, social recognition and fame-seeking (important considerations within adolescent psychology development) played in the use of this particular social networking sites (SNS). Design/methodology/approach Following meticulous sampling procedures, ensuring national representation and stringent ethical practices, self-completion questionnaires were sent to pupils at 60 schools in the five key administrative regions of Denmark. The data was examined using analysis of variation tests, followed by a two-step cluster analysis using the log-likelihood method. Findings The findings indicated that passive consumptive behaviours were prevalent among both pre-adolescent and adolescent groups and that the gratification of entertainment/affect was the primary driver behind all behaviours: passive consumptive, participatory and contributory. Pre-adolescent groups were more active and heavier users of TikTok than were adolescents. In line with adolescent psychology theories, the authors found that contributory behaviours were motivated by a wish to expand one's social networks, by fame-seeking, self-expression and identity-creation needs. Social implications Pre-adolescent consumers are heavier users and interact more with the TikTok SNS than adolescent consumers, including in relation to seeking out new social networks. This is potentially of great concern as children are less likely to understand the hidden dangers of online predatorial and privacy issues. Originality/value The authors extend their understanding of the contributory functions of SNS. Motivations of fame-seeking, self-expression and social recognition are key to understanding the uses and gratifications of TikTok consumers, especially during the adolescent years; contrary to scholarly assertions that these motives are often unconscious, the sample of this study assertively and explicitly confirmed these needs. A further novel insight of this study was that both the gratifications of relationship building and relationship maintenance were sought out via the contributory, rather than the participatory function of TikTok.</t>
  </si>
  <si>
    <t>[Bucknell Bossen, Christina; Kottasz, Rita] Kingston Univ, Strategy Mkt Innovat, London, England</t>
  </si>
  <si>
    <t>Kingston University</t>
  </si>
  <si>
    <t>Kottasz, R (corresponding author), Kingston Univ, Strategy Mkt Innovat, London, England.</t>
  </si>
  <si>
    <t>Christinabossen@hotmail.com; rita.kottasz@kingston.ac.uk</t>
  </si>
  <si>
    <t>Kottasz, Rita/P-9020-2019</t>
  </si>
  <si>
    <t>Kottasz, Rita/0000-0003-4188-8969</t>
  </si>
  <si>
    <t>BINGLEY</t>
  </si>
  <si>
    <t>HOWARD HOUSE, WAGON LANE, BINGLEY BD16 1WA, W YORKSHIRE, ENGLAND</t>
  </si>
  <si>
    <t>1758-7212</t>
  </si>
  <si>
    <t>1747-3616</t>
  </si>
  <si>
    <t>YOUNG CONSUM</t>
  </si>
  <si>
    <t>Young Consum.</t>
  </si>
  <si>
    <t>DEC 8</t>
  </si>
  <si>
    <t>10.1108/YC-07-2020-1186</t>
  </si>
  <si>
    <t>PC9JI</t>
  </si>
  <si>
    <t>WOS:000593245200001</t>
  </si>
  <si>
    <t>Fiallos, A; Fiallos, C; Figueroa, S</t>
  </si>
  <si>
    <t>Teran, L; Pincay, J; Portmann, E</t>
  </si>
  <si>
    <t>Fiallos, Angel; Fiallos, Carlos; Figueroa, Stalin</t>
  </si>
  <si>
    <t>Tiktok and Education: Discovering Knowledge through Learning Videos</t>
  </si>
  <si>
    <t>2021 EIGHT INTERNATIONAL CONFERENCE ON EDEMOCRACY &amp; EGOVERNMENT (ICEDEG)</t>
  </si>
  <si>
    <t>8th International Conference on eDemocracy and eGovernment (ICEDEG)</t>
  </si>
  <si>
    <t>JUL 28-30, 2021</t>
  </si>
  <si>
    <t>Escuela Super Politecnica Litoral,Escuela Politecnica Nacl,Inst Altos Estudios Nacl,Univ Amer,Univ Fuerzas Armadas,Univ Tecnica Ambato,Univ Fribourg,Univ San Francisco Quito,IEEE Comp Soc,IEEE Reg 9,IEEE Comp Soc eGovernment Special Tech Community</t>
  </si>
  <si>
    <t>Visual Recognition; natural language processing; education; topics</t>
  </si>
  <si>
    <t>TikTok is a video-sharing social networking service that is rapidly growing in popularity. It was the second most downloaded app in the app world in 2020. While the platform is known for having users post videos of themselves dancing, lip-syncing, or showing off other talents, videos of users sharing specific knowledge have increased because of initiatives such as #learnontiktok. This study aims to assess the types of knowledge and learnings shared on TikTok and the profile of its authors. We collected a set of 1495 videos and through and innovative framework implementation, using computer vision, natural language processing, and machine learning techniques, we discovered the main teaching topics published in the #learnontiktok campaign and the disciplines with the highest audience engagement.</t>
  </si>
  <si>
    <t>[Fiallos, Angel] IEEE, Ecuador Sect, Guayaquil, Ecuador; [Fiallos, Carlos] Escuela Super Politecn Litoral, ESPOL, Guayaquil, Ecuador; [Figueroa, Stalin] Univ Fuerzas Armadas, ESPE, Latacunga, Ecuador</t>
  </si>
  <si>
    <t>Escuela Superior Politecnica del Litoral; Escuela Politecnica Superior del Ejercito</t>
  </si>
  <si>
    <t>Fiallos, A (corresponding author), IEEE, Ecuador Sect, Guayaquil, Ecuador.</t>
  </si>
  <si>
    <t>angel.fiallos@ieee.org; cafiallos@espol.edu.ec; sgfigueroa@espe.edu.ec</t>
  </si>
  <si>
    <t>Fiallos, Angel/CAE-9290-2022; ALAVA, STALIN/AAX-2904-2020</t>
  </si>
  <si>
    <t>FIGUEROA, STALIN/0000-0002-6895-1588; FIGUEROA, STALIN/0000-0002-0574-5488; Fiallos, Angel/0000-0002-7828-1207</t>
  </si>
  <si>
    <t>978-1-6654-2513-1</t>
  </si>
  <si>
    <t>10.1109/ICEDEG52154.2021.9530988</t>
  </si>
  <si>
    <t>BT7BJ</t>
  </si>
  <si>
    <t>WOS:000847020200022</t>
  </si>
  <si>
    <t>Wu, J; Greene, M; Bickett, A; Song, AH; Swartz, JJ</t>
  </si>
  <si>
    <t>Wu, J.; Greene, M.; Bickett, A.; Song, A. H.; Swartz, J. J.</t>
  </si>
  <si>
    <t>Period pain is not normal: a content analysis of endometriosis-related videos on the social media platform TikTok</t>
  </si>
  <si>
    <t>BJOG-AN INTERNATIONAL JOURNAL OF OBSTETRICS AND GYNAECOLOGY</t>
  </si>
  <si>
    <t>[Wu, J.] Duke Univ, Dept Obstet &amp; Gynecol, Med Ctr, Durham, NC USA; [Greene, M.; Bickett, A.] Duke Sch Med, Durham, NC USA; [Song, A. H.] Duke Univ, Dept Obstet &amp; Gynecol, Div Minimally Invas Gynecol, Med Ctr, Durham, NC USA; [Swartz, J. J.] Duke Univ, Dept Obstet &amp; Gynecol, Div Womens Community &amp; Populat Hlth, Med Ctr, Durham, NC USA; [Wu, J.] Duke Univ, Dept Obstet &amp; Gynecol, Med Ctr, 2301 Erwin Rd, Durham, NC 27701 USA</t>
  </si>
  <si>
    <t>Duke University; Duke University; Duke University; Duke University; Duke University</t>
  </si>
  <si>
    <t>Wu, J (corresponding author), Duke Univ, Dept Obstet &amp; Gynecol, Med Ctr, 2301 Erwin Rd, Durham, NC 27701 USA.</t>
  </si>
  <si>
    <t>Wu, Jenny/JLD-1660-2023; Bickett, Alexandra/KJL-5555-2024</t>
  </si>
  <si>
    <t>Wu, Jenny/0000-0003-1424-544X; Bickett, Alexandra/0009-0000-8236-9810; Greene, Melissa/0009-0007-6832-5310; Swartz, Jonas/0000-0002-9726-965X</t>
  </si>
  <si>
    <t>National Institute of Child Health and Human Development (NICHD) of the U.S. National Institutes of Health [K12HD103083]</t>
  </si>
  <si>
    <t>National Institute of Child Health and Human Development (NICHD) of the U.S. National Institutes of Health</t>
  </si>
  <si>
    <t>National Institute of Child Health and Human Development (NICHD) of the U.S. National Institutes of Health, Grant/Award Number: K12HD103083</t>
  </si>
  <si>
    <t>1470-0328</t>
  </si>
  <si>
    <t>1471-0528</t>
  </si>
  <si>
    <t>BJOG-INT J OBSTET GY</t>
  </si>
  <si>
    <t>BJOG</t>
  </si>
  <si>
    <t>10.1111/1471-0528.17563</t>
  </si>
  <si>
    <t>Y4PY3</t>
  </si>
  <si>
    <t>WOS:001000684000001</t>
  </si>
  <si>
    <t>Nicolla, S; Lazard, AJ; Austin, LL; Freelon, D; Reyes, HLM; Moracco, KE</t>
  </si>
  <si>
    <t>Nicolla, Sydney; Lazard, Allison J.; Austin, Lucinda L.; Freelon, Deen; Reyes, Heathe Luz McNaughton; Moracco, Kathryn E.</t>
  </si>
  <si>
    <t>TikToks Lead to Higher Knowledge and Perceived Severity of Sexual Violence among Adolescent Men</t>
  </si>
  <si>
    <t>JOURNAL OF YOUTH AND ADOLESCENCE</t>
  </si>
  <si>
    <t>Sexual violence prevention; Sexual violence perpetration prevention; Social media communication; TikTok; Experiment</t>
  </si>
  <si>
    <t>SOCIAL MEDIA; HEALTH COMMUNICATION; PREVENTION PROGRAM; RAPE PREVENTION; COLLEGE MEN; STRATEGIES; EMPATHY; GENERATION; REACTANCE; DESIGN</t>
  </si>
  <si>
    <t>Social media communication is a promising way to deliver important health messages about sexual violence to a key population of adolescent men. The researchers conducted an online, between-participants experiment to examine the impact of personal narrative TikToks about sexual violence on adolescent men. Participants were adolescent men (n = 580) aged 15 to 19 (M = 17.3, SD = 1.43). Participants were randomly assigned to treatment (personal narrative TikToks about sexual violence) or control (hair braiding TikTok tutorials) conditions. Adolescent men who viewed personal narrative TikToks about sexual violence had higher knowledge of consequences and higher perceived severity of sexual violence. Additionally, adolescent men found personal narrative TikToks more attention-grabbing (vs. control) and did not have negative reactions. Findings that short (approximately one-minute) TikTok videos led to differences in knowledge and beliefs among, and were interesting and not aversive to, adolescent men are important for sexual violence prevention research. Health messages on TikTok can help shift adolescent perceptions of sexual violence, which is a key starting point towards changing norms.</t>
  </si>
  <si>
    <t>[Nicolla, Sydney] Elon Univ, Sch Commun, Elon, NC 27244 USA; [Lazard, Allison J.; Austin, Lucinda L.] Univ North Carolina Chapel Hill, Hussman Sch Journalism &amp; Media, Chapel Hill, NC USA; [Lazard, Allison J.] Univ North Carolina Chapel Hill, Lineberger Comprehens Canc Ctr, Chapel Hill, NC USA; [Freelon, Deen] Univ Penn, Annenberg Sch Commun, Philadelphia, PA USA; [Reyes, Heathe Luz McNaughton; Moracco, Kathryn E.] Univ North Carolina Chapel Hill, Gillings Sch Global Publ Hlth, Dept Hlth Behav, Chapel Hill, NC USA; [Reyes, Heathe Luz McNaughton; Moracco, Kathryn E.] Univ North Carolina Chapel Hill, Injury Prevent Res Ctr, Chapel Hill, NC USA</t>
  </si>
  <si>
    <t>Elon University; University of North Carolina School of Medicine; University of North Carolina; University of North Carolina Chapel Hill; University of North Carolina School of Medicine; University of North Carolina; University of North Carolina Chapel Hill; University of Pennsylvania; University of North Carolina School of Medicine; University of North Carolina; University of North Carolina Chapel Hill; University of North Carolina School of Medicine; University of North Carolina; University of North Carolina Chapel Hill</t>
  </si>
  <si>
    <t>Nicolla, S (corresponding author), Elon Univ, Sch Commun, Elon, NC 27244 USA.</t>
  </si>
  <si>
    <t>snicolla@elon.edu</t>
  </si>
  <si>
    <t>Freelon, Deen/AAV-6040-2020</t>
  </si>
  <si>
    <t>Nicolla, Sydney/0000-0002-3167-6623; Moracco, Kathryn/0000-0002-9038-5949; Lazard, Allison/0000-0002-2502-2850; Freelon, Deen/0000-0001-5055-0316</t>
  </si>
  <si>
    <t>The authors gratefully acknowledge and thank the young men who participated in this study.</t>
  </si>
  <si>
    <t>0047-2891</t>
  </si>
  <si>
    <t>1573-6601</t>
  </si>
  <si>
    <t>J YOUTH ADOLESCENCE</t>
  </si>
  <si>
    <t>J. Youth Adolesc.</t>
  </si>
  <si>
    <t>2023 SEP 21</t>
  </si>
  <si>
    <t>10.1007/s10964-023-01867-7</t>
  </si>
  <si>
    <t>S4OE2</t>
  </si>
  <si>
    <t>WOS:001070968900001</t>
  </si>
  <si>
    <t>TikTok and the translingual practices of Filipino domestic workers in Hong Kong</t>
  </si>
  <si>
    <t>TikTok; Translingualism; Multimodal discourse analysis; Filipino; Transnationalism</t>
  </si>
  <si>
    <t>Recognizing the immense popularity of TikTok among the over 200,000 Filipino domestic workers in Hong Kong, this paper examines the translingual practices of these migrants from the Global South on a social media platform known for its act out memes, dance and lip-synch videos. Drawing on data from interviews and the multimodal discourse analysis of TikTok profiles, videos and captions, it pays particular attention to how recognizing these practices not as exotic or creative transgressions but as ordinary or normative (Agha, 2007) can enable a critical understanding of the lived experiences of these transnationals. Findings show that as they move across social media platforms and make linguistic and semiotic choices involving practical and material considerations, they perform moments of interaction or small things (Blommaert, 2019) online that are not unlike their mundane, offline counterparts. Moving across languages online is a way for users to negotiate multiple identities, position others, address diverse audiences, and signal group affiliations. By examining translingual interactions on social media as normative but negotiated across different orders of indexicality, this paper asserts that such reframing can draw attention to historical and material inequalities and modes of exclusion online.</t>
  </si>
  <si>
    <t>[Darvin, Ron] Univ British Columbia, Educ Ctr Ponderosa Commons, Dept Language &amp; Literacy Educ, 6445 Univ Blvd, Vancouver, BC V6T 1Z2, Canada</t>
  </si>
  <si>
    <t>Darvin, R (corresponding author), Univ British Columbia, Educ Ctr Ponderosa Commons, Dept Language &amp; Literacy Educ, 6445 Univ Blvd, Vancouver, BC V6T 1Z2, Canada.</t>
  </si>
  <si>
    <t>ron.darvin@ubc.ca</t>
  </si>
  <si>
    <t>10.1016/j.dcm.2022.100655</t>
  </si>
  <si>
    <t>6W4ZV</t>
  </si>
  <si>
    <t>WOS:000895739200001</t>
  </si>
  <si>
    <t>Stein, MJ</t>
  </si>
  <si>
    <t>Stein, Michael J.</t>
  </si>
  <si>
    <t>Commentary: Scrolling for Answers About Breast Implant Illness: Application of Validated Tools to Assess the Quality of Content on YouTube and TikTok</t>
  </si>
  <si>
    <t>Editorial Material; Early Access</t>
  </si>
  <si>
    <t>[Stein, Michael J.] Lenox Hill Hosp, Dept Plast &amp; Reconstruct Surg, New York, NY 10075 USA</t>
  </si>
  <si>
    <t>Stein, MJ (corresponding author), Lenox Hill Hosp, Dept Plast &amp; Reconstruct Surg, New York, NY 10075 USA.</t>
  </si>
  <si>
    <t>drmjstein@gmail.com</t>
  </si>
  <si>
    <t>2024 SEP 23</t>
  </si>
  <si>
    <t>10.1177/22925503241281935</t>
  </si>
  <si>
    <t>H3H9D</t>
  </si>
  <si>
    <t>WOS:001322389900001</t>
  </si>
  <si>
    <t>Galantini, G; Samarrai, R; Hughes, A; Kavanagh, K</t>
  </si>
  <si>
    <t>Galantini, Gianfranco; Samarrai, Ruwaa; Hughes, Amy; Kavanagh, Katherine</t>
  </si>
  <si>
    <t>TikTok Tracheostomy Video Analysis of Quality, Credibility, and Readability</t>
  </si>
  <si>
    <t>credibility; quality; tiktok; social media; tracheostomy</t>
  </si>
  <si>
    <t>Objective The goal of this study is to analyze the quality, credibility, and readability of videos on TikTok related to tracheostomy in order to assess the adequacy of the information for patient and parental education purposes. Study design This was a cross-sectional analysis of online content. Methods The social media platform TikTok was explored for videos related to tracheostomy. The search function was utilized with multiple hashtags related to tracheostomy and videos were reviewed and scored for quality, credibility, and readability. Each of the videos was assessed using the DISCERN criteria, JAMA benchmark, and readability score based on text either presented in the video or written in the caption. Pearson's correlation coefficient was calculated for each of the studied parameters. Results The TikTok search bar was queried using multiple hashtags, including #trach, #tracheostomy, #trachea, and #tracheotomy for relevant videos from October 14 to October 15, 2021. Overall, 60 videos were selected for complete review and analysis. The total views for all related videos analyzed was 17,712,281. The total likes were 693,812. The videos were primarily posted by non -healthcare professionals making up approximately 72% of all videos. Videos created by physicians generated 63% of all views. The average DISCERN score for each video was 24.83 out of 75. The average Flesch Reading Ease score was 70.59 and the average Flesch-Kincaid Grade level was 5.5. There was a positive DISCERN score and views with R = 0.255 (p = 0.049), positive correlation between DISCERN and likes R = 0.334 (p = 0.009), positive correlation between DISCERN and JAMA R = 0.56 (p=&lt;0.0001), positive correlation between DISCERN and Flesch-Kincaid Grade Level R = 0.330 (p=0.010) and a negative correlation between DISCERN and Flesch Reading Ease Score R =0.337 (p=0.009). There was also a statistically significant positive correlation between JAMA and FleschKincaid Grade Level R = 0.260 (p=0.045). Conclusion Overall, the quality of the videos on TikTok regarding tracheostomy rated poorly on the DISCERN quality index but included text that was fairly easy to read. Currently, medical videos on TikTok do not meet the quality metrics needed to properly educate the public and should not be used as a primary resource.</t>
  </si>
  <si>
    <t>[Galantini, Gianfranco] Univ Connecticut Hlth, Div Otolaryngol Head Neck Surg, Farmington, CT 06030 USA; [Samarrai, Ruwaa] Univ Connecticut Hlth, Div Otolaryngol Head &amp; Neck Surg, Farmington, CT USA; [Hughes, Amy; Kavanagh, Katherine] Connecticut Childrens Med Ctr, Dept Otolaryngol, Hartford, CT USA</t>
  </si>
  <si>
    <t>University of Connecticut; University of Connecticut; Connecticut Children's Medical Center</t>
  </si>
  <si>
    <t>Galantini, G (corresponding author), Univ Connecticut Hlth, Div Otolaryngol Head Neck Surg, Farmington, CT 06030 USA.</t>
  </si>
  <si>
    <t>gianfranco.galantini@jefferson.edu</t>
  </si>
  <si>
    <t>MAY 18</t>
  </si>
  <si>
    <t>e60548</t>
  </si>
  <si>
    <t>10.7759/cureus.60548</t>
  </si>
  <si>
    <t>SU9S1</t>
  </si>
  <si>
    <t>WOS:001237083700015</t>
  </si>
  <si>
    <t>Morton, M; Haight, PJ; Khadraoui, W; Backes, F; Bixel, K; O'Malley, DM; Nagel, C; Chambers, LM</t>
  </si>
  <si>
    <t>Morton, Molly; Haight, Paulina J.; Khadraoui, Wafa; Backes, Floor; Bixel, Kristin; O'Malley, David M.; Nagel, Christa; Chambers, Laura M.</t>
  </si>
  <si>
    <t>More than a song and dance: Exploration of patient perspectives and educational quality of gynecologic cancer content on TikTok</t>
  </si>
  <si>
    <t>Social media; Patient experience; Gynecologic cancer; TikTok; Educational content</t>
  </si>
  <si>
    <t>SOCIAL MEDIA; HEALTH; DISPARITIES; INTERNET; DISCERN; ONLINE</t>
  </si>
  <si>
    <t>Objective. To investigate themes, quality, and reliability of gynecologic cancer-related content on the social media application TikTok. Methods. TikTok was systematically searched for the 100 most popular posts for ovarian cancer (OC), endo-metrial cancer (EC), cervical cancer (CC), vulvar cancer (VC), and gestational trophoblastic disease (GTD) in Au-gust 2022. Data was collected for demographics, tone, and themes. Educational videos were rated for quality and reliability utilizing the modified DISCERN scale. Relationships between content demographics, disease sites, and themes were assessed. Results. As of August 2022, the top five hashtags for each gynecologic cancer on TikTok had 466.7 million views. 430 of the top 500 posts were eligible for inclusion (OC: n = 86, CC: n = 93, EC: n = 98, GTD: n = 63, VC: n = 90). The majority of creators (n = 323, 75.1%) were White, 33 (7.7%) were Black, 20 (4.6%) were Asian/Pacific Islander (API), 10 (2.3%) were South Asian, 20 (4.7%) were Hispanic/Latino/a, 24 (5.5%) were unable to determine. Eleven central themes were identified, with significant differences when analyzed by disease site and race. The median DISCERN score for all posts was 1.0, indicating poor educational quality and reliability. When compared by race, South Asian/API posters received the highest scores (3, IQR 2.5) versus Black (2: IQR 3), Hispanic/Latino/a (2: IQR 0), and White posters (1, IQR 2) (p = 0.0013). Conclusion(s). Gynecologic cancer-related content on TikTok is of poor educational quality, and racial dispar-ities in gynecologic cancer extend to social media. Opportunities exist to create more diverse content to support racial and cultural experiences in gynecologic cancer treatment.&amp; COPY; 2023 Elsevier Inc. All rights reserved.</t>
  </si>
  <si>
    <t>[Morton, Molly; Haight, Paulina J.; Khadraoui, Wafa; Backes, Floor; Bixel, Kristin; O'Malley, David M.; Nagel, Christa; Chambers, Laura M.] Ohio State Univ, James Canc Hosp, Div Gynecol Oncol, Wexner Med Ctr, Starling Loving Hall,M210,320 W 10th Ave, Columbus, OH 43210 USA; [Morton, Molly; Haight, Paulina J.; Khadraoui, Wafa; Backes, Floor; Bixel, Kristin; O'Malley, David M.; Nagel, Christa; Chambers, Laura M.] Solove Res Inst, Starling Loving Hall,M210, 320 W 10th Ave, Columbus, OH 43210 USA; [Morton, Molly] Starling Loving Hall,M210, 320 W 10th Ave, Columbus, OH 43210 USA</t>
  </si>
  <si>
    <t>University System of Ohio; Ohio State University; James Cancer Hospital &amp; Solove Research Institute; James Cancer Hospital &amp; Solove Research Institute</t>
  </si>
  <si>
    <t>Morton, M (corresponding author), Starling Loving Hall,M210, 320 W 10th Ave, Columbus, OH 43210 USA.</t>
  </si>
  <si>
    <t>molly.morton@osumc.edu</t>
  </si>
  <si>
    <t>OMalley, David/E-3789-2011</t>
  </si>
  <si>
    <t>10.1016/j.ygyno.2023.06.004</t>
  </si>
  <si>
    <t>Q7TU0</t>
  </si>
  <si>
    <t>WOS:001059519500001</t>
  </si>
  <si>
    <t>Leaning into the digital age: the role of TikTok and other technologies in providing mental health information</t>
  </si>
  <si>
    <t>Grabb, Declan/0009-0009-1814-3556</t>
  </si>
  <si>
    <t>JUL 31</t>
  </si>
  <si>
    <t>p1754</t>
  </si>
  <si>
    <t>10.1136/bmj.p1754</t>
  </si>
  <si>
    <t>P4UW4</t>
  </si>
  <si>
    <t>WOS:001050636600003</t>
  </si>
  <si>
    <t>Berg, CJ; LoParco, CR; Cui, YX; Pannell, A; Kong, GC; Griffith, L; Romm, KF; Yang, YT; Wang, Y; Cavazos-Rehg, PA</t>
  </si>
  <si>
    <t>Berg, Carla J.; LoParco, Cassidy R.; Cui, Yuxian; Pannell, Alexandria; Kong, Grace; Griffith, Lynniah; Romm, Katelyn F.; Yang, Y. Tony; Wang, Yan; Cavazos-Rehg, Patricia A.</t>
  </si>
  <si>
    <t>A review of social media platform policies that address cannabis promotion, marketing and sales</t>
  </si>
  <si>
    <t>SUBSTANCE ABUSE TREATMENT PREVENTION AND POLICY</t>
  </si>
  <si>
    <t>Social media; Marketing; Cannabis; Cannabis industry; Policy</t>
  </si>
  <si>
    <t>EXPOSURE</t>
  </si>
  <si>
    <t>BackgroundCannabis marketing exposure via social media may impact use in youth and young adults. Most states with recreational cannabis lack policies regarding social media-based marketing. Thus, we examined such policies among prominent platforms, particularly those popular among youth and young adults.MethodsIn September-October 2022, 3 research team members extracted policies applying to the general community, advertising, and any specific content regarding drug-related content for 11 social media sites: Discord, Facebook, Instagram, Pinterest, Reddit, Snapchat, TikTok, Tumblr, Twitch, Twitter, and YouTube. Using inductive thematic analysis, they then dual-coded restrictions on cannabis-related content (e.g., paid advertising, unpaid promotion, sales). Descriptive analyses were conducted.ResultsTen (all except TikTok) referenced cannabis/marijuana, 7 (all except Discord, Instagram, TikTok, and YouTube) distinguished different cannabis-derived products, and 5 (Reddit, Snapchat, TikTok, Tumblr, Twitter) noted jurisdictional differences in cannabis regulations/legality. All prohibited sales, 9 (all except Snapchat and Tumblr) prohibited paid advertising, and 4 (Discord, Reddit, Snapchat, TikTok) prohibited unpaid promotion (e.g., user-generated content). All restricted underage access to cannabis-related content. However, policies varied and were ambiguous regarding how promotion was defined, whether/how jurisdictional differences in legality were addressed, how businesses may interact on social media, barriers implemented to inhibit the facilitation of sales, and enforcement protocols.ConclusionsSocial media policies regarding cannabis marketing are ambiguous and may facilitate cannabis marketing, promotion, sales, and underage exposure, thus compounding concerns regarding insufficient governmental regulations. Greater specificity in social media cannabis-related policies and enforcement is needed.</t>
  </si>
  <si>
    <t>[Berg, Carla J.; LoParco, Cassidy R.; Cui, Yuxian; Wang, Yan] George Washington Univ, Milken Inst Sch Publ Hlth, Dept Prevent &amp; Community Hlth, 800 22nd St NW,7000C, Washington, DC 20052 USA; [Berg, Carla J.; Yang, Y. Tony; Wang, Yan] George Washington Univ, George Washington Canc Ctr, 2121 1St NW, Washington, DC 20052 USA; [Pannell, Alexandria] George Washington Univ, Milken Inst Sch Publ Hlth, Dept Global Hlth, 2121 1St NW, Washington, DC 20052 USA; [Kong, Grace] Yale Sch Med, Dept Psychiat, 34 Pk St, New Haven, CT 06519 USA; [Griffith, Lynniah] Wellesley Coll, 106 Cent St, Wellesley, MA 02481 USA; [Romm, Katelyn F.] Univ Oklahoma, Coll Med, TSET Hlth Promot Res Ctr, Stephenson Canc Ctr,Hlth Sci Ctr,Dept Pediat, Oklahoma City, OK 73104 USA; [Yang, Y. Tony] George Washington Univ, Ctr Hlth Policy &amp; Media Engagement, Sch Nursing, 1919 Penn Ave NW 500, Washington, DC 20006 USA; [Cavazos-Rehg, Patricia A.] Washington Univ, Dept Psychiat, Sch Med, Box 8134,660 South Euclid Ave, St Louis, MO 63110 USA</t>
  </si>
  <si>
    <t>George Washington University; George Washington University; George Washington University; Yale University; Wellesley College; University of Oklahoma System; University of Oklahoma Health Sciences Center; George Washington University; Washington University (WUSTL)</t>
  </si>
  <si>
    <t>Berg, CJ (corresponding author), George Washington Univ, Milken Inst Sch Publ Hlth, Dept Prevent &amp; Community Hlth, 800 22nd St NW,7000C, Washington, DC 20052 USA.;Berg, CJ (corresponding author), George Washington Univ, George Washington Canc Ctr, 2121 1St NW, Washington, DC 20052 USA.</t>
  </si>
  <si>
    <t>carlaberg@gwu.edu</t>
  </si>
  <si>
    <t>Yang, Y. Tony/0000-0002-0155-8490</t>
  </si>
  <si>
    <t>1747-597X</t>
  </si>
  <si>
    <t>SUBST ABUSE TREAT PR</t>
  </si>
  <si>
    <t>Subst/ Abus. Treatment Prev. Pol.</t>
  </si>
  <si>
    <t>JUN 19</t>
  </si>
  <si>
    <t>10.1186/s13011-023-00546-x</t>
  </si>
  <si>
    <t>J3MN9</t>
  </si>
  <si>
    <t>WOS:001008686900001</t>
  </si>
  <si>
    <t>Katz, JE</t>
  </si>
  <si>
    <t>Katz, James E.</t>
  </si>
  <si>
    <t>Field challenges</t>
  </si>
  <si>
    <t>TikTok; visual communication; computer-mediated communication; theory; second online; amateur production; cell phone relevance hypothesis; phubbing</t>
  </si>
  <si>
    <t>[Katz, James E.] Boston Univ, Boston, MA 02215 USA</t>
  </si>
  <si>
    <t>Katz, JE (corresponding author), Boston Univ, Boston, MA 02215 USA.</t>
  </si>
  <si>
    <t>katz2020@bu.edu</t>
  </si>
  <si>
    <t>Katz, James/0000-0002-7441-1078</t>
  </si>
  <si>
    <t>10.1177/20501579221132211</t>
  </si>
  <si>
    <t>7M6EU</t>
  </si>
  <si>
    <t>WOS:000869930000001</t>
  </si>
  <si>
    <t>Ganos, C</t>
  </si>
  <si>
    <t>Ganos, Christos</t>
  </si>
  <si>
    <t>Tics and Tic-like Phenomena-Old Questions on a Grand New Scale Invited Editorial on TikTok and Tics</t>
  </si>
  <si>
    <t>[Ganos, Christos] Charite Univ Med Berlin, Dept Neurol, Berlin, Germany</t>
  </si>
  <si>
    <t>Berlin Institute of Health; Free University of Berlin; Humboldt University of Berlin; Charite Universitatsmedizin Berlin</t>
  </si>
  <si>
    <t>Ganos, C (corresponding author), Charite Univ Med Berlin, Movement Disorders &amp; Body Control, Movement Disorders &amp; Neuromodulat Unit, Dept Neurol, Charitepl 1, D-10117 Berlin, Germany.</t>
  </si>
  <si>
    <t>christos.ganos@charite.de</t>
  </si>
  <si>
    <t>Ganos, Christos/0000-0001-8077-8530</t>
  </si>
  <si>
    <t>10.1002/mdc3.13362</t>
  </si>
  <si>
    <t>WOS:000714090900006</t>
  </si>
  <si>
    <t>Tan, ASL; Weinreich, E</t>
  </si>
  <si>
    <t>Tan, Andy S. L.; Weinreich, Erica</t>
  </si>
  <si>
    <t>#PuffBar: how do top videos on TikTok portray Puff Bars?</t>
  </si>
  <si>
    <t>electronic nicotine delivery devices; media; advertising and promotion</t>
  </si>
  <si>
    <t>[Tan, Andy S. L.] Univ Penn, Annenberg Sch Commun, Philadelphia, PA 19104 USA; [Weinreich, Erica] Brookline High Sch, Brookline, MA USA</t>
  </si>
  <si>
    <t>Tan, ASL (corresponding author), Univ Penn, Annenberg Sch Commun, Philadelphia, PA 19104 USA.</t>
  </si>
  <si>
    <t>andy.tan@asc.upenn.edu</t>
  </si>
  <si>
    <t>Tan, Andy/O-4141-2019</t>
  </si>
  <si>
    <t>National Cancer Institute of the US National Institutes of Health (NIH); US Food and Drug Administration (FDA) [R03CA212544-01A1]; National Cancer Institute [1R01CA237670-01A1]</t>
  </si>
  <si>
    <t>National Cancer Institute of the US National Institutes of Health (NIH)(United States Department of Health &amp; Human ServicesNational Institutes of Health (NIH) - USANIH National Cancer Institute (NCI)); US Food and Drug Administration (FDA); National Cancer Institute(United States Department of Health &amp; Human ServicesNational Institutes of Health (NIH) - USANIH National Cancer Institute (NCI))</t>
  </si>
  <si>
    <t>ASLT is supported by the National Cancer Institute of the US National Institutes of Health (NIH) and the US Food and Drug Administration (FDA) under R03CA212544-01A1 and the National Cancer Institute under 1R01CA237670-01A1.</t>
  </si>
  <si>
    <t>10.1136/tobaccocontrol-2020-055970</t>
  </si>
  <si>
    <t>WM4MR</t>
  </si>
  <si>
    <t>WOS:000711061400020</t>
  </si>
  <si>
    <t>Pearson, G; Davidson, DL; Schillo, B; Kreslake, JM</t>
  </si>
  <si>
    <t>Pearson, George; Davidson, Diana Lane; Schillo, Barbara; Kreslake, Jennifer M.</t>
  </si>
  <si>
    <t>'Discreet shipping' on TikTok enables selling of e-cigarettes to youth</t>
  </si>
  <si>
    <t>Media; Tobacco industry; Surveillance and monitoring</t>
  </si>
  <si>
    <t>[Pearson, George; Davidson, Diana Lane; Schillo, Barbara; Kreslake, Jennifer M.] Truth Initiat Schroeder Inst, Washington, DC 20001 USA; [Kreslake, Jennifer M.] Johns Hopkins Univ, Bloomberg Sch Publ Hlth, Hlth Behav &amp; Soc, Baltimore, MD USA</t>
  </si>
  <si>
    <t>Pearson, G (corresponding author), Truth Initiat Schroeder Inst, Washington, DC 20001 USA.</t>
  </si>
  <si>
    <t>Kreslake, Jennifer/0000-0001-6605-1327</t>
  </si>
  <si>
    <t>2024 JAN 8</t>
  </si>
  <si>
    <t>10.1136/tc-2023-058315</t>
  </si>
  <si>
    <t>FC8N5</t>
  </si>
  <si>
    <t>WOS:001143642500001</t>
  </si>
  <si>
    <t>Dattola, A; Trovato, F; Vizzaccaro, A; Amore, E; Pellacani, G</t>
  </si>
  <si>
    <t>Dattola, Annunziata; Trovato, Federica; Vizzaccaro, Andrea; Amore, Emanuele; Pellacani, Giovanni</t>
  </si>
  <si>
    <t>TikTok in dermatology: experience on a potent social media for empowering education in dermatology in young generations</t>
  </si>
  <si>
    <t>ITALIAN JOURNAL OF DERMATOLOGY AND VENEREOLOGY</t>
  </si>
  <si>
    <t>[Dattola, Annunziata; Trovato, Federica; Vizzaccaro, Andrea; Amore, Emanuele; Pellacani, Giovanni] Sapienza Univ, Dept Internal Med &amp; Med Specialties, Unit Dermatol, Rome, Italy</t>
  </si>
  <si>
    <t>Dattola, A (corresponding author), Sapienza Univ, Dept Internal Med &amp; Med Specialties, Unit Dermatol, Rome, Italy.</t>
  </si>
  <si>
    <t>nancydattola@gmail.com</t>
  </si>
  <si>
    <t>Dattola, Annunziata/N-6399-2018</t>
  </si>
  <si>
    <t>EDIZIONI MINERVA MEDICA</t>
  </si>
  <si>
    <t>TURIN</t>
  </si>
  <si>
    <t>CORSO BRAMANTE 83-85 INT JOURNALS DEPT., 10126 TURIN, ITALY</t>
  </si>
  <si>
    <t>2784-8671</t>
  </si>
  <si>
    <t>2784-8450</t>
  </si>
  <si>
    <t>ITAL J DERMATOL VENE</t>
  </si>
  <si>
    <t>Ital. J. Dermatol. Venereol.</t>
  </si>
  <si>
    <t>10.23736/S2784-8671.24.07772-7</t>
  </si>
  <si>
    <t>ZR1H6</t>
  </si>
  <si>
    <t>WOS:001276925600015</t>
  </si>
  <si>
    <t>Primig, F; Szabó, HD; Lacasa, P</t>
  </si>
  <si>
    <t>Primig, Florian; Szabo, Hanna Dorottya; Lacasa, Pilar</t>
  </si>
  <si>
    <t>Remixing war: An analysis of the reimagination of the Russian-Ukraine war on TikTok</t>
  </si>
  <si>
    <t>FRONTIERS IN POLITICAL SCIENCE</t>
  </si>
  <si>
    <t>social media; TikTok; recontextualisation; remixing; self-representation; affordances; Russia-Ukraine War; qualitative video analysis</t>
  </si>
  <si>
    <t>SOCIAL MEDIA; CONTEXT COLLAPSE; TWITTER; AGE; JOURNALISM; DEMOCRACY; CONFLICT; MILITARY; YOUTUBE; IMAGERY</t>
  </si>
  <si>
    <t>Interpretative struggles of global crises are increasingly being reflected on social media networks. TikTok is a relatively new social media platform that has achieved substantial popularity among young people in many parts of the world and is now being used to disseminate and make sense of information about the Russian invasion of Ukraine. Through a user-centered sampling approach, we collected 62 TikTok videos and conducted an in-depth qualitative analysis of them and their uploading profiles to explore how the war was being represented on the platform. Our analysis revealed a strong prevalence of remixing practices among content creators; that is, they recontextualise images, sounds and embodied self-performance within the platform-specific affordances of trends. We found that distant suffering is mediated through the emotive online self-performance of content creators, cuing their audiences toward appropriate emotional responses. Trending sounds situate videos within a singular-motif and context-diverse environment, facilitating what we theorize as affective audio networks.</t>
  </si>
  <si>
    <t>[Primig, Florian] Free Univ Berlin, Inst Media &amp; Commun Studies, Digitalizat &amp; Participat Dept, Berlin, Germany; [Szabo, Hanna Dorottya] Free Univ Berlin, Inst Media &amp; Commun Studies, Int Commun Dept, Berlin, Germany; [Lacasa, Pilar] Univ Alcala, Dept Philol Commun &amp; Documentat, Alcala De Henares, Spain</t>
  </si>
  <si>
    <t>Free University of Berlin; Free University of Berlin; Universidad de Alcala</t>
  </si>
  <si>
    <t>Primig, F (corresponding author), Free Univ Berlin, Inst Media &amp; Commun Studies, Digitalizat &amp; Participat Dept, Berlin, Germany.</t>
  </si>
  <si>
    <t>f.primig@fu-berlin.de</t>
  </si>
  <si>
    <t>Primig, Florian/HGD-4716-2022; Lacasa, Pilar/C-2830-2013</t>
  </si>
  <si>
    <t>Primig, Florian/0000-0002-2034-4367</t>
  </si>
  <si>
    <t>2673-3145</t>
  </si>
  <si>
    <t>FRONT POLIT SCI</t>
  </si>
  <si>
    <t>Front. Polit. Sci.</t>
  </si>
  <si>
    <t>FEB 13</t>
  </si>
  <si>
    <t>10.3389/fpos.2023.1085149</t>
  </si>
  <si>
    <t>H1HJ0</t>
  </si>
  <si>
    <t>WOS:000993537100001</t>
  </si>
  <si>
    <t>Wang, XP; He, RY</t>
  </si>
  <si>
    <t>Wang, Xiaopei; He, Renyi</t>
  </si>
  <si>
    <t>Supporting Vaccination on TikTok During the COVID-19 Pandemic: Vaccine Beliefs, Emotions, and Comments</t>
  </si>
  <si>
    <t>5C model; vaccine hesitancy; COVID-19; emotion; TikTok</t>
  </si>
  <si>
    <t>HPV VACCINE; ADOLESCENT GIRLS; HEALTH BELIEFS; WEB 2.0; INFORMATION; HESITANCY; PERSPECTIVE; EXPOSURE; COVERAGE; FACEBOOK</t>
  </si>
  <si>
    <t>TikTok has been one of the most important social media platforms where pandemic-related information converged and has been disseminated. However, how vaccination-related visual content, particularly pro-vaccine videos, influences audiences remains unclear. Using Betsch et al.'s 5C model and Ekman's basic emotion model, we identified 200 trending videos under the hashtag #vaccine on TikTok, and examined the types of vaccine-related beliefs and emotions expressed in videos and the relationship between beliefs, emotions, and supportive comments. Confidence and joy were the most frequently expressed belief and emotion, respectively; confidence (B = 14.84, P &lt; 0.05), surprise (B = 11.29, P &lt; 0.05), and sadness (B = 37.49, P &lt; 0.01) predicted the number of supportive comments. This study expands the 5C framework of vaccine hesitancy into the analysis of pro-vaccine content on social media and offers detailed insights into the specific type of beliefs and emotions and their effects. Practical implications regarding how to address vaccine hesitancy are discussed.</t>
  </si>
  <si>
    <t>[Wang, Xiaopei] Beijing Jiaotong Univ, Sch Languages &amp; Commun Studies, Beijing, Peoples R China; [He, Renyi] Chinese Univ Hong Kong, Sch Journalism &amp; Commun, Shatin, Hong Kong, Peoples R China</t>
  </si>
  <si>
    <t>Beijing Jiaotong University; Chinese University of Hong Kong</t>
  </si>
  <si>
    <t>He, RY (corresponding author), Chinese Univ Hong Kong, Sch Journalism &amp; Commun, Shatin, Hong Kong, Peoples R China.</t>
  </si>
  <si>
    <t>renyihe@link.cuhk.edu.hk</t>
  </si>
  <si>
    <t>Wang, Xiaopei/0000-0002-9490-9252</t>
  </si>
  <si>
    <t>Fundamental Research Funds for the Central Universities [2021RCW107]</t>
  </si>
  <si>
    <t>Fundamental Research Funds for the Central Universities(Fundamental Research Funds for the Central Universities)</t>
  </si>
  <si>
    <t>Funding This research was supported by a grant from the Fundamental Research Funds for the Central Universities (grant no. 2021RCW107).</t>
  </si>
  <si>
    <t>JUL 7</t>
  </si>
  <si>
    <t>10.3389/fpsyg.2022.938377</t>
  </si>
  <si>
    <t>3E1FP</t>
  </si>
  <si>
    <t>WOS:000829736400001</t>
  </si>
  <si>
    <t>Vassey, J; Donaldson, SI; Dormanesh, A; Allem, JP</t>
  </si>
  <si>
    <t>Vassey, Julia; Donaldson, Scott, I; Dormanesh, Allison; Allem, Jon-Patrick</t>
  </si>
  <si>
    <t>Themes in TikTok Videos Featuring Little Cigars and Cigarillos: Content Analysis</t>
  </si>
  <si>
    <t>cigarillo; little cigar; social media; TikTok; video; cigar; cigarette; smoker; smoking; tobacco; content analysis; youth; young adult; adolescent; user generated content</t>
  </si>
  <si>
    <t>UNITED-STATES</t>
  </si>
  <si>
    <t>Background: Little cigars and cigarillos (LCCs) are popular tobacco products among youth (ie, adolescents and young adults). A variety of LCC-related promotional and user-generated content is present on social media. However, research on LCC-related posts on social media has been largely focused on platforms that are primarily text-or image-based, such as Twitter and Instagram. Objective: This study analyzed LCC-related content on TikTok, an audio and video-based platform popular among youth. Methods: Publicly available posts (N=811) that contained the LCC-related hashtags #swishersweets or #backwoods were collected on TikTok from January 2019 to May 2021. Metadata were also collected, including numbers of likes, comments, shares, and views per video. Using an inductive approach, a codebook consisting of 26 themes was developed to help summarize the underlying themes evident in the TikTok videos and corresponding captions. A pairwise co-occurrence analysis of themes was also conducted to evaluate connections among themes. Results: Among the 811 posts, the LCC presence theme (ie, a visible LCC) occurred in the most prominent number of posts (n=661, 81.5%), followed by music (n=559, 68.9%), youth (n=332, 40.9%), humor (n=263, 32.4%), LCC use (n=242, 29.8%), flavors (n=232, 28.6%), branding (n=182, 22.4%), paraphernalia (n=137, 16.9%), blunt rolling (n=94, 11.6%), and price (n=84, 10.4%). Product reviews had the highest engagement, with a median 44 (mean 2857, range 36,499) likes and median 491 (mean 15,711, range 193,590) views; followed by product comparisons, with a median 44 (mean 1920, range 36,500) likes and median 671 (mean 11,277, range 193,798) views. Promotions had the lowest engagement, with a median 4 (mean 8, range 34) likes and median 78 (mean 213, range 1131) views. The most prevalent themes co-occurring with LCC presence were (1) music (434/811, 53.5%), (2) youth (264/811, 32.6%), (3) humor (219/811, 27%), (4) flavors (214/811, 26.4%), and (5) LCC use (207/811, 25.5%). Conclusions: LCC-related marketing and user-generated content was present on TikTok, including videos showing youth discussing, displaying, or using LCCs. Such content may be in violation of TikTok's community guidelines prohibiting the display, promotion, or posting of tobacco-related content on its platform, including the display of possession or consumption of tobacco by a minor. Further improvement in the enforcement of TikTok community guidelines and additional scrutiny from public health policy makers may be necessary for protecting youth from future exposure to tobacco-related posts. Observational and experimental studies are needed to understand the impact of exposure to LCC-related videos on attitudes and behaviors related to LCC use among youth. Finally, there may be a need for engaging antitobacco videos that appeal to youth on TikTok to counter the protobacco content on this platform.</t>
  </si>
  <si>
    <t>[Vassey, Julia; Donaldson, Scott, I; Dormanesh, Allison; Allem, Jon-Patrick] Univ Southern Calif, Keck Sch Med, Dept Populat &amp; Publ Hlth Sci, 3rd Floor, SSB 312D,1845 N Soto St, Los Angeles, CA 90032 USA</t>
  </si>
  <si>
    <t>University of Southern California</t>
  </si>
  <si>
    <t>Allem, JP (corresponding author), Univ Southern Calif, Keck Sch Med, Dept Populat &amp; Publ Hlth Sci, 3rd Floor, SSB 312D,1845 N Soto St, Los Angeles, CA 90032 USA.</t>
  </si>
  <si>
    <t>Donaldson, Scott/0000-0001-8145-0860; Allem, Jon-Patrick/0000-0001-9135-8689; Dormanesh, Allison/0000-0001-9060-7356; Vassey, Julia/0000-0003-3002-2000</t>
  </si>
  <si>
    <t>The authors acknowledge the contributions of the undergraduate students Sarah Donahue, Heather Lopez, Oumayma Benyoussef, and Kyara Yapari in the Department of Population and Public Health Sciences, University of Southern California, for their assistance with coding the TikTok data used in this study. This study was funded by the California Tobacco Control Branch, Center for Healthy Communities of the California Department of Public Health (contract 21-10032) , as part of the Tobacco Industry Monitoring Evaluation project. The findings and conclusions in this article are those of the authors and do not necessarily represent the views or opinions of the California Department of Public Health or the California Health and Human Services Agency.</t>
  </si>
  <si>
    <t>NOV 16</t>
  </si>
  <si>
    <t>e42441</t>
  </si>
  <si>
    <t>10.2196/42441</t>
  </si>
  <si>
    <t>C9GQ2</t>
  </si>
  <si>
    <t>WOS:000964923000003</t>
  </si>
  <si>
    <t>Jafri, F; Ancha, N; Roy, A; Ahmad, S; Riaz, H; Hyman, C; Agrawal, D</t>
  </si>
  <si>
    <t>Jafri, Faraz; Ancha, Nirupama; Roy, Ananya; Ahmad, Sami; Riaz, Hamna; Hyman, Charles; Agrawal, Deepak</t>
  </si>
  <si>
    <t>TikTok and Irritable Bowel Syndrome (IBS): A Cross-Sectional Study of Social Media Content Quality</t>
  </si>
  <si>
    <t>[Jafri, Faraz; Roy, Ananya; Hyman, Charles; Agrawal, Deepak] Dell Med Sch, Austin, TX USA; [Ahmad, Sami; Riaz, Hamna] Univ Texas Austin, Austin, TX 78712 USA</t>
  </si>
  <si>
    <t>Agrawal, Deepak/L-6592-2019</t>
  </si>
  <si>
    <t>S574</t>
  </si>
  <si>
    <t>S406</t>
  </si>
  <si>
    <t>WOS:000897916001172</t>
  </si>
  <si>
    <t>Albertazzi, D; Bonansinga, D</t>
  </si>
  <si>
    <t>Albertazzi, Daniele; Bonansinga, Donatella</t>
  </si>
  <si>
    <t>Beyond anger: the populist radical right on TikTok</t>
  </si>
  <si>
    <t>JOURNAL OF CONTEMPORARY EUROPEAN STUDIES</t>
  </si>
  <si>
    <t>TikTok; populist radical right; strategic communication; de-demonisation</t>
  </si>
  <si>
    <t>POLITICAL COMMUNICATION</t>
  </si>
  <si>
    <t>The video streaming app TikTok is increasingly deployed by political actors to reach younger voters, and this includes populist radical right (PRR) parties. In this study, our expectation is that longstanding PRR parties will be more likely than new PRR challengers to try to de-demonise their image as they land on the platform, in order to counteract years of negative coverage. To test this argument, we use a novel theoretical framework that captures visual de-demonisation and eudaimonic appeals, applying it to the study of strategic communication on TikTok by a combination of established and novel radical right parties and leaders. Our selection includes Marine Le Pen and Matteo Salvini on the one hand, and Eric Zemmour and Vox Spain on the other. We find that - contrary to widespread assumptions linking radical communication with toxic rhetoric and the spreading of fear - positive and optimistic appeals including inspirational cues that foster hope and communicate values and virtues play a significant role in how PRR actors adjusts their communication to the needs of the medium. Moreover, long standing PRR parties are found to be less likely than new PRR challengers to focus mainly on negative content.</t>
  </si>
  <si>
    <t>[Albertazzi, Daniele] Univ Surrey, Dept Polit, Austin Pearce Bldg,Room 27AP01, Guildford GU2 7HX, Surrey, England; [Bonansinga, Donatella] Univ Birmingham, Dept Polit Sci &amp; Int Studies POLSIS, Birmingham, Warwick, England</t>
  </si>
  <si>
    <t>University of Surrey; University of Birmingham</t>
  </si>
  <si>
    <t>Albertazzi, D (corresponding author), Univ Surrey, Dept Polit, Austin Pearce Bldg,Room 27AP01, Guildford GU2 7HX, Surrey, England.</t>
  </si>
  <si>
    <t>d.albertazzi@surrey.ac.uk</t>
  </si>
  <si>
    <t>Bonansinga, Donatella/AAV-5179-2021; Albertazzi, Daniele/D-2823-2014</t>
  </si>
  <si>
    <t>Bonansinga, Donatella/0000-0003-1968-0811; Albertazzi, Daniele/0000-0002-2285-6593</t>
  </si>
  <si>
    <t>1478-2804</t>
  </si>
  <si>
    <t>1478-2790</t>
  </si>
  <si>
    <t>J CONTEMP EUR STUD</t>
  </si>
  <si>
    <t>J. Contemp. Eur. Stud.</t>
  </si>
  <si>
    <t>10.1080/14782804.2022.2163380</t>
  </si>
  <si>
    <t>A2N1J</t>
  </si>
  <si>
    <t>WOS:000921762100001</t>
  </si>
  <si>
    <t>Gallardo-Camacho, J; Rodríguez-Carmona, LM; Presol-Herrero, A</t>
  </si>
  <si>
    <t>Gallardo-Camacho, Jorge; Rodriguez-Carmona, Laura Melendo; Presol-Herrero, Africa</t>
  </si>
  <si>
    <t>Dissemination and Representation of Scientific Audiovisual Content on TikTok Social Network</t>
  </si>
  <si>
    <t>FOTOCINEMA-REVISTA CIENTIFICA DE CINE Y FOTOGRAFIA</t>
  </si>
  <si>
    <t>Social Networks; TikTok; Scientific Contents; Video; Experiments; Youths</t>
  </si>
  <si>
    <t>YOUTUBE; ENGAGEMENT; MEDIA</t>
  </si>
  <si>
    <t>This article proposes an analysis of the videos with scientific content that are disseminated on the TikTok social network. The research has as its general objective to carry out one of the first outlooks of the dissemination and representation of scientific content in a social network whose audience is mostly young. For this, it is proposed an analysis of the origin of the images, the theme and duration of these videos, the level of interaction, and the type of users who disseminate these contents. The research compiles a sample of the 300 most popular scientific-themed videos. The sample videos accumulated 936 million views and were uploaded by a total of 182 creators. In the research, we detected that the prototypical scientific video on TikTok mostly uses images recorded by the creators, with an average duration of 1 minute and 54 seconds, with a theme based on scientific experiments, and with a low interaction rate (although it is more remarkable in likes versus comments). In addition, it is detected that there is no concentration on the part of the creators when the application rewards the content against its origin.</t>
  </si>
  <si>
    <t>[Gallardo-Camacho, Jorge; Rodriguez-Carmona, Laura Melendo; Presol-Herrero, Africa] Univ Camilo Jose Cela, Madrid, Spain</t>
  </si>
  <si>
    <t>jgallardo@ucjc.edu; lmelendo@ucjc.edu; apresol@ucjc.edu</t>
  </si>
  <si>
    <t>Melendo Rodriguez-Carmona, Laura/HPF-8504-2023</t>
  </si>
  <si>
    <t>Melendo Rodriguez-Carmona, Laura/0000-0003-1111-1905</t>
  </si>
  <si>
    <t>FOTOCINEMA</t>
  </si>
  <si>
    <t>MALAGA</t>
  </si>
  <si>
    <t>FOTOCINEMA, MALAGA, 00000, SPAIN</t>
  </si>
  <si>
    <t>2172-0150</t>
  </si>
  <si>
    <t>Fotocinema</t>
  </si>
  <si>
    <t>Art; Film, Radio, Television</t>
  </si>
  <si>
    <t>Art; Film, Radio &amp; Television</t>
  </si>
  <si>
    <t>O1ZA6</t>
  </si>
  <si>
    <t>WOS:001041859700002</t>
  </si>
  <si>
    <t>Nieto-Sandoval, AG; Ferré-Pavia, C</t>
  </si>
  <si>
    <t>Nieto-Sandoval, A. G.; Ferre-Pavia, C.</t>
  </si>
  <si>
    <t>TikTok and climate change: communicate without sources or solutions</t>
  </si>
  <si>
    <t>REVISTA DE COMUNICACION-PERU</t>
  </si>
  <si>
    <t>climate change; Climate Summit; influencers; information sources; social networks; TikTok</t>
  </si>
  <si>
    <t>SOCIAL MEDIA; DISCUSSIONS; STRATEGIES; NEWS</t>
  </si>
  <si>
    <t>This article reports an exploratory study of climate change (CC) communication on the social network TikTok during the 2021Climate Summit (Glasgow, 1-12 November 2021), considered to be the last chance to halt the advance of CC. For this purpose, the 100 videos with the highest num-ber of views during this event were examined by means of content analysis. The results have shown a new communication scenario in which influencers are the actors with the highest number of videos published in relation to CC. The media continue to be a fundamental actor in the communication of the CC and give continuity and relevance to the issue. Another remarkable result is an alarming situation: most of the videos do not cite any kind of source of information. The cases in which sources are men-tioned are mainly media outlets which, in turn, do not report the origin of the data transmitted. It can be concluded that the majority of TikTok users in the sample analyzed accept CC as a fact, however, they do not raise situations of change, being mere passive subjects.</t>
  </si>
  <si>
    <t>[Nieto-Sandoval, A. G.] Univ Autonoma Barcelona, Barcelona, Spain; [Nieto-Sandoval, A. G.] UAB, Grp Comress Incom, Comunicac &amp; Responsabilidad, Barcelona, Spain; [Ferre-Pavia, C.] Univ Autonoma Barcelona, Dept Medios Comunicac &amp; Cultura, Barcelona, Spain; [Ferre-Pavia, C.] UAB, Grp Invest Comress Incom, Barcelona, Spain</t>
  </si>
  <si>
    <t>Autonomous University of Barcelona; Autonomous University of Barcelona; Autonomous University of Barcelona; Autonomous University of Barcelona</t>
  </si>
  <si>
    <t>Nieto-Sandoval, AG (corresponding author), Univ Autonoma Barcelona, Barcelona, Spain.;Nieto-Sandoval, AG (corresponding author), UAB, Grp Comress Incom, Comunicac &amp; Responsabilidad, Barcelona, Spain.</t>
  </si>
  <si>
    <t>alexnietosandoval@gmail.com; Carme.Ferre@uab.cat</t>
  </si>
  <si>
    <t>DFG (DFG, GermanResearch Foundation) [465409392]</t>
  </si>
  <si>
    <t>DFG (DFG, GermanResearch Foundation)(German Research Foundation (DFG))</t>
  </si>
  <si>
    <t>This work was conducted in the framework of the NTFconsortium FOR5417/1 funded by the DFG (DFG, GermanResearch Foundation) project number 465409392 (Establishmentof a nationwide NTF-EV-Biobank from polytraumatized patients)</t>
  </si>
  <si>
    <t>UNIV PIURA</t>
  </si>
  <si>
    <t>PIURA</t>
  </si>
  <si>
    <t>FAC COMUNICACION, AV RAMON MUGICA 131 URB SAN EDUARDO APARTADO POSTAL 353, PIURA, 00000, PERU</t>
  </si>
  <si>
    <t>1684-0933</t>
  </si>
  <si>
    <t>2227-1465</t>
  </si>
  <si>
    <t>REV COMUN-PERU</t>
  </si>
  <si>
    <t>Rev. Comun.-Peru</t>
  </si>
  <si>
    <t>10.26441/RC22.1-2023-2994</t>
  </si>
  <si>
    <t>C3YB5</t>
  </si>
  <si>
    <t>WOS:000961298700016</t>
  </si>
  <si>
    <t>Moayer, R; Ziltzer, RS</t>
  </si>
  <si>
    <t>Moayer, Roxana; Ziltzer, Ryan S.</t>
  </si>
  <si>
    <t>Response to Salehi et al. re: ''Analysis of Online Videos on Facial Feminization Surgery: What Are Patients Watching on TikTok and YouTube?''</t>
  </si>
  <si>
    <t>[Moayer, Roxana] Univ Southern Calif, Dept Otolaryngol Head &amp; Neck Surg, Los Angeles, CA USA; [Ziltzer, Ryan S.] Univ Southern Calif, Keck Sch Med, Los Angeles, CA USA</t>
  </si>
  <si>
    <t>Moayer, R (corresponding author), Univ Southern Calif, Dept Otolaryngol Head &amp; Neck Surg, 1537 Norfolk St,Suite 5800, Los Angeles, CA 90007 USA.</t>
  </si>
  <si>
    <t>Ziltzer, Ryan/0000-0002-1952-0626; , Roxana/0009-0001-8013-2403</t>
  </si>
  <si>
    <t>10.1089/fpsam.2023.0130</t>
  </si>
  <si>
    <t>WOS:001023674800001</t>
  </si>
  <si>
    <t>Ziltzer, RS; Mora, RM; Mehta, P; Moayer, R</t>
  </si>
  <si>
    <t>Ziltzer, Ryan S.; Mora, Richard Mateo; Mehta, Preeya; Moayer, Roxana</t>
  </si>
  <si>
    <t>Analysis of Online Videos on Facial Feminization Surgery: What Are Patients Watching on TikTok and YouTube?</t>
  </si>
  <si>
    <t>[Ziltzer, Ryan S.; Mora, Richard Mateo; Mehta, Preeya] Univ Southern Calif, Keck Sch Med, Los Angeles, CA USA; [Moayer, Roxana] Univ Southern Calif, Keck Sch Med, Dept Otolaryngol Head &amp; Neck Surg, Los Angeles, CA USA</t>
  </si>
  <si>
    <t>Ziltzer, RS (corresponding author), Univ Southern Calif, Keck Sch Med, 1975 Zonal Ave, Los Angeles, CA 90033 USA.</t>
  </si>
  <si>
    <t>ziltzer@gmail.com</t>
  </si>
  <si>
    <t>Ziltzer, Ryan/0000-0002-1952-0626</t>
  </si>
  <si>
    <t>10.1089/fpsam.2022.0329</t>
  </si>
  <si>
    <t>WOS:000932150400001</t>
  </si>
  <si>
    <t>D'Ambrosi, R; Bellato, E; Bullitta, G; Cecere, AB; Corona, K; De Crescenzo, A; Fogliata, V; Micheloni, GM; Saccomanno, MF; Vitullo, F; Celli, A</t>
  </si>
  <si>
    <t>D'Ambrosi, Riccardo; Bellato, Enrico; Bullitta, Gianluca; Cecere, Antonio Benedetto; Corona, Katia; De Crescenzo, Angelo; Fogliata, Valentina; Micheloni, Gian Mario; Saccomanno, Maristella Francesca; Vitullo, Fabrizio; Celli, Andrea</t>
  </si>
  <si>
    <t>SICSeG Italian Soc Shoulder</t>
  </si>
  <si>
    <t>TikTok content as a source of health education regarding epicondylitis: a content analysis</t>
  </si>
  <si>
    <t>JOURNAL OF ORTHOPAEDICS AND TRAUMATOLOGY</t>
  </si>
  <si>
    <t>TikTok; Social media; Reels; Epicondylitis; Elbow; Sports medicine; Rehabilitation</t>
  </si>
  <si>
    <t>LATERAL EPICONDYLITIS; QUALITY; INFORMATION; DISCERN; VIDEOS</t>
  </si>
  <si>
    <t>Purpose This study aimed to assess the validity and informational value of TikTok content about epicondylitis. The hypothesis tested herein was that TikTok video content would not provide adequate and valid information. Methods The term epicondylitis was used as a keyword to comprehensively search for TikTok videos, and the first 100 videos that were retrieved were subsequently included for analysis. The duration, number of likes, number of shares and number of views were recorded for each video. Furthermore, the videos were categorized on the basis of their source (medical doctor, physiotherapist, or private user), type of information (physical therapy, anatomy, clinical examination, etiopathogenesis, patient experience, treatment, or other), video content (rehabilitation, education, or patient experience/testimony), and the presence of music or voice. Assessments of video content quality and reliability were conducted using the DISCERN tool, the Journal of the American Medical Association (JAMA) benchmark criteria, and the Global Quality Score (GQS). Results A total of 100 videos were included in the analysis: 78 (78.0%) were published by physiotherapists, 18 were published by medical doctors (18.0%), and 4 were published by private users (4.0%). Most of the information pertained to physical therapy (75; 75.0%) and most of the content was about rehabilitation (75; 75.0%). The mean length of the videos was 42.51 +/- 24.75 seconds; the mean number of views was 193,207.78 +/- 1,300,853.86; and the mean number of comments, likes, and shares were 22.43 +/- 62.54, 1578.52 +/- 8333.11, and 149.87 +/- 577.73, respectively. The mean DISCERN score, JAMA score, and GQS were 18.12 +/- 5.73, 0.80 +/- 0.53, and 1.30 +/- 0.52, respectively. Videos posted by medical doctors/private users had higher scores (p &lt; 0.05) than videos posted by physiotherapists. Videos that focused on education or patient experience had higher scores (p &lt; 0.05) than videos based on rehabilitation. Conclusions TikTok can be an unreliable source of information regarding epicondylitis treatment. It is common to find nonphysicians who share medical advice on the platform, with medical treatments demonstrating the weakest level of supporting evidence. Elbow surgeons should advise their patients that treatment recommendations from TikTok may not align with established guidelines.Level of Evidence: Level IV-Cross-sectional study.</t>
  </si>
  <si>
    <t>[D'Ambrosi, Riccardo] IRCCS Osped Galeazzi Sant Ambrogio, Milan, Italy; [D'Ambrosi, Riccardo] Univ Milan, Dept Biomed Sci Hlth, Milan, Italy; [Bellato, Enrico] Univ Turin, Dept Surg Sci, Turin, Italy; [Bellato, Enrico] San Luigi Gonzaga Hosp, Turin, Italy; [Bullitta, Gianluca] CTO Andrea Alesini, Rome, Italy; [Cecere, Antonio Benedetto] Osped San Giuliano, Giugliano, Naples, Italy; [Corona, Katia] Univ Molise, Dept Med &amp; Hlth Sci Vincenzo Tiberio, Campobasso, Italy; [De Crescenzo, Angelo] Ente Ecclesiast Osped Gen F Miulli, Bari, Italy; [Fogliata, Valentina] Clin Human Gavazzeni &amp; Castelli, UO Chirurg Spalla, Bergamo, Italy; [Micheloni, Gian Mario] Univ Modena &amp; Reggio Emilia, Modena, Italy; [Saccomanno, Maristella Francesca] Univ Brescia, Dept Med &amp; Surg Specialties, Radiol Sci &amp; Publ Hlt, Brescia, Italy; [Saccomanno, Maristella Francesca] Spedali Civil Brescia, Dept Bone &amp; Joint Surg, Brescia, Italy; [Vitullo, Fabrizio] Univ Roma La Sapienza, Rome, Italy; [Celli, Andrea] Hesperia Hosp Modena, Dept Orthopaed &amp; Traumatol Surg, Shoulder &amp; Elbow Unit, Modena, Italy</t>
  </si>
  <si>
    <t>University of Milan; University of Turin; Azienda Ospedaliero-Universitaria San Luigi Gonzaga; University of Molise; Universita di Modena e Reggio Emilia; University of Brescia; Hospital Spedali Civili Brescia; Sapienza University Rome</t>
  </si>
  <si>
    <t>D'Ambrosi, R (corresponding author), IRCCS Osped Galeazzi Sant Ambrogio, Milan, Italy.;D'Ambrosi, R (corresponding author), Univ Milan, Dept Biomed Sci Hlth, Milan, Italy.</t>
  </si>
  <si>
    <t>riccardo.dambrosi@hotmail.it</t>
  </si>
  <si>
    <t>Bellato, Enrico/KCL-4677-2024; Micheloni, Gian Mario/LNQ-2229-2024; D'Ambrosi, Riccardo/B-4324-2017</t>
  </si>
  <si>
    <t>D'Ambrosi, Riccardo/0000-0002-1216-792X</t>
  </si>
  <si>
    <t>Italian Ministry of Health</t>
  </si>
  <si>
    <t>Italian Ministry of Health(Ministry of Health, Italy)</t>
  </si>
  <si>
    <t>This study was supported by the Italian Ministry of Health-Ricerca Corrente</t>
  </si>
  <si>
    <t>1590-9921</t>
  </si>
  <si>
    <t>1590-9999</t>
  </si>
  <si>
    <t>J ORTHOP TRAUMATOL</t>
  </si>
  <si>
    <t>J. Orthop. Traumatol.</t>
  </si>
  <si>
    <t>10.1186/s10195-024-00757-3</t>
  </si>
  <si>
    <t>LV5S9</t>
  </si>
  <si>
    <t>WOS:001189594800001</t>
  </si>
  <si>
    <t>Sangiuolo, K; Dubrosa, F; Cheng, E; Terala, A; Wang, XH; O'Connor, M; Bakhtiani, P</t>
  </si>
  <si>
    <t>Sangiuolo, Kara; Dubrosa, Fiona; Cheng, Elaine; Terala, Ananya; Wang, Xihang; O'Connor, Mary; Bakhtiani, Priyanka</t>
  </si>
  <si>
    <t>The new doc on the block: A Characterization of Hashimoto's Disease-Related Content on TikTok</t>
  </si>
  <si>
    <t>[Sangiuolo, Kara; Dubrosa, Fiona; Cheng, Elaine; Terala, Ananya; Wang, Xihang] Steven &amp; Alexandra Cohen Childrens Med Ctr New Yo, Lake Success, NY USA; [Bakhtiani, Priyanka] USC, Pediat Endocrinol, Childrens Hosp Los Angeles, Keck Sch Med, Los Angeles, CA USA</t>
  </si>
  <si>
    <t>Northwell Health; North Shore University Hospital; Steven &amp; Alexandra Cohen Children's Medical Center of New York; Children's Hospital Los Angeles; University of Southern California; University of Southern California Keck Hospital</t>
  </si>
  <si>
    <t>WOS:001050468900185</t>
  </si>
  <si>
    <t>Mao, TY; Zhao, X; Jiang, KY; Yang, J; Xie, QY; Fu, JQ; Du, B; Lei, ZH; Gao, FW</t>
  </si>
  <si>
    <t>Mao, Tianyang; Zhao, Xin; Jiang, Kangyi; Yang, Jie; Xie, Qingyun; Fu, Jinqiang; Du, Bo; Lei, Zehua; Gao, Fengwei</t>
  </si>
  <si>
    <t>Evaluation of TikTok videos on acute pancreatitis: content quality and reliability analysis</t>
  </si>
  <si>
    <t>TikTok; Acute pancreatitis; Social media; Video platform; Public safety; DISCERN; Online health information; HONcode</t>
  </si>
  <si>
    <t>HEALTH</t>
  </si>
  <si>
    <t>Background Acute pancreatitis (AP) is a common acute digestive system disorder, with patients often turning to TikTok for AP-related information. However, the platform's video quality on AP has not been thoroughly investigated. Objective The main purpose of this study is to evaluate the quality of videos about AP on TikTok, and the secondary purpose is to study the related factors of video quality. Methods This study involved retrieving AP-related videos from TikTok, determining, and analyzing them based on predefined inclusion and exclusion criteria. Relevant data were extracted and compiled for evaluation. Video quality was scored using the DISCERN instrument and the Health on the Net (HONcode) score, complemented by introducing the Acute Pancreatitis Content Score (APCS). Pearson correlation analysis was used to assess the correlation between video quality scores and user engagement metrics such as likes, comments, favorites, retweets, and video duration. Results A total of 111 TikTok videos were included for analysis, and video publishers were composed of physicians (89.18%), news media organizations (13.51%), individual users (5.41%), and medical institutions (0.9%). The majority of videos focused on AP-related educational content (64.87%), followed by physicians' diagnostic and treatment records (15.32%), and personal experiences (19.81%). The mean scores for DISCERN, HONcode, and APCS were 33.05 +/- 7.87, 3.09 +/- 0.93, and 1.86 +/- 1.30, respectively. The highest video scores were those posted by physicians (35.17 +/- 7.02 for DISCERN, 3.31 +/- 0.56 for HONcode, and 1.94 +/- 1.34 for APCS, respectively). According to the APCS, the main contents focused on etiology (n=55, 49.5%) and clinical presentations (n=36, 32.4%), followed by treatment (n=24, 21.6%), severity (n=20, 18.0%), prevention (n=19, 17.1%), pathophysiology (n=17, 15.3%), definitions (n=13, 11.7%), examinations (n=10, 9%), and other related content. There was no correlation between the scores of the three evaluation tools and the number of followers, likes, comments, favorites, and retweets of the video. However, DISCERN (r=0.309) and APCS (r=0.407) showed a significant positive correlation with video duration, while HONcode showed no correlation with the duration of the video. Conclusions The general quality of TikTok videos related to AP is poor; however, the content posted by medical professionals shows relatively higher quality, predominantly focusing on clinical presentations and etiologies. There is a discernible correlation between video duration and quality ratings, indicating that a combined approach incorporating the guideline can comprehensively evaluate AP-related content on TikTok.</t>
  </si>
  <si>
    <t>[Mao, Tianyang; Zhao, Xin; Jiang, Kangyi; Yang, Jie; Xie, Qingyun; Fu, Jinqiang; Du, Bo; Lei, Zehua; Gao, Fengwei] Peoples Hosp Leshan, Dept Hepatopancreatobiliary Surg, 238 Baita St, Leshan 614000, Peoples R China; [Mao, Tianyang; Zhao, Xin; Jiang, Kangyi; Yang, Jie; Xie, Qingyun; Fu, Jinqiang; Du, Bo; Lei, Zehua; Gao, Fengwei] Diag &amp; Treatment Ctr Liver Gallbladder Pancreas &amp;, Leshan, Peoples R China; [Gao, Fengwei] Sichuan Univ, West China Hosp, Liver Transplantat Ctr, State Key Lab Biotherapy &amp; Canc Ctr, Chengdu, Peoples R China; [Gao, Fengwei] Collaborat Innovat Ctr Biotherapy, Chengdu, Peoples R China; [Mao, Tianyang] North Sichuan Med Coll, Nanchong, Peoples R China</t>
  </si>
  <si>
    <t>Sichuan University; North Sichuan Medical University</t>
  </si>
  <si>
    <t>Lei, ZH; Gao, FW (corresponding author), Peoples Hosp Leshan, Dept Hepatopancreatobiliary Surg, 238 Baita St, Leshan 614000, Peoples R China.;Lei, ZH; Gao, FW (corresponding author), Diag &amp; Treatment Ctr Liver Gallbladder Pancreas &amp;, Leshan, Peoples R China.;Gao, FW (corresponding author), Sichuan Univ, West China Hosp, Liver Transplantat Ctr, State Key Lab Biotherapy &amp; Canc Ctr, Chengdu, Peoples R China.;Gao, FW (corresponding author), Collaborat Innovat Ctr Biotherapy, Chengdu, Peoples R China.</t>
  </si>
  <si>
    <t>leitsehua@126.com; Gaofengweigfw8@126.com</t>
  </si>
  <si>
    <t>MAY 2</t>
  </si>
  <si>
    <t>10.1186/s12889-024-18708-2</t>
  </si>
  <si>
    <t>I1I8X</t>
  </si>
  <si>
    <t>WOS:001327873200001</t>
  </si>
  <si>
    <t>Fenton, A; Ahmed, W; Hardey, M; Boardman, R; Kavanagh, E</t>
  </si>
  <si>
    <t>Fenton, Alex; Ahmed, Wasim; Hardey, Mariann (Maz); Boardman, Rosy; Kavanagh, Emma</t>
  </si>
  <si>
    <t>Women's football subculture of misogyny: the escalation to online gender-based violence</t>
  </si>
  <si>
    <t>EUROPEAN SPORT MANAGEMENT QUARTERLY</t>
  </si>
  <si>
    <t>Netnography; gender-based violence; TikTok; women's football; social media</t>
  </si>
  <si>
    <t>SOCIAL MEDIA; PROFESSIONAL FOOTBALL; SEXUAL-HARASSMENT; FAN ENGAGEMENT; EXPERIENCES; MOTIVATION; IDENTITY; SEXISM; RACIST; SPORT</t>
  </si>
  <si>
    <t>Research questionGiven the worldwide growth of women's football and its presence on social media, it is essential to explore and understand fan attitudes and culture.Research methodsThis article provides the first empirical social media netnography focusing on English women's football teams (Manchester United and Burnley) and international fan views towards women professional players on TikTok. We extend this discussion by utilising a netnography in which researchers immersed themselves for seven months in women's football groups on TikTok to gather and analyse new qualitative data in this context.Results and FindingsWe identify the escalation of gender-based violence on social media against women players. Four key themes emerged from the netnography: 1. Sexism: the place of women in football; 2. Misogyny and hatred of women; 3. Sexualisation of women; 4. Demand for a male-only space. Sexist comments were apparent in all of the TikTok posts containing female football players, with some also containing more aggressive misogynistic comments. Other dominant comments sought to reduce women to objects of sexual desire and belittle their professional skills, whereas others were appalled at the presence of female players on the clubs' official accounts, demanding them to be a male-only space.ImplicationsThe study contributes to the understanding of online fan cultures on complex, video-based platforms such as TikTok. Through literature review and netnography, we identified a problem for football clubs on social media of longstanding, problematic issues of toxic fan comments.</t>
  </si>
  <si>
    <t>[Fenton, Alex] Univ Chester, Chester Business Sch, Chester, England; [Ahmed, Wasim] Univ Stirling, Stirling Management Sch, Stirling, Scotland; [Hardey, Mariann (Maz)] Univ Durham, Durham Business Sch, Durham, England; [Boardman, Rosy] Univ Manchester, Dept Mat, Manchester, England; [Kavanagh, Emma] Bournemouth Univ, Dept Sport &amp; Phys Act, Bournemouth, England</t>
  </si>
  <si>
    <t>University of Chester; University of Stirling; Durham University; University of Manchester; Bournemouth University</t>
  </si>
  <si>
    <t>Ahmed, W (corresponding author), Univ Stirling, Stirling Management Sch, Stirling, Scotland.</t>
  </si>
  <si>
    <t>Wasim.Ahmed@stir.ac.uk</t>
  </si>
  <si>
    <t>Fenton, Alex/AAI-5424-2020; Boardman, Rosy/AAL-1666-2021; Hardey, Mariann (Maz)/L-6071-2017</t>
  </si>
  <si>
    <t>Fenton, Alex/0000-0001-6102-6288; Boardman, Rosy/0000-0002-8340-5438; Hardey, Mariann (Maz)/0000-0002-1027-0165; Kavanagh, Emma/0000-0001-9984-1501; Ahmed, Wasim/0000-0001-8923-1865</t>
  </si>
  <si>
    <t>1618-4742</t>
  </si>
  <si>
    <t>1746-031X</t>
  </si>
  <si>
    <t>EUR SPORT MANAG Q</t>
  </si>
  <si>
    <t>Eur. Sport Manag. Q.</t>
  </si>
  <si>
    <t>10.1080/16184742.2023.2270566</t>
  </si>
  <si>
    <t>M5E8O</t>
  </si>
  <si>
    <t>Green Published, Green Accepted, hybrid</t>
  </si>
  <si>
    <t>WOS:001098790400001</t>
  </si>
  <si>
    <t>Bs, CLP; Pulsipher, KJ; Rietcheck, HR; Szeto, MD; Laughter, MR; Dellavalle, RP</t>
  </si>
  <si>
    <t>Bs, Colby L. Presley; Pulsipher, Kayd J.; Rietcheck, Hope R.; Szeto, Mindy D.; Laughter, Melissa R.; Dellavalle, Robert P.</t>
  </si>
  <si>
    <t>Reply to Dermatologists in social media: A study on top influencers, posts, and user engagement: Dermatologist influencers on TikTok</t>
  </si>
  <si>
    <t>[Bs, Colby L. Presley; Pulsipher, Kayd J.] Rocky Vista Univ, Coll Osteopath Med, Parker, CO USA; [Rietcheck, Hope R.; Szeto, Mindy D.; Laughter, Melissa R.; Dellavalle, Robert P.] Univ Colorado, Anschutz Med Campus, Aurora, CO USA; [Dellavalle, Robert P.] Univ Colorado, Colorado Sch Publ Hlth, Dept Epidemiol, Anschutz Med Campus, Aurora, CO USA; [Dellavalle, Robert P.] Univ Colorado, Dermatol Serv, Anschutz Med Campus, Aurora, CO USA; [Dellavalle, Robert P.] US Dept Vet Affairs, Rocky Mt Reg Med Ctr, Aurora, CO USA</t>
  </si>
  <si>
    <t>University of Colorado System; University of Colorado Anschutz Medical Campus; Colorado School of Public Health; University of Colorado System; University of Colorado Anschutz Medical Campus; University of Colorado System; University of Colorado Anschutz Medical Campus; US Department of Veterans Affairs</t>
  </si>
  <si>
    <t>Dellavalle, RP (corresponding author), Rocky Mt Reg VA Med Ctr, Dermatol Serv, 1700 N Wheeling St,Rm E1-342, Aurora, CO 80045 USA.</t>
  </si>
  <si>
    <t>robert.dellavalle@ucdenver.edu</t>
  </si>
  <si>
    <t>E71</t>
  </si>
  <si>
    <t>E73</t>
  </si>
  <si>
    <t>10.1016/j.jaad.2021.01.090</t>
  </si>
  <si>
    <t>YQ0GH</t>
  </si>
  <si>
    <t>WOS:000748997000018</t>
  </si>
  <si>
    <t>Kumar, A; Thussu, D</t>
  </si>
  <si>
    <t>Kumar, Anilesh; Thussu, Daya</t>
  </si>
  <si>
    <t>Media, digital sovereignty and geopolitics: the case of the TikTok ban in India</t>
  </si>
  <si>
    <t>data localisation; digital sovereignty; geopolitics; India; Sino-Indian relations; TikTok</t>
  </si>
  <si>
    <t>TikTok, one of the most downloaded apps in the world, has been banned in India since June 2020, following military clashes on the India-China border. This article focuses on government narratives of the TikTok ban in the Indian media and situates the issue within the broader geopolitical framework of deteriorating Sino-Indian relations and attempts for digital sovereignty. At a time of strong nationalist discourses dominating the political and social communication in India, it is perhaps unsurprising that the narratives have been seen outside India as protectionism. However, this paper argues that the digital sovereignty in the Indian context is not exclusionary but aims to create a robust digital infrastructure that is critical for economic development and self-reliance. Highlighting the lessons from India, this paper concludes the following: (i) digital sovereignty is a form of discourse which does not imply any specific policy, (ii) digital sovereignty relates to user control over their data, however, the role and limits of the State is not clearly defined and (iii) digital platforms are highly vulnerable to changing geopolitics in which their existence is not determined by user-platform interactions but by international relations.</t>
  </si>
  <si>
    <t>[Kumar, Anilesh; Thussu, Daya] Hong Kong Baptist Univ, Hong Kong, Peoples R China; [Kumar, Anilesh] Hong Kong Baptist Univ, 5,Hereford Rd, Hong Kong, Peoples R China</t>
  </si>
  <si>
    <t>Hong Kong Baptist University; Hong Kong Baptist University</t>
  </si>
  <si>
    <t>Kumar, A (corresponding author), Hong Kong Baptist Univ, 5,Hereford Rd, Hong Kong, Peoples R China.</t>
  </si>
  <si>
    <t>20481721@life.hkbu.edu.hk</t>
  </si>
  <si>
    <t>Kumar, Anilesh/KIH-6718-2024</t>
  </si>
  <si>
    <t>Thussu, Daya/0000-0002-7015-8511; Kumar, Anilesh/0000-0002-5253-5010</t>
  </si>
  <si>
    <t>10.1177/01634437231174351</t>
  </si>
  <si>
    <t>WOS:001001270000001</t>
  </si>
  <si>
    <t>Guiñez-Cabrera, N; Mansilla-Obando, K</t>
  </si>
  <si>
    <t>Guinez-Cabrera, Nataly; Mansilla-Obando, Katherine</t>
  </si>
  <si>
    <t>Booktokers: Generating and sharing book content on TikTok</t>
  </si>
  <si>
    <t>COMUNICAR</t>
  </si>
  <si>
    <t>Virtual communities; education; influencer; reading; books; social media</t>
  </si>
  <si>
    <t>INFORMATION-TECHNOLOGY; SOCIAL MEDIA; ACCEPTANCE</t>
  </si>
  <si>
    <t>Reading is essential for learning in education. However, the digital revolution has transformed the ways to encourage reading and learning about books. People who generate and share content about books on social networks are the so-called booktokers, influencers on TikTok who have become an emerging phenomenon in this connected society. However, there is scarce research that studies them in depth. Therefore, it is crucial to explore booktokers to understand them better and to assess why they accept and use technologies to generate and share content about books on TikTok. This paper intends to explore the acceptance and use of TikTok to generate and share content about books on this social network as a booktoker. For this, a qualitative methodology of semi-structured interviews with thirteen Latin American booktokers was used. The analysis was developed through a thematic analysis based on the UTAUT2 theory to explain the findings. The results indicated the categories: performance expectancy, effort expectancy, social influence, facilitating conditions, hedonic motivation, habit, price value, and a new identified category related to the generation of community and networks. This study constitutes one of the pioneering works in the exploration of the booktoker phenomenon.</t>
  </si>
  <si>
    <t>[Guinez-Cabrera, Nataly; Mansilla-Obando, Katherine] Univ Finis Terrae, Fac Econ &amp; Negocios, Santiago, Chile</t>
  </si>
  <si>
    <t>Universidad Finis Terrae</t>
  </si>
  <si>
    <t>Guiñez-Cabrera, N (corresponding author), Univ Finis Terrae, Fac Econ &amp; Negocios, Santiago, Chile.</t>
  </si>
  <si>
    <t>Mansilla Obando, Katherine/JDN-2016-2023</t>
  </si>
  <si>
    <t>Mansilla Obando, Katherine/0000-0003-4273-4259</t>
  </si>
  <si>
    <t>GRUPO COMUNICAR</t>
  </si>
  <si>
    <t>HUELVA</t>
  </si>
  <si>
    <t>APDO CORREOS 527, HUELVA, 21080, SPAIN</t>
  </si>
  <si>
    <t>1134-3478</t>
  </si>
  <si>
    <t>1988-3293</t>
  </si>
  <si>
    <t>Comunicar</t>
  </si>
  <si>
    <t>10.3916/C71-2022-09</t>
  </si>
  <si>
    <t>Communication; Education &amp; Educational Research</t>
  </si>
  <si>
    <t>YO1WE</t>
  </si>
  <si>
    <t>Green Submitted, Green Accepted, gold</t>
  </si>
  <si>
    <t>WOS:000747736200009</t>
  </si>
  <si>
    <t>Stahl, CC; Literat, I</t>
  </si>
  <si>
    <t>Stahl, Catherine Cheng; Literat, Ioana</t>
  </si>
  <si>
    <t>#GenZ on TikTok: the collective online self-Portrait of the social media generation</t>
  </si>
  <si>
    <t>Social media; TikTok; Gen Z; collective identity; generations</t>
  </si>
  <si>
    <t>POLITICAL EXPRESSION; PERSPECTIVES</t>
  </si>
  <si>
    <t>In contrast to academic and popular accounts that present generational characteristics from the outside, in a top-down manner, we explore how Gen Z constructs, narrates, and projects itself in real-time on TikTok-a prominent social media platform, dominated by Gen Z, that provides a valuable window into youth experience and cultural production. Based on a thematic analysis of 1918 public videos tagged #GenZ, as well as salient comments posted on these videos, we aim to explore inductively how Gen Z collectively portrays itself on TikTok. Our findings illustrate how, via creative processes of both internal and external self-definition, Gen Z portrays itself as a generation of contrasts: powerful and self-assured, yet vulnerable and damaged. Videos embrace a playful self-reflexivity about time that embodies Gen Z's self-awareness, sense of unity, and collective spirit. This research contributes to our understanding of both generational identity and youth social media participation; sitting at the intersection of these two bodies of knowledge, it facilitates a nuanced understanding of youth self-representation, online collective expression, and multimodal communication practices on a critically understudied social media platform.</t>
  </si>
  <si>
    <t>[Stahl, Catherine Cheng] Columbia Univ, Teachers Coll, Dept Curriculum &amp; Teaching, New York, NY 10027 USA; [Literat, Ioana] Columbia Univ, Teachers Coll, Dept Math Sci &amp; Technol, New York, NY 10027 USA</t>
  </si>
  <si>
    <t>Columbia University; Columbia University Teachers College; Columbia University Teachers College; Columbia University</t>
  </si>
  <si>
    <t>Stahl, CC (corresponding author), Columbia Univ, Teachers Coll, 525 West 120th St,306 Zankel Hall, New York, NY 10027 USA.</t>
  </si>
  <si>
    <t>cyc2151@tc.columbia.edu</t>
  </si>
  <si>
    <t>Literat, Ioana/0000-0001-8192-769X; Cheng Stahl, Catherine/0000-0002-3752-7012</t>
  </si>
  <si>
    <t>AUG 9</t>
  </si>
  <si>
    <t>10.1080/13676261.2022.2053671</t>
  </si>
  <si>
    <t>N7WF0</t>
  </si>
  <si>
    <t>WOS:000777090300001</t>
  </si>
  <si>
    <t>Adepoju, J; Toms, JA; Webb, YCG; Jones, K; Hercule, WS; Jeffreys, KE; Raj, M</t>
  </si>
  <si>
    <t>Adepoju, Jubril; Toms, John A.; Webb, Yvonne Clifvonne G.; Jones, Kiana; Hercule, Wilmene S.; Jeffreys, Katharine E.; Raj, Mamtha</t>
  </si>
  <si>
    <t>Evaluating the Quality and Impact of TikTok Videos on Autologous Breast Reconstruction with Deep Inferior Epigastric Perforator Artery Flaps</t>
  </si>
  <si>
    <t>Background: With the rising influence of social media on healthcare perceptions, this study investigates TikTok's role in educating the public about autologous breast reconstruction, specifically focusing on deep inferior epigastric perforator flaps. Methods: We conducted a systematic analysis of 152 TikTok videos related to deep inferior epigastric perforator flap procedures, evaluating the accuracy of the content, viewer engagement metrics, and the influence of content creator characteristics on viewer interactions. Results: Our analysis identified a wide variance in the quality of information, with many videos lacking in-depth educational content, thereby posing a risk of misinformation. Despite the presence of high-quality educational videos, there was a discrepancy between the educational value provided and viewer engagement levels. Thematic analysis highlighted common concerns among patients, providing insights for healthcare professionals to better tailor their social media content. Conclusions: The study underscores the significant impact of platforms like TikTok on patient education and emphasizes the need for healthcare professionals to guide the narrative on social media and ensure the dissemination of accurate and helpful information, ultimately aiding patients in making informed decisions about their healthcare.</t>
  </si>
  <si>
    <t>[Adepoju, Jubril; Toms, John A.; Raj, Mamtha] Rush Univ, Med Ctr, Dept Surg, Div Plast &amp; Reconstruct Surg, Chicago, IL USA; [Adepoju, Jubril; Toms, John A.; Webb, Yvonne Clifvonne G.; Jones, Kiana; Hercule, Wilmene S.; Jeffreys, Katharine E.] Rush Univ, Rush Med Coll, Chicago, IL USA</t>
  </si>
  <si>
    <t>Rush University; Rush University</t>
  </si>
  <si>
    <t>Raj, M (corresponding author), 600 S Paulina St, Chicago, IL 60612 USA.</t>
  </si>
  <si>
    <t>mamtha_raj@rush.edu</t>
  </si>
  <si>
    <t>e6056</t>
  </si>
  <si>
    <t>10.1097/GOX.0000000000006056</t>
  </si>
  <si>
    <t>C8A6I</t>
  </si>
  <si>
    <t>WOS:001291545300002</t>
  </si>
  <si>
    <t>Rutherford, BN; Sun, TZ; Lim, CCW; Chung, JC; Cheng, BD; Davidson, L; Tisdale, C; Leung, J; Stjepanovic, D; Connor, JP; Chan, GCK</t>
  </si>
  <si>
    <t>Rutherford, Brienna N.; Sun, Tianze; Lim, Carmen C. W.; Chung, Jack; Cheng, Brandon; Davidson, Lily; Tisdale, Calvert; Leung, Janni; Stjepanovic, Daniel; Connor, Jason P.; Chan, Gary C. K.</t>
  </si>
  <si>
    <t>Changes in Viewer Engagement and Accessibility of Popular Vaping Videos on TikTok: A 12-Month Prospective Study</t>
  </si>
  <si>
    <t>e-cigarettes; vaping; TikTok; social media</t>
  </si>
  <si>
    <t>HIGH-SCHOOL-STUDENTS; E-CIGARETTE USE; UNITED-STATES; EXPOSURE; MIDDLE</t>
  </si>
  <si>
    <t>Aim: There are concerns regarding what young people are exposed to on TikTok due to trending content promoting e-cigarette use through humour, marketing and lifestyle acceptability. Using baseline data from November 2020, we aimed to examine how much content from a sample of popular vaping videos remained accessible at 9- and 12-month follow-ups. We aimed to monitor changes in viewer engagement (using metadata) before and after the U.S. Congressional Hearing on youth protection measures on social media in October 2021. Methods: Hashtag-based keywords were used to collect the most viewed publicly available e-cigarette related videos on TikTok (N = 802) from inception to November 2020 to form a baseline. Researchers conducted a longitudinal descriptive study using this data, with 9- and 12-month follow-ups to measure changes in viewer engagement (using metadata) and content availability. Findings: Of the 802 videos from the baseline, 562 remained at the 9-month follow-up and 511 remained at the 12-month follow-up. At the 12-month follow-up, the majority of vaping-related hashtags were removed by TikTok after the Congressional Hearing. Between the baseline and 9-month follow up, views increased by 1.4% and likes increased by 4.4%. At 12-month follow-up, views had increased by 1.7% and likes by 4.2% compared to baseline data. Whilst 291 videos were no longer publicly accessible at 12-month follow-up, 39 of these were made inaccessible by the content creators. The most viewed and most liked vaping videos at baseline were still publicly available. Conclusions: Whilst the depiction type and thematic distribution of removed videos suggest that TikTok may be removing a small proportion of content that promotes the use of e-cigarettes, metadata of remaining videos indicate an increase in viewer engagement. TikTok's removal of explicit substance-related hashtags from the platform could be a step towards preventing adolescents from being exposed to harmful behaviours and substances online. However, the platform should consider enforcing effective age restrictions on content that promotes substance use in a positive light.</t>
  </si>
  <si>
    <t>[Rutherford, Brienna N.; Sun, Tianze; Lim, Carmen C. W.; Chung, Jack; Cheng, Brandon; Leung, Janni; Stjepanovic, Daniel; Connor, Jason P.; Chan, Gary C. K.] Univ Queensland, Natl Ctr Youth Subst Use Res, St Lucia, Qld 4067, Australia; [Rutherford, Brienna N.; Sun, Tianze; Lim, Carmen C. W.; Chung, Jack; Cheng, Brandon; Davidson, Lily; Tisdale, Calvert; Leung, Janni; Stjepanovic, Daniel; Chan, Gary C. K.] Univ Queensland, Sch Psychol, St Lucia, Qld 4067, Australia; [Leung, Janni] Univ New South Wales, Natl Drug &amp; Alcohol Res Ctr, Kensington, NSW 2033, Australia; [Connor, Jason P.] Univ Queensland, Discipline Psychiat, Herston, Qld 4006, Australia</t>
  </si>
  <si>
    <t>University of Queensland; University of Queensland; University of New South Wales Sydney; University of Queensland</t>
  </si>
  <si>
    <t>Rutherford, BN (corresponding author), Univ Queensland, Natl Ctr Youth Subst Use Res, St Lucia, Qld 4067, Australia.;Rutherford, BN (corresponding author), Univ Queensland, Sch Psychol, St Lucia, Qld 4067, Australia.</t>
  </si>
  <si>
    <t>b.rutherford@uq.edu.au; tianze.sun@uq.net.au; c.lim@uq.net.au; yiuchak.chung@uq.edu.au; brandon.cheng@uq.edu.au; lily.davidson@uq.net.au; c.tisdale@uq.edu.au; j.leung1@uq.edu.au; d.stjepanovic@uq.edu.au; jason.connor@uq.edu.au; c.chan4@uq.edu.au</t>
  </si>
  <si>
    <t>Tisdale, Calvert/JQJ-5380-2023; Chung, Jack/AAA-9309-2021; Sun, Tianze/LFS-0433-2024; Lim, Carmen/O-7634-2016; Cheng, Brandon/KFQ-0408-2024; Stjepanovic, Daniel/B-3658-2009; Leung, Janni/H-1003-2012; Chan, Gary/B-7220-2015; Connor, Jason/F-7040-2010</t>
  </si>
  <si>
    <t>Sun, Tianze/0000-0002-3939-9499; Rutherford, Brienna/0000-0002-6034-6527; Stjepanovic, Daniel/0000-0003-4307-423X; Chung, Jack/0000-0003-3142-3316; Leung, Janni/0000-0001-5816-2959; Cheng, Hsu-Chen/0000-0002-4429-371X; Chan, Gary/0000-0002-7569-1948; Connor, Jason/0000-0002-7020-1196; Tisdale, Calvert/0000-0002-0287-9683</t>
  </si>
  <si>
    <t>Department of Health, Australian Government - National Health and Medical Research Council (NHMRC) Investigator Grant [APP1176137]; National Health and Medical Research Council Postgraduate Scholarship [GNT2005317]; University of Queensland</t>
  </si>
  <si>
    <t>Department of Health, Australian Government - National Health and Medical Research Council (NHMRC) Investigator Grant(National Health &amp; Medical Research Council (NHMRC) of Australia); National Health and Medical Research Council Postgraduate Scholarship(National Health &amp; Medical Research Council (NHMRC) of Australia); University of Queensland(University of Queensland)</t>
  </si>
  <si>
    <t>The National Centre for Youth Substance Use is funded by the Department of Health, Australian Government. G.C.K.Chan was funded by a National Health and Medical Research Council (NHMRC) Investigator Grant (APP1176137). C.C.W.Lim was funded by National Health and Medical Research Council Postgraduate Scholarship (GNT2005317). B.Rutherford, T.Sun, J.Chung, B.Cheng, L.Davidson and C.Tisdale were funded by postgraduate scholarships provided by The University of Queensland. The funders had no input into the design, implementation or running of the study, in the writing of the manuscript, or decision to publish. No pharmaceutical grants were received in the development of this study.</t>
  </si>
  <si>
    <t>10.3390/ijerph19031141</t>
  </si>
  <si>
    <t>ZG1JG</t>
  </si>
  <si>
    <t>WOS:000760019000001</t>
  </si>
  <si>
    <t>Suárez-Alvarez, R; García-Jiménez, A</t>
  </si>
  <si>
    <t>Suarez-Alvarez, Rebeca; Garcia-Jimenez, Antonio</t>
  </si>
  <si>
    <t>Centennials on TikTok: type of video. Analysis and comparative Spain- Great Britain by gender, age and nationality</t>
  </si>
  <si>
    <t>TikTok; social networks; centennials; teenagers; gender; age; consume</t>
  </si>
  <si>
    <t>SELF-PRESENTATION; SOCIAL NETWORKS; PEER INFLUENCE; YOUTUBE; ADOLESCENCE</t>
  </si>
  <si>
    <t>Introduction: TikTok is a digital native social network has managed to generate interest among teenagers through which they share their audiovisual productions from mobile devices, but what type of content do teenagers create and disseminate on this application? We address this issue with the aim of finding out the type of videos that Spanish and British teenage tiktokers are uploading to this social network. Methodology: Using content analysis methodology, 447 videos from 12 British and 12 Spanish tiktokers aged between 11 and 17 with more than half a million followers are studied. It provides an analysis by nationality and a comparative view of both nationalities. Results: Contents created and disseminated by both genders and nationalities are videoselfies, choreographies and videos with a fun purpose. Results show 16 and 17-year-old are the most active on this social network. Spanish and British teenagers create and disseminate videos with similar content. They show is age, not gender, determining variable for their digital production. It is observed boys abandon videogames to give way to a more protagonist self-representation in this social network. Discussion and conclusions: There is a lack of plurality in the type of content created and disseminated on TikTok by both genders and nationalities. It is interesting to note the attenuation of the traditional gender roles adolescents show in their audio-visual productions on TikTok, which reflect the possible gender-related development into their behavior on social networks.</t>
  </si>
  <si>
    <t>[Suarez-Alvarez, Rebeca; Garcia-Jimenez, Antonio] Univ Rey Juan Carlos, Dept Comunicac &amp; Sociol, Madrid, Spain</t>
  </si>
  <si>
    <t>Suárez-Alvarez, R (corresponding author), Univ Rey Juan Carlos, Dept Comunicac &amp; Sociol, Madrid, Spain.</t>
  </si>
  <si>
    <t>rebeca.suarez@urjc.es; antonio.garcia@urjc.es</t>
  </si>
  <si>
    <t>10.4185/RLCS-2021-1503</t>
  </si>
  <si>
    <t>YU4WW</t>
  </si>
  <si>
    <t>WOS:000752046300001</t>
  </si>
  <si>
    <t>Rothchild, E; Wang, F; Grande, J; Ricci, JA</t>
  </si>
  <si>
    <t>Rothchild, Evan; Wang, Fei; Grande, Julia; Ricci, Joseph A.</t>
  </si>
  <si>
    <t>An Analysis of Cosmetic Facial Injectable Treatment Content on TikTok</t>
  </si>
  <si>
    <t>TOXIN TYPE-A; SOCIAL MEDIA; YOUTUBE VIDEOS; DOUBLE-BLIND; INFORMATION; QUALITY; EFFICACY; SAFETY</t>
  </si>
  <si>
    <t>Background TikTok is a powerful and popular source of patient education. However, the lack of content regulation allows for the potential spread of medical misinformation. Objectives The aim of this study was to analyze the source, content, quality, and reliability of TikTok posts regarding nonsurgical cosmetic facial injectable treatments, including Botox and fillers. Methods The TikTok application was queried with 14 popular hashtags related to nonsurgical facial injectable treatments. The top 25 search result videos from each hashtag were included in the analysis. Videos were categorized based on content creator, video type, and descriptive metrics collected for each result. Educational videos were further analyzed for content quality with the validated modified DISCERN score and the Patient Education Materials Assessment Tool (PEMAT) scales. Univariate and linear regression models were utilized for content analysis between groups. Results The included 340 videos totaled 306,552,644 views; 22,715,689 likes; 220,072 comments; and 352,614 shares. Most videos were uploaded by nonphysician healthcare providers (n = 126, 37.1%), and patient experience (n = 130, 38.2%) was the most common video category. Healthcare team content creators had significantly lower median views, likes, comments, shares, and engagement when compared to non-healthcare team content (P &lt; .001). DISCERN scores for information reliability were significantly higher in physician-created videos than nonphysician and nonphysician healthcare provider created videos (2 vs 1.5, P &lt; .001, 2 vs 1.5 P = .001, respectively). Conclusions The overall quality of TikTok videos regarding nonsurgical cosmetic facial injectable treatments was low, which may stem from a lack of content from physician content creators.</t>
  </si>
  <si>
    <t>[Rothchild, Evan; Wang, Fei; Grande, Julia; Ricci, Joseph A.] Montefiore Med Ctr, Albert Einstein Coll Med, Div Plast Surg, New York, NY USA; [Ricci, Joseph A.] Montefiore Med Ctr, Div Plast Surg, 1776 Eastchester Rd,Suite 200, Bronx, NY 10461 USA</t>
  </si>
  <si>
    <t>Montefiore Medical Center; Yeshiva University; Montefiore Medical Center; Albert Einstein College of Medicine</t>
  </si>
  <si>
    <t>Ricci, JA (corresponding author), Montefiore Med Ctr, Div Plast Surg, 1776 Eastchester Rd,Suite 200, Bronx, NY 10461 USA.</t>
  </si>
  <si>
    <t>Dr.joseph.ricci@gmail.com</t>
  </si>
  <si>
    <t>Ricci, Joseph/0000-0002-5791-4378; Rothchild, Evan/0000-0002-0081-3277</t>
  </si>
  <si>
    <t>10.1093/asj/sjad095</t>
  </si>
  <si>
    <t>P1RY9</t>
  </si>
  <si>
    <t>WOS:000986253000001</t>
  </si>
  <si>
    <t>Morris, K; Lane, F; Nelson, AL; Stohl, H</t>
  </si>
  <si>
    <t>Morris, Kelsey; Lane, Fiona; Nelson, Anita L.; Stohl, Hindi</t>
  </si>
  <si>
    <t>How Do Women Vote: What Women Post About Home Birth Compared With Hospital Birth on Reddit and TikTok</t>
  </si>
  <si>
    <t>[Morris, Kelsey] Western Univ Hlth Sci, Pomona, CA USA</t>
  </si>
  <si>
    <t>Mylan Pharmaceuticals; Myovant Science; Organon; Sagami Rubber Industries; Sebela Pharmaceuticals</t>
  </si>
  <si>
    <t>Anita L. Nelson, MD: Agile Therapeutics (Advisory Committee/Board Member, Consultant, Speaker/Honoraria); Bayer Health-Care (Advisory Committee/Board Member, Consultant, Speaker/Honoraria); Mayne Pharmaceutical (Advisory Committee/Board Member, Consultant, Speaker/Honoraria); Merck (Speaker/Honoraria); Mylan Pharmaceuticals(Grant/Research Support); Myovant Science (Advisory Committee/Board Member, Consultant, Grant/Research Support); Organon (Grant/Research Support); Sagami Rubber Industries (Grant/Research Support); Sebela Pharmaceuticals (Grant/Research Support). The other authors have no conflict of interest.</t>
  </si>
  <si>
    <t>10.1097/01.AOG.0001014040.57235.21</t>
  </si>
  <si>
    <t>WOS:001258908200247</t>
  </si>
  <si>
    <t>Cummings, S</t>
  </si>
  <si>
    <t>Cummings, Sean</t>
  </si>
  <si>
    <t>Possible US TikTok ban has science communicators on edge</t>
  </si>
  <si>
    <t>SCIENCE</t>
  </si>
  <si>
    <t>App is highly effective for sharing science content, users say</t>
  </si>
  <si>
    <t>AMER ASSOC ADVANCEMENT SCIENCE</t>
  </si>
  <si>
    <t>1200 NEW YORK AVE, NW, WASHINGTON, DC 20005 USA</t>
  </si>
  <si>
    <t>0036-8075</t>
  </si>
  <si>
    <t>1095-9203</t>
  </si>
  <si>
    <t>Science</t>
  </si>
  <si>
    <t>10.1126/science.adp3270</t>
  </si>
  <si>
    <t>WD5X0</t>
  </si>
  <si>
    <t>WOS:001252955200025</t>
  </si>
  <si>
    <t>Siegal, AR; Ferrer, FA; Baldisserotto, E; Malhotra, NR</t>
  </si>
  <si>
    <t>Siegal, Alexandra R.; Ferrer, Fernando A.; Baldisserotto, Eva; Malhotra, Neha R.</t>
  </si>
  <si>
    <t>The Assessment of TikTok as a Source of Quality Health Information on Varicoceles</t>
  </si>
  <si>
    <t>OBJECTIVE To evaluate the quality of varicocele information on TikTok, a popular video platform that ado-lescent patients are now turning to as a source of medical information before visiting a doctor.METHODS Using the key word varicocele, we retrieved the top 225 videos listed on TikTok in May 2022. We extracted general video and engagement data. Video information was coded and analyzed for the completeness of different types of content (definition, symptoms, evaluation, management, and outcomes). The quality of consumer health information was rated using the DISCERN instrument.RESULTS Thirty-six videos met inclusion criteria; 17 were created by general users, 16 by healthcare profes-sionals or systems (2 by urologists), and 3 by scientific communities. Healthcare professionals had more views than non-healthcare (P = .05). The quality of health information using the DISCERN instrument was poor from health care professional videos and very poor from non-health care professionals. However, the quality of information provided by healthcare professionals was statis-tically better than that of non-healthcare (P&lt; .05). Video content mainly focused on symptoms: 50% of videos from healthcare providers had some or extensive content and 41% of non -health-care had some content. 23% of videos had misinformation.CONCLUSION The overall quality of information for varicoceles on TikTok is not acceptable and does not meet patient needs. It is imperative that urologists create robust, accurate content, and partner with these platforms to connect users with higher quality information. TikTok users should also be mindful that information may not be medically accurate. UROLOGY 175: 170-174, 2023.&amp; COPY; 2022 Elsevier Inc.</t>
  </si>
  <si>
    <t>[Siegal, Alexandra R.] Mt Sinai Icahn Sch Med, Dept Urol, New York, NY USA; Mt Sinai Kravis Childrens Hosp, Dept Pediat Urol, New York, NY USA; [Siegal, Alexandra R.] Mt Sinai Icahn Sch Med, 1 Gustave Levy Pl, New York, NY 10029 USA</t>
  </si>
  <si>
    <t>Icahn School of Medicine at Mount Sinai; Icahn School of Medicine at Mount Sinai</t>
  </si>
  <si>
    <t>Siegal, AR (corresponding author), Mt Sinai Icahn Sch Med, 1 Gustave Levy Pl, New York, NY 10029 USA.</t>
  </si>
  <si>
    <t>Alexandra.siegal@mountsinai.org</t>
  </si>
  <si>
    <t>Siegal, Alexandra/0000-0002-9104-8434</t>
  </si>
  <si>
    <t>10.1016/j.urology.2022.12.016</t>
  </si>
  <si>
    <t>K1HN3</t>
  </si>
  <si>
    <t>WOS:001014025700001</t>
  </si>
  <si>
    <t>Khan, Y</t>
  </si>
  <si>
    <t>Khan, Yuhana</t>
  </si>
  <si>
    <t>TikTok as a Learning Tool for Archaeology</t>
  </si>
  <si>
    <t>ADVANCES IN ARCHAEOLOGICAL PRACTICE</t>
  </si>
  <si>
    <t>OverviewSince its launch, TikTok has become one of the world's most popular social media apps. Once primarily used by teenagers, this app is now used by people of all ages; this shift is largely attributable to the COVID-19 pandemic, when many people transitioned to engaging with others via social media instead of having in-person interactions. Now, anyone who has either the app or access to a web browser can view a plethora of videos, all 10 minutes and under, on any topic. Informational videos about archaeology may not be promoted on everyone's personalized home page &amp; mdash;called the For You page (FYP)&amp; mdash;but they are easily accessible through the search function. This review will discuss the impact TikTok has on the world of archaeology, with a focus on public engagement, museums, and especially teaching and learning. The social power of this app needs to be acknowledged. Archaeology can introduce the public to snapshots of daily life from the past, a task that fits well with the design of TikTok. This social platform can become a resource to create spaces to learn more, especially through interactive conversations such as in the comments section or response videos.</t>
  </si>
  <si>
    <t>[Khan, Yuhana] Univ Texas Austin, Austin, TX 78712 USA</t>
  </si>
  <si>
    <t>Khan, Y (corresponding author), Univ Texas Austin, Austin, TX 78712 USA.</t>
  </si>
  <si>
    <t>yakhan@utexas.edu</t>
  </si>
  <si>
    <t>2326-3768</t>
  </si>
  <si>
    <t>ADV ARCHAEOL PRACT</t>
  </si>
  <si>
    <t>Adv. Archaeol. Pract.</t>
  </si>
  <si>
    <t>PII S2326376822000286</t>
  </si>
  <si>
    <t>10.1017/aap.2022.28</t>
  </si>
  <si>
    <t>7E5BG</t>
  </si>
  <si>
    <t>WOS:000901182700008</t>
  </si>
  <si>
    <t>Using Creator Studies insights to optimize participant recruitment on TikTok</t>
  </si>
  <si>
    <t>Interviews; qualitative methods; recruitment; social media; TikTok</t>
  </si>
  <si>
    <t>SOCIAL MEDIA; AUTHENTICITY; VISIBILITY; YOUTUBE</t>
  </si>
  <si>
    <t>Social media have long been thought of in qualitative inquiry as objects of study, as well as a tool to access hard to reach populations. However, less is known about how social media can be strategically harnessed to improve and optimize participant recruitment in qualitative studies for any study, not just those focusing on hard-to-reach populations. By critically reflecting on my own use of TikTok as a site of recruitment for a previously conducted research project, I draw on insights from the field of Creator Studies to propose strategies and best practices for researchers seeking to recruit participants via TikTok. This non-traditional essay is critically reflective and personal in tone, drawing on the subjective nature of qualitative inquiry to propose methodological advancements. I problematize the insider/outsider positionality in research through a fan of the community beings studied, as well as introducing the concept of digital positionality for social media scholars to consider the ways they are afforded privileges by discriminatory platforms. By grounding methodological advancements in critical, theoretical scholarship, researchers studying and using social media will be more sensitive and strategic in participant recruitment.</t>
  </si>
  <si>
    <t>[Maddox, Jessica] Univ Alabama, Journalism &amp; Creat Media, 430C Reese Phifer Hall Tuscaloosa, Alabama, NY 35487 USA</t>
  </si>
  <si>
    <t>Maddox, J (corresponding author), Univ Alabama, Journalism &amp; Creat Media, 430C Reese Phifer Hall Tuscaloosa, Alabama, NY 35487 USA.</t>
  </si>
  <si>
    <t>2024 JUN 26</t>
  </si>
  <si>
    <t>10.1080/10714421.2024.2370124</t>
  </si>
  <si>
    <t>WH8T9</t>
  </si>
  <si>
    <t>WOS:001254077300001</t>
  </si>
  <si>
    <t>García-Rapp, F; León, L</t>
  </si>
  <si>
    <t>Garcia-Rapp, Florencia; Leon, Laura</t>
  </si>
  <si>
    <t>#MADRES: Parodic Motherhood Discourses on Peruvian TikTok</t>
  </si>
  <si>
    <t>VISUAL COMMUNICATION QUARTERLY</t>
  </si>
  <si>
    <t>TikTok's increasing cultural pervasiveness, leading to a myriad of practices and discourses, has turned the platform into a rich digital field site to interpret local dynamics. Here, we analyze visual and textual discourses on (urban) Peruvian TikTok as sociocultural processes to reflect on popular media cultures and contribute to media studies and anthropology. This study examines 80 videos and more than 10,000 user comments around the content of two young male Peruvian digital creators-@mikkele and @zagaladas, who upload humorous, parodic clips of themselves re-enacting their mothers-to better understand how motherhood is articulated, exposed, criticized, accepted, and contested. Filled with intergenerational tensions and gender differences, these videos and their comments are fruitful terrain to explore both legitimized and rejected maternal subjectivities. We focus here on three emerged themes: the unfair, aggressive mother, technology in dispute, and madre latina vs. madre gringa.</t>
  </si>
  <si>
    <t>[Garcia-Rapp, Florencia] Univ Valladolid, Dept Sociol &amp; Social Work, Res Grp Appl Social Sci, Valladolid, Spain; [Garcia-Rapp, Florencia] Univ Antwerp, Fac Social Sci, Dept Commun, Res Grp Media Policy &amp; Culture, Antwerp, Belgium; [Leon, Laura] Pontificia Univ Catolica Peru, San Miguel, Peru; [Leon, Laura] Univ Lima, Inst Sci Res, Santiago De Surco, Peru</t>
  </si>
  <si>
    <t>Universidad de Valladolid; University of Antwerp; Pontificia Universidad Catolica del Peru; Universidad de Lima</t>
  </si>
  <si>
    <t>García-Rapp, F (corresponding author), Univ Valladolid, Dept Sociol &amp; Social Work, Res Grp Appl Social Sci, Valladolid, Spain.;García-Rapp, F (corresponding author), Univ Antwerp, Fac Social Sci, Dept Commun, Res Grp Media Policy &amp; Culture, Antwerp, Belgium.</t>
  </si>
  <si>
    <t>florencia.garciarapp@uva.es</t>
  </si>
  <si>
    <t>Leon Kanashiro, Laura/I-6348-2017; Garcia-Rapp, Florencia/V-1432-2019</t>
  </si>
  <si>
    <t>Leon Kanashiro, Laura/0000-0003-3283-2912; Garcia-Rapp, Florencia/0000-0001-5692-6505</t>
  </si>
  <si>
    <t>Research Project PROVULDIG2-CM (autonomous community of Madrid) [IJC-2020-042743-I]; GICOMSOC from King Juan Carlos University, Spain [IJC-2020-042743-I]; Spanish Ministry of Science; EU [IJC-2020-042743-I/MCIN/AEI/10.13039/501100011033]</t>
  </si>
  <si>
    <t>Research Project PROVULDIG2-CM (autonomous community of Madrid); GICOMSOC from King Juan Carlos University, Spain; Spanish Ministry of Science(Ministry of Science and Innovation, Spain (MICINN)Spanish Government); EU(European Union (EU))</t>
  </si>
  <si>
    <t>We wish to acknowledge support from the Research Project PROVULDIG2-CM (funded by the autonomous community of Madrid with grant number H2019/HUM-5775) and research group GICOMSOC from King Juan Carlos University, Spain.Florencia's research is funded by a Spanish Ministry of Science and EU grant: IJC-2020-042743-I/MCIN/AEI/10.13039/501100011033 'NextGenerationEU'/PRTR'.</t>
  </si>
  <si>
    <t>1555-1393</t>
  </si>
  <si>
    <t>1555-1407</t>
  </si>
  <si>
    <t>VIS COMMUN Q</t>
  </si>
  <si>
    <t>Vis. Commun. Q.</t>
  </si>
  <si>
    <t>10.1080/15551393.2023.2300765</t>
  </si>
  <si>
    <t>MN9H7</t>
  </si>
  <si>
    <t>WOS:001194414500001</t>
  </si>
  <si>
    <t>Yang, YL; Guan, TR</t>
  </si>
  <si>
    <t>Yang, Yilu; Guan, Tianru</t>
  </si>
  <si>
    <t>How Does Short Video Viewing Influence Young Children's Everyday Language Practices? A Case Study of China</t>
  </si>
  <si>
    <t>INFORMATION &amp; CULTURE</t>
  </si>
  <si>
    <t>short-form video; language practices; parental mediation; China; TikTok</t>
  </si>
  <si>
    <t>BACKGROUND TELEVISION; MEDIA EXPOSURE; TIME USE; TODDLERS; ASSOCIATION; IMPACT; ENVIRONMENT; ATTENTION; PARENTS; HABITS</t>
  </si>
  <si>
    <t>This study offers the first examination of the most widely downloaded short video app, TikTok, in its launching country, China, and the app's impacts on young children's language development. The analysis of quantitative data (N = 216) and qualitative data demonstrates significantly positive correlations between time spent watching TikTok and young children's use of Standard Chinese in verbal communication. This suggests an earlier occurrence of Standard Chinese fluency in young children in dialect- speaking areas of China. The research findings of this study contribute to our understanding of the newly emerging and increasingly popular form of screen media- short-form video clips- and its impacts on young children's language practices.</t>
  </si>
  <si>
    <t>[Yang, Yilu] Tianjin Univ, Sch New Media &amp; Commun, Tianjin, Peoples R China; [Guan, Tianru] Wuhan Univ, Sch Journalism &amp; Commun, Wuhan, Peoples R China</t>
  </si>
  <si>
    <t>Tianjin University; Wuhan University</t>
  </si>
  <si>
    <t>Yang, YL (corresponding author), Tianjin Univ, Sch New Media &amp; Commun, Tianjin, Peoples R China.</t>
  </si>
  <si>
    <t>YANG, YILU/IVU-8591-2023</t>
  </si>
  <si>
    <t>Tianru Guan is the corresponding author of this article. Author declaration: This research was supported by the Tianjin Philosophy and Social Science Planning Project (grant no. TJXCQN23-002) . 1. Elise Frank Masur, Valerie Flynn, and Janet Olson, The Presence of Background Televi-sion during Young Children's Play in American Homes, Journal of Children and Media 9, no. 3 (2015) : 349-67, https://doi.org/10.1080/17482798.2015.1056818; Zhenhui Yan, Grasslands as Transitional Spaces of Play: Mongol Children's Reimagination of the World in Cinematic Representation, Children's Geographies 18, no. 1 (2020) : 69-80, https://doi.org/10.1080/1473 3285.2019.1598544; Phuoc Tran and Kaveri Subrahmanyam, Evidence-Based Guidelines for the Informal Use of Computers by Children to Promote the Development of Academic, Cogni-tive and Social Skills, Ergonomics 56, no. 9 (2013) : 1349-62, https://doi.org/10.1080/00140139 .2013.820843; Wonsun Shin, Empowered Parents: The Role of Self-Efficacy in Parental Me-diation of Children's Smartphone Use in the United States, Journal of Children and Media 12, no. 4 (2018) : 465-77, https://doi.org/10.1080/17482798.2018.1486331. 2. Alejandrina Cristia and Amanda Seidl, Parental Reports on Touch Screen Use in Early Childhood, PLOS One 10, no. 6 (2015) : e0128338, https://doi.org/10.1371/journal.pone.0128338. 3. Wanjiku FM Njoroge, Laura Marie Elenbaas, Mon T. Myaing, Michelle M. Garrison, and Dimitri A. Christakis, What Are Young Children Watching? Disparities in Concordant TV Viewing, Howard Journal of Communications 27, no. 3 (2016) : 203-17, https://doi.org/10.10 80/10646175.2016.1166086. 4. Tiffany A. Pempek, Heather L. Kirkorian, and Daniel R. Anderson, The Effects of Back-ground Television on the Quantity and Quality of Child-Directed Speech by Parents, Journal of Children and Media 8, no. 3 (2014) : 211-22, https://doi.org/10.1080/17482798.2014.920715; Brigitte Vittrup, What US Parents Don't Know about Their Children's Television Use: Dis-crepancies between Parents' and Children's Reports, Journal of Children and Media 3, no. 1 (2009) : 51-67, https://doi.org/10.1080/17482790802576972. 5. Sensor Tower, Q1 2019 Sotre Intelligence Data Digest, September 20, 2019, https://sensortower.com /reports. 6. Gemma Taylor, Padraic Monaghan, and Gert Westermann, Investigating the Association between Children's Screen Media Exposure and Vocabulary Size in the UK, Journal of Children and Media 12, no. 1 (2018) : 51-65, https://doi.org/10.1080/17482798.2017.1365737. 7. Molly A. Schlesinger, Rachel M. Flynn, and Rebekah A. Richert, Do Parents Care about TV? How Parent Factors Mediate US Children's Media Exposure and Receptive Vocabulary, Journal of Children and Media 13, no. 4 (2019) : 395-414, https://doi.org/10.1080/17482798 .2019.1627227. 8. Nelly Elias and Idit Sulkin, Screen-Assisted Parenting: The Relationship between Toddlers' Screen Time and Parents' Use of Media as a Parenting Tool, Journal of Family Issues 40, no. 18 (2019) : 2801-22, https://doi.org/10.1177/0192513X19864983; Shin, Empowered Parents;</t>
  </si>
  <si>
    <t>UNIV TEXAS PRESS</t>
  </si>
  <si>
    <t>AUSTIN</t>
  </si>
  <si>
    <t>JOURNAL DIV, 2100 COMAL, AUSTIN, TX 78722 USA</t>
  </si>
  <si>
    <t>2164-8034</t>
  </si>
  <si>
    <t>2166-3033</t>
  </si>
  <si>
    <t>INFORM CULT</t>
  </si>
  <si>
    <t>Inf. Cult.</t>
  </si>
  <si>
    <t>10.7560/IC59204</t>
  </si>
  <si>
    <t>History; History Of Social Sciences; Information Science &amp; Library Science</t>
  </si>
  <si>
    <t>History; Social Sciences - Other Topics; Information Science &amp; Library Science</t>
  </si>
  <si>
    <t>D9X8P</t>
  </si>
  <si>
    <t>WOS:001299645800004</t>
  </si>
  <si>
    <t>Savic, M</t>
  </si>
  <si>
    <t>Savic, Milovan</t>
  </si>
  <si>
    <t>From Musical.ly to TikTok: Social Construction of 2020's Most Downloaded Short-Video App</t>
  </si>
  <si>
    <t>Musical.ly; short videos; TikTok; preteens; social constructivism</t>
  </si>
  <si>
    <t>High-quality smartphone cameras and user preferences for visual expression propelled the proliferation of short-video apps. This article takes a closer look at the emergence of one such app-Musical.ly (i.e., TikTok as we know it today). Using the social construction of technology as a theoretical lens, the article demonstrates how Musical.ly was co-constructed through the interplay among the app, its users (preteens), and nonusers (parents and regulatory bodies), while acknowledging the specific social and cultural context in which it emerged. The article argues that parents' and preteens' diverging interpretations of Musical.ly as a creativity tool, on one hand, and an adult-free social network centered around performativity and play, on the other, appeased moral panic that typically surrounds children's digital media use and supported the app's rapid uptake.</t>
  </si>
  <si>
    <t>[Savic, Milovan] Swinburne Univ Technol, Hawthorn, Vic, Australia</t>
  </si>
  <si>
    <t>Swinburne University of Technology</t>
  </si>
  <si>
    <t>Savic, M (corresponding author), Swinburne Univ Technol, Hawthorn, Vic, Australia.</t>
  </si>
  <si>
    <t>Savic, Milovan/GNW-3376-2022</t>
  </si>
  <si>
    <t>Savic, Milovan/0000-0001-5453-388X</t>
  </si>
  <si>
    <t>WOS:000729944300051</t>
  </si>
  <si>
    <t>Yang, JL; Ren, JF; Zhao, MH; Chen, HY; Wang, HH</t>
  </si>
  <si>
    <t>Yang, Jialiang; Ren, Jifan; Zhao, Meihui; Chen, Haoyu; Wang, Huihan</t>
  </si>
  <si>
    <t>The impact of value co-creation on consumer citizenship behavior: Based on consumer perspective</t>
  </si>
  <si>
    <t>consumer engagement behavior; consumer citizenship behavior; value co-creation; consumer perceived value; livestreaming platforms</t>
  </si>
  <si>
    <t>PERCEIVED VALUE; BRAND LOYALTY; CONSUMPTION; ENGAGEMENT; PARTICIPATION; CUSTOMERS; QUALITY</t>
  </si>
  <si>
    <t>This research investigated the value co-creation behaviors in livestreaming platforms and the internal mechanism of perceived value on consumer value co-creation behavior on the short-video platform TikTok. This research selected the Tiktok platform as the research object, and uses structural equation model to analyze consumer data. The results indicated that consumer-perceived value mediates the relationship between consumer engagement and citizenship behaviors. In addition, short-video platforms exhibit significant community attributes, and interactive behavior forms the primary part of consumer engagement that enhances the perceived value. Consumers join short-video platforms to look for communities that interest them. Consumers' responses generate the perceived value. Thus, it enhances consumers' intentions to continue using a particular service, which then increases the likelihood of citizenship behavior. This study also found that consumers' creative behavior in short-video platforms embodies social and functional values. This suggested that consumers of livestreaming and short-video platforms such as TikTok tend to seek social recognition by sharing their opinions or daily lives. The examination of the mediating role of perceived value on the relationship between consumer engagement behavior and citizenship behavior revealed that perceived value significantly mediated the relationship between consumer engagement behavior and citizenship behavior. This provided evidence of the fact that consumers usually actively participate on the platform by uploading content and sharing their creations, with the motivation to generate significant social impact and gain the recognition of others. Firstly, TikTok's consumers deeply engage on platforms in which their cognitive messages are integrated into the platform through interacting with others, browsing, and creating short videos. Secondly, TikTok provides a channel with high level of interactivity that facilitates social interaction among strangers. Video uploaders and fans develop positive interactive relationships. Thirdly, TikTok viewers may become video providers at some point; the act of co-creation creates economic value for the platform and generates emotional, functional, and social values for its consumers.</t>
  </si>
  <si>
    <t>[Yang, Jialiang; Ren, Jifan; Chen, Haoyu] Harbin Inst Technol Shenzhen, Sch Econ &amp; Management, Shenzhen, Guangdong, Peoples R China; [Zhao, Meihui] Shenyang Normal Univ, Coll Int Business, Shenyang, Liaoning, Peoples R China; [Wang, Huihan] Shenzhen Univ, Coll Govt Management, Shenzhen, Guangdong, Peoples R China</t>
  </si>
  <si>
    <t>Harbin Institute of Technology; Shenyang Normal University; Shenzhen University</t>
  </si>
  <si>
    <t>Yang, JL (corresponding author), Harbin Inst Technol Shenzhen, Sch Econ &amp; Management, Shenzhen, Guangdong, Peoples R China.</t>
  </si>
  <si>
    <t>417064806@qq.com</t>
  </si>
  <si>
    <t>w, hh/GQR-2749-2022; Ren, Jifan/JOK-5310-2023</t>
  </si>
  <si>
    <t>Postdoctoral research support in Shenzhen [707-00012444]; Natural Science Foundation of China [71831005]</t>
  </si>
  <si>
    <t>Postdoctoral research support in Shenzhen; Natural Science Foundation of China(National Natural Science Foundation of China (NSFC))</t>
  </si>
  <si>
    <t>Funding This work was supported by the Postdoctoral research support in Shenzhen (grant number 707-00012444) and Natural Science Foundation of China (grant number 71831005).</t>
  </si>
  <si>
    <t>JAN 26</t>
  </si>
  <si>
    <t>10.3389/fpsyg.2022.1110011</t>
  </si>
  <si>
    <t>8S7RA</t>
  </si>
  <si>
    <t>WOS:000928772700001</t>
  </si>
  <si>
    <t>Rasool, SF; Raza, H; Zubr, V; Asghar, MZ; Sultana, R</t>
  </si>
  <si>
    <t>Rasool, Samma Faiz; Raza, Hamid; Zubr, Vaclav; Asghar, Muhammad Zaheer; Sultana, Razia</t>
  </si>
  <si>
    <t>Exploring the relationship between usage of social networking sites, cyberbullying and academic performance: Evidence from the higher education sector of Saudi Arabia</t>
  </si>
  <si>
    <t>E &amp; M EKONOMIE A MANAGEMENT</t>
  </si>
  <si>
    <t>Use of social networking sites; Instagram; Facebook; TikTok; cyberbullying and academic performance</t>
  </si>
  <si>
    <t>The aim of this study is to investigate the relationship between the use of social networking sites (SNS), cyberbullying (CB) and academic performance (AP). Firstly, we investigate the direct relationship between the use of social networking sites (Instagram, Facebook and TikTok) and academic performance. Secondly, the relationship between the use of social networking sites (Instagram, Facebook and TikTok) and cyberbullying is explored. Thirdly, linkages between cyberbullying and academic performance are examined. Lastly, the mediating effect of cyberbullying in the relationship between the use of social networking sites and academic performance is tested. In this study, we used quantitative survey analysis. We collect data using the research questionnaire from the graduate and postgraduate students enrolled in the universities located in Riyadh, Kingdom of Saudi Arabia. The data were analyzed using the structural equation modeling through SmartPLS 3.2.2. The findings demonstrate that in direct relationships, Facebook and TikTok have a significant relationship with academic performance. However, in the direct relationship, Instagram has an insignificant relationship with academic performance. Similarly, the outcomes confirmed that Instagram, Facebook, and TikTok have a significant relationship with cyberbullying. Furthermore, the outcomes indicate that cyberbullying has a negative impact on academic performance. Finally, the results of this study indicate that cyberbullying negatively mediates the relationship between the use of social networking sites and academic performance. At the end of the study, we have toughly discussed the conclusion, limitations and future research directions.</t>
  </si>
  <si>
    <t>[Rasool, Samma Faiz; Sultana, Razia] Al Yamamah Univ, Coll Business, Riyadh, Saudi Arabia; [Rasool, Samma Faiz; Zubr, Vaclav] Univ Hradec Kralove, Fac Informat &amp; Management, Dept Management, Hradec Kralove, Czech Republic; [Raza, Hamid] Tongji Univ, Sch Econ &amp; Management, Shanghai, Peoples R China; [Asghar, Muhammad Zaheer] Univ Helsinki, Fac Educ Sci, Helsinki, Finland; [Asghar, Muhammad Zaheer] Oulu Univ, Fac Educ &amp; Psychol, Learning &amp; Educ Technol Res Lab, Oulu, Finland</t>
  </si>
  <si>
    <t>Al-Yamamah University; University of Hradec Kralove; Tongji University; University of Helsinki; University of Oulu</t>
  </si>
  <si>
    <t>Raza, H (corresponding author), Tongji Univ, Sch Econ &amp; Management, Shanghai, Peoples R China.</t>
  </si>
  <si>
    <t>samma.shu@hotmail.com; hamidraza@tongji.edu.cn; vaclav.zubr@uhk.cz; Muhammad.asghar@oulu.fi; r_sultana@yu.edu.sa</t>
  </si>
  <si>
    <t>RASOOL, SAMMA/K-6474-2019; ASGHAR, Muhammad Zaheer/GYE-0556-2022</t>
  </si>
  <si>
    <t>ASGHAR, Muhammad Zaheer/0000-0003-2634-0583</t>
  </si>
  <si>
    <t>University of Hradec Kralove, Czech Republic [6/2024]</t>
  </si>
  <si>
    <t>University of Hradec Kralove, Czech Republic</t>
  </si>
  <si>
    <t>The paper was written with the support of the specific project 6/2024 grant Determinants of Cognitive Processes Impacting the Work Performance granted by the University of Hradec Kralove, Czech Republic and thanks to help of student Ing. Frantisek Hasek.</t>
  </si>
  <si>
    <t>TECHNICAL UNIV LIBEREC</t>
  </si>
  <si>
    <t>LIBEREC 1</t>
  </si>
  <si>
    <t>FAC ECONOMICS, STUDENTSKA 2, IC 46747885, LIBEREC 1, 461 17, CZECH REPUBLIC</t>
  </si>
  <si>
    <t>1212-3609</t>
  </si>
  <si>
    <t>2336-5064</t>
  </si>
  <si>
    <t>E M EKON MANAG</t>
  </si>
  <si>
    <t>E M Ekon. Manag.</t>
  </si>
  <si>
    <t>10.15240/tul/001/2024-1-005</t>
  </si>
  <si>
    <t>Economics; Management</t>
  </si>
  <si>
    <t>OK2W4</t>
  </si>
  <si>
    <t>WOS:001207109300008</t>
  </si>
  <si>
    <t>Rothchild, E; Chernovolenko, D; Wang, F; Ricci, JA</t>
  </si>
  <si>
    <t>Rothchild, Evan; Chernovolenko, Daniel; Wang, Fei; Ricci, Joseph A.</t>
  </si>
  <si>
    <t>An Analysis of Male Plastic Surgery Content on TikTok</t>
  </si>
  <si>
    <t>SOCIAL MEDIA; COMPLICATIONS; INFORMATION; TOURISM</t>
  </si>
  <si>
    <t>Background TikTok is a powerful and popular source of patient education. However, the lack of content regulation raises concerns about the spread of medical misinformation.Objectives We aimed to analyze the source, content, quality, and reliability of TikTok posts focusing on surgical and nonsurgical cosmetic treatments for men.Methods A search was conducted on TikTok with 16 popular hashtags related to male cosmetic procedures. The top 25 male-focused videos from each hashtag were chosen for analysis. Videos were categorized by content creator, video type, and descriptive metrics. Educational videos were evaluated for quality with the validated modified DISCERN (mDISCERN) score and the Patient Education Materials Assessment Tool (PEMAT) scale. Statistical analysis was performed with univariate and linear regression models.Results The included 399 videos totaled 389 million views, 16.4 million likes, 174,594 comments, and 586,743 shares. Most videos were uploaded by plastic and reconstructive surgeons (38.3%). A significant number (38%) of videos by physicians were posted by international physicians, with videos by United States physicians receiving fewer views, comments, and shares than videos posted by international physicians. Patient experience was the most common video category (48.9%). Educational videos had low overall quality, with physician-created videos demonstrating higher DISCERN and PEMAT scores but lower engagement compared to nonphysician videos.Conclusions The quality of TikTok videos on male cosmetic surgery was generally low, emphasizing the importance of accurate information dissemination by physicians on social media. The strong presence of international physicians highlights the potential implications of social media on medical tourism.</t>
  </si>
  <si>
    <t>[Rothchild, Evan; Chernovolenko, Daniel] Albert Einstein Coll Med, Montefiore Med Ctr, New York, NY USA; [Wang, Fei] Univ Washington, Sch Med, Seattle, WA USA; [Ricci, Joseph A.] Donald &amp; Barbara Zucker Sch Med Hofstra Northwell, Great Neck, NY USA; [Ricci, Joseph A.] Donald &amp; Barbara Zucker Sch Med Hofstra Northwell, Div Plast Surg, 600 Northern Blvd, Great Neck, NY 11021 USA</t>
  </si>
  <si>
    <t>Yeshiva University; Montefiore Medical Center; University of Washington; University of Washington Seattle; Northwell Health; Northwell Health</t>
  </si>
  <si>
    <t>Ricci, JA (corresponding author), Donald &amp; Barbara Zucker Sch Med Hofstra Northwell, Div Plast Surg, 600 Northern Blvd, Great Neck, NY 11021 USA.</t>
  </si>
  <si>
    <t>10.1093/asj/sjad350</t>
  </si>
  <si>
    <t>MV4R6</t>
  </si>
  <si>
    <t>WOS:001122492900001</t>
  </si>
  <si>
    <t>Martínez-Sanz, R; Arribas-Urrutia, A</t>
  </si>
  <si>
    <t>Martinez-Sanz, Raquel; Arribas-Urrutia, Amaia</t>
  </si>
  <si>
    <t>Blood donors wanted: narrative innovation on TikTok to enable mobilization</t>
  </si>
  <si>
    <t>Health communication; Social media; Social networks; Blood donation; Recipients; TikTok; Social transformation; Activism; Misinformation; Digital citizenship; Innovation; Storydoing; Narratives</t>
  </si>
  <si>
    <t>SOCIAL MEDIA; DONATION; HEALTH; COMMUNICATION; RECRUITMENT; INSTAGRAM</t>
  </si>
  <si>
    <t>The explosive success of TikTok is one of a long list of phenomena that are transforming audiovisual relationships, creation, and consumption (Gomez-Garcia; Vicent-Ibanez, 2022). At the same time, social networks are demonstrating a capacity for outreach, awareness, and activism through innovative narratives that impact the audience. Therefore, we ask if and how, in addition to entertaining and being a place to find the latest trends, TikTok can help promote health activism linked to blood donation -an act of social responsibility- the collection of which has been in sharp decline for years (Carter et al., 2011; Huis-in 't-Veld et al., 2019). Through multimodal discourse analysis (Kress, 2012), we determine the characteristics, significance, and communicative resources of the tiktoks that the platform grouped under the hashtag #donasangre [#DonateBlood], ultimately comparing them with the perception and relationship that a large group of young university students expressed in focus groups. Among the results, we highlight how content on TikTok is reinterpreted and appropriated, as well as the false myths perpetuated among young people that keep them from donating and reinforce the importance of health institutions taking an active role in the online conversation and integrating narrative innovation into their content creation dynamics. Qualitative analysis of comments (6,215) revealed that there is an audience that comes together (Juris, 2012) and whose members reaffirm their status as donors and whose experience tempers the idea of donating being stressful and scary.</t>
  </si>
  <si>
    <t>[Martinez-Sanz, Raquel; Arribas-Urrutia, Amaia] Univ Valladolid, Fac Filosofia &amp; Letras, Plaza Campus,S-N, Valladolid 47011, Spain</t>
  </si>
  <si>
    <t>Arribas-Urrutia, A (corresponding author), Univ Valladolid, Fac Filosofia &amp; Letras, Plaza Campus,S-N, Valladolid 47011, Spain.</t>
  </si>
  <si>
    <t>raquel.martinez.sanz@uva.es; amaya.arribas@uva.es</t>
  </si>
  <si>
    <t>Arribas, Amaia/JDV-9135-2023; Martínez-Sanz, Raquel/AAK-5756-2020; Martinez-Sanz, Raquel/F-5098-2012</t>
  </si>
  <si>
    <t>Martinez-Sanz, Raquel/0000-0002-4753-0282; Arribas Urrutia, Amaia/0000-0001-9452-8364</t>
  </si>
  <si>
    <t>Spanish State Research Agency [Agencia Estatal de Investigacion] [PID2020-114007RB-I00]; MCIN AEI; NextGenerationEU European Commission</t>
  </si>
  <si>
    <t>Spanish State Research Agency [Agencia Estatal de Investigacion]; MCIN AEI; NextGenerationEU European Commission</t>
  </si>
  <si>
    <t>This article is a result of: 1. The R+D+i project Innovation ecosystems in the communication industries: actors, technologies and configurations for the generation of innovation in content and communication. Innovacom [Ecosistemas de innovacion en las industrias de la comunicacion: actores, tecnologias y configuraciones para la generacion de innovacion en contenido y comunicacion. Innovacom], funded by the Spanish State Research Agency [Agencia Estatal de Investigacion] (PID2020-114007RB-I00), MCIN AEI/10.13039/501100011033. 2. The author Raquel Martinez-Sanz is a beneficiary of a Requalification Grant (2022-2024) funded by the NextGenerationEU European Commission.</t>
  </si>
  <si>
    <t>e320305</t>
  </si>
  <si>
    <t>10.3145/epi.2023.may.05</t>
  </si>
  <si>
    <t>T0HA0</t>
  </si>
  <si>
    <t>WOS:001074871700007</t>
  </si>
  <si>
    <t>Meng, XM</t>
  </si>
  <si>
    <t>Meng, Xiangming</t>
  </si>
  <si>
    <t>Be aware of childhood anxiety disorders in the COVID-19 era</t>
  </si>
  <si>
    <t>COVID-19; social media; tiktok; tonsillolithiasis; anosmia</t>
  </si>
  <si>
    <t>[Meng, Xiangming] Wuxi Huishan Dist Peoples Hosp, Dept Otolaryngol, 2 Zhanqian North Rd, Wuxi 214187, Jiangsu, Peoples R China</t>
  </si>
  <si>
    <t>Meng, XM (corresponding author), Wuxi Huishan Dist Peoples Hosp, Dept Otolaryngol, 2 Zhanqian North Rd, Wuxi 214187, Jiangsu, Peoples R China.</t>
  </si>
  <si>
    <t>xiangming_meng@hotmail.com</t>
  </si>
  <si>
    <t>meng, xiangming/AAU-5868-2020</t>
  </si>
  <si>
    <t>Meng, Xiangming/0000-0001-8250-9887</t>
  </si>
  <si>
    <t>1_SUPPL</t>
  </si>
  <si>
    <t>1_</t>
  </si>
  <si>
    <t>7S</t>
  </si>
  <si>
    <t>8S</t>
  </si>
  <si>
    <t>10.1177/01455613211063241</t>
  </si>
  <si>
    <t>DEC 2021</t>
  </si>
  <si>
    <t>ST6T5</t>
  </si>
  <si>
    <t>WOS:000729791700001</t>
  </si>
  <si>
    <t>Zamora-Medina, R</t>
  </si>
  <si>
    <t>Lilleker, D; Veneti, A</t>
  </si>
  <si>
    <t>Zamora-Medina, Rocio</t>
  </si>
  <si>
    <t>Politainment as dance: visual storytelling on TikTok among Spanish political parties</t>
  </si>
  <si>
    <t>RESEARCH HANDBOOK ON VISUAL POLITICS</t>
  </si>
  <si>
    <t>Elgar Handbooks in Political Science</t>
  </si>
  <si>
    <t>SOCIAL MEDIA; COMMUNICATION; INFOTAINMENT; INFORMATION; INSTAGRAM; NEWS</t>
  </si>
  <si>
    <t>[Zamora-Medina, Rocio] Univ Murcia, Murcia, Spain; [Zamora-Medina, Rocio] EU COST Act 18230 INDCOR Interact Narrat Design C, Brussels, Belgium; [Zamora-Medina, Rocio] Bournemouth Univ, Poole, Dorset, England; [Zamora-Medina, Rocio] Univ Florida, Gainesville, FL 32611 USA; [Zamora-Medina, Rocio] Rutgers State Univ, Piscataway, NJ 08855 USA; [Zamora-Medina, Rocio] London Sch Econ, London, England; [Zamora-Medina, Rocio] Univ Wroclaw, Wroclaw, Poland</t>
  </si>
  <si>
    <t>University of Murcia; Bournemouth University; State University System of Florida; University of Florida; Rutgers University System; Rutgers University New Brunswick; University of London; London School Economics &amp; Political Science; University of Wroclaw</t>
  </si>
  <si>
    <t>Zamora-Medina, R (corresponding author), Univ Murcia, Murcia, Spain.;Zamora-Medina, R (corresponding author), EU COST Act 18230 INDCOR Interact Narrat Design C, Brussels, Belgium.;Zamora-Medina, R (corresponding author), Bournemouth Univ, Poole, Dorset, England.;Zamora-Medina, R (corresponding author), Rutgers State Univ, Piscataway, NJ 08855 USA.;Zamora-Medina, R (corresponding author), London Sch Econ, London, England.;Zamora-Medina, R (corresponding author), Univ Wroclaw, Wroclaw, Poland.</t>
  </si>
  <si>
    <t>ZAMORA MEDINA, ROCIO/K-3828-2013</t>
  </si>
  <si>
    <t>EDWARD ELGAR PUBLISHING LTD</t>
  </si>
  <si>
    <t>CHELTENHAM</t>
  </si>
  <si>
    <t>THE LYPIATTS, 15 LANSDOWN RD, CHELTENHAM GL50 2JA, GLOS, ENGLAND</t>
  </si>
  <si>
    <t>978-1-80037-693-9; 978-1-80037-692-2</t>
  </si>
  <si>
    <t>ELGAR HANDB POLIT SC</t>
  </si>
  <si>
    <t>10.4337/9781800376939</t>
  </si>
  <si>
    <t>Business; Communication; Political Science</t>
  </si>
  <si>
    <t>Business &amp; Economics; Communication; Government &amp; Law</t>
  </si>
  <si>
    <t>BV2TM</t>
  </si>
  <si>
    <t>WOS:001011030100018</t>
  </si>
  <si>
    <t>Wang, HX</t>
  </si>
  <si>
    <t>Wang, Hongxia</t>
  </si>
  <si>
    <t>Exploring Brand Attachment Dynamics in Live Streaming Platforms: a TikTok Perspective in the Digital Knowledge Economy</t>
  </si>
  <si>
    <t>Brand attachment; Live streaming platforms; TikTok; User loyalty; Digital marketing; Structural equation modeling</t>
  </si>
  <si>
    <t>PERCEIVED RISK; SELF-EXPRESSION; SERVICE QUALITY; CONSUMERS; EXPERIENCE; IMPACT; LOYALTY; TRUST; IDENTIFICATION; CONSEQUENCES</t>
  </si>
  <si>
    <t>In the rapidly evolving digital age, characterized by the convergence of internet technologies and digital interactive media, live-streaming platforms have emerged as dynamic spaces for real-time user engagement and authenticity. This paper delves into brand attachment and loyalty within live streaming, focusing on the immensely popular TikTok platform. Amid the Internet +  era and digital marketing landscape, understanding the factors influencing users' emotional connections to brands on TikTok is paramount. Utilizing a quantitative approach and structural equation modeling, this research investigates the multifaceted dynamics of brand attachment, examining the impact of brand experience, perceived value, perceived risk, self-expression, and self-congruity on users' emotional bonds with brands on TikTok. Surprisingly, self-expression emerges as the most influential factor, followed closely by perceived value, while brand experience exhibits the smallest effect on brand attachment. The findings shed light on the pivotal role of self-expression in fostering brand attachment and ultimately driving user brand loyalty. Moreover, brand attachment acts as a crucial mediator, linking brand experience, perceived value, perceived risk, self-congruity, self-expression, and brand loyalty. Theoretical implications challenge conventional notions of emotional attachment research, emphasizing the significance of user-defined self-expression in the digital knowledge economy. Managerial implications highlight the need for personalized marketing strategies that align with individual user uniqueness and the development of emotionally resonant content to enhance user experiences. This study contributes to a deeper understanding of the intricate relationship between users and brands in the dynamic environment of live-streaming platforms, offering valuable insights for businesses navigating the ever-changing digital landscape.</t>
  </si>
  <si>
    <t>[Wang, Hongxia] Zhoukou Normal Univ, Zhoukou 466000, Henan, Peoples R China</t>
  </si>
  <si>
    <t>Zhoukou Normal University</t>
  </si>
  <si>
    <t>Wang, HX (corresponding author), Zhoukou Normal Univ, Zhoukou 466000, Henan, Peoples R China.</t>
  </si>
  <si>
    <t>whx116114@163.com</t>
  </si>
  <si>
    <t>2024 FEB 2</t>
  </si>
  <si>
    <t>10.1007/s13132-024-01786-3</t>
  </si>
  <si>
    <t>GO9Y1</t>
  </si>
  <si>
    <t>WOS:001153740300001</t>
  </si>
  <si>
    <t>Can Videos on TikTok Improve Pap Smear Attitudes and Intentions? Effects of Source and Autonomy Support in Short-Form Health Videos</t>
  </si>
  <si>
    <t>SELF-DETERMINATION THEORY; SOURCE CREDIBILITY; REACTANCE; MESSAGES; BEHAVIOR; WOMEN; TRIAL</t>
  </si>
  <si>
    <t>This study was designed to test the effects of two message features (source and level of autonomy support) that are commonly found in short-form social media (e.g. TikTok) videos about Pap tests. The source is defined as who is communicating the message, and autonomy support refers to providing an individual with the independence, respect, and choice to make their own decision. In an online experiment, 636 females aged 21-29 viewed TikTok videos about Pap tests varying in source (doctor vs. peer) and level of autonomy support (either using controlling language to demand getting a Pap test or being supportive of one's choice of whether they receive a Pap test) and then responded to outcomes measures including perceived source credibility, perceived message effectiveness, attitude toward the message, attitude toward Pap tests, intention to engage with the videos, and intention to get a Pap test. Doctors were perceived as more credible than peers, and doctor videos were perceived to be more effective than peer videos. Autonomy support interacted with source, such that autonomy-supportive videos delivered by a doctor improved attitude toward the messaging and attitude toward Pap tests. Regardless of the source, autonomy-supportive videos increased intention to engage with the content on social media. As Pap test rates have recently declined among young women in the United States and viewing of Pap test-related videos has skyrocketed on the TikTok platform, short-form social media sites like TikTok may be an effective health communication tool for health professionals.</t>
  </si>
  <si>
    <t>[Kirkpatrick, Ciera E.] Univ Nebraska Lincoln, Coll Journalism &amp; Mass Commun, Lincoln, New Zealand; [Lawrie, LaRissa L.] Univ Missouri, Sch Journalism, Columbia, MO USA; [Kirkpatrick, Ciera E.] Univ Nebraska Lincoln, Coll Journalism &amp; Mass Commun, 331 Andersen Hall, Lincoln, NE 68588 USA</t>
  </si>
  <si>
    <t>University of Missouri System; University of Missouri Columbia; University of Nebraska System; University of Nebraska Lincoln</t>
  </si>
  <si>
    <t>Emerging Scholars Grant from the association for Education in Journalism amp; Mass Communication (AEJMC)</t>
  </si>
  <si>
    <t>This work was supported by an Emerging Scholars Grant from the association for Education in Journalism &amp; Mass Communication (AEJMC)</t>
  </si>
  <si>
    <t>10.1080/10410236.2023.2254962</t>
  </si>
  <si>
    <t>E4B2Q</t>
  </si>
  <si>
    <t>WOS:001070120600001</t>
  </si>
  <si>
    <t>Günlü, A; Oral, T; Yoo, S; Chung, S</t>
  </si>
  <si>
    <t>Gunlu, Aykut; Oral, Tuncay; Yoo, Soyoung; Chung, Seockhoon</t>
  </si>
  <si>
    <t>Reliability and validity of the problematic TikTok Use Scale among the general population</t>
  </si>
  <si>
    <t>FRONTIERS IN PSYCHIATRY</t>
  </si>
  <si>
    <t>validation; reliability; social media; psychology; TikTok; problematic use</t>
  </si>
  <si>
    <t>ONLINE SOCIAL NETWORKING; FACEBOOK ADDICTION; INTERNET ADDICTS; DEPRESSION; STUDENTS; TURKISH; MEDIA</t>
  </si>
  <si>
    <t>IntroductionThis study aims to provide a scale for measuring problematic TikTok use levels by adapting items from the Instagram Addiction Scale. MethodsThe 372 participants were determined by a convenience sampling method, and data were collected through Google online forms. Exploratory Factor Analysis (EFA) and Confirmatory Factor Analysis (CFA) were performed for construct validity and criterion-related validity analysis. Criterion-related validity for the Problematic TikTok Use Scale (PTTUS) was tested using correlation analysis between the Bergen Social Media Addiction Scale and Social Media Use Disorder Scale. ResultsEFA indicated that a three-factor structure should be formed. The first factor is the sub-dimension of obsession and consists of 4 items, the second factor is the escapism sub-dimension and consists of 6 items, and the third factor is the lack of control sub-dimension and consists of 6 items. The model fit for adapting the PTTUS into Turkish was examined with first-level CFA, chi 2/sd, RMSEA, CFI, GFI, AGFI, and SRMR, the obtained values show that the three-factor structure of the scale provides acceptable fit. Reliability analyses showed that Cronbach's alpha internal consistency reliability coefficient ranged from 0.83 to 0.90; McDonald's Omega reliability values was 0.84 to 0.90, and test-retest correlation coefficient ranged from 0.68 to 0.73, indicating sufficient internal consistency and test-retest reliability. ConclusionBased on this information, PTTUS is a measurement tool with sufficient psychometric properties that can be applied to determine individuals' levels of problematic TikTok use.</t>
  </si>
  <si>
    <t>[Gunlu, Aykut; Oral, Tuncay] Pamukkale Univ, Dept Child Care &amp; Youth Serv, Denizli, Turkiye; [Yoo, Soyoung] Univ Ulsan, Asan Med Ctr, Dept Convergence Med, Coll Med, Seoul, South Korea; [Chung, Seockhoon] Univ Ulsan, Asan Med Ctr, Dept Psychiat, Coll Med, Seoul, South Korea</t>
  </si>
  <si>
    <t>Pamukkale University; University of Ulsan; Asan Medical Center; University of Ulsan; Asan Medical Center</t>
  </si>
  <si>
    <t>Yoo, S (corresponding author), Univ Ulsan, Asan Med Ctr, Dept Convergence Med, Coll Med, Seoul, South Korea.;Chung, S (corresponding author), Univ Ulsan, Asan Med Ctr, Dept Psychiat, Coll Med, Seoul, South Korea.</t>
  </si>
  <si>
    <t>mesoyoung@gmail.com; schung@amc.seoul.kr</t>
  </si>
  <si>
    <t>Chung, Seockhoon/AAS-6676-2021</t>
  </si>
  <si>
    <t>Oral, Tuncay/0000-0001-5039-9812</t>
  </si>
  <si>
    <t>1664-0640</t>
  </si>
  <si>
    <t>FRONT PSYCHIATRY</t>
  </si>
  <si>
    <t>Front. Psychiatry</t>
  </si>
  <si>
    <t>10.3389/fpsyt.2023.1068431</t>
  </si>
  <si>
    <t>D1YO6</t>
  </si>
  <si>
    <t>WOS:000966748100001</t>
  </si>
  <si>
    <t>Trepanowski, N; Grant-Kels, JM</t>
  </si>
  <si>
    <t>Trepanowski, Nicole; Grant-Kels, Jane M.</t>
  </si>
  <si>
    <t>Social media dermatologic advice: Dermatology without dermatologists</t>
  </si>
  <si>
    <t>advice; dermatology; influencer; Instagram; social media; treatment; TikTok; YouTube.</t>
  </si>
  <si>
    <t>PEDIATRIC TELEDERMATOLOGY; IMPACT</t>
  </si>
  <si>
    <t>[Grant-Kels, Jane M.] Boston Univ, Sch Med, Boston, MA USA; [Grant-Kels, Jane M.] Univ Florida, Coll Med, Dept Dermatol, Gainesville, FL USA; [Grant-Kels, Jane M.] Univ Connecticut, Sch Med, Dept Dermatol, Farmington, CT USA; [Grant-Kels, Jane M.] Univ Connecticut, Hlth Ctr, Dept Dermatol, 21 South Rd, Farmington, CT 06032 USA</t>
  </si>
  <si>
    <t>Boston University; State University System of Florida; University of Florida; University of Connecticut; University of Connecticut</t>
  </si>
  <si>
    <t>Grant-Kels, JM (corresponding author), Univ Connecticut, Hlth Ctr, Dept Dermatol, 21 South Rd, Farmington, CT 06032 USA.</t>
  </si>
  <si>
    <t>grant@uchc.edu</t>
  </si>
  <si>
    <t>10.1016/j.jdin.2023.05.004</t>
  </si>
  <si>
    <t>RI1O6</t>
  </si>
  <si>
    <t>WOS:001226945900020</t>
  </si>
  <si>
    <t>Bailie, A</t>
  </si>
  <si>
    <t>Bailie, A.</t>
  </si>
  <si>
    <t>Young Adults On Mental Health Instagram and TikTok: Self-Care, Self-Diagnosis and Performances of The Mentally Healthy Self</t>
  </si>
  <si>
    <t>[Bailie, A.] Univ York, Polit &amp; Int Relat, York, N Yorkshire, England</t>
  </si>
  <si>
    <t>ECP0004</t>
  </si>
  <si>
    <t>S37</t>
  </si>
  <si>
    <t>F5W6J</t>
  </si>
  <si>
    <t>WOS:001310523500104</t>
  </si>
  <si>
    <t>Peipert, BJ; Wu, J; Taylor-Cho, IA; Lunn, SR; Swartz, JJ; Acharya, K</t>
  </si>
  <si>
    <t>Peipert, Benjamin J.; Wu, Jenny; Taylor-Cho, Ian A.; Lunn, Siera R.; Swartz, Jonas J.; Acharya, Kelly</t>
  </si>
  <si>
    <t>The #IVF journey: content analysis of IVF videos on TikTok</t>
  </si>
  <si>
    <t>REPRODUCTIVE BIOMEDICINE ONLINE</t>
  </si>
  <si>
    <t>Social media; Infertility; IVF; Gestational carriers; LGBTQ plus</t>
  </si>
  <si>
    <t>Research question: What patient populations and outcomes are depicted on IVF videos on the short-form video-sharing application 'TikTok'?Design: This cross-sectional study investigated the 100 most-viewed videos utilizing the #IVF hashtag on TikTok. Only videos in English or Spanish were included in the analysis. An automated web-scraping platform was used to extract information from these videos. Standardized video coding was used to evaluate the featured subject(s), phase of care and IVF outcomes from the videos.Results: Videos meeting the inclusion criteria (n=93) had 731 million views, 91 million likes and 893,000 shares. Patients' personal stories about IVF are over-represented relative to videos created by healthcare professionals. #IVF videos popular on TikTok disproportionately depict same-sex couples (38.1%), gestational carriers (14.0%), multiple gestations (60.0%) and live births (89.3%) relative to real-world data. Among the videos making scientific claims (n=16), nearly all were moderately to highly accurate (93.8%). Most videos had a positive (55.9%) or neutral (5.5%) tone towards IVF.Conclusions: Popular #IVF videos on TikTok contribute to public discourse about infertility, and highlight demographics that have traditionally been under-represented in health care. Videos rarely focused on health education or made informational claims, with low scores on measures of quality of information and actionability. This gap represents an opportunity for health providers and educators to create more engaging and educational content to reach patients considering IVF.</t>
  </si>
  <si>
    <t>[Peipert, Benjamin J.; Wu, Jenny; Taylor-Cho, Ian A.; Lunn, Siera R.] Duke Univ, Sch Med, Dept Obstet &amp; Gynecol, Durham, NC 27708 USA; [Swartz, Jonas J.] Duke Univ, Sch Med, Dept Obstet &amp; Gynecol, Div Womens Community &amp; Populat Hlth, Durham, NC USA; [Acharya, Kelly] Duke Univ, Sch Med, Dept Obstet &amp; Gynecol, Div Reprod Endocrinol &amp; Infertil, Durham, NC USA</t>
  </si>
  <si>
    <t>Peipert, BJ (corresponding author), Duke Univ, Sch Med, Dept Obstet &amp; Gynecol, Durham, NC 27708 USA.</t>
  </si>
  <si>
    <t>Benjamin.peipert@duke.edu</t>
  </si>
  <si>
    <t>Swartz, Jonas/0000-0002-9726-965X; Peipert, Benjamin/0000-0002-5038-7472</t>
  </si>
  <si>
    <t>Acknowledgements This work was conducted with the support of award K12HD103083 from the National Institute of Child Health and Human Development (NICHD) of the U.S. National Institutes of Health. The content is solely the responsibility of the authors and does not necessarily represent the of ficial views of the National Institutes of Health.</t>
  </si>
  <si>
    <t>1472-6483</t>
  </si>
  <si>
    <t>1472-6491</t>
  </si>
  <si>
    <t>REPROD BIOMED ONLINE</t>
  </si>
  <si>
    <t>Reprod. Biomed. Online</t>
  </si>
  <si>
    <t>10.1016/j.rbmo.2023.103372</t>
  </si>
  <si>
    <t>Y6BZ0</t>
  </si>
  <si>
    <t>WOS:001106103200001</t>
  </si>
  <si>
    <t>Whelan, J; Noller, GE; Ward, RD</t>
  </si>
  <si>
    <t>Whelan, Jai; Noller, Geoffrey E. E.; Ward, Ryan D. D.</t>
  </si>
  <si>
    <t>Rolling through TikTok: An analysis of 3,4-methylenedioxymethamphetamine-related content</t>
  </si>
  <si>
    <t>MDMA; social media</t>
  </si>
  <si>
    <t>ALCOHOL; DRUG</t>
  </si>
  <si>
    <t>Introduction: TikTok has quickly gained popularity through its platforming of large amounts of short video content. Given its widespread popularity, unrestricted access and poor content monitoring may allow 3,4-methylenedioxymethamphetamine (MDMA)-related content to influence perception of MDMA use. We aimed to investigate how MDMA-related videos are portrayed on TikTok and explore MDMA-related harm reduction content. Methods: MDMA-related hashtags and sounds were utilised to collect data from TikTok (n = 498). Video views, likes, comments and shares were recorded and quantified, and videos were coded for depiction/sentiment towards MDMA and thematic content.Results: The total sample view count was 82,413,781. Videos had a median view count of 28,900 (SD = +/- 561,645), median like count of 2269 (SD = +/- 102,904), median comment count of 52 (SD = +/- 755), and median share count of 34 (SD = +/- 3292). Most videos depicted MDMA neutrally (40.6%), while 34.9% were positive. MDMA intoxication was presumed in 40.2% of videos. The analysis produced seven themes, of which humour was the most common (80.5%). Harm reduction content was present in nine videos, viewed 999,700 times, and consisted of mixed subject matter.Discussion and Conclusions: Similar themes and issues surrounding drug related content on TikTok are relevant to MDMA, and intoxication was present in a significant portion of the sample. Better monitoring or regulation of content could potentially offset harm that may arise from consumption of such content. Promotion of harm reduction content could also be trialled to minimise harm.</t>
  </si>
  <si>
    <t>[Whelan, Jai; Ward, Ryan D. D.] Univ Otago, Dept Psychol, Dunedin, New Zealand; [Noller, Geoffrey E. E.] Univ Otago, Bioeth Ctr, Dunedin Sch Med, Dunedin, New Zealand; [Whelan, Jai] Univ Otago, Dept Psychol, William James Bldg,Level 1,275 Leith Walk, Dunedin 9016, New Zealand</t>
  </si>
  <si>
    <t>University of Otago; University of Otago; University of Otago</t>
  </si>
  <si>
    <t>Whelan, J (corresponding author), Univ Otago, Dept Psychol, William James Bldg,Level 1,275 Leith Walk, Dunedin 9016, New Zealand.</t>
  </si>
  <si>
    <t>jai.whelan@postgrad.otago.ac.nz</t>
  </si>
  <si>
    <t>Noller, Geoff/LGY-8792-2024; Whelan, Jai/JPL-8326-2023</t>
  </si>
  <si>
    <t>Noller, Geoff/0000-0002-5451-028X; Whelan, Jai/0000-0002-7543-5418</t>
  </si>
  <si>
    <t>10.1111/dar.13640</t>
  </si>
  <si>
    <t>GN4E9</t>
  </si>
  <si>
    <t>WOS:000949899000001</t>
  </si>
  <si>
    <t>Cao, NY; Isa, NM; Perumal, S</t>
  </si>
  <si>
    <t>Cao, Ningyan; Isa, Normalisa Md; Perumal, Selvan</t>
  </si>
  <si>
    <t>Effects of Prior Negative Experience and Personality Traits on WeChat and TikTok Ad Avoidance among Chinese Gen Y and Gen Z</t>
  </si>
  <si>
    <t>JOURNAL OF THEORETICAL AND APPLIED ELECTRONIC COMMERCE RESEARCH</t>
  </si>
  <si>
    <t>ad avoidance; prior negative experience; personality traits; WeChat; TikTok; Gen Y; Gen Z</t>
  </si>
  <si>
    <t>ADVERTISING AVOIDANCE; SOCIAL MEDIA; GENERATION Z; FACEBOOK; CONSEQUENCES; ANTECEDENTS; PREDICTORS; BEHAVIOR; IMPACT</t>
  </si>
  <si>
    <t>While numerous people use social mobile applications, ads within these apps are often avoided. Although the significance of prior negative experience and personality traits in impacting consumers' perceptions and behaviors has been acknowledged, limited research has explored their influence on ad perceptions and avoidance. This study aims to examine the effects of prior negative experience and personality traits on ad perceptions and ad avoidance of Generation Y (Gen Y) and Generation Z (Gen Z) within two prominent mobile social apps: WeChat and TikTok. An online survey was used to gather data from 353 Chinese Gen Y and Gen Zers who were active users of WeChat and TikTok. Findings from several regression analyses show that prior negative experience is an essential determinant of ad avoidance, influencing not just directly but indirectly by diminishing perceived ad personalization and intensifying perceived goal impediment and ad clutter. Personality traits also significantly affect ad avoidance, with conscientiousness exerting a positive effect, whereas agreeableness has a negative impact. Notably, agreeableness, emotional stability, and openness to experience moderate the associations between ad perceptions and avoidance. Intriguingly, the effects of these factors are platform-specific, with WeChat's main factor for ad avoidance being erceived goal impediment and TikTok's main factor being ad clutter. Based on these findings, the theoretical and practical implications are discussed.</t>
  </si>
  <si>
    <t>[Cao, Ningyan; Isa, Normalisa Md; Perumal, Selvan] Univ Utara Malaysia, Sch Business Management, Dept Mkt, Sintok 06010, Malaysia</t>
  </si>
  <si>
    <t>Universiti Utara Malaysia</t>
  </si>
  <si>
    <t>Cao, NY (corresponding author), Univ Utara Malaysia, Sch Business Management, Dept Mkt, Sintok 06010, Malaysia.</t>
  </si>
  <si>
    <t>cao_ningyan@oyagsb.uum.edu.my; normalisa@uum.edu.my; selvan@uum.edu.my</t>
  </si>
  <si>
    <t>Md Isa, Normalisa/AFZ-5112-2022</t>
  </si>
  <si>
    <t>Ningyan, Cao/0009-0003-0404-3040</t>
  </si>
  <si>
    <t>0718-1876</t>
  </si>
  <si>
    <t>J THEOR APPL EL COMM</t>
  </si>
  <si>
    <t>J. Theor. Appl. Electron. Commer. Res.</t>
  </si>
  <si>
    <t>10.3390/jtaer19010006</t>
  </si>
  <si>
    <t>MI3V3</t>
  </si>
  <si>
    <t>WOS:001192963500001</t>
  </si>
  <si>
    <t>Shutsko, A</t>
  </si>
  <si>
    <t>Meiselwitz, G</t>
  </si>
  <si>
    <t>Shutsko, Aliaksandra</t>
  </si>
  <si>
    <t>User-Generated Short Video Content in Social Media. A Case Study of TikTok</t>
  </si>
  <si>
    <t>SOCIAL COMPUTING AND SOCIAL MEDIA. PARTICIPATION, USER EXPERIENCE, CONSUMER EXPERIENCE, AND APPLICATIONS OF SOCIAL COMPUTING, SCSM 2020, PT II</t>
  </si>
  <si>
    <t>Information Systems and Applications, incl. Internet/Web, and HCI</t>
  </si>
  <si>
    <t>12th International Conference on Social Computing and Social Media (SCSM) part of the 22nd International Conference on Human-Computer Interaction (HCI)</t>
  </si>
  <si>
    <t>JUL 19-24, 2020</t>
  </si>
  <si>
    <t>TikTok; Video sharing; Content analysis; Gender differences; Law infringements</t>
  </si>
  <si>
    <t>According to Alexa's ranking of the top 500 sites on the web, YouTube takes the second place, demonstrating the importance of online services focused on sharing of short self-shot videos. With growing popularity of mobile phones, mobile only short video sharing social media applications appeared on the market. One of such applications is TikTok, probably the most talked-of video sharing platform of 2019, similar to its twin service for the Chinese market, called Douyin. The content on YouTube varies greatly in topic: from music and toys to science and technologies, from computer games and cooking to education and politics. But does the content on mobile short video platforms differ that much too? The content of 1,000 videos on TikTok as a prominent representative of mobile short video sharing social media services was analyzed to find out which content is common and popular on TikTok. Content analysis was applied as the main research technique. Comedy videos and musical performances turned out to be the most popular and the most frequent categories among both male and female performers. Comedy videos are, however, especially frequent among male creators. At that, videos related to beauty and DIY are common for females, but not for males. Additional attention in this study was paid to the potential law infringements on the platform. The cases of potential violations of copyright and personal rights were observed. Videos containing inappropriate contents such as violence, sexual activity, or consumption of drugs and alcohol were, by contrast, not revealed.</t>
  </si>
  <si>
    <t>[Shutsko, Aliaksandra] Heinrich Heine Univ Dusseldorf, Dusseldorf, Germany</t>
  </si>
  <si>
    <t>Shutsko, A (corresponding author), Heinrich Heine Univ Dusseldorf, Dusseldorf, Germany.</t>
  </si>
  <si>
    <t>aliaksandra.shutsko@uni-duesseldorf.de</t>
  </si>
  <si>
    <t>978-3-030-49575-6; 978-3-030-49576-3</t>
  </si>
  <si>
    <t>IN SY AP IN WE HC</t>
  </si>
  <si>
    <t>10.1007/978-3-030-49576-3_8</t>
  </si>
  <si>
    <t>Computer Science, Cybernetics; Computer Science, Information Systems; Computer Science, Interdisciplinary Applications; Social Sciences, Interdisciplinary</t>
  </si>
  <si>
    <t>Computer Science; Social Sciences - Other Topics</t>
  </si>
  <si>
    <t>BX5EP</t>
  </si>
  <si>
    <t>WOS:001297926500008</t>
  </si>
  <si>
    <t>Xiong, ML; Young, AT; Fernandez, A; Jones, JS; Kirby, AM</t>
  </si>
  <si>
    <t>Xiong, Mulin; Young, Albert T.; Fernandez, Annelise; Jones, Jasmine S.; Kirby, Amy M.</t>
  </si>
  <si>
    <t>Understanding Breast Cancer Surgery Through Tiktok: an Analysis of Video Content and Viewer Engagement</t>
  </si>
  <si>
    <t>ANNALS OF SURGICAL ONCOLOGY</t>
  </si>
  <si>
    <t>Background. Breast cancer is the most common cancer in adolescents and young adults. Social media, particularly TikTok, has emerged as a crucial platform for sharing health information in this population. This study aims to characterize breast cancer surgery information on TikTok, focusing on content reliability, viewer reception, and areas for improvement. Methods. We queried the search terms breast cancer surgery, mastectomy, and lumpectomy on TikTok, evaluating the top 50 videos for each. After watching each video, characteristics were recorded including: creator characteristics, video metrics, viewer reception, and video content. Statistical analysis was performed using Spearman's rank correlations and t-tests. Results. A total of 138 videos were analyzed (excluding 12 duplicates from the initial 150). These videos received 4,895,373 likes and 109,705 comments. The most common content types were storytelling (57%) and education (20%), and the most common creator types were patients (77.3%) and physicians (10.3%). Videos with educational content by physicians were rare (6.5%). Engagement varied on the basis of video length, search terms, and creator characteristics. Overall, viewer comments predominantly expressed support and interest. Conclusions. Our study reveals that information on breast cancer surgery is widely shared on TikTok and has high viewer engagement. Factors influencing impact include video length, creator background, and search terms. While social media has democratized information sharing, there is a relative lack of physician creators providing objective and educational content. We highlight opportunities for health professionals to engage in social media as a tool for health education and ensure diverse and reliable healthcare content on these platforms.</t>
  </si>
  <si>
    <t>[Xiong, Mulin; Kirby, Amy M.] Trinity Hlth Oakland Hosp, Gen Surg Dept, Pontiac, MI 48341 USA; [Young, Albert T.] Henry Ford Hlth, Detroit, MI USA; [Fernandez, Annelise; Jones, Jasmine S.] Ross Univ, Sch Med, Bridgetown, Barbados</t>
  </si>
  <si>
    <t>Henry Ford Health System</t>
  </si>
  <si>
    <t>Xiong, ML (corresponding author), Trinity Hlth Oakland Hosp, Gen Surg Dept, Pontiac, MI 48341 USA.</t>
  </si>
  <si>
    <t>mulin.xiong@gmail.com</t>
  </si>
  <si>
    <t>Xiong, Mulin/0000-0003-0950-9869</t>
  </si>
  <si>
    <t>1068-9265</t>
  </si>
  <si>
    <t>1534-4681</t>
  </si>
  <si>
    <t>ANN SURG ONCOL</t>
  </si>
  <si>
    <t>Ann. Surg. Oncol.</t>
  </si>
  <si>
    <t>10.1245/s10434-024-15268-y</t>
  </si>
  <si>
    <t>Oncology; Surgery</t>
  </si>
  <si>
    <t>TU9J9</t>
  </si>
  <si>
    <t>WOS:001199256700007</t>
  </si>
  <si>
    <t>Shaw, J</t>
  </si>
  <si>
    <t>Shaw, John</t>
  </si>
  <si>
    <t>Dance as the language of love-considering joint authorship in the era of TikTok and after Kogan v Martin</t>
  </si>
  <si>
    <t>JOURNAL OF INTELLECTUAL PROPERTY LAW &amp; PRACTICE</t>
  </si>
  <si>
    <t>[Shaw, John] Foot Anstey LLP, London, England</t>
  </si>
  <si>
    <t>Shaw, J (corresponding author), Foot Anstey LLP, London, England.</t>
  </si>
  <si>
    <t>John.shaw@footanstey.com</t>
  </si>
  <si>
    <t>1747-1532</t>
  </si>
  <si>
    <t>1747-1540</t>
  </si>
  <si>
    <t>J INTELLET PROP LAW</t>
  </si>
  <si>
    <t>J. Intellect. Prop. Law Pract.</t>
  </si>
  <si>
    <t>10.1093/jiplp/jpaa211</t>
  </si>
  <si>
    <t>SN3BZ</t>
  </si>
  <si>
    <t>WOS:000658169800014</t>
  </si>
  <si>
    <t>Do You Want to Make a TikTok? Is It Time to BeReal?: Gen Z, Social Media, and Digital Literacies</t>
  </si>
  <si>
    <t>JOURNAL OF LANGUAGE AND LITERACY EDUCATION</t>
  </si>
  <si>
    <t>[Boffone, Trevor] Univ Houston, Womens Gender &amp; Sexual Studies Program, Houston, TX 77004 USA</t>
  </si>
  <si>
    <t>Boffone, T (corresponding author), Univ Houston, Womens Gender &amp; Sexual Studies Program, Houston, TX 77004 USA.</t>
  </si>
  <si>
    <t>UNIV GEORGIA, COLL EDUCATION</t>
  </si>
  <si>
    <t>ATHENS</t>
  </si>
  <si>
    <t>427 TUCKER HALL, ATHENS, GA 30602 USA</t>
  </si>
  <si>
    <t>1559-9035</t>
  </si>
  <si>
    <t>J LANG LIT EDUC</t>
  </si>
  <si>
    <t>J. Lan. Lit. Educ.</t>
  </si>
  <si>
    <t>K2YI1</t>
  </si>
  <si>
    <t>WOS:001015142100018</t>
  </si>
  <si>
    <t>Martínez, AB; Sanmamed, MG</t>
  </si>
  <si>
    <t>Blanco Martinez, Alfredo; Gonzalez Sanmamed, Mercedes</t>
  </si>
  <si>
    <t>Learning from the perspective of ecologies: an experience in Secondary Education through theatre and Tiktok</t>
  </si>
  <si>
    <t>EDUCATIO SIGLO XXI</t>
  </si>
  <si>
    <t>Ecologies; education; theatre; Tiktok; Secondary Education; qualitative research</t>
  </si>
  <si>
    <t>ANALYTICS</t>
  </si>
  <si>
    <t>This paper aims to analyse a didactic and innovative experience and to reflect on its implications within the frame of learning ecologies. We will be describing how a Spanish Language and Literature Secondary school teacher transforms and enriches his educational practices while fostering new learning formats outside the physical classroom. In this case, the use of theatre makes sense as a potentially pedagogical tool together with the social network TikTok, the latter becoming a virtual environment offering new educational opportunities. A qualitative methodology based on observation and document analysis was used for this purpose, allowing us to gain a deep understanding of the object of study, its educational reality and its implications from the perspective of learning ecologies. Results show the value of long-life learning experiences, both for the teacher and for the participants, together with the impact on their identities. There is an evident need to use ICT resources such as TikTok in the classroom. These resources may encourage learning experiences, consistent with the sociocultural needs of the individuals, fostering curriculum enrichment, and stimulating a comprehensive and expanded idea of education in all levels.</t>
  </si>
  <si>
    <t>[Blanco Martinez, Alfredo; Gonzalez Sanmamed, Mercedes] Univ A Coruna, La Coruna, Spain</t>
  </si>
  <si>
    <t>Martínez, AB (corresponding author), Calle Buenavista 43,4 D, La Coruna 15006, Spain.</t>
  </si>
  <si>
    <t>alfredo.bmartinez@udc.es; mercedes.gonzalez.sanmamed@udc.es</t>
  </si>
  <si>
    <t>UNIV MURCIA</t>
  </si>
  <si>
    <t>MURCIA</t>
  </si>
  <si>
    <t>FAC BIOLOGIA, CAMPUS ESPINARDO, MURCIA, 30100, SPAIN</t>
  </si>
  <si>
    <t>1699-2105</t>
  </si>
  <si>
    <t>1989-466X</t>
  </si>
  <si>
    <t>EDUC SIGLO XXI</t>
  </si>
  <si>
    <t>JUL-OCT</t>
  </si>
  <si>
    <t>10.6018/educatio.465551</t>
  </si>
  <si>
    <t>SY3PJ</t>
  </si>
  <si>
    <t>WOS:000665803000009</t>
  </si>
  <si>
    <t>Zenone, M; Ow, N; Barbic, S</t>
  </si>
  <si>
    <t>Zenone, Marco; Ow, Nikki; Barbic, Skye</t>
  </si>
  <si>
    <t>TikTok and public health: a proposed research agenda</t>
  </si>
  <si>
    <t>public health; child health; health policy; mental health &amp; psychiatry</t>
  </si>
  <si>
    <t>[Zenone, Marco; Ow, Nikki; Barbic, Skye] Univ British Columbia, Fac Med, Dept Occupat Sci &amp; Occupat Therapy, Vancouver, BC, Canada; [Zenone, Marco] London Sch Hyg &amp; Trop Med, Fac Publ Hlth &amp; Policy, London, England; [Barbic, Skye] Providence Res Providence Hlth Care, Vancouver, BC, Canada</t>
  </si>
  <si>
    <t>University of British Columbia; University of London; London School of Hygiene &amp; Tropical Medicine</t>
  </si>
  <si>
    <t>Zenone, M (corresponding author), Univ British Columbia, Fac Med, Dept Occupat Sci &amp; Occupat Therapy, Vancouver, BC, Canada.;Zenone, M (corresponding author), London Sch Hyg &amp; Trop Med, Fac Publ Hlth &amp; Policy, London, England.</t>
  </si>
  <si>
    <t>marco.zenone@lshtm.ac.uk</t>
  </si>
  <si>
    <t>Barbic, Skye/AAW-4044-2020; Ow, Nikki/IXN-2402-2023</t>
  </si>
  <si>
    <t>Ow, Nikki/0000-0002-1684-8052</t>
  </si>
  <si>
    <t>e007648</t>
  </si>
  <si>
    <t>10.1136/bmjgh-2021-007648</t>
  </si>
  <si>
    <t>XD4JO</t>
  </si>
  <si>
    <t>gold, Green Published, Green Accepted</t>
  </si>
  <si>
    <t>WOS:000722677700001</t>
  </si>
  <si>
    <t>Basch, CH; Mohlman, J; Fera, J; Tang, H; Pellicane, A; Basch, CE</t>
  </si>
  <si>
    <t>Basch, Corey H.; Mohlman, Jan; Fera, Joseph; Tang, Hao; Pellicane, Alessia; Basch, Charles E.</t>
  </si>
  <si>
    <t>Community Mitigation of COVID-19 and Portrayal of Testing on TikTok: Descriptive Study (vol 7, e29528, 2021)</t>
  </si>
  <si>
    <t>[Basch, Corey H.; Pellicane, Alessia] William Paterson Univ, Dept Publ Hlth, Univ Hall, Wayne, NJ 07470 USA; [Mohlman, Jan] William Paterson Univ, Dept Psychol, Wayne, NJ 07470 USA; [Fera, Joseph] CUNY, Lehman Coll, Dept Math, Bronx, NY USA; [Tang, Hao; Basch, Charles E.] Columbia Univ, Teachers Coll, Dept Hlth &amp; Behav Studies, New York, NY USA</t>
  </si>
  <si>
    <t>City University of New York (CUNY) System; Lehman College (CUNY); Columbia University Teachers College; Columbia University</t>
  </si>
  <si>
    <t>Basch, Corey H/0000-0003-4862-4229; Tang, Hao/0000-0003-3002-1374; Mohlman, Jan/0000-0002-2976-6224</t>
  </si>
  <si>
    <t>130 QUEENS QUAY E, STE 1102, TORONTO, ON M5A 0P6, CANADA</t>
  </si>
  <si>
    <t>e31542</t>
  </si>
  <si>
    <t>10.2196/31542</t>
  </si>
  <si>
    <t>YA7LO</t>
  </si>
  <si>
    <t>WOS:000738510300024</t>
  </si>
  <si>
    <t>Oden, A; Porter, L</t>
  </si>
  <si>
    <t>Oden, Ayla; Porter, Lance</t>
  </si>
  <si>
    <t>The Kids Are Online: Teen Social Media Use, Civic Engagement, and Affective Polarization</t>
  </si>
  <si>
    <t>social media; political interest; civic engagement; affective polarization; TikTok</t>
  </si>
  <si>
    <t>POLITICAL-PARTICIPATION; INTERNET USE; YOUTH; NETWORKING; NEWS; TRANSMISSION; TEENAGERS; IDENTITY; IMPACT; SITES</t>
  </si>
  <si>
    <t>Teen users outpace adults in social media use across several platforms. Though much scholarship has considered the negative effects of social media use on teen well-being, this study considers how participation on Twitter, Instagram, Facebook, and TikTok is influencing teens' political interests and behaviors. Compared to traditional resources, we find that social media use across these platforms positively correlated with political interest and civic online and offline engagement, while Twitter and Facebook use had positive relationships with affective polarization. TikTok and Instagram each correlated with higher levels of interest and civic engagement, and the platforms had no relationship with polarization. We discuss these implications and what they mean for political participation among teens online.</t>
  </si>
  <si>
    <t>[Oden, Ayla; Porter, Lance] Louisiana State Univ, Baton Rouge, LA USA; [Oden, Ayla] Louisiana State Univ, Manship Sch Mass Commun, Baton Rouge, LA 70803 USA</t>
  </si>
  <si>
    <t>Louisiana State University System; Louisiana State University; Louisiana State University System; Louisiana State University</t>
  </si>
  <si>
    <t>Oden, A (corresponding author), Louisiana State Univ, Manship Sch Mass Commun, Baton Rouge, LA 70803 USA.</t>
  </si>
  <si>
    <t>aoden4@lsu.edu</t>
  </si>
  <si>
    <t>Porter, Lance/Y-7246-2019</t>
  </si>
  <si>
    <t>Porter, Lance/0000-0002-7971-0579</t>
  </si>
  <si>
    <t>Ken Kansas Professorship at the LSU Manship School of Mass Communication</t>
  </si>
  <si>
    <t>The author(s) disclosed receipt of the following financial support for the research, authorship, and/or publication of this article: The funding from the Ken Kansas Professorship at the LSU Manship School of Mass Communication.</t>
  </si>
  <si>
    <t>10.1177/20563051231186364</t>
  </si>
  <si>
    <t>N5WW7</t>
  </si>
  <si>
    <t>WOS:001037722800001</t>
  </si>
  <si>
    <t>Ibañez, M; Sapinit, R; Reyes, LA; Hussien, M; Imperial, JM; Rodriguez, R</t>
  </si>
  <si>
    <t>Xiong, D; Jiang, R; Lu, Y; Dong, M; Li, H</t>
  </si>
  <si>
    <t>Ibanez, Michael; Sapinit, Ranz; Reyes, Lloyd Antonie; Hussien, Mohammed; Imperial, Joseph Marvin; Rodriguez, Ramon</t>
  </si>
  <si>
    <t>Audio-Based Hate Speech Classification from Online Short-Form Videos</t>
  </si>
  <si>
    <t>2021 INTERNATIONAL CONFERENCE ON ASIAN LANGUAGE PROCESSING (IALP)</t>
  </si>
  <si>
    <t>International Conference on Asian Language Processing</t>
  </si>
  <si>
    <t>25th International Conference on Asian Language Processing (IALP)</t>
  </si>
  <si>
    <t>DEC 11-13, 2021</t>
  </si>
  <si>
    <t>Chinese &amp; Oriental Languages Informat Proc Soc,Ludong Univ,IEEE,IEEE Singapore Sect</t>
  </si>
  <si>
    <t>hate speech; tiktok; audio classification; machine learning; speech processing</t>
  </si>
  <si>
    <t>In this study, we pioneer the development of an audio-based hate speech classifier from online, short-form TikTok videos using traditional machine learning algorithms such as Logistic Regression, Random Forest, and Support Vector Machines. We scraped over 4746 videos using the TikTok API tool and extracted audio-based features such as MFCCs, Spectral Centroid, Rolloff, Bandwidth, Zero-Crossing Rate, and Chroma values as primary feature sets. Results show that using the extracted predictors for hate speech detection can obtain up to 78.5% accuracy on an optimized Random Forest model, crossing the 50% benchmark for models in this task. In addition, comparing the Information Gain scores and globally learned model weights identified that Spectral Rolloff and MFCCs are top predictors in discriminating hate speech for the Filipino language.</t>
  </si>
  <si>
    <t>[Ibanez, Michael; Sapinit, Ranz; Reyes, Lloyd Antonie; Hussien, Mohammed; Imperial, Joseph Marvin; Rodriguez, Ramon] Natl Univ, Manila, Philippines</t>
  </si>
  <si>
    <t>National University Philippines</t>
  </si>
  <si>
    <t>Imperial, JM (corresponding author), Natl Univ, Manila, Philippines.</t>
  </si>
  <si>
    <t>jrimperial@national-u.edu.ph</t>
  </si>
  <si>
    <t>Hussien, Mohammed/ABA-8621-2021; Imperial, Joseph Marvin/GNN-0443-2022</t>
  </si>
  <si>
    <t>Imperial, Joseph Marvin/0000-0003-1073-6129</t>
  </si>
  <si>
    <t>2159-1962</t>
  </si>
  <si>
    <t>2159-1970</t>
  </si>
  <si>
    <t>978-1-6654-8311-7</t>
  </si>
  <si>
    <t>INT CONF ASIAN LANG</t>
  </si>
  <si>
    <t>10.1109/IALP54817.2021.9675250</t>
  </si>
  <si>
    <t>Computer Science, Artificial Intelligence; Computer Science, Theory &amp; Methods; Linguistics</t>
  </si>
  <si>
    <t>Computer Science; Linguistics</t>
  </si>
  <si>
    <t>BT1XP</t>
  </si>
  <si>
    <t>WOS:000803972300014</t>
  </si>
  <si>
    <t>Zhai, LP; Lee, JE</t>
  </si>
  <si>
    <t>Zhai, Linpei; Lee, Jae Eun</t>
  </si>
  <si>
    <t>Harnessing ICT Resources to Enhance Community Disaster Resilience: A Case Study of Employing Social Media to Zhengzhou 7.20 Rainstorm, China</t>
  </si>
  <si>
    <t>WATER</t>
  </si>
  <si>
    <t>information and communication technology (ICT) resources; heavy rainstorm; flood; social media; community disaster resilience</t>
  </si>
  <si>
    <t>CRISIS COMMUNICATION; DEVELOPING-COUNTRIES; INFORMATION; MANAGEMENT; METHODOLOGY; TECHNOLOGY; EARTHQUAKE; QUEENSLAND; PREVENTION; EXPERIENCE</t>
  </si>
  <si>
    <t>This study aimed to explore how community disaster resilience can be enhanced via the utilization of ICT resources. Three social media applications were selected. Taking the 2021 Zhengzhou 7.20 rainstorm as an example, questionnaire responses were collected and analyzed, and a linear regression model was constructed to explore the impact of the relationships between responses. The findings showed that the use of WeChat, TikTok, and Weibo had positive effects on community disaster resilience. Specifically, the use of social media (WeChat, TikTok, and Weibo) by the general public during this rainstorm disaster was positively related to convenience and trust, creation and dissemination, emotion and communication, cooperation and collective action, and relief and release. We also analyzed the differences in the use of the three social media platforms during the rainstorm disaster and found that the number of people who used TikTok was the highest, but the variable scores for TikTok were not the highest. WeChat had the highest variable scores, and both the number of users and variable scores for Weibo were in the middle.</t>
  </si>
  <si>
    <t>[Zhai, Linpei; Lee, Jae Eun] Chungbuk Natl Univ, Natl Crisison Inst, Cheongju 28644, Chungbuk, South Korea; [Lee, Jae Eun] Chungbuk Natl Univ, Dept Publ Adm, Cheongju 28644, Chungbuk, South Korea</t>
  </si>
  <si>
    <t>Chungbuk National University; Chungbuk National University</t>
  </si>
  <si>
    <t>Lee, JE (corresponding author), Chungbuk Natl Univ, Natl Crisison Inst, Cheongju 28644, Chungbuk, South Korea.;Lee, JE (corresponding author), Chungbuk Natl Univ, Dept Publ Adm, Cheongju 28644, Chungbuk, South Korea.</t>
  </si>
  <si>
    <t>jeunlee@chungbuk.ac.kr</t>
  </si>
  <si>
    <t>Lee, Jae Eun/0000-0002-2441-9557</t>
  </si>
  <si>
    <t>Technology Development Program on Disaster Restoration Capacity Building and Strengthening - Ministry of the Interior and Safety (MOIS, Republic of Korea) [2021-MOIS36-001]</t>
  </si>
  <si>
    <t>Technology Development Program on Disaster Restoration Capacity Building and Strengthening - Ministry of the Interior and Safety (MOIS, Republic of Korea)</t>
  </si>
  <si>
    <t>This research was funded by a grant (2021-MOIS36-001) from the Technology Development Program on Disaster Restoration Capacity Building and Strengthening funded by the Ministry of the Interior and Safety (MOIS, Republic of Korea).</t>
  </si>
  <si>
    <t>2073-4441</t>
  </si>
  <si>
    <t>WATER-SUI</t>
  </si>
  <si>
    <t>Water</t>
  </si>
  <si>
    <t>10.3390/w15193516</t>
  </si>
  <si>
    <t>Environmental Sciences; Water Resources</t>
  </si>
  <si>
    <t>Environmental Sciences &amp; Ecology; Water Resources</t>
  </si>
  <si>
    <t>U2UH6</t>
  </si>
  <si>
    <t>WOS:001083399600001</t>
  </si>
  <si>
    <t>Nguyen, C; Khan, F; Gracey, LE</t>
  </si>
  <si>
    <t>Nguyen, Cassidy; Khan, Fatima; Gracey, Lia E.</t>
  </si>
  <si>
    <t>Transparency and sponsored content in social media: Considerations for dermatologists</t>
  </si>
  <si>
    <t>dermatologist; ethics; Instagram; partnership; product branding; social media; sponsorship; Tiktok</t>
  </si>
  <si>
    <t>[Nguyen, Cassidy; Khan, Fatima; Gracey, Lia E.] Univ Texas Austin, Dell Med Sch, Div Dermatol, Austin, TX USA</t>
  </si>
  <si>
    <t>Gracey, LE (corresponding author), Univ Texas Austin, Dell Med Sch, Dept Internal Med, Div Dermatol, 313 East 12th St Suite 103, Austin, TX 78701 USA.</t>
  </si>
  <si>
    <t>lia.gracey@ascension.org</t>
  </si>
  <si>
    <t>Nguyen, Cassidy/0000-0002-8426-2627</t>
  </si>
  <si>
    <t>10.1016/j.jdin.2024.08.004</t>
  </si>
  <si>
    <t>M3Q9A</t>
  </si>
  <si>
    <t>WOS:001356734600001</t>
  </si>
  <si>
    <t>Wu, JY; Trahair, E; Happ, M; Swartz, J</t>
  </si>
  <si>
    <t>Wu, Jenny; Trahair, Esme; Happ, Megan; Swartz, Jonas</t>
  </si>
  <si>
    <t>TikTok, #IUD, and User Experience With Intrauterine Devices Reported on Social Media</t>
  </si>
  <si>
    <t>Annual Meeting of the Society-of-Family-Planning</t>
  </si>
  <si>
    <t>DEC 03-05, 2022</t>
  </si>
  <si>
    <t>Baltimore, MD</t>
  </si>
  <si>
    <t>Soc Family Planning</t>
  </si>
  <si>
    <t>TikTok, a video-sharing application, offers a growing platform for contraception-related content. The top 100 videos tagged #IUD were compiled using a web-scraping application. User demographics and video content were analyzed by two independent reviewers, with a third to arbitrate differences. More videos had a negative tone (37.8%) about intrauterine devices (IUDs) than positive (19.4%), and 27.6% mentioned distrust of health care professionals. Of videos conveying patient experiences, all had a negative or ambiguous tone and 96.8% highlighted pain and other side effects related to IUDs. Videos scored low on information health quality (1.2/5 on DISCERN) and averaged 73.8% in understandability and 17.7% in actionability on PEMAT (Patient Education Materials Assessment Tool). #IUD videos on TikTok often portray negative experiences related to pain and informed consent.</t>
  </si>
  <si>
    <t>[Wu, Jenny] Duke Univ, Dept Obstet &amp; Gynecol, Med Ctr, Durham, NC 27708 USA; Duke Univ, Med Ctr, Dept Obstet &amp; Gynecol, Div Womens Commun &amp; Populat Hlth, Durham, NC USA; Duke Sch Med, Durham, NC USA</t>
  </si>
  <si>
    <t>Wu, J (corresponding author), Duke Univ, Dept Obstet &amp; Gynecol, Med Ctr, Durham, NC 27708 USA.</t>
  </si>
  <si>
    <t>Trahair, Esme/0000-0001-6941-703X; Happ, Megan/0009-0008-4069-9895; Swartz, Jonas/0000-0002-9726-965X; Wu, Jenny/0000-0003-1424-544X</t>
  </si>
  <si>
    <t>Eunice Kennedy Shriver National Institute of Child Health and Human Development (NICHD) of the U.S. National Institutes of Health [K12HD103083]</t>
  </si>
  <si>
    <t>Eunice Kennedy Shriver National Institute of Child Health and Human Development (NICHD) of the U.S. National Institutes of Health</t>
  </si>
  <si>
    <t>This work was conducted with the support of award K12HD103083 from the Eunice Kennedy Shriver National Institute of Child Health and Human Development (NICHD) of the U.S. National Institutes of Health. The contentis solely the responsibility of the authors and does not necessarily represent the official views of the National Institutes of Health.</t>
  </si>
  <si>
    <t>10.1097/AOG.0000000000005027</t>
  </si>
  <si>
    <t>8O9UW</t>
  </si>
  <si>
    <t>WOS:000926177900024</t>
  </si>
  <si>
    <t>Are, C</t>
  </si>
  <si>
    <t>Are, Carolina</t>
  </si>
  <si>
    <t>Flagging as a silencing tool: Exploring the relationship between de-platforming of sex and online abuse on Instagram and TikTok</t>
  </si>
  <si>
    <t>Censorship; content moderation; flagging; Instagram; platform governance; TikTok</t>
  </si>
  <si>
    <t>This article investigates Instagram and TikTok's approach to malicious flagging through users' experience. Similar to liking, commenting and sharing, flagging is a reaction social media platforms allow users to highlight content that potentially violates community guidelines. However, flagging's influence on moderation remains opaque: users who flag are largely unaware about the success of their reports; those who are de-platformed cannot be sure if or why their content has been reported, making them feel targeted not just by platforms' processes, but by the retaliation of audiences themselves. Since the impact of de-platforming on users, and particularly on content creators who work through platforms, can be huge, this study provides scope to investigate flagging as an online abuse technique.</t>
  </si>
  <si>
    <t>[Are, Carolina] Northumbria Univ, Ctr Digital Citizens, Coll Ln, Newcastle Upon Tyne NE1 8SG, England</t>
  </si>
  <si>
    <t>Are, C (corresponding author), Northumbria Univ, Ctr Digital Citizens, Coll Ln, Newcastle Upon Tyne NE1 8SG, England.</t>
  </si>
  <si>
    <t>carolina.are@northumbria.ac.uk</t>
  </si>
  <si>
    <t>Are, Carolina/AAP-5657-2020</t>
  </si>
  <si>
    <t>Are, Carolina/0000-0003-1110-3155</t>
  </si>
  <si>
    <t>Engineering and Physical Sciences Research Council</t>
  </si>
  <si>
    <t>Engineering and Physical Sciences Research Council(UK Research &amp; Innovation (UKRI)Engineering &amp; Physical Sciences Research Council (EPSRC))</t>
  </si>
  <si>
    <t>The author would like to thank everyone who shared and took part in this survey, particularly those who shared personal, traumatic experiences of de-platforming towards advancing knowledge in this field.</t>
  </si>
  <si>
    <t>2024 FEB 12</t>
  </si>
  <si>
    <t>10.1177/14614448241228544</t>
  </si>
  <si>
    <t>HL1R3</t>
  </si>
  <si>
    <t>WOS:001159573100001</t>
  </si>
  <si>
    <t>Wright, WT</t>
  </si>
  <si>
    <t>Wright, William Terrell</t>
  </si>
  <si>
    <t>Reality check: How adolescents use TikTok as a digital backchanneling medium to speak back against institutional discourses of school(ing)</t>
  </si>
  <si>
    <t>RADICAL TEACHER</t>
  </si>
  <si>
    <t>[Wright, William Terrell] Univ Georgia, Dept Language &amp; Literacy Educ, Athens, GA 30602 USA</t>
  </si>
  <si>
    <t>University System of Georgia; University of Georgia</t>
  </si>
  <si>
    <t>Wright, WT (corresponding author), Univ Georgia, Dept Language &amp; Literacy Educ, Athens, GA 30602 USA.</t>
  </si>
  <si>
    <t>UNIV PITTSBURGH, UNIV LIBRARY SYSTEM</t>
  </si>
  <si>
    <t>PITTSBURGH</t>
  </si>
  <si>
    <t>3960 FORBES AVE, PITTSBURGH, PA 15260 USA</t>
  </si>
  <si>
    <t>1941-0832</t>
  </si>
  <si>
    <t>RADIC TEACH</t>
  </si>
  <si>
    <t>Radic. Teach.</t>
  </si>
  <si>
    <t>10.5195/rt.2021.777</t>
  </si>
  <si>
    <t>RQ5NL</t>
  </si>
  <si>
    <t>WOS:000642465500008</t>
  </si>
  <si>
    <t>Nichols, K</t>
  </si>
  <si>
    <t>Nichols, Kathleen</t>
  </si>
  <si>
    <t>What are the ethical considerations of using video social media platforms such as TikTok in your dental practice?</t>
  </si>
  <si>
    <t>JOURNAL OF THE AMERICAN DENTAL ASSOCIATION</t>
  </si>
  <si>
    <t>[Nichols, Kathleen] Amer Dent Assoc Council Eth Bylaws &amp; Judicial Aff, 211 E Chicago Ave, Chicago, IL 60611 USA</t>
  </si>
  <si>
    <t>Nichols, K (corresponding author), Amer Dent Assoc Council Eth Bylaws &amp; Judicial Aff, 211 E Chicago Ave, Chicago, IL 60611 USA.</t>
  </si>
  <si>
    <t>ethics@ada.org</t>
  </si>
  <si>
    <t>AMER DENTAL ASSOC</t>
  </si>
  <si>
    <t>211 E CHICAGO AVE, CHICAGO, IL 60611 USA</t>
  </si>
  <si>
    <t>0002-8177</t>
  </si>
  <si>
    <t>1943-4723</t>
  </si>
  <si>
    <t>J AM DENT ASSOC</t>
  </si>
  <si>
    <t>J. Am. Dent. Assoc.</t>
  </si>
  <si>
    <t>10.1016/j.adaj.2022.08.010</t>
  </si>
  <si>
    <t>CJ4R0</t>
  </si>
  <si>
    <t>WOS:001124876800012</t>
  </si>
  <si>
    <t>Ozduzen, O; Ferenczi, N; Holmes, I</t>
  </si>
  <si>
    <t>Ozduzen, Ozge; Ferenczi, Nelli; Holmes, Isabel</t>
  </si>
  <si>
    <t>'Let us teach our children': Online racism and everyday far-right ideologies on TikTok</t>
  </si>
  <si>
    <t>VISUAL STUDIES</t>
  </si>
  <si>
    <t>SOCIAL IDENTITY; INGROUP MEMBERS; MEDIA; SELF; HATE; EXTREMITY; PREJUDICE; IMAGES</t>
  </si>
  <si>
    <t>This paper identifies perceptions of injustice, grievance, and alienation as online drivers of radicalisation by concentrating on contemporary visual radicalisation patterns. It focuses on far-right agents of radicalisation in the UK with a particular analysis of visual and ephemeral drivers of radicalisation on social media platforms. We analysed widespread TikTok hashtags which embody mainstream right-wing ideologies. Using these hashtags, we selected four popular videos (&gt; 30k views) for visual thematic analysis of their compositional content and comment-sphere to explore everyday representations and discourses of far-right ideologies. Our findings highlight mundane online expressions on TikTok that collectively reinforce notions of a shared idealised identity built on nostalgic reinterpretations of an imperial past, which contribute to the mainstreaming of far-right ideas and ideologies.</t>
  </si>
  <si>
    <t>[Ozduzen, Ozge] Univ Sheffield, Sheffield, England; [Ferenczi, Nelli; Holmes, Isabel] Brunel Univ, London, England</t>
  </si>
  <si>
    <t>University of Sheffield; Brunel University</t>
  </si>
  <si>
    <t>Ozduzen, O (corresponding author), Univ Sheffield, Sheffield, England.</t>
  </si>
  <si>
    <t>Ozduzen, Ozge/0000-0003-3639-9650</t>
  </si>
  <si>
    <t>Horizon 2020 Research and Innovation Framework Programme [959198]</t>
  </si>
  <si>
    <t>Horizon 2020 Research and Innovation Framework Programme(Horizon 2020)</t>
  </si>
  <si>
    <t>This research was part of the project entitled De-Radicalisation in Europe and Beyond: Detect, Resolve, Re-integrate, funded by Horizon 2020 Research and Innovation Framework Programme [grant number 959198].</t>
  </si>
  <si>
    <t>1472-586X</t>
  </si>
  <si>
    <t>1472-5878</t>
  </si>
  <si>
    <t>VISUAL STUD</t>
  </si>
  <si>
    <t>Vis. Stud.</t>
  </si>
  <si>
    <t>OCT 20</t>
  </si>
  <si>
    <t>10.1080/1472586X.2023.2274890</t>
  </si>
  <si>
    <t>EH9D6</t>
  </si>
  <si>
    <t>WOS:001105091700001</t>
  </si>
  <si>
    <t>Tudela-Isanta, A; Milà-Garcia, A</t>
  </si>
  <si>
    <t>Tudela-Isanta, Anna; Mila-Garcia, Alba</t>
  </si>
  <si>
    <t>The presence of Catalan in digital platforms: the case of Twitch and TikTok</t>
  </si>
  <si>
    <t>CARACOL</t>
  </si>
  <si>
    <t>Minority languages; Internet; Catalan; Social networks; Digital platforms</t>
  </si>
  <si>
    <t>MINORITY LANGUAGES; INTERNET; TWITTER</t>
  </si>
  <si>
    <t>Despite the relevance of Internet and social media among the youngest population, there have been few studies that focus on the use of Catalan in these contexts. In this paper, we carry out a qualitative analysis of the current situation of the Catalan language on TikTok and Twitch, two platforms that have grown significantly in the past few years. Twitch offers the chance to create specialized content, while on TikTok the use of an array of hashtags, but #estiktokat in particular, ensures the indexicality of the videos. These results show that content creators that use Catalan as their language participate actively in these platforms and have developed strategies in order to ensure that content in Catalan is created and that is accessible to other users.</t>
  </si>
  <si>
    <t>[Tudela-Isanta, Anna; Mila-Garcia, Alba] Univ Pompeu Fabra, Traducc &amp; Ciencias Leguaje, Barcelona, Spain</t>
  </si>
  <si>
    <t>Pompeu Fabra University</t>
  </si>
  <si>
    <t>Tudela-Isanta, A (corresponding author), Univ Pompeu Fabra, Traducc &amp; Ciencias Leguaje, Barcelona, Spain.</t>
  </si>
  <si>
    <t>ana.tuleda@uam.es; alba.mila@upf.edu</t>
  </si>
  <si>
    <t>Tudela, Anna/JSL-2803-2023; Milà-Garcia, Alba/N-8840-2013</t>
  </si>
  <si>
    <t>UNIV SAO PAULO, FAC FILOSOFIA</t>
  </si>
  <si>
    <t>SAO PAULO SP</t>
  </si>
  <si>
    <t>LETRAS &amp; CIENCIAS HUMANA, AV PROF LUCIANO GUALBERTO, 403, SAO PAULO SP, 05508-900, BRAZIL</t>
  </si>
  <si>
    <t>2178-1702</t>
  </si>
  <si>
    <t>2317-9651</t>
  </si>
  <si>
    <t>Caracol</t>
  </si>
  <si>
    <t>Language &amp; Linguistics; Literature, Romance</t>
  </si>
  <si>
    <t>Linguistics; Literature</t>
  </si>
  <si>
    <t>6T8IK</t>
  </si>
  <si>
    <t>WOS:000893917700004</t>
  </si>
  <si>
    <t>Nagar, T; Ramakrishna, JM; Chalasani, P; Yesilyaprak, A; Khanna, V</t>
  </si>
  <si>
    <t>Nagar, Tripti; Ramakrishna, Jahanavi M.; Chalasani, Pranav; Yesilyaprak, Abdullah; Khanna, Vatsal</t>
  </si>
  <si>
    <t>CROHN'S DISEASE ON THE FOR YOU PAGE: ASSESSING TIKTOK AS A NEW MEDIUM FOR HEALTH EDUCATION</t>
  </si>
  <si>
    <t>Su1805</t>
  </si>
  <si>
    <t>S690</t>
  </si>
  <si>
    <t>WOS:001040954703004</t>
  </si>
  <si>
    <t>Houlbrook, C; Phillips, J</t>
  </si>
  <si>
    <t>Houlbrook, Ceri; Phillips, Julia</t>
  </si>
  <si>
    <t>For All of Your Protection Needs: Tracing the Witch Bottle from the Early Modern Period to TikTok</t>
  </si>
  <si>
    <t>MAGIC RITUAL AND WITCHCRAFT</t>
  </si>
  <si>
    <t>[Houlbrook, Ceri] Univ Hertfordshire, Hatfield, Herts, England; [Phillips, Julia] Univ Bristol, Bristol, Avon, England</t>
  </si>
  <si>
    <t>University of Hertfordshire; University of Bristol</t>
  </si>
  <si>
    <t>Houlbrook, C (corresponding author), Univ Hertfordshire, Hatfield, Herts, England.</t>
  </si>
  <si>
    <t>Houlbrook, Ceri/0000-0003-2965-8853</t>
  </si>
  <si>
    <t>UNIV PENNSYLVANIA PRESS</t>
  </si>
  <si>
    <t>JOURNALS DIVISION, 3905 SPRUCE STREET, PHILADELPHIA, PA 19104 USA</t>
  </si>
  <si>
    <t>1556-8547</t>
  </si>
  <si>
    <t>1940-5111</t>
  </si>
  <si>
    <t>MAGIC RITUAL WITCHCR</t>
  </si>
  <si>
    <t>Magic Ritual Witchcraft</t>
  </si>
  <si>
    <t>10.1353/mrw.2023.a906600</t>
  </si>
  <si>
    <t>IR4I9</t>
  </si>
  <si>
    <t>WOS:001168039900001</t>
  </si>
  <si>
    <t>the cultural customization of TikTok: Subaltern migrant workers and their digital cultures (Jun, 10.1177/1329878X221110279, 2022)</t>
  </si>
  <si>
    <t>10.1177/1329878X221121424</t>
  </si>
  <si>
    <t>F8AJ1</t>
  </si>
  <si>
    <t>WOS:000847152300001</t>
  </si>
  <si>
    <t>Vassey, J; Kennedy, CJ; Herbert Chang, HC; Smith, AS; Unger, JB</t>
  </si>
  <si>
    <t>Vassey, Julia; Kennedy, Chris J.; Herbert Chang, Ho-Chun; Smith, Ashley S.; Unger, Jennifer B.</t>
  </si>
  <si>
    <t>Scalable Surveillance of E-Cigarette Products on Instagram and TikTok Using Computer Vision</t>
  </si>
  <si>
    <t>Introduction: Instagram and TikTok, video-based social media platforms popular among adolescents, contain tobacco-related content despite the platforms' policies prohibiting substance-related posts. Prior research identified themes in e-cigarette-related social media posts using qualitative or text-based machine learning methods. We developed an image-based computer vision model to identify e-cigarette products in social media images and videos. Aims and Methods: We created a data set of 6999 Instagram images labeled for 8 object classes: mod or pod devices, e-juice containers, packaging boxes, nicotine warning labels, e-juice flavors, e-cigarette brand names, and smoke clouds. We trained a DyHead object detection model using a Swin-Large backbone, evaluated the model's performance on 20 Instagram and TikTok videos, and applied the model to 14 072 e-cigarette-related promotional TikTok videos (2019-2022; 10 276 485 frames). Results: The model achieved the following mean average precision scores on the image test set: e-juice container: 0.89; pod device: 0.67; mod device: 0.54; packaging box: 0.84; nicotine warning label: 0.86; e-cigarette brand name: 0.71; e-juice flavor name: 0.89; and smoke cloud: 0.46. The prevalence of pod devices in promotional TikTok videos increased by 15% from 2019 to 2022. The prevalence of e-juices increased by 33% from 2021 to 2022. The prevalence of e-juice flavor names and e-cigarette brand names increased by about 100% from 2019 to 2022. Conclusions: Deep learning-based object detection technology enables automated analysis of visual posts on social media. Our computer vision model can detect the presence of e-cigarettes products in images and videos, providing valuable surveillance data for tobacco regulatory science (TRS).</t>
  </si>
  <si>
    <t>[Vassey, Julia; Smith, Ashley S.; Unger, Jennifer B.] Univ Southern Calif, Dept Populat &amp; Publ Hlth Sci, Los Angeles, CA USA; [Kennedy, Chris J.] Massachusetts Gen Hosp, Ctr Precis Psychiat, Boston, MA USA; [Kennedy, Chris J.] Harvard Med Sch, Dept Psychiat, Boston, MA USA; [Herbert Chang, Ho-Chun] Dartmouth Coll, Dept Quantitat Social Sci, Hanover, NH USA; [Herbert Chang, Ho-Chun] Univ Southern Calif, Informat Sci Inst Viterbi, Viterbi Sch Engn, Los Angeles, CA USA</t>
  </si>
  <si>
    <t>University of Southern California; Harvard University; Massachusetts General Hospital; Harvard University; Harvard Medical School; Dartmouth College; University of Southern California</t>
  </si>
  <si>
    <t>Vassey, J (corresponding author), Univ Southern Calif, Dept Populat &amp; Publ Hlth Sci, 1845 N Soto St, Los Angeles, CA 90032 USA.</t>
  </si>
  <si>
    <t>Kennedy, Chris/0000-0001-7444-2766; Vassey, Julia/0000-0003-3002-2000</t>
  </si>
  <si>
    <t>National Institute of Health [1R01CA260459-01]; NCI &amp; FDA Center for Tobacco Products (CTP) Award (NCI/FDA Grant) [U54CA180905]</t>
  </si>
  <si>
    <t>National Institute of Health(United States Department of Health &amp; Human ServicesNational Institutes of Health (NIH) - USA); NCI &amp; FDA Center for Tobacco Products (CTP) Award (NCI/FDA Grant)</t>
  </si>
  <si>
    <t>Research reported in this publication was supported by the National Institute of Health (Grant #1R01CA260459-01) and the NCI &amp; FDA Center for Tobacco Products (CTP) Award (NCI/FDA Grant #U54CA180905). The funders had no role in study design; collection, analysis, and interpretation of data; writing the report; and the decision to submit the report for publication. The content is solely the responsibility of the authors and does not necessarily represent the official views of the funders.</t>
  </si>
  <si>
    <t>2023 NOV 8</t>
  </si>
  <si>
    <t>10.1093/ntr/ntad224</t>
  </si>
  <si>
    <t>LJ6J7</t>
  </si>
  <si>
    <t>WOS:001186467800001</t>
  </si>
  <si>
    <t>Extracting time patterns from the lifespans of TikTok challenges to characterize non-dangerous and dangerous ones (vol 12, 62, 2022)</t>
  </si>
  <si>
    <t>Corradini, Enrico/ABB-3022-2021; Bonifazi, Gianluca/AAA-2985-2022; Virgili, Luca/AAG-1602-2021</t>
  </si>
  <si>
    <t>Ursino, Domenico/0000-0003-1360-8499</t>
  </si>
  <si>
    <t>10.1007/s13278-022-00965-x</t>
  </si>
  <si>
    <t>4Y3ZB</t>
  </si>
  <si>
    <t>WOS:000861466000001</t>
  </si>
  <si>
    <t>Lee, J; Ouellette, RR; Murthy, D; Pretzer, B; Anand, T; Kong, GC</t>
  </si>
  <si>
    <t>Lee, Juhan; Ouellette, Rachel R.; Murthy, Dhiraj; Pretzer, Ben; Anand, Tanvi; Kong, Grace</t>
  </si>
  <si>
    <t>Identifying E-cigarette Content on TikTok: Using a BERTopic Modeling Approach</t>
  </si>
  <si>
    <t>Introduction The use of hashtags is a common way to promote e-cigarette content on social media. Analysis of hashtags may provide insight into e-cigarette promotion on social media. However, the examination of text data is complicated by the voluminous amount of social media data. This study used machine learning approaches (ie, Bidirectional Encoder Representations from Transformers [BERT] topic modeling) to identify e-cigarette content on TikTok.Aims and Methods We used 13 unique hashtags related to e-cigarettes (eg, #vape) for data collection. The final analytic sample included 12 573 TikTok posts. To identify the best fitting number of topic clusters, we used both quantitative (ie, coherence test) and qualitative approaches (ie, researchers checked the relevance of text from each topic). We, then, grouped and characterized clustered text for each theme.Results We evaluated that N = 18 was the ideal number of topic clusters. The 9 overarching themes were identified: Social media and TikTok-related features (N = 4; duet, viral), Vape shops and brands (N = 3; store), Vape tricks (N = 3; ripsaw), Modified use of e-cigarettes (N = 1; coil, wire), Vaping and girls (N = 1; girl), Vape flavors (N = 1; flavors), Vape and cigarettes (N = 1; smoke), Vape identities and communities (N = 1; community), and Non-English language (N = 3; Romanian and Spanish).Conclusions This study used a machine learning method, BERTopic modeling, to successfully identify relevant themes on TikTok. This method can inform future social media research examining other tobacco products, and tobacco regulatory policies such as monitoring of e-cigarette marketing on social media.Implications This study can inform future social media research examining other tobacco products, and tobacco regulatory policies such as monitoring of e-cigarette marketing on social media.</t>
  </si>
  <si>
    <t>[Lee, Juhan; Ouellette, Rachel R.; Kong, Grace] Yale Sch Med, Dept Psychiat, New Haven, CT USA; [Murthy, Dhiraj] Univ Texas Austin, Sch Journalism &amp; Media, Austin, TX USA; [Pretzer, Ben; Anand, Tanvi] Univ Texas Austin, Cockrell Sch Engn, Austin, TX USA</t>
  </si>
  <si>
    <t>Lee, J (corresponding author), Yale Univ, Sch Med, Dept Psychiat, 34 Pk St,S-206, New Haven, CT 06519 USA.</t>
  </si>
  <si>
    <t>juhan.lee@einsteinmed.edu</t>
  </si>
  <si>
    <t>Kong, Grace/0000-0002-9269-3435; Ouellette, Rachel/0000-0001-6982-0830; Murthy, Dhiraj/0000-0001-9734-1124; Lee, Juhan/0000-0003-0860-3327</t>
  </si>
  <si>
    <t>National Institute of Drug Abuse (NIDA); FDA Center for Tobacco Products (CTP) [R01DA049878]; National Institute on Drug Abuse (NIDA) [5T32DA019426-18]; NIDA [U54DA036151]; FDA CTP</t>
  </si>
  <si>
    <t>National Institute of Drug Abuse (NIDA)(United States Department of Health &amp; Human ServicesNational Institutes of Health (NIH) - USANIH National Institute on Drug Abuse (NIDA)); FDA Center for Tobacco Products (CTP)(United States Department of Health &amp; Human ServicesUS Food &amp; Drug Administration (FDA)); National Institute on Drug Abuse (NIDA)(United States Department of Health &amp; Human ServicesNational Institutes of Health (NIH) - USANIH National Institute on Drug Abuse (NIDA)); NIDA(United States Department of Health &amp; Human ServicesNational Institutes of Health (NIH) - USANIH National Institute on Drug Abuse (NIDA)); FDA CTP</t>
  </si>
  <si>
    <t>Research reported in this publication was supported by National Institute of Drug Abuse (NIDA) and FDA Center for Tobacco Products (CTP): R01DA049878 (PI: Kong, G). Rachel Ouellette's effort was supported by grant number 5T32DA019426-18 (PI: Tebes) from the National Institute on Drug Abuse (NIDA). Grace Kong's and Juhan Lee's effort was also supported by grant number U54DA036151 from the NIDA and FDA CTP. The content is solely the responsibility of the authors and does not necessarily present the official views of the NIH or the Food and Drug Administration.</t>
  </si>
  <si>
    <t>2024 JUL 13</t>
  </si>
  <si>
    <t>10.1093/ntr/ntae171</t>
  </si>
  <si>
    <t>A0T6D</t>
  </si>
  <si>
    <t>WOS:001279752500001</t>
  </si>
  <si>
    <t>Guegan, E; Zenone, M; Mialon, M; Gallopel-Morvan, K</t>
  </si>
  <si>
    <t>Guegan, Erell; Zenone, Marco; Mialon, Melissa; Gallopel-Morvan, Karine</t>
  </si>
  <si>
    <t>#Bartender: portrayals of popular alcohol influencer's videos on TikTok©</t>
  </si>
  <si>
    <t>Marketing; Online; Digital; Social media; Alcohol</t>
  </si>
  <si>
    <t>SOCIAL MEDIA; CONSUMPTION</t>
  </si>
  <si>
    <t>Background Despite widespread use of the short-video social media platform TikTok (c), limited research investigates how alcohol is portrayed on the platform. Previous research suggests that a driver of alcohol content on TikTok (c), in part, comes from bartenders demonstrating how to make drinks. This study aims to explore the characterizing patterns of how bartender influencers on TikTok (c) feature and incorporate alcohol in their videos. Methods We identified the global top 15 most followed bartenders on TikTok (c) in 2021 (cumulative 29.7 million subscribers) and the videos they posted in November and December 2021, the period just before Christmas and New Year, when alcohol tends to be more marketed than in other periods. The videos were coded based on five criteria: (1) the presence of alcohol or not; (2) alcohol categories; (3); alcohol brand(s) if visible; (4) the presence of candies and other sweet products; (5) presence of cues that refer to young people's interests. Results In total, we identified 345 videos, which received 270,325,600 views in total, with an average of 18,021,707 views per video. Among these 345 videos, 92% (n = 317) displayed alcohol in their cocktail recipes (249,275,600 views, with an average of 786,358 views). The most common types of alcohol present in videos were liquor, vodka, rum, and whiskey, all of which are high-ABV beverages. 73% (n = 230) displayed or mentioned an alcohol brand. 17% (n = 55) associated alcohol with sweet products such as different types of candy (53,957,900 views, with an average of 981,053 views per video). 13% (n = 43) contained cues appealing to young people (e.g., cartoons, characters) (15,763,300 views, with an average of 366,588 views per video). Conclusions Our findings suggest a large presence of positively framed alcohol content posted by popular bartenders on TikTok (c). As exposure to digital marketing is related to an increase in alcohol consumption, particularly among young people, regulations are needed to protect the public from alcohol-related harms.</t>
  </si>
  <si>
    <t>[Guegan, Erell; Mialon, Melissa; Gallopel-Morvan, Karine] Univ Rennes, CNRS, EHESP, RSMS Rech Serv &amp; Management St U1309,UMR 6051, Rennes, France; [Zenone, Marco] London Sch Hyg &amp; Trop Med, Fac Publ Hlth &amp; Policy, London, England; [Zenone, Marco] Univ British Columbia, Dept Occupat Sci &amp; Occupat Therapy, Vancouver, BC, Canada; [Mialon, Melissa] Trinity Coll Dublin, Trinity Business Sch, Dublin, Ireland</t>
  </si>
  <si>
    <t>Centre National de la Recherche Scientifique (CNRS); CNRS - Institute for Humanities &amp; Social Sciences (INSHS); Universite de Rennes; Ecole des Hautes Etudes en Sante Publique (EHESP); University of London; London School of Hygiene &amp; Tropical Medicine; University of British Columbia; Trinity College Dublin</t>
  </si>
  <si>
    <t>Mialon, M (corresponding author), Univ Rennes, CNRS, EHESP, RSMS Rech Serv &amp; Management St U1309,UMR 6051, Rennes, France.;Mialon, M (corresponding author), Trinity Coll Dublin, Trinity Business Sch, Dublin, Ireland.</t>
  </si>
  <si>
    <t>melisssa.mialon@inserm.fr</t>
  </si>
  <si>
    <t>MIALON, Melissa/AAA-4528-2020</t>
  </si>
  <si>
    <t>Association Addictions France</t>
  </si>
  <si>
    <t>Not applicable.</t>
  </si>
  <si>
    <t>MAY 23</t>
  </si>
  <si>
    <t>10.1186/s12889-024-18571-1</t>
  </si>
  <si>
    <t>RU6X0</t>
  </si>
  <si>
    <t>WOS:001230224300008</t>
  </si>
  <si>
    <t>Wei, WL; Song, ZC</t>
  </si>
  <si>
    <t>Wei, Wenlu; Song, Zhichao</t>
  </si>
  <si>
    <t>The Study of Empathetic Psychological Communication's Plasticity and Effects in Social Media Works: An Analysis Based on the TikTok Platform</t>
  </si>
  <si>
    <t>PSYCHOLOGICAL REPORTS</t>
  </si>
  <si>
    <t>[Wei, Wenlu] Weifang Univ, Sch Commun, Weifang, Peoples R China; [Song, Zhichao] Commun Univ China, Sch Econ &amp; Management, Beijing, Peoples R China</t>
  </si>
  <si>
    <t>Weifang University; Communication University of China</t>
  </si>
  <si>
    <t>0033-2941</t>
  </si>
  <si>
    <t>1558-691X</t>
  </si>
  <si>
    <t>PSYCHOL REP</t>
  </si>
  <si>
    <t>Psychol. Rep.</t>
  </si>
  <si>
    <t>H7O5S</t>
  </si>
  <si>
    <t>WOS:001325301700103</t>
  </si>
  <si>
    <t>Chen, ZY; Pan, SR; Zuo, S</t>
  </si>
  <si>
    <t>Chen, Zeyang; Pan, Shaorong; Zuo, Shuai</t>
  </si>
  <si>
    <t>TikTok and YouTube as sources of information on anal fissure: A comparative analysis</t>
  </si>
  <si>
    <t>anal fissure; internet; quality; TikTok; YouTube</t>
  </si>
  <si>
    <t>MANAGEMENT; QUALITY</t>
  </si>
  <si>
    <t>IntroductionAnal fissure is a common colorectal disease impacting patients' life quality with high incidence. Social media platforms are becoming a kind of health information source nowadays. This study aims to evaluate and compare the quality of anal fissure-related videos on TikTok and YouTube. Materials and methodsOne hundred videos were sourced from TikTok and YouTube, respectively and videos were screened further. The completeness of six types of content within the videos is assessed, including the definition of disease, symptoms, risk factors, evaluation, management and outcomes. Finally, the DISCERN instrument, Patient Education Materials Assessment Tool and Global Quality scale are used to assess video display quality and content. A correlation analysis is undertaken considering the video features, DISCERN, PEMAT and GQS scores. ResultsPhysicians and non-profit organizations contributed almost all video content among selected videos. A statistically significant correlation between DISCERN classification and duration, PEMAT understandability, PEMAT actionability and GQS scores is recorded. DISCERN total scores were significantly positively correlated with video duration, PEMAT understandability, PEMAT actionability and GQS scores. GQS scores were significantly positively correlated with duration, PEMAT understandability and PEMAT actionability scores. For content, the videos mainly described management and symptoms while containing limited information on the disease evaluation, and outcomes. ConclusionsThe sources of uploaders on YouTube are more diverse than TikTok, and the quality of videos is also relatively higher on YouTube. Even so, the video quality of the two platforms still needs to be further improved. Health information without integrity, reliability and practicability impacts patients' disease perception and health-seeking behavior, leading to serious consequences. Much effort must be taken to improve the quality of videos regarding anal fissures on the two platforms, which will facilitate the development of public health education on this issue.</t>
  </si>
  <si>
    <t>[Chen, Zeyang; Pan, Shaorong; Zuo, Shuai] Peking Univ, Peking Univ First Hosp, Dept Gen Surg, Beijing, Peoples R China</t>
  </si>
  <si>
    <t>Peking University</t>
  </si>
  <si>
    <t>Zuo, S (corresponding author), Peking Univ, Peking Univ First Hosp, Dept Gen Surg, Beijing, Peoples R China.</t>
  </si>
  <si>
    <t>zuoshuai1007@163.com</t>
  </si>
  <si>
    <t>Pan, Shaorong/0000-0003-2298-9166</t>
  </si>
  <si>
    <t>Youth Clinical Research Project of Peking University First Hospital; [2017CR19]</t>
  </si>
  <si>
    <t>Youth Clinical Research Project of Peking University First Hospital;</t>
  </si>
  <si>
    <t>Funding This work was supported by Youth Clinical Research Project of Peking University First Hospital (Grant No. 2017CR19).</t>
  </si>
  <si>
    <t>10.3389/fpubh.2022.1000338</t>
  </si>
  <si>
    <t>6H8RX</t>
  </si>
  <si>
    <t>WOS:000885700400001</t>
  </si>
  <si>
    <t>Krutrök, ME; Åkerlund, M</t>
  </si>
  <si>
    <t>Krutrok, Moa Eriksson; Akerlund, Mathilda</t>
  </si>
  <si>
    <t>Through a white lens: Black victimhood, visibility, and whiteness in the Black Lives Matter movement on TikTok</t>
  </si>
  <si>
    <t>Critical victimology; Social movements studies; TikTok; Imagined audiences; Black Lives Matter</t>
  </si>
  <si>
    <t>POLICE VIOLENCE; TWITTER; MEDIA; NEWS; RACE</t>
  </si>
  <si>
    <t>In this paper, we explore how highly visible users in the context of #BlackLivesMatter on TikTok shape the narrative around Black victims of police brutality, the understanding of these narratives by others, and the potential consequences of these portrayals for the movement at large. To examine these dimensions, we analysed the 100 most circulated TikTok videos and associated comments depicting victims of police brutality using the #BlackLivesMatter hashtag through multimodal critical discourse analysis. We identified how users attempted to increase visibility of their content, and how this was supported or criticised by commenters depending on the perceived motives of these efforts. Furthermore, we showcased how influencers raised awareness of the movement with little personal effort or risk, sometimes appearing to leverage the movement for self-exposure. Our analysis showed that many of the most liked videos were made by white content creators who, in their videos, seemed to be addressing an imagined white audience. While these efforts portrayed the movement favourably, the content creators remain outsiders who have not themselves been in harm's way of police brutality. While there were exceptions that promoted the perspectives of marginalised communities, and while the white narratives were consistently supportive of the movement, they also work to displace focus on racial (in)justice away from those directly affected by it, that is, away from Black people's own experiences of police brutality. We discuss these findings in relation to questions about digital representations of Black victimhood, digital visibility and practices of whiteness, on TikTok and beyond.</t>
  </si>
  <si>
    <t>[Krutrok, Moa Eriksson; Akerlund, Mathilda] Umea Univ, Dept Culture &amp; Media Studies, Humanities Bldg,Biblioteksgrand 3, S-90187 Umea, Sweden</t>
  </si>
  <si>
    <t>Krutrök, ME (corresponding author), Umea Univ, Dept Culture &amp; Media Studies, Humanities Bldg,Biblioteksgrand 3, S-90187 Umea, Sweden.</t>
  </si>
  <si>
    <t>Åkerlund, Mathilda/ADC-0284-2022</t>
  </si>
  <si>
    <t>Eriksson Krutrok, Moa/0000-0003-3665-2476; Akerlund, Mathilda/0000-0001-5028-0408</t>
  </si>
  <si>
    <t>Swedish Crime Victims Authority [09413/2020]</t>
  </si>
  <si>
    <t>Swedish Crime Victims Authority</t>
  </si>
  <si>
    <t>This work was supported by Swedish Crime Victims Authority [grant number 09413/2020].</t>
  </si>
  <si>
    <t>JUL 27</t>
  </si>
  <si>
    <t>10.1080/1369118X.2022.2065211</t>
  </si>
  <si>
    <t>L8OP7</t>
  </si>
  <si>
    <t>WOS:000788914400001</t>
  </si>
  <si>
    <t>Wong, HPN; So, WZ; Selvan, VS; Lee, JY; Ho, CERH; Tiong, HY</t>
  </si>
  <si>
    <t>Wong, Hoi Pong Nicholas; So, Wei Zheng; Selvan, Vikneshwaren Senthamil; Lee, Jing Yang; Ho, Collin Elijah Rui Hong; Tiong, Ho Yee</t>
  </si>
  <si>
    <t>A cross-sectional quality assessment of TikTok content on benign prostatic hyperplasia</t>
  </si>
  <si>
    <t>WORLD JOURNAL OF UROLOGY</t>
  </si>
  <si>
    <t>TikTok; Benign Prostatic Hyperplasia; BPH; Social Media; #SoMe</t>
  </si>
  <si>
    <t>Background With an increasing reliance on online sources for medical information, we studied the quality and completeness of health literacy videos on TikTok regarding BPH. Methods A cross-sectional systematic evaluation of TikTok videos using the search term Benign Prostatic Hyperplasia was performed on 14th April 2023, and included 49 patient information and educational videos. The videos were then analysed by two reviewers and scored using two instruments: the DISCERN instrument and a completeness analysis. Results Of the 49 videos, 38 were created by healthcare professionals (HCPs). The average length of each video was 62.7 +/- 59.3 s, with a large average number of total views (24,990.1 +/- 109,534.9 views). The DISCERN score trended higher in every category in videos published by HCPs compared to non-HCPs, with HCPs providing a statistically significant increase in reliability (19.0,14.6, p &lt; 0.05) and total score (29.4,23, p &lt; 0.05). Majority of videos were deemed as poor or worse ( 91.8%) in quality. The completeness of the videos' content was also evaluated across five categories with an average score of 2.53 +/- 2.1 out of the maximum 12. The DISCERN scores did not correlate with the degree of completeness of the videos (r = 0.226). Conclusion BPH videos on TikTok have a wide reach, but the videos are mostly of low quality and completeness. Future videos should be made with quality and completeness in mind given the large viewership and more can be done to evaluate the extent of BPH misinformation and its impact on patients.</t>
  </si>
  <si>
    <t>[Wong, Hoi Pong Nicholas; Selvan, Vikneshwaren Senthamil; Lee, Jing Yang] Nanyang Technol Univ, Lee Kong Chian Sch Med, Singapore, Singapore; [So, Wei Zheng; Tiong, Ho Yee] Natl Univ Singapore Hosp, Dept Urol, Singapore, Singapore; [Ho, Collin Elijah Rui Hong] Natl Univ Singapore, Yong Loo Lin Sch Med, Singapore, Singapore</t>
  </si>
  <si>
    <t>Wong, HPN (corresponding author), Nanyang Technol Univ, Lee Kong Chian Sch Med, Singapore, Singapore.</t>
  </si>
  <si>
    <t>nichwong9@gmail.com</t>
  </si>
  <si>
    <t>Tiong, HoYee/F-1013-2012</t>
  </si>
  <si>
    <t>Wong, Hoi Pong Nicholas/0000-0003-1815-1352; S/O Senthamil Selvan, Vikneshwaren/0009-0004-8690-1631; Tiong, Ho Yee/0000-0003-0077-7904</t>
  </si>
  <si>
    <t>0724-4983</t>
  </si>
  <si>
    <t>1433-8726</t>
  </si>
  <si>
    <t>WORLD J UROL</t>
  </si>
  <si>
    <t>World J. Urol.</t>
  </si>
  <si>
    <t>10.1007/s00345-023-04601-x</t>
  </si>
  <si>
    <t>LI6Z7</t>
  </si>
  <si>
    <t>WOS:001070482200002</t>
  </si>
  <si>
    <t>Peng, AY</t>
  </si>
  <si>
    <t>Talmacs, N; Peng, AY</t>
  </si>
  <si>
    <t>Peng, Altman Yuzhu</t>
  </si>
  <si>
    <t>Digital business governance The algorithm design of the short video-sharing application - TikTok</t>
  </si>
  <si>
    <t>COMMUNICATIONS IN CONTEMPORARY CHINA: Orchestrating Thinking</t>
  </si>
  <si>
    <t>Routledge Studies on China in Transition</t>
  </si>
  <si>
    <t>SOCIAL NETWORKING SITES; PRIVACY; MEDIA; CHINESE; COMMUNICATION; ENGAGEMENT</t>
  </si>
  <si>
    <t>[Peng, Altman Yuzhu] Univ Warwick, Dept Appl Linguist, Warwick, England</t>
  </si>
  <si>
    <t>University of Warwick</t>
  </si>
  <si>
    <t>Peng, AY (corresponding author), Univ Warwick, Dept Appl Linguist, Warwick, England.</t>
  </si>
  <si>
    <t>978-1-03-250577-0; 978-1-00-339912-4; 978-1-03-250574-9</t>
  </si>
  <si>
    <t>ROUT STUD CHINA TRAN</t>
  </si>
  <si>
    <t>10.4324/9781003399124-11</t>
  </si>
  <si>
    <t>10.4324/9781003399124</t>
  </si>
  <si>
    <t>BW3QP</t>
  </si>
  <si>
    <t>WOS:001141427200011</t>
  </si>
  <si>
    <t>Foster, M; Frith, H; John, M</t>
  </si>
  <si>
    <t>Foster, Molly; Frith, Hannah; John, Mary</t>
  </si>
  <si>
    <t>'I'm still su!c!dal when you're done with the paperwork': an inductive framework thematic analysis of #camhs on TikTok</t>
  </si>
  <si>
    <t>JOURNAL OF CHILD PSYCHOLOGY AND PSYCHIATRY</t>
  </si>
  <si>
    <t>social media; young people; CAMHS; experience of services; TikTok</t>
  </si>
  <si>
    <t>CO-RESEARCHERS; EXPERIENCES; CHILDREN</t>
  </si>
  <si>
    <t>Background: Young people are sharing their experiences of Child and Adolescent Mental Health Services (CAMHS) in the United Kingdom on TikTok. Little is known about the content of these videos and their influence on young people's attitudes towards seeking professional mental health support. Methods: This study explored how CAMHS is represented in a sample of 100 #camhs TikTok videos using participatory inductive framework thematic analysis. Results: Four themes were developed alongside young people as co-researchers: (a) CAMHS can be frustrating and unhelpful, but sometimes life-saving, (b) Young people can feel their distress is invalidated by CAMHS, (c) CAMHS makes young people feel responsible for their distress, and (d) Young people may not feel CAMHS professionals are trustworthy. Video content described dismissive responses to expressions of suicidal ideation, professional knowledge being privileged over lived experience, and breaches of confidentiality. Some shared positive experiences of CAMHS helping to keep them safe. Conclusions: Together, the themes reflect a representation of CAMHS as a service where adults are powerful and young people occupy a subjugated position. This may influence young people's professional help-seeking behaviour. Recommendations for clinical practice and future research are presented.</t>
  </si>
  <si>
    <t>[Foster, Molly; Frith, Hannah; John, Mary] Univ Surrey, Sch Psychol, Guildford GU2 7XH, England</t>
  </si>
  <si>
    <t>University of Surrey</t>
  </si>
  <si>
    <t>Frith, H (corresponding author), Univ Surrey, Sch Psychol, Guildford GU2 7XH, England.</t>
  </si>
  <si>
    <t>h.frith@surrey.ac.uk</t>
  </si>
  <si>
    <t>University of Surrey Psychology Service User and Carer Group</t>
  </si>
  <si>
    <t>The authors thank the hard work of the co-researchers who contributed to the analysis, as well as their teacher who enabled the workshop to happen. They also thank everyone who provided thoughtful feedback on the project, including the University of Surrey Psychology Service User and Carer Group. The authors have declared that they have no competing or potential conflicts of interest.</t>
  </si>
  <si>
    <t>0021-9630</t>
  </si>
  <si>
    <t>1469-7610</t>
  </si>
  <si>
    <t>J CHILD PSYCHOL PSYC</t>
  </si>
  <si>
    <t>J. Child Psychol. Psychiatry</t>
  </si>
  <si>
    <t>2024 MAY 9</t>
  </si>
  <si>
    <t>10.1111/jcpp.14002</t>
  </si>
  <si>
    <t>Psychology, Developmental; Psychiatry; Psychology</t>
  </si>
  <si>
    <t>PU6K2</t>
  </si>
  <si>
    <t>WOS:001216633300001</t>
  </si>
  <si>
    <t>Ionescu, CG; Licu, M</t>
  </si>
  <si>
    <t>Ionescu, Claudiu Gabriel; Licu, Monica</t>
  </si>
  <si>
    <t>Are TikTok Algorithms Influencing Users' Self-Perceived Identities and Personal Values? A Mini Review</t>
  </si>
  <si>
    <t>social media; TikTok; personal values; self; identity; algorithms</t>
  </si>
  <si>
    <t>The use of TikTok is more widespread now than ever, and it has a big impact on users' daily lives, with self-perceived identity and personal values being topics of interest in light of the algorithmically curated content. This mini-review summarizes current findings related to the TikTok algorithm, and the impact it has on self-perceived identity, personal values, or related concepts of the Self. We pass through the contents of algorithmic literacy and emphasize its importance along with users' attitudes toward algorithms. In the first part of our results, we show conceptual models of algorithms like the crystal framework, platform spirit, and collective imaginaries. In the second part, we talk about the degree of impact a social media algorithm may exert over an individual's sense of self, understanding how the algorithmized self and domesticated algorithm are trying to sum up the dual development of this relationship. In the end, with the concept of Personal Engagement and the role of cognitive biases, we summarize the current findings and discuss the questions that still need to be addressed. Performing research on the topic of social media, especially TikTok, poses ethical, cultural, and regulatory challenges for researchers. That is why we will discuss the main theoretical frameworks that were published with their attached current studies and their impact on the current theoretical models as well as the limitations within these studies. Finally, we discuss further topics of interest related to the subject and possible perspectives, as well as recommendations regarding future research in areas like impact on personal values and identity, cognitive biases, and algorithmic literacy.</t>
  </si>
  <si>
    <t>[Ionescu, Claudiu Gabriel; Licu, Monica] Carol Davila Univ Med &amp; Pharm, Med Ethics Dept, Bucharest 050474, Romania</t>
  </si>
  <si>
    <t>Carol Davila University of Medicine &amp; Pharmacy</t>
  </si>
  <si>
    <t>Ionescu, CG (corresponding author), Carol Davila Univ Med &amp; Pharm, Med Ethics Dept, Bucharest 050474, Romania.</t>
  </si>
  <si>
    <t>claudiu.ionescu@drd.umfcd.ro; monica.licu@umfcd.ro</t>
  </si>
  <si>
    <t>LICU, MONICA/GXV-3008-2022</t>
  </si>
  <si>
    <t>MONICA, LICU/0009-0004-4516-791X; Ionescu, Claudiu/0000-0002-5455-395X</t>
  </si>
  <si>
    <t>10.3390/socsci12080465</t>
  </si>
  <si>
    <t>Q3RR2</t>
  </si>
  <si>
    <t>WOS:001056728100001</t>
  </si>
  <si>
    <t>Dondzilo, L; Rodgers, RF; Dietel, FA</t>
  </si>
  <si>
    <t>Dondzilo, Laura; Rodgers, Rachel F.; Dietel, Fanny Alexandra</t>
  </si>
  <si>
    <t>Association between engagement with appearance and eating related TikTok content and eating disorder symptoms via recommended content and appearance comparisons</t>
  </si>
  <si>
    <t>BODY-IMAGE; SOCIAL MEDIA</t>
  </si>
  <si>
    <t>ObjectiveIt is well-established that the use of appearance-focused social media is associated with eating disorder (ED) symptoms, due to the presence of idealized imagery. Of concern, social media exposure is increasingly influenced by algorithms, which recommend content based on an analysis of the users' previous patterns of engagement. However, the relationships between users' engagement with social media content based upon its centering of appearance and eating, the presence of these themes in content suggested to them, and their ED symptoms remains unknown. The current study aimed to examine these relationships in the context of TikTok, a video- and algorithm-based platform.MethodUndergraduate students (N = 230; 78% female) completed self-report measures of ED symptoms, upwards social media appearance comparisons, as well as a novel measure of TikTok activity.ResultsSerial mediation analyses provided support for indirect relationships between engagement with appearance/eating-related content and ED symptoms via higher proportions of appearance/eating-related recommended content and higher levels of upwards social media appearance comparisons, respectively. There was no association between average screen time, nor general tendency to actively engage with content, and either ED symptoms or upwards social media appearance comparisons.DiscussionFindings provide preliminary support for how engagement on TikTok is related to targeted exposure in ways that may contribute to perpetuating and exacerbating ED symptoms.Public significanceSocial media use has been consistently associated with greater eating disorder symptoms. However, the ways in which users' engagement with social media content may be related to targeted social media exposure, and in turn eating disorder symptoms, remains unknown. This research provided preliminary evidence for associations between users' engagement with, and targeted exposure to, TikTok content related to appearance and eating, and their eating disorder symptoms.</t>
  </si>
  <si>
    <t>[Dondzilo, Laura] Univ Western Australia, Elizabeth Rutherford Mem Ctr Advancement Res Emot, Sch Psychol Sci, Perth, Australia; [Rodgers, Rachel F.] Northeastern Univ, Dept Appl Psychol, APPEAR, Boston, MA USA; [Rodgers, Rachel F.] Lapeyronie Hosp, Dept Psychiat Emergency &amp; Acute Care, CHRU, Montpellier, France; [Dietel, Fanny Alexandra] Univ Osnabrueck, Osnabruck, Germany; [Dondzilo, Laura] Univ Western Australia, Sch Psychol Sci, M304,35 Stirling Highway, Crawley, WA 6009, Australia</t>
  </si>
  <si>
    <t>University of Western Australia; Northeastern University; Universite de Montpellier; CHU de Montpellier; University Osnabruck; University of Western Australia</t>
  </si>
  <si>
    <t>Dondzilo, L (corresponding author), Univ Western Australia, Sch Psychol Sci, M304,35 Stirling Highway, Crawley, WA 6009, Australia.</t>
  </si>
  <si>
    <t>laura.dondzilo@uwa.edu.au</t>
  </si>
  <si>
    <t>Dietel, Fanny/HJP-6735-2023</t>
  </si>
  <si>
    <t>Dondzilo, Laura/0000-0003-3714-2662; Dietel, Fanny Alexandra/0000-0002-9911-6155</t>
  </si>
  <si>
    <t>10.1002/eat.24117</t>
  </si>
  <si>
    <t>HJ8Q1</t>
  </si>
  <si>
    <t>WOS:001126202800001</t>
  </si>
  <si>
    <t>Pan, WJ; Mu, Z; Tang, Z</t>
  </si>
  <si>
    <t>Pan, Wenjing; Mu, Zhe; Tang, Zheng</t>
  </si>
  <si>
    <t>Social Media Influencer Viewing and Intentions to Change Appearance: A Large Scale Cross-Sectional Survey on Female Social Media Users in China</t>
  </si>
  <si>
    <t>social media influencer; influencer viewing; self-objectification; social comparison tendencies; intentions to change appearance; TikTok</t>
  </si>
  <si>
    <t>BODY-IMAGE CONCERNS; SELF-OBJECTIFICATION; WOMENS MOOD; INSTAGRAM USE; DISSATISFACTION; BEHAVIORS; CELEBRITY; EXPOSURE; FACEBOOK</t>
  </si>
  <si>
    <t>Previous studies have reported that general or photo-specific social media use was associated with women's body dissatisfaction and body image disturbance. The current study replicated and expanded upon these findings by identifying the positive association between social media influencer viewing and intentions to change appearance. This study surveyed a sample of 7,015 adult female TikTok users in China regarding their social media influencer viewing frequency, self-objectification, social comparison tendencies when watching short videos, intentions to change appearance, and demographics. The results showed that female TikTok users' self-objectification mediated the association between their influencer viewing frequency and their intentions to change appearance. Furthermore, social comparison tendencies moderated the association between influencer viewing and intentions to change appearance in that the proposed association was stronger for female TikTok users who had lower social comparison tendencies when watching short videos, compared to female TikTok users who had higher social comparison tendencies. The counter-intuitive finding on social comparison tendencies indicated that women who have higher social comparison tendencies may be more aware of the negative influences and adjust their expectations. The observed association between social media influencer viewing and intentions to change appearance was statistically significant but trivial in terms of effect size. Although the result could warn policymakers and practitioners to design media and health literacy campaigns to cultivate body positivity, caution should be exercised when evaluating the practical implications.</t>
  </si>
  <si>
    <t>[Pan, Wenjing; Mu, Zhe; Tang, Zheng] Renmin Univ China, Sch Journalism &amp; Commun, Beijing, Peoples R China</t>
  </si>
  <si>
    <t>Renmin University of China</t>
  </si>
  <si>
    <t>Tang, Z (corresponding author), Renmin Univ China, Sch Journalism &amp; Commun, Beijing, Peoples R China.</t>
  </si>
  <si>
    <t>10.3389/fpsyg.2022.846390</t>
  </si>
  <si>
    <t>1X7QF</t>
  </si>
  <si>
    <t>WOS:000807644400001</t>
  </si>
  <si>
    <t>Cosmann, N; Haberkern, J; Hahn, A; Harms, P; Joosten, J; Klug, K; Kollischan, T</t>
  </si>
  <si>
    <t>Cosmann, Niklas; Haberkern, Jana; Hahn, Alexander; Harms, Patrick; Joosten, Jan; Klug, Katharina; Kollischan, Tanja</t>
  </si>
  <si>
    <t>The value of mood measurement for regulating negative influences of social media usage: A case study of TikTok</t>
  </si>
  <si>
    <t>2022 10TH INTERNATIONAL CONFERENCE ON AFFECTIVE COMPUTING AND INTELLIGENT INTERACTION (ACII)</t>
  </si>
  <si>
    <t>International Conference on Affective Computing and Intelligent Interaction</t>
  </si>
  <si>
    <t>10th International Conference on Affective Computing and Intelligent Interaction (ACII)</t>
  </si>
  <si>
    <t>OCT 18-21, 2022</t>
  </si>
  <si>
    <t>Nara, JAPAN</t>
  </si>
  <si>
    <t>Affective Computing; User Experience (UX); UX Design; Emotion</t>
  </si>
  <si>
    <t>MENTAL-HEALTH; EMOTION; PRIVACY</t>
  </si>
  <si>
    <t>Social media usage has greatly increased during the pandemic. The use of social media has been linked to mental health consequences. Especially TikTok is under scrutiny because of its captivating UX Design as well as controversial privacy policies. This study shows how Mobile Affective Computing Research can reliably and objectively measure the implicit-emotional UX. The results suggest that TikTok triggers positive emotions during onboarding and strengthens the emotional bond with increasing usage - mainly due to the personalization algorithm. In particular, the study further reveals that there are no clear relationships when only self-reported data is used to understand app usage behavior. However, emotion data based on facial coding shows that TikTok users get emotionally aroused. Initially, a positive and relaxed mood triggers further usage time, while - counter-intuitively - later sessions result in an increasingly negative and aroused mood. However, people are largely unaware of these relationships when questioned. Thus, implicit measures, such as facial coding, may help identify valid social media usage reactions. These results yield implications that call for political regulation considering aspects of social media apps and user behavior.</t>
  </si>
  <si>
    <t>[Cosmann, Niklas] Univ Edinburgh, Sch Business, Edinburgh, Midlothian, Scotland; [Haberkern, Jana; Hahn, Alexander; Joosten, Jan] Nuremberg Inst Technol, BeLab Behav Studies &amp; User Experience Lab, Nurnberg, Germany; [Harms, Patrick] Nuremberg Inst Technol, UEC Usabil Engn Ctr, Nurnberg, Germany; [Klug, Katharina] Ansbach Univ Appl Sci, Inst Business &amp; Media Psychol, Ansbach, Germany; [Kollischan, Tanja] Siemens AG, Commun, Nurnberg, Germany</t>
  </si>
  <si>
    <t>University of Edinburgh; Siemens AG; Siemens Germany</t>
  </si>
  <si>
    <t>Cosmann, N (corresponding author), Univ Edinburgh, Sch Business, Edinburgh, Midlothian, Scotland.</t>
  </si>
  <si>
    <t>niklas.cosmann@gmail.com; haberkernja73535@th-nuernberg.de; alexander.hahn@th-nuernberg.de; patrick.harms@th-nuernberg.de; jan.joosten@th-nuernberg.de; katharina.klug@hs-ansbach.de; kollischantanja@gmail.com</t>
  </si>
  <si>
    <t>Joosten, Jan/KZU-5713-2024</t>
  </si>
  <si>
    <t>Joosten, Jan/0009-0003-2503-4741; Harms, Patrick/0000-0002-9988-2028</t>
  </si>
  <si>
    <t>2156-8103</t>
  </si>
  <si>
    <t>978-1-6654-5908-2</t>
  </si>
  <si>
    <t>INT CONF AFFECT</t>
  </si>
  <si>
    <t>10.1109/ACII55700.2022.9953857</t>
  </si>
  <si>
    <t>Computer Science, Artificial Intelligence; Computer Science, Cybernetics; Computer Science, Information Systems; Computer Science, Interdisciplinary Applications</t>
  </si>
  <si>
    <t>BU3WK</t>
  </si>
  <si>
    <t>WOS:000893674200026</t>
  </si>
  <si>
    <t>Axler, E; Hawkins, K; Lipner, SR</t>
  </si>
  <si>
    <t>Axler, Eden; Hawkins, Kelly; Lipner, Shari R.</t>
  </si>
  <si>
    <t>Rice Water for Hair and Skin on TikTok: A Cross-Sectional Analysis</t>
  </si>
  <si>
    <t>rice water; hair growth; acne; anti-aging; skin brightness</t>
  </si>
  <si>
    <t>EFFICACY</t>
  </si>
  <si>
    <t>[Axler, Eden; Lipner, Shari R.] Weill Cornell Med, Dept Dermatol, New York, NY USA; [Hawkins, Kelly] Albert Einstein Coll Med, Bronx, NY USA</t>
  </si>
  <si>
    <t>Cornell University; Weill Cornell Medicine; Montefiore Medical Center; Albert Einstein College of Medicine; Yeshiva University</t>
  </si>
  <si>
    <t>Lipner, SR (corresponding author), Weill Cornell Med, Clin Dermatol, 1305 York Ave,9th Floor, New York, NY 10012 USA.</t>
  </si>
  <si>
    <t>10.1177/12034754241287550</t>
  </si>
  <si>
    <t>I4X6D</t>
  </si>
  <si>
    <t>WOS:001330304400001</t>
  </si>
  <si>
    <t>Sierro, TJ; Young, PM; Kassabian, SK; Wu, KK; Armstrong, A</t>
  </si>
  <si>
    <t>Sierro, Tiffany J.; Young, Paulina M.; Kassabian, Sophia K.; Wu, Kevin K.; Armstrong, April</t>
  </si>
  <si>
    <t>Reply to Comment on 'Dermatologists in social media: A study on top influencers, posts, and user engagement': Dermatologist influencers on TikTok</t>
  </si>
  <si>
    <t>[Sierro, Tiffany J.; Armstrong, April] Univ Southern Calif, Keck Sch Med, Los Angeles, CA 90033 USA; [Young, Paulina M.] Kaiser Permanente Los Angeles Med Ctr, Dept Med, Los Angeles, CA USA; [Kassabian, Sophia K.] Univ Southern Calif, 1975 Zonal Ave,KAM 510,MC 9034, Los Angeles, CA 90089 USA; [Wu, Kevin K.] Univ Calif Irvine, Dept Med, Orange, CA 92717 USA</t>
  </si>
  <si>
    <t>University of Southern California; Kaiser Permanente; University of Southern California; University of California System; University of California Irvine</t>
  </si>
  <si>
    <t>Armstrong, A (corresponding author), Univ Southern Calif, 1975 Zonal Ave,KAM 510,MC 9034, Los Angeles, CA 90089 USA.</t>
  </si>
  <si>
    <t>armstrongpublication@gmail.com</t>
  </si>
  <si>
    <t>E75</t>
  </si>
  <si>
    <t>10.1016/j.jaad.2021.01.089</t>
  </si>
  <si>
    <t>WOS:000748997000019</t>
  </si>
  <si>
    <t>Macnaughtan, K; Trott, V</t>
  </si>
  <si>
    <t>Macnaughtan, Kellie; Trott, Verity</t>
  </si>
  <si>
    <t>We will not be lectured: understanding political fandom on TikTok</t>
  </si>
  <si>
    <t>Fandom; politics; Julia Gillard; Communications</t>
  </si>
  <si>
    <t>JULIA GILLARDS SEXISM; ONLINE; PERSPECTIVE; LEADERSHIP; COMMUNITY</t>
  </si>
  <si>
    <t>In 2020, the Misogyny Speech resurfaced and went viral on the social media platform TikTok, almost a decade after former Prime Minister Julia Gillard first presented it in Australian Parliament. This research aims to comprehend the speech's virality through a lens of fandom theory using qualitative content analysis, to explore how users foster community and perform elements of political fandom. It considers the influence of the platform's affordances and architecture on the formation and productivity of this fandom community. The speech's resurgence in popularity can be characterised as a manifestation of political fandom, shaped by the platform in which it thrives. The way users embody the elements that typify political fandoms - productivity and consumption, affect, community, and contestation - is profoundly influenced by the affordances and structures of TikTok.</t>
  </si>
  <si>
    <t>[Macnaughtan, Kellie] Monash Univ, Fac Arts, Clayton, Australia; [Trott, Verity] Monash Univ, Fac Arts, Sch Media Film &amp; Journalism, Clayton, Australia</t>
  </si>
  <si>
    <t>Monash University; Monash University</t>
  </si>
  <si>
    <t>Macnaughtan, K (corresponding author), Monash Univ, Fac Arts, Clayton, Australia.</t>
  </si>
  <si>
    <t>kelliemacn@gmail.com</t>
  </si>
  <si>
    <t>10.1080/22041451.2024.2355818</t>
  </si>
  <si>
    <t>WOS:001252572100001</t>
  </si>
  <si>
    <t>Zhang, H; Wang, XJ</t>
  </si>
  <si>
    <t>Zhang, Hao; Wang, Xiaojing</t>
  </si>
  <si>
    <t>The backfire effects of luxury advertising on TikTok: The moderating role of self-deprecating online reviews</t>
  </si>
  <si>
    <t>Advertising; Luxury brands; Online reviews; Social media marketing; Self-deprecating reviews</t>
  </si>
  <si>
    <t>WORD-OF-MOUTH; SOCIAL MEDIA; CONSTRUAL-LEVEL; BRAND; CONSUMER; HUMOR; COMMUNICATION; INTENTION; TRUSTWORTHINESS; ENHANCEMENT</t>
  </si>
  <si>
    <t>This paper aims to investigate the influence of various advertising channels on consumers' value perceptions of luxury brands, with a specific focus on the potential negative effects of TikTok on luxury advertising. Using an experimental design, four studies were conducted to rigorously examine these research questions. Study 1 reveals that, compared to traditional media, TikTok advertising has a more adverse impact on consumers' value perceptions of luxury brands. In Study 2, the mediating role of psychological distance is identified as the underlying mechanism explaining how media types in luxury advertising affect value perceptions. Study 3(a) highlights significant disparities in the number of online reviews and likes for different review types. Additionally, Study 3(b) discovers that self-deprecating online reviews can significantly increase the value perception of luxury brands on TikTok. This study contributes both theoretically and practically to the field of luxury marketing management, offering insights into the nuanced dynamics of luxury advertising across diverse media channels. Furthermore, it provides valuable suggestions for future research within the realm of luxury marketing, particularly in the context of social media.</t>
  </si>
  <si>
    <t>[Zhang, Hao] Liaoning Tech Univ, Sch Business Adm, Huludao, Peoples R China; [Zhang, Hao; Wang, Xiaojing] Northeastern Univ, Sch Business Adm, Shenyang, Peoples R China</t>
  </si>
  <si>
    <t>Liaoning Technical University; Northeastern University - China</t>
  </si>
  <si>
    <t>Wang, XJ (corresponding author), Northeastern Univ, Sch Business Adm, Shenyang, Peoples R China.</t>
  </si>
  <si>
    <t>hzhang@mail.neu.edu.cn; 568277672@qq.com</t>
  </si>
  <si>
    <t>WANG, XIAOJING/G-1507-2015</t>
  </si>
  <si>
    <t>National Nature Science Foundation of China [72172030]</t>
  </si>
  <si>
    <t>National Nature Science Foundation of China(National Natural Science Foundation of China (NSFC))</t>
  </si>
  <si>
    <t>This project is supported by the National Nature Science Foundation of China (Nos. 72172030) .</t>
  </si>
  <si>
    <t>10.1016/j.chb.2024.108163</t>
  </si>
  <si>
    <t>KX7E3</t>
  </si>
  <si>
    <t>WOS:001183322200001</t>
  </si>
  <si>
    <t>Ortiz, JAF; Corrada, MDS; Lopez, E; Dones, V; Lugo, VF</t>
  </si>
  <si>
    <t>Ortiz, Jose A. Flecha; de los M. Santos Corrada, Maria; Lopez, Evelyn; Dones, Virgin; Lugo, Vivian Feliberty</t>
  </si>
  <si>
    <t>Don't make ads, make TikTok's: media and brand engagement through Gen Z's use of TikTok and its significance in purchase intent</t>
  </si>
  <si>
    <t>JOURNAL OF BRAND MANAGEMENT</t>
  </si>
  <si>
    <t>Consumer engagement; Media engagement; Brand engagement; Purchase intention; Passive usage</t>
  </si>
  <si>
    <t>SOCIAL-MEDIA; CUSTOMER ENGAGEMENT; CONSUMER ENGAGEMENT; MOTIVATIONAL DRIVERS; PLS-SEM; GRATIFICATIONS; BEHAVIOR; IMPACT; SCALE; SATISFACTION</t>
  </si>
  <si>
    <t>New social media platforms, such as TikTok, are characterized by dynamic content that provides Generation Z users with a sense of connection and higher engagement rates than other social media platforms. The particularities of Generation Z as consumers have changed the way brands look for ways to drive engagement and forms of interaction on social networks (SNS). This article proposes a model to analyze the passive use of TikTok, and how it impacts the media engagement in users of Generation Z. In addition, it analyzes how media engagement impacts brand engagement through affective, cognitive, and behavioral dimensions. Finally, we present how these variables affect purchase intention. The results reflect that the motivations for interactivity and the drivers of those motivations significantly impact consumer engagement and that perceptual psychology plays a determining role in achieving engagement with the medium. The study identified that once engagement with the brand occurs, interactivity plays an active role in decision-making. This study makes significant contributions to the literature on consumer engagement and marketing management.</t>
  </si>
  <si>
    <t>[Ortiz, Jose A. Flecha; Lopez, Evelyn; Dones, Virgin; Lugo, Vivian Feliberty] Univ Ana G Mendez, Dept Business Tourism &amp; Entrepreneurship, Gurabo Campus,POB 3030, Gurabo, PR 00778 USA; [de los M. Santos Corrada, Maria] Univ Puerto Rico Recinto Rio Piedras, Sch Grad Bussiness Adm, San Juan, PR USA</t>
  </si>
  <si>
    <t>Universidad Ana G. Mendez</t>
  </si>
  <si>
    <t>Ortiz, JAF (corresponding author), Univ Ana G Mendez, Dept Business Tourism &amp; Entrepreneurship, Gurabo Campus,POB 3030, Gurabo, PR 00778 USA.</t>
  </si>
  <si>
    <t>flechaj1@uagm.edu; maria.santos19@upr.edu; elopez231@uagm.edu; vdones@uagm.edu; vfeliberty1@email.uagm.edu</t>
  </si>
  <si>
    <t>López, Evelyn/AAR-5953-2021; Flecha, Jose/AAN-9260-2020</t>
  </si>
  <si>
    <t>Flecha, Jose/0000-0001-9626-5967</t>
  </si>
  <si>
    <t>1350-231X</t>
  </si>
  <si>
    <t>1479-1803</t>
  </si>
  <si>
    <t>J BRAND MANAG</t>
  </si>
  <si>
    <t>J. Brand Manag.</t>
  </si>
  <si>
    <t>10.1057/s41262-023-00330-z</t>
  </si>
  <si>
    <t>W4EW0</t>
  </si>
  <si>
    <t>WOS:000990431700001</t>
  </si>
  <si>
    <t>Cabrera-Espín, S; Vaca-Tapia, AC; Mendoza-Gavilanez, N; Mora-Torres, LV</t>
  </si>
  <si>
    <t>Cabrera-Espin, S.; Vaca-Tapia, A. C.; Mendoza-Gavilanez, N.; Mora-Torres, L. V.</t>
  </si>
  <si>
    <t>X-ray of TikTok Accounts on Scientific Dissemination in the Andean Community</t>
  </si>
  <si>
    <t>This research generates radiography of TikTok accounts related to scientific dissemination in the countries of Ecuador, Colombia, and Peru to identify the contents and impact of these accounts in the promotion of scientific culture in the Andean region. It has an exploratory, descriptive, and explanatory scope with a qualitative approach relevant to the scientific community due to the timeliness of the data collected and the triangulation from creators and experts. It shows the interest of actors of the scientific community to develop the inclusion of scientific discourses in creative and innovative proposals using social networks as new means of mass dissemination to reach different audiences. The research identifies two topics that have more impact in the dissemination of TikTok and analyzes the impact of viralization of the accounts that are dedicated to this activity as a strategy to fight against misinformation.</t>
  </si>
  <si>
    <t>[Cabrera-Espin, S.; Vaca-Tapia, A. C.; Mendoza-Gavilanez, N.; Mora-Torres, L. V.] Univ UTE, Quito, Ecuador; [Vaca-Tapia, A. C.] Univ A Coruna, La Coruna, Spain; [Cabrera-Espin, S.; Vaca-Tapia, A. C.; Mendoza-Gavilanez, N.; Mora-Torres, L. V.] Interuniv Observ Ecuadorian Media OIME, Quito, Ecuador</t>
  </si>
  <si>
    <t>Cabrera-Espín, S (corresponding author), Univ UTE, Quito, Ecuador.</t>
  </si>
  <si>
    <t>sofiai.cabrera@ute.edu.ec; anac.vaca@ute.edu.ec; nicolle.mendoza@ute.edu.ec; ladyv.mora@ute.edu.ec</t>
  </si>
  <si>
    <t>10.1007/978-981-19-6347-6_27</t>
  </si>
  <si>
    <t>WOS:000921943800027</t>
  </si>
  <si>
    <t>Basch, CH; Donelle, L; Fera, J; Jaime, C</t>
  </si>
  <si>
    <t>Basch, Corey H.; Donelle, Lorie; Fera, Joseph; Jaime, Christie</t>
  </si>
  <si>
    <t>Deconstructing TikTok Videos on Mental Health: Cross-sectional, Descriptive Content Analysis</t>
  </si>
  <si>
    <t>TikTok; mental health; adolescent; social media; short video apps; content analysis; digital health; online health; visual media; descriptive content analysis; mental distress; health professional; health care professional</t>
  </si>
  <si>
    <t>Background: Social media platforms that are based on the creation of visual media, such as TikTok, are increasingly popular with adolescents. Online social media networks provide valuable opportunities to connect with each other to share experiences and strategies for health and wellness. Objective: The aim of this study was to describe the content of the hashtag #mentalhealth on TikTok. Methods: This cross-sectional, descriptive content analysis study included 100 videos with the hashtag #mentalhealth on TikTok. All videos that included the hashtag #mentalhealth were analyzed and coded for the presence of content categories. Additionally, the comments to each video were viewed and coded for content in the following themes: offering support or validation; mentioning experience with suicide or suicidal ideation; mentioning experience with self-harm; describing an experience with hospitalization for mental health issues; describing other mental health issues; and sharing coping strategies, experiences of healing, or ways to feel better. Results: Collectively, the 100 videos studied received 1,354,100,000 views; 266,900,000 likes; and 2,515,954 comments. On average, each video received 13,406,930.69 (SD 8,728,095.52) views; 2,657,425.74 (SD 1,449,920.45) likes; and 24,910.44 (SD 21,035.06) comments. The only content category observed in most (51/100, 51%) of the videos included in the sample was general mental health. The remaining content categories appeared in less than 50% of the sample. In total, 32% (32/100) of the videos sampled received more than the overall average number of likes (ie, more that 2.67 million likes). Among these 32 videos, 23 (72%) included comments offering support or validation and 20 (62%) included comments that described other mental health issues or struggles. Conclusions: With over 1 billion cumulative views, almost half of the assessed TikTok videos included in this study reported or expressed symptoms of mental distress. Future research should focus on the potential role of intervention by health care professionals on social media.</t>
  </si>
  <si>
    <t>[Basch, Corey H.; Jaime, Christie] William Paterson Univ, Dept Publ Hlth, 300 Pompton Rd, Wayne, NJ 07470 USA; [Donelle, Lorie] Western Univ, Arthur Labatt Family Sch Nursing, London, ON, Canada; [Fera, Joseph] CUNY, Lehman Coll, Dept Math, Bronx, NY USA</t>
  </si>
  <si>
    <t>Western University (University of Western Ontario); City University of New York (CUNY) System; Lehman College (CUNY)</t>
  </si>
  <si>
    <t>Basch, CH (corresponding author), William Paterson Univ, Dept Publ Hlth, 300 Pompton Rd, Wayne, NJ 07470 USA.</t>
  </si>
  <si>
    <t>Jaime, Christie/0000-0003-3613-5284; Donelle, Lorie/0000-0001-9276-8639; Basch, Corey H/0000-0003-4862-4229</t>
  </si>
  <si>
    <t>e38340</t>
  </si>
  <si>
    <t>10.2196/38340</t>
  </si>
  <si>
    <t>4N5RV</t>
  </si>
  <si>
    <t>WOS:000854077500048</t>
  </si>
  <si>
    <t>Selkie, E; Teng, D; Adkins, V</t>
  </si>
  <si>
    <t>Selkie, Ellen; Teng, Danny; Adkins, Victoria</t>
  </si>
  <si>
    <t>ADHERENCE TO PUBLIC HEALTH RECOMMENDATIONS IN TIKTOK CONTENT DURING THE EARLY DAYS OF THE SARS-COV-2 PANDEMIC</t>
  </si>
  <si>
    <t>[Selkie, Ellen; Adkins, Victoria] Univ Wisconsin, Madison, WI 53706 USA; [Teng, Danny] Michigan Hosp Med Safety Consortium, Ann Arbor, MI USA</t>
  </si>
  <si>
    <t>Elizabeth E. Kennedy Children's Research Fund</t>
  </si>
  <si>
    <t>Elizabeth E. Kennedy Children's Research Fund.</t>
  </si>
  <si>
    <t>S6</t>
  </si>
  <si>
    <t>WOS:000768696700009</t>
  </si>
  <si>
    <t>Naroji, S; John, J; Gomez-Lobo, V</t>
  </si>
  <si>
    <t>Naroji, Swetha; John, Jennifer; Gomez-Lobo, Veronica</t>
  </si>
  <si>
    <t>Understanding PCOS-Related Content across Social Media Platforms-A Cross-Sectional Analysis</t>
  </si>
  <si>
    <t>JOURNAL OF PEDIATRIC AND ADOLESCENT GYNECOLOGY</t>
  </si>
  <si>
    <t>Polycystic ovarian syndrome; Social media; Adolescent; Content analysis</t>
  </si>
  <si>
    <t>POLYCYSTIC-OVARY-SYNDROME; EXPERIENCES</t>
  </si>
  <si>
    <t>Introduction: Polycystic ovarian syndrome (PCOS) is commonly diagnosed in adolescence, and information about the condition is often shared online. We aimed to assess the extent, content, and engagement of PCOS-related information across social media platforms. Methods: We performed a cross-sectional content analysis of PCOS-related posts on TikTok, Instagram, and Reddit. Top PCOS posts were collected from TikTok and Instagram ( N = 100). Two researchers independently coded all posts using a codebook including symptoms, interventions, and qualities. Logistic regression assessed the relationship between user engagement and creator conflicts of interest. On Reddit, posts from 2020 to 2022 ( N = 34,208) were collected. Topic modeling using latent Dirichlet allocation and non-negative matrix factorization (NMF) was applied to discover topics in the textual data. Results: PCOS content received high engagement across all platforms, with an average of 1.8 million views on TikTok. Weight and Diet were the most frequently mentioned topics on TikTok and Instagram, and interactions with medical providers were discussed in 30% of posts. A financial conflict of interest was present in 45% of TikTok posts and 89% of Instagram posts. NMF identified 15 coherent topics, including symptoms, interventions, interactions with the medical system, and information-seeking. Reddit posts under Symptom Discussion: PCOS content is present and pervasive across social media platforms, suggesting the ability of information from non-clinician sources to reach and engage with a large population using novel modes of health information sharing. Further studies of this content will allow for a deeper understanding of patient perceptions, misconceptions, and knowledge of PCOS, with the potential to inform patientcentered counseling.</t>
  </si>
  <si>
    <t>[Naroji, Swetha; John, Jennifer; Gomez-Lobo, Veronica] NIH, NICHD, Bethesda, MD 20817 USA</t>
  </si>
  <si>
    <t>National Institutes of Health (NIH) - USA; NIH Eunice Kennedy Shriver National Institute of Child Health &amp; Human Development (NICHD)</t>
  </si>
  <si>
    <t>Naroji, S (corresponding author), NIH, NICHD, Bethesda, MD 20817 USA.</t>
  </si>
  <si>
    <t>snaroji@childrensnational.org</t>
  </si>
  <si>
    <t>John, Jennifer/0000-0002-6076-0728</t>
  </si>
  <si>
    <t>1083-3188</t>
  </si>
  <si>
    <t>1873-4332</t>
  </si>
  <si>
    <t>J PEDIATR ADOL GYNEC</t>
  </si>
  <si>
    <t>J. Pediatr Adolesc. Gynecol.</t>
  </si>
  <si>
    <t>10.1016/j.jpag.2023.10.007</t>
  </si>
  <si>
    <t>Obstetrics &amp; Gynecology; Pediatrics</t>
  </si>
  <si>
    <t>QN8Z4</t>
  </si>
  <si>
    <t>WOS:001221656000003</t>
  </si>
  <si>
    <t>Shi, A; El Haddad, J; Cai, P; Song, SJ; Wang, YJ; Liu, Q; Li, PY</t>
  </si>
  <si>
    <t>Shi, Ao; El Haddad, Joe; Cai, Peng; Song, Shijie; Wang, Yuan Jia; Liu, Qi; Li, Pengyang</t>
  </si>
  <si>
    <t>Mpox (monkeypox) information on TikTok: analysis of quality and audience engagement</t>
  </si>
  <si>
    <t>health education and promotion; public health; Monkey Pox</t>
  </si>
  <si>
    <t>SOCIAL MEDIA; HEALTH INFORMATION; VIDEOS; INTERNET; YOUTUBE; DISCERN; CRISIS</t>
  </si>
  <si>
    <t>Background Online information on mpox (monkeypox) is not well studied. We have analysed the video content, information quality, and audience engagement of mpox-related videos on TikTok. Methods Using a hashtag-based searching strategy, we identified 2462 mpox-related videos on TikTok from 1 January to 11 August 2022; 85 were included after exclusion criteria screening. Videos were evaluated for content on features and treatment of mpox. Video and information quality was assessed using the DISCERN instrument and the Journal of the American Medical Association (JAMA) criteria. We recorded video source, evaluation scores, and viewer engagement metrics. The Kruskal-Wallis test was used for statistical analysis and multiple linear regression for factor-association studies. Results Of the 85 videos, two assessed all content topics and highlighted 33% of all content items in clinical guidelines. The overall average score for the videos was 39.56 of 80 on the DISCERN instrument and 1.93 of 4 on the JAMA criteria. No video met all JAMA criteria. Subgroup analysis based on author identity suggested the variance in video scores by source (p&lt;0.05 for all). Overall scores were higher for videos produced by doctors and science communicators than for those made by institutional users, nurses, and the general public. Multiple linear regression analysis showed that having people in the video (69.20, p=0.0001) and including information on treatment choices (1.15, p=0.045) were significant, independent determinants of audience engagement. Conclusion Public-directed TikTok videos on mpox frequently provide incomplete, inaccurate information, highlighting the potential risks of using TikTok as a health information source.</t>
  </si>
  <si>
    <t>[Shi, Ao; El Haddad, Joe] St Georges Univ London, Fac Med, London, England; [Shi, Ao; El Haddad, Joe] Univ Nicosia, Sch Med, Nicosia, Cyprus; [Cai, Peng] Worcester Polytech Inst, Dept Math Sci, Worcester, MA USA; [Song, Shijie] Hohai Univ, Sch Business, Nanjing, Jiangsu, Peoples R China; [Wang, Yuan Jia] Univ Texas Austin, Dept Mol Biosci, Austin, TX USA; [Liu, Qi] Texas Heart Inst, Wafic Said Mol Cardiol Res Lab, Houston, TX USA; [Li, Pengyang] Virginia Commonwealth Univ, Pauley Heart Ctr, Div Cardiol, Richmond, VA 23298 USA</t>
  </si>
  <si>
    <t>City St Georges, University of London; University of Nicosia; Worcester Polytechnic Institute; Hohai University; University of Texas System; University of Texas Austin; Texas Heart Institute; Virginia Commonwealth University</t>
  </si>
  <si>
    <t>Li, PY (corresponding author), Virginia Commonwealth Univ, Pauley Heart Ctr, Div Cardiol, Richmond, VA 23298 USA.</t>
  </si>
  <si>
    <t>leelpy0109@gmail.com</t>
  </si>
  <si>
    <t>Li, Pengyang/AAH-4945-2021; Song, Shijie/ABE-1182-2020</t>
  </si>
  <si>
    <t>Song, Shijie/0000-0002-4544-2027</t>
  </si>
  <si>
    <t>e011138</t>
  </si>
  <si>
    <t>10.1136/bmjgh-2022-011138</t>
  </si>
  <si>
    <t>N1QA8</t>
  </si>
  <si>
    <t>WOS:001034830200003</t>
  </si>
  <si>
    <t>Alonso-López, N; Sidorenko-bautista, P</t>
  </si>
  <si>
    <t>Alonso-Lopez, Nadia; Sidorenko-bautista, Pavel</t>
  </si>
  <si>
    <t>Spanish historical memory coverage on TikTok: profiles, contentand messages</t>
  </si>
  <si>
    <t>Historical Memory; Spain; TikTok; History; Digital Communication; Social Media</t>
  </si>
  <si>
    <t>The evolution of the Internet and the platforms that emerge from it, as well as the deployment of mobile technologies, has enhanced the prosumer character of users. Nowadays, social networks are spaces where a topic is not only addressed but also debated by people who do not always have the criteria or elements to deal with them as they should, or who lack access to the best sources for such purposes. TikTok emerges as a new social space where ephemeral and visually-charged content prevails. Through a content analysis, this study sought to highlight how Spanish Historical Memory is addressed on this platform. The results reveal a historical and objective coverage of the data in most of the occasions, the intervention of influencers around historical and social issues, and a clear and majority polarisation regarding the sides and actors of the corresponding historical periods.</t>
  </si>
  <si>
    <t>[Alonso-Lopez, Nadia] Univ Politecn Valencia, Valencia, Spain; [Sidorenko-bautista, Pavel] Univ Int La Rioja, Logrono, Spain</t>
  </si>
  <si>
    <t>Alonso-López, N (corresponding author), Univ Politecn Valencia, Valencia, Spain.</t>
  </si>
  <si>
    <t>naallol@har.upv.es; pavel.sidorenkobautista@unir.net</t>
  </si>
  <si>
    <t>Alonso-López, Nadia/ABA-2566-2022; Bautista, Pavel/ABF-3242-2020</t>
  </si>
  <si>
    <t>10.14198/MEDCOM.21824</t>
  </si>
  <si>
    <t>5C7UW</t>
  </si>
  <si>
    <t>WOS:000864461800010</t>
  </si>
  <si>
    <t>Cannatà, D; Galdi, M; Russo, A; Scelza, C; Michelotti, A; Martina, S</t>
  </si>
  <si>
    <t>Cannata, Davide; Galdi, Marzio; Russo, Alessio; Scelza, Carmine; Michelotti, Ambrosina; Martina, Stefano</t>
  </si>
  <si>
    <t>Reliability and Educational Suitability of TikTok Videos as a Source of Information on Sleep and Awake Bruxism: A Cross-Sectional Analysis</t>
  </si>
  <si>
    <t>JOURNAL OF ORAL REHABILITATION</t>
  </si>
  <si>
    <t>awake bruxism; bruxism; quality of information; sleep bruxism; social media; TikTok</t>
  </si>
  <si>
    <t>HEALTH INFORMATION; MANAGEMENT; QUALITY; KNOWLEDGE</t>
  </si>
  <si>
    <t>Background: TikTok contains many videos about bruxism that may help raise the level of awareness on the topic. However, the quality of these videos' information represents the greatest concern. Objective: The present cross-sectional analysis aimed to systematically assess the reliability and educational suitability of TikTok videos as a source of information on bruxism. Methods: TikTok was searched for relevant videos uploaded until 6 March 2024, using the hashtags #bruxism, #grindingteeth and #jawclenching. Independent pre-calibrated operators conducted video inclusion and data collection, noting videos' characteristics, source, popularity, content, reliability (assessed through the DISCERN scoring system) and educational value (assessed through the Global Quality Score [GQS]). The Kruskal-Wallis test was adopted to compare videos from different sources. Videos with low and high educational value were compared using the Mann-Whitney U-test. Tests were considered significant when the p-value was &lt; 0.05. Results: A total of 105 bruxism videos were analysed. Most videos covered bruxism management and clinical features, and more than 60% were uploaded by healthcare professionals. According to the DISCERN and GQS scoring, the videos' reliability and educational value were judged to be very poor and low, respectively, but on average they were higher for videos uploaded by healthcare professionals compared to those uploaded by laypeople. When comparing videos with high educational value to those with low educational value, differences were found in popularity, content and reliability. Conclusion: The present results suggest the need for greater control of information disseminated on social media to fulfil its potential role in educating laypeople about bruxism.</t>
  </si>
  <si>
    <t>[Cannata, Davide; Galdi, Marzio; Russo, Alessio; Scelza, Carmine; Martina, Stefano] Univ Salerno, Scuola Med Salernitana, Dept Med Surg &amp; Dent, Baronissi, Italy; [Michelotti, Ambrosina] Univ Naples Federico II, Sch Orthodont, Dept Neurosci Reprod Sci &amp; Oral Sci, Naples, Italy</t>
  </si>
  <si>
    <t>University of Salerno; University of Naples Federico II</t>
  </si>
  <si>
    <t>Martina, S (corresponding author), Univ Salerno, Scuola Med Salernitana, Dept Med Surg &amp; Dent, Baronissi, Italy.</t>
  </si>
  <si>
    <t>smartina@unisa.it</t>
  </si>
  <si>
    <t>Martina, Stefano/ABC-5295-2020</t>
  </si>
  <si>
    <t>Martina, Stefano/0000-0003-3877-1671</t>
  </si>
  <si>
    <t>0305-182X</t>
  </si>
  <si>
    <t>1365-2842</t>
  </si>
  <si>
    <t>J ORAL REHABIL</t>
  </si>
  <si>
    <t>J. Oral Rehabil.</t>
  </si>
  <si>
    <t>2024 OCT 20</t>
  </si>
  <si>
    <t>10.1111/joor.13874</t>
  </si>
  <si>
    <t>J6L8Q</t>
  </si>
  <si>
    <t>WOS:001338171700001</t>
  </si>
  <si>
    <t>Lin, L</t>
  </si>
  <si>
    <t>Lin, Lu</t>
  </si>
  <si>
    <t>If you are in, you will understand: A new 'dress code' on TikTok is reframing lesbian teens' safe space</t>
  </si>
  <si>
    <t>FASHION STYLE &amp; POPULAR CULTURE</t>
  </si>
  <si>
    <t>fashion practice; visual research; participatory culture; social media; teenager research; digitalization</t>
  </si>
  <si>
    <t>I intend to offer in this article a visualized research of teenager lesbian style on TikTok and a discourse of queer safe spaces in networked contexts. Due to the influence of the queer feminist movement, the social acceptance of queerness has increased in most countries. Lesbian, gay, bisexual, transgender and questioning groups are no longer limited by the gay 'dress code', which is historically used to protect queer identity from discrimination and violence. During my personal nomadic experience moving from China to the Netherlands, I noticed that it is hard to pick out someone who 'looks gay' in the street. The freedom of dressing and self-expression has gradually become universal in western countries. Whereas, without legalized same-sex marriage in mainland China, visibility in style is still a signification of sexuality and a way of communication. Beyond the diversity of style, a new form of lesbian 'dress code' on TikTok has triggered me to examine safe spaces for teenagers. Due to the COVID-19 pandemic, the fashion industry finds itself in a challenging condition, which is accelerating its digital transfor-mation. An increasing number of fashion labels see potential in TikTok as a new public territory to practise self-exploration for numerous teens. By analysing the visual content and interviewing four TikTok creators, this article addresses the gap between public and insider prejudice around codes of dressing. It proposes not only fashion visual social teenager digitalization to rethink the relation between fashion and identity but also to ruminate on queer safe space through researching ways of dressing.</t>
  </si>
  <si>
    <t>[Lin, Lu] ArtEZ Univ Arts, Arnhem, Netherlands; [Lin, Lu] ArtEZ Univ Arts, Van Lawick Pabststr 36, NL-6814 HJ Arnhem, Netherlands</t>
  </si>
  <si>
    <t>Lin, L (corresponding author), ArtEZ Univ Arts, Van Lawick Pabststr 36, NL-6814 HJ Arnhem, Netherlands.</t>
  </si>
  <si>
    <t>lulinl.info@gmail.com</t>
  </si>
  <si>
    <t>2050-0726</t>
  </si>
  <si>
    <t>2050-0734</t>
  </si>
  <si>
    <t>FASH STYLE POP CULT</t>
  </si>
  <si>
    <t>Fash. Style Pop. Cult.</t>
  </si>
  <si>
    <t>FEB 27</t>
  </si>
  <si>
    <t>10.1386/fspc_00145_1</t>
  </si>
  <si>
    <t>P1KY6</t>
  </si>
  <si>
    <t>WOS:001048311300013</t>
  </si>
  <si>
    <t>Tomczyk, L; Lizde, ES; Mascia, ML; Bonfiglio, NS; Renati, R; Guillén-Gámez, FD; Penna, MP</t>
  </si>
  <si>
    <t>Tomczyk, Lukasz; Lizde, Elma Selmanagic; Mascia, Maria Lidia; Bonfiglio, Natale Salvatore; Renati, Roberta; Guillen-Gamez, Francisco D.; Penna, Maria Pietronilla</t>
  </si>
  <si>
    <t>Problematic Smartphone Use among Young People and the Use of Additional Social Networking Software-an Example from Bosnia and Herzegovina</t>
  </si>
  <si>
    <t>CHILD INDICATORS RESEARCH</t>
  </si>
  <si>
    <t>Problematic Smartphone Use; Software; Social Networks; Internet Addiction; Youth; Bosnia and Herzegovina; Facebook; Instagram; Snapchat; TikTok; Pinterest</t>
  </si>
  <si>
    <t>INTERNET USE; ADDICTION; ADOLESCENTS; PREVALENCE; INSTAGRAM; FACEBOOK</t>
  </si>
  <si>
    <t>The aim of the article is to reveal the level of problematic smartphone use (PSU) among young people, with an additional aim being to diagnose the level of use of applications offering ready access to popular social networks (SNS-e.g. Facebook, Instagram, Snapchat, TikTok, Pinterest). The text fills a gap related to the scale and mechanisms of PSUs. The research was conducted in Bosnia and Herzegovina in 2022, and is the first study of its kind in the country. A total of 1,024 young people participated in the study (age range 14-19 years; Female 627, Male 397). From the data collected, it was noted that: 1) Loss of control of the duration of smartphone use is the most common symptom of PSU; 2) Around 40% of respondents report having problems with self-control of duration of smartphone use; 3) 17.19% of the sample have high intensity of almost all diagnostic criteria of PSU; 4) About 1/3 of respondents declare no symptoms of PSU; 5) High intensity of PSU is more common in girls than in boys; 6) Instagram and TikTok are the most frequently used applications on smartphones; 7) More than half of the respondents use Instagram software constantly or almost constantly during the day, while less than 40% use TikTok-enabled software; 8) Girls are slightly more likely to use Instagram-enabled and TikTok-enabled software on smartphones; 9) Frequency of use of SNS software on smartphones is a poor predictor of PSU rates.</t>
  </si>
  <si>
    <t>[Tomczyk, Lukasz] Jagiellonian Univ, Inst Educ, Stefana Batorego 12 St, Krakow, Poland; [Lizde, Elma Selmanagic] Univ Sarajevo, Fac Educ, Skenderija 72, Sarajevo 71000, Bosnia &amp; Herceg; [Penna, Maria Pietronilla] Univ Cagliari, Dept Pedag Psychol Philosophy, Is Mirrionis 1 St, Cagliari, Italy; [Guillen-Gamez, Francisco D.] Univ Cordoba, Fac Educ, Dept Didact, Cordoba, Spain; [Guillen-Gamez, Francisco D.] Univ Cordoba, Fac Educ, Sch Org, Cordoba, Spain; [Bonfiglio, Natale Salvatore] IRCCS San Giovanni di Dio, IRCCS San Giovanni Dio, Brescia, Italy; [Mascia, Maria Lidia] Univ Sassari, Dept Hist Humanities &amp; Educ, Sassari, Italy; [Renati, Roberta] Univ Ferrara, Dept Humanities, Ferrara, Italy</t>
  </si>
  <si>
    <t>Jagiellonian University; University of Sarajevo; University of Cagliari; Universidad de Cordoba; Universidad de Cordoba; IRCCS Fatebenefratelli; University of Sassari; University of Ferrara</t>
  </si>
  <si>
    <t>Tomczyk, L (corresponding author), Jagiellonian Univ, Inst Educ, Stefana Batorego 12 St, Krakow, Poland.</t>
  </si>
  <si>
    <t>tomczyk_lukasz@prokonto.pl; eslizde@pf.unsa.ba; mlmascia@uniss.it; salvo.bonfiglio@unipv.it; roberta.renati@unica.it; dguillen@uco.es; penna@unica.it</t>
  </si>
  <si>
    <t>Tomczyk, Łukasz/O-2800-2014; Lizde, Elma/GLS-5467-2022; Bonfiglio, Natale Salvatore/ABB-9134-2021; Mascia, Maria Lidia/HMP-1919-2023; Guillen-Gamez, Francisco D./K-8187-2017; Penna, Maria Pietronilla/S-3275-2019</t>
  </si>
  <si>
    <t>Bonfiglio, Natale Salvatore/0000-0003-0699-7422; Selmanagic Lizde, Elma/0000-0002-7100-7926; Guillen-Gamez, Francisco D./0000-0001-6470-526X; Tomczyk, Lukasz/0000-0002-5652-1433; Penna, Maria Pietronilla/0000-0002-0982-3893; Mascia, Maria Lidia/0000-0002-1998-4818; RENATI, ROBERTA/0000-0003-0975-6384</t>
  </si>
  <si>
    <t>Narodowa Agencja Wymiany Akademickiej [PPN/BEK/2020/1/00176]; Polish National Agency for Academic Exchange under the Bekker programme</t>
  </si>
  <si>
    <t>Narodowa Agencja Wymiany Akademickiej(Polish National Agency for Academic Exchange (NAWA)); Polish National Agency for Academic Exchange under the Bekker programme(Polish National Agency for Academic Exchange (NAWA))</t>
  </si>
  <si>
    <t>The article was written as part of the project Teachers of the future in the information society-between risk and opportunity paradigm funded by the Polish National Agency for Academic Exchange under the Bekker programme Grant number: PPN/BEK/2020/1/00176.</t>
  </si>
  <si>
    <t>1874-897X</t>
  </si>
  <si>
    <t>1874-8988</t>
  </si>
  <si>
    <t>CHILD INDIC RES</t>
  </si>
  <si>
    <t>Child Indic. Res.</t>
  </si>
  <si>
    <t>10.1007/s12187-024-10120-x</t>
  </si>
  <si>
    <t>RU9E2</t>
  </si>
  <si>
    <t>WOS:001204592100002</t>
  </si>
  <si>
    <t>Gajjar, AA; Salem, MM; Hou, NY; Davis, RM; Le, AHD; Jankowitz, BT; Burkhardt, JK</t>
  </si>
  <si>
    <t>Gajjar, Avi A.; Salem, Mohamed M.; Hou, Neo Y.; Davis, Ryan Michael; Le, Anthony Huy Dinh; Jankowitz, Brian T.; Burkhardt, Jan Karl</t>
  </si>
  <si>
    <t>What matters most to cerebral aneurysms patients: A digital analysis of 1127 social media posts</t>
  </si>
  <si>
    <t>Instagram; Twitter; TikTok; social media; patient perception; neurosurgery</t>
  </si>
  <si>
    <t>SUPPORT; IMPACT</t>
  </si>
  <si>
    <t>Introduction: Social media serves as a way for patients to post about their condition online, as well as for healthcare providers to disseminate information. Intrinsic bias exists exist when patients are given surveys by physicians or healthcare providers. We aim to investigate patient-centered social media posts regarding cerebral aneurysms on Instagram, Twitter, and TikTok.Methods: Posts that included brain aneurysm, #brainaneurysm, #brainaneurysmsurvivor, and #aneurysmsurvivor were queried on Instagram, Twitter, and TikTok. Any posts unrelated to the patient experience were excluded. Five hundred and fourteen Instagram posts, fourty tweets, and five hundred seventy three TikTok posts about the patient experience were identified. Posts were coded for the relevant themes related to their experience with the disease.Results: Most posts made online were by women (892, 82.1%). Patients made the post most of the time (776, 67.5%), while other individuals posted less often (420, 36.5%). The most common themes on Instagram were survival (475, 87.3%), spreading positivity (385, 70.77%), and recovery/rehabilitation (329, 60.5%). TikTok users most often referred to survival (573, 97.1%), raising awareness (464. 78.6%), and spreading positivity (414, 70.2%). Patients were more likely to discuss pre-operative pain (p = 0.0382), postoperative pain (p &lt; 0.0001), invisible illness (p = 0.0130), humor (p = 0.0028), recovery (p &lt; 0.0001), angiograms (p &lt; 0.0001), and resiliency (p &lt; 0.0001) when compared to other individuals posting about a patients' experience.Conclusion: Patients often focus on different aspects of their care than do other individuals. This may be useful for physicians discussing treatment plans and prognoses with the patient and their families.</t>
  </si>
  <si>
    <t>[Gajjar, Avi A.; Salem, Mohamed M.; Hou, Neo Y.; Davis, Ryan Michael; Le, Anthony Huy Dinh; Jankowitz, Brian T.; Burkhardt, Jan Karl] Hosp Univ Penn, Dept Neurosurg, Penn Med, Philadelphia, PA USA</t>
  </si>
  <si>
    <t>University of Pennsylvania; Pennsylvania Medicine</t>
  </si>
  <si>
    <t>Burkhardt, JK (corresponding author), Univ Penn, Hosp Univ Penn, Dept Neurosurg, Philadelphia, PA 19104 USA.</t>
  </si>
  <si>
    <t>2023 APR 12</t>
  </si>
  <si>
    <t>10.1177/15910199231167914</t>
  </si>
  <si>
    <t>D8KO8</t>
  </si>
  <si>
    <t>WOS:000971163900001</t>
  </si>
  <si>
    <t>Li, MY; Li, GF; Yang, SJ</t>
  </si>
  <si>
    <t>Li, Mengyu; Li, Gaofei; Yang, Sijia</t>
  </si>
  <si>
    <t>Correction by distraction: how high-tempo music enhances medical experts' debunking TikTok videos</t>
  </si>
  <si>
    <t>multimodal misinformation; COVID-19; TikTok; music; audiovisual features; LC4MP; psychological reactance</t>
  </si>
  <si>
    <t>BACKGROUND MUSIC; FACT-CHECKING; PSYCHOLOGICAL REACTANCE; VACCINE MISINFORMATION; COVID-19 VACCINE; TELEVISION; PERSUASION; MESSAGES; IMPACT; ACCEPTABILITY</t>
  </si>
  <si>
    <t>The spread of multimodal coronavirus disease 2019 (COVID-19) misinformation on social media poses considerable public health risks. Yet limited research has addressed the efficacy of citizen-contributed, multimodal debunking messages, especially the roles of audiovisual structural features. In a between-subject online experiment, we assessed the impacts of misleading TikTok videos promoting the false claim that COVID-19 vaccines cause infertility and compared the effectiveness of debunking videos from medical experts vs. laypeople. We independently varied the presence of background music. Results showed that while misleading TikTok videos increased misperceptions, most debunking videos effectively countered such misinformation. Notably, compared with laypeople's testimonial corrections, expert didactic videos benefited more from incorporating high-tempo background music, primarily through the suppression of counterarguing rather than through enhanced encoding. These findings underscore the importance to consider audiovisual structural features, such as background music, as well as the cognitive pathway through distracted counterarguing, in future research on multimodal misinformation and correction. The spread of multimodal coronavirus disease 2019 (COVID-19) misinformation on social media poses public health risks. However, we do not know much about whether citizen-contributed debunking video messages can help correct health-related misinformation, nor the roles of specific message features such as background music. To answer these questions, we conducted an online experiment where participants viewed misleading TikTok videos about COVID-19 vaccines causing infertility and then watched correction videos from experts or regular users. We also varied whether these debunking videos included high- vs. low-tempo background music. We found that most correction videos effectively corrected the false information. Notably, expert videos with fast-paced music were particularly successful in reducing counterarguments that criticized the correction messages, which in turn helped improve such correction messages' persuasiveness. Our study underscores the importance of well-crafted multimedia corrections, including the role of background music, in combatting false information on platforms like TikTok.</t>
  </si>
  <si>
    <t>[Li, Mengyu; Li, Gaofei; Yang, Sijia] Univ Wisconsin Madison, Sch Journalism &amp; Mass Commun, Madison, WI 53706 USA</t>
  </si>
  <si>
    <t>Yang, SJ (corresponding author), Univ Wisconsin Madison, Sch Journalism &amp; Mass Commun, Madison, WI 53706 USA.</t>
  </si>
  <si>
    <t>sijia.yang@alumni.upenn.edu</t>
  </si>
  <si>
    <t>LI, Mengyu/LRC-0386-2024</t>
  </si>
  <si>
    <t>John S. and James L. Knight Foundation [MSN231314]; National Science Foundation [2230692, MSN 266268]; Office of the Vice Chancellor for Research and Graduate Education at the University of Wisconsin-Madison; Wisconsin Alumni Research Foundation [MSN231886]</t>
  </si>
  <si>
    <t>John S. and James L. Knight Foundation; National Science Foundation(National Science Foundation (NSF)); Office of the Vice Chancellor for Research and Graduate Education at the University of Wisconsin-Madison; Wisconsin Alumni Research Foundation</t>
  </si>
  <si>
    <t>This work was supported by funding from the John S. and James L. Knight Foundation (Award Number: MSN231314) and the National Science Foundation through the Convergence Accelerator Track F: Course Correct: Precision Guidance Against Misinformation (Agency Tracking Number: 2230692; Award Number: MSN 266268). Additional support for this research was provided by the Office of the Vice Chancellor for Research and Graduate Education at the University of Wisconsin-Madison with funding from the Wisconsin Alumni Research Foundation (Award Number: MSN231886) awarded to SY.</t>
  </si>
  <si>
    <t>zmae007</t>
  </si>
  <si>
    <t>10.1093/jcmc/zmae007</t>
  </si>
  <si>
    <t>A8T6G</t>
  </si>
  <si>
    <t>WOS:001285211100001</t>
  </si>
  <si>
    <t>Johnson, BL; Quinlan, MM; Curry, A</t>
  </si>
  <si>
    <t>Johnson, Bethany L.; Quinlan, Margaret M.; Curry, Audrey</t>
  </si>
  <si>
    <t>Smoothies, bone broth, and fitspo: the historicity of TikTok postpartum bounce-back culture</t>
  </si>
  <si>
    <t>MEDICAL HUMANITIES</t>
  </si>
  <si>
    <t>cultural history; Medical humanities; internet; Qualitative Research; Women's health</t>
  </si>
  <si>
    <t>TikTok, a now iconoclastic social media platform, hosts millions of videos on health, wellness and physical fitness, including content on postpartum wellness and 'bouncing back'. At present, few studies analyse the content of postpartum videos urging viewers to bounce-back or the potential influence of these videos. Given the acknowledged relationship between social media use and adverse mental health outcomes (eg, lowered self-esteem, increased stress, disordered eating risk), an investigation of bounce-back-related postpartum content on TikTok explores important intersections between wellness and fitness cultures and the embodied experience of postpartum recovery. Using a qualitative thematic analysis of bounce-back videos (n=175), we explore three themes: (1) Smoothies: eat, but don't be fat; (2) Bone broth: bounce-back with today's wellness trends; (3) Fitspo: moving your body matters. Importantly, videos recycle historically constructed thinking about what makes a 'good' or 'bad' body, invoke vintage diet-culture tropes (ie, drinking water to fill up before eating), and maintain potentially dangerous expectations for caregivers rooted in historical gender, race and class constructs. This results in a postfeminist mishmash of modern maternity practices and traditional hierarchies. Unpacking the historicity of TikTok content assists health practitioners, scholars and users in understanding the potential impacts of video content on new parents, as well as how to flag and contextualise potentially harmful content. Future studies should examine other TikTok subcultures, including teen mothers and trans parents, and explore the messaging directed at and the impact on those communities.</t>
  </si>
  <si>
    <t>[Johnson, Bethany L.] Univ South Carolina, Dept Hist, Columbia, SC USA; [Quinlan, Margaret M.; Curry, Audrey] Univ North Carolina Charlotte, Dept Commun Studies, Charlotte, NC USA; [Johnson, Bethany L.] Univ South Carolina Syst, Columbia, SC 29208 USA</t>
  </si>
  <si>
    <t>University of South Carolina System; University of South Carolina Columbia; University of North Carolina; University of North Carolina Charlotte; University of South Carolina System; University of South Carolina Columbia</t>
  </si>
  <si>
    <t>Johnson, BL (corresponding author), Univ South Carolina Syst, Columbia, SC 29208 USA.</t>
  </si>
  <si>
    <t>blj8@email.sc.edu</t>
  </si>
  <si>
    <t>Quinlan, Margaret M./0000-0002-7325-4058; Curry, Audrey/0000-0003-2478-210X; Johnson, Bethany/0000-0003-1949-041X</t>
  </si>
  <si>
    <t>1468-215X</t>
  </si>
  <si>
    <t>1473-4265</t>
  </si>
  <si>
    <t>MED HUMANIT</t>
  </si>
  <si>
    <t>Med. Humanit.</t>
  </si>
  <si>
    <t>10.1136/medhum-2023-012830</t>
  </si>
  <si>
    <t>D9G3P</t>
  </si>
  <si>
    <t>WOS:001236380500001</t>
  </si>
  <si>
    <t>Haddad, FF; Saade, JS</t>
  </si>
  <si>
    <t>Haddad, Firas F.; Saade, Joanna S.</t>
  </si>
  <si>
    <t>LASIK Videos on TikTok: A Content Analysis of the Top 100 Videos</t>
  </si>
  <si>
    <t>JOURNAL OF OPHTHALMOLOGY</t>
  </si>
  <si>
    <t>HEALTH INFORMATION; QUALITY</t>
  </si>
  <si>
    <t>Introduction. Social media has increasingly become a prominent source of health information. Platforms like TikTok that allow for videos to reach millions of viewers have become among the most common platforms to share and receive health information. Laser in situ keratomileusis (LASIK) videos and patients' experiences are commonly discussed on social media. The quality of these videos remains to be assessed. The aim of this study is to evaluate the content, quality, and reach of the top 100 videos related to LASIK eye surgery on TikTok. Methods. Video quality was assessed using the DISCERN, JAMA, and GQS instruments which have all been proven to be both reliable and valid. Results. 100 videos were included in the study. Results showed that the videos have an immense reach with a total view count of 245 million views and 21.9 million likes. Two thirds of the videos were posted by personal accounts as compared ophthalmologists that only constituted 26% of the content. Healthcare professionals produced higher quality videos compared to nonhealthcare professionals (p&lt;0.0001) although there was no significant difference in video duration (p=0.18). Increased duration, view count, comments, shares, saves, and views/day were all associated with increased DISCERN score and quality of the videos. Educational videos were of higher quality compared to entertainment videos, and videos outlining the procedure details had the highest quality score. Conclusions. LASIK videos on TikTok have established a wide reach, whereby viewers are highly interacting and viewing these videos. It appeared that viewers interacted more with the higher quality videos. Ophthalmologists approximately only contributed to a quarter of the videos analyzed in this study. This highlights the need for ophthalmologists to establish a presence on TikTok and produce high quality videos.</t>
  </si>
  <si>
    <t>[Haddad, Firas F.] Amer Univ Beirut, Fac Med, Beirut, Lebanon; [Saade, Joanna S.] Amer Univ Beirut Med Ctr, Dept Ophthalmol, Beirut, Lebanon</t>
  </si>
  <si>
    <t>American University of Beirut; American University of Beirut</t>
  </si>
  <si>
    <t>Saade, JS (corresponding author), Amer Univ Beirut Med Ctr, Dept Ophthalmol, Beirut, Lebanon.</t>
  </si>
  <si>
    <t>ffh07@mail.aub.edu; js62@aub.edu.lb</t>
  </si>
  <si>
    <t>2090-004X</t>
  </si>
  <si>
    <t>2090-0058</t>
  </si>
  <si>
    <t>J OPHTHALMOL</t>
  </si>
  <si>
    <t>J. Ophthalmol.</t>
  </si>
  <si>
    <t>MAY 21</t>
  </si>
  <si>
    <t>10.1155/2024/8810500</t>
  </si>
  <si>
    <t>SU6L9</t>
  </si>
  <si>
    <t>WOS:001236999200001</t>
  </si>
  <si>
    <t>Li, LS; Luo, XJ; Shu, XP; Li, ZW; Liu, F; Liu, XR; Tong, Y; Lv, Q; Liu, XY; Zhang, W; Peng, D</t>
  </si>
  <si>
    <t>Li, Lian-Shuo; Luo, Xiao-Juan; Shu, Xin-Peng; Li, Zi-Wei; Liu, Fei; Liu, Xu-Rui; Tong, Yue; Lv, Quan; Liu, Xiao-Yu; Zhang, Wei; Peng, Dong</t>
  </si>
  <si>
    <t>Quality and educational content of Douyin and TikTok short videos on early screening of rectal cancer</t>
  </si>
  <si>
    <t>JGH OPEN</t>
  </si>
  <si>
    <t>public health; rectal cancer; short video; social media</t>
  </si>
  <si>
    <t>HEALTH INFORMATION; STATISTICS; DISCERN</t>
  </si>
  <si>
    <t>Background and Aim: The aim of this study was to assess the quality and content of videos on Douyin and TikTok for their educational role on early screening of rectal cancer (RC).Methods: We conducted a search for videos related to RC on the Douyin and TikTok applications on 20 April 2023. The search was conducted in Chinese on Douyin and in English and Japanese on TikTok. A sample of the first 100 videos recommended by the software was selected for each language group. The content of the videos was evaluated using a content scorecard, while the quality of the videos was assessed using DISCERN. Subsequently, we conducted two partial correlations: one between the DISCERN score and the number of likes, and another between the video content score and the number of likes.Results: This study encompassed a total of 89 Chinese, 54 English, and 51 Japanese videos. After selection, 78 Chinese, 38 English, and 25 Japanese videos were identified to contain content related to early screening for RC, prompting further quality assessment. Notably, videos in the Chinese language showed the highest DISCERN score (P &lt; 0.05). In terms of partial correlation analysis, it was observed that both the content score and DISCERN score did not show a significant correlation with the number of likes (P &gt; 0.05).Conclusion: In terms of quality score and content score, the Chinese videos on Douyin show superiority over the English and Japanese videos on TikTok. However, there is potential for improving the overall appeal of the Chinese videos.</t>
  </si>
  <si>
    <t>[Li, Lian-Shuo; Shu, Xin-Peng; Li, Zi-Wei; Liu, Fei; Liu, Xu-Rui; Tong, Yue; Lv, Quan; Liu, Xiao-Yu; Zhang, Wei; Peng, Dong] Chongqing Med Univ, Dept Gastrointestinal Surg, Affiliated Hosp 1, Chongqing, Peoples R China; [Luo, Xiao-Juan] Chongqing Med Univ, Endoscopy Ctr, Affiliated Hosp 1, Chongqing, Peoples R China; [Peng, Dong] Chongqing Med Univ, Dept Gastrointestinal Surg, Affiliated Hosp 1, Chongqing 400016, Peoples R China</t>
  </si>
  <si>
    <t>Chongqing Medical University; Chongqing Medical University; Chongqing Medical University</t>
  </si>
  <si>
    <t>Peng, D (corresponding author), Chongqing Med Univ, Dept Gastrointestinal Surg, Affiliated Hosp 1, Chongqing 400016, Peoples R China.</t>
  </si>
  <si>
    <t>carry_dong@126.com</t>
  </si>
  <si>
    <t>Lv, Quan/KQV-2298-2024; Liu, Xiao-Yu/IYT-4154-2023; Li, Lian-Shuo/JRY-9377-2023</t>
  </si>
  <si>
    <t>The authors are grateful to Dr. Kang Tang, who graduated from Chiba University, for his help with the translation and evaluation of Japanese videos.</t>
  </si>
  <si>
    <t>2397-9070</t>
  </si>
  <si>
    <t>JGH Open</t>
  </si>
  <si>
    <t>10.1002/jgh3.13005</t>
  </si>
  <si>
    <t>DE4K2</t>
  </si>
  <si>
    <t>WOS:001107392100001</t>
  </si>
  <si>
    <t>Loveland, M; Ibrahim, R; Block, G</t>
  </si>
  <si>
    <t>Loveland, Macklin; Ibrahim, Ramzi; Block, Geoffrey</t>
  </si>
  <si>
    <t>The prevalence and characteristics of misinformation on TikTok related to cirrhosis and liver disease: A comparative analysis of accurate and misleading content</t>
  </si>
  <si>
    <t>[Loveland, Macklin; Ibrahim, Ramzi] Univ Arizona, Dept Med, 1625 N Campbell Ave, Tucson, AZ 85719 USA; [Block, Geoffrey] Univ Arizona, Dept Gastroenterol &amp; Hepatol, Tucson, AZ 85719 USA</t>
  </si>
  <si>
    <t>University of Arizona; University of Arizona</t>
  </si>
  <si>
    <t>Loveland, M (corresponding author), Univ Arizona, Dept Med, 1625 N Campbell Ave, Tucson, AZ 85719 USA.</t>
  </si>
  <si>
    <t>mloveland@arizona.edu</t>
  </si>
  <si>
    <t>Ibrahim, Ramzi/HTR-7065-2023</t>
  </si>
  <si>
    <t>10.1177/10815589241235658</t>
  </si>
  <si>
    <t>MW7X9</t>
  </si>
  <si>
    <t>WOS:001196750300001</t>
  </si>
  <si>
    <t>Tompkins, JE; Guajardo, AML</t>
  </si>
  <si>
    <t>Tompkins, Jessica E.; Guajardo (nee Brown), Ashley M. L.</t>
  </si>
  <si>
    <t>Gatekeeping the Gatekeepers: An Exploratory Study of Transformative Games Fandom &amp; TikTok Algorithms</t>
  </si>
  <si>
    <t>fandom; fan studies; gatekeeping; TikTok; social media; digital games</t>
  </si>
  <si>
    <t>Within fandoms, gatekeeping practices such as delineating authentic from fake fans filter out certain identities. While the types of fans excluded vary by fandom, mainstream digital games culture-and the hegemonic, masculine groups within it-frequently leverage gatekeeping tactics like harassment to silence or churn others (i.e., women) from participating. While there has been considerable scholarship documenting gatekeeping in online digital games there has been less examination of this occurring within video game fandom. We conducted an exploratory study to investigate gatekeeping in response to TikTok videos about Call of Duty's masculine operator Ghost. We found more comments qualifying as celebratory fun than gatekeeping. We argue that social media spaces by virtue of their recommendation algorithms are productive sites for reimagining games counter to affirmational readings within relatively niche communities.</t>
  </si>
  <si>
    <t>[Guajardo (nee Brown), Ashley M. L.] Univ Utah, Entertainment Arts &amp; Engn, Salt Lake City, UT USA; [Guajardo (nee Brown), Ashley M. L.] Univ Utah, Div Games, Salt Lake City, UT USA; [Tompkins, Jessica E.] Indiana Univ, Media Sch, 1229 East 7th St,Radiotv Bldg, Bloomington, IN 47405 USA</t>
  </si>
  <si>
    <t>Utah System of Higher Education; University of Utah; Utah System of Higher Education; University of Utah; Indiana University System; Indiana University Bloomington</t>
  </si>
  <si>
    <t>Tompkins, JE (corresponding author), Indiana Univ, Media Sch, 1229 East 7th St,Radiotv Bldg, Bloomington, IN 47405 USA.</t>
  </si>
  <si>
    <t>jtompkins20@yahoo.com</t>
  </si>
  <si>
    <t>2024 APR 9</t>
  </si>
  <si>
    <t>10.1177/15554120241244416</t>
  </si>
  <si>
    <t>NH5M4</t>
  </si>
  <si>
    <t>WOS:001199572900001</t>
  </si>
  <si>
    <t>Machirori, F</t>
  </si>
  <si>
    <t>Machirori, Fungai</t>
  </si>
  <si>
    <t>This is Africa: How young African TikTok trends challenged Afropessimism during COVID-19</t>
  </si>
  <si>
    <t>JOURNAL OF AFRICAN MEDIA STUDIES</t>
  </si>
  <si>
    <t>African digitality; digital agency; African digital activism; #JerusalemaChallenge; #DontRushChallenge; #DontLeaveMeChallenge</t>
  </si>
  <si>
    <t>TIA</t>
  </si>
  <si>
    <t>Afropessimism, or the western media tradition of covering Africa in stereotypically negative ways, has continually served to strip the continent of representational nuance and agency. While Africa experienced its own COVID-19 challenges during the pandemic, the Afropessimistic outlook of total collapse and carnage did not become a reality. In fact, with the popular uptake of TikTok as the pandemic wore on, Africans began social media trends that kept many globally entertained as they navigated new lockdown realities. This study looks at three of these TikTok trends, namely #JerusalemaChallenge, #DontRushChallenge and #DontLeaveMeChallenge. Through textual analysis, the study explores if and how these trends provided counternarratives to Afropessimism. With dominant themes such as humour and dance emerging, findings suggest that these trends offered content that can be read as contributing to challenging Afropessimism through cultivating African digital agency and representation.</t>
  </si>
  <si>
    <t>[Machirori, Fungai] Univ Technol Sydney, Ultimo, Australia</t>
  </si>
  <si>
    <t>University of Technology Sydney</t>
  </si>
  <si>
    <t>Machirori, F (corresponding author), Univ Technol Sydney, Ultimo, Australia.</t>
  </si>
  <si>
    <t>fungai.r.machirori@student.uts.edu.au</t>
  </si>
  <si>
    <t>2021-22 Africa No Filter Academic Fellows Program</t>
  </si>
  <si>
    <t>This research was funded as part of the 2021-22 Africa No Filter Academic Fellows Program.</t>
  </si>
  <si>
    <t>2040-199X</t>
  </si>
  <si>
    <t>1751-7974</t>
  </si>
  <si>
    <t>J AFR MEDIA STUD</t>
  </si>
  <si>
    <t>J. Afr. Media Stud.</t>
  </si>
  <si>
    <t>10.1386/jams_00098_1</t>
  </si>
  <si>
    <t>Cultural Studies; Communication; Film, Radio, Television</t>
  </si>
  <si>
    <t>Cultural Studies; Communication; Film, Radio &amp; Television</t>
  </si>
  <si>
    <t>HD2C1</t>
  </si>
  <si>
    <t>WOS:001157479800002</t>
  </si>
  <si>
    <t>Gupta, AK; Ravi, SP; Wang, T</t>
  </si>
  <si>
    <t>Gupta, Aditya K.; Ravi, Shruthi Polla; Wang, Tong</t>
  </si>
  <si>
    <t>Alopecia areata and pattern hair loss (androgenetic alopecia) on social media - Current public interest trends and cross-sectional analysis of YouTube and TikTok contents</t>
  </si>
  <si>
    <t>alopecia areata; androgenetic alopecia; pattern hair loss; social media</t>
  </si>
  <si>
    <t>S3 GUIDELINE; WOMEN</t>
  </si>
  <si>
    <t>BackgroundWith an ever-growing influence of social media in healthcare, concurrent with increased emphasis on patient autonomy and shared decision-making, dermatologists treating hair loss need to be cognizant of online interest trends and the types of information disseminated across popular platforms. ObjectivesTo evaluate recent health-related interest trends and assess engagement, quality, and accuracy of alopecia areata (AA) and pattern hair loss (PHL, androgenetic alopecia) contents on social media. MethodsRelative search volumes (RSVs) were extracted from Google Trends using the search category 'alopecia areata' and 'pattern hair loss'. Eighty matching videos on TikTok and YouTube were also extracted and characterized. Viewer engagement was estimated using the engagement ratio, and quality and accuracy were assessed using DISCERN and Dy et al. Accuracy Scale (DAS). ConclusionsAA-related contents on TikTok discussing personal experiences of female subjects were significantly more engaging. DISCERN and DAS scoring showed significantly higher quality and accuracy in videos created by healthcare providers on YouTube, but not TikTok, which could in part be related to YouTube videos being longer. RSV fluctuations corresponding to news in popular culture had high impact. Sponsorship disclosures were generally not reported in product promotional videos.</t>
  </si>
  <si>
    <t>[Gupta, Aditya K.] Univ Toronto, Dept Med, Div Dermatol, Toronto, ON, Canada; [Gupta, Aditya K.; Ravi, Shruthi Polla; Wang, Tong] Mediprobe Res Inc, London, ON, Canada; [Gupta, Aditya K.] 645 Windermere Rd, London, ON N5X 2P1, Canada</t>
  </si>
  <si>
    <t>University of Toronto; Mediprobe Research Inc.</t>
  </si>
  <si>
    <t>Gupta, AK (corresponding author), 645 Windermere Rd, London, ON N5X 2P1, Canada.</t>
  </si>
  <si>
    <t>agupta@mediproberesearch.com</t>
  </si>
  <si>
    <t>Gupta, Aditya/AAE-5797-2020</t>
  </si>
  <si>
    <t>Gupta, Aditya K./0000-0002-8664-7723; Polla Ravi, Shruthi/0000-0001-7161-0322; Wang, Tong (Tony)/0000-0001-9359-9750</t>
  </si>
  <si>
    <t>10.1111/jocd.15605</t>
  </si>
  <si>
    <t>8X5EO</t>
  </si>
  <si>
    <t>WOS:000907868100001</t>
  </si>
  <si>
    <t>Freepalestine on TikTok: from performative activism to (meaningful) playful activism</t>
  </si>
  <si>
    <t>TikTok; Palestine; social media; performance; playful activism</t>
  </si>
  <si>
    <t>SOCIAL NETWORKING SITES; PALESTINE; TWITTER; GENDER; MEDIA; COMMUNICATION; STEREOTYPES; RESISTANCE; REVOLUTION; SAMPLE</t>
  </si>
  <si>
    <t>Palestinians, like many other diasporic communities, have, on the one hand, articulated their personal experiences and their subjectivities through digitalized channels. On the other, they have used social networks as tools for resistance, to make their voices heard by global public opinion. Acknowledging that each social medium is a unique socio-technological environment, displaying particular affordances that shape its dynamics of communicative practices and social interactions, this paper focuses on TikTok, the most popular sodas network among Gen Zers, disclosing how the affordances of this platform shape and engender a new form of activism, that we will define playful activism. The study presents an inductive, multimodal discourse analysis of a sample of widely viewed and shared #freepalestine TikToks unveiling how young Palestinians use this network to construct their narratives through playful performances, which show a deep knowledge of the app's affordances and a great capacity to adapt to TikTok's cultural and discursive environment. However, most importantly, these playful performances allow them to spread their political messages among a youth audience that potentially had no previous interest (and probably not even knowledge) about Palestine, fostering both the humanization of Palestinians and building a new solidarity network.</t>
  </si>
  <si>
    <t>[Cervi, Laura] Autonomous Univ Barcelona, Dept Journalism &amp; Commun Sci, Barcelona, Spain; [Marin-Llado, Carles] Rey Juan Carlos Univ, Dept Commun Sci &amp; Sociol, Madrid, Spain</t>
  </si>
  <si>
    <t>Cervi, L (corresponding author), Autonomous Univ Barcelona, Dept Journalism &amp; Commun Sci, Barcelona, Spain.</t>
  </si>
  <si>
    <t>laura.cervi@uab.es</t>
  </si>
  <si>
    <t>MARIN-LLADO, Carles/AAN-6990-2020; cervi, laura/S-2216-2018</t>
  </si>
  <si>
    <t>10.1080/17513057.2022.2131883</t>
  </si>
  <si>
    <t>6T8IC</t>
  </si>
  <si>
    <t>WOS:000877444600001</t>
  </si>
  <si>
    <t>Wu, MX; Yang, YM; Chen, YX</t>
  </si>
  <si>
    <t>Wu, Minxia; Yang, Yongmei; Chen, Yanxing</t>
  </si>
  <si>
    <t>Evaluation of treatment information quality on hypertension and diabetes on WeChat and TikTok: A cross-sectional content analysis</t>
  </si>
  <si>
    <t>HEALTH INFORMATICS JOURNAL</t>
  </si>
  <si>
    <t>Chinese videos; hypertension and diabetes; quality evaluation; treatment-related information; WeChat and TikTok</t>
  </si>
  <si>
    <t>HEALTH INFORMATION; INTERNET; LIKES; CREDIBILITY; PREVALENCE; INTENTIONS; LITERACY; CHINA</t>
  </si>
  <si>
    <t>Objective: This study aimed to assess the quality of the information in WeChat and TikTok videos related to hypertension and diabetes treatment. Methods: A sample of 120 Chinese videos was collected based on specific inclusion and exclusion criteria. The quality was evaluated using DISCERN, JAMA and the latest edition of Chinese guidelines for hypertension and diabetes prevention and treatment, and two observers independently scored each video using the three assessment tools. Results: Among all 120 videos, only 10 scored above 38 points in DISCERN, with 45 videos rated as very poor. None of the video met all JAMA criteria simultaneously, and there were gaps in accuracy and completeness compared to the two guidelines. Furthermore, there was no significant correlation between information quality and the number of likes and comments. Conclusion: The current quality of information on the treatment of hypertension and diabetes on WeChat and TikTok was unsatisfactory. Consequently, the government should strengthen oversight of information quality, and social media platforms should actively review health-related content to prevent inaccurate information dissemination. Individuals should enhance their digital and health literacy.</t>
  </si>
  <si>
    <t>[Wu, Minxia; Yang, Yongmei; Chen, Yanxing] Wenzhou Med Univ, Sch Med Humanities &amp; Management, Wenzhou, Peoples R China</t>
  </si>
  <si>
    <t>Wenzhou Medical University</t>
  </si>
  <si>
    <t>Yang, YM (corresponding author), Wenzhou Med Univ, Chashan Univ Town, Sch Med Humanities &amp; Management, Wenzhou 325035, Peoples R China.</t>
  </si>
  <si>
    <t>yym7851@126.com</t>
  </si>
  <si>
    <t>yang, yongmei/0000-0002-4225-2359</t>
  </si>
  <si>
    <t>National Social Science Fund of China [22BGL250]</t>
  </si>
  <si>
    <t>National Social Science Fund of China</t>
  </si>
  <si>
    <t>The author(s) disclosed receipt of the following financial support for the research, authorship, and/or publication of this article: This work was supported by the The National Social Science Fund of China (22BGL250).</t>
  </si>
  <si>
    <t>1460-4582</t>
  </si>
  <si>
    <t>1741-2811</t>
  </si>
  <si>
    <t>HEALTH INFORM J</t>
  </si>
  <si>
    <t>Health Inform. J.</t>
  </si>
  <si>
    <t>10.1177/14604582241275824</t>
  </si>
  <si>
    <t>C6F9M</t>
  </si>
  <si>
    <t>WOS:001290318700001</t>
  </si>
  <si>
    <t>Birkun, AA</t>
  </si>
  <si>
    <t>Birkun, Alexei A.</t>
  </si>
  <si>
    <t>Misinformation on first aid for seizures communicated through the fastest growing social media platform: A cross-sectional study of TikTok content</t>
  </si>
  <si>
    <t>EPILEPSY &amp; BEHAVIOR</t>
  </si>
  <si>
    <t>Communication; Emergencies; First Aid; Internet; Seizures; Social Media</t>
  </si>
  <si>
    <t>EPILEPSY; RESUSCITATION; DISLOCATION; INFORMATION</t>
  </si>
  <si>
    <t>Introduction: Social media platforms have significant potential to enhance public knowledge on how to respond to generalised seizures. Among the platforms, TikTok emerges as a standout performer, demonstrating exceptional user engagement. Study objective: This study aimed to assess the quality of content on first aid for seizures posted on TikTok. Methods: TikTok videos providing instructions on first aid for generalised seizures and having at least 100,000 views were analysed for completeness and correctness of the advice using a 21-item checklist. Any misleading recommendations suggesting inappropriate actions were collected from the videos and users' comments on the videos. Results: Nineteen eligible videos had a total of 19,502,200 views. The videos frequently omitted key guidelines- concordant instructions on first aid for seizures, in particular, to lay the person down to prevent falling (missed in 84.2% of the videos), avoid moving the person unless they are in danger (89.5%), check the person's breathing once the seizure has ended (89.5%) and commence cardiopulmonary resuscitation if the person remains unresponsive and not breathing normally (94.7%). Nine videos (47.4%) contained misleading instructions, most commonly to put the person on their side or otherwise move them during the seizure. Multiple comments to the videos advocated futile and dangerous actions, for instance, putting objects into the person's mouth, restraining, or hitting the person. Conclusion: TikTok videos convey information on first aid for seizures to multi-million audiences concurrently propagating incomplete, inaccurate and potentially harmful non-evidence-based advice. Urgent research and regulatory efforts are needed to develop effective strategies to combat the misinformation spread.</t>
  </si>
  <si>
    <t>[Birkun, Alexei A.] V I Vernadsky Crimean Fed Univ, Med Inst named SI Georgievsky, Dept Gen Surg Anaesthesiol Resuscitat &amp; Emergency, Lenin Blvd 5-7, Simferopol 295051, Russia</t>
  </si>
  <si>
    <t>VI Vernadsky Crimean Federal University</t>
  </si>
  <si>
    <t>Birkun, AA (corresponding author), V I Vernadsky Crimean Fed Univ, Med Inst named SI Georgievsky, Dept Gen Surg Anaesthesiol Resuscitat &amp; Emergency, Lenin Blvd 5-7, Simferopol 295051, Russia.</t>
  </si>
  <si>
    <t>birkunalexei@gmail.com</t>
  </si>
  <si>
    <t>Birkun, Alexei/R-3613-2017</t>
  </si>
  <si>
    <t>Birkun, Alexei/0000-0002-2789-9760</t>
  </si>
  <si>
    <t>1525-5050</t>
  </si>
  <si>
    <t>1525-5069</t>
  </si>
  <si>
    <t>EPILEPSY BEHAV</t>
  </si>
  <si>
    <t>Epilepsy Behav.</t>
  </si>
  <si>
    <t>10.1016/j.yebeh.2024.110116</t>
  </si>
  <si>
    <t>Behavioral Sciences; Clinical Neurology; Psychiatry</t>
  </si>
  <si>
    <t>Behavioral Sciences; Neurosciences &amp; Neurology; Psychiatry</t>
  </si>
  <si>
    <t>L8D9O</t>
  </si>
  <si>
    <t>WOS:001352984800001</t>
  </si>
  <si>
    <t>Lee, J; Ouellette, RR; Morean, ME; Kong, G</t>
  </si>
  <si>
    <t>Lee, Juhan; Ouellette, Rachel R.; Morean, Meghan E.; Kong, Grace</t>
  </si>
  <si>
    <t>Adolescents and Young Adults Use of Social Media and Following of e-Cigarette Influencers</t>
  </si>
  <si>
    <t>e-cigarettes; social media; youth; young adults.</t>
  </si>
  <si>
    <t>BRAND</t>
  </si>
  <si>
    <t>BackgroundWith high rates of both e-cigarette and social media use among adolescents and young adults (AYAs), social media influencers who promote e-cigarettes are particularly concerning but are understudied. We examined the association between AYAs' use of 11 different social media platforms (e.g. Facebook, Twitter, Instagram, TikTok, and YouTube) and exposure to social media e-cigarette influencers.ObjectivesFrom November 2022 to February 2023, we conducted an online, US national survey of AYAs (14-29 years) who endorsed past-30-day e-cigarette use. We used binomial logistic regression to examine associations between the frequency of use of each social media platform and following e-cigarette influencers, controlling for age, sex, race, ethnicity, e-cigarette use frequency, and other tobacco and substance use (i.e., alcohol and cannabis). The model was stratified by adolescents (14-17 years; n = 293) and young adults (18-29 years; n = 654).ResultsThe most frequently used social media platforms were Snapchat, TikTok and Instagram among adolescents, and YouTube, Instagram and TikTok among young adults. In adjusted models, following e-cigarette influencers was associated with more frequent use of TikTok (adjusted odds ratio [95% CI]; 1.33 [1.05, 1.68]) and Pinterest (1.18 [1.02, 1.38]) among adolescents, and more frequent use of Twitter (1.17 [1.06, 1.29]) among young adults.ConclusionsThe use of different platforms was associated with exposure to e-cigarette influencers: TikTok and Pinterest among adolescents and Twitter among young adults. These findings can inform tobacco regulatory policy and social media platform restrictions of e-cigarette influencers on the platforms that are popular among AYAs.</t>
  </si>
  <si>
    <t>[Lee, Juhan; Ouellette, Rachel R.; Morean, Meghan E.; Kong, Grace] Yale Univ, Dept Psychiat, Sch Med, 34 Pk St,S-206, New Haven, CT 06510 USA</t>
  </si>
  <si>
    <t>Lee, J (corresponding author), Yale Univ, Dept Psychiat, Sch Med, 34 Pk St,S-206, New Haven, CT 06510 USA.</t>
  </si>
  <si>
    <t>juhan.lee@yale.edu</t>
  </si>
  <si>
    <t>Lee, Joseph/D-2441-2012</t>
  </si>
  <si>
    <t>Lee, Juhan/0000-0003-0860-3327; Ouellette, Rachel/0000-0001-6982-0830</t>
  </si>
  <si>
    <t>National Institute on Drug Abuse (NIDA) [U54DA036151, T32 DA019426-18]; FDA Center for Tobacco Products (CTP); [R01DA049878]</t>
  </si>
  <si>
    <t>National Institute on Drug Abuse (NIDA)(United States Department of Health &amp; Human ServicesNational Institutes of Health (NIH) - USANIH National Institute on Drug Abuse (NIDA)); FDA Center for Tobacco Products (CTP)(United States Department of Health &amp; Human ServicesUS Food &amp; Drug Administration (FDA));</t>
  </si>
  <si>
    <t>This study was funded by R01DA049878 (PI: G, Kong). Juhan Lee, Grace Kong and Meghan Morean's effort was also supported by grant number U54DA036151 from the National Institute on Drug Abuse (NIDA) and FDA Center for Tobacco Products (CTP). Rachel R. Ouellette's efforts for this study were funded by NIDA T32 DA019426-18 (PI: Tebes). The content is solely the responsibility of the authors and does not necessarily represent the official views of the NIH or the Food and Drug Administration.</t>
  </si>
  <si>
    <t>JUL 28</t>
  </si>
  <si>
    <t>10.1080/10826084.2024.2352620</t>
  </si>
  <si>
    <t>SY4X4</t>
  </si>
  <si>
    <t>WOS:001224658500001</t>
  </si>
  <si>
    <t>Vera, AZ; Bruce, A; Garris, J; Tochen, L; Bhatia, P; Lehman, RK; Lopez, W; Wu, SW; Gilbert, DL</t>
  </si>
  <si>
    <t>Vera, Alonso Zea; Bruce, Adrienne; Garris, Jordan; Tochen, Laura; Bhatia, Poonam; Lehman, Rebecca K.; Lopez, Wendi; Wu, Steve W.; Gilbert, Donald L.</t>
  </si>
  <si>
    <t>The Phenomenology of Tics and Tic-Like Behavior in TikTok</t>
  </si>
  <si>
    <t>PEDIATRIC NEUROLOGY</t>
  </si>
  <si>
    <t>Tourette syndrome; Tics; Functional tic-like disorder; Social media</t>
  </si>
  <si>
    <t>SELF-INJURIOUS-BEHAVIOR; TOURETTE-SYNDROME</t>
  </si>
  <si>
    <t>Background: Pediatricians and pediatric subspecialists worldwide have reported a marked increase in functional (conversion) disorders with tic-like behaviors during the COVID-19 pandemic. These patients often report frequent viewing of Tourette syndrome (TS) TikTok videos, suggesting disease modeling. We aimed to evaluate tic phenomenology in videos posted on TikTok.Methods: The 100 most-viewed videos under #tourettes in TikTok were randomly assigned to two of three primary reviewers (&lt;2 years independent practice), all pediatric neurologists specializing in movement disorders, for extraction and classification of tic phenomenology. Initial disagreements were solved by consensus. If not resolved, one of five senior reviewers (&gt;2 years independent pediatric movement disorder practice) served as a tiebreaker. In addition, two primary and one senior reviewer rated each video on a Likert scale from 1 = All the tics are typical of TS to 5 = None of the tics are typical of TS. Median scores and Spearman correlation between primary and senior reviewers were calculated.Results: Six videos without tic-like behaviors were excluded. Most videos depicted coprophenomena (coprolalia: 53.2%; copropraxia: 20.2%), often with unusual characteristics. Frequently, videos demon-strated atypical phenomenology such as very strong influence by the environment (motor: 54.3%; phonic: 54.3%), aggression (19.1%), throwing objects (22.3%), self-injurious behaviors (27.7%), and long phrases (&gt;3 words; 45.7%). Most videos portrayed atypical, nontic behaviors (median [IQR] Likert ratings: 5 [4-5]). Primary vs. senior rater scores demonstrated moderate agreement (r 1/4 0.46; P &lt; 0.001).Conclusions: TS symptom portrayals on highly viewed TikTok videos are predominantly not represen-tative or typical of TS.(c) 2022 Elsevier Inc. All rights reserved.</t>
  </si>
  <si>
    <t>[Vera, Alonso Zea; Wu, Steve W.; Gilbert, Donald L.] Cincinnati Childrens Hosp, Div Neurol, Med Ctr, Cincinnati, OH USA; [Vera, Alonso Zea; Tochen, Laura] Childrens Natl Hosp, Dept Neurol, 11 Michigan Ave, Washington, DC USA; [Bruce, Adrienne] Prisma Hlth, Dept Pediat, Greenville, SC USA; [Bruce, Adrienne] Univ South Carolina, Sch Med Greenville, Greenville, SC USA; [Garris, Jordan] Univ Virginia, Dept Neurol, Med Ctr, Charlottesville, VA USA; [Bhatia, Poonam] Phoenix Childrens Hosp, Barrow Neurol Inst, Pediat Movement Disorders Program, Phoenix, AZ USA; [Lehman, Rebecca K.] Prisma Hlth Midlands, Columbia, SC USA; [Lehman, Rebecca K.] Univ South Carolina, Dept Neurol, Columbia, SC USA; [Lopez, Wendi] Cincinnati Childrens Hosp, Div Behav Med &amp; Clin Psychol, Med Ctr, Cincinnati, OH USA; [Wu, Steve W.; Gilbert, Donald L.] Univ Cincinnati, Dept Pediat, Coll Med, Cincinnati, OH USA</t>
  </si>
  <si>
    <t>Cincinnati Children's Hospital Medical Center; Children's National Health System; Greenville Health System; University of Virginia; Barrow Neurological Institute; Phoenix Children's Hospital; University of South Carolina System; University of South Carolina Columbia; Cincinnati Children's Hospital Medical Center; University System of Ohio; University of Cincinnati</t>
  </si>
  <si>
    <t>Vera, AZ (corresponding author), Natl Childrens Hosp, Dept Neurol, 111 Michigan Ave, Washington, DC 20010 USA.</t>
  </si>
  <si>
    <t>azeavera@childrensnational.org</t>
  </si>
  <si>
    <t>Zea Vera, Alonso/AAO-8943-2021; Gilbert, Donald/D-6443-2016</t>
  </si>
  <si>
    <t>Garris, Jordan/0000-0001-7940-5139; Zea Vera, Alonso/0000-0002-8172-3117; Lopez, Wendi/0000-0002-7287-8651; Tochen, Laura/0000-0001-8174-6338; Bruce, Adrienne/0000-0003-2823-1356; Wu, Steve/0000-0001-5102-174X; Gilbert, Donald/0000-0002-9245-6878</t>
  </si>
  <si>
    <t>0887-8994</t>
  </si>
  <si>
    <t>1873-5150</t>
  </si>
  <si>
    <t>PEDIATR NEUROL</t>
  </si>
  <si>
    <t>Pediatr. Neurol.</t>
  </si>
  <si>
    <t>10.1016/j.pediatrneurol.2022.02.003</t>
  </si>
  <si>
    <t>Clinical Neurology; Pediatrics</t>
  </si>
  <si>
    <t>Neurosciences &amp; Neurology; Pediatrics</t>
  </si>
  <si>
    <t>0L7PJ</t>
  </si>
  <si>
    <t>WOS:000781661900003</t>
  </si>
  <si>
    <t>Larsh, TR; Wu, SW; Gilbert, DL</t>
  </si>
  <si>
    <t>Larsh, Travis R.; Wu, Steve W.; Gilbert, Donald L.</t>
  </si>
  <si>
    <t>Comparison of Impairment in Functional Tic Disorders Versus Tourette Syndrome</t>
  </si>
  <si>
    <t>Tourette; Tic; Functional tic; TikTok; Functional movement disorder; COVID-19; Coronavirus; Adolescent</t>
  </si>
  <si>
    <t>[Larsh, Travis R.; Wu, Steve W.; Gilbert, Donald L.] Cincinnati Childrens Hosp Med Ctr, Div Neurol, Cincinnati, OH 45229 USA; [Larsh, Travis R.; Wu, Steve W.; Gilbert, Donald L.] Univ Cincinnati, Dept Pediat, Coll Med, Cincinnati, OH 45221 USA</t>
  </si>
  <si>
    <t>Cincinnati Children's Hospital Medical Center; University System of Ohio; University of Cincinnati</t>
  </si>
  <si>
    <t>Larsh, TR (corresponding author), Cincinnati Childrens Hosp Med Ctr, Div Neurol, Cincinnati, OH 45229 USA.;Larsh, TR (corresponding author), Univ Cincinnati, Dept Pediat, Coll Med, Cincinnati, OH 45221 USA.</t>
  </si>
  <si>
    <t>travis.larsh@cchmc.org</t>
  </si>
  <si>
    <t>Gilbert, Donald/D-6443-2016</t>
  </si>
  <si>
    <t>10.1016/j.pediatrneurol.2022.06.013</t>
  </si>
  <si>
    <t>5R9XO</t>
  </si>
  <si>
    <t>WOS:000874856400015</t>
  </si>
  <si>
    <t>Ingraham, C; Grandinetti, J</t>
  </si>
  <si>
    <t>Ingraham, Chris; Grandinetti, Justin</t>
  </si>
  <si>
    <t>The privilege of taken for grantedness: On precarity and mobile media</t>
  </si>
  <si>
    <t>Digital divide; Douyin; infrastructure; platforms; precarity; social media; TikTok</t>
  </si>
  <si>
    <t>This essay makes a case for more critical inquiry in mobile media research around the privilege of taken for grantedness. As a critical supplement to Richard Ling's important work on the taken for granted dispersion and embedment of technologies such as the mobile phone or automobile into everyday life, we examine the precarity that such reliance involves. Taking certain media for granted makes other, more invisible vulnerabilities harder to see and acknowledge. We make this case using the example of TikTok, a short-form mobile streaming app that has rapidly become a go-to social media platform worldwide-as well as a massively visible infrastructure due to its associated geopolitical tensions and security concerns. In light of recent conversations about banning the platform, TikTok offers an instructive case study for the privilege of taken for grantedness and the deceptively precarious nature of our mobile media practices.</t>
  </si>
  <si>
    <t>[Ingraham, Chris] Univ Utah, Commun, Salt Lake City, UT USA; [Grandinetti, Justin] Univ N Carolina, Dept Commun Studies, Charlotte, NC USA; [Grandinetti, Justin] Univ N Carolina, Teh Schoo Data Sci, Charlotte, NC USA; [Ingraham, Chris] Univ Utah, Languages &amp; Commun Bldg,255 S Cent Campus Dr,Rm 24, Salt Lake City, UT 84112 USA</t>
  </si>
  <si>
    <t>Utah System of Higher Education; University of Utah; University of North Carolina; University of North Carolina Charlotte; University of North Carolina; University of North Carolina Charlotte; Utah System of Higher Education; University of Utah</t>
  </si>
  <si>
    <t>Ingraham, C (corresponding author), Univ Utah, Languages &amp; Commun Bldg,255 S Cent Campus Dr,Rm 24, Salt Lake City, UT 84112 USA.</t>
  </si>
  <si>
    <t>chris.ingraham@utah.edu</t>
  </si>
  <si>
    <t>10.1177/14614448231158644</t>
  </si>
  <si>
    <t>E2SW2</t>
  </si>
  <si>
    <t>WOS:000973409300001</t>
  </si>
  <si>
    <t>Vaz, AC</t>
  </si>
  <si>
    <t>Vaz, Ana Cristina</t>
  </si>
  <si>
    <t>Dialogues between the creation of comic videos on TikTok and the concept of gag in clowning</t>
  </si>
  <si>
    <t>URDIMENTO-REVISTA DE ESTUDOS EM ARTES CENICAS</t>
  </si>
  <si>
    <t>Clowning; Gag; TikTok; Imitation; Comic performance</t>
  </si>
  <si>
    <t>This article aims to establish a dialogue between the process of creating comic videos on TikTok and the concept of gag in clowning, seeking to reflect on the different possibilities of building the comic effect at the intersection between the practices of clowning and short videos. The study's starting point was my experience with creating videos on the platform, which made me question myself about the use of imitation, which is a common element in creating short videos, and the different versions produced through the appropriation of other jokes. Based on theoretical investigations, this research discusses the concepts of the gag, the internet meme and the comic performance to contextualize the report of three experiments carried out by the clown Hipotenusa, interpreted by me, seeking to contribute to studies on comic creation in digital media.</t>
  </si>
  <si>
    <t>[Vaz, Ana Cristina] IESB, Curso Bacharelado Teatro, Brasilia, DF, Brazil</t>
  </si>
  <si>
    <t>Vaz, AC (corresponding author), IESB, Curso Bacharelado Teatro, Brasilia, DF, Brazil.</t>
  </si>
  <si>
    <t>vaz.anacristina@gmail.com</t>
  </si>
  <si>
    <t>UNIV ESTADO SANTA CATARINA-UDESC</t>
  </si>
  <si>
    <t>FLORIANOPOLIS</t>
  </si>
  <si>
    <t>RUA VISCONDE OURO PRETO 457, CENTRO, FLORIANOPOLIS, SC 88020-04, BRAZIL</t>
  </si>
  <si>
    <t>1414-5731</t>
  </si>
  <si>
    <t>2358-6958</t>
  </si>
  <si>
    <t>URDIMENTO</t>
  </si>
  <si>
    <t>Urdimento</t>
  </si>
  <si>
    <t>10.5965/1414573102442022e0200</t>
  </si>
  <si>
    <t>8U1US</t>
  </si>
  <si>
    <t>WOS:000929737500012</t>
  </si>
  <si>
    <t>Liu, NC; Sun, XH; Hong, S; Zhang, BW</t>
  </si>
  <si>
    <t>Liu, Nuochen; Sun, Xiaohui; Hong, Sha; Zhang, Bowen</t>
  </si>
  <si>
    <t>Reproduction, cultural symbolism, and online relationship: Constructing city spatial imagery on TikTok</t>
  </si>
  <si>
    <t>TikTok; city imagery; cultural symbolism; audience behavior; content analysis</t>
  </si>
  <si>
    <t>DESTINATION IMAGE; SOCIAL MEDIA; TOURISM; REPRESENTATION; IMPACT; INFORMATION; EXPERIENCES; INTENTION; FACEBOOK; CITIES</t>
  </si>
  <si>
    <t>The city on social media has become a hot topic in the study of city communication and city image. From the perspective of spatial theory and the communication characteristics of social media, this paper divides the spatial imagery of TikTok into three spaces: material space-cognitive attention, mental space-mental association, and relational space-emotional involvement. Based on the content analysis of 40 videos, we analyze the process of social media using cognition, association, and emotion as the starting points to increase the material space, expand the mental space, and expand the relational space. We find that spatial imagery can be co-constructed from the material space, mental space, and relational space. Lastly, the model is changed, and the value of using spatial theory to understand how city images are made is talked about.</t>
  </si>
  <si>
    <t>[Liu, Nuochen] Commun Univ China, Sch Advertising, Beijing, Peoples R China; [Liu, Nuochen] Henan Univ Technol, Sch Journalism &amp; Commun, Zhengzhou, Peoples R China; [Sun, Xiaohui; Hong, Sha; Zhang, Bowen] Shenzhen Univ, Coll Management, Shenzhen, Peoples R China</t>
  </si>
  <si>
    <t>Communication University of China; Henan University of Technology; Shenzhen University</t>
  </si>
  <si>
    <t>Sun, XH (corresponding author), Shenzhen Univ, Coll Management, Shenzhen, Peoples R China.</t>
  </si>
  <si>
    <t>bowen8974@gmail.com</t>
  </si>
  <si>
    <t>Zhang, Bowen/CAG-9533-2022</t>
  </si>
  <si>
    <t>Zhang, Bowen/0000-0002-9360-684X</t>
  </si>
  <si>
    <t>DEC 23</t>
  </si>
  <si>
    <t>10.3389/fpsyg.2022.1080090</t>
  </si>
  <si>
    <t>7S8YE</t>
  </si>
  <si>
    <t>WOS:000911037400001</t>
  </si>
  <si>
    <t>Hotait, N; Ali, R</t>
  </si>
  <si>
    <t>Hotait, Nader; Ali, Rami</t>
  </si>
  <si>
    <t>Exploring (Anti-)Radicalism on TikTok: German Islamic Content Creators between Advocacy and Activism</t>
  </si>
  <si>
    <t>TikTok; Islam; Muslims; Germany; content creators; extremism</t>
  </si>
  <si>
    <t>RADICALIZATION; EXTREMISM</t>
  </si>
  <si>
    <t>This study explores the representation of radical and anti-radical ideologies among German Islamic TikTok creators, analyzing 2983 videos from 43 accounts through qualitative content analysis. The results reveal two main content clusters: religious practice involving social/lifestyle issues and political activism around Muslim grievances. Victimization, found in 150 videos, was the most common indicator associated with radicalization and emerged as a source of political activism and subversive discourse. Overall, indicators of radicalism were scarce, suggesting that visible mainstream Islamic creators do not exhibit high levels of radical ideology. However, this also reflects a selection bias in the design of this study, which systematically overlooks fringe actors. In addition, religious advocacy was the most common topic (1144 videos), serving as a source of guidance and motivation, but was occasionally linked to sectarianism and rigid religious interpretations. Male creators posted more religious/theological videos; female creators posted more lifestyle videos. However, gender distinctions are limited due to the low representation of female creators (6). Some topics, such as the hijab, served as an intersection between religious practice and politicized narratives. This study highlights TikTok's role in promoting diverse ideological views and shaping community engagement, knowledge sharing, and political mobilization within Germany's Muslim digital landscape.</t>
  </si>
  <si>
    <t>[Hotait, Nader] Humboldt Univ, Berlin Inst Empir Integrat &amp; Migrat Res BIM, D-10099 Berlin, Germany; [Hotait, Nader] Univ Mannheim, Grad Sch Econ &amp; Social Sci GESS, D-68159 Mannheim, Germany; [Ali, Rami] Humboldt Univ, Berlin Grad Sch Social Sci BGSS, D-10099 Berlin, Germany</t>
  </si>
  <si>
    <t>Humboldt University of Berlin; University of Mannheim; Humboldt University of Berlin</t>
  </si>
  <si>
    <t>Hotait, N (corresponding author), Humboldt Univ, Berlin Inst Empir Integrat &amp; Migrat Res BIM, D-10099 Berlin, Germany.;Hotait, N (corresponding author), Univ Mannheim, Grad Sch Econ &amp; Social Sci GESS, D-68159 Mannheim, Germany.</t>
  </si>
  <si>
    <t>nader.hotait@hu-berlin.de</t>
  </si>
  <si>
    <t>Hotait, Nader/0000-0003-4211-5300</t>
  </si>
  <si>
    <t>German Ministry for Education and Research [01UG2035]; Deutsche Forschungsgemeinschaft (DFG, German Research Foundation) [491192747]; Open Access Publication Fund of Humboldt-Universitaet zu Berlin; University of Mannheim's Graduate School of Economic and Social Sciences</t>
  </si>
  <si>
    <t>German Ministry for Education and Research(Federal Ministry of Education &amp; Research (BMBF)); Deutsche Forschungsgemeinschaft (DFG, German Research Foundation)(German Research Foundation (DFG)); Open Access Publication Fund of Humboldt-Universitaet zu Berlin; University of Mannheim's Graduate School of Economic and Social Sciences</t>
  </si>
  <si>
    <t>This research was funded by the German Ministry for Education and Research (Project ID 01UG2035, German Islam). The article processing charge was funded by the Deutsche Forschungsgemeinschaft (DFG, German Research Foundation)-491192747 and the Open Access Publication Fund of Humboldt-Universitaet zu Berlin. This work was supported by the University of Mannheim's Graduate School of Economic and Social Sciences and received additional funding through its Young Scholar Award.</t>
  </si>
  <si>
    <t>10.3390/rel15101172</t>
  </si>
  <si>
    <t>K1Z6D</t>
  </si>
  <si>
    <t>WOS:001341933900001</t>
  </si>
  <si>
    <t>Shah, N; Ghatnekar, S; Liu, KJ</t>
  </si>
  <si>
    <t>Shah, Nidhi; Ghatnekar, Shilpa; Liu, Kristina J.</t>
  </si>
  <si>
    <t>Cross-sectional analysis of skin lightening and skin bleaching practices on social media</t>
  </si>
  <si>
    <t>Instagram; skin lightening; social media; TikTok; YouTube</t>
  </si>
  <si>
    <t>[Shah, Nidhi; Ghatnekar, Shilpa; Liu, Kristina J.] Brigham &amp; Womens Hosp, Dept Dermatol, 221 Longwood Ave, Boston, MA 02115 USA; [Shah, Nidhi] George Washington Univ, Sch Med &amp; Hlth Sci, Washington, DC 20052 USA; [Ghatnekar, Shilpa] Tufts Univ, Sch Med, Boston, MA 02111 USA</t>
  </si>
  <si>
    <t>Harvard University; Brigham &amp; Women's Hospital; George Washington University; Tufts University</t>
  </si>
  <si>
    <t>Liu, KJ (corresponding author), Brigham &amp; Womens Hosp, Dept Dermatol, 221 Longwood Ave, Boston, MA 02115 USA.</t>
  </si>
  <si>
    <t>kjliu@bwh.harvard.edu</t>
  </si>
  <si>
    <t>Shah, Nidhi/0000-0002-0388-3924</t>
  </si>
  <si>
    <t>10.1111/jocd.14368</t>
  </si>
  <si>
    <t>2T8AN</t>
  </si>
  <si>
    <t>WOS:000682736300001</t>
  </si>
  <si>
    <t>Marrows, M</t>
  </si>
  <si>
    <t>Marrows, M.</t>
  </si>
  <si>
    <t>DOCS FLOCK TO TIKTOK: A BRIEF NARRATIVE REVIEW OF CURRENT GUIDELINES, CONTROVERSIES AND POSITIVE STORIES SURROUNDING HEALTH PRACTITIONER USE OF SOCIAL MEDIA</t>
  </si>
  <si>
    <t>AUSTRALIAN AND NEW ZEALAND JOURNAL OF PSYCHIATRY</t>
  </si>
  <si>
    <t>[Marrows, M.] Eastern Hlth, Box Hill, Vic, Australia</t>
  </si>
  <si>
    <t>Eastern Health</t>
  </si>
  <si>
    <t>0004-8674</t>
  </si>
  <si>
    <t>1440-1614</t>
  </si>
  <si>
    <t>AUST NZ J PSYCHIAT</t>
  </si>
  <si>
    <t>Aust. N. Z. J. Psych.</t>
  </si>
  <si>
    <t>O3RY3</t>
  </si>
  <si>
    <t>WOS:001043034400264</t>
  </si>
  <si>
    <t>Delacruz, SL; Núñez, EM</t>
  </si>
  <si>
    <t>Delacruz, Santiago Lopez; Nunez, Eugenia Martinez</t>
  </si>
  <si>
    <t>Juan Sartori's political discourse on TikTok. A case study from the theory of hypermediatization</t>
  </si>
  <si>
    <t>QUESTION</t>
  </si>
  <si>
    <t>discursive circulation; convergence; political discourse; hypermediatization; socio-semiotics</t>
  </si>
  <si>
    <t>In the current media ecosystem, marked by convergence and the ecology of screens, different discourses from the public sphere dialogue in the field of mass media and in the field of digital technologies, affecting contemporary political discourse and communication through of audiovisual platforms such as TikTok, of great influence in the construction of digital collective imaginaries. From a socio-semiotic perspective focused on hypermediatization, the work proposes a case study of the discursive activity developed on TikTok by Juan Sartori, businessman and Senator of the Republic for the Uruguayan National Party. In this space, Sartori's speech transcends the digital space of social networks, reaching the terrain of mass media, reconfiguring its meaning through hypermedia leaps and strong resemiotization processes, and evidencing that audiovisual platforms promote a new form of action in political communication.</t>
  </si>
  <si>
    <t>[Delacruz, Santiago Lopez; Nunez, Eugenia Martinez] Univ Republ Uruguay, Fac Informac &amp; Comunicac, Montevideo, Uruguay</t>
  </si>
  <si>
    <t>Universidad de la Republica, Uruguay</t>
  </si>
  <si>
    <t>Delacruz, SL (corresponding author), Univ Republ Uruguay, Fac Informac &amp; Comunicac, Montevideo, Uruguay.</t>
  </si>
  <si>
    <t>santiago.lopez@fic.edu.uy; eugeniamartinez1994@gmail.com</t>
  </si>
  <si>
    <t>UNIV NACIONAL PLATA, INST INVESTIGACIONES &amp; COMUNICACION-IICOM</t>
  </si>
  <si>
    <t>FAC PERIODISMO &amp; COMUNICACION SOCIAL, AVE 44 NO 676, LA PLATA, BUENOS AIRES, 1900, ARGENTINA</t>
  </si>
  <si>
    <t>1669-6581</t>
  </si>
  <si>
    <t>Question</t>
  </si>
  <si>
    <t>e831</t>
  </si>
  <si>
    <t>10.24215/16696581e831</t>
  </si>
  <si>
    <t>HT0A3</t>
  </si>
  <si>
    <t>WOS:001161626700020</t>
  </si>
  <si>
    <t>Xue, XQ; Yang, XY; Xu, WF; Liu, GH; Xie, Y; Ji, ZG</t>
  </si>
  <si>
    <t>Xue, Xiaoqiang; Yang, Xinyi; Xu, Weifeng; Liu, Guanghua; Xie, Yi; Ji, Zhigang</t>
  </si>
  <si>
    <t>TikTok as an Information Hodgepodge: Evaluation of the Quality and Reliability of Genitourinary Cancers Related Content</t>
  </si>
  <si>
    <t>FRONTIERS IN ONCOLOGY</t>
  </si>
  <si>
    <t>TikTok; social media; reliability; genitourinary cancer; quality</t>
  </si>
  <si>
    <t>BLADDER-CANCER; INTERNET</t>
  </si>
  <si>
    <t>BackgroundTikTok is the world's fastest-growing video application, with 1.6 billion users in 2021. More and more patients are searching for information on genitourinary cancers via TikTok. We aim to evaluate the functional quality and reliability of genitourinary cancer-related videos on it and share our thoughts based on the results for better public health promotion. Materials and MethodsWe retrieved 167 videos on bladder, prostate, and kidney cancer from TikTok. Only 61 videos (36.53%) met the inclusion criteria and were eventually regarded as sample videos. Each video's length and descriptions, hashtags, number of views/likes/comments, forms of expression, and the uploader's profile were included. Three validated assessment instruments: the Hexagonal Radar Schema, the Health on the Net Code scale, and the DISCERN instrument, were used for evaluating the quality and reliability of the information. All misinformation was counted and categorized. Univariate analysis of variance was performed for analyzing the results. The Post-Hoc least significant difference test was conducted to explore further explanation. ResultsAmongst 61 sample videos, healthcare practitioners contributed the most content (n = 29, 47.54%). However, 22 posts (36.07%) were misinformative, and the most common type was using outdated data. More than half of the videos could provide good (&gt; 1 point) content on the diseases' symptoms and examinations. However, the definition and outcomes were less addressed (tied at 21%). The HONcode scale and the DISCERN instrument revealed a consistent conclusion that most videos (n = 59, 96.72%) on TikTok were of poor to mediocre quality. Videos published by media agencies were statistically better in terms of reliability and overall score (P = 0.003 and 0.008, respectively). Fifty-three videos (86.89%) had at least two unexplained medical terms. Healthcare professionals tend to use professional terms most (mean = 5.28 words). ConclusionsMost videos on genitourinary cancers on TikTok are of poor to medium quality and reliability. However, videos posted by media agencies enjoyed great public attention and interaction. Medical practitioners could improve the video quality by cooperating with media agencies and avoiding unexplained terminologies.</t>
  </si>
  <si>
    <t>[Xue, Xiaoqiang; Xu, Weifeng; Liu, Guanghua; Xie, Yi; Ji, Zhigang] Chinese Acad Med Sci &amp; Peking Union Med Coll, Peking Union Med Coll Hosp, Dept Urol, Beijing, Peoples R China; [Yang, Xinyi] Chinese Acad Med Sci &amp; Peking Union Med Coll, Peking Union Med Coll Hosp, Dept Hlth Care, Beijing, Peoples R China</t>
  </si>
  <si>
    <t>Chinese Academy of Medical Sciences - Peking Union Medical College; Peking Union Medical College; Peking Union Medical College Hospital; Chinese Academy of Medical Sciences - Peking Union Medical College; Peking Union Medical College Hospital; Peking Union Medical College</t>
  </si>
  <si>
    <t>Xie, Y; Ji, ZG (corresponding author), Chinese Acad Med Sci &amp; Peking Union Med Coll, Peking Union Med Coll Hosp, Dept Urol, Beijing, Peoples R China.</t>
  </si>
  <si>
    <t>xieyi6262@163.com; jizhiganguro@126.com</t>
  </si>
  <si>
    <t>Yang, Xinyi/IVH-6916-2023</t>
  </si>
  <si>
    <t>2234-943X</t>
  </si>
  <si>
    <t>FRONT ONCOL</t>
  </si>
  <si>
    <t>Front. Oncol.</t>
  </si>
  <si>
    <t>10.3389/fonc.2022.789956</t>
  </si>
  <si>
    <t>ZL4KE</t>
  </si>
  <si>
    <t>WOS:000763646400001</t>
  </si>
  <si>
    <t>Raiter, N; Husnudinov, R; Mazza, K; Lamarche, L</t>
  </si>
  <si>
    <t>Raiter, Noam; Husnudinov, Renata; Mazza, Kaitlyn; Lamarche, Larkin</t>
  </si>
  <si>
    <t>TikTok Promotes Diet Culture and Negative Body Image Rhetoric: A Content Analysis</t>
  </si>
  <si>
    <t>JOURNAL OF NUTRITION EDUCATION AND BEHAVIOR</t>
  </si>
  <si>
    <t>TikTok; eating disorders; body positivity; body image; social media (J Nutr Educ Behav. 2023; 55; 755-760.)</t>
  </si>
  <si>
    <t>FITSPIRATION; SKINNY; INSTAGRAM; EXERCISE</t>
  </si>
  <si>
    <t>Objective: This study aimed to explore the presence of body image and diet culture rhetoric in videos under the hashtag #HealthyLifestyle on TikTok. Methods: The top 250 videos under #HealthyLifestyle were categorized using a codebook of wellness topics. We conducted descriptive statistics and interrater reliability analysis. Results: #HealthyLifestyle videos had high rates of all coded categories, including negative and positive messages about body image and diet culture. Nearly all content with positive connotations was counteracted by coexisting negative messaging. Conclusions and Implications: Our findings suggest that content under #HealthyLifestyle contains messaging conflicting with the definition of a healthy lifestyle. Considering the young audience consuming this content, improved nutrition education and health literacy in schools is essential.</t>
  </si>
  <si>
    <t>[Raiter, Noam] Univ Toronto, Dept Family &amp; Community Med, Toronto, ON, Canada; [Husnudinov, Renata] Univ Toronto, Dept Psychiat, Toronto, ON, Canada; [Mazza, Kaitlyn] Univ British Columbia, Fac Obstet &amp; Gynaecol, Vancouver, BC, Canada; [Lamarche, Larkin] York Univ, Sch Kinesiol &amp; Hlth Sci, Toronto, ON, Canada; [Lamarche, Larkin] McMaster Univ, Dept Family Med, Hamilton, ON, Canada; [Husnudinov, Renata] Univ Toronto, Dept Psychiat, 250 Coll St, 8th Fl, Toronto, ON M5T 1R9, Canada</t>
  </si>
  <si>
    <t>University of Toronto; University of Toronto; University of British Columbia; York University - Canada; McMaster University; University of Toronto</t>
  </si>
  <si>
    <t>Husnudinov, R (corresponding author), Univ Toronto, Dept Psychiat, 250 Coll St, 8th Fl, Toronto, ON M5T 1R9, Canada.</t>
  </si>
  <si>
    <t>renata.husnudinov@medportal.ca</t>
  </si>
  <si>
    <t>1499-4046</t>
  </si>
  <si>
    <t>1878-2620</t>
  </si>
  <si>
    <t>J NUTR EDUC BEHAV</t>
  </si>
  <si>
    <t>J. Nutr. Educ. Behav.</t>
  </si>
  <si>
    <t>10.1016/j.jneb.2023.08.001</t>
  </si>
  <si>
    <t>Education, Scientific Disciplines; Nutrition &amp; Dietetics</t>
  </si>
  <si>
    <t>Education &amp; Educational Research; Nutrition &amp; Dietetics</t>
  </si>
  <si>
    <t>W1JN3</t>
  </si>
  <si>
    <t>WOS:001089260800001</t>
  </si>
  <si>
    <t>Dota, M</t>
  </si>
  <si>
    <t>Dota, Michela</t>
  </si>
  <si>
    <t>SOCIAL-ITALIAN L2. A SURVEY OF ITALIAN L2/LS TEACHING IN INSTAGRAM, TIKTOK AND YOUTUBE AND A WORKSHOP PROPOSAL FOR SCHOOLS</t>
  </si>
  <si>
    <t>LINGUISTIC AUTOBIOGRAPHIES</t>
  </si>
  <si>
    <t>[Dota, Michela] Univ Milan, Milan, Italy</t>
  </si>
  <si>
    <t>Dota, M (corresponding author), Univ Milan, Milan, Italy.</t>
  </si>
  <si>
    <t>U1792</t>
  </si>
  <si>
    <t>WOS:000967999800025</t>
  </si>
  <si>
    <t>Lopes, DF; Frogeri, RF; de Souza, MA; Portugal, PD</t>
  </si>
  <si>
    <t>Lopes, Desudedit Faria; Frogeri, Rodrigo Franklin; de Souza, Mariana Aranha; Portugal Junior, Pedro dos Santos</t>
  </si>
  <si>
    <t>Information bubbles and the relevance of information from social networking sites for Brazilians teenagers</t>
  </si>
  <si>
    <t>TEKNOKULTURA: REVISTA DE CULTURA DIGITAL Y MOVIMIENTOS SOCIALES</t>
  </si>
  <si>
    <t>digital communication; Facebook; filter bubble; network gatekeeping identification theory; TikTok</t>
  </si>
  <si>
    <t>The objective of this study was to investigate the relationship between the sources of information young people use to stay informed of current affairs and the importance/relevance of this information to their everyday lives. The study included a sample of 1,361 respondents and used Structural Equation Modeling - Path analysis. The results suggest that the Social Networking Site (SNS) TikTok has a greater ability to create a perception of relevance/importance of the content being consumed by its users. This perception may be associated with this SNS's ability to go beyond the creation of informational bubbles and act as a sociotechnical system that stimulates certain affective responses. Furthermore, we observed that TikTok and Facebook, respectively, are more influential than Instagram, WhatsApp, and YouTube in the gatekeeping process, and thus, information from these sources is considered more relevant/important by teenagers.</t>
  </si>
  <si>
    <t>[Lopes, Desudedit Faria; Frogeri, Rodrigo Franklin; de Souza, Mariana Aranha; Portugal Junior, Pedro dos Santos] Ctr Univ Sul Minas UNIS Brasil, Varginha, Brazil</t>
  </si>
  <si>
    <t>Lopes, DF (corresponding author), Ctr Univ Sul Minas UNIS Brasil, Varginha, Brazil.</t>
  </si>
  <si>
    <t>deusdedit.lopes@alunos.unis.edu.br; rodrigo.frogeri@professor.unis.edu.br; mariana.souza@professor.unis.edu.br; pedro.junior@professor.unis.edu.br</t>
  </si>
  <si>
    <t>de Souza, Mariana/AAA-1355-2022; Frogeri, Rodrigo/AAG-7428-2019</t>
  </si>
  <si>
    <t>1549-2230</t>
  </si>
  <si>
    <t>TEKNOKULT REV CULT D</t>
  </si>
  <si>
    <t>Teknokult. Rev. Cult. Digit. Mov. Soc.</t>
  </si>
  <si>
    <t>10.5209/tekn.79698</t>
  </si>
  <si>
    <t>M0OY2</t>
  </si>
  <si>
    <t>WOS:001027211900007</t>
  </si>
  <si>
    <t>Divon, T; Krutrök, ME</t>
  </si>
  <si>
    <t>Divon, Tom; Eriksson Krutrok, Moa</t>
  </si>
  <si>
    <t>Playful Trauma: TikTok Creators and the Use of the Platformed Body in Times of War</t>
  </si>
  <si>
    <t>TikTok; memes; cultural trauma; embodiment; war; Ukraine; content creators; play</t>
  </si>
  <si>
    <t>CULTURAL TRAUMA; TWITTER; MEDIA; HUMOR; POLITICS; DEATH; WAKE</t>
  </si>
  <si>
    <t>Amid the Russian invasion of Ukraine, TikTok has emerged as a pivotal platform, where creators utilize its compressed video formats to mediate the harsh realities of war zones. In this article, we examine 97 videos produced by 12 Ukrainian and Russian TikTok creators in response to the 2022 war in Ukraine. We focus on the playful embodiment of trauma using digital ethnography, analyzing creators' practices and their interconnected memetic communication on TikTok. We identified the use of play through three dynamic practices where platforms, bodies, and trauma converge: (1) the utilization of POV (point-of-view) aesthetic in shareable templates to convey the realities of war from engaging first-person perspectives; (2) the incorporation of dance as a means of embodied creative expression and amplification of trauma; and (3) the harnessing of platform features to facilitate whimsical dialogues with followers about life under war. We argue that playfulness is entrenched in and enacted through platform vernacular modes, driving creators to forge communal ties during adversities and shape the ongoing representation of trauma and its accelerated visibility in digital spaces. We present the concept of playful trauma as a framework for understanding the structural dissonance that arises when creators utilize their bodies alongside platform-specific humorous, ironic, or subversive dialects to perform and amplify the gravity of trauma. This tension provides a unique space for creators to convert their shared experiences of grief and resilience into participatory coping mechanisms. In doing so, they subject and harness their playful platformed body as both the medium and the message, documenting injustices, bearing witness, and galvanizing crowds into action during times of war.</t>
  </si>
  <si>
    <t>[Divon, Tom] Hebrew Univ Jerusalem, Jerusalem, Israel; [Eriksson Krutrok, Moa] Umea Univ, Umea, Sweden</t>
  </si>
  <si>
    <t>Hebrew University of Jerusalem; Umea University</t>
  </si>
  <si>
    <t>Krutrök, ME (corresponding author), Umea Univ, Dept Culture &amp; Media Studies, S-90187 Umea, Sweden.</t>
  </si>
  <si>
    <t>Eriksson Krutrok, Moa/0000-0003-3665-2476; Divon, Tom/0000-0002-7034-615X</t>
  </si>
  <si>
    <t>Swedish Research Council [2022-05414]; Swedish Research Council [2022-05414] Funding Source: Swedish Research Council</t>
  </si>
  <si>
    <t>The author(s) disclosed receipt of the following financial support for the research, authorship, and/or publication of this article: Swedish Research Council (grant no. 2022-05414).</t>
  </si>
  <si>
    <t>10.1177/20563051241269281</t>
  </si>
  <si>
    <t>D9E9O</t>
  </si>
  <si>
    <t>WOS:001299152100001</t>
  </si>
  <si>
    <t>Wang, JJ</t>
  </si>
  <si>
    <t>Wang, Jianjian</t>
  </si>
  <si>
    <t>Preservation and promotion of China's musical cultural heritage on the internet</t>
  </si>
  <si>
    <t>HERITAGE SCIENCE</t>
  </si>
  <si>
    <t>China; Chinese music; Internet platforms; Likee; TikTok; YouTube</t>
  </si>
  <si>
    <t>The study investigates different ways of preservation and popularization of Chinese traditional music using the Internet. The study collected data by analyzing various methods of presenting traditional Chinese music in online platforms YouTube, TikTok, and Likee. Common groups for YouTube are instrumental music (46.8%) and vocal music (23.9%), whereas, for TikTok and Likee, it is dancing performances (68.6% and 71.8%) and instrumental music (21.6% and 22.3%). The samples containing information about the content on the online platforms YouTube and TikTok are continuously growing in August, October, and December, while the Likee platform has seen a decline in all indicators. For the online platform YouTube, the largest increases were seen for vocal music theory and instrumental music for August, October, and December, while for the TikTok platform, the corresponding indicators were for Chinese music theory and educational dance performances in August and October. For online platform Likee for the aforementioned months, vocal music has seen the biggest decline over time. The obtained data can be useful for a better understanding of the audience's requests, which makes it possible to popularize music content more productively. The authors see such study as necessary for the implementation of new business projects in the operation of online music platforms, changes in approaches to licensing over the Internet, and reform of the music industry. The development of the Internet popularizes Chinese musical culture on a global scale, opens up new opportunities for the Chinese population (professionals and amateurs, adults and children) to study the musical heritage of other countries, promotes musical diversity, and can bring substantial financial benefits not only to individuals or companies, but also to the state as a whole.</t>
  </si>
  <si>
    <t>[Wang, Jianjian] Baoji Univ Arts &amp; Sci, Mus Dept, 1 Gaoxin Ave, Baoji 721000, Peoples R China</t>
  </si>
  <si>
    <t>Baoji University of Arts &amp; Sciences</t>
  </si>
  <si>
    <t>Wang, JJ (corresponding author), Baoji Univ Arts &amp; Sci, Mus Dept, 1 Gaoxin Ave, Baoji 721000, Peoples R China.</t>
  </si>
  <si>
    <t>jianjianwang6@yahoo.com</t>
  </si>
  <si>
    <t>Social Science Foundation project of Shaanxi Province [2016J053]</t>
  </si>
  <si>
    <t>Social Science Foundation project of Shaanxi Province</t>
  </si>
  <si>
    <t>This paper is the achievement of the Social Science Foundation project of Shaanxi Province (Project No. 2016J053).</t>
  </si>
  <si>
    <t>2050-7445</t>
  </si>
  <si>
    <t>HERIT SCI</t>
  </si>
  <si>
    <t>Herit. Sci.</t>
  </si>
  <si>
    <t>OCT 21</t>
  </si>
  <si>
    <t>10.1186/s40494-021-00612-2</t>
  </si>
  <si>
    <t>Humanities, Multidisciplinary; Chemistry, Analytical; Materials Science, Multidisciplinary; Spectroscopy</t>
  </si>
  <si>
    <t>Science Citation Index Expanded (SCI-EXPANDED); Arts &amp; Humanities Citation Index (A&amp;HCI)</t>
  </si>
  <si>
    <t>Arts &amp; Humanities - Other Topics; Chemistry; Materials Science; Spectroscopy</t>
  </si>
  <si>
    <t>WJ8VD</t>
  </si>
  <si>
    <t>WOS:000709315200001</t>
  </si>
  <si>
    <t>Sun, TZ; Lim, CCW; Chung, J; Cheng, B; Davidson, L; Tisdale, C; Leung, J; Gartner, CE; Connor, J; Hall, WD; Chan, GCK</t>
  </si>
  <si>
    <t>Sun, Tianze; Lim, Carmen C. W.; Chung, Jack; Cheng, Brandon; Davidson, Lily; Tisdale, Calvert; Leung, Janni; Gartner, Coral E.; Connor, Jason; Hall, Wayne D.; Chan, Gary C. K.</t>
  </si>
  <si>
    <t>Vaping on TikTok: a systematic thematic analysis</t>
  </si>
  <si>
    <t>electronic nicotine delivery devices; advertising and Promotion; social marketing</t>
  </si>
  <si>
    <t>CIGARETTE USE; ADOLESCENTS; EXPOSURE; REASONS</t>
  </si>
  <si>
    <t>Introduction The rising popularity of TikTok among adolescents may influence their awareness and perceptions of e-cigarette use via user-generated content. This study aimed to examine how e-cigarette/vaping-related videos are portrayed on TikTok. Methods The nine most viewed hashtag based keywords were used to identify popular e-cigarette/vaping-related videos on TikTok (n=1000) from its inception (earliest upload date: January 2019) to November 2020. Five researchers independently coded the number of views, likes, user category and theme. Results A final sample of 808 e-cigarette/vaping-related videos that met study criteria were included. Collectively, these videos were viewed over 1.5 billion times, with a median view count of 1 000 000 (range 112 900-78 600 000) and a median 'likes' count of 143 000 (range 10 000-1 000 000). A majority of the videos portrayed e-cigarette use positively (63%; collectively viewed over 1.1 billion times). Neutral depictions of e-cigarette use were viewed a total of 290 million times (24%) and negative depictions of e-cigarettes were viewed a total of 193 million times (13%). The video themes included (not mutually exclusively): 'comedy and joke' (52%; total of 618 million views), 'lifestyle and acceptability' (35%; 459 million), 'marketing' (29%; 392 million), 'vaping tricks' (20%; 487 million), 'nicotine and addiction' (20%; 194 million), 'creativity' (16%; 322 million) and 'warning' (11%; 131 million). Conclusion Our findings illustrated that positively framed e-cigarette and vaping-related postings available without age restrictions on TikTok-a rising video-sharing platform that is popular among adolescents-have been viewed many times. Effective age restrictions are needed to reduce adolescents' potential exposure to videos that portray vaping positively.</t>
  </si>
  <si>
    <t>[Sun, Tianze; Lim, Carmen C. W.; Chung, Jack; Cheng, Brandon; Leung, Janni; Connor, Jason; Hall, Wayne D.; Chan, Gary C. K.] Univ Queensland, Natl Ctr Youth Subst Use Res, St Lucia, Qld, Australia; [Sun, Tianze; Lim, Carmen C. W.; Chung, Jack; Cheng, Brandon; Davidson, Lily; Tisdale, Calvert; Leung, Janni] Univ Queensland, Sch Psychol, St Lucia, Qld, Australia; [Sun, Tianze; Lim, Carmen C. W.; Gartner, Coral E.; Chan, Gary C. K.] Univ Queensland, Fac Med, NHMRC Ctr Res Excellence Achieving Tobacco Endgam, Sch Publ Hlth, Brisbane, Qld, Australia; [Leung, Janni] Univ New South Wales, Natl Drug &amp; Alcohol Res Ctr, Sydney, NSW, Australia; [Connor, Jason] Univ Queensland, Discipline Psychiartry, Brisbane, Qld, Australia</t>
  </si>
  <si>
    <t>University of Queensland; University of Queensland; University of Queensland; University of New South Wales Sydney; University of Queensland</t>
  </si>
  <si>
    <t>Sun, TZ (corresponding author), Univ Queensland, St Lucia, Qld 4072, Australia.</t>
  </si>
  <si>
    <t>tianze.sun@uq.edu.au</t>
  </si>
  <si>
    <t>Sun, Tianze/LFS-0433-2024; Tisdale, Calvert/JQJ-5380-2023; Hall, Wayne/A-3283-2008; Leung, Janni/H-1003-2012; Cheng, Brandon/KFQ-0408-2024; Lim, Carmen/O-7634-2016; Chan, Gary/B-7220-2015; Gartner, Coral/F-7306-2010; Connor, Jason/F-7040-2010</t>
  </si>
  <si>
    <t>Chan, Gary/0000-0002-7569-1948; Lim, Carmen/0000-0003-1595-6307; Gartner, Coral/0000-0002-6651-8035; Cheng, Hsu-Chen/0000-0002-4429-371X; Tisdale, Calvert/0000-0002-0287-9683; Connor, Jason/0000-0002-7020-1196; Sun, Tianze/0000-0002-3939-9499; Chung, Jack/0000-0003-3142-3316</t>
  </si>
  <si>
    <t>NCYSUR from the Department of Health, Australian Government; NHMRC [APP2005317, APP1176137]</t>
  </si>
  <si>
    <t>NCYSUR from the Department of Health, Australian Government; NHMRC(National Health &amp; Medical Research Council (NHMRC) of Australia)</t>
  </si>
  <si>
    <t>TS holds a top-up scholarship from the NCYSUR, which received funding from the Department of Health, Australian Government.CL is funded by NHMRC Postgraduate Scholarship (APP2005317)GC is funded by a NHMRC Investigator Grant (APP1176137).</t>
  </si>
  <si>
    <t>10.1136/tobaccocontrol-2021-056619</t>
  </si>
  <si>
    <t>F6IL6</t>
  </si>
  <si>
    <t>WOS:000728855600001</t>
  </si>
  <si>
    <t>Coco-Viloin, M; Severino-Freire, M; Giordano-Labadie, F</t>
  </si>
  <si>
    <t>Coco-Viloin, Magalie; Severino-Freire, Maella; Giordano-Labadie, Francoise</t>
  </si>
  <si>
    <t>Non-occupational allergic contact dermatitis from epoxy resin in children's games</t>
  </si>
  <si>
    <t>CONTACT DERMATITIS</t>
  </si>
  <si>
    <t>allergic contact dermatitis; case report; children; children's game; epoxy resin; non-occupational; recreational; TikTok</t>
  </si>
  <si>
    <t>[Coco-Viloin, Magalie; Severino-Freire, Maella; Giordano-Labadie, Francoise] Hop Larrey, Dermatol, Toulouse, France; [Coco-Viloin, Magalie] Hop Larrey, Serv Dermatol, Unite Allergol, 24 Chemin Pouvourville, F-31400 Toulouse, France</t>
  </si>
  <si>
    <t>CHU de Toulouse; CHU de Toulouse</t>
  </si>
  <si>
    <t>Coco-Viloin, M (corresponding author), Hop Larrey, Serv Dermatol, Unite Allergol, 24 Chemin Pouvourville, F-31400 Toulouse, France.</t>
  </si>
  <si>
    <t>m.cocoviloin@gmail.com</t>
  </si>
  <si>
    <t>COCO-VILOIN, Magalie/0000-0002-0613-4021</t>
  </si>
  <si>
    <t>0105-1873</t>
  </si>
  <si>
    <t>1600-0536</t>
  </si>
  <si>
    <t>Contact Dermatitis</t>
  </si>
  <si>
    <t>10.1111/cod.14254</t>
  </si>
  <si>
    <t>Allergy; Dermatology</t>
  </si>
  <si>
    <t>IU0U2</t>
  </si>
  <si>
    <t>WOS:000893595000001</t>
  </si>
  <si>
    <t>Maroto-González, I; Fieiras-Ceide, C; Vaz-alvarez, M</t>
  </si>
  <si>
    <t>Maroto-Gonzalez, Isaac; Fieiras-Ceide, Cesar; Vaz-alvarez, Martin</t>
  </si>
  <si>
    <t>Informing vs. promoting. The use of TikTok on France TV, BBC, and SVT</t>
  </si>
  <si>
    <t>TikTok; information; promotion; France Tv; BBC; SVT; disinformation; verification</t>
  </si>
  <si>
    <t>This study explores the use of TikTok by public broadcasters France TV, BBC and SVT to measure its informational and promotional relevance on the platform, and to identify the types of videos that generate the highest levels of engagement among users. By examining the news profile associated with the information and the corporate profile of each of the selected broadcasters, 120 publications were analyzed, counting the number of users and interactions, including likes and levels of engagement of the content. In addition, a content analysis was carried out focusing on the formal, promotional and informative characteristics of the posts. The findings revealed an interest in both promotional and informational content shared by the platforms on TikTok. In the case of SVT, higher levels of engagement are observed in comparison to the BBC and France TV profiles. Among the contents with the highest engagement, those of an informative kind with a focus on social issues stand out, highlighting proximity and immediacy. In the promotional domain, videos about events and cultural content stand out. From a structural point of view, content designed specifically for the platform predominates, as opposed to adaptations and with a duration of &lt;1 min.</t>
  </si>
  <si>
    <t>[Maroto-Gonzalez, Isaac; Fieiras-Ceide, Cesar] Univ Santiago De Compostela, Fac Commun Sci, Santiago De Compostela, Spain; [Vaz-alvarez, Martin] Pompeu Fabra Univ, Fac Commun, Barcelona, Spain</t>
  </si>
  <si>
    <t>Universidade de Santiago de Compostela; Pompeu Fabra University</t>
  </si>
  <si>
    <t>Maroto-González, I (corresponding author), Univ Santiago De Compostela, Fac Commun Sci, Santiago De Compostela, Spain.</t>
  </si>
  <si>
    <t>isaac.maroto.gonzalez@usc.es</t>
  </si>
  <si>
    <t>Fieiras Ceide, César/HSG-7411-2023</t>
  </si>
  <si>
    <t>MCIN/AEI [PID2021-124293OB-I00, PDC2023-145885-I00]; Fondo Europeo de Desarrollo Regional (FEDER); Union Europea NextGeneration EU/PRTR; Spanish Ministry of Science and Innovation [PRE2022-103954]</t>
  </si>
  <si>
    <t>MCIN/AEI; Fondo Europeo de Desarrollo Regional (FEDER)(European Union (EU)Spanish Government); Union Europea NextGeneration EU/PRTR; Spanish Ministry of Science and Innovation(Ministry of Science and Innovation, Spain (MICINN)Spanish Government)</t>
  </si>
  <si>
    <t>The author(s) declare financial support was received for the research, authorship, and/or publication of this article. This publication is part of the project titled Mapa de la desinformacion en las comunidades autonomas y entidades locales de Espana y su ecosistema digital (FAKELOCAL) (PID2021-124293OB-I00), funded by MCIN/AEI and the Fondo Europeo de Desarrollo Regional (FEDER), as well as the project Creacion de una plataforma generadora de chatbots mediante IA para la comunicacion del valor publico del PSM VALUEbot (PDC2023-145885-I00), funded by MCIN/AEI/10.13039/501100011033 and by the Union Europea NextGeneration EU/PRTR. The author Cesar Fieiras-Ceide has an FPI contract from the Spanish Ministry of Science and Innovation under reference (PRE2022-103954).</t>
  </si>
  <si>
    <t>SEP 17</t>
  </si>
  <si>
    <t>10.3389/fcomm.2024.1410306</t>
  </si>
  <si>
    <t>I2S7I</t>
  </si>
  <si>
    <t>WOS:001328811700001</t>
  </si>
  <si>
    <t>Walsh, D; Kliamenakis, A; Laroche, M; Jabado, S</t>
  </si>
  <si>
    <t>Walsh, Darlene; Kliamenakis, Argiro; Laroche, Michel; Jabado, Sarah</t>
  </si>
  <si>
    <t>Authenticity in TikTok: How content creator popularity and brand size influence consumer engagement with sponsored user-generated content</t>
  </si>
  <si>
    <t>PSYCHOLOGY &amp; MARKETING</t>
  </si>
  <si>
    <t>brand size; content creators; follower count; perceived authenticity; sponsorship; TikTok; user-generated content</t>
  </si>
  <si>
    <t>WORD-OF-MOUTH; PERSUASION KNOWLEDGE; IMPACT; FOLLOWERS; TRUST; EYE</t>
  </si>
  <si>
    <t>This research examines how sponsored user-generated content influences consumer engagement on TikTok across three studies. In the first study, we demonstrate that when content creators endorse brands through sponsorship, they are perceived as less authentic. This perceived lack of authenticity, in turn, reduces consumer engagement with brands. In the second study, we show that the influence of sponsorship on consumer engagement is moderated by the content creator's popularity, as reflected by their follower count. Specifically, the negative effect of sponsorship on consumer engagement is observed only among popular creators with large followings, while less popular creators do not experience the same negative impact. In the third study, we show that for popular creators, sponsorship can enhance consumer engagement when the endorsed brand is perceived as small, compared to when it is perceived as large. Together, these findings extend our theoretical understanding of how sponsored user-generated content shapes consumer engagement on TikTok. Additionally, our research provides valuable insights for brand managers aiming to develop effective digital marketing strategies and for content creators looking to optimize engagement with their audience.</t>
  </si>
  <si>
    <t>[Walsh, Darlene; Laroche, Michel; Jabado, Sarah] Concordia Univ, John Molson Sch Business, Dept Mkt, 1455 De Maisonneuve Blvd West, Montreal, PQ H3G 1M8, Canada; [Kliamenakis, Argiro] Univ Ottawa, Telfer Sch Management, Ottawa, ON, Canada</t>
  </si>
  <si>
    <t>Concordia University - Canada; University of Ottawa</t>
  </si>
  <si>
    <t>Walsh, D (corresponding author), Concordia Univ, John Molson Sch Business, Dept Mkt, 1455 De Maisonneuve Blvd West, Montreal, PQ H3G 1M8, Canada.</t>
  </si>
  <si>
    <t>darlene.walsh@concordia.ca</t>
  </si>
  <si>
    <t>Laroche, Michel/H-3968-2014</t>
  </si>
  <si>
    <t>Kliamenakis, Argiro/0000-0001-6237-8883</t>
  </si>
  <si>
    <t>0742-6046</t>
  </si>
  <si>
    <t>1520-6793</t>
  </si>
  <si>
    <t>PSYCHOL MARKET</t>
  </si>
  <si>
    <t>Psychol. Mark.</t>
  </si>
  <si>
    <t>10.1002/mar.22075</t>
  </si>
  <si>
    <t>Business; Psychology, Applied</t>
  </si>
  <si>
    <t>I1Y9B</t>
  </si>
  <si>
    <t>WOS:001268636200001</t>
  </si>
  <si>
    <t>Suárez-Alvarez, R; Pastor-Rodríguez, A</t>
  </si>
  <si>
    <t>Suarez-Alvarez, Rebeca; Pastor-Rodriguez, Ana</t>
  </si>
  <si>
    <t>Influencer advertising on TikTok: advertising formats and advertising of illicit products. Study of Germany, France, Spain and Italy</t>
  </si>
  <si>
    <t>CREDIBILITY; PLACEMENT; INSTAGRAM; BRANDS; NUMBER</t>
  </si>
  <si>
    <t>[Suarez-Alvarez, Rebeca] Univ Rey Juan Carlos, Madrid, Spain; [Pastor-Rodriguez, Ana] Univ Valladolid, Valladolid, Spain</t>
  </si>
  <si>
    <t>Universidad Rey Juan Carlos; Universidad de Valladolid</t>
  </si>
  <si>
    <t>rebeca.suarez@urjc.es; ana.pastor.rodriguez@uva.es</t>
  </si>
  <si>
    <t>10.15581/003.36.3.175-191</t>
  </si>
  <si>
    <t>WOS:001016423000011</t>
  </si>
  <si>
    <t>Meade, MJ; Meade, EA; Dreyer, CW</t>
  </si>
  <si>
    <t>Meade, Maurice J.; Meade, Eva A.; Dreyer, Craig W.</t>
  </si>
  <si>
    <t>Orthodontic clear aligners and TikTok videos: A content, reliability and quality analysis</t>
  </si>
  <si>
    <t>INTERNATIONAL ORTHODONTICS</t>
  </si>
  <si>
    <t>Invisalign; Orthodontics; Orthodontic clear aligners; Quality of information; Social media; Tik Tok</t>
  </si>
  <si>
    <t>SOCIAL MEDIA; INSTAGRAM POSTS; INFORMATION; RETENTION; YOUTUBE</t>
  </si>
  <si>
    <t>Background and objectives &gt; The social media platform, TikTok, has the potential to disseminate orthodontic information to an enormous global audience. The aim of this investigation was to assess the content, reliability and quality of videos regarding orthodontic clear aligners (OCAs) on the TikTok platform.Methods &gt; Three search terms were used to identify relevant videos. Characteristics such as video source and the number of views were documented. An 8-point information domain score was applied to categorise the videos as not useful'', slightly useful'', moderately useful'' and very useful''. The DISCERN tool and the Global Quality Score (GQS) were used to evaluate video reliability and quality. Intraclass coefficients (ICC) were computed for intrarater reliability. Statistical analyses were via IBM (R) SPSS (R), version 27.0.0.0 (SPSS Inc. Chicago, IL, USA).Results &gt; Of the 117 videos that satisfied inclusion/exclusion criteria, most were uploaded by laypersons (44.4%) and orthodontists (35.9%). The assessed videos had over 300 million views. The overall mean (SD) number of information domains present in the videos was 1.85/8 (1.73). Most videos were deemed slightly useful'' (54.7%) or not useful'' (26.5%). The overall mean (SD) DISCERN score was 1.8/5 (1.28). The overall mean (SD) GQS was 2.48/5 (0.86). Higher DISCERN scores correlated with higher GQS (r = 0.73; P &lt; 0.01). ICC scores (0.92-0.94) indicated excellent intrarater reliability.Conclusions &gt; The content, reliability and quality of videos found on TikTok related to OCAs was poor. The orthodontic profession must direct patients to reliable and high-quality resources as well as uploading content onto TikTok to counteract the deficiencies highlighted in this study.</t>
  </si>
  <si>
    <t>[Meade, Maurice J.; Meade, Eva A.; Dreyer, Craig W.] Univ Adelaide, Adelaide Dent Sch, Dept Orthodont, Adelaide, SA, Australia; [Meade, Maurice J.] Adelaide Dent Sch, Dept Orthodont, Level 10,Adelaide Hlth &amp; Med Sci Bldg,Corner North, Adelaide, SA 5000, Australia</t>
  </si>
  <si>
    <t>University of Adelaide</t>
  </si>
  <si>
    <t>Meade, MJ (corresponding author), Adelaide Dent Sch, Dept Orthodont, Level 10,Adelaide Hlth &amp; Med Sci Bldg,Corner North, Adelaide, SA 5000, Australia.</t>
  </si>
  <si>
    <t>ELSEVIER MASSON SAS EDITEUR</t>
  </si>
  <si>
    <t>ISSY LES MOULINEAUX CEDEX</t>
  </si>
  <si>
    <t>62, RUE CAMILLE DESMOULINS, ISSY LES MOULINEAUX CEDEX, 92442, FRANCE</t>
  </si>
  <si>
    <t>1761-7227</t>
  </si>
  <si>
    <t>1879-680X</t>
  </si>
  <si>
    <t>INT ORTHOD</t>
  </si>
  <si>
    <t>Int. Orthod.</t>
  </si>
  <si>
    <t>10.1016/j.ortho.2022.100663</t>
  </si>
  <si>
    <t>6R7CL</t>
  </si>
  <si>
    <t>WOS:000892456800006</t>
  </si>
  <si>
    <t>Zheng, D. X.; Ning, A. Y.; Levoska, M. A.; Xiang, L.; Wong, C.; Scott, J. F.</t>
  </si>
  <si>
    <t>TikTok™, teens and isotretinoin: recommendations for identifying trending acne-related content on the world's most popular social media platform</t>
  </si>
  <si>
    <t>[Zheng, D. X.; Ning, A. Y.; Levoska, M. A.; Xiang, L.; Wong, C.] Case Western Reserve Univ, Dept Dermatol, Univ Hosp Cleveland, Med Ctr, Cleveland, OH 44106 USA; [Scott, J. F.] Johns Hopkins Univ, Sch Med, Dept Dermatol, Baltimore, MD 21205 USA</t>
  </si>
  <si>
    <t>University Hospitals of Cleveland; University System of Ohio; Case Western Reserve University; Case Western Reserve University Hospital; Johns Hopkins University</t>
  </si>
  <si>
    <t>Zheng, DX (corresponding author), Case Western Reserve Univ, Dept Dermatol, Univ Hosp Cleveland, Med Ctr, Cleveland, OH 44106 USA.</t>
  </si>
  <si>
    <t>Xiang, Laura/0000-0002-0536-2858</t>
  </si>
  <si>
    <t>10.1111/ced.14669</t>
  </si>
  <si>
    <t>TL5ZS</t>
  </si>
  <si>
    <t>WOS:000650612600001</t>
  </si>
  <si>
    <t>Pfender, EJ; Tsiandoulas, K; Morain, SR; Fowler, LR</t>
  </si>
  <si>
    <t>Pfender, Emily J.; Tsiandoulas, Kate; Morain, Stephanie R.; Fowler, Leah R.</t>
  </si>
  <si>
    <t>Hormonal Contraceptive Side Effects and Nonhormonal Alternatives on TikTok: A Content Analysis</t>
  </si>
  <si>
    <t>sexual health; internet/electronic interventions; technology; mass media; social marketing/health communication; public health laws/policies; health education</t>
  </si>
  <si>
    <t>The use of hormonal contraceptives is decreasing in the United States alongside a growing interest in nonhormonal contraceptive options. Social media messaging may be contributing to this trend. TikTok thus offers a novel opportunity to understand how people share information about risks and alternatives for pregnancy prevention. To describe the availability and content of information about hormonal contraceptive side effects and nonhormonal contraceptive options on TikTok, we conducted a content analysis of 100 videos using the hashtags #birthcontrolsideeffects and #nonhormonalcontraception. We found that these videos were popular and often framed hormonal contraceptives and patient-provider interactions negatively, with users frequently discussing discontinuation of hormonal contraception and no plans for uptake of another contraceptive. When uptake of a new contraceptive method is mentioned, creators typically mention a fertility awareness-based method, which requires specialized knowledge to use safely and effectively. The risks and side effects of hormonal options were often overemphasized compared with the possible risks and side effects of nonhormonal options. This framing may suggest opportunities for providers and health educators to reassess how they counsel about contraceptive options. We conclude with recommendations for future research on TikTok and consider the policy implications of these findings.</t>
  </si>
  <si>
    <t>[Pfender, Emily J.] Univ Delaware, Newark, DE 19716 USA; [Tsiandoulas, Kate; Morain, Stephanie R.] Johns Hopkins Berman Inst Bioeth, Baltimore, MD USA; [Tsiandoulas, Kate; Morain, Stephanie R.] Johns Hopkins Bloomberg Sch Publ Hlth, Baltimore, MD USA; [Fowler, Leah R.] Univ Houston, Law Ctr, Houston, TX USA; [Pfender, Emily J.] Univ Delaware, Dept Commun, 125 Acad St, Newark, DE 19716 USA</t>
  </si>
  <si>
    <t>University of Delaware; Johns Hopkins University; Johns Hopkins University; Johns Hopkins Bloomberg School of Public Health; University of Houston System; University of Houston; University of Delaware</t>
  </si>
  <si>
    <t>Fowler, Leah/0000-0002-9946-9196; Morain, Stephanie/0000-0001-7278-7517; Pfender, Emily Jo/0000-0001-9374-3521</t>
  </si>
  <si>
    <t>2024 JAN 3</t>
  </si>
  <si>
    <t>10.1177/15248399231221163</t>
  </si>
  <si>
    <t>EB8S9</t>
  </si>
  <si>
    <t>WOS:001136547700001</t>
  </si>
  <si>
    <t>Jung, N; Seo, H</t>
  </si>
  <si>
    <t>Bruyns, G; Wei, H</t>
  </si>
  <si>
    <t>Jung, Nama; Seo, HanSok</t>
  </si>
  <si>
    <t>A Study on Experiencing Chinese Culture Through TikTok - Focusing on Cultural Exchange in the COVID-19 Era from the Perspective of a User with 500,000 Followers</t>
  </si>
  <si>
    <t>WITH DESIGN: REINVENTING DESIGN MODES, IASDR 2021</t>
  </si>
  <si>
    <t>9th Congress of the International-Association-of-Societies-of-Design-Research (IASDR)</t>
  </si>
  <si>
    <t>DEC 05-09, 2021</t>
  </si>
  <si>
    <t>Hong Kong, HONG KONG</t>
  </si>
  <si>
    <t>TikTok; Non-face-to-face activities; Cultural exchange; Korea and China; Reaction video</t>
  </si>
  <si>
    <t>Recently, unprecedented social (physical) distancing measures are being imposed around the world to curb the spread of COVID-19. Social media has become more important during the ongoing COVID-19 pandemic due to the increase of non-face-to-face activities. Considering that reactions to foreign culture are a part of cultural exchange, this study investigates why foreign reaction videos are popular from a cultural perspective and examines the positive effects of cultural exchange between Korea and China through TikTok video content. All of the most viewed and popular videos were about reactions to trending videos. This trend is presumed to be due to the curiosity and expectation of positive responses that videos popular in China will also be popular in Korea. Similar reactions can create cross-border consensus and relations, which increases familiarity. Many people were happy and proud to see positive comments about Chinese culture. Others wanted to learn the Korean language and said that their misunderstanding and prejudice against Koreans disappeared. Cultural exchanges through reaction videos show the positive effects of TikTok in increasing friendly emotions.</t>
  </si>
  <si>
    <t>[Jung, Nama; Seo, HanSok] Dong Seo Univ, Dept Design, Grad Sch, Busan, South Korea</t>
  </si>
  <si>
    <t>Jung, N (corresponding author), Dong Seo Univ, Dept Design, Grad Sch, Busan, South Korea.</t>
  </si>
  <si>
    <t>enny2012@naver.com</t>
  </si>
  <si>
    <t>SPRINGER-VERLAG SINGAPORE PTE LTD</t>
  </si>
  <si>
    <t>152 BEACH ROAD, #21-01/04 GATEWAY EAST, SINGAPORE, 189721, SINGAPORE</t>
  </si>
  <si>
    <t>978-981-19-4474-1; 978-981-19-4472-7; 978-981-19-4471-0</t>
  </si>
  <si>
    <t>10.1007/978-981-19-4472-7_26</t>
  </si>
  <si>
    <t>Architecture; Art; Education &amp; Educational Research</t>
  </si>
  <si>
    <t>BV3PK</t>
  </si>
  <si>
    <t>WOS:001021668000026</t>
  </si>
  <si>
    <t>Personal and Social Guidance in Children's Development. How Youth Personalize and (re)Construct Digital TikTok-Practices (vol 57, pg 677, 2023)</t>
  </si>
  <si>
    <t>Correction; Early Access</t>
  </si>
  <si>
    <t>2023 AUG 15</t>
  </si>
  <si>
    <t>10.1007/s12124-023-09799-4</t>
  </si>
  <si>
    <t>P1XR8</t>
  </si>
  <si>
    <t>WOS:001048646800001</t>
  </si>
  <si>
    <t>Potipiroon, W</t>
  </si>
  <si>
    <t>Potipiroon, Wisanupong</t>
  </si>
  <si>
    <t>Beyond bipartisan support: analyzing the TikTok ban votes in the US house of representatives</t>
  </si>
  <si>
    <t>GLOBAL PUBLIC POLICY AND GOVERNANCE</t>
  </si>
  <si>
    <t>TikTok ban; Congressional voting; Legislative behavior; Partisanship; ByteDance; Communist Party of China (CPC)</t>
  </si>
  <si>
    <t>FOREIGN-POLICY; DOMESTIC POLITICS; IDEOLOGY; PARTY; MEMBERS; GENDER; POLARIZATION; PARTISANSHIP; LEGISLATORS; DEFENSE</t>
  </si>
  <si>
    <t>The U.S. House of Representatives made a significant move by passing legislation on the TikTok ban 'twice' in less than 40 days. The passed legislation requires that ByteDance-its China-based parent company-divest from TikTok within 270 days. Despite overwhelming bipartisan support, this research aims to provide evidence that there is significant variation in legislator voting behavior attributable to partisanship, ideology, and demographic factors. This study employs logistic regression to analyze the voting decisions of 417 legislators in the first vote and 418 in the second. The results showed that partisanship had a strong effect on the first vote, with Republicans in red states more likely to support the ban. However, the second vote saw a decline in party influence, with white legislators from both parties emerging as key proponents of the ban. Across both votes, the strongest predictor was ideology, with ideological extremists on either the conservative or liberal side more likely to vote against the ban. Younger but longer-tenured legislators as well as non-lawyers also showed a higher likelihood of opposing the ban. This study contributes to the discourse on congressional voting in the context of evolving geopolitical and technological landscapes between the U.S. and China.</t>
  </si>
  <si>
    <t>[Potipiroon, Wisanupong] Prince Songkla Univ, Fac Management Sci, Hat Yai, Thailand</t>
  </si>
  <si>
    <t>Prince of Songkla University</t>
  </si>
  <si>
    <t>Potipiroon, W (corresponding author), Prince Songkla Univ, Fac Management Sci, Hat Yai, Thailand.</t>
  </si>
  <si>
    <t>potipiroon@gmail.com</t>
  </si>
  <si>
    <t>Potipiroon, Wisanupong/L-1535-2019</t>
  </si>
  <si>
    <t>I would like to express my sincere gratitude to the editor and the two anonymous reviewers for their valuable suggestions during the review process.</t>
  </si>
  <si>
    <t>2730-6291</t>
  </si>
  <si>
    <t>2730-6305</t>
  </si>
  <si>
    <t>GLOB PUBLIC POLICY G</t>
  </si>
  <si>
    <t>Glob. Public Policy Gov.</t>
  </si>
  <si>
    <t>10.1007/s43508-024-00094-5</t>
  </si>
  <si>
    <t>YS7Y2</t>
  </si>
  <si>
    <t>WOS:001265416200002</t>
  </si>
  <si>
    <t>Sanz-Tejeda, A; Lluch, G</t>
  </si>
  <si>
    <t>Sanz-Tejeda, Aranzazu; Lluch, Gemma</t>
  </si>
  <si>
    <t>Topics, methods and research results on TikTok/Instagram and reading. Bibliographic review</t>
  </si>
  <si>
    <t>TEJUELO-DIDACTICA DE LA LENGUA Y LA LITERATURA</t>
  </si>
  <si>
    <t>Bibliographic review; TikTok; Instagram; bookinfluencer; reading promotion</t>
  </si>
  <si>
    <t>Previous studies on social networks and reading, such as those by Sorensen; Mara, 2013; Jeffman, 2015; Hughes, 2017; Cruces, 2017; Lluch, 2021 o Amo S &amp; aacute;nchez-Fort &amp; uacute;n 2021 focus their attention on blogs and YouTube as spaces in which content related to reading is created. This systematic review aims to know, synthesize and assess the research on the last two social networks, Instagram and TikTok, where readers, authors, companies and institutions speak, recommend or sell books. With this objective, searches have been carried out in the SCOPUS, WOS, LISA, and LISTA databases and in the specialized search engine Google Scholar. The search has identified 1006 records; after screening, scientific articles, research papers, and academics dealing with books, reading, Instagram, and TikTok from different approaches were included, and the quality of the studies was assessed using the CASPe checklist. Finally, the corpus of the review has been made up of 66 documents that come, for the most part, from Spain and the US; they began to be published in 2016 and belong mainly to the areas of communication and journalism and libraries. Depending on the type of document and the database, the majority line of research wants to know 1) what the account administrators are like, 2) what kind of content they share and how; 3) what librarians use and how publishers and bookstores use them.</t>
  </si>
  <si>
    <t>[Sanz-Tejeda, Aranzazu; Lluch, Gemma] Univ Valencia, ERI Lect, Fac Filol Traduccio &amp; Comunicacio, Valencia, Spain</t>
  </si>
  <si>
    <t>Sanz-Tejeda, A (corresponding author), Univ Valencia, ERI Lect, Fac Filol Traduccio &amp; Comunicacio, Valencia, Spain.</t>
  </si>
  <si>
    <t>Aranzazu.Sanz@uclm.es; Gemma.Lluch@uv.es</t>
  </si>
  <si>
    <t>JUNTA EXTREMADURA, CONSEJERIA EDUCACION</t>
  </si>
  <si>
    <t>CACERES</t>
  </si>
  <si>
    <t>CPR TRUJILLO, CALLE RAMON &amp; CAJAL S-N, TRUJILLO, CACERES, 10200, SPAIN</t>
  </si>
  <si>
    <t>1988-8430</t>
  </si>
  <si>
    <t>TEJUELO</t>
  </si>
  <si>
    <t>Tejuelo</t>
  </si>
  <si>
    <t>10.17398/1988-8430.39.131</t>
  </si>
  <si>
    <t>ZR2R7</t>
  </si>
  <si>
    <t>WOS:001276961700005</t>
  </si>
  <si>
    <t>Sun, W</t>
  </si>
  <si>
    <t>Sun, Wei</t>
  </si>
  <si>
    <t>Exploring Students' Perceptions of New Media Impact on Their Ideal Beliefs</t>
  </si>
  <si>
    <t>Beliefs; digital environment; innovative technologies; media education; media literacy; social networks</t>
  </si>
  <si>
    <t>The purpose of this article is to study the impact of the new media platform called TikTok impact on the formation of ideal beliefs. An online survey of 150 active TikTok users identifies their beliefs, opinions, and perspectives related to the content they watch on this platform. This study applies an experimental approach: it uses the questionnaire method to examine the influence of new media and the digital environment on the formation of ideal beliefs. The results of the study confirmed that TikTok and the digital environment significantly impact the formation of beliefs among users: 35% of participants noted a strong influence of viewed content on their beliefs, 25% admitted frequent influence, and 20% experienced a moderate influence. The practical significance of the article is that it emphasizes the need to understand how media and digital platforms impact the worldviews and beliefs of users.</t>
  </si>
  <si>
    <t>[Sun, Wei] Southeast Univ, Student Work Dept, Nanjing, Peoples R China</t>
  </si>
  <si>
    <t>Southeast University - China</t>
  </si>
  <si>
    <t>Sun, W (corresponding author), Southeast Univ, Student Work Dept, Nanjing, Peoples R China.</t>
  </si>
  <si>
    <t>weisun733@gmx.com</t>
  </si>
  <si>
    <t>2024 SEP 25</t>
  </si>
  <si>
    <t>10.1080/10447318.2024.2405897</t>
  </si>
  <si>
    <t>G9T3I</t>
  </si>
  <si>
    <t>WOS:001319972200001</t>
  </si>
  <si>
    <t>Rojas, DCP; Cabrera, CAC; Rabe, DCA; González, IDN</t>
  </si>
  <si>
    <t>Pena Rojas, Diana Constanza; Canizales Cabrera, Carlos Alberto; Amaya Rabe, Diana Camila; Nieves Gonzalez, Ivan Dario</t>
  </si>
  <si>
    <t>Argumentative fallacies and rhetorical resources in political discourse: the case of TikTok in the 2022 Colombian presidential campaign</t>
  </si>
  <si>
    <t>politics; presindency; linguistics; social networks</t>
  </si>
  <si>
    <t>In this article the rhetorical resources that compose the argumentative fallacies by the four candidates to the colombian presidency in 2022 on the Tiktok platform were analyzed. This was performed by carrying out a content analysis, which consisted in creating a data matrix to identify and categorize argumentative fallacies and their support on linguistic resources and literary figures, on 200 videos on Tiktok. In the same manner, the analysis gave an account of the main topics used in order to shape their narrative. The results indicate a tendency in the use of fallacies that appeal to emotions and to attack opponents; and to resources that are used on the semantic and phonological planes. Regarding the topics, these showed similarities among them, as they respond to problematics and worries common in the colombian population.</t>
  </si>
  <si>
    <t>[Pena Rojas, Diana Constanza; Canizales Cabrera, Carlos Alberto; Amaya Rabe, Diana Camila; Nieves Gonzalez, Ivan Dario] Univ Ean, Bogota, Colombia</t>
  </si>
  <si>
    <t>Universidad EAN</t>
  </si>
  <si>
    <t>Rojas, DCP (corresponding author), Univ Ean, Bogota, Colombia.</t>
  </si>
  <si>
    <t>10.6035/clr.6814</t>
  </si>
  <si>
    <t>Y0DZ7</t>
  </si>
  <si>
    <t>WOS:001102074800004</t>
  </si>
  <si>
    <t>Pedrouzo, SB; Krynski, L</t>
  </si>
  <si>
    <t>Pedrouzo, Silvina B.; Krynski, Laura</t>
  </si>
  <si>
    <t>Hyperconnected: children and adolescents on social media. The TikTok phenomenon</t>
  </si>
  <si>
    <t>ARCHIVOS ARGENTINOS DE PEDIATRIA</t>
  </si>
  <si>
    <t>social media; adolescent; behavior problem; addictive behavior</t>
  </si>
  <si>
    <t>Network communication digital platforms have revolutionized the way we communicate, get information, and entertain ourselves; they have had a major impact on the new generations. The pandemic has increased consumption patterns at all ages and its consequences: a sedentary lifestyle, obesity, sleep, psychological, cognitive, memory/attention, and academic performance disorders, problematic behaviors, and risks of cyberbullying. The activity of the new generations on TikTok -a platform that allows them to create, view, share videos and viral challenges- has affected their behavior. Their posts lead to likes, comments, and followers; this stimulates the dopaminergic reward system, which is the basis of addictive behaviors. Pediatricians should be aware of these behaviors in order to recommend good practices. The objective of this narrative review, based on the bibliography from PubMed Central, SciELO, national and international recommendations, is to provide information and an update to health care providers on TikTok, its characteristics, and the recommendations for safe use.</t>
  </si>
  <si>
    <t>[Pedrouzo, Silvina B.; Krynski, Laura] Soc Argentina Pediat, Buenos Aires, Argentina</t>
  </si>
  <si>
    <t>Pedrouzo, SB (corresponding author), Soc Argentina Pediat, Buenos Aires, Argentina.</t>
  </si>
  <si>
    <t>silvipedrouzo@gmail.com</t>
  </si>
  <si>
    <t>SOC ARGENTINA PEDIATRIA</t>
  </si>
  <si>
    <t>CAP FED BUENO AIRES</t>
  </si>
  <si>
    <t>AV COLONEL DIAZ 1971-75-C1425DQF, CAP FED BUENO AIRES, 00000, ARGENTINA</t>
  </si>
  <si>
    <t>0325-0075</t>
  </si>
  <si>
    <t>1668-3501</t>
  </si>
  <si>
    <t>ARCH ARGENT PEDIATR</t>
  </si>
  <si>
    <t>Arch. Argent. Pediatr.</t>
  </si>
  <si>
    <t>2023 JAN 26</t>
  </si>
  <si>
    <t>10.5546/aap.2022-02674.eng</t>
  </si>
  <si>
    <t>8L6RM</t>
  </si>
  <si>
    <t>WOS:000923911600001</t>
  </si>
  <si>
    <t>Wang, YF</t>
  </si>
  <si>
    <t>Wang, Yufei</t>
  </si>
  <si>
    <t>Exploring the Relationship Between Social Anxiety Concerning Appearance and the Economic Implications of TikTok's Beauty Filters among Female Athletes in China</t>
  </si>
  <si>
    <t>REVISTA DE PSICOLOGIA DEL DEPORTE</t>
  </si>
  <si>
    <t>Chinese female players; TikTok; Self-esteem; Self -perception</t>
  </si>
  <si>
    <t>This research delves into the intricate nexus between social anxiety related to physical appearance and the economic advantages derived from the utilization of TikTok's Beauty filter among female athletes in the realm of sports. The burgeoning presence of social media platforms, including TikTok, has not only transformed the way individuals engage online but has also redefined how female athletes perceive and present themselves within the digital sphere. Social anxiety pertaining to physical appearance is a pervasive concern that can exert a substantial influence on the online interactions of female athletes. The Beauty filter, a prominent feature on TikTok, permits users to digitally enhance their facial attributes and overall appearance. Through an extensive review of existing literature and the application of both qualitative and quantitative research methods, this study aims to illuminate the intricate interconnections between these phenomena. It seeks to comprehend how social anxiety may drive the adoption of beauty filters as a coping mechanism among female athletes, potentially affecting their self-esteem and reliance on these digital enhancements. Furthermore, this research explores the extent to which the use of the Beauty filter can translate into economic benefits for female athletes in sports. It examines factors such as heightened engagement rates, amplified follower growth, and opportunities for monetization through brand collaborations and sponsored content. The study also acknowledges the influence of cultural nuances, recognizing that beauty standards can diverge markedly across regions and cultures. Chinese female athletes, for instance, may be influenced by distinctive beauty ideals that differ from Western standards, thereby shaping their perceptions of attractiveness and the economic rewards attainable through the use of such filters. This study underscores the imperative for additional research to deepen our comprehension of the multifaceted connection between social anxiety concerning appearance, the adoption of digital beauty filters, and the economic consequences for female athletes in sports leveraging TikTok. The insights gleaned from this inquiry can offer valuable contributions to the fields of sports psychology, social media studies, and sports marketing, offering a nuanced perspective on the intricate interplay between self-perception, digital technology, and economic success in the context of female athletes in sports amidst the era of social media.</t>
  </si>
  <si>
    <t>[Wang, Yufei] Univ Melbourne, Global Media &amp; Commun, Melbourne, Australia</t>
  </si>
  <si>
    <t>Wang, YF (corresponding author), Univ Melbourne, Global Media &amp; Commun, Melbourne, Australia.</t>
  </si>
  <si>
    <t>w7586325@l63.com</t>
  </si>
  <si>
    <t>UNIV ILLES BALEARS</t>
  </si>
  <si>
    <t>PALMA</t>
  </si>
  <si>
    <t>SERVEI PUBLICACIONS INTERCANVI CIENTIFIC CAS JAI, CAMPUS UNIV, CARRETERA VALLDEMOSSA, K M 7 5, PALMA, ILLES BALEARS 07122, SPAIN</t>
  </si>
  <si>
    <t>1132-239X</t>
  </si>
  <si>
    <t>1988-5636</t>
  </si>
  <si>
    <t>REV PSICOL DEPORTE</t>
  </si>
  <si>
    <t>Rev. Psicol. Deporte</t>
  </si>
  <si>
    <t>Psychology, Applied</t>
  </si>
  <si>
    <t>X4OI0</t>
  </si>
  <si>
    <t>WOS:001098256800007</t>
  </si>
  <si>
    <t>Cotter, K; Decook, JR; Kanthawala, S; Foyle, K</t>
  </si>
  <si>
    <t>Cotter, Kelley; Decook, Julia R.; Kanthawala, Shaheen; Foyle, Kali</t>
  </si>
  <si>
    <t>FYP We Trust: The Divine Force of Algorithmic Conspirituality</t>
  </si>
  <si>
    <t>algorithms; conspirituality; algorithmic conspirituality; big data; platforms; TikTok</t>
  </si>
  <si>
    <t>MEDIA; VISIBILITY; POWER; WEB</t>
  </si>
  <si>
    <t>In this article, we introduce the concept of algorithmic conspirituality to capture occasions when people find personal, often revelatory connections to content algorithmically recommended to them on social media and explain these connections as a kind of algorithmically mediated cosmic intervention. The phenomenon emerges from three particular developments: an epistemological shift that has positioned algorithms as important tools for self-knowledge; the sublime quality that algorithms have acquired, which primes users to imagine them as providential; and the rise of conspirituality (a portmanteau of conspiracy and spirituality). In conceptualizing algorithmic conspirituality, we particularly focus on TikTok, where the platform's For You Page algorithm shapes users' experience to an even greater degree than other platforms. We illustrate the concept through three example TikTok videos and conclude with a discussion and recommendations on future research agendas using algorithmic conspirituality.</t>
  </si>
  <si>
    <t>[Cotter, Kelley] Penn State Univ, University Pk, PA 16802 USA; [Decook, Julia R.] Loyola Univ, Chicago, IL USA; [Kanthawala, Shaheen] Univ Alabama, Tuscaloosa, AL USA; [Foyle, Kali] Univ Texas Austin, Austin, TX USA</t>
  </si>
  <si>
    <t>Pennsylvania Commonwealth System of Higher Education (PCSHE); Pennsylvania State University; Pennsylvania State University - University Park; Loyola University Chicago; University of Alabama System; University of Alabama Tuscaloosa; University of Texas System; University of Texas Austin</t>
  </si>
  <si>
    <t>Cotter, K (corresponding author), Penn State Univ, University Pk, PA 16802 USA.</t>
  </si>
  <si>
    <t>kcotter@psu.edu; jdecook@luc.edu; skanthawala@ua.edu; kfoyle@luc.edu</t>
  </si>
  <si>
    <t>WOS:001079739800016</t>
  </si>
  <si>
    <t>Berdón-Prieto, P; Herrero-Izquierdo, J; Reguero-Sanz, I</t>
  </si>
  <si>
    <t>Berdon-Prieto, Pablo; Herrero-Izquierdo, Jacobo; Reguero-Sanz, Itziar</t>
  </si>
  <si>
    <t>Political polarization and politainment: Methodology for analyzing crypto hate speech on TikTok</t>
  </si>
  <si>
    <t>Political polarization; Political communication; Politainment; Political parties; Hate speech; Crypto hate speech; TikTok; Social networks; Social media; Engagement; Aggressive critical message; Discourse analysis; Content analysis</t>
  </si>
  <si>
    <t>TikTok has become an international benchmark: In 2022 it was the most downloaded application in all of Europe. Political discourse has not stayed on the sidelines, and its rhetoric has been adapted to a young electorate who feels at home with this new platform. Given this social network's explosion, the main objective of this research is to analyze which topics and approaches the parties with the greatest parliamentary representation use most frequently by looking at their activity on TikTok and determine how they have leveraged a time of polarization and political confrontation to a network geared toward entertainment. To achieve these objectives, a methodological triangulation based on three analyses -quantitative content, discourse, and qualitative content- is used. The sample consists of 250 posts from the official profiles of the following Spanish political parties: Partido Socialista Obrero Espanol (PSOE), Partido Popular (PP), Ciudadanos (C's), Unidas Podemos (UP), and Vox. Specifically, a non-random stratification system was used, selecting the 50 videos from each party that had with the highest number of views since they launched their profiles on this social network. From a theoretical standpoint, this study proposes a new concept, the aggressive critical message (ACM), which is presented as a further contribution to the conceptual framework of emerging studies on crypto hate speech. From an empirical standpoint, the results obtained reveal that the partisan rhetoric on TikTok is not homogeneous, and substantial differences are seen between the topics addressed by the different parties. It also is concluded that the parties are implementing techniques used in entertainment alongside polarization itself, which trivializes politics, aiming to go viral rather than to provoke thought.</t>
  </si>
  <si>
    <t>[Berdon-Prieto, Pablo; Herrero-Izquierdo, Jacobo; Reguero-Sanz, Itziar] Univ Valladolid, Dept Hist Moderna Contemporanea Amer &amp; Periodismo, Plaza Campus Univ S-N, Valladolid 47011, Spain</t>
  </si>
  <si>
    <t>Berdón-Prieto, P (corresponding author), Univ Valladolid, Dept Hist Moderna Contemporanea Amer &amp; Periodismo, Plaza Campus Univ S-N, Valladolid 47011, Spain.</t>
  </si>
  <si>
    <t>pablo.berdon@uva.es; jacobo.herrero@uva.es; itziar.reguero@uva.es</t>
  </si>
  <si>
    <t>Berdon, Pablo/0000-0002-5279-4426; Herrero Izquierdo, Jacobo/0000-0001-5672-3505</t>
  </si>
  <si>
    <t>Ministry of Science and Innovation (Micin) and the State Research Agency (AEI) of Spain [PID2019-105613GB-C31, PID2020-114193RB-100]</t>
  </si>
  <si>
    <t>Ministry of Science and Innovation (Micin) and the State Research Agency (AEI) of Spain</t>
  </si>
  <si>
    <t>This research is the result of the following projects (R&amp;D): Cartodiocom: Cartography of hate speech in Spain from communication: sports, bullfighting and politics (Reference: PID2019-105613GB-C31) and Politainment in the face of media fragmentation: disintermediation, engagement and polarization (Poldespol) (Reference: PID2020-114193RB-100), funded by the Ministry of Science and Innovation (Micin) and the State Research Agency (AEI) of Spain.</t>
  </si>
  <si>
    <t>e320601</t>
  </si>
  <si>
    <t>10.3145/epi.2023.nov.01</t>
  </si>
  <si>
    <t>WOS:001156562800002</t>
  </si>
  <si>
    <t>Are, C.</t>
  </si>
  <si>
    <t>Flagging as a silencing tool: Exploring the relationship between de-platforming of sex and online abuse on Instagram and TikTok (feb,10.1177/14614448241228544, 2024)</t>
  </si>
  <si>
    <t>10.1177/14614448241265230</t>
  </si>
  <si>
    <t>C0R5C</t>
  </si>
  <si>
    <t>WOS:001286521900001</t>
  </si>
  <si>
    <t>Husain, MPM; Salman, A; Ali, MNS; Khazin, KM</t>
  </si>
  <si>
    <t>Husain, Mohd Pirdaus Mat; Salman, Ali; Ali, Mohd Nor Shahizan; Khazin, Khairunnisa Mohad</t>
  </si>
  <si>
    <t>Newcomers in politics: A thematic analysis of 2023 Malaysian State Election candidates' TikTok content</t>
  </si>
  <si>
    <t>SEARCH-JOURNAL OF MEDIA AND COMMUNICATION RESEARCH</t>
  </si>
  <si>
    <t>Malaysia election; politics; TikTok; social media; political newcomers</t>
  </si>
  <si>
    <t>SOCIAL MEDIA; COMMUNICATION; INTERNET; AGE</t>
  </si>
  <si>
    <t>In Malaysia, the 2023 State Election was held on August 12, 2023. This election only involved six states, namely Selangor, Kedah, Kelantan, Terengganu, Negeri Sembilan, and Penang. It also had a large number of candidates from different backgrounds. Among them were new candidates nominated by their respective parties. New candidates are also known as a political newcomers. These newcomers were of various backgrounds, including artists, athletes, entrepreneurs, and academicians. All of them presented distinctive manifestos and viewpoints that was shared on social media. In this context, this research aims to examine the content uploaded by four different newcomers in their personal social media account, which is TikTok. A total of 173 uploaded contents were analysed utilising descriptive analysis and thematic analysis. Based on the analysis, six different themes emerged reflecting the political newcomers' background including education, social welfare, economy, health and sports, corruption, and safety/security. Three major themes: education, social welfare, and health &amp; sports stood out as the most significant and relevant to research objectives, highlighting the issues that resonate most with voters. The study underscores the significance of social media, particularly TikTok, as a powerful tool for disseminating content on critical national issues. By focusing on education, social welfare, and health &amp; sports, political newcomers tapped into the concerns and aspirations of the electorate, in the hopes of gaining their support and eventual votes.</t>
  </si>
  <si>
    <t>[Husain, Mohd Pirdaus Mat] UCYP Univ, Fac Technol Design &amp; Management FTDM, Kuantan, Pahang, Malaysia; [Salman, Ali] Univ Malaysia Kelantan UMK, Fac Language Studies &amp; Human Dev, Kota Baharu, Kelantan, Malaysia; [Ali, Mohd Nor Shahizan] Natl Univ Malaysia, Univ Kebangsaan Malaysia, Fac Social Sci &amp; Humanities, Ctr Media &amp; Commun Studies, Bangi, Malaysia; [Khazin, Khairunnisa Mohad] UCYP Univ, Gen Studies Dept, Kuantan, Pahang, Malaysia</t>
  </si>
  <si>
    <t>Universiti Malaysia Kelantan; Universiti Kebangsaan Malaysia</t>
  </si>
  <si>
    <t>Husain, MPM (corresponding author), UCYP Univ, Fac Technol Design &amp; Management FTDM, Kuantan, Pahang, Malaysia.</t>
  </si>
  <si>
    <t>pirdaus@ucyp.edu.my</t>
  </si>
  <si>
    <t>SALMAN, ALI/GZB-2725-2022</t>
  </si>
  <si>
    <t>TAYLORS UNIV, SOUTH EAST ASIA RESEARCH CENTRE COMMUNICATION &amp; HUMANITIES</t>
  </si>
  <si>
    <t>C/O DR NICOLE YANG, NO 1 JALAN TAYLORS, SUBANG JAYA, SELANGOR, 47500, MALAYSIA</t>
  </si>
  <si>
    <t>2672-7080</t>
  </si>
  <si>
    <t>SEARCH J MEDIA COM R</t>
  </si>
  <si>
    <t>SEARCH-J. Media. Commun. Res.</t>
  </si>
  <si>
    <t>E0E9L</t>
  </si>
  <si>
    <t>WOS:001299835300002</t>
  </si>
  <si>
    <t>Nguyen, Ha; Diederich, Morgan</t>
  </si>
  <si>
    <t>Facilitating knowledge construction in informal learning: A study of TikTok scientific, educational videos</t>
  </si>
  <si>
    <t>COMPUTERS &amp; EDUCATION</t>
  </si>
  <si>
    <t>Informal learning; Social media</t>
  </si>
  <si>
    <t>SOCIAL MEDIA; ONLINE; ENGAGEMENT; DESIGN; MODEL</t>
  </si>
  <si>
    <t>Social media can facilitate informal learning, where individuals engage in phases of knowledge construction (sharing ideas, exploring dissonances, negotiating, synthesizing, and applying knowledge). The goal of this research is to identify key patterns of knowledge construction on TikTok, a social media platform for sharing short-form videos. We leverage machine learning classifiers to label knowledge construction phases in 259,508 comments on 114 videos under scientific, educational hashtags on TikTok. We further examine the association between knowledge construction phases and manually coded video characteristics. Overall, the classifiers suggest that comments predominantly serve social, non-knowledge-construction purposes, followed by sharing ideas, negotiating understanding, and exploring idea dissonance. Videos that focus on informational content, leverage original audio, and employ analytic language have higher proportions of comments that share and negotiate knowledge. We discuss considerations for science communicators, to develop content that encourages viewers to socially construct knowledge.</t>
  </si>
  <si>
    <t>[Nguyen, Ha; Diederich, Morgan] Utah State Univ, 2830 Old Main Hill, Logan, UT 84322 USA</t>
  </si>
  <si>
    <t>Nguyen, H (corresponding author), Utah State Univ, 2830 Old Main Hill, Logan, UT 84322 USA.</t>
  </si>
  <si>
    <t>ha.nguyen@usu.edu; morgan.diederich@usu.edu</t>
  </si>
  <si>
    <t>0360-1315</t>
  </si>
  <si>
    <t>1873-782X</t>
  </si>
  <si>
    <t>COMPUT EDUC</t>
  </si>
  <si>
    <t>Comput. Educ.</t>
  </si>
  <si>
    <t>10.1016/j.compedu.2023.104896</t>
  </si>
  <si>
    <t>Computer Science, Interdisciplinary Applications; Education &amp; Educational Research</t>
  </si>
  <si>
    <t>Q2PC2</t>
  </si>
  <si>
    <t>WOS:001055976800001</t>
  </si>
  <si>
    <t>Al-Abdallah, G; Maaroof, S; Eid, MA</t>
  </si>
  <si>
    <t>Al-Abdallah, Ghaith; Maaroof, Sarya; Eid, Mohammad Al Haj</t>
  </si>
  <si>
    <t>Unveiling the tiktok sponsored content effect in iraq: The mediating role of source credibility in shaping female purchase intentions for beauty products</t>
  </si>
  <si>
    <t>Personalisation; entertainment; informativeness; lack of irritation; attractiveness; trustworthiness</t>
  </si>
  <si>
    <t>ELABORATION LIKELIHOOD MODEL; SOCIAL MEDIA; CONSUMER; INFLUENCERS; EXPERTISE; IMPACT; PERSONALIZATION; TRUSTWORTHINESS; PERSUASION; STRATEGIES</t>
  </si>
  <si>
    <t>This study examines the mediating role of source credibility in the relationship between sponsored content characteristics and consumers' purchase intentions. Data was collected from female social media users in Iraq to test our conceptual model within the context of beauty product advertising on TikTok. Data is collected from female social media users to test our conceptual model within the context of beauty product advertising on TikTok. Data analysis was carried out using SPSS AMOS version 23, employing descriptive quantitative research techniques and structural equation modelling (PLS-SEM). Findings reveal source credibility comprising attractiveness, expertise, and trustworthiness attributes sequentially mediates the influence of personalised, entertaining and informative content on intentions. This fills gaps in understanding credibility's underlying mechanisms and extends existing knowledge of how content elements shape responses differently based on processing type. The results offer theoretical contributions by demonstrating that credibility governs the depth and quality of persuasion. Practically, identifying trustworthiness as the most potent mediator provides actionable guidance for marketers seeking to optimize the effectiveness of sponsored content. Results highlight TikTok's potential for influencing purchase behaviors. Offering novel insights into credibility's mediating role across platforms and cultures, advancing knowledge relevant to academics and industry.</t>
  </si>
  <si>
    <t>[Al-Abdallah, Ghaith; Maaroof, Sarya] Univ Kurdistan Hewler, Sch Management &amp; Econ, Erbil, Iraq; [Al-Abdallah, Ghaith] Catholic Univ Erbil, Acad Affairs, Erbil, Iraq; [Eid, Mohammad Al Haj] Princess Sumaya Univ Technol, King Talal Business Sch, E Mkt &amp; Social Media Dept, Amman, Jordan</t>
  </si>
  <si>
    <t>University of Kurdistan Hewler; Catholic University in Erbil; Princess Sumaya University for Technology</t>
  </si>
  <si>
    <t>Eid, MA (corresponding author), Princess Sumaya Univ Technol, King Talal Business Sch, E Mkt &amp; Social Media Dept, Amman, Jordan.</t>
  </si>
  <si>
    <t>mohdbadea@hotmail.com</t>
  </si>
  <si>
    <t>2024 SEP 18</t>
  </si>
  <si>
    <t>10.1080/13527266.2024.2401398</t>
  </si>
  <si>
    <t>G1N4D</t>
  </si>
  <si>
    <t>WOS:001314371700001</t>
  </si>
  <si>
    <t>Alonso-López, N; Sidorenko-Bautista, P; Ferruz-González, SA</t>
  </si>
  <si>
    <t>Alonso-Lopez, Nadia; Sidorenko-Bautista, Pavel; Ferruz-Gonzalez, Sonia-Aranzazu</t>
  </si>
  <si>
    <t>Public administrations on TikTok. Communication, narrative, and frequency of publication of the profiles of the ministries of Spain.</t>
  </si>
  <si>
    <t>political communication; social media; TikTok; communication strategies; ministries; public administrations</t>
  </si>
  <si>
    <t>POLITICAL COMMUNICATION; TWITTER; MEDIA</t>
  </si>
  <si>
    <t>The interest of public administrations in interacting and generating conversation with citizens has led to the opening of profiles on social networks. The present work analyzes how the General Administration of the State, in particular, the ministries of the Government of Spain, are using the TikTok network to communicate with citizens, what content they are publishing, what the format and tone of their publications is, and what frequency of publication they maintain, to know how institutional communication of the ministries is on this social network and observe if they follow a strategic use of their profiles. To do this, a quantitative content analysis of the publications of the profiles of the 7 ministries with active presence on TikTok has been carried out, from the first publication of each profile studied until March 31, 2023. For the analysis, different variables have been considered which collect the figures of the profiles, the tone of the publications, and the structure and format of the contents. The results show that the ministries maintain a low publication frequency, and there is a disparity in the type of tone used or intention of their publications and in the formats, which suggests a lack of common communication strategy by the Government of Spain to maximize performance on this social network.</t>
  </si>
  <si>
    <t>[Alonso-Lopez, Nadia] Univ Politecn Valencia, Dept Comunicac Audiovisual Documentac Hist Arte, Valencia, Spain; [Sidorenko-Bautista, Pavel] Univ Int La Rioja, Fac Empresa &amp; Comunicac, Logrono, Spain; [Ferruz-Gonzalez, Sonia-Aranzazu] Univ Int La Rioja, Logrono, Spain</t>
  </si>
  <si>
    <t>Universitat Politecnica de Valencia; Universidad Internacional de La Rioja (UNIR); Universidad Internacional de La Rioja (UNIR)</t>
  </si>
  <si>
    <t>Alonso-López, N (corresponding author), Univ Politecn Valencia, Dept Comunicac Audiovisual Documentac Hist Arte, Valencia, Spain.</t>
  </si>
  <si>
    <t>naallo1@har.upv.es; pavel.sidorenkobautista@unir.ne; soniaaranzazu.ferruz@unir.net</t>
  </si>
  <si>
    <t>Ferruz-González, Sonia-Aranzazu/AAK-8039-2021; Bautista, Pavel/ABF-3242-2020</t>
  </si>
  <si>
    <t>10.26441/RC23.1-2024-3451</t>
  </si>
  <si>
    <t>KO5T3</t>
  </si>
  <si>
    <t>WOS:001180928300021</t>
  </si>
  <si>
    <t>Song, SJ; Zhao, YC; Yao, XL; Ba, ZC; Zhu, QH</t>
  </si>
  <si>
    <t>Song, Shijie; Zhao, Yuxiang Chris; Yao, Xinlin; Ba, Zhichao; Zhu, Qinghua</t>
  </si>
  <si>
    <t>Serious information in hedonic social applications: affordances, self-determination and health information adoption in TikTok</t>
  </si>
  <si>
    <t>JOURNAL OF DOCUMENTATION</t>
  </si>
  <si>
    <t>Health information behavior; Self-determination theory; Affordances; Motivation; Hedonic social applications; TikTok</t>
  </si>
  <si>
    <t>MEDIA; SEEKING; PERSPECTIVE; SYSTEMS; COMMUNICATION; EXPERIENCES; MOTIVATION; SELECTION; FEATURES; SUPPORT</t>
  </si>
  <si>
    <t>Purpose - Hedonic social applications have been increasingly popular among health information consumers. However, it remains unclear what motivates consumers to adopt health information in hedonic applications when they have alternative choices of more formal health information sources. Building on the self-determination theory and the affordances lens, this study aims to investigate how different affordances on hedonic social applications affect consumers' basic psychological needs and further influence their intention to adopt health information on such applications. Design/methodology/approach - As TikTok demonstrated great potential in disseminating health information, we developed a model that we analyze using the PLS-SEM technique with data collected from a valid research sample of 384 respondents with health information seeking or encountering experience in TikTok. Findings - The results suggested that health information adoption in hedonic social applications is significantly predicted by the satisfaction of consumers' basic psychological needs, namely autonomy, relatedness and competence. Moreover, the satisfaction of basic psychological needs is positively affected by affordances provided by the hedonic social applications. The hedonic affordances positively influence autonomy satisfaction, while the connective affordances positively affect relatedness satisfaction, and the utilitarian affordances positively support competence satisfaction. Originality/value - The study indicates that hedonic social applications such as TikTok could be an important channel for consumers to access and adopt health information. The study contributes to the literature by proposing a theoretical model that explains consumers' health information adoption and yields practical implications for designers and service providers of hedonic social applications.</t>
  </si>
  <si>
    <t>[Song, Shijie] Hohai Univ, Business Sch, Nanjing, Peoples R China; [Zhao, Yuxiang Chris; Ba, Zhichao] Nanjing Univ Sci &amp; Technol, Sch Econ &amp; Management, Nanjing, Peoples R China; [Yao, Xinlin] Nankai Univ, Business Sch, Tianjin, Peoples R China; [Zhu, Qinghua] Nanjing Univ, Sch Informat Management, Nanjing, Peoples R China</t>
  </si>
  <si>
    <t>Hohai University; Nanjing University of Science &amp; Technology; Nankai University; Nanjing University</t>
  </si>
  <si>
    <t>Zhao, YC (corresponding author), Nanjing Univ Sci &amp; Technol, Sch Econ &amp; Management, Nanjing, Peoples R China.</t>
  </si>
  <si>
    <t>yxzhao@vip.163.com</t>
  </si>
  <si>
    <t>Zhao, Yuxiang/AFN-0341-2022; Ba, Zhichao/IAR-0606-2023; Yao, Xinlin/JHV-0707-2023; Song, Shijie/ABE-1182-2020</t>
  </si>
  <si>
    <t>ba, zhi chao/0000-0001-7005-8265; Zhao, Yuxiang (Chris)/0000-0001-9281-3030; Song, Shijie/0000-0002-4544-2027; Yao, Xinlin/0000-0002-9519-3807</t>
  </si>
  <si>
    <t>National Natural Science Foundation of China [72074112, 72174083, 71774083]</t>
  </si>
  <si>
    <t>We thank the editor and the anonymous reviewer for the helpful comments on the manuscript. This work was jointly supported by the National Natural Science Foundation of China (Nos. 72074112, 72174083 and 71774083).</t>
  </si>
  <si>
    <t>0022-0418</t>
  </si>
  <si>
    <t>1758-7379</t>
  </si>
  <si>
    <t>J DOC</t>
  </si>
  <si>
    <t>J. Doc.</t>
  </si>
  <si>
    <t>MAY 30</t>
  </si>
  <si>
    <t>10.1108/JD-08-2021-0158</t>
  </si>
  <si>
    <t>1N3LN</t>
  </si>
  <si>
    <t>WOS:000721302700001</t>
  </si>
  <si>
    <t>Aubrey, JS; Zeng, JQ; Saha, K; Gahler, H; Dajches, L</t>
  </si>
  <si>
    <t>Aubrey, Jennifer Stevens; Zeng, Jiaqi; Saha, Kausumi; Gahler, Heather; Dajches, Leah</t>
  </si>
  <si>
    <t>The body positive... or the body neutral? A content analysis of body positivity and body neutrality hashtagged videos on TikTok</t>
  </si>
  <si>
    <t>Content analysis; Social media; Body positivity; Body neutrality</t>
  </si>
  <si>
    <t>The goal of the present study was to examine how body positivity and body neutrality are presented on TikTok. Based on a grounded-theory analysis, body-positivity themes included Broadly Conceptualizing Beauty (i.e., diversity in appearance types is beautiful), Body Acceptance and Love (i.e., love for and comfort in one's body), and Critiquing Standards (i.e., rejecting strict appearance standards). Body-neutrality themes included Size Inclusivity (i.e., people's activities/preferences should be based on body size), Adaptive Self-Investment (i.e., self care focused on health), Body Appreciation (i.e., respect for what one's body can do), and No Judgment (i.e., a person's worth should not be based on appearance). Further, based on a content analysis of 394 TikTok vidoes that were hashtagged with body positivity and/or body neutrality terms, at least one body-positivity theme occurred in 35.3% (n = 141) of videos, and at least one body neutrality theme occurred in 45.0% (n = 180) of videos. Body Acceptance and Love was the most common body-positivity theme, and Size Inclusivity was the most common body-neutrality theme. Understanding how TikTok videos present body positivity and neutrality is essential to further theorizing about how they might affect social media users.</t>
  </si>
  <si>
    <t>[Aubrey, Jennifer Stevens; Zeng, Jiaqi; Saha, Kausumi; Gahler, Heather] Univ Arizona, Dept Commun, Tucson, AZ USA; [Dajches, Leah] Penn State Univ, Donald P Bellisario Coll Commun, University Pk, PA USA; [Aubrey, Jennifer Stevens] Univ Arizona, 221 Commun Bldg, Tucson, AZ 85721 USA</t>
  </si>
  <si>
    <t>University of Arizona; Pennsylvania Commonwealth System of Higher Education (PCSHE); Pennsylvania State University; Pennsylvania State University - University Park; University of Arizona</t>
  </si>
  <si>
    <t>Aubrey, JS (corresponding author), Univ Arizona, 221 Commun Bldg, Tucson, AZ 85721 USA.</t>
  </si>
  <si>
    <t>jlsa@arizona.edu</t>
  </si>
  <si>
    <t>Dajches, Leah/0000-0001-6741-9939</t>
  </si>
  <si>
    <t>10.1016/j.bodyim.2024.101737</t>
  </si>
  <si>
    <t>US8X8</t>
  </si>
  <si>
    <t>WOS:001250150000001</t>
  </si>
  <si>
    <t>Sun, L; Zhang, HQ; Zhang, SY; Luo, JB</t>
  </si>
  <si>
    <t>Wu, XT; Jermaine, C; Xiong, L; Hu, XH; Kotevska, O; Lu, SY; Xu, WJ; Aluru, S; Zhai, CX; Al-Masri, E; Chen, ZY; Saltz, J</t>
  </si>
  <si>
    <t>Sun, Li; Zhang, Haoqi; Zhang, Songyang; Luo, Jiebo</t>
  </si>
  <si>
    <t>Content-based Analysis of the Cultural Differences between TikTok and Douyin</t>
  </si>
  <si>
    <t>2020 IEEE INTERNATIONAL CONFERENCE ON BIG DATA (BIG DATA)</t>
  </si>
  <si>
    <t>IEEE International Conference on Big Data</t>
  </si>
  <si>
    <t>8th IEEE International Conference on Big Data (Big Data)</t>
  </si>
  <si>
    <t>DEC 10-13, 2020</t>
  </si>
  <si>
    <t>IEEE,IEEE Comp Soc,IBM,Ankura</t>
  </si>
  <si>
    <t>TikTok; Douyin; Social media; Social video; Cultural difference</t>
  </si>
  <si>
    <t>Short-form video social media shifts away from the traditional media paradigm by telling the audience a dynamic story to attract their attention. In particular, different combinations of everyday objects can be employed to represent a unique scene that is both interesting and understandable. Offered by the same company, TikTok and Douyin are popular examples of such new media that has become popular in recent years, while being tailored for different markets (e.g. the United States and China). The hypothesis that they express cultural differences together with media fashion and social idiosyncrasy is the primary target of our research. To that end, we first employ the Faster Regional Convolutional Neural Network (Faster R-CNN) pre-trained with the Microsoft Common Objects in COntext (MS-COCO) dataset to perform object detection. Based on a suite of objects detected from videos, we perform statistical analysis including label statistics, label similarity, and labelperson distribution. We further use the Two-Stream Inflated 3D ConvNet (I3D) pre-trained with the Kinetics dataset to categorize and analyze human actions. By comparing the distributional results of TikTok and Douyin, we uncover a wealth of similarity and contrast between the two closely related video social media platforms along the content dimensions of object quantity, object categories, and human action categories.</t>
  </si>
  <si>
    <t>[Sun, Li] Univ Rochester, Georgen Inst Data Sci, Rochester, NY 14627 USA; [Zhang, Haoqi; Zhang, Songyang; Luo, Jiebo] Univ Rochester, Dept Comp Sci, Rochester, NY 14627 USA</t>
  </si>
  <si>
    <t>Sun, L (corresponding author), Univ Rochester, Georgen Inst Data Sci, Rochester, NY 14627 USA.</t>
  </si>
  <si>
    <t>lsun12@u.rochester.edu; hzhang84@u.rochester.edu; szhang83@ur.rochester.edu; jluo@cs.rochester.edu</t>
  </si>
  <si>
    <t>Luo, Jiebo/AAI-7549-2020</t>
  </si>
  <si>
    <t>Luo, Jiebo/0000-0002-4516-9729; Zhang, Songyang/0000-0003-4316-3320</t>
  </si>
  <si>
    <t>New York State CoE Goergen Institute for Data Science</t>
  </si>
  <si>
    <t>This research is supported in part by the New York State CoE Goergen Institute for Data Science.</t>
  </si>
  <si>
    <t>2639-1589</t>
  </si>
  <si>
    <t>978-1-7281-6251-5</t>
  </si>
  <si>
    <t>IEEE INT CONF BIG DA</t>
  </si>
  <si>
    <t>10.1109/BigData50022.2020.9378032</t>
  </si>
  <si>
    <t>BR6NZ</t>
  </si>
  <si>
    <t>WOS:000662554704105</t>
  </si>
  <si>
    <t>Liang, J; Wang, LL; Song, SJ; Dong, M; Xu, YD; Zuo, XY; Zhang, JY; Sherif, AA; Ehsan, J; Ma, JJ; Li, PY</t>
  </si>
  <si>
    <t>Liang, Jing; Wang, Linlin; Song, Shijie; Dong, Man; Xu, Yidan; Zuo, Xinyu; Zhang, Jingyi; Sherif, Akil Adrian; Ehsan, Jafree; Ma, Jianjun; Li, Pengyang</t>
  </si>
  <si>
    <t>Quality and Audience Engagement of Takotsubo Syndrome-Related Videos on TikTok: Content Analysis</t>
  </si>
  <si>
    <t>TikTok; short video apps; information quality; Takotsubo syndrome; patient education; social media; audience engagement</t>
  </si>
  <si>
    <t>TAKO-TSUBO-SYNDROME; SOCIAL MEDIA; CLINICAL-FEATURES; CARDIOMYOPATHY; OUTCOMES; INFORMATION; MORTALITY; TRENDS</t>
  </si>
  <si>
    <t>Background: The incidence of Takotsubo syndrome (TTS), also known as the broken heart syndrome or stress cardiomyopathy, is increasing worldwide. The understanding of its prognosis has been progressively evolving and currently appears to be poorer than previously thought, which has attracted the attention of researchers. An attempt to recognize the awareness of this condition among the general population drove us to analyze the dissemination of this topic on TikTok, a popular short-video-based social media platform. We found a considerable number of videos on TTS on TikTok; however, the quality of the presented information remains unknown. Objective: The aim of this study was to analyze the quality and audience engagement of TTS-related videos on TikTok. Methods: Videos on the TikTok platform were explored on August 2, 2021 to identify those related to TTS by using 6 Chinese keywords. A total of 2549 videos were found, of which 80 met our inclusion criteria and were evaluated for their characteristics, content, quality, and reliability. The quality and reliability were rated using the DISCERN instrument and the Journal of the American Medical Association (JAMA) criteria by 2 reviewers independently, and a score was assigned. Descriptive statistics were generated, and the Kruskal-Wallis test was used for statistical analysis. Multiple linear regression was performed to evaluate the association between audience engagement and other factors such as video content, video quality, and author types. Results: The scores assigned to the selected video content were low with regard to the diagnosis (0.66/2) and management (0.34/2) of TTS. The evaluated videos were found to have an average score of 36.93 out of 80 on the DISCERN instrument and 1.51 out of 4 per the JAMA criteria. None of the evaluated videos met all the JAMA criteria. The quality of the relayed information varied by source (All P&lt;.05). TTS-related videos made by health care professionals accounted for 28% (22/80) of all the evaluated videos and had the highest DISCERN scores with an average of 40.59 out of 80. Multiple linear regression analysis showed that author types that identified as health professionals (exponentiated regression coefficient 17.48, 95% CI 2.29-133.52; P=.006) and individual science communicators (exponentiated regression coefficient 13.38, 95% CI 1.83-97.88; P=.01) were significant and independent determinants of audience engagement (in terms of the number of likes). Other author types of videos, video content, and DISCERN document scores were not associated with higher likes. Conclusions: We found that the quality of videos regarding TTS for patient education on TikTok is poor. Patients should be cautious about health-related information on TikTok. The formulation of a measure for video quality review is necessary, especially when the purpose of the published content is to educate and increase awareness on a health-related topic.(J Med Internet Res 2022;24(9):e39360) doi: 10.2196/39360</t>
  </si>
  <si>
    <t>[Liang, Jing; Xu, Yidan; Zuo, Xinyu; Zhang, Jingyi; Ma, Jianjun] Xinxiang Med Univ, Xinxiang, Henan, Peoples R China; [Wang, Linlin] Aerosp Cent Hosp, Beijing, Peoples R China; [Song, Shijie] Hohai Univ, Business Sch, Nanjing, Peoples R China; [Dong, Man] Xinxiang Med Univ, Affiliated Hosp 3, Xinxiang, Henan, Peoples R China; [Sherif, Akil Adrian] St Vincent Hosp, Divison Cardiol, Worcester, MA USA; [Ehsan, Jafree] Virginia Commonwealth Univ, Dept Med, Richmond, VA USA; [Li, Pengyang] Virginia Commonwealth Univ, Pauley Heart Ctr, Div Cardiol, Richmond, VA USA; [Li, Pengyang] Virginia Commonwealth Univ, Pauley Heart Ctr, Div Cardiol, 1200 E Marshall St, Richmond, VA 23219 USA</t>
  </si>
  <si>
    <t>Xinxiang Medical University; Hohai University; Xinxiang Medical University; Virginia Commonwealth University; Virginia Commonwealth University; Virginia Commonwealth University</t>
  </si>
  <si>
    <t>Li, PY (corresponding author), Virginia Commonwealth Univ, Pauley Heart Ctr, Div Cardiol, 1200 E Marshall St, Richmond, VA 23219 USA.</t>
  </si>
  <si>
    <t>Li, Pengyang/AAH-4945-2021; Song, Shijie/ABE-1182-2020; Sherif, Akil/GLU-2344-2022</t>
  </si>
  <si>
    <t>Song, Shijie/0000-0002-4544-2027; Jafree, Ehsan/0000-0002-9019-7921; Zhang, Jingyi/0000-0002-9405-5672; Zuo, Xinyu/0000-0002-4953-288X; Sherif, Akil/0000-0003-1519-3688</t>
  </si>
  <si>
    <t>SEP 26</t>
  </si>
  <si>
    <t>e39360</t>
  </si>
  <si>
    <t>10.2196/39360</t>
  </si>
  <si>
    <t>D2UF9</t>
  </si>
  <si>
    <t>WOS:000967318000001</t>
  </si>
  <si>
    <t>Simpson, E; Semaan, B</t>
  </si>
  <si>
    <t>Simpson, Ellen; Semaan, Bryan</t>
  </si>
  <si>
    <t>Rethinking Creative Labor: A Sociotechnical Examination of Creativity &amp; CreativeWork on TikTok</t>
  </si>
  <si>
    <t>Creative Labor; Infrastructure; TikTok; Content Creation; Creativity</t>
  </si>
  <si>
    <t>ORGANIZATIONAL ROUTINES; VISIBILITY; INFLUENCERS; BURNOUT; DESIGN; GAME</t>
  </si>
  <si>
    <t>Social media platform success relies on users to consume, create, and share creative content. While some creatives aspire to become influencers, this is not the goal of all creatives, particularly those with smaller audiences. Through an interview study of 15 creatives on TikTok, we explore the often overlapping intentions for creating and sharing videos, as well as the challenges to maintaining these creative intentions and routines as they are shaped by platform logic. We find platforms introduce impediments which disrupt people's creative routines and alienate people from their overlapping creative intentions; introducing challenges which alienate people from their sense of self, and their audiences. We construct a broader definition of creative labor - the work of professionalizing and monetizing a creative product shared on social media - reflecting on how the routine enactment of creative labor is impacted by infrastructural elements of technology.</t>
  </si>
  <si>
    <t>[Simpson, Ellen; Semaan, Bryan] Univ Colorado, Boulder, CO 80309 USA</t>
  </si>
  <si>
    <t>Simpson, E (corresponding author), Univ Colorado, Boulder, CO 80309 USA.</t>
  </si>
  <si>
    <t>ellen.simpson@colorado.edu; bryan.semaan@colorado.edu</t>
  </si>
  <si>
    <t>Simpson, Ellen/0000-0003-0387-7329</t>
  </si>
  <si>
    <t>10.1145/3544548.3580649</t>
  </si>
  <si>
    <t>WOS:001037809500013</t>
  </si>
  <si>
    <t>Rogowska, AM; Cincio, A</t>
  </si>
  <si>
    <t>Rogowska, Aleksandra M.; Cincio, Aleksandra</t>
  </si>
  <si>
    <t>Procrastination Mediates the Relationship between Problematic TikTok Use and Depression among Young Adults</t>
  </si>
  <si>
    <t>JOURNAL OF CLINICAL MEDICINE</t>
  </si>
  <si>
    <t>depression; emerging adulthood; gender differences; Poland; problematic TikTok use; procrastination</t>
  </si>
  <si>
    <t>SOCIAL MEDIA; INTERNET-USE; EMERGING ADULTHOOD; ACADEMIC PROCRASTINATION; FACEBOOK ADDICTION; SELF-REGULATION; MENTAL-HEALTH; SYMPTOMS; STUDENTS; ANXIETY</t>
  </si>
  <si>
    <t>Background: Although the prevalence of depression has increased significantly in recent years, especially in the young adult population, little is known about its causes and risk factors. The study aims to examine the mediating role of TikTok use in the relationships between procrastination and depression in young adults. Methods: A sample of 448 adults, ranging in age from 18 to 35 years (M = 24.45, SD = 3.76), including 214 men (48%), participated in the study. The cross-sectional survey consists of a modified Bergen Facebook Addiction Scale (BFAS) to assess problematic TikTok use (PTTU), the Pure Procrastination Scale (PPS) for procrastination measurement, and the nine-item Patient Health Questionnaire (PHQ-9) for screening depression symptoms. Results: The independent samples t-test indicates that emerging adults (ages ranging between 18 and 25 years) have more severe depression symptoms than young adults (26-35 years old). Gender differences were not found for procrastination, PTTU, and depression symptoms. Positive correlations were found between procrastination, PTTU, and depression symptoms. PTTU plays a mediating role in the associations between procrastination and depression. Conclusions: Both procrastination and PTTU treatment should be prioritized in the prevention and intervention programs for improving mental health among young adults. Some effective therapeutic methods are recommended.</t>
  </si>
  <si>
    <t>[Rogowska, Aleksandra M.; Cincio, Aleksandra] Univ Opole, Inst Psychol, PL-45052 Opole, Poland</t>
  </si>
  <si>
    <t>University of Opole</t>
  </si>
  <si>
    <t>Rogowska, AM (corresponding author), Univ Opole, Inst Psychol, PL-45052 Opole, Poland.</t>
  </si>
  <si>
    <t>arogowska@uni.opole.pl</t>
  </si>
  <si>
    <t>Rogowska, Aleksandra/J-3398-2013</t>
  </si>
  <si>
    <t>Rogowska, Aleksandra/0000-0002-4621-8916</t>
  </si>
  <si>
    <t>2077-0383</t>
  </si>
  <si>
    <t>J CLIN MED</t>
  </si>
  <si>
    <t>J. Clin. Med.</t>
  </si>
  <si>
    <t>10.3390/jcm13051247</t>
  </si>
  <si>
    <t>KV8F9</t>
  </si>
  <si>
    <t>WOS:001182822800001</t>
  </si>
  <si>
    <t>Awad, N; Hetzel, J; Bhupalam, V; Nestor, MS</t>
  </si>
  <si>
    <t>Awad, Nardin; Hetzel, John; Bhupalam, Vishnu; Nestor, Mark S.</t>
  </si>
  <si>
    <t>A cross-sectional content quality analysis of information in TikTok videos on Dermarolling (Roller Microneedling)</t>
  </si>
  <si>
    <t>content quality; dermarolling; microneedling; social media; TikTok</t>
  </si>
  <si>
    <t>BackgroundTikTok is one of the fastest-growing social media platform, and its short-form videos have become a widely used source of health information. Dermarolling is a form of roller microneedling often practiced at home, and patients may be using TikTok to inform their decision to pursue this treatment and their practice of it.AimsThis study assessed the informational content quality, source, and engagement of TikTok dermarolling videos to highlight potentially harmful social media trends.MethodsOn a predetermined date, dermarolling was searched on TikTok. The top 75 results were screened. Number of views, creator type, type of video, and whether risks were discussed were recorded. Information quality was assessed using the DISCERN tool. The data were stratified by creator type, and statistical analysis was performed using R version 4.3.2. Median viewership and DISCERN scores were compared using Kruskal-Wallis tests with post hoc pairwise Wilcoxon tests. Fisher's exact test was used to compare rates of risk discussion between groups.ResultsSixty-one of the reviewed videos met the inclusion criteria. Influencer videos engaged the largest overall audience and had higher median viewership than other creators. Physicians, primarily dermatologists, created exclusively educational content and influencers created mostly experience-based content. Overall content quality was generally low-moderate, with a median (IQR) DISCERN score of 30.5 (26.5-33.5). Physician content had higher median DISCERN scores than influencers (p = 0.004) and others (p = 0.004). Physicians were more likely to discuss risks compared to influencers (p = 0.02).ConclusionsTikTok content on dermarolling was of relatively low quality, and nonphysicians command a large viewership. Physician-created content is often of higher informational quality, and dermatologists should escalate their efforts to engage patients in this space to mitigate the effects of potential misinformation.</t>
  </si>
  <si>
    <t>[Awad, Nardin; Hetzel, John; Bhupalam, Vishnu; Nestor, Mark S.] Ctr Clin &amp; Cosmet Res, Aventura, FL USA; [Nestor, Mark S.] Univ Miami, Miller Sch Med, Dept Dermatol &amp; Cutaneous Surg, Dept Surg,Div Plast Surg, Miami, FL USA</t>
  </si>
  <si>
    <t>University of Miami</t>
  </si>
  <si>
    <t>Nestor, MS (corresponding author), 2925 Aventura Blvd, Suite 205, Aventura, FL 33180 USA.</t>
  </si>
  <si>
    <t>nestormd@admcorp.com</t>
  </si>
  <si>
    <t>Nestor, Mark/0000-0002-8978-7932</t>
  </si>
  <si>
    <t>10.1111/jocd.16399</t>
  </si>
  <si>
    <t>E0J3P</t>
  </si>
  <si>
    <t>WOS:001254000000001</t>
  </si>
  <si>
    <t>Khan, S; Yee, D; Khan, S; Mehta, M; Zagona-Prizio, C; Maynard, N; Reddy, R; Armstrong, AW</t>
  </si>
  <si>
    <t>Khan, Sabrina; Yee, Danielle; Khan, Samiya; Mehta, Manan; Zagona-Prizio, Caterina; Maynard, Nicole; Reddy, Rasika; Armstrong, April W.</t>
  </si>
  <si>
    <t>Biologics to breast milk: A cross-sectional study of popular eczema treatment content on TikTok</t>
  </si>
  <si>
    <t>atopic dermatitis; eczema; physician; social engagement; social media</t>
  </si>
  <si>
    <t>We conducted a cross-sectional study to compare viewer engagement, content quality and viewer experience of eczema related medical content on TikTok between health care professionals and non-health care professionals. Compared to non-health care professionals, health care professionals created videos of higher quality and superior viewing experience. Viewer engagement did not differ significantly between videos made by health care professionals and non-health care professionals. Overall, content creators should focus on producing comprehensive, evidence-based videos.</t>
  </si>
  <si>
    <t>[Khan, Sabrina; Yee, Danielle; Mehta, Manan; Maynard, Nicole; Armstrong, April W.] Univ Southern Calif, Keck Sch Med, Los Angeles, CA 90089 USA; [Khan, Samiya] Long Sch Med, San Antonio, TX USA; [Zagona-Prizio, Caterina] Univ Colorado, Sch Med, Aurora, CO USA; [Reddy, Rasika] Univ Texas Southwestern Med Sch, Dallas, TX USA</t>
  </si>
  <si>
    <t>University of Southern California; University of Texas System; University of Texas Health Science Center at San Antonio; University of Colorado System; University of Colorado Anschutz Medical Campus</t>
  </si>
  <si>
    <t>Armstrong, AW (corresponding author), Univ Southern Calif, 1975 Zonal Ave,KAM 510,MC 9034, Los Angeles, CA 90089 USA.</t>
  </si>
  <si>
    <t>Khan, Samiya/0000-0002-6109-5117</t>
  </si>
  <si>
    <t>10.1111/pde.15106</t>
  </si>
  <si>
    <t>8F5KK</t>
  </si>
  <si>
    <t>WOS:000842355600001</t>
  </si>
  <si>
    <t>Scalvini, M</t>
  </si>
  <si>
    <t>Scalvini, Marco</t>
  </si>
  <si>
    <t>Making Sense of Responsibility: A Semio-Ethic Perspective on TikTok's Algorithmic Pluralism</t>
  </si>
  <si>
    <t>TikTok; responsibility; digital ethics; semio-ethics; diversity; similarity; pluralism; visual bubble</t>
  </si>
  <si>
    <t>SOCIAL MEDIA; DIVERSITY; DISTANCE</t>
  </si>
  <si>
    <t>Utilizing the data collected from 40 in-depth interviews, this study explores: How do users perceive social media platforms' responsibility in designing algorithms? What do users perceive as diverse or similar in the content generated by algorithmic recommendation systems? The analysis discusses and evaluates the tension between (a) how the platform's algorithm feeds users similar videos that they highly appreciate and, inversely, (b) how the recommendation of similar videos might limit the diversity of content to which the user is exposed. The analysis adopts a semio-ethic framework to understand why algorithmic platforms like TikTok are perceived to be so efficient in promoting an apparent perception of inclusivity while deliberately erasing alterity and promoting universal sameness. Although videos recommended by TikTok might appear to satisfy computational criteria of diversity, the outcome masks the absence of algorithmic pluralism. The algorithm generates socially desirable videos to allow users to feel comfortable in their in-group. In other words, recommended videos perpetuate a digital form of conformism in a conscious attempt to create the illusion of a more plural community. Advancing the study of algorithmic pluralism is therefore crucial to evaluate the extent to which plurality is understood by users, and what assumptions and ethics underpin the cultures that foster algorithmic recommendation design.</t>
  </si>
  <si>
    <t>[Scalvini, Marco] Univ Arts London, London, England; [Scalvini, Marco] Univ Arts London UAL, London Coll Commun LCC, London SE1 6SB, England</t>
  </si>
  <si>
    <t>Scalvini, M (corresponding author), Univ Arts London UAL, London Coll Commun LCC, London SE1 6SB, England.</t>
  </si>
  <si>
    <t>m.scalvini@lcc.arts.ac.uk</t>
  </si>
  <si>
    <t>Scalvini, Marco/J-7925-2013</t>
  </si>
  <si>
    <t>Scalvini, Marco/0000-0002-3265-8857</t>
  </si>
  <si>
    <t>10.1177/20563051231180625</t>
  </si>
  <si>
    <t>K5WA1</t>
  </si>
  <si>
    <t>WOS:001017130200001</t>
  </si>
  <si>
    <t>Arslan, S; Korkmaz, YN; Buyuk, SK</t>
  </si>
  <si>
    <t>Arslan, Semiha; Korkmaz, Yasemin Nur; Buyuk, Suleyman Kutalmis</t>
  </si>
  <si>
    <t>Can TikTok Provide Reliable Information about Orthodontics for Patients?</t>
  </si>
  <si>
    <t>JOURNAL OF CONSUMER HEALTH ON THE INTERNET</t>
  </si>
  <si>
    <t>Dentistry; orthodontics; quality of information; social media; TikTok</t>
  </si>
  <si>
    <t>INSTAGRAM; YOUTUBE; VIDEOS; RELIABILITY; RADIOLOGY; SURGERY; QUALITY; DISCERN; POSTS; TOOL</t>
  </si>
  <si>
    <t>The aim of this study was to investigate the quality and reliability of the information about orthodontics on TikTok by analyzing the related videos using DISCERN tool and Global Quality Scale. Five orthodontic-related hashtags were searched, and a total of 250 video posts were reviewed. Non-English and inappropriate content/quality posts were excluded from the study. The videos were evaluated by using Quality Criteria for Consumer Health Information (DISCERN) toolkit and Global Quality Scale (GQS). Most of the posts were posted by dental professionals (68 posts; 55%), followed by dental clinics (23 posts; 19%), layperson (18 posts; 15%), and technician/dental laboratories (13 posts; 11%). The mean DISCERN score (section 1 section 2) for 122 posts was 38.7/75. The mean overall quality of the 122 posts (section 3) in the DISCERN toolkit was 3.15/5. The average GQS score of 122 posts was 3.18 +/- 0.93. The DISCERN and GQS scores did not have significant differences among the groups (p &gt; 0.05). The DISCERN and GQS results of evaluated TikTok video posts were moderate quality. DISCERN and GQS scores did not differ significantly between the groups. Orthodontists should warn their patients about the reliability of information on social media platforms and should guide them to the right resources.</t>
  </si>
  <si>
    <t>[Arslan, Semiha; Korkmaz, Yasemin Nur] Abant Izzet Baysal Univ, Fac Dent, Dept Orthodont, Bolu, Turkey; [Buyuk, Suleyman Kutalmis] Ordu Univ, Fac Dent, Dept Orthodont, TR-52200 Ordu, Turkey</t>
  </si>
  <si>
    <t>Abant Izzet Baysal University; Ordu University</t>
  </si>
  <si>
    <t>Buyuk, SK (corresponding author), Ordu Univ, Fac Dent, Dept Orthodont, TR-52200 Ordu, Turkey.</t>
  </si>
  <si>
    <t>skbuyuk@gmail.com</t>
  </si>
  <si>
    <t>Buyuk, Suleyman/S-5615-2019</t>
  </si>
  <si>
    <t>Arslan, Semiha/0000-0001-9241-8882</t>
  </si>
  <si>
    <t>1539-8285</t>
  </si>
  <si>
    <t>1539-8293</t>
  </si>
  <si>
    <t>J CONS HLTH INTERNET</t>
  </si>
  <si>
    <t>J. Consum. Health Internet</t>
  </si>
  <si>
    <t>APR 3</t>
  </si>
  <si>
    <t>10.1080/15398285.2022.2045669</t>
  </si>
  <si>
    <t>2C4JJ</t>
  </si>
  <si>
    <t>WOS:000781337000001</t>
  </si>
  <si>
    <t>Russell, Alex M.; Davis, Robert E.; Ortega, Juanybeth M.; Colditz, Jason B.; Primack, Brian; Barry, Adam E.</t>
  </si>
  <si>
    <t>#Alcohol: Portrayals of Alcohol in Top Videos on TikTok</t>
  </si>
  <si>
    <t>JOURNAL OF STUDIES ON ALCOHOL AND DRUGS</t>
  </si>
  <si>
    <t>SUBSTANCE USE; MEDIA; EXPOSURE; TWITTER; CONSUMPTION; PROMOTE</t>
  </si>
  <si>
    <t>Objective: The purpose of this study was to characterize the content and themes present in user-generated TikTok videos portraying alcohol. Method: We captured the 100 most popular videos including the #alcohol hashtag on the popular social networking site TikTok. We used an iterative process to codebook development, resulting in codes for user sentiment toward alcohol, type of alcohol depicted, brand references, degree of alcohol use, and positive/negative associations with alcohol use. Videos were independently double coded, evaluated for inter-rater agreement, and adjudicated if differences were present. Results: The videos in our sample were collectively viewed 291,999,100 times. The vast majority (98%) of videos expressed pro-alcohol sentiment. Nearly half of videos (41%) were guide videos demonstrating drink recipes. The majority of videos (72%) included liquor. Consuming multiple drinks quickly was depicted in more than half of videos (61%), whereas intoxication (13%) was exhibited less frequently. Positive associations with alcohol were prevalent; 69% of videos conveyed positive experiences with alcohol, 55% of videos contained humor. and 45% included associations of alcohol with camaraderie. Negative associations with alcohol were rarely portrayed (4%). Conclusions: Top alcohol-related videos on TikTok are heavily viewed. Their contents demonstrate a propensity to promote rapid consumption of multiple drinks and to juxtapose alcohol use with positive associations such as humor and camaraderie, while rarely depicting negative outcomes associated with hazardous alcohol use.</t>
  </si>
  <si>
    <t>[Russell, Alex M.; Davis, Robert E.; Ortega, Juanybeth M.; Primack, Brian] Univ Arkansas, Dept Hlth Human Performance &amp; Recreat, Fayetteville, AR 72701 USA; [Colditz, Jason B.] Univ Pittsburgh, Sch Med, Ctr Res Media Technol &amp; Hlth, Pittsburgh, PA USA; [Barry, Adam E.] Texas A&amp;M Univ, Dept Hlth &amp; Kinesiol, College Stn, TX USA</t>
  </si>
  <si>
    <t>University of Arkansas System; University of Arkansas Fayetteville; Pennsylvania Commonwealth System of Higher Education (PCSHE); University of Pittsburgh; Texas A&amp;M University System; Texas A&amp;M University College Station</t>
  </si>
  <si>
    <t>Russell, AM (corresponding author), Univ Arkansas, Dept Hlth Human Performance &amp; Recreat, Fayetteville, AR 72701 USA.;Russell, AM (corresponding author), Univ Arkansas, HPER Bldg,308-V, Fayetteville, AR 72701 USA.</t>
  </si>
  <si>
    <t>Colditz, Jason/0000-0002-2811-841X</t>
  </si>
  <si>
    <t>ALCOHOL RES DOCUMENTATION INC CENT ALCOHOL STUD RUTGERS UNIV</t>
  </si>
  <si>
    <t>PISCATAWAY</t>
  </si>
  <si>
    <t>C/O DEIRDRE ENGLISH, 607 ALLISON RD, PISCATAWAY, NJ 08854-8001 USA</t>
  </si>
  <si>
    <t>1937-1888</t>
  </si>
  <si>
    <t>1938-4114</t>
  </si>
  <si>
    <t>J STUD ALCOHOL DRUGS</t>
  </si>
  <si>
    <t>J. Stud. Alcohol Drugs</t>
  </si>
  <si>
    <t>Substance Abuse; Psychology</t>
  </si>
  <si>
    <t>YV1JH</t>
  </si>
  <si>
    <t>WOS:000752488600008</t>
  </si>
  <si>
    <t>Yalamanchili, B; Basch, CH; Fera, J; Sullivan, M</t>
  </si>
  <si>
    <t>Yalamanchili, Bhavya; Basch, Corey H.; Fera, Joseph; Sullivan, Marianne</t>
  </si>
  <si>
    <t>Using Social Media to Discuss Chronic Pain: A Descriptive Study of TikTok Content</t>
  </si>
  <si>
    <t>Chronic pain; patient; social media; TikTok</t>
  </si>
  <si>
    <t>Background Approximately 20% of individuals worldwide are affected by chronic pain, a condition defined by WHO as lasting more than 3 months. Although chronic pain is more prevalent in adults 65 years and older, it affects individuals of all ages. An estimated one-quarter to one-third of children experience chronic pain. Materials and methods One-hundred TikTok videos discussing chronic pain were analyzed using quantitative content analysis and descriptive statistics. Content categories were pre-determined based on CDC guidelines for prescribing practices for chronic pain and literature review. Data was recorded, managed, and analyzed using Microsoft Excel. Results Collectively, the 100 sampled videos received 99,133,350 views; 13,817,400 likes; 167,473 comments; and 310,301 shares. Five content categories were present in a majority of the videos: 81 videos were created by patients and 81 by perceived young adults (age 19-30), 58 mentioned a type of chronic pain, and 55 used music. Additionally, 78 videos did not recommend solutions for chronic pain. Discussion Young people are using social media platforms, such as TikTok, to discuss their personal experiences with chronic pain. Our study found that these videos were primarily ways for young adults to share personal stories of chronic pain, not to promote remedies. Understanding the content created by people suffering from inadequately treated conditions, like chronic pain, is important for those involved in caring for such patients.</t>
  </si>
  <si>
    <t>[Yalamanchili, Bhavya] William Paterson Univ, Dept Nursing, Wayne, NJ USA; [Basch, Corey H.; Sullivan, Marianne] William Paterson Univ, Dept Publ Hlth, Wayne, NJ USA; [Fera, Joseph] CUNY, Lehman Coll, Dept Math, Bronx, NY USA; [Yalamanchili, Bhavya] William Paterson Univ, Dept Nursing, Univ Hall, Wayne, NJ 07470 USA</t>
  </si>
  <si>
    <t>Yalamanchili, B (corresponding author), William Paterson Univ, Dept Nursing, Univ Hall, Wayne, NJ 07470 USA.</t>
  </si>
  <si>
    <t>yalamanchilib@student.wpunj.edu</t>
  </si>
  <si>
    <t>Yalamanchili, Bhavya/0000-0002-8660-3907</t>
  </si>
  <si>
    <t>10.1080/15398285.2023.2207157</t>
  </si>
  <si>
    <t>H4PD4</t>
  </si>
  <si>
    <t>WOS:000995791000004</t>
  </si>
  <si>
    <t>Milà-Garcia, A; Tudela-Isanta, A</t>
  </si>
  <si>
    <t>Mila-Garcia, Alba; Tudela-Isanta, Anna</t>
  </si>
  <si>
    <t>Minority Languages and Social Media: The Creation of #estiktokat for Content in Catalan</t>
  </si>
  <si>
    <t>CUADERNOS EUROPEOS DE DEUSTO</t>
  </si>
  <si>
    <t>Catalan; minority languages; social media; TikTok; hashtags</t>
  </si>
  <si>
    <t>YOUNG-PEOPLE; TIKTOK; COMMUNICATION; PERSPECTIVES; CULTURES; TWITTER</t>
  </si>
  <si>
    <t>The use of minority languages in the digital sphere has become a clear indicator of their linguistic vitality, and one of the contexts where it becomes more apparent is in the way in which young people use these languages in social media. Therefore, this is an essential area to focus on when it comes to debating language diversity in Europe, the importance of which is currently unquestionable. This paper focuses on the study of the hashtag #estiktokat, which has more than 510 million views on the platform and has become a reference when it comes to finding and creating content in Catalan. This hashtag was born from the initiative of a group of young content creators who designed it to share videos in Catalan and to create a community around it. The analysis combines qualitative and quantitative approaches. On the one hand, we carried out semi structured interviews with four creators of the hashtag in order to reconstruct how it was developed. On the other, we compiled and analysed a corpus of the 216 videos with more engagement recovered in TikTok by the #estiktokat hashtag. The results show that the presence of content in Catalan has become normalised on TikTok, with a wide range of topics and active creators, which proves that the hashtag has managed to create a space of communication and interaction in Catalan.</t>
  </si>
  <si>
    <t>[Mila-Garcia, Alba] Univ Pompeu Fabra, Dept Translat &amp; Language Sci, Barcelona, Spain; [Tudela-Isanta, Anna] Open Univ, Sch Languages &amp; Appl Linguist, Milton Keynes, Bucks, England</t>
  </si>
  <si>
    <t>Pompeu Fabra University; Open University - UK</t>
  </si>
  <si>
    <t>Milà-Garcia, A (corresponding author), Univ Pompeu Fabra, Dept Translat &amp; Language Sci, Barcelona, Spain.</t>
  </si>
  <si>
    <t>alba.mila@upf.edu; anna.tudela-isanta@open.ac.uk</t>
  </si>
  <si>
    <t>Tudela, Anna/JSL-2803-2023; Mila-Garcia, Alba/N-8840-2013</t>
  </si>
  <si>
    <t>Mila-Garcia, Alba/0000-0002-4747-361X</t>
  </si>
  <si>
    <t>UNIV DEUSTO</t>
  </si>
  <si>
    <t>BILBAO</t>
  </si>
  <si>
    <t>FAC CIENCIAS SOCIALES &amp; HUMANAS, AVENIDA DE LAS UNIVERSIDADES 24, BILBAO, VIZCAYA 48007, SPAIN</t>
  </si>
  <si>
    <t>1130-8354</t>
  </si>
  <si>
    <t>2445-3587</t>
  </si>
  <si>
    <t>CUAD EUR DEUSTO</t>
  </si>
  <si>
    <t>Cuad. Eur. Deusto</t>
  </si>
  <si>
    <t>10.18543/ced.2476</t>
  </si>
  <si>
    <t>8O9VS</t>
  </si>
  <si>
    <t>WOS:000926180200006</t>
  </si>
  <si>
    <t>Elkhazeen, A; Poulos, C; Zhang, X; Cavanaugh, J; Cain, M</t>
  </si>
  <si>
    <t>Elkhazeen, Abu; Poulos, Chris; Zhang, Xin; Cavanaugh, John; Cain, Matthew</t>
  </si>
  <si>
    <t>Commentary on: Elkhazeen A, Poulos C, Zhang X, Cavanaugh J, Cain M. A TikTok™ Benadryl challenge death-A case report and review of the literature. (vol 68, pg 1442, 2023)</t>
  </si>
  <si>
    <t>JOURNAL OF FORENSIC SCIENCES</t>
  </si>
  <si>
    <t>0022-1198</t>
  </si>
  <si>
    <t>1556-4029</t>
  </si>
  <si>
    <t>J FORENSIC SCI</t>
  </si>
  <si>
    <t>J. Forensic Sci.</t>
  </si>
  <si>
    <t>10.1111/1556-4029.15552</t>
  </si>
  <si>
    <t>Medicine, Legal</t>
  </si>
  <si>
    <t>Legal Medicine</t>
  </si>
  <si>
    <t>WQ2D3</t>
  </si>
  <si>
    <t>WOS:001239704500001</t>
  </si>
  <si>
    <t>Maes, C; Vandenbosch, L</t>
  </si>
  <si>
    <t>Maes, Chelly; Vandenbosch, Laura</t>
  </si>
  <si>
    <t>Adolescent girls' Instagram and TikTok use: Examining relations with body image-related constructs over time using random intercept cross-lagged panel models</t>
  </si>
  <si>
    <t>Adolescents; Social media; RI-CLPM; Body image</t>
  </si>
  <si>
    <t>SELF-DISCREPANCY</t>
  </si>
  <si>
    <t>The literature on body image ramifications of girls' uses of appearance-focused social media (ASM) is limited, and even non-existing in terms of TikTok uses. With this brief report, we aimed to fill this gap in the literature by analyzing three waves of data on girls' ASM use and body image-related constructs (i.e., internalization of beauty ideals and body image self-discrepancy) using random-intercept cross-lagged panel models (RI-CLPMs). The total sample consisted of 229 girls (Mage = 15.12, SD = 1.50). Controlling for age and body mass index (BMI), the RI-CLPMs revealed that neither TikTok nor Instagram were predictive of subsequent increases or decreases in internalization of beauty ideals and body image self-discrepancy. Lower scores on body image self-discrepancy at W2 (i.e., wanting to have a thinner body) did predict higher uses of Instagram at W3. No evidence for between-person effects was garnered. The results enrich our knowledge on long-term implications of girls' Instagram and TikTok use for their body image. They further underline the need for research that more specifically disentangles the role of different appearance-related activities on social media and their impact on girls' body image constructs. (c) 2022 Elsevier Ltd. All rights reserved.</t>
  </si>
  <si>
    <t>[Maes, Chelly; Vandenbosch, Laura] Katholieke Univ Leuven, Fac Social Sci, Sch Mass Commun Res, Leuven, Belgium; [Maes, Chelly] Katholieke Univ Leuven, Sch Mass Commun Res, Parkstraat 45, B-3000 Leuven, Belgium; [Vandenbosch, Laura] Sch Mass Commun Res, KU Leuven, Parkstraat 45, B-3000 Laura, Belgium</t>
  </si>
  <si>
    <t>KU Leuven; KU Leuven; KU Leuven</t>
  </si>
  <si>
    <t>Maes, C (corresponding author), Katholieke Univ Leuven, Fac Social Sci, Sch Mass Commun Res, Leuven, Belgium.</t>
  </si>
  <si>
    <t>chelly.maes@kuleuven.be; laura.vandenbosch@kuleuven.be</t>
  </si>
  <si>
    <t>Maes, Chelly/ABC-5548-2021</t>
  </si>
  <si>
    <t>Maes, Chelly/0000-0001-9400-2629</t>
  </si>
  <si>
    <t>Bijzonder Onderzoeksfonds [C14/18/017]</t>
  </si>
  <si>
    <t>Bijzonder Onderzoeksfonds</t>
  </si>
  <si>
    <t>This work was supported by Bijzonder Onderzoeksfonds under grant number C14/18/017.</t>
  </si>
  <si>
    <t>10.1016/j.bodyim.2022.04.015</t>
  </si>
  <si>
    <t>1X0DJ</t>
  </si>
  <si>
    <t>WOS:000807134800001</t>
  </si>
  <si>
    <t>Jones, C</t>
  </si>
  <si>
    <t>Jones, Corinne</t>
  </si>
  <si>
    <t>How to train your algorithm: the struggle for public control over private audience commodities on Tiktok</t>
  </si>
  <si>
    <t>algorithms; audiences; labor; new media; political economy of media; public; private; social media; TikTok</t>
  </si>
  <si>
    <t>Social media users are increasingly aware of the politics of their viewing habits, and they attempt to express these politics through interactions with proprietary algorithms. Combining theories about audience commodities with scholarship about algorithmic imaginaries, I define algorithmically imagined audiences as a kind of algorithmic imaginary, and I analyze 103 TikTok videos to explore how people attempt to politically engage with algorithms to position themselves within audiences. Although algorithms and audiences are proprietary, TikTokers believe they can reassert public control over audience commodities to engage in counterpublic world-making and to re-position themselves within imagined communities. While these practices are impactful, they have conceptual and practical limits; these same tactics are used to reprivatize audience commodities and to reinscribe the neoliberal capitalist underpinnings. This article raises questions for future researchers about the opportunities and limits of sociotechnical beliefs.</t>
  </si>
  <si>
    <t>[Jones, Corinne] Univ Michigan, Ann Arbor, MI USA; [Jones, Corinne] Univ Michigan, Commun &amp; Media Dept, Room 5370,105 South State St, Ann Arbor, MI 48109 USA</t>
  </si>
  <si>
    <t>University of Michigan System; University of Michigan; University of Michigan System; University of Michigan</t>
  </si>
  <si>
    <t>Jones, C (corresponding author), Univ Michigan, Commun &amp; Media Dept, Room 5370,105 South State St, Ann Arbor, MI 48109 USA.</t>
  </si>
  <si>
    <t>corijone@umich.edu</t>
  </si>
  <si>
    <t>10.1177/01634437231159555</t>
  </si>
  <si>
    <t>Q5FH8</t>
  </si>
  <si>
    <t>WOS:000949058100001</t>
  </si>
  <si>
    <t>Briain, LO</t>
  </si>
  <si>
    <t>Briain, Lonan O.</t>
  </si>
  <si>
    <t>Jealous corona: Social media, musical propaganda and public health in Vietnam</t>
  </si>
  <si>
    <t>PERFECT BEAT</t>
  </si>
  <si>
    <t>music video; Vietnam; social media; propaganda; public health; TikTok; YouTube; Facebook</t>
  </si>
  <si>
    <t>In March 2020, a music video produced in collaboration with the Vietnamese Ministry of Health, 'Jealous Corona' (Ghen Co Vy), otherwise known as the ` Handwashing Song', was picked up by international media outlets including John Oliver, ABC, The Guardian and NME. The video has since received over 72 million views on YouTube, and TikTok users have posted over 33,000 personalized video responses (as of 10 February 2021). With his fieldwork plans cancelled due to restrictions on international travel, Lonan O Briain discusses his experience of becoming immersed into Vietnamese social media and following the TikTok phenomenon associated with 'Jealous Corona' online. He describes the premise behind the original production, analyses the music, lyrics and video, and then considers how young people actively engaged with the music video, became invested in its public health message and encouraged the government to rethink how musical propaganda works in contemporary Vietnam.</t>
  </si>
  <si>
    <t>[Briain, Lonan O.] Univ Nottingham, Dept Mus, Sch Humanities, Univ Pk, Nottingham NG7 2RD, England</t>
  </si>
  <si>
    <t>University of Nottingham</t>
  </si>
  <si>
    <t>Briain, LO (corresponding author), Univ Nottingham, Dept Mus, Sch Humanities, Univ Pk, Nottingham NG7 2RD, England.</t>
  </si>
  <si>
    <t>lonan.obriain@nottingham.ac.uk</t>
  </si>
  <si>
    <t>O Briain, Lonan/0000-0001-9810-7049</t>
  </si>
  <si>
    <t>EQUINOX PUBLISHING LTD</t>
  </si>
  <si>
    <t>SHEFFIELD</t>
  </si>
  <si>
    <t>415, THE WORKSTATION, 15 PATERNOSTER ROW, SHEFFIELD, S1 2BX, ENGLAND</t>
  </si>
  <si>
    <t>1038-2909</t>
  </si>
  <si>
    <t>1836-0343</t>
  </si>
  <si>
    <t>Perfect Beat</t>
  </si>
  <si>
    <t>10.1558/prbt.19342</t>
  </si>
  <si>
    <t>ZB6GS</t>
  </si>
  <si>
    <t>WOS:000756938900004</t>
  </si>
  <si>
    <t>Conway, J; Lipner, SR</t>
  </si>
  <si>
    <t>Conway, Jade; Lipner, Shari R.</t>
  </si>
  <si>
    <t>Limited treatment information on brittle nail syndrome on TikTok™ and only a minority of videos are posted by board-certified dermatologists: A cross-sectional study</t>
  </si>
  <si>
    <t>[Conway, Jade] New York Med Coll, Valhalla, NY USA; [Lipner, Shari R.] Weill Cornell Med, Dept Dermatol, New York, NY USA; [Lipner, Shari R.] Weill Cornell Med, Dept Dermatol, 1305 York Ave,9th floor, New York, NY 10021 USA</t>
  </si>
  <si>
    <t>New York Medical College; Cornell University; Weill Cornell Medicine; Cornell University; Weill Cornell Medicine</t>
  </si>
  <si>
    <t>Lipner, SR (corresponding author), Weill Cornell Med, Dept Dermatol, 1305 York Ave,9th floor, New York, NY 10021 USA.</t>
  </si>
  <si>
    <t>Conway, Jade/0000-0002-3193-5197</t>
  </si>
  <si>
    <t>10.1111/jocd.15961</t>
  </si>
  <si>
    <t>U2AI9</t>
  </si>
  <si>
    <t>WOS:001048509400001</t>
  </si>
  <si>
    <t>Liu, DY</t>
  </si>
  <si>
    <t>Liu, Diyi</t>
  </si>
  <si>
    <t>Borderline content and platformised speech governance: Mapping TikTok's moderation controversies in South and Southeast Asia</t>
  </si>
  <si>
    <t>borderline content; content moderation; intermediary liability; platform governance; South and Southeast Asia; TikTok; user-generated content</t>
  </si>
  <si>
    <t>LEGITIMACY</t>
  </si>
  <si>
    <t>Content moderation comes with trade-offs and moral dilemmas, particularly for transnational platforms governing borderline content where the boundaries of acceptability are subject to debate. While extensive research has explored the legality and legitimacy of platformised speech governance in established democracies, few address the complexities of less-than-democratic developing nations. Through sociolegal analysis and controversy mapping of TikTok's localised moderation in South and Southeast Asia, the study examines how major actors negotiate the shifting boundaries of online speech. The analysis reveals that neither the platform nor regional states are well-positioned to achieve sound governance of borderline content. Primarily, TikTok localises its moderation based on pragmatic necessity rather than moral obligations, deliberately sidestepping contentious political controversies. Governments demonstrate determined efforts to control online discourse, leveraging legal uncertainty to further political agendas. Thus, local content governance often relies on vague rationales around securitisation and morality. The contradictory motives of (de)politicising borderline moderation seemingly counterbalance each other, yet in practice lead to an accountability vacuum where legitimate interests are sidelined. Given the lack of normative common ground, ensuring procedural justice and encouraging civic participation are essential to counteract rhetoric that rationalises imposition of certain speech norms hinging on imbalanced political power.</t>
  </si>
  <si>
    <t>[Liu, Diyi] Univ Oxford, Oxford Internet Inst, Oxford OX1 3JS, England</t>
  </si>
  <si>
    <t>University of Oxford</t>
  </si>
  <si>
    <t>Liu, DY (corresponding author), Univ Oxford, Oxford Internet Inst, Oxford OX1 3JS, England.</t>
  </si>
  <si>
    <t>diyi.liu@oii.ox.ac.uk</t>
  </si>
  <si>
    <t>Liu, Diyi/KBD-2214-2024</t>
  </si>
  <si>
    <t>Liu, Diyi/0000-0001-8399-4677</t>
  </si>
  <si>
    <t>10.1002/poi3.388</t>
  </si>
  <si>
    <t>I1X1G</t>
  </si>
  <si>
    <t>WOS:001206375800001</t>
  </si>
  <si>
    <t>Li, JH; Shi, W</t>
  </si>
  <si>
    <t>Li, Jinhui; Shi, Wen</t>
  </si>
  <si>
    <t>Accessing the Impact of TikTok's Algorithm on Regional Inequality in Health Information</t>
  </si>
  <si>
    <t>EHEALTH LITERACY; FILTER BUBBLE; DISPARITIES; COMMUNICATION; CHINA</t>
  </si>
  <si>
    <t>This study aims to audit the potential algorithmic bias in TikTok's health-related video recommendation toward geographically diverse groups in China. We employed 120 cloud phones and conducted two agent-based testing experiments simulating users' geographical locations and online behaviors. The results indicated significant regional inequality in video sources recommended by the TikTok algorithm, t(118) = 3.02, p = .003, with users from developed cities encountering a higher proportion of professional videos than those from underdeveloped cities. However, when users from both regions expressed a similar preference for the same type of information, an equal proportion of professional videos was recommended. Our findings suggest that widely used algorithms may covertly perpetuate social inequities and reinforce preexisting class-based inequalities, particularly affecting vulnerable population from low-income regions. This study also highlights the importance of enhancing eHealth literacy among disadvantaged users to mitigate problematic outcomes in the AI-based communication landscape.</t>
  </si>
  <si>
    <t>[Li, Jinhui; Shi, Wen] Jinan Univ, Sch Journalism &amp; Commun, 601 Huangpu Ave West, Guangzhou 510632, Guangdong, Peoples R China</t>
  </si>
  <si>
    <t>Shi, W (corresponding author), Jinan Univ, Sch Journalism &amp; Commun, 601 Huangpu Ave West, Guangzhou 510632, Guangdong, Peoples R China.</t>
  </si>
  <si>
    <t>shiwen@jnu.edu.cn</t>
  </si>
  <si>
    <t>Li, Jinhui/AAG-3268-2019</t>
  </si>
  <si>
    <t>Li, Jinhui/0000-0002-9823-8038</t>
  </si>
  <si>
    <t>National Social Science Fund of China [22CXW025]</t>
  </si>
  <si>
    <t>This study is funded by the National Social Science Fund of China [Grant No.: 22CXW025].</t>
  </si>
  <si>
    <t>10.1080/10410236.2024.2414882</t>
  </si>
  <si>
    <t>I5Z2F</t>
  </si>
  <si>
    <t>WOS:001331032100001</t>
  </si>
  <si>
    <t>Newton, G; Southerton, C</t>
  </si>
  <si>
    <t>Newton, Giselle; Southerton, Clare</t>
  </si>
  <si>
    <t>Situated Talk: A method for a reflexive encounter with #donorconceived on TikTok</t>
  </si>
  <si>
    <t>TikTok; donor conception; LGBTQ plus; qualitative methods; digital ethnography</t>
  </si>
  <si>
    <t>DONOR CONCEPTION; SCROLLING BACK; INFORMATION; MEDIA; BODY</t>
  </si>
  <si>
    <t>There is a pressing need to facilitate sensitive conversations between people with differing or opposing views. On video-sharing app TikTok, the diverse experiences of donor-conceived people and recipient parents sit uneasily alongside each other, coalescing in hashtags like #donorconceived. This article describes a method 'Situated Talk' which uses TikToks to facilitate a reflexive encounter, drawing on three areas of scholarship: media ethnography and elicitation, researcher reflexivity and duoethnography/collaborative autoethnography. We describe how we, as a donor-conceived adult (Giselle) and a queer woman who would need donor sperm to have a child (Clare), employed TikToks from #donorconceived as prompts to facilitate a sensitive conversation and elicit situated insights. We explore three central insights from applying our method: (1) discomfort as a productive tension; (2) unresolved dilemmas; and (3) discovering parallels in experience. Using TikToks as stimuli, 'Situated Talk' contributes an innovative method for generating grounded social media insights.</t>
  </si>
  <si>
    <t>[Newton, Giselle] UNSW Sydney, Ctr Social Res Hlth, Sydney, NSW 2052, Australia; [Southerton, Clare] UNSW Sydney, Vital Lab, Sydney, NSW, Australia</t>
  </si>
  <si>
    <t>University of New South Wales Sydney; University of New South Wales Sydney</t>
  </si>
  <si>
    <t>Newton, G (corresponding author), UNSW Sydney, Ctr Social Res Hlth, Sydney, NSW 2052, Australia.</t>
  </si>
  <si>
    <t>g.newton@unsw.edu.au</t>
  </si>
  <si>
    <t>Australian Government Research Training Program Scholarship</t>
  </si>
  <si>
    <t>Australian Government Research Training Program Scholarship(Australian GovernmentDepartment of Industry, Innovation and Science)</t>
  </si>
  <si>
    <t>Giselle Newton is supported by an Australian Government Research Training Program Scholarship.</t>
  </si>
  <si>
    <t>1329878X211064646</t>
  </si>
  <si>
    <t>10.1177/1329878X211064646</t>
  </si>
  <si>
    <t>WOS:000727932700001</t>
  </si>
  <si>
    <t>Gong, X; Dong, B; Li, L; Shen, DP; Rong, ZY</t>
  </si>
  <si>
    <t>Gong, Xun; Dong, Bo; Li, Li; Shen, Danping; Rong, Zhiyi</t>
  </si>
  <si>
    <t>TikTok video as a health education source of information on heart failure in China: a content analysis</t>
  </si>
  <si>
    <t>heart failure; health education; self-care; social media; TikTok; content quality</t>
  </si>
  <si>
    <t>QUALITY; YOUTUBE; MANAGEMENT; PHYSICIANS</t>
  </si>
  <si>
    <t>Background: Heart failure (HF) is a complex and life-threatening syndrome associated with significant morbidity and mortality. While TikTok has gained popularity as a social media platform for sharing HF-related information, the quality of such content on TikTok remains unexplored.Methods: A cross-sectional analysis was conducted on TikTok videos related to HF in China. The sources of the videos were identified and analyzed. The content comprehensiveness of the videos was evaluated using six questions that covered definition, signs and symptoms, risk factors, evaluation, management, and outcomes. The reliability and quality of the videos were assessed using three standardized evaluation instruments: DISCERN, JAMA benchmarks, and the Global Quality Scale. Additionally, the correlation between video quality and video characteristics was further investigated.Results: Among the video sources, 92.2% were attributed to health professionals, while news agencies and non-profit organizations accounted for 5.7% and 2.1%, respectively. The content comprehensiveness score for the videos was 3.36 (SD 3.56), with news agencies receiving the highest scores of 4.06 (SD 3.31). The median DISCERN, JAMA, and GQS scores for all 141 videos were 26.50 (IQR 25.00-28.750), 2.00 (IQR 2.00-2.00), and 2.00 (IQR 2.00-2.00), respectively. Videos from health professionals had significantly higher JAMA scores compared to those from non-profit organizations (P &lt; 0.01). Correlation analysis between video quality and video characteristics showed positive correlations between content comprehensiveness scores and video duration (r = 0.420, P &lt; 0.001), number of comments (r = 0.195, P &lt; 0.05), and number of shares (r = 0.174, P &lt; 0.05). GQS scores were negatively or positively correlated with the number of days since upload (r = -0.212, P &lt; 0.05) and video duration (r = 0.442, P &lt; 0.001).Conclusion: The overall quality of the videos was found to be unsatisfactory, with variations in quality scores observed across different video sources. Content comprehensiveness was inadequate, the reliability and quality of the information presented in the videos was questionable. As TikTok continues to grow as a platform for health information, it is essential to prioritize accuracy and reliability to enhance patients' self-care abilities and promote public health.</t>
  </si>
  <si>
    <t>[Gong, Xun; Rong, Zhiyi] Hunan Normal Univ, Hunan Prov Peoples Hosp, Affiliated Hosp 1, Dept Cardiol, Changsha, Peoples R China; Hunan Normal Univ, Hunan Prov Peoples Hosp, Affiliated Hosp 1, Cardiac Rehabil Ctr, Changsha, Peoples R China</t>
  </si>
  <si>
    <t>Hunan Normal University; Hunan Normal University</t>
  </si>
  <si>
    <t>Gong, X; Rong, ZY (corresponding author), Hunan Normal Univ, Hunan Prov Peoples Hosp, Affiliated Hosp 1, Dept Cardiol, Changsha, Peoples R China.</t>
  </si>
  <si>
    <t>hunanheart@163.com; rose88520@163.com</t>
  </si>
  <si>
    <t>DEC 11</t>
  </si>
  <si>
    <t>10.3389/fpubh.2023.1315393</t>
  </si>
  <si>
    <t>DQ2Y9</t>
  </si>
  <si>
    <t>WOS:001133470600001</t>
  </si>
  <si>
    <t>Greene, AK; Norling, HN; Brownstone, LM; Maloul, EK; Roe, C; Moody, S</t>
  </si>
  <si>
    <t>Greene, Amanda K.; Norling, Hannah N.; Brownstone, Lisa M.; Maloul, Elana K.; Roe, Caity; Moody, Sarah</t>
  </si>
  <si>
    <t>Visions of recovery: a cross-diagnostic examination of eating disorder pro-recovery communities on TikTok</t>
  </si>
  <si>
    <t>JOURNAL OF EATING DISORDERS</t>
  </si>
  <si>
    <t>Eating disorders; Pro-recovery; Social media; TikTok; Diet culture</t>
  </si>
  <si>
    <t>SOCIAL MEDIA USE; BODY-IMAGE; THINSPIRATION IMAGES; ONLINE; ANA; BINGE; ANOREXIA; CONSTRUCTIONS; STIGMA; IMPACT</t>
  </si>
  <si>
    <t>Individuals seeking support or inspiration for eating disorder recovery may turn to pro-recovery content on social media sites such as TikTok. While research has thus far treated pro-recovery social media as a fairly homogeneous space, many pro-recovery hashtags single out particular eating disorder diagnoses. This exploratory study used codebook thematic analysis of 241 popular pro-recovery videos on TikTok to compare the presentation of eating disorders and eating disorder recovery across five different diagnosis-specific hashtags: #anarecovery, #arfidrecovery, #bedrecovery, #miarecovery, and #orthorexiarecovery. These hashtags refer to the following eating disorder diagnoses respectively: anorexia nervosa, avoidant restrictive food intake disorder, binge eating disorder, bulimia nervosa, and orthorexia nervosa. Our analysis generated the following qualitative themes across the entire dataset: (1) centrality of food to eating disorders and recovery, (2) what eating disorders look and feel like, (3) recovery as a process, (4) getting and giving help, and (5) negotiating diet culture in recovery. To supplement our qualitative findings and facilitate cross-diagnostic comparisons, we also conducted one-way ANOVAs and chi-square tests to probe for statistically significant differences in audience engagement and code prevalence across the different hashtags. Our results indicate that there are clear differences in how recovery is envisioned on TikTok based on which diagnostic hashtags are employed. Such variations in how different eating disorders are imagined on popular social media demand further investigation and clinical consideration. Plain English SummaryHashtags related to eating disorder recovery on TikTok often name particular eating disorder diagnoses. This study compared five of these diagnosis-specific hashtags: #anarecovery, #arfidrecovery, #bedrecovery, #miarecovery, and #orthorexiarecovery. We found some similarities among these hashtags such as the centrality of food and eating in the posts and the emphasis on recovery as a process. However, we also found significant differences between the hashtags. For example, while diet culture promotion was a key aspect of many #bedrecovery posts, #orthorexiarecovery posts tended to focus instead on critiques of diet culture. Levels of user engagement also varied across the five hashtags. Notably, #anarecovery posts received the most likes. This study points to the existence of subcommunities within pro-recovery social media and suggests that way eating disorder recovery is portrayed online differs across diagnostic labels.</t>
  </si>
  <si>
    <t>[Greene, Amanda K.] Univ Michigan, Ctr Bioeth &amp; Social Sci Med, Med Sch, 2800 Plymouth Rd, Bldg 14, G016, Ann Arbor, MI 48109 USA; [Norling, Hannah N.; Brownstone, Lisa M.; Roe, Caity; Moody, Sarah] Univ Denver, Dept Counseling Psychol, Mor, 1999 East Evans Ave, Denver, CO 80208 USA; [Maloul, Elana K.] Univ Michigan, Dept English Language &amp; Literature, 435 South State St, Ann Arbor, MI 48104 USA</t>
  </si>
  <si>
    <t>University of Michigan System; University of Michigan; University of Denver; University of Michigan System; University of Michigan</t>
  </si>
  <si>
    <t>Greene, AK (corresponding author), Univ Michigan, Ctr Bioeth &amp; Social Sci Med, Med Sch, 2800 Plymouth Rd, Bldg 14, G016, Ann Arbor, MI 48109 USA.</t>
  </si>
  <si>
    <t>Greene, Amanda/AGG-1421-2022; Brownstone, Lisa/AAR-6244-2020; Norling, Hannah/JDM-7853-2023</t>
  </si>
  <si>
    <t>Maloul, Elana/0000-0002-1668-4983</t>
  </si>
  <si>
    <t>2050-2974</t>
  </si>
  <si>
    <t>J EAT DISORD</t>
  </si>
  <si>
    <t>J. Eat. Disord.</t>
  </si>
  <si>
    <t>10.1186/s40337-023-00827-7</t>
  </si>
  <si>
    <t>Psychology, Clinical; Nutrition &amp; Dietetics; Psychiatry</t>
  </si>
  <si>
    <t>L4GR3</t>
  </si>
  <si>
    <t>WOS:001022863600004</t>
  </si>
  <si>
    <t>Wellman, ML; Germic, E</t>
  </si>
  <si>
    <t>Wellman, Mariah L.; Germic, Eloise</t>
  </si>
  <si>
    <t>The Ranch Malibu: Operationalizing Wellness Tourism on TikTok</t>
  </si>
  <si>
    <t>digital health communication; social media influencers; TikTok; wellness tourism; wellness rhetoric</t>
  </si>
  <si>
    <t>HEALTH; DIMENSIONS</t>
  </si>
  <si>
    <t>To examine how social media influencers aid in the growth of the wellness industry while simultaneously reifying dangerous existing ideologies, we conducted a thematic analysis of TikTok videos created by a social media influencer during her time at a popular wellness tourism retreat known as The Ranch Malibu. In the findings, we outline how wellness tourism discourse promotes extreme dieting, the moralization of health, and elitism, all outcomes in line with previous studies explicating the dangers of both contemporary and historical wellness rhetoric. We argue that the sharing of wellness tourism content on social media platforms results in the spread of dangerous beliefs alongside health misinformation at a much faster pace than in decades prior. Therefore, we encourage communication scholars to examine wellness tourism discourse on social media platforms as a novel research area within the growing fields of digital health communication, rhetoric of health and wellness, and public health.</t>
  </si>
  <si>
    <t>[Wellman, Mariah L.; Germic, Eloise] Univ Illinois, 1007 Harrison St, Chicago, IL 60607 USA</t>
  </si>
  <si>
    <t>Wellman, ML (corresponding author), Univ Illinois, 1007 Harrison St, Chicago, IL 60607 USA.</t>
  </si>
  <si>
    <t>mwellman@uic.edu</t>
  </si>
  <si>
    <t>Wellman, Mariah/AAH-1511-2020</t>
  </si>
  <si>
    <t>Wellman, Mariah/0000-0001-5089-7379</t>
  </si>
  <si>
    <t>10.1177/20563051241269326</t>
  </si>
  <si>
    <t>C6F9U</t>
  </si>
  <si>
    <t>WOS:001290319600001</t>
  </si>
  <si>
    <t>Lee, HS; Harrison, VS; Lee, MT</t>
  </si>
  <si>
    <t>Lee, Hansen; Harrison, Virginia S.; Lee, Mattie</t>
  </si>
  <si>
    <t>What Makes an Influencer? Comparing US and Chinese Millennial Perceptions of Brand Communication from the Most-Followed Influencers on TikTok and Douyin</t>
  </si>
  <si>
    <t>INTERNATIONAL JOURNAL OF STRATEGIC COMMUNICATION</t>
  </si>
  <si>
    <t>SOCIAL MEDIA; GRATIFICATIONS</t>
  </si>
  <si>
    <t>Millennials have become the most sought-after generation for online brand communications, which have leveraged social media influencers (SMI) as spokespeople. As communication becomes more instantaneous and global, we examine how SMIs function in two different cultures: the United States and China. Specifically, we use mixed methods to examine the content, source, and user motivations from the top 5 most-followed SMIs on TikTok and Douyin, adding to the literature on these increasingly relevant platforms. We find that SMIs incorporate brand content with personal content, and Douyin SMIs seem to have more brand communication on their pages. Additionally, through interviews with millennial-age followers, we find that SMIs have strong influence over purchasing behavior of millennials in both countries, motivating impulse buying behavior. Douyin users are drawn to live streaming and attractive visuals while TikTok users seek information and entertainment. Implications for brand communication with SMIs across cultures is discussed.</t>
  </si>
  <si>
    <t>[Lee, Hansen] Clemson Univ, Coll Engn Comp &amp; Appl Sci, Sch Comp, Clemson, SC USA; [Harrison, Virginia S.] Clemson Univ, Coll Behav Social &amp; Hlth Sci, Dept Commun, 406 Strode Tower, Clemson, SC 29634 USA; [Lee, Mattie] Amer Heart Assoc, Mt Pleasant, SC USA</t>
  </si>
  <si>
    <t>Clemson University; Clemson University</t>
  </si>
  <si>
    <t>Harrison, VS (corresponding author), Clemson Univ, Coll Behav Social &amp; Hlth Sci, Dept Commun, 406 Strode Tower, Clemson, SC 29634 USA.</t>
  </si>
  <si>
    <t>vsharri@clemson.edu</t>
  </si>
  <si>
    <t>Lee, Hansen/0009-0000-1585-3856</t>
  </si>
  <si>
    <t>1553-118X</t>
  </si>
  <si>
    <t>1553-1198</t>
  </si>
  <si>
    <t>INT J STRATEG COMMUN</t>
  </si>
  <si>
    <t>Int. J. Strateg. Commun.</t>
  </si>
  <si>
    <t>2024 AUG 1</t>
  </si>
  <si>
    <t>10.1080/1553118X.2024.2378374</t>
  </si>
  <si>
    <t>A3L0R</t>
  </si>
  <si>
    <t>WOS:001281567700001</t>
  </si>
  <si>
    <t>Madu, CT; Nwokeji, I; Lin, JM</t>
  </si>
  <si>
    <t>Madu, Chisom T.; Nwokeji, Imani; Lin, Jin Ming</t>
  </si>
  <si>
    <t>Letter to the Editor Regarding: An Emerging Ophthalmology Challenge: A Narrative Review of TikTok Trends Impacting Eye Health Among Children and Adolescents</t>
  </si>
  <si>
    <t>Pediatric ophthalmology; Social media; Preventive medicine</t>
  </si>
  <si>
    <t>[Madu, Chisom T.; Nwokeji, Imani; Lin, Jin Ming] CUNY, Sch Med, 160 Convent Ave, New York, NY 10031 USA</t>
  </si>
  <si>
    <t>Madu, CT (corresponding author), CUNY, Sch Med, 160 Convent Ave, New York, NY 10031 USA.</t>
  </si>
  <si>
    <t>cmadu000@citymail.cuny.edu</t>
  </si>
  <si>
    <t>Madu, Chisom/0000-0001-8265-9543</t>
  </si>
  <si>
    <t>10.1007/s40123-024-00989-w</t>
  </si>
  <si>
    <t>WOS:001265430900001</t>
  </si>
  <si>
    <t>Tillewein, H; Mohon-Doyle, K; Cox, D</t>
  </si>
  <si>
    <t>Tillewein, Heather; Mohon-Doyle, Keely; Cox, Destiny</t>
  </si>
  <si>
    <t>A Critical Discourse Analysis of Sexual Violence Survivors and Censorship on the Social Media Platform TikTok</t>
  </si>
  <si>
    <t>ARCHIVES OF SEXUAL BEHAVIOR</t>
  </si>
  <si>
    <t>Sexual violence; Social media; Algospeak; Censorship; Critical discourse analysis; TikTok</t>
  </si>
  <si>
    <t>MULTIMODAL CRITICAL DISCOURSE; FOSTA-SESTA; ASSAULT; DISCLOSURE; VICTIM; IMPACT</t>
  </si>
  <si>
    <t>Sexual violence is a public health threat in the USA and past research has found that survivors who seek support and disclose their experiences tend to have greater positive outcomes, such as positive life changes, reduced post-traumatic stress disorder, and fewer depressive symptoms. While social media have become an important site of disclosure, over-moderation of sex and sexuality on social media platforms due to the passing of the Fight Online Sex Trafficking Act and the Stop Enabling Sex Traffickers Act may inadvertently lead to the removal of survivors' posts and hinder their ability to build communities of support. In line with critical discourse analysis, this study examined the discursive strategies utilized in online disclosures made by sexual violence survivors on the social media platform TikTok to determine if they make use of algospeak, a neologism referring to the strategy of misspelling words or using coded language to avoid detection and deletion by site moderators. Analysis of the data indicated that sexual violence survivors do make use of algospeak, as well as direct and indirect language, to share their disclosures, and that, while TikTok claims to provide space for survivors' stories, its guidelines and approach to language about sex and sexuality may create barriers to building supportive communities.</t>
  </si>
  <si>
    <t>[Tillewein, Heather] Austin Peay State Univ, Dept Hlth &amp; Human Performance, POB 4445,Dunn Ctr 268, Clarksville, TN 37044 USA; [Mohon-Doyle, Keely] Austin Peay State Univ, Dept Languages &amp; Literature, Clarksville, TN 37044 USA; [Cox, Destiny] Southern Illinois Univ, Dept Publ Hlth, Carbondale, IL 62901 USA</t>
  </si>
  <si>
    <t>Austin Peay State University; Austin Peay State University; Southern Illinois University System; Southern Illinois University</t>
  </si>
  <si>
    <t>Tillewein, H (corresponding author), Austin Peay State Univ, Dept Hlth &amp; Human Performance, POB 4445,Dunn Ctr 268, Clarksville, TN 37044 USA.</t>
  </si>
  <si>
    <t>tilleweinh@aspu.edu</t>
  </si>
  <si>
    <t>0004-0002</t>
  </si>
  <si>
    <t>1573-2800</t>
  </si>
  <si>
    <t>ARCH SEX BEHAV</t>
  </si>
  <si>
    <t>Arch. Sex. Behav.</t>
  </si>
  <si>
    <t>2024 SEP 24</t>
  </si>
  <si>
    <t>10.1007/s10508-024-02987-2</t>
  </si>
  <si>
    <t>G8I4A</t>
  </si>
  <si>
    <t>WOS:001319006300001</t>
  </si>
  <si>
    <t>Camus, C</t>
  </si>
  <si>
    <t>Camus, Cyril</t>
  </si>
  <si>
    <t>Vienna shortly the shipchandler: fraternal virality and online music in times of COVID - the case of ShantyTok Essay</t>
  </si>
  <si>
    <t>MIRANDA</t>
  </si>
  <si>
    <t>French</t>
  </si>
  <si>
    <t>folk music; sea shanties; choral singing; TikTok; virality; collaboration; Internet</t>
  </si>
  <si>
    <t>[Camus, Cyril] Lycee Ozenne, Toulouse, France</t>
  </si>
  <si>
    <t>Camus, C (corresponding author), Lycee Ozenne, Toulouse, France.</t>
  </si>
  <si>
    <t>cyril.camus@hotmail.fr</t>
  </si>
  <si>
    <t>UNIV TOULOUSE II-JEAN JAURES</t>
  </si>
  <si>
    <t>TOULOUSE</t>
  </si>
  <si>
    <t>5 ALLEE ANTONIO MACHADO, TOULOUSE, 31058, FRANCE</t>
  </si>
  <si>
    <t>2108-6559</t>
  </si>
  <si>
    <t>Miranda</t>
  </si>
  <si>
    <t>1H5AX</t>
  </si>
  <si>
    <t>WOS:000796555700024</t>
  </si>
  <si>
    <t>Brooks, R; Christidis, R; Carah, N; Kelly, B; Martino, F; Backholer, K</t>
  </si>
  <si>
    <t>Brooks, Ruby; Christidis, Rebecca; Carah, Nicholas; Kelly, Bridget; Martino, Florentine; Backholer, Kathryn</t>
  </si>
  <si>
    <t>Turning users into 'unofficial brand ambassadors': marketing of unhealthy food and non-alcoholic beverages on TikTok</t>
  </si>
  <si>
    <t>child health; health policy; nutrition; public health</t>
  </si>
  <si>
    <t>Introduction TikTok has over one billion monthly users and is particularly popular among children. We examined the (1) use of owned media by major unhealthy food and non-alcoholic beverage brands on TikTok and (2) nature of branded hashtag challenges instigated by such brands and the user-generated content created in response. Methods We assessed the (1) content of all videos posted on the accounts of 16 top food and non-alcoholic beverage brands (based on global brand share) as at 30 June 2021, and (2) content and sentiment of a sample of brand-relevant user-generated content created in response to branded hashtag challenges instigated by these brands. Results Of 539 videos posted by brands, 60% were posted in the first half of 2021. The most common marketing strategies were branding (87% of videos), product images (85%), engagement (31%) and celebrities/influencers (25%). Engagement included instigation of branded hashtag challenges that encouraged creation of user-generated content featuring brands' products, brands' videos and/or branded effects. The total collective views of user-generated content from single challenges ranged from 12.7 million to 107.9 billion. Of a sample of 626 brand-relevant videos generated in response to these challenges, 96% featured branding, 68% product images and 41% branded effects. Most portrayed a positive (73%) or neutral/unclear (25%) sentiment, with few negative (3%). Conclusion Unhealthy food and non-alcoholic beverage brands are using TikTok to market brands and products via their own accounts and to encourage users to create and share their own content that features branding and product images. Given TikTok's popularity among children, this study supports the need for policies that protect children from the harmful impact of food marketing on social networking platforms.</t>
  </si>
  <si>
    <t>[Brooks, Ruby; Christidis, Rebecca; Martino, Florentine; Backholer, Kathryn] Deakin Univ, Global Obes Ctr, Geelong, Vic, Australia; [Carah, Nicholas] Univ Queensland, Sch Commun &amp; Arts, Brisbane, Qld, Australia; [Kelly, Bridget] Univ Wollongong, Sch Hlth &amp; Soc, Early Start, Wollongong, NSW, Australia</t>
  </si>
  <si>
    <t>Deakin University; University of Queensland; University of Wollongong</t>
  </si>
  <si>
    <t>Backholer, K (corresponding author), Deakin Univ, Global Obes Ctr, Geelong, Vic, Australia.</t>
  </si>
  <si>
    <t>kathryn.backholer@deakin.edu.au</t>
  </si>
  <si>
    <t>Kelly, Bridget/AAW-9549-2021; Backholer, Kathryn/KXA-4438-2024; Carah, Nicholas/A-1624-2017</t>
  </si>
  <si>
    <t>Martino, Florentine/0000-0001-6718-5239; Christidis, Rebecca/0000-0002-6717-7009; Brooks, Ruby/0000-0002-2647-6934; backholer, kathryn/0000-0002-3323-575X; Carah, Nicholas/0000-0002-0378-1303; Kelly`, Bridget/0000-0003-3111-6279</t>
  </si>
  <si>
    <t>National Heart Foundation Future Leader Fellowship [102047]</t>
  </si>
  <si>
    <t>National Heart Foundation Future Leader Fellowship(National Heart Foundation of Australia)</t>
  </si>
  <si>
    <t>KB and RB were funded through a National Heart Foundation Future Leader Fellowship (102047). The funding source had no involvement in the study design; collection, analysis and interpretation of data; writing of the paper or decision to submit the paper for publication.</t>
  </si>
  <si>
    <t>e009112</t>
  </si>
  <si>
    <t>10.1136/bmjgh-2022-009112</t>
  </si>
  <si>
    <t>1U3IV</t>
  </si>
  <si>
    <t>WOS:000805311700003</t>
  </si>
  <si>
    <t>Chee, L</t>
  </si>
  <si>
    <t>Chee, Liberty</t>
  </si>
  <si>
    <t>Play and Counter-Conduct: Migrant Domestic Workers on TikTok</t>
  </si>
  <si>
    <t>GLOBAL SOCIETY</t>
  </si>
  <si>
    <t>Counter-conduct; migrant domestic workers; everyday resistance; hidden transcripts; TikTok</t>
  </si>
  <si>
    <t>RECRUITMENT AGENCIES; LABOR MIGRATION; RESISTANCE; POWER; HUMOR; BOUNDARIES; FILIPINA; LIVES; TALK</t>
  </si>
  <si>
    <t>This paper examines how migrant domestic workers subvert domination, exploitation and subjection through performances in TikTok videos. Through this medium, workers exercise autonomy in severely restrictive employment and living conditions, where collective action may not only be improbable but also illegal. I argue that these videos demonstrate Foucauldian counter-conduct or the art of not being governed so much. Counter-conduct is a form of resistance distinct to those who have limited access to the public sphere, due in part to the gendered nature of cooking, cleaning and caring. Domestic work is not normally included in labour laws, and the place of employment are private homes. This makes it difficult to organise or make rights claims. I build on literatures of everyday resistance to examine the practices and subjectivities by migrant domestic workers in Gulf countries. In so doing, so-called modern slaves, enact freedom, already present, as subjects of ethics and politics..</t>
  </si>
  <si>
    <t>[Chee, Liberty] Ca Foscari Univ Venice, Dept Philosophy &amp; Cultural Heritage, Venice, Italy</t>
  </si>
  <si>
    <t>Universita Ca Foscari Venezia</t>
  </si>
  <si>
    <t>Chee, L (corresponding author), Ca Foscari Univ Venice, Dept Philosophy &amp; Cultural Heritage, Venice, Italy.</t>
  </si>
  <si>
    <t>liberty.chee@unive.it</t>
  </si>
  <si>
    <t>Chee, Liberty/LFV-0042-2024</t>
  </si>
  <si>
    <t>Chee, Liberty/0000-0002-6930-4083</t>
  </si>
  <si>
    <t>Horizon Europe Marie Sklodowska-Curie Actions [101065330]; Marie Curie Actions (MSCA) [101065330] Funding Source: Marie Curie Actions (MSCA)</t>
  </si>
  <si>
    <t>Horizon Europe Marie Sklodowska-Curie Actions; Marie Curie Actions (MSCA)(Marie Curie Actions)</t>
  </si>
  <si>
    <t>This work was supported by the Horizon Europe Marie Sklodowska-Curie Actions: [Grant Number 101065330 KnowingDOM].</t>
  </si>
  <si>
    <t>1360-0826</t>
  </si>
  <si>
    <t>1469-798X</t>
  </si>
  <si>
    <t>GLOB SOC</t>
  </si>
  <si>
    <t>Glob. Soc.</t>
  </si>
  <si>
    <t>10.1080/13600826.2023.2217523</t>
  </si>
  <si>
    <t>International Relations</t>
  </si>
  <si>
    <t>R9IC5</t>
  </si>
  <si>
    <t>hybrid, Green Submitted, Green Published</t>
  </si>
  <si>
    <t>WOS:001003223800001</t>
  </si>
  <si>
    <t>Morgan, K; Demasters, C; Wiley, K</t>
  </si>
  <si>
    <t>Morgan, Katherine; Demasters, Chelsea; Wiley, Kimberly</t>
  </si>
  <si>
    <t>Nonprofits, Social Media, and Mission</t>
  </si>
  <si>
    <t>JOURNAL OF NONPROFIT &amp; PUBLIC SECTOR MARKETING</t>
  </si>
  <si>
    <t>Microvlogs; nonprofits; social capital; social media; social media adoption; TikTok</t>
  </si>
  <si>
    <t>ADOPTION</t>
  </si>
  <si>
    <t>Characteristics core to the nonprofit sector's identity - community building and authenticity - are what drive user engagement on microvlogging platforms like TikTok. Yet, nonprofits are often hesitant to join emerging social media platforms, especially platforms that necessitate a new content style. This hesitancy is due to uncertainties on the platform and insufficient resources to go all-in. We interviewed social media coordinators and applied qualitative summative content analysis to illuminate TikTok's early adopters' strategies for moving beyond metrics like follower counts and attention to leveraging their social media-based social capital toward mission-oriented goals. The findings indicate that as social media strategies grow more sophisticated, nonprofits build the capacity to work toward mission fulfillment more narrowly. However, the fast-paced nature of the platform defies nonprofit' commonly reserved approach to social media, such as long-term planning, strong leadership oversight, and brand establishment. Well-meaning CEOs should focus on investing financial resources into content creation rather than controlling content.</t>
  </si>
  <si>
    <t>[Morgan, Katherine; Demasters, Chelsea; Wiley, Kimberly] Univ Florida, Dept Family Youth &amp; Community Serv, POB 110310, Gainesville, FL 32611 USA</t>
  </si>
  <si>
    <t>State University System of Florida; University of Florida</t>
  </si>
  <si>
    <t>Wiley, K (corresponding author), Univ Florida, Dept Family Youth &amp; Community Serv, POB 110310, Gainesville, FL 32611 USA.</t>
  </si>
  <si>
    <t>Morgan, Katherine/JEF-1162-2023</t>
  </si>
  <si>
    <t>1049-5142</t>
  </si>
  <si>
    <t>1540-6997</t>
  </si>
  <si>
    <t>J NONPROFIT PUBLIC S</t>
  </si>
  <si>
    <t>J. Nonprofit Public Sect. Market.</t>
  </si>
  <si>
    <t>2024 JUL 7</t>
  </si>
  <si>
    <t>10.1080/10495142.2024.2372102</t>
  </si>
  <si>
    <t>XS1R0</t>
  </si>
  <si>
    <t>WOS:001263579600001</t>
  </si>
  <si>
    <t>Feijoo, B; Sádaba, C; Zozaya, L</t>
  </si>
  <si>
    <t>Feijoo, Beatriz; Sadaba, Charo; Zozaya, Luisa</t>
  </si>
  <si>
    <t>Distrust by default: analysis of parent and child reactions to health misinformation exposure on TikTok</t>
  </si>
  <si>
    <t>INTERNATIONAL JOURNAL OF ADOLESCENCE AND YOUTH</t>
  </si>
  <si>
    <t>misinformation; TikTok; adolescents; parents; health content; critical thinking; &gt;</t>
  </si>
  <si>
    <t>SOCIAL MEDIA; INTERNET; ADOLESCENTS; LITERACY; STRATEGIES; TRENDS</t>
  </si>
  <si>
    <t>Social networks have become a recurrent source of health information, but they also represent a space for the dissemination of erroneous or false information, which becomes more worrying when dealing with underage audiences. The aim of this study was to find out what resources and capabilities adolescents have to deal with the erroneous health content they receive through TikTok. To provide a comprehensive perspective, one of the parents of each sampled child was also interviewed with the aim of discovering their assessment of how their children dealt with this content. 40 interviews were carried out, and among the main findings, a common practice of distrust by default of the contents consumed on the Internet stood out, both in adults and in minors. While the latter always sought in the content an occasion to entertain themselves, parents doubted that their children were capable of recognizing erroneous information.</t>
  </si>
  <si>
    <t>[Feijoo, Beatriz; Zozaya, Luisa] Univ Int La Rioja, Fac Empresa &amp; Comunicac, Logrono, Spain; [Sadaba, Charo] Univ Navarra, Fac Comunicac, Pamplona, Spain</t>
  </si>
  <si>
    <t>Universidad Internacional de La Rioja (UNIR); University of Navarra</t>
  </si>
  <si>
    <t>Feijoo, B (corresponding author), Univ Int La Rioja, Fac Empresa &amp; Comunicac, Logrono, Spain.</t>
  </si>
  <si>
    <t>beatriz.feijoo@unir.net</t>
  </si>
  <si>
    <t>; Sadaba, Charo/H-3121-2015; Feijoo Fernandez, Beatriz/B-3909-2017</t>
  </si>
  <si>
    <t>Zozaya-Durazo, Luisa/0000-0002-3505-0687; Sadaba, Charo/0000-0003-2596-2794; Feijoo Fernandez, Beatriz/0000-0001-5287-3813</t>
  </si>
  <si>
    <t>Ministry of Science and Innovation of the Government of Spain underI+D+i Project [PID2020-116841RA-I00]; Research Plan of the International University of La Rioja (UNIR)</t>
  </si>
  <si>
    <t>Ministry of Science and Innovation of the Government of Spain underI+D+i Project; Research Plan of the International University of La Rioja (UNIR)</t>
  </si>
  <si>
    <t>This work was supported by the Ministry of Science and Innovation of the Government of Spain underI+D+i Project ref. PID2020-116841RA-I00. Research also funded by the Research Plan of the International University of La Rioja (UNIR), 2020-2022 biennium.</t>
  </si>
  <si>
    <t>0267-3843</t>
  </si>
  <si>
    <t>2164-4527</t>
  </si>
  <si>
    <t>INT J ADOLESC YOUTH</t>
  </si>
  <si>
    <t>Int. J. Adolesc. Youth</t>
  </si>
  <si>
    <t>10.1080/02673843.2023.2244595</t>
  </si>
  <si>
    <t>P0AS7</t>
  </si>
  <si>
    <t>WOS:001047358800001</t>
  </si>
  <si>
    <t>Lancaster, R; Sanchez, M; Maxwel, K; Medley, R</t>
  </si>
  <si>
    <t>Lancaster, Rachelle; Sanchez, Michelle; Maxwel, Kelly; Medley, Rachel</t>
  </si>
  <si>
    <t>TikTok's 'Dancing Nurses' During the COVID-19 Pandemic: A Content Analysis</t>
  </si>
  <si>
    <t>code of ethics; COVID-19; dancing; nurse; pandemic; professional ethics; social media</t>
  </si>
  <si>
    <t>Background: Amid the challenges of the ongoing COVID-19 pandemic, health care workers are using social media to publish increasing numbers of posts, memes, and videos. On TikTok, a rapidly growing and widely used social networking platform, videos labeled dancing nurses have recently been trending. Whether nurses or the general public consider such videos to breach professional ethical standards is unknown. Purpose: The aim of this study was to analyze and describe the use of the social media platform TikTok by nurses whose videos featured dancing nurses during the ongoing pandemic. Methods: Between March 1 and December 31, 2020, we conducted a search on TikTok using terms such as dancing nurse and hashtags such as#dancingnurse. For each identified video, the numbers of followers, views, likes, concurrent COVID-19 morbidity and mortality rates, and other data were collected. For videos meeting the inclusion criteria, content analysis was performed to evaluate dancing nurse behaviors and apply the American Nurses Association (ANA) Code of Ethics for Nurses with Interpretive Statements, ANA social networking principles, and National Council of State Boards of Nursing social media guidelines. Results: A total of 52 videos met all inclusion criteria and were included for analysis. These videos had a mean of 1.51 million views each. Among these videos, there were 356 violations of Code of Ethics provisions, social networking principles, and social media guidelines. Forty of the videos (77%) included a choreographed dance; 24 (46%) contained twerking and three (6%) featured dance moves such as pelvic thrusts and gyrations. Conclusion: The findings offer insight into how nurses are using TikTok, specifically with regard to posting videos that feature dancing nurses. Some of the analyzed videos included content that could be construed, in our view, as inappropriate and even sexually suggestive. The concern is that such videos could damage the professional image of nurses and downplay the seriousness of the current pandemic. It's essential that nurses who use social media consider the content and presentation of what they post. There is an urgent need for nurses to understand professional and workplace guidelines and policies regarding the use of social media, and how these may apply to content developed and posted on platforms such as TikTok.</t>
  </si>
  <si>
    <t>[Lancaster, Rachelle] Advocate Aurora Hlth, Milwaukee, WI 53202 USA; [Sanchez, Michelle] Aurora St Lukes Med Ctr, Milwaukee, WI USA; [Maxwel, Kelly] Univ Wisconsin, Hlth Univ Hosp, Neurosci Unit, Madison, WI 53706 USA; [Medley, Rachel] Northwestern Med, De Kalb, IL USA; [Sanchez, Michelle; Maxwel, Kelly; Medley, Rachel] Univ Wisconsin Oshkosh, Coll Nursing, Oshkosh, WI USA</t>
  </si>
  <si>
    <t>University of Wisconsin System; University of Wisconsin Madison; Northwestern University; Feinberg School of Medicine; University of Wisconsin System; University of Wisconsin Oshkosh</t>
  </si>
  <si>
    <t>Lancaster, R (corresponding author), Advocate Aurora Hlth, Milwaukee, WI 53202 USA.</t>
  </si>
  <si>
    <t>rachelle.lancaster@aah.org</t>
  </si>
  <si>
    <t>Lancaster, Rachelle/HTM-7836-2023</t>
  </si>
  <si>
    <t>Lancaster, Rachelle/0000-0002-2109-4689</t>
  </si>
  <si>
    <t>6R1KA</t>
  </si>
  <si>
    <t>WOS:000892067000011</t>
  </si>
  <si>
    <t>Rebollo, MAP; Soria, AM; Aguilar, JMG</t>
  </si>
  <si>
    <t>Rebollo, Maria Antonia Paz; Soria, Ana Mayagoitia; Aguilar, Juan Manuel Gonzalez</t>
  </si>
  <si>
    <t>Does TikTok allow quality debate? A case study on poverty</t>
  </si>
  <si>
    <t>TikTok; user comments; social media; video platforms; poverty; aporophobia; United Nations Sustainable Development Goals (SDGS)</t>
  </si>
  <si>
    <t>SOCIAL MEDIA; HATE</t>
  </si>
  <si>
    <t>This study analyses temporary employees' perceptions and This article analyzes whether the features of TikTok allow for meaningful debates and how they are conducted. To do so, we used a case study approach: user conversations about socially excluded individuals in a context marked by the Covid-19 pandemic and subsequent economic crisis, which have exacerbated hardships in developing countries. A total of 100 videos published in Spain since 2020 on this topic, along with 38,462 comments, are examined. We performed a content analysis of the videos, considering their thematic, technical, and stylistic characteristics. Additionally, we conducted a textual analysis of the comments taking into account the authorial and conversational dimensions. The study concludes that the structure of TikTok does not enable high-quality debates in this case study. The videos provide an episodic view of the topics, and on average users participate only once expressing opinions based on personal experiences or existing biases. Moreover, the debate is muddled in this specific topic due to intergenerational conflicts. Judgmental attitudes lead to messages that are both cruel in the form of advice and expressions of humor. The analysis reveals a strong sentiment of aporophobia in the opinions expressed on this platform. Therefore, it is advisable to recommend the inclusion of this marginalized group among the protected groups in the community guidelines.</t>
  </si>
  <si>
    <t>[Rebollo, Maria Antonia Paz; Soria, Ana Mayagoitia] Univ Complutense Madrid, Madrid, Spain; [Aguilar, Juan Manuel Gonzalez] Univ Int la Rioja, Logrono, Spain</t>
  </si>
  <si>
    <t>Complutense University of Madrid; Universidad Internacional de La Rioja (UNIR)</t>
  </si>
  <si>
    <t>Rebollo, MAP (corresponding author), Univ Complutense Madrid, Madrid, Spain.</t>
  </si>
  <si>
    <t>mapazreb@ucm.es; anmayago@ucm.es; juanmanuel.gonzalez@unir.net</t>
  </si>
  <si>
    <t>Rebollo, María/AAY-9593-2020; González-Aguilar, Juan Manuel/CAF-3682-2022; Mayagoitia-Soria, Ana/AAA-1636-2019</t>
  </si>
  <si>
    <t>Paz Rebollo, Maria Antonia/0000-0002-6664-0647; Gonzalez-Aguilar, Juan-Manuel/0000-0003-3668-470X; Mayagoitia-Soria, Ana/0000-0001-8502-9766</t>
  </si>
  <si>
    <t>10.15581/003.36.4.83-97</t>
  </si>
  <si>
    <t>U2MF8</t>
  </si>
  <si>
    <t>WOS:001083189800006</t>
  </si>
  <si>
    <t>Fakhraie, S; Erickson, T; Chovatiya, R</t>
  </si>
  <si>
    <t>Fakhraie, Sheiva; Erickson, Taylor; Chovatiya, Raj</t>
  </si>
  <si>
    <t>Evaluation of a patient education platform for seborrheic dermatitis</t>
  </si>
  <si>
    <t>ARCHIVES OF DERMATOLOGICAL RESEARCH</t>
  </si>
  <si>
    <t>Seborrheic dermatitis; Social media; Education; Quality</t>
  </si>
  <si>
    <t>Seborrheic dermatitis (SD) is a common, burdensome inflammatory skin disorder. Little is known about the identity and quality of videos patients consume on social media to better understand and manage SD. We evaluated three social media platforms-YouTube, TikTok, and Instagram-for content, quality, and popularity. Search terms seborrheic dermatitis, dandruff, cradle cap, and flaky scalp identified videos on each platform. The first 50 videos for each keyword were analyzed. After screening, 147 YouTube, 132 Instagram, and 164 TikTok videos were included. Videos were characterized by upload source (healthcare provider/organization [HCP]/non-HCP), quality (accurate/misleading/non-informative), content (educational/personal xperience/entertainment/advertisement), and number of likes/views. Data were analyzed by chi square (categorical) or Kruskal-Wallis (continuous) tests. YouTube contained a higher proportion of videos vs. TikTok and Instagram that were made by HCPs (42.2/19.7/17.7%, respectively) and contained more accurate (52.4/28.0/32.9%), and educational (66.7/38.6/34.4%) content (p &lt; 0.0001 for all). Non-HCPs were responsible for creating the majority of videos across platforms along with most inaccurate/non-informative (65.9/86.8/78.6%) and non-educational (56.5/75.5/71.1%) content (p &lt; 0.0001 for all). Despite lower quality of content and information, TikTok videos had the highest mean views (2,418,872) and likes (184,395) (p &lt; 0.0001 for all). HCP vs. non-HCP-made videos were viewed more frequently only on YouTube. Though views and likes were common for all inaccurate and entertainment/advertisement content, they were most characteristic of TikTok and Instagram (p &lt; 0.0001). These results show a high volume of SD video consumption across all platforms, especially those with lower quality and less informative content, and significant content difference across platforms. Additional studies are needed to better characterize online SD educational content and optimize HCP-led video creation and patient video consumption.</t>
  </si>
  <si>
    <t>[Fakhraie, Sheiva; Erickson, Taylor; Chovatiya, Raj] Northwestern Univ, Feinberg Sch Med, Dept Dermatol, 676 N St Clair St,Suite 1600, Chicago, IL 60611 USA</t>
  </si>
  <si>
    <t>Northwestern University; Feinberg School of Medicine</t>
  </si>
  <si>
    <t>Chovatiya, R (corresponding author), Northwestern Univ, Feinberg Sch Med, Dept Dermatol, 676 N St Clair St,Suite 1600, Chicago, IL 60611 USA.</t>
  </si>
  <si>
    <t>raj.chovatiya@gmail.com</t>
  </si>
  <si>
    <t>0340-3696</t>
  </si>
  <si>
    <t>1432-069X</t>
  </si>
  <si>
    <t>ARCH DERMATOL RES</t>
  </si>
  <si>
    <t>Arch. Dermatol. Res.</t>
  </si>
  <si>
    <t>10.1007/s00403-023-02681-8</t>
  </si>
  <si>
    <t>X1KN2</t>
  </si>
  <si>
    <t>WOS:001037302300001</t>
  </si>
  <si>
    <t>Dikranian, L; Vohra, V; Mehrpour, O; Sethuraman, U; Kannikeswaran, N</t>
  </si>
  <si>
    <t>Dikranian, Lea; Vohra, Varun; Mehrpour, Omid; Sethuraman, Usha; Kannikeswaran, Nirupama</t>
  </si>
  <si>
    <t>TikTox - impact of social media challenges on pediatric single use detergent sacs and diphenhydramine ingestions reported to United States poison control centers</t>
  </si>
  <si>
    <t>Pediatric; TikTok challenges; intentional ingestions</t>
  </si>
  <si>
    <t>[Dikranian, Lea; Sethuraman, Usha; Kannikeswaran, Nirupama] Childrens Hosp Michigan, Detroit, MI USA; [Vohra, Varun] Wayne State Univ, Michigan Poison &amp; Drug Informat Ctr, Sch Med, Detroit, MI USA; [Mehrpour, Omid] Rocky Mt Poison &amp; Drug Ctr, Denver, CO USA</t>
  </si>
  <si>
    <t>Children's Hospital of Michigan; Wayne State University</t>
  </si>
  <si>
    <t>lea.dikranian@gmail.com</t>
  </si>
  <si>
    <t>Vohra, Varun/KZU-1857-2024; Dikranian, lea/HMV-2542-2023; Mehrpour, Omid/E-9554-2011</t>
  </si>
  <si>
    <t>Mehrpour, Omid/0000-0002-1070-8841</t>
  </si>
  <si>
    <t>Q6JX9</t>
  </si>
  <si>
    <t>WOS:001058577800324</t>
  </si>
  <si>
    <t>Lee, YF; Chen, CY; Chou, YL; Lin, YH</t>
  </si>
  <si>
    <t>Lee, Yuan-Fu; Chen, Chen-Yueh; Chou, Ya-Lun; Lin, Yi-Hsiu</t>
  </si>
  <si>
    <t>Green Consumer Behavior of Sports Enthusiasts on TikTok-An Analysis of the Moderating Effect of Green Concern</t>
  </si>
  <si>
    <t>BEHAVIORAL SCIENCES</t>
  </si>
  <si>
    <t>green brand image; green word of mouth; customer stickiness; purchase intention; green concern; TikTok</t>
  </si>
  <si>
    <t>WORD-OF-MOUTH; CUSTOMER ENGAGEMENT; BRAND EQUITY; REPURCHASE INTENTION; CONCEPTUAL-FRAMEWORK; USAGE INTENSITY; YOUNG CONSUMERS; IMAGE; IMPACT; MEDIA</t>
  </si>
  <si>
    <t>The short-form video platform TikTok has become highly popular. This study explores how professional sports teams can effectively leverage short-form videos to promote green values such as environmental conservation and sustainable development, thereby capturing user attention and enhancing user engagement. This study primarily aimed to investigate the effects of a green brand image on green word of mouth (WOM), customer stickiness, and consumer purchase intention, with further examination regarding the moderating effect of green concerns on these relationships. Few studies have explored the presence of professional sports teams on TikTok, particularly in the context of green issues. Accordingly, this study adopts a novel method to develop specific and actionable recommendations for professional sports teams who have a presence on social media. Additionally, via the application of the Stimulus-Organism-Response theory, this study explains how the green brand image presented by professional sports teams on TikTok influences the interactive relationships among green WOM, customer stickiness, and consumer purchase intention. This study recruited 600 individuals who were either fans of the Taipei Fubon Braves, which is a team in Taiwan's professional basketball league P.LEAGUE+, or fans of other teams. After a confirmatory factor analysis, structural equation modeling was used to test the hypotheses. The results indicate positive correlations in all tested paths. The green concern of the Taipei Fubon Braves' fans moderated the relationship between green WOM and purchase intention; however, this moderating effect was not identified among the non-Taipei Fubon Braves fans. These findings introduce innovative concepts to the field of marketing, contributing substantially to both practical applications and academic research.</t>
  </si>
  <si>
    <t>[Lee, Yuan-Fu; Chen, Chen-Yueh; Chou, Ya-Lun] Natl Taiwan Sport Univ NTSU, Coll Management, Doctoral Program Transnatl Sport Management &amp; Inno, Taoyuan 333325, Taiwan; [Lin, Yi-Hsiu] Natl Taiwan Univ, Master Program Sport Facil Management &amp; Hlth Promo, Taipei 10617, Taiwan</t>
  </si>
  <si>
    <t>National Taiwan University</t>
  </si>
  <si>
    <t>Chou, YL (corresponding author), Natl Taiwan Sport Univ NTSU, Coll Management, Doctoral Program Transnatl Sport Management &amp; Inno, Taoyuan 333325, Taiwan.;Lin, YH (corresponding author), Natl Taiwan Univ, Master Program Sport Facil Management &amp; Hlth Promo, Taipei 10617, Taiwan.</t>
  </si>
  <si>
    <t>1091703@ntsu.edu.tw; chenchenyueh@ntsu.edu.tw; 1070818@ntsu.edu.tw; shulin909@gmail.com</t>
  </si>
  <si>
    <t>2076-328X</t>
  </si>
  <si>
    <t>BEHAV SCI-BASEL</t>
  </si>
  <si>
    <t>Behav. Sci.</t>
  </si>
  <si>
    <t>10.3390/bs14040285</t>
  </si>
  <si>
    <t>OX3J3</t>
  </si>
  <si>
    <t>WOS:001210534500001</t>
  </si>
  <si>
    <t>Mayagoitia-Soria, A; González-Aguilar, JM; Gómez-García, S; Paz-Rebollo, MA</t>
  </si>
  <si>
    <t>Mayagoitia-Soria, Ana; Manuel Gonzalez-Aguilar, Juan; Gomez-Garcia, Salvador; Antonia Paz-Rebollo, Maria</t>
  </si>
  <si>
    <t>Drop a Bomb on Them . . . and Problem Solved! An Analysis of Poverty Discourse on TikTok</t>
  </si>
  <si>
    <t>critical discourse analysis; hate speech; aporophobia; racism; hate crimes; social networks; TikTok; Spain; comments; sustainable development goals</t>
  </si>
  <si>
    <t>SOCIAL MEDIA; ONLINE HATE; PERSPECTIVES</t>
  </si>
  <si>
    <t>This research analyzes the discursive characteristics of hate messages posted on TikTok Spain against people at risk of social exclusion. Using critical discourse analysis, we analyzed 679 hateful messages generated by 100 videos found about poverty. This method considered the social groups mentioned in those messages, actions attributed to them, the evaluative concepts associated with those actions, and the solutions proposed to eradicate this social problem. We used the qualitative analysis software Atlas.ti to code, categorize, and analyze co-occurrences of derogatory terms. The analysis shows that poverty is linked to migration, laziness, and groups at risk of exclusion. Although insults and degrading terms take on a metaphorical form or are less prevalent, the call to violent action is explicit, openly advocating the extermination of these groups. Underlying these messages is a clear neo-Nazi ideology gaining ground with the advance of the extreme political Right.</t>
  </si>
  <si>
    <t>[Mayagoitia-Soria, Ana; Gomez-Garcia, Salvador; Antonia Paz-Rebollo, Maria] Univ Complutense, Madrid, Spain; [Manuel Gonzalez-Aguilar, Juan] Univ Int La Rioja, Logrono, Spain</t>
  </si>
  <si>
    <t>Mayagoitia-Soria, A (corresponding author), Univ Complutense, Madrid, Spain.</t>
  </si>
  <si>
    <t>anmayago@ucm.es; juanmanuel.gonzalez@unir.net; salvgome@ucm.es; mapazreb@ucm.es</t>
  </si>
  <si>
    <t>Mayagoitia-Soria, Ana/AAA-1636-2019; González-Aguilar, Juan Manuel/CAF-3682-2022</t>
  </si>
  <si>
    <t>WOS:001150575800075</t>
  </si>
  <si>
    <t>Wu, QF; Sang, YS; Wang, DK; Lu, ZC</t>
  </si>
  <si>
    <t>Wu, Qunfang; Sang, Yisi; Wang, Dakuo; Lu, Zhicong</t>
  </si>
  <si>
    <t>Malicious Selling Strategies in Livestream E-commerce: A Case Study of Alibaba's Taobao and ByteDance's TikTok</t>
  </si>
  <si>
    <t>ACM TRANSACTIONS ON COMPUTER-HUMAN INTERACTION</t>
  </si>
  <si>
    <t>Livestream shopping; livestream e-commerce; malicious selling strategy; Taobao; TikTok; Douyin; deception; taxonomy; deceptive design; dark pattern; interview</t>
  </si>
  <si>
    <t>Due to the limitations imposed by the COVID-19 pandemic, customers have shifted their shopping patterns from offline to online. Livestream shopping has become popular as one of the online shopping media. However, various streamers' malicious selling behaviors have been reported. In this research, we sought to explore streamers' malicious selling strategies and understand how viewers perceive these strategies. First, we recorded 40 livestream shopping sessions from two popular livestream platforms in China-Taobao, and TikTok. We identified 16 malicious selling strategies that were used to deceive, coerce, or manipulate viewers and found that platform designs enhanced nine of the malicious selling strategies. Second, through an interview study with 13 viewers, we report three challenges of overcoming malicious selling in relation to imbalanced power between viewers, streamers, and the platforms. We conclude by discussing the policy and design implications of countering malicious selling.</t>
  </si>
  <si>
    <t>[Wu, Qunfang; Sang, Yisi] Syracuse Univ, 900 South Crouse Ave, Syracuse, NY 13244 USA; [Wang, Dakuo] Northeastern Univ, 360 Huntington Ave, Boston, MA 02115 USA; [Lu, Zhicong] City Univ Hong Kong, Kowloon, Y6426,83 Tat Chee Ave, Hong Kong, Peoples R China</t>
  </si>
  <si>
    <t>Syracuse University; Northeastern University; City University of Hong Kong</t>
  </si>
  <si>
    <t>Lu, ZC (corresponding author), City Univ Hong Kong, Kowloon, Y6426,83 Tat Chee Ave, Hong Kong, Peoples R China.</t>
  </si>
  <si>
    <t>qwu114@syr.edu; yisang@syr.edu; d.wang@northeastern.edu; calebluzc08@gmail.com</t>
  </si>
  <si>
    <t>Lu, Zhicong/JRX-3247-2023; WU, Qunfang/AAB-1790-2019; Wang, Dakuo/AAY-7314-2021</t>
  </si>
  <si>
    <t>Wang, Dakuo/0000-0001-9371-9441; Wu, Qunfang/0000-0003-4991-1393; Lu, Zhicong/0000-0002-7761-6351</t>
  </si>
  <si>
    <t>Research Grants Council of Hong Kong; Tencent [9229095]</t>
  </si>
  <si>
    <t>Research Grants Council of Hong Kong(Hong Kong Research Grants Council); Tencent</t>
  </si>
  <si>
    <t>This research was supported in part by the Research Grants Council of Hong Kong and Tencent under grant 9229095.</t>
  </si>
  <si>
    <t>1601 Broadway, 10th Floor, NEW YORK, NY USA</t>
  </si>
  <si>
    <t>1073-0516</t>
  </si>
  <si>
    <t>1557-7325</t>
  </si>
  <si>
    <t>ACM T COMPUT-HUM INT</t>
  </si>
  <si>
    <t>ACM Trans. Comput.-Hum. Interact.</t>
  </si>
  <si>
    <t>10.1145/3577199</t>
  </si>
  <si>
    <t>L0OU8</t>
  </si>
  <si>
    <t>WOS:001020343900002</t>
  </si>
  <si>
    <t>Duval, J; Bertran, FA; Chen, SY; Chu, M; Subramonian, D; Wang, A; Xiang, G; Kurniawan, S; Isbister, K</t>
  </si>
  <si>
    <t>Duval, Jared; Bertran, Ferran Altarriba; Chen, Siying; Chu, Melissa; Subramonian, Divya; Wang, Austin; Xiang, Geoffrey; Kurniawan, Sri; Isbister, Katherine</t>
  </si>
  <si>
    <t>Chasing Play on TikTok from Populations with Disabilities to Inspire Playful and Inclusive Technology Design</t>
  </si>
  <si>
    <t>CHI '21: PROCEEDINGS OF THE 2021 CHI CONFERENCE ON HUMAN FACTORS IN COMPUTING SYSTEMS</t>
  </si>
  <si>
    <t>CHI Conference on Human Factors in Computing Systems</t>
  </si>
  <si>
    <t>MAY 08-13, 2021</t>
  </si>
  <si>
    <t>ACM SIGCHI,Assoc Comp Machinery,Bloomberg,Facebook,Google,Kyocera,Microsoft,Monash Univ,Verizon Media</t>
  </si>
  <si>
    <t>Chasing Play; Populations with Special Needs; Play Potentials; Inclusive Design; Social Media; TikTok; Design Concepts; Disability</t>
  </si>
  <si>
    <t>PARTICIPATORY ACTION RESEARCH; CHILDREN; GAMES; DEFINITION; ADULTS</t>
  </si>
  <si>
    <t>There is an open call for technology to be more playful [5, 79] and for tech design to be more inclusive of people with disabilities [80]. In the era of COVID19, it is often unsafe for the public in general and people with disabilities, in particular, to engage in in-person design exercises using traditional methods. This presents a missed opportunity as these populations are already sharing playful content rich with tacit design knowledge that can be used to inspire the design of playful everyday technology. We present our process of scraping play potentials [4] from TikTok from content creators with disabilities to generate design concepts that may inspire future technology design. We share 7 emerging themes from the scraped content, a catalog of design concepts that may inspire designers, and discuss the relevance of the emerging themes and possible implications for the design concepts.</t>
  </si>
  <si>
    <t>[Duval, Jared; Bertran, Ferran Altarriba; Kurniawan, Sri; Isbister, Katherine] Univ Calif Santa Cruz, Santa Cruz, CA 95064 USA; [Chen, Siying; Chu, Melissa; Subramonian, Divya; Wang, Austin; Xiang, Geoffrey] Univ Calif Santa Cruz, UCSC Summer Internship Program, Santa Cruz, CA 95064 USA</t>
  </si>
  <si>
    <t>University of California System; University of California Santa Cruz; University of California System; University of California Santa Cruz</t>
  </si>
  <si>
    <t>Duval, J (corresponding author), Univ Calif Santa Cruz, Santa Cruz, CA 95064 USA.</t>
  </si>
  <si>
    <t>Jduval@ucsc.edu; faltarri@ucsc.edu; skurnia@ucsc.edu; katherine.isbister@ucsc.edu</t>
  </si>
  <si>
    <t>Chen, Siying/IUP-2697-2023; Subramonian, Divya/AGF-1165-2022; Altarriba Bertran, Ferran/AEM-0267-2022; Duval, Jared/AAW-6739-2020</t>
  </si>
  <si>
    <t>Duval, Jared/0000-0002-5125-0566; Jomhari, Nazean/0000-0002-1609-5353; Altarriba Bertran, Ferran/0000-0002-3692-3777</t>
  </si>
  <si>
    <t>978-1-4503-8096-6</t>
  </si>
  <si>
    <t>10.1145/3411764.3445303</t>
  </si>
  <si>
    <t>Computer Science, Interdisciplinary Applications; Computer Science, Software Engineering; Computer Science, Theory &amp; Methods</t>
  </si>
  <si>
    <t>BS7AU</t>
  </si>
  <si>
    <t>WOS:000758168003057</t>
  </si>
  <si>
    <t>Avella, H</t>
  </si>
  <si>
    <t>Avella, Holly</t>
  </si>
  <si>
    <t>TikTok ≠ therapy: Mediating mental health and algorithmic mood disorders</t>
  </si>
  <si>
    <t>ADHD; affect; charismatic algorithms; influencers; mental health; mood; therapy; TikTok</t>
  </si>
  <si>
    <t>POWER</t>
  </si>
  <si>
    <t>Popular and professional psychology merge to produce novel forms on TikTok-a platform on which therapeutic content grew enormously during the pandemic, rendering it a productive site to examine mediated mental health subjectivities, including ways people come to understand themselves in terms of mental health pathologies. Examining the dynamic interplay of capacities and constraints of therapeutic and algorithmic frameworks reveals ways in which therapeutic roles and rituals are re-negotiated in this space. Therapists utilize memetic tropes of the platform to position themselves within its affective flows, while leveraging beliefs about the algorithm to connect with users. The affective engagement of users' works to curate a stream of content against which mental health and therapeutic frameworks are evaluated, ultimately designating a diagnostic gaze to a charismatic algorithm-a potentially emergent social media case of automated forms becoming paradigmatic in the ways we conceive of mental health and therapy.</t>
  </si>
  <si>
    <t>[Avella, Holly] Rutgers State Univ, Sch Commun &amp; Informat, 4 Huntington St, New Brunswick, NJ 08901 USA</t>
  </si>
  <si>
    <t>Rutgers University System; Rutgers University New Brunswick</t>
  </si>
  <si>
    <t>Avella, H (corresponding author), Rutgers State Univ, Sch Commun &amp; Informat, 4 Huntington St, New Brunswick, NJ 08901 USA.</t>
  </si>
  <si>
    <t>Holly.Avella@Rutgers.edu</t>
  </si>
  <si>
    <t>Avella, Holly/JCE-9213-2023</t>
  </si>
  <si>
    <t>Avella, Holly/0000-0002-9243-3238</t>
  </si>
  <si>
    <t>10.1177/14614448221147284</t>
  </si>
  <si>
    <t>WOS:000913109100001</t>
  </si>
  <si>
    <t>Unni, Z; Weinstein, E</t>
  </si>
  <si>
    <t>Unni, Zoya; Weinstein, Emily</t>
  </si>
  <si>
    <t>Shelter in Place, Connect Online: Trending TikTok Content During the Early Days of the US COVID-19 Pandemic</t>
  </si>
  <si>
    <t>history; 30; 2020; Accepted February 16; COVID-19; TikTok; Social media; Young adults; Adolescents; Health information</t>
  </si>
  <si>
    <t>SELF-COMPASSION; SOCIAL MEDIA</t>
  </si>
  <si>
    <t>Purpose: In the U.S., TikTok surged in popularity as the COVID-19 virus spread nationally. TikTok posts may both reflect and shape young people's perceptions of the pandemic. This mixed methods study applied a uses and gratifications framework to a systematic analysis of trending TikToks related to COVID-19, with attention to changes over a 2-month period. Methods: Analyses are based on an original data set of 2,675 TikToks (529 unique videos across 68 COVID-relevant hashtags) viewed over 2,840,347,014 times. TikToks were tracked daily for 65 days after the beginning of U.S. stay-at-home orders (March 17 to May 20, 2020). A thematic analysis used 28 content codes and nine codes related to subject(s) to examine content patterns. Chi-square tests facilitated analyses of changes over time. Results: Trending TikToks related to COVID-19 most often featured details of everyday circumstances and/or relatable commentary on Pandemic Life. These posts were similarly prevalent in Months 1 and 2. Health-Promoting TikToks outnumbered those exhibiting Risky or Concerning Health Practices (58:13) and were more common in Month 1. Advertisements and sponsored campaigns also shaped trending COVID-relevant content during the study period. Conclusions: On TikTok, public health information appears to coexist with an abundance of commentary about everyday life during the pandemic. Posts arguably reflect documented social media use goals such as information seeking/sharing, archiving, and self-expression. Yet, TikToks during the pandemic period perhaps most often connect to another previously undocumented use goal: a digital search for common humanity in seeing difficult experiences as part of a larger human experience. (c) 2021 Society for Adolescent Health and Medicine. All rights reserved.</t>
  </si>
  <si>
    <t>[Unni, Zoya] Paul D Schreiber High Sch, Port Washington, NY USA; [Weinstein, Emily] Harvard Grad Sch Educ, Project Zero, Longfellow Hall,13 Appian Way,4th Fl, Cambridge, MA 02138 USA</t>
  </si>
  <si>
    <t>Weinstein, E (corresponding author), Harvard Grad Sch Educ, Project Zero, Longfellow Hall,13 Appian Way,4th Fl, Cambridge, MA 02138 USA.</t>
  </si>
  <si>
    <t>emily_weinstein@harvard.edu</t>
  </si>
  <si>
    <t>Unni, Zoya/0000-0001-5790-6450</t>
  </si>
  <si>
    <t>10.1016/j.jadohealth.2021.02.012</t>
  </si>
  <si>
    <t>WOS:000643486900009</t>
  </si>
  <si>
    <t>Peigina, LV; Teplyakova, AO</t>
  </si>
  <si>
    <t>Peigina, Larisa V.; Teplyakova, Anastasia O.</t>
  </si>
  <si>
    <t>DEMOCRATIZATION OF THE PROCESS OF FAN VIDEO PRODUCTION IN THE CONTEXT OF CULTURAL LOGIC OF LATE CAPITALISM</t>
  </si>
  <si>
    <t>VESTNIK TOMSKOGO GOSUDARSTVENNOGO UNIVERSITETA-KULTUROLOGIYA I ISKUSSTVOVEDENIE-TOMSK STATE UNIVERSITY JOURNAL OF CULTURAL STUDIES AND ART HISTORY</t>
  </si>
  <si>
    <t>fandom culture; fan vid; prosumerism; YouTube; TikTok; identity; late capitalism; platform capitalism</t>
  </si>
  <si>
    <t>Relevance of the study. With the spread of the Internet, fans have become so visible that their creativity, practices and perceptions have influenced on popular culture in general. Nowadays, the logic of a convergence culture manifests itself not only at the level of communication or at the level of cultural production, it is embedded in the means of production at the level of technology, automating the process of interaction of fans with platforms in such a way as to provide the platform with the greatest benefit. An analysis of the development of fan vidding across two platforms - YouTube and TikTok - allows us to examine the relationship between fans and media producers in terms of cultural and economic transformations, described in terms of late capitalism and platform capitalism. Purpose. Pick out the features of the transformation and construction of meanings in fan vids of Russian-language fandom culture on two different platforms - YouTube and TikTok. Methods. The research is based on a set of qualitative methods, seeking to integrate ethnographic (participatory observation, questionnaire survey), semiotic and psychoanalytic approaches to the analysis of fan vids. The dialectical method applied to the analysis of the relationship between fans and media producers allows us to describe their development and contradictions. Research result. 1. TikTok - fan vids has a more complex structure, referring to a larger number of contexts, however, the interpretation process itself becomes more standard and algorithmic due to the simplicity of the means and the presence of a large number of unified templates that facilitate instant recognition. 2. TikTok - fan vids is becoming more mainstream and typified - but at the same time is intended to demonstrate the individuality of a person, having standardized mechanisms for expressing this individuality. The built-in author's tag anchors the vidder's connection to their product by associating personal identity with self-expression through the practice of vidding. 3. Due to the simplification of the workflow, fan vids created and / or posted on TikTok, in comparison with YouTube, are more determined by the situational context, they are more focused on a specific audience and are often interactive. User interface features facilitate communication and grouping by interests, strengthening the collective identity of users. Thus, changes in the video creation process and the specifics of a specific site have an impact on the content produced and the culture of vidding itself, changing many key aspects, despite the fact that the techniques used by vidders to the text of the canon remain largely the same. Conclusions. By strengthening the connection between a vidder's identity with its product and the platform itself, TikTok turns identity into a core user exploitation mechanism. At the same time, the complete transformation of fans into passive and exploited consumers also seems to us impossible: this process proceeds as a struggle and must be understood dialectically.</t>
  </si>
  <si>
    <t>[Peigina, Larisa V.; Teplyakova, Anastasia O.] Natl Res Tomsk State Univ, Tomsk, Russia</t>
  </si>
  <si>
    <t>Tomsk State University</t>
  </si>
  <si>
    <t>Peigina, LV (corresponding author), Natl Res Tomsk State Univ, Tomsk, Russia.</t>
  </si>
  <si>
    <t>larisa.mareeva@gmail.com; castalia@inbox.ru</t>
  </si>
  <si>
    <t>Peigina, Larisa/T-3733-2018; Peigina, Larisa/B-2870-2018</t>
  </si>
  <si>
    <t>Peigina, Larisa/0000-0003-0996-8619</t>
  </si>
  <si>
    <t>TOMSK STATE UNIV</t>
  </si>
  <si>
    <t>TOMSK</t>
  </si>
  <si>
    <t>LENIN AVE, 36, TOMSK, 634050, RUSSIA</t>
  </si>
  <si>
    <t>2222-0836</t>
  </si>
  <si>
    <t>2311-3685</t>
  </si>
  <si>
    <t>VESTN TOMSK GOS U KU</t>
  </si>
  <si>
    <t>Vestn. Tomsk. Gos. Univ.-Kulturologiya Iskusstvovedenie</t>
  </si>
  <si>
    <t>10.17223/22220836/44/8</t>
  </si>
  <si>
    <t>YP4AT</t>
  </si>
  <si>
    <t>WOS:000748566700008</t>
  </si>
  <si>
    <t>Ezell, KJ</t>
  </si>
  <si>
    <t>Ezell, Kaitlyn J.</t>
  </si>
  <si>
    <t>COPYRIGHT X TIKTOK: SYNC RIGHTS IN THE DIGITAL AGE</t>
  </si>
  <si>
    <t>NEW YORK UNIVERSITY LAW REVIEW</t>
  </si>
  <si>
    <t>SPEECH</t>
  </si>
  <si>
    <t>Synchronization (sync) licenses are required for works in which music is synchronized to video and generally have high transaction costs because they must be individually negotiated. Traditionally, sync licenses were obtained by sophisticated parties for movies, television, commercials, and the like. But digital platforms like TikTok have brought sync licenses from obscurity into the hands of every person with a smartphone. This transformative innovation has created new issues for copyright law. First, usergenerated content (UGC) created by individuals and shared on the internet via social media platforms or websites may require sync licenses that are cumbersome to negotiate and overinclusive. Private agreements between platforms like TikTok and record labels and publishers usually fill the gap, allowing most users to play music with their videos free from concern about copyright infringement. However, these licenses do not account for copyright's fundamental balance between access and exclusivity because they are overinclusive: Some content on TikTok may be covered by the doctrine of fair use, in which case no license is required. Fair use is an affirmative defense to copyright infringement that permits the defendant to use the copyrighted work without paying the rightsholder. Second, TikTok's agreements with labels and publishers could be eroding fair use. The ex -post nature of fair use means that risk -averse parties, when confronted by a situation in which the viability of their claim is unclear, are likely to obtain a license not required by law. This in turn can narrow the scope of fair use because the existence of an active licensing market makes it less likely that a court will find a use is fair. Future parties then become less likely to rely on an increasingly dubious fair use defense. In the TikTok context, doctrine about fair use and sync is especially uncertain. The scant precedent in UGC fair use cases appears to be highly fact -dependent, there are few cases that specifically deal with sync rights, and none of those have decided fair use as applied to sync. This Note proposes a blanket, compulsory license for noncommercial UGC sync as an imperfect solution to help correct the balance of copyright in the digital platform era. The compulsory license would return review of public copyright law back to Congress and courts and prevent private ordering from curtailing fair use. Further, valuable creativity would be protected because rightsholders would not be able to withhold permission for use of copyrighted material.</t>
  </si>
  <si>
    <t>NEW YORK UNIV SCHOOL LAW</t>
  </si>
  <si>
    <t>110 WEST THIRD ST, NEW YORK, NY 10012 USA</t>
  </si>
  <si>
    <t>0028-7881</t>
  </si>
  <si>
    <t>NEW YORK U LAW REV</t>
  </si>
  <si>
    <t>N. Y. Univ. Law Rev.</t>
  </si>
  <si>
    <t>XL1G8</t>
  </si>
  <si>
    <t>WOS:001261742700003</t>
  </si>
  <si>
    <t>Lovett, JT; Munawar, K; Mohammed, S; Prabhu, V</t>
  </si>
  <si>
    <t>Lovett, Jessica T.; Munawar, Kamran; Mohammed, Sharon; Prabhu, Vinay</t>
  </si>
  <si>
    <t>Radiology Content on TikTok: Current Use of a Novel Video-Based Social Media Platform and Opportunities for Radiology</t>
  </si>
  <si>
    <t>HEALTH INFORMATION; TWITTER; INTERVENTION; EDUCATION; FACEBOOK; VEHICLE</t>
  </si>
  <si>
    <t>Purpose: TikTok, the fastest growing social media application worldwide, has been infrequently studied in medicine. We analyzed the top radiology-related posts on TikTok in order to describe opportunities for radiology engagement. Materials and Methods: We retrieved the top 300 posts meeting the search criteria radiology. User- and post-related data were categorized based on a prespecified coding system. Descriptive statistics were reported. Kruskal-Wallis H and Mann-Whitney U tests were performed to assess for differences in followers, plays, likes, and comments among posts and users. Results: 284 working posts were broadcast by 187 unique users with median 119 followers (interquartile range [IQR]: 31-1,206) and 20 posts (IQR: 7-49). Most (81%, 151/187) were nonphysician radiology personnel, while only 5% (9/187) were radiologists. Posts by radiologists had more plays than those by nonphysician radiology personnel (median 3643 vs 1282, P = 0.001). The 284 posts had median 1520 plays (IQR 429-4374), 60 likes (IQR 18-272), and 2 comments (IQR 0-9). Most posts were work-related (184/284, 65%), followed by clinical (68/284, 24%), personal (30/284, 11%), or promotional (2/284, 1%). However, posts by radiologists were mostly clinical (65%, 31/48) and represented a large majority of posted imaging cases (29/33, 88%). Posts about COVID-19 represented 38% (107/284) of the study sample and 48% (93/193) of posts after the first U.S. COVID-19 case COVID-19 posts had significantly more comments (3 vs. 2, P = 0.034) and more likes approaching significance (89 vs 51, P = 0.134) than non-COVID-19 posts. Conclusions: Though radiologists represent a minority of TikTok users their post represent the majority of this platform's clinical content. This presents an important opportunity for radiologists to utilize TikTok for contemporary, unique content creation and engagement with nonphysician radiology personnel. (C) 2020 Elsevier Inc. All rights reserved.</t>
  </si>
  <si>
    <t>[Lovett, Jessica T.; Munawar, Kamran; Mohammed, Sharon; Prabhu, Vinay] NYU Langone Hlth, Dept Radiol, 660 First Ave, New York, NY 10016 USA</t>
  </si>
  <si>
    <t>Prabhu, V (corresponding author), NYU Langone Hlth, Dept Radiol, 660 First Ave, New York, NY 10016 USA.</t>
  </si>
  <si>
    <t>vinay.prabhu@nyulangone.org</t>
  </si>
  <si>
    <t>Prabhu, Vinay/0000-0002-8933-7392</t>
  </si>
  <si>
    <t>MAR-APR</t>
  </si>
  <si>
    <t>10.1067/j.cpradiol.2020.10.004</t>
  </si>
  <si>
    <t>PV6WZ</t>
  </si>
  <si>
    <t>WOS:000610127600005</t>
  </si>
  <si>
    <t>Lima, J; Santana, M; Correa, A; Brito, K</t>
  </si>
  <si>
    <t>Sabatini, N; Hagen, L; Liao, HC; Cid, DD</t>
  </si>
  <si>
    <t>Lima, Juliana; Santana, Maria; Correa, Andreiwid; Brito, Kellyton</t>
  </si>
  <si>
    <t>The use and impact of TikTok in the 2022 Brazilian presidential election</t>
  </si>
  <si>
    <t>TOGETHER IN THE UNSTABLE WORLD: DIGITAL GOVERNMENT AND SOLIDARITY</t>
  </si>
  <si>
    <t>24th Annual International Conference on Digital Government Research (DGO) - Together in the Unstable World - Digital Government and Solidarity</t>
  </si>
  <si>
    <t>JUL 11-14, 2023</t>
  </si>
  <si>
    <t>Gdansk, POLAND</t>
  </si>
  <si>
    <t>Elsevier,Digital Govt Soc,Gdansk Univ Technol, Res Univ Excellence Initiat,Fdn Lech Walesa Inst,Marshal Pomorskie Voivodeship,President City Gdansk,Rector Gdansk Univ Technol,Gdansk Univ Technol, Fac Management &amp; Econ</t>
  </si>
  <si>
    <t>TikTok; Social Media; Social Network; Elections; Brazil; Government; Democracy</t>
  </si>
  <si>
    <t>SOCIAL MEDIA; CAMPAIGNS; TWITTER</t>
  </si>
  <si>
    <t>The use of social media (SM) platforms in contemporary politics and democracies has been well researched, most particularly the use of Twitter. However, the social media scenario is constantly changing and new platforms frequently appear. This is the case of TikTok, launched in 2016, and already the sixth most popular platform worldwide, and the fourth most used in Brazil. Thus, due to its popularization and the fact that politicians and election candidates have begun to use it, there is a strong need to understand its use and impacts. Within this context, the present study aims to analyze how the main candidates running in the 2022 Brazilian presidential election used their official profiles, how citizens engaged with the candidates' posts, and the possible correlations between a candidate's performance and the votes received. For this, we collected and analyzed all the posts shared by candidates between June and October 30, 2022, the day of the second round. As a result, 576 posts and more than 540 million interactions were analyzed, and our findings show that: (i) candidates used TikTok in a similar manner to how they used Facebook, Twitter and Instagram in the 2018 elections; (ii) strong differences were observed regarding the quality and content of posts made by the observed candidates; (iii) despite having fewer followers, the elected president received 55% of the total interactions; and (iv) for the first round, the share of the number of likes received by the elected candidate was exactly the vote share received in the elections, although this was not repeated in the second round. Due to the recency of this platform and the lack of a broadly open official API for collecting data from this, we believe that this is one of the first studies regarding the analysis of all posts made on TikTok by candidates in a Brazilian presidential election.</t>
  </si>
  <si>
    <t>[Lima, Juliana; Santana, Maria; Brito, Kellyton] Univ Fed Rural Pernambuco, Recife, PE, Brazil; [Correa, Andreiwid] Fed Inst Educ Sci &amp; Technol, Campinas, Brazil</t>
  </si>
  <si>
    <t>Universidade Federal Rural de Pernambuco (UFRPE)</t>
  </si>
  <si>
    <t>Lima, J (corresponding author), Univ Fed Rural Pernambuco, Recife, PE, Brazil.</t>
  </si>
  <si>
    <t>juliana.andresa@ufrpe.br; mariagabrielly.santana@ufrpe.br; andreiwid@ifsp.edu.br; kellyton.brito@ufrpe.br</t>
  </si>
  <si>
    <t>Brito, Kellyton/HPD-5273-2023</t>
  </si>
  <si>
    <t>Brito, Kellyton/0000-0002-6883-8657</t>
  </si>
  <si>
    <t>Fundacao de Amparo a Ciencia e Tecnologia do Estado de Pernambuco - FACEPE [APQ-1235-1.03/21]; Conselho Nacional de Desenvolvimento Cientifico e Tecnologico - CNPQ [PIBIC 133274/2022-5]</t>
  </si>
  <si>
    <t>Fundacao de Amparo a Ciencia e Tecnologia do Estado de Pernambuco - FACEPE(Fundacao de Amparo a Ciencia e Tecnologia do Estado de Pernambuco (FACEPE)); Conselho Nacional de Desenvolvimento Cientifico e Tecnologico - CNPQ(Conselho Nacional de Desenvolvimento Cientifico e Tecnologico (CNPQ))</t>
  </si>
  <si>
    <t>This work is supported by the Fundacao de Amparo a Ciencia e Tecnologia do Estado de Pernambuco - FACEPE under Grant No.: APQ-1235-1.03/21 and Conselho Nacional de Desenvolvimento Cientifico e Tecnologico - CNPQ under Grant No.: PIBIC 133274/2022-5.</t>
  </si>
  <si>
    <t>979-8-4007-0837-4</t>
  </si>
  <si>
    <t>10.1145/3598469.3598485</t>
  </si>
  <si>
    <t>Computer Science, Interdisciplinary Applications; Public Administration; Social Issues</t>
  </si>
  <si>
    <t>Computer Science; Public Administration; Social Issues</t>
  </si>
  <si>
    <t>BV5HB</t>
  </si>
  <si>
    <t>WOS:001048270700016</t>
  </si>
  <si>
    <t>Pomerantz, S</t>
  </si>
  <si>
    <t>Pomerantz, Shauna</t>
  </si>
  <si>
    <t>A TikTok education: post qualitative transformations of the adult/child hierarchy</t>
  </si>
  <si>
    <t>INTERNATIONAL JOURNAL OF QUALITATIVE STUDIES IN EDUCATION</t>
  </si>
  <si>
    <t>Post qualitative inquiry is an immanent approach to research that I engaged during a study on TikTok with my 11-year-old daughter. In this article, I reflect on how its experimental style enabled a provisional escape from the hierarchy of adult/child through lines of flight. I also reflect on how binary thinking that disparages children's knowledge permeated our post qualitative inquiry through my authority as a parent making decisions about my child's social media use and as a university researcher making choices about academic theorizing, writing, and publishing. Rather than view these shifts as dualistic and contradictory, I suggest that post qualitative inquiry involves continuous, inseparable flows of blockage and rupture that create transformation. My TikTok education thus comprised learning about a social media application that matters to my daughter, but also attuning myself to moments of movement and stasis that heightened my desire to slip the confines of the adult/child hierarchy in parenting and research.</t>
  </si>
  <si>
    <t>[Pomerantz, Shauna] Brock Univ, Dept Child &amp; Youth Studies, St Catharines, ON, Canada; [Pomerantz, Shauna] Brock Univ, St Catharines, ON, Canada</t>
  </si>
  <si>
    <t>Brock University; Brock University</t>
  </si>
  <si>
    <t>Pomerantz, S (corresponding author), Brock Univ, St Catharines, ON, Canada.</t>
  </si>
  <si>
    <t>spomerantz@brocku.ca</t>
  </si>
  <si>
    <t>0951-8398</t>
  </si>
  <si>
    <t>1366-5898</t>
  </si>
  <si>
    <t>INT J QUAL STUD EDUC</t>
  </si>
  <si>
    <t>Int. J. Qual. Stud. Educ.</t>
  </si>
  <si>
    <t>APR 20</t>
  </si>
  <si>
    <t>10.1080/09518398.2022.2146774</t>
  </si>
  <si>
    <t>MN1N2</t>
  </si>
  <si>
    <t>WOS:000889507600001</t>
  </si>
  <si>
    <t>Lookingbill, V</t>
  </si>
  <si>
    <t>Lookingbill, Valerie</t>
  </si>
  <si>
    <t>Examining nonsuicidal self-injury content creation on TikTok through qualitative content analysis</t>
  </si>
  <si>
    <t>Nonsuicidal self -injury; TikTok; Content analysis; Information and communications technology; Health information</t>
  </si>
  <si>
    <t>INFORMATION POVERTY; INDIVIDUALS; DISCOURSE; LITERACY; SECRET</t>
  </si>
  <si>
    <t>Qualitative content analysis is a methodological approach for the subjective interpretation of data. Using empirical research to illustrate the methodological advantages and disadvantages of qualitative content analysis, this article examines the suitability of qualitative content analysis for the field of LIS and illustrates how the method can be used to inform LIS information practices research of marginalized populations through emerging information and communication technologies (ICTs). Specifically, this article examines the suitability of qualitative content analysis through its application in an ongoing study exploring how individuals who engage in nonsuicidal self-injury circumnavigate algorithmic exclusion in the emerging ICT TikTok. Qualitative content analysis can advance LIS research and practice by refuting deficit thinking and understanding information creation practices in context. Methodological shortcomings relate to the reduction of data and the inability to determine cause-and-effect relationships. The author recommends that researchers supplement qualitative content analysis with additional qualitative approaches to address these limitations.</t>
  </si>
  <si>
    <t>[Lookingbill, Valerie] Univ South Carolina, 1322 Greene St, Columbia, SC 29208 USA</t>
  </si>
  <si>
    <t>University of South Carolina System; University of South Carolina Columbia</t>
  </si>
  <si>
    <t>Lookingbill, V (corresponding author), Univ South Carolina, 1322 Greene St, Columbia, SC 29208 USA.</t>
  </si>
  <si>
    <t>10.1016/j.lisr.2022.101199</t>
  </si>
  <si>
    <t>9C7FG</t>
  </si>
  <si>
    <t>WOS:000935578300005</t>
  </si>
  <si>
    <t>Nugraha, YD; Suliyanto; Permana, RMT; Azib; Hadiarti, D</t>
  </si>
  <si>
    <t>Nugraha, Yudha Dwi; Suliyanto, Suliyanto; Permana, Rezi Muhamad Taufik; Azib; Hadiarti, Deno</t>
  </si>
  <si>
    <t>Impulsive purchase behaviour of Z generation of Muslim women on TikTok shop: the application of S-O-R framework</t>
  </si>
  <si>
    <t>JOURNAL OF ISLAMIC MARKETING</t>
  </si>
  <si>
    <t>Designed impulse purchase intention; Hedonic browsing; Micro-celebrities post authenticity; Reminiscence impulse purchase intention; Utilitarian browsing</t>
  </si>
  <si>
    <t>BUYING BEHAVIOR; SOCIAL MEDIA; STORE ENVIRONMENT; MOBILE COMMERCE; CONSUMER; UTILITARIAN; CELEBRITY; MODEL; MOOD; FLOW</t>
  </si>
  <si>
    <t>Purpose - The purpose of this study is to investigate the impulsive purchase of Generation Z of Muslim women on TikTok Shop. The primary attention in this stimulation investigation drives the impulsive buying between the Generation Z of Muslim women customers in Indonesia. This study provides valuable concept to help a company or cosmetic brand grow the marketing strategy for stimulating impulsive behaviour of Generation Z customers on TikTok Shop. Design/methodology/approach - An online survey of 256 Muslim women consumers of the Generation Z was used to collect the data. Covariance-based structural equation modelling was applied to assess the five hypotheses. Findings - The results of this study indicate that micro-celebrities post authenticity has a positive and significant relationship with utilitarian browsing. However, micro-celebrities post authenticity did not have a positive and significant relationship with hedonic browsing. This study also concludes that utilitarian browsing was found to have a positive and significant relationship with hedonic browsing. Finally, hedonic browsing was found to have a positive and significant effect on reminiscence impulse purchase intention and designed impulse purchase intention. Research limitations/implications - The primary limitation is the research sample that only consists of Indonesian TikTok Shop customers. Next, the researchers could examine the research model in several countries to expand its generalisation. The second one, this research does not consider the origin country of a cosmetic product. The future study must investigate the local and foreign cosmetics to see the preference and the differences in the impulsive purchase, especially for Z women generation customer. Third, this study quantifies the intention to buy impulsively so that the following research must investigate the ownership of the cosmetics product that has been bought before. Finally, the research only involves a quantitative research method. The future study must investigate with another approach, such as a qualitative method or mixed-method, in the impulsive purchase intention context. Practical implications - A cosmetic company or marketer could maximise the authenticity, relevancy and attractive information that is posted by micro media social celebrities or media social influencers. Cosmetic companies or marketers must provide comprehensive information to satisfy customers' browsing actions. Finally, besides the information related to the limited cosmetics product stock, discount and promotion as the effective strategy to stimulate the impulsive buying, the cosmetics marketing can use gamification, increasing the picture quality and equipping product descriptions, and making educational content. Social implications - The existence of TikTok Shop is increasing the number of cosmetics products and competitors because of product's excessive availability in the market. In the social benefit context, the Generation Z Muslim women can purchase and use various cosmetics product available on TikTok Shop, but customers must be on guard by knowing the cosmetics material to prevent the healthiness. In addition, the existence of TikTok Shop and the impulsive purchases by the Generation Z Muslim women are also increasing the retailer or local cosmetics producer income. Originality/value - This study is a contribution to consumer behaviour literature by raising the Stimulus-Organism-Response framework used in determining the factors influencing browsing and impulsive consumption of cosmetic products on TikTok Shop.</t>
  </si>
  <si>
    <t>[Nugraha, Yudha Dwi; Permana, Rezi Muhamad Taufik; Azib] Univ Islam Bandung, Fac Econ &amp; Business, Dept Management, Bandung, Indonesia; [Suliyanto, Suliyanto] Univ Jenderal Soedirman, Fac Econ &amp; Business, Purwokerto, Indonesia; [Hadiarti, Deno] Univ Islam Bandung, Dept Management, Bandung, Indonesia</t>
  </si>
  <si>
    <t>Universitas Jenderal Soedirman</t>
  </si>
  <si>
    <t>Nugraha, YD (corresponding author), Univ Islam Bandung, Fac Econ &amp; Business, Dept Management, Bandung, Indonesia.</t>
  </si>
  <si>
    <t>yudhadwinugraha@unisba.ac.id; suli_yanto@yahoo.com; rezimuhamadtaufik@unisba.ac.id; azib_asroi@yahoo.co.id; deno.hadiarti07@gmail.com</t>
  </si>
  <si>
    <t>Nugraha, Yudha/AAH-8523-2021</t>
  </si>
  <si>
    <t>Dwi Nugraha, Yudha/0000-0002-9992-4777</t>
  </si>
  <si>
    <t>Lembaga Penelitian dan Pengabdian Kepada Masyarakat Universitas Islam Bandung (LPPM - UNISBA) [067/B.04/LPPM/XII/2021]</t>
  </si>
  <si>
    <t>Lembaga Penelitian dan Pengabdian Kepada Masyarakat Universitas Islam Bandung (LPPM - UNISBA)</t>
  </si>
  <si>
    <t>The authors would like to thank the JIMA Editor-in-Chief, the Section Editors, and the anonymous reviewers for their cogent feedback, which was very helpful in improving our research. The authors are grateful for the financial support provided by the Lembaga Penelitian dan Pengabdian Kepada Masyarakat Universitas Islam Bandung (LPPM - UNISBA), with an Agreement Letter 067/B.04/LPPM/XII/2021.</t>
  </si>
  <si>
    <t>1759-0833</t>
  </si>
  <si>
    <t>1759-0841</t>
  </si>
  <si>
    <t>J ISLAMIC MARK</t>
  </si>
  <si>
    <t>J. Islamic Mark.</t>
  </si>
  <si>
    <t>JAN 23</t>
  </si>
  <si>
    <t>10.1108/JIMA-06-2022-0182</t>
  </si>
  <si>
    <t>FO1E2</t>
  </si>
  <si>
    <t>WOS:001029462200001</t>
  </si>
  <si>
    <t>Psihogios, AM; Ahmed, AM; McKelvey, ER; Toto, D; Avila, I; Hekimian-Brogan, E; Steward, Z; Schwartz, LA; Barakat, LP</t>
  </si>
  <si>
    <t>Psihogios, Alexandra M.; Ahmed, Annisa M.; McKelvey, Elise R.; Toto, Daniella; Avila, Isabella; Hekimian-Brogan, Elodie; Steward, Zachary; Schwartz, Lisa A.; Barakat, Lamia P.</t>
  </si>
  <si>
    <t>Social Media to Promote Treatment Adherence Among Adolescents and Young Adults With Chronic Health Conditions: A Topical Review and TikTok Application</t>
  </si>
  <si>
    <t>CLINICAL PRACTICE IN PEDIATRIC PSYCHOLOGY</t>
  </si>
  <si>
    <t>social media; adolescent; young adult; adherence; cancer</t>
  </si>
  <si>
    <t>SELF-MANAGEMENT; MISINFORMATION; INTERVENTION; FACEBOOK; CARE; APP</t>
  </si>
  <si>
    <t>Objective: Social media is a large facet of contemporary culture, particularly for adolescents and young adults (AYAs). Likewise, digital health interventions have proliferated. Yet understanding of how social media can be leveraged to deliver empirically informed adherence interventions is more limited. This topical review provides a synthesis of literature related to improving AYA treatment adherence through social media approaches. To illustrate a clinical application, we describe an initiative that codeveloped and codisseminated adherence education with AYAs with cancer via TikTok. Methods: Literature searches were conducted on databases including PubMed and PsycINFO, using keywords such as adolescents or young adults; social media; and adherence, self-management, or health. Adherence TikTok videos were developed through user-centered design approaches with AYAs with cancer and clinicians/staff. Results: Results from the review suggested that AYAs use social media to research general health information and obtain support. Research-derived adherence-promotion interventions with social-media-like features appear to be acceptable, and some have led to improvements in adherence. Our process of translating empirically informed adherence education to TikTok was rapid and low cost and obtained 30,797 views. Conclusions: Social media has great promise for advancing the uptake and reach of evidence-based adherence care for AYAs. We highlight opportunities for advancing current clinical practices and future research in this area, including forming clinical partnerships with AYAs to disseminate credible adherence content via the social media platforms that are already part of their daily technology use.</t>
  </si>
  <si>
    <t>[Psihogios, Alexandra M.; Ahmed, Annisa M.; McKelvey, Elise R.; Toto, Daniella; Schwartz, Lisa A.; Barakat, Lamia P.] Childrens Hosp Philadelphia, Div Oncol, Philadelphia, PA USA; [Psihogios, Alexandra M.; Barakat, Lamia P.] Univ Penn, Perelman Sch Med, Dept Psychiat &amp; Pediat, Philadelphia, PA USA; [Avila, Isabella; Hekimian-Brogan, Elodie; Steward, Zachary] AYA Canc Community Members, Philadelphia, PA USA; [Schwartz, Lisa A.] Univ Penn, Perelman Sch Med, Dept Pediat, Philadelphia, PA USA; [Psihogios, Alexandra M.] Northwestern Univ, Feinberg Sch Med, Dept Med Social Sci, 625 North Michigan Ave, Chicago, IL 60611 USA</t>
  </si>
  <si>
    <t>University of Pennsylvania; Pennsylvania Medicine; Childrens Hospital of Philadelphia; University of Pennsylvania; University of Pennsylvania; Northwestern University; Feinberg School of Medicine</t>
  </si>
  <si>
    <t>Psihogios, AM (corresponding author), Northwestern Univ, Feinberg Sch Med, Dept Med Social Sci, 625 North Michigan Ave, Chicago, IL 60611 USA.</t>
  </si>
  <si>
    <t>alex.psihogios@northwestern.edu</t>
  </si>
  <si>
    <t>Psihogios, Alexandra/0000-0002-4111-1191</t>
  </si>
  <si>
    <t>National Cancer Institute [K08CA241335]; Mattie Miracle Cancer Foundation</t>
  </si>
  <si>
    <t>National Cancer Institute(United States Department of Health &amp; Human ServicesNational Institutes of Health (NIH) - USANIH National Cancer Institute (NCI)); Mattie Miracle Cancer Foundation</t>
  </si>
  <si>
    <t>Data from this topical review and clinical initiative have not been presented or published elsewhere. The authors have no conflicts of interest. The adherence clinical initiative was supported by residual funds from a grant entitled Real-Time Medication Adherence Assessments Among Adolescents and Young Adults With Leukemia from the Mattie Miracle Cancer Foundation. The writing of this article was supported by a grant from the National Cancer Institute (K08CA241335).</t>
  </si>
  <si>
    <t>EDUCATIONAL PUBLISHING FOUNDATION-AMERICAN PSYCHOLOGICAL ASSOC</t>
  </si>
  <si>
    <t>750 FIRST ST, NE, WASHINGTON, DC 20002-4242 USA</t>
  </si>
  <si>
    <t>2169-4826</t>
  </si>
  <si>
    <t>2169-4834</t>
  </si>
  <si>
    <t>CLIN PRACT PEDIAT PS</t>
  </si>
  <si>
    <t>Clin. Pract. Pediatr. Psychol.</t>
  </si>
  <si>
    <t>10.1037/cpp0000459</t>
  </si>
  <si>
    <t>Psychology, Clinical; Psychology, Developmental</t>
  </si>
  <si>
    <t>6S8KB</t>
  </si>
  <si>
    <t>WOS:000893230700009</t>
  </si>
  <si>
    <t>Manca, S; Marino, F; Taibi, D</t>
  </si>
  <si>
    <t>Manca, Stefania; Marino, Francesco; Taibi, Davide</t>
  </si>
  <si>
    <t>'Could we possibly see your tattoo? If not that's totally fine!' Holocaust survivors' playful activism on TikTok</t>
  </si>
  <si>
    <t>MEMORY STUDIES</t>
  </si>
  <si>
    <t>Holocaust distortion; Holocaust survivors; online activism; social media; TikTok</t>
  </si>
  <si>
    <t>SOCIAL MEDIA; MEMORY; GERMANY</t>
  </si>
  <si>
    <t>Over the past few years, digitalisation has led to the development of new forms of Holocaust memory, with advances in digital technology reshaping and introducing alternative ways of remembering, understanding and representing the Holocaust. The purpose of this study is to examine how three Holocaust survivors - Lily Ebert (100), Gidon Lev (88) and Tova Friedman (85) - share their firsthand experiences on TikTok by segmenting traumatic memories using the platforms' audio-visual aesthetic and adapting their testimonies for the attention spans of young users. Based on 1-year content production and detailed analysis of 84 videos across the three profiles, a mixed-methods approach was applied to identify how each survivor interacts with their 'fans' using a unique communication style and with distinct goals. The results of the multimodal analysis show that the three survivors are engaged in meaningful acts of playful online activism on the memory of the Holocaust by bringing testimony and daily life together, in order to protect historical facts and combat antisemitism and Holocaust distortion.</t>
  </si>
  <si>
    <t>[Manca, Stefania; Taibi, Davide] Italian Natl Res Council, Inst Educ Technol, Via Marini 16, I-16149 Genoa, Italy; [Marino, Francesco] Univ Palermo, Palermo, Italy</t>
  </si>
  <si>
    <t>Consiglio Nazionale delle Ricerche (CNR); Istituto per le Tecnologie Didattiche (ITD-CNR); University of Palermo</t>
  </si>
  <si>
    <t>Manca, S (corresponding author), Italian Natl Res Council, Inst Educ Technol, Via Marini 16, I-16149 Genoa, Italy.</t>
  </si>
  <si>
    <t>manca@itd.cnr.it</t>
  </si>
  <si>
    <t>Manca, Stefania/E-5575-2014</t>
  </si>
  <si>
    <t>Manca, Stefania/0000-0002-0348-7139</t>
  </si>
  <si>
    <t>1750-6980</t>
  </si>
  <si>
    <t>1750-6999</t>
  </si>
  <si>
    <t>MEM STUD</t>
  </si>
  <si>
    <t>Mem. Stud.</t>
  </si>
  <si>
    <t>2024 APR 26</t>
  </si>
  <si>
    <t>10.1177/17506980241247266</t>
  </si>
  <si>
    <t>Cultural Studies; History</t>
  </si>
  <si>
    <t>OQ6Z8</t>
  </si>
  <si>
    <t>WOS:001208792400001</t>
  </si>
  <si>
    <t>Hartwig, K; Biselli, T; Schneider, F; Reuter, C</t>
  </si>
  <si>
    <t>Hartwig, Katrin; Biselli, Tom; Schneider, Franziska; Reuter, Christian</t>
  </si>
  <si>
    <t>From Adolescents' Eyes: Assessing an Indicator-Based Intervention to Combat Misinformation on TikTok</t>
  </si>
  <si>
    <t>misinformation; disinformation; fake news; user intervention; teenagers; adolescents; social media; video-sharing platforms</t>
  </si>
  <si>
    <t>FAKE NEWS; INFORMATION; CHILDREN; ABILITY; MEDIA</t>
  </si>
  <si>
    <t>Misinformation poses a recurrent challenge for video-sharing platforms (VSPs) like TikTok. Obtaining user perspectives on digital interventions addressing the need for transparency (e.g., through indicators) is essential. This article offers a thorough examination of the comprehensibility, usefulness, and limitations of an indicator-based intervention from an adolescents' perspective. This study (N = 39; aged 13-16 years) comprised two qualitative steps: (1) focus group discussions and (2) think-aloud sessions, where participants engaged with a smartphone-app for TikTok. The results offer new insights into how video-based indicators can assist adolescents' assessments. The intervention received positive feedback, especially for its transparency, and could be applicable to new content. This paper sheds light on how adolescents are expected to be experts while also being prone to video-based misinformation, with limited understanding of an intervention's limitations. By adopting teenagers' perspectives, we contribute to HCI research and provide new insights into the chances and limitations of interventions for VSPs.</t>
  </si>
  <si>
    <t>[Hartwig, Katrin; Biselli, Tom; Schneider, Franziska; Reuter, Christian] Tech Univ Darmstadt, Sci &amp; Technol Peace &amp; Secur PEASEC, Darmstadt, Germany</t>
  </si>
  <si>
    <t>Technical University of Darmstadt</t>
  </si>
  <si>
    <t>Hartwig, K (corresponding author), Tech Univ Darmstadt, Sci &amp; Technol Peace &amp; Secur PEASEC, Darmstadt, Germany.</t>
  </si>
  <si>
    <t>hartwig@peasec.tu-darmstadt.de; biselli@peasec.tu-darmstadt.de; franziska.schneider@stud.tu-darmstadt.de; reuter@peasec.tu-darmstadt.de</t>
  </si>
  <si>
    <t>Reuter, Christian/AAM-6435-2020</t>
  </si>
  <si>
    <t>Reuter, Christian/0000-0003-1920-038X</t>
  </si>
  <si>
    <t>German Federal Ministry for Education and Research (BMBF) [13N16361, 13N16636]; German Federal Ministry of Education and Research; Hessian Ministry of Higher Education, Research, Science and the Arts within their joint support of the National Research Center for Applied Cybersecurity ATHENE</t>
  </si>
  <si>
    <t>German Federal Ministry for Education and Research (BMBF)(Federal Ministry of Education &amp; Research (BMBF)); German Federal Ministry of Education and Research(Federal Ministry of Education &amp; Research (BMBF)); Hessian Ministry of Higher Education, Research, Science and the Arts within their joint support of the National Research Center for Applied Cybersecurity ATHENE</t>
  </si>
  <si>
    <t>This work was supported by the German Federal Ministry for Education and Research (BMBF) in the project NEBULA (13N16361) and in the project CYLENCE (13N16636), and by the German Federal Ministry of Education and Research and the Hessian Ministry of Higher Education, Research, Science and the Arts within their joint support of the National Research Center for Applied Cybersecurity ATHENE. We sincerely thank the Haus der digitalen Medienbildung, the Institut fur Medienpadagogik und Kommunikation Hessen e.V., and the Jugendzentrum Martinsviertel, along with the teachers and students whose guidance and participation played a crucial role in enhancing the quality of our study.</t>
  </si>
  <si>
    <t>10.1145/3613904.3642264</t>
  </si>
  <si>
    <t>WOS:001255317906048</t>
  </si>
  <si>
    <t>Vicente-Fernández, P; Díaz-Lucena, A</t>
  </si>
  <si>
    <t>Vicente-Fernandez, Pilar; Diaz-Lucena, Antonio</t>
  </si>
  <si>
    <t>TikTok as a digital marketing tool: Freshly Cosmetics brand case study</t>
  </si>
  <si>
    <t>DOXA COMUNICACION</t>
  </si>
  <si>
    <t>Beauty; Freshly Cosmetics; social media; TikTok; advertising</t>
  </si>
  <si>
    <t>The beauty products market in Spain is one of the most important in the world. Its high consumption pushes brands to invest more in advertising to be present in all media. The digital communication strategy of the Spanish beauty brand Freshly Cosmetics on TikTok is analyzed, based on a hypothesis that supports a significant change of strategy between 2021 and 2022 in this social network. The reasons behind this possible movement are investigated using a mixed approach that combines quantitative and qualitative techniques applied to a time frame spanning from January 2021 to October 2022. Specifically, the impact and interaction of the brand's publications with its audience are evaluated and a content analysis of 121 publications is carried out by choosing 36 variables that are coded in the SPSS program to find out their frequencies and percentages. These findings, complemented by a semi-structured interview with its communication manager, underline the use of the digital platform as a showcase through which to enhance the brand values and bet on quality content, reducing the promotional component characteristic of the initiation stage.</t>
  </si>
  <si>
    <t>[Vicente-Fernandez, Pilar; Diaz-Lucena, Antonio] Univ Rey Juan Carlos, Fac Ciencias Comunicac, Dept Comunicac Audiovisual &amp; Publ, Madrid, Spain</t>
  </si>
  <si>
    <t>Vicente-Fernández, P (corresponding author), Univ Rey Juan Carlos, Fac Ciencias Comunicac, Dept Comunicac Audiovisual &amp; Publ, Madrid, Spain.</t>
  </si>
  <si>
    <t>pilar.vicente@urjc.es; antonio.diaz@urjc.es</t>
  </si>
  <si>
    <t>Díaz-Lucena, Antonio/GLU-6595-2022; Vicente-Fernández, Pilar/AAA-1327-2022</t>
  </si>
  <si>
    <t>UNIV SAN PABLO, FAC HUMANIDADES &amp; CIENCIAS COMUNICACION</t>
  </si>
  <si>
    <t>BOADILLA DEL MONTE</t>
  </si>
  <si>
    <t>PASEO DE JUAN XXIII 6, BOADILLA DEL MONTE, 28040, SPAIN</t>
  </si>
  <si>
    <t>1696-019X</t>
  </si>
  <si>
    <t>2386-3978</t>
  </si>
  <si>
    <t>DOXA COMUN</t>
  </si>
  <si>
    <t>Doxa Comun.</t>
  </si>
  <si>
    <t>10.31921/doxacom.n38a1962</t>
  </si>
  <si>
    <t>LC3M8</t>
  </si>
  <si>
    <t>WOS:001184541000013</t>
  </si>
  <si>
    <t>Nilsson, G</t>
  </si>
  <si>
    <t>Nilsson, Gabriella</t>
  </si>
  <si>
    <t>Our Boy Whitey: Middle-Aged Women's Happy Object on TikTok</t>
  </si>
  <si>
    <t>TikTok; sexual desire; middle age; aging; fandom; happy object; gifting; live streaming; emotion; affect; community; digital economy</t>
  </si>
  <si>
    <t>OLDER</t>
  </si>
  <si>
    <t>This article provides an example of how middle-aged women rediscover and express emotions in digital media, mainly sexual desire but also the joy they feel among like-minded women of the same age. The ethnographic case is a community of European and North American women aged around 40 to 60 years who sexually desire 20-year-old TikTok celebrity William White. White went viral when he began lip-syncing to 1980s hits, particularly Barry Manilow's Mandy while performing his flirtatious signature moves: the smile, the wink, and the eye roll. This study is based on 6 months of daily lurking in a digital community the women call Whiteyynation, structured around White's accounts on various digital platforms. In trying to understand the meaning and function of a young male TikTok'er in the lives of middle-aged women, with Sara Ahmed's theory of emotions, I describe how happy objects align individuals in a social community toward happiness. Specifically, I analyze how White, through a playful capitalization of 1980s music combined with a certain flirtatious look, functions as a happy object that is multiplied, magnified, and circulated in Whiteyynation. I explore the circumstances and conditions surrounding Whiteyynation as an affective space and affective economy, such as the production and distribution of self-produced content, gifting as a strategy for increased reciprocity, and the various currencies at play.</t>
  </si>
  <si>
    <t>[Nilsson, Gabriella] Lund Univ, Dept Arts &amp; Cultural Sci, Div Ethnol, Box 192, S-22100 Lund, Sweden</t>
  </si>
  <si>
    <t>Lund University</t>
  </si>
  <si>
    <t>Nilsson, G (corresponding author), Lund Univ, Dept Arts &amp; Cultural Sci, Div Ethnol, Box 192, S-22100 Lund, Sweden.</t>
  </si>
  <si>
    <t>gabriella.nilsson@kultur.lu.se</t>
  </si>
  <si>
    <t>Nilsson, Gabriella/0000-0001-7995-6838</t>
  </si>
  <si>
    <t>Swedish Research Council</t>
  </si>
  <si>
    <t>Swedish Research Council(Swedish Research Council)</t>
  </si>
  <si>
    <t>The author(s) disclosed receipt of the following financial support for the research, authorship, and/or publication of this article: This paper was written as part of Influencer Lifeworlds: New Work in a Changing Time, a project financed by the Swedish Research Council, 2020-2024.</t>
  </si>
  <si>
    <t>10.1177/20563051241269307</t>
  </si>
  <si>
    <t>A7D7J</t>
  </si>
  <si>
    <t>WOS:001284111500001</t>
  </si>
  <si>
    <t>Shin, D; Jitkajornwanich, K</t>
  </si>
  <si>
    <t>Shin, Donghee; Jitkajornwanich, Kulsawasd</t>
  </si>
  <si>
    <t>How Algorithms Promote Self-Radicalization: Audit of TikTok's Algorithm Using a Reverse Engineering Method</t>
  </si>
  <si>
    <t>radicalization pipeline; algorithm auditing; self-radicalization; loop effects; algorithmic extremism</t>
  </si>
  <si>
    <t>Algorithmic radicalization is the idea that algorithms used by social media platforms push people down digital rabbit holes by framing personal online activity. Algorithms control what people see and when they see it and learn from their past activities. As such, people gradually and subconsciously adopt the ideas presented to them by the rabbit hole down which they have been pushed. In this study, TikTok's role in fostering radicalized ideology is examined to offer a critical analysis of the state of radicalism and extremism on platforms. This study conducted an algorithm audit of the role of radicalizing information in social media by examining how TikTok's algorithms are being used to radicalize, polarize, and spread extremism and societal instability. The results revealed that the pathways through which users access far-right content are manifold and that a large portion of the content can be ascribed to platform recommendations through radicalization pipelines. Algorithms are not simple tools that offer personalized services but rather contributors to radicalism, societal violence, and polarization. Such personalization processes have been instrumental in how artificial intelligence (AI) has been deployed, designed, and used to the detrimental outcomes that it has generated. Thus, the generation and adoption of extreme content on TikTok are, by and large, not only a reflection of user inputs and interactions with the platform but also the platform's ability to slot users into specific categories and reinforce their ideas.</t>
  </si>
  <si>
    <t>[Shin, Donghee; Jitkajornwanich, Kulsawasd] Texas Tech Univ, Lubbock, TX USA</t>
  </si>
  <si>
    <t>Texas Tech University System; Texas Tech University</t>
  </si>
  <si>
    <t>Shin, D (corresponding author), Texas Tech Univ, Coll Media &amp; Commun, 3003 15th St, Lubbock, TX 79409 USA.</t>
  </si>
  <si>
    <t>don.h.shin@ttu.edu</t>
  </si>
  <si>
    <t>Jitkajornwanich, Kulsawasd/G-2621-2018</t>
  </si>
  <si>
    <t>Jitkajornwanich, Kulsawasd/0000-0002-6926-7577</t>
  </si>
  <si>
    <t>10.1177/08944393231225547</t>
  </si>
  <si>
    <t>A2P3C</t>
  </si>
  <si>
    <t>WOS:001280995300012</t>
  </si>
  <si>
    <t>Sheikh-Oleslami, S; Tuen, YJ; Courtemanche, R; Hynes, S</t>
  </si>
  <si>
    <t>Sheikh-Oleslami, Sara; Tuen, Young Ji; Courtemanche, Rebecca; Hynes, Sally</t>
  </si>
  <si>
    <t>A Review and Quality Assessment of TikTok Videos for Burn Education</t>
  </si>
  <si>
    <t>burns; education; prevention; social media; first aid</t>
  </si>
  <si>
    <t>HEALTH INFORMATION; INTERVENTION; EPIDEMIOLOGY; YOUTUBE</t>
  </si>
  <si>
    <t>Social media platforms can serve as a readily accessible tool for burn education, potentially reducing the incidence and severity of burn injuries. Previous studies have investigated the quality of online burn education videos on platforms such as YouTube. Here, we review the quality of such videos on TikTok, a newer and rapidly growing platform. TikTok was searched for English videos using 29 keywords (hashtags) such as #burn, #education, #prevention, and #management. The first 30 videos per hashtag were screened. Videos were categorized by content and creator. Two independent reviewers assessed the quality of the included videos using the Global Quality Scale (GQS). Metrics such as views, commentary, and likes were also examined. Of 535 screened videos, 72 met inclusion criteria. 47% (n = 34) were on management, 33% (n = 31) education, and 10% (n = 7) prevention. Only 6% (n = 4) cited sources. The median GQS score was 3.0 (IQR: 2.0-3.0, max 4.0). 50% (n = 36) were made by healthcare professionals with a median GQS score of 3.0 (IQR: 2.0-3.0, max 4.0) compared to 2.0 (IQR: 2.0-3.0, max 4.0) in nonhealthcare professionals (n = 36). Viewership varied from 41 to 4.2 million views. Overall, there is a lack of high-quality educational information on TikTok. This rapidly expanding and dynamic platform may provide an opportunity to direct individuals to higher quality resources.</t>
  </si>
  <si>
    <t>[Sheikh-Oleslami, Sara] Univ British Columbia, Fac Med, Vancouver, BC V6T 1Z3, Canada; [Tuen, Young Ji; Courtemanche, Rebecca; Hynes, Sally] Univ British Columbia, Div Plast Surg, Vancouver, BC V6H 3V4, Canada; [Tuen, Young Ji; Courtemanche, Rebecca; Hynes, Sally] British Columbia Childrens Hosp, Vancouver, BC V6H 3V4, Canada</t>
  </si>
  <si>
    <t>Hynes, S (corresponding author), Univ British Columbia, Div Plast Surg, Vancouver, BC V6H 3V4, Canada.;Hynes, S (corresponding author), British Columbia Childrens Hosp, Vancouver, BC V6H 3V4, Canada.</t>
  </si>
  <si>
    <t>sally.hynes@cw.bc.ca</t>
  </si>
  <si>
    <t>Sheikh-Oleslami, Sara/0000-0001-9074-8255; Courtemanche, Rebecca/0000-0002-8805-3670</t>
  </si>
  <si>
    <t>JAN 5</t>
  </si>
  <si>
    <t>10.1093/jbcr/irad150</t>
  </si>
  <si>
    <t>ED6H2</t>
  </si>
  <si>
    <t>WOS:001104634700001</t>
  </si>
  <si>
    <t>Su, CH; Zhou, H; Gong, LY; Teng, BY; Geng, FJ; Hu, YZ</t>
  </si>
  <si>
    <t>Su, Conghui; Zhou, Hui; Gong, Liangyu; Teng, Binyu; Geng, Fengji; Hu, Yuzheng</t>
  </si>
  <si>
    <t>Viewing personalized video clips recommended by TikTok activates default mode network and ventral tegmental area</t>
  </si>
  <si>
    <t>NEUROIMAGE</t>
  </si>
  <si>
    <t>Problematic TikTok use; Default mode network; Self-control; Recommender system; Personalized videos; Ventral tegmental area</t>
  </si>
  <si>
    <t>MEDIAL PREFRONTAL CORTEX; POSTERIOR CINGULATE CORTEX; SELF-CONTROL; INTERNET ADDICTION; AUTOBIOGRAPHICAL MEMORY; SOCIAL COGNITION; NEURAL MECHANISMS; DECISION-MAKING; BRAIN ACTIVITY; DOPAMINE</t>
  </si>
  <si>
    <t>Cutting-edge recommendation algorithms have been widely used by media platforms to suggest users with personalized content. While such user-specific recommendations may satisfy users' needs to obtain intended information, some users may develop a problematic use pattern manifested by addiction-like undesired behaviors. Using a popular video sharing and recommending platform (TikTok) as an example, the present study first characterized use-related undesired behaviors with a questionnaire, then investigated how personally recommended videos modulated brain activity with an fMRI experiment. We found more undesired symptoms were related to lower self-control ability among young adults, and about 5.9% of TikTok users may have significant problematic use. The fMRI results showed higher brain activations in sub-components of the default mode network (DMN), ventral tegmental area, and discrete regions including lateral prefrontal, anterior thalamus, and cerebellum when viewing personalized videos in contrast to non-personalized ones. Psychophysiological interaction analyses revealed stronger coupling between activated DMN subregions and neural pathways underlying auditory and visual processing, as well as the frontoparietal network. This study highlights the functional heterogeneity of DMN in viewing personalized videos and may shed light on the neural underpinnings of how recommendation algorithms are able to keep the user's attention to suggested contents.</t>
  </si>
  <si>
    <t>[Su, Conghui; Zhou, Hui; Gong, Liangyu; Teng, Binyu; Hu, Yuzheng] Zhejiang Univ, Dept Psychol &amp; Behav Sci, Hangzhou 310027, Peoples R China; [Geng, Fengji] Zhejiang Univ, Coll Educ, Dept Curriculum &amp; Learning Sci, Hangzhou 310058, Peoples R China</t>
  </si>
  <si>
    <t>Zhejiang University; Zhejiang University</t>
  </si>
  <si>
    <t>Hu, YZ (corresponding author), Zhejiang Univ, Dept Psychol &amp; Behav Sci, Hangzhou 310027, Peoples R China.</t>
  </si>
  <si>
    <t>huyuzheng@zju.edu.cn</t>
  </si>
  <si>
    <t>gong, liangyu/KEE-7750-2024; Geng, Fengji/KHW-7032-2024</t>
  </si>
  <si>
    <t>Zhou, Hui/0000-0001-8467-8676</t>
  </si>
  <si>
    <t>National Natural Science Foundation of China [81971245, 62077042]</t>
  </si>
  <si>
    <t>We would like to thank Dan Wang for the collection of experimental data and Jiawen Zhang for E-prime programming. This study is supported by the National Natural Science Foundation of China (grant numbers: 81971245 and 62077042).</t>
  </si>
  <si>
    <t>1053-8119</t>
  </si>
  <si>
    <t>1095-9572</t>
  </si>
  <si>
    <t>Neuroimage</t>
  </si>
  <si>
    <t>AUG 15</t>
  </si>
  <si>
    <t>10.1016/j.neuroimage.2021.118136</t>
  </si>
  <si>
    <t>Neurosciences; Neuroimaging; Radiology, Nuclear Medicine &amp; Medical Imaging</t>
  </si>
  <si>
    <t>TH0LI</t>
  </si>
  <si>
    <t>WOS:000671785900015</t>
  </si>
  <si>
    <t>Vitale, SG; Angioni, S; Saponara, S; Sicilia, G; Etrusco, A; D'Alterio, MN; Cobellis, L; De Franciscis, P; Riemma, G</t>
  </si>
  <si>
    <t>Vitale, Salvatore Giovanni; Angioni, Stefano; Saponara, Stefania; Sicilia, Gilda; Etrusco, Andrea; D'Alterio, Maurizio Nicola; Cobellis, Luigi; De Franciscis, Pasquale; Riemma, Gaetano</t>
  </si>
  <si>
    <t>TikTok as a platform for hysteroscopy information: An analytical video-based cross-sectional study to assess quality, reliability, and accuracy</t>
  </si>
  <si>
    <t>INTERNATIONAL JOURNAL OF GYNECOLOGY &amp; OBSTETRICS</t>
  </si>
  <si>
    <t>healthcare professionals; hysteroscopy; internet; misinformation; patients; quality; reliability; social media; TikTok; video</t>
  </si>
  <si>
    <t>YOUTUBE; WOMEN</t>
  </si>
  <si>
    <t>Objective To assess the quality, reliability, and level of misinformation in TikTok videos about hysteroscopy. Methods A cross-sectional analysis of TikTok videos retrieved using hysteroscopy as search term was performed. Patient education materials assessment tool for audio-visual content (PEMAT A/V), the modified DISCERN (mDISCERN), global quality scale (GQS), video information and quality index (VIQI) and misinformation assessment were used. Results Of three hundred videos captured, 156 were excluded and 144 were included. Most videos were partially accurate or uninformative (43.8% and 34.7%, respectively). Non-healthcare providers produced more inaccurate or uninformative videos than healthcare workers (51.1% vs 4.0%; P &lt; 0.001). Compared to content by professionals, content by patients showed increased distrust towards gynecologists (11.7% vs 0%; P = 0.012) and increased incidence of anxiety and concern towards hysteroscopy (25.5% vs 2%; P &lt; 0.001). PEMAT A/V scores for understandability and actionability were low at 42.9% (interquartile range [IQR]: 11.1-70) and 0% (IQR: 0-0), respectively. Understandability (P &lt; 0.001) and actionability (P = 0.001) were higher for professionals' created content relative to patients' videos. Similarly, median mDISCERN score was low (1 [IQR 0-2]), with significantly higher score for healthcare professionals compared to patients (P &lt; 0.001). Overall video quality was also low, with median VIQI and GQS score of 7 (IQR 4-11) and 1 (IQR 1-3), respectively, and significantly higher scores for healthcare workers' captions compared to patients' for both (P &lt; 0.001 and P = 0.001, respectively). Conclusion TikTok videos' quality on hysteroscopy seems unsatisfactory and misinformative, with low understandability and actionability scores. Videos recorded by healthcare workers show higher quality and less misinformation than those by patients. Raising the awareness regarding the low quality of medical information on social media is crucial to increase future reliability and trustworthiness.</t>
  </si>
  <si>
    <t>[Vitale, Salvatore Giovanni; Angioni, Stefano; Saponara, Stefania; Sicilia, Gilda] Univ Cagliari, Dept Surg Sci, Div Gynecol &amp; Obstet, Cagliari, Italy; [Etrusco, Andrea] Univ Palermo, Dept Hlth Promot Mother &amp; Child Care, Internal Med &amp; Med Specialties PROMISE, Palermo, Italy; [Etrusco, Andrea] Paolo Giaccone Hosp, Unit Obstet &amp; Gynecol, Palermo, Italy; [D'Alterio, Maurizio Nicola; Cobellis, Luigi; De Franciscis, Pasquale; Riemma, Gaetano] Univ Campania Luigi Vanvitelli, Dept Woman Child &amp; Gen &amp; Specialized Surg, Obstet &amp; Gynecol Unit, Naples, Italy</t>
  </si>
  <si>
    <t>University of Cagliari; University of Palermo; University of Palermo; Policlinico Paolo Giaccone; Universita della Campania Vanvitelli</t>
  </si>
  <si>
    <t>Riemma, G (corresponding author), Univ Campania Luigi Vanvitelli, Dept Woman Child &amp; Gen &amp; Specialized Surg, Largo Madonna della Grazie 1, I-80138 Naples, Italy.</t>
  </si>
  <si>
    <t>gaetano.riemma7@gmail.com</t>
  </si>
  <si>
    <t>Riemma, Gaetano/JAC-8368-2023; Etrusco, Andrea/KIA-7860-2024; Saponara, Stefania/JAO-5137-2023</t>
  </si>
  <si>
    <t>Riemma, Gaetano/0000-0003-3676-7716</t>
  </si>
  <si>
    <t>0020-7292</t>
  </si>
  <si>
    <t>1879-3479</t>
  </si>
  <si>
    <t>INT J GYNECOL OBSTET</t>
  </si>
  <si>
    <t>Int. J. Gynecol. Obstet.</t>
  </si>
  <si>
    <t>10.1002/ijgo.15846</t>
  </si>
  <si>
    <t>C3S1T</t>
  </si>
  <si>
    <t>WOS:001288579100001</t>
  </si>
  <si>
    <t>Wawrzuta, D; Klejdysz, J; Jaworski, M; Gotlib, J; Panczyk, M</t>
  </si>
  <si>
    <t>Wawrzuta, Dominik; Klejdysz, Justyna; Jaworski, Mariusz; Gotlib, Joanna; Panczyk, Mariusz</t>
  </si>
  <si>
    <t>Attitudes toward COVID-19 Vaccination on Social Media: A Cross-Platform Analysis</t>
  </si>
  <si>
    <t>VACCINES</t>
  </si>
  <si>
    <t>Twitter; Facebook; Instagram; TikTok; social media; COVID-19 vaccine; vaccine hesitancy; public health</t>
  </si>
  <si>
    <t>BELIEFS; TWITTER</t>
  </si>
  <si>
    <t>During the COVID-19 pandemic, social media content analysis allowed for tracking attitudes toward newly introduced vaccines. However, current evidence is limited to single social media platforms. Our objective was to compare arguments used by anti-vaxxers in the context of COVID-19 vaccines across Facebook, Twitter, Instagram, and TikTok. We obtained the data set of 53,671 comments regarding COVID-19 vaccination published between August 2021 and February 2022. After that, we established categories of anti-vaccine content, manually classified comments, and compared the frequency of occurrence of the categories between social media platforms. We found that anti-vaxxers on social media use 14 categories of arguments against COVID-19 vaccines. The frequency of these categories varies across different social media platforms. The anti-vaxxers' activity on Facebook and Twitter is similar, focusing mainly on distrust of government and allegations regarding vaccination safety and effectiveness. Anti-vaxxers on TikTok mainly focus on personal freedom, while Instagram users encouraging vaccination often face criticism suggesting that vaccination is a private matter that should not be shared. Due to the differences in vaccine sentiment among users of different social media platforms, future research and educational campaigns should consider these distinctions, focusing more on the platforms popular among adolescents (i.e., Instagram and TikTok).</t>
  </si>
  <si>
    <t>[Wawrzuta, Dominik; Jaworski, Mariusz; Gotlib, Joanna; Panczyk, Mariusz] Med Univ Warsaw, Dept Educ &amp; Res Hlth Sci, Zwirki i Wigury 81, PL-02091 Warsaw, Poland; [Klejdysz, Justyna] Ludwig Maximilian Univ Munich LMU, Dept Econ, Geschwister Scholl Pl 1, D-80539 Munich, Germany; [Klejdysz, Justyna] Ifo Inst, Poschinger Str 5, D-81679 Munich, Germany</t>
  </si>
  <si>
    <t>Medical University of Warsaw; University of Munich; Ifo Institut</t>
  </si>
  <si>
    <t>Wawrzuta, D (corresponding author), Med Univ Warsaw, Dept Educ &amp; Res Hlth Sci, Zwirki i Wigury 81, PL-02091 Warsaw, Poland.</t>
  </si>
  <si>
    <t>dominik.wawrzuta@wum.edu.pl; klejdysz@ifo.de; mariusz.jaworski@wum.edu.pl; joanna.gotlib@wum.edu.pl; mariusz.panczyk@wum.edu.pl</t>
  </si>
  <si>
    <t>Jaworski, Mariusz/K-1777-2019; Gotlib, Joanna/GXV-6313-2022; Wawrzuta, Dominik/ABB-1890-2021; Panczyk, Mariusz/B-4412-2011</t>
  </si>
  <si>
    <t>Klejdysz, Justyna/0000-0002-7295-0617; Jaworski, Mariusz/0000-0002-5207-8323; Panczyk, Mariusz/0000-0003-1830-2114; Gotlib, Joanna/0000-0002-2717-7741; Wawrzuta, Dominik/0000-0002-0846-8906</t>
  </si>
  <si>
    <t>Polish National Agency for Academic Exchange [BPN/GIN/2021/1/00020/U/DRAFT/00001]</t>
  </si>
  <si>
    <t>Polish National Agency for Academic Exchange(Polish National Agency for Academic Exchange (NAWA))</t>
  </si>
  <si>
    <t>This research was funded by Polish National Agency for Academic Exchange, grant number BPN/GIN/2021/1/00020/U/DRAFT/00001.</t>
  </si>
  <si>
    <t>2076-393X</t>
  </si>
  <si>
    <t>VACCINES-BASEL</t>
  </si>
  <si>
    <t>Vaccines</t>
  </si>
  <si>
    <t>10.3390/vaccines10081190</t>
  </si>
  <si>
    <t>Immunology; Medicine, Research &amp; Experimental</t>
  </si>
  <si>
    <t>Immunology; Research &amp; Experimental Medicine</t>
  </si>
  <si>
    <t>4A7LO</t>
  </si>
  <si>
    <t>WOS:000845278100001</t>
  </si>
  <si>
    <t>How Modern Witches Enchant TikTok: Intersections of Digital, Consumer, and Material Culture(s) on #WitchTok</t>
  </si>
  <si>
    <t>Contemporary Paganism; Witchcraft; social media; digital religion; TikTok; WitchTok; material religion; consumer capitalism</t>
  </si>
  <si>
    <t>PAGAN; RELIGION; ALTARS; MEDIA</t>
  </si>
  <si>
    <t>WitchTok describes a sub-section of the social media platform TikTok, which caters to Contemporary Pagans and other practitioners of modern Witchcraft. Through short micro-videos, users share snapshots of their lives, providing a window into their religious identities and practices. Through a qualitative analysis of videos and comments, this exploratory study examines how modern Witches engage with religion through this digital space. Although this platform is wholly virtual, WitchTok is also eminently material. Through sharing and commenting on videos of spells, potions, altars, and other practices, users engage with a range of material objects. By announcing the magical properties of materials, instructing how to use certain objects, and advising where items can be found, WitchTok reveals how Witches conceptualize materiality and magic. The promotion of products, businesses, and personal brands in this space also reveals how Witchcraft is shaped by consumerism. In contrast to scholars who distinguish between traditional Witchcraft and consumerist Witches, I argue that WitchTok highlights the complex entanglements of Witchcraft with consumer capitalism.</t>
  </si>
  <si>
    <t>[Miller, Chris] Univ Waterloo, Religious Studies Dept, Waterloo, ON N2L 3G1, Canada</t>
  </si>
  <si>
    <t>University of Waterloo</t>
  </si>
  <si>
    <t>Miller, C (corresponding author), Univ Waterloo, Religious Studies Dept, Waterloo, ON N2L 3G1, Canada.</t>
  </si>
  <si>
    <t>10.3390/rel13020118</t>
  </si>
  <si>
    <t>ZN0CT</t>
  </si>
  <si>
    <t>WOS:000764714100001</t>
  </si>
  <si>
    <t>Singleton, J; Wantuch, GA</t>
  </si>
  <si>
    <t>Singleton, Jerica; Wantuch, Gwendolyn A.</t>
  </si>
  <si>
    <t>Evaluation of TikTok social media posts on side effect information for popular weight loss medications</t>
  </si>
  <si>
    <t>JOURNAL OF THE AMERICAN COLLEGE OF CLINICAL PHARMACY</t>
  </si>
  <si>
    <t>health knowledge; semaglutide; side effect; social media; weight loss</t>
  </si>
  <si>
    <t>Introduction: The prevalence of overweight and obesity is increasing in America, contributing to various health risks. Glucagon-like peptide-1 (GLP-1) and gastric inhibitory peptide (GIP) receptor agonists have bloomed in popularity due to their efficacy and United States Food and Drug Administration (FDA) approval for weight loss, igniting popularity on social media. This study focuses on the role of TikTok (TM) (ByteDance, Haidian, Beijing, China), a popular social media platform, in disseminating understandable and actionable information about the side effects of weight loss medications. Methods: The study analyzed the top 50 TikTok videos for each of the following hashtags: #ozempicsideeffects, #semaglutidesideeffects, #mounjarosideeffects, and #wegovysideeffects. Videos were evaluated based on their understandability and actionability using the Patient Education Materials Assessment Tool (PEMAT) for audio-visual (AV) products. PEMAT-AV scores and popularity of videos were compared between hashtags utilizing one-way analysis of variance (ANOVA). An alpha of 0.05 was used, with Bonferroni correction. Results: A total of 165 videos were reviewed for PEMAT-AV understandability and actionability scores. The total visibility of the videos reached over 19.4 million views. A majority of the videos were personal experiences (89%), with only 5% being health care education videos. The average understandability and actionability scores for all videos were 43% and 20%, respectfully. The data presented a difference between searched hashtags for both evaluation scores, p-values of &lt;0.001 and 0.093, respectively. Conclusion: TikTok videos covering weight loss medication side effects have poor understandability and actionability scores. This study highlights the opportunity for more educational videos produced by health care professionals on TikTok, and a potential need for health care organizations and/or colleges of pharmacy to provide education to health care providers on how to create quality content for medication education on social media-based platforms. Further research is needed to evaluate the credibility of content.</t>
  </si>
  <si>
    <t>[Singleton, Jerica; Wantuch, Gwendolyn A.] Univ S Florida, Taneja Coll Pharm, Dept Pharmacotherapeut &amp; Clin Res, Tampa, FL USA</t>
  </si>
  <si>
    <t>Singleton, J (corresponding author), Univ S Florida, Taneja Coll Pharm, 12901 Bruce B Downs Blvd MDC 30, Tampa, FL 33612 USA.</t>
  </si>
  <si>
    <t>jmsingl2@usf.edu</t>
  </si>
  <si>
    <t>Singleton, Jerica/0000-0002-6046-1517</t>
  </si>
  <si>
    <t>2574-9870</t>
  </si>
  <si>
    <t>J AM COLL CLIN PHARM</t>
  </si>
  <si>
    <t>J. Am. Coll. Clin. Pharm.</t>
  </si>
  <si>
    <t>10.1002/jac5.2035</t>
  </si>
  <si>
    <t>J4D5W</t>
  </si>
  <si>
    <t>WOS:001336588200001</t>
  </si>
  <si>
    <t>Marynak, KL; Robichaud, MO; Puryear, T; Kennedy, RD; Moran, MB</t>
  </si>
  <si>
    <t>Marynak, Kristy L.; Robichaud, Meagan O.; Puryear, Tyler; Kennedy, Ryan D.; Moran, Meghan B.</t>
  </si>
  <si>
    <t>#Nicotineaddiction on TikTok: A quantitative content analysis of top-viewed posts</t>
  </si>
  <si>
    <t>TOBACCO INDUCED DISEASES</t>
  </si>
  <si>
    <t>social media nicotine; addiction e-cigarettes</t>
  </si>
  <si>
    <t>TOBACCO PRODUCT USE; UNITED-STATES; YOUNG-ADULTS; ADDICTION; MESSAGES; ALCOHOL</t>
  </si>
  <si>
    <t>INTRODUCTION TikTok, the video-sharing app popular among youth, is a source of user-generated content about nicotine addiction with the potential to endorse or deter nicotine use among young viewers. We systematically analyzed content and themes of TikTok posts tagged #nicotineaddiction. METHODS We conducted a quantitative content analysis of the visual and textual content of the 149 top-viewed English-language TikTok posts tagged #nicotineaddiction as of 1 March 2021. Posts were double-coded using a shared codebook, noting content creator characteristics, nicotine products featured, references to quitting, and overall themes of #nicotineaddiction expressed. We assessed the prevalence of post characteristics and themes overall and by apparent age of content creators (aged &gt;= 21 years versus &lt;21 years). RESULTS The 149 posts analyzed received a mean and median of 62433 and 15800 likes, respectively. E-cigarettes were referenced or featured in 75% of posts; 58% featured a specific nicotine product brand, most commonly Puff Bar (23% of total) and JUUL (19%). Overall, 22% of posts mentioned quitting nicotine. The top themes of #nicotineaddiction expressed were physical or psychological consequences (e.g. withdrawal symptoms, 46%), physical or psychological benefits (e.g. tasting good, feeling 'buzzed', 28%), and social benefits (e.g. bonding with fellow users, 28%). Compared to those aged &gt;= 21 years, posts by content creators likely &lt;21 years (26%) less commonly mentioned quitting (p&lt;0.01), had fewer followers (p&lt;0.01), were more commonly from Canada (p&lt;0.01) and less commonly from the US (p&lt;0.01), and more commonly featured JUUL (p&lt;0.05). CONCLUSIONS While reaching a large and engaged audience, TikTok content creators suggest a range of benefits and consequences of nicotine addiction. Future research is warranted to examine this content's potential to influence young people's intentions to use or quit nicotine products.</t>
  </si>
  <si>
    <t>[Marynak, Kristy L.; Robichaud, Meagan O.; Puryear, Tyler; Kennedy, Ryan D.; Moran, Meghan B.] Johns Hopkins Univ, Bloomberg Sch Publ Hlth, Dept Hlth Behav &amp; Soc, 615 N Wolfe St, Baltimore, MD 21205 USA</t>
  </si>
  <si>
    <t>Marynak, KL (corresponding author), Johns Hopkins Univ, Bloomberg Sch Publ Hlth, Dept Hlth Behav &amp; Soc, 615 N Wolfe St, Baltimore, MD 21205 USA.</t>
  </si>
  <si>
    <t>Robichaud, Meagan/KEE-8826-2024; Kennedy, Ryan David/U-3794-2017</t>
  </si>
  <si>
    <t>Robichaud, Meagan/0000-0001-5488-7899; Kennedy, Ryan David/0000-0002-9448-5234; Marynak, Kristy/0000-0002-3385-6468</t>
  </si>
  <si>
    <t>Meghan Bridgid Moran, holds an Innovation in Regulatory Science Award from the Burroughs Wellcome Fund. Ryan D. Kennedy's research was also supported by this award. The other authors received no external funding. The Burroughs Wellcome fund had no role in the design and conduct of the study.</t>
  </si>
  <si>
    <t>EUROPEAN PUBLISHING</t>
  </si>
  <si>
    <t>HERAKLION</t>
  </si>
  <si>
    <t>SCIENCE &amp; TECHNOLGY PARK CRETE, (STEP-C), N PLASTIRA 100, VASSILIKA VOUTWN, HERAKLION, CRETE 00000, GREECE</t>
  </si>
  <si>
    <t>1617-9625</t>
  </si>
  <si>
    <t>TOB INDUC DIS</t>
  </si>
  <si>
    <t>Tob. Induc. Dis.</t>
  </si>
  <si>
    <t>10.18332/tid/151868</t>
  </si>
  <si>
    <t>3P1GR</t>
  </si>
  <si>
    <t>WOS:000837289400001</t>
  </si>
  <si>
    <t>On research and hope, in an America aflame: sketching youth civic futures as a mother and a researcher</t>
  </si>
  <si>
    <t>JOURNAL OF CHILDREN AND MEDIA</t>
  </si>
  <si>
    <t>Youth online political expression; civic engagement; social media; TikTok; civic imagination</t>
  </si>
  <si>
    <t>[Literat, Ioana] Columbia Univ, Teachers Coll, New York, NY 10027 USA</t>
  </si>
  <si>
    <t>Literat, I (corresponding author), Columbia Univ, Teachers Coll, New York, NY 10027 USA.</t>
  </si>
  <si>
    <t>1748-2798</t>
  </si>
  <si>
    <t>1748-2801</t>
  </si>
  <si>
    <t>J CHILD MEDIA</t>
  </si>
  <si>
    <t>J. Child. Media</t>
  </si>
  <si>
    <t>10.1080/17482798.2020.1858904</t>
  </si>
  <si>
    <t>Communication; Social Sciences, Interdisciplinary</t>
  </si>
  <si>
    <t>Communication; Social Sciences - Other Topics</t>
  </si>
  <si>
    <t>QV2PU</t>
  </si>
  <si>
    <t>WOS:000627819600026</t>
  </si>
  <si>
    <t>Saygili, S; Gezer, I; Oner, HS; Tuna-Ince, EB; Kasimoglu, Y</t>
  </si>
  <si>
    <t>Saygili, Selin; Gezer, Ilke; Oner, Hatice Sena; Tuna-Ince, Elif Bahar; Kasimoglu, Yelda</t>
  </si>
  <si>
    <t>Evaluation of the reliability and accuracy of YouTube™ and TikTok™ contents about storage media for avulsed teeth: A cross-sectional study</t>
  </si>
  <si>
    <t>DENTAL TRAUMATOLOGY</t>
  </si>
  <si>
    <t>avulsed tooth; guideline adherence; milk; video-audio media</t>
  </si>
  <si>
    <t>TRAUMA MANAGEMENT AWARENESS; QUALITY; INFORMATION; MILK</t>
  </si>
  <si>
    <t>Background/Aims: The preservation of avulsed teeth is critical in dental trauma management, necessitating effective storage media to ensure viable tooth reimplantation. The urgent need for accurate information has led both professional and non-professional individuals to increasingly seek guidance from video-sharing platforms such as YouTube (TM) and TikTok (TM). These platforms have become key resources for advice on such dental emergencies, but the reliability and accuracy of this information have not yet been systematically evaluated. This study aimed to assess the quality, accuracy, and reliability YouTube (TM) and TikTok (TM) of videos regarding storage solutions for avulsion injuries. Material and Methods: A search was conducted on YouTube (TM) and TikTok (TM) on February 4th, 2023, using terms related to traumatic dental injuries, and 53 videos were included. Video demographics such as platform, duration, type, upload date, likes, and comments were recorded. Video content quality, reliability, and accuracy were measured using the Global Quality Scale (GQS), Journal of the American Medical Association (JAMA) benchmarks, and Video Information and Quality Index (VIQI). Research data were analyzed using SPSS IBM 24.0 at a 95% confidence interval. Results: In total, 53 videos were examined. The average scores were JAMA: 1.70/4.00, modified DISCERN: 54.3/80.00, GQS: 3.88/5.00, and VIQI: 13.8/20.00. According to the modified DISCERN index, there were no very poor or poor quality videos, 49.05% were moderate, 22.6% were good, and 28.3% were very good. No difference was found between YouTube (TM) and TikTok (TM) videos in terms of the modified DISCERN index, JAMA scores, GQS, and VIQI scoring (p &gt; .05). Conclusions: Traumatic dental injuries are a common problem among children, and evaluating the reliability of available contents is becoming crucial for appropriate intervention. The study reveals that despite being sourced mainly from dental professionals, the overall quality of videos on avulsed tooth management was mediocre, underscoring the risks associated with misleading or incomplete information in such critical situations.</t>
  </si>
  <si>
    <t>[Saygili, Selin; Gezer, Ilke; Oner, Hatice Sena] Istanbul Univ, Inst Grad Studies Hlth Sci, Prof Dr Cavit Orhan Tutengil St 4, TR-34116 Istanbul, Turkiye; [Tuna-Ince, Elif Bahar; Kasimoglu, Yelda] Istanbul Univ, Dept Pedodont, Istanbul, Turkiye</t>
  </si>
  <si>
    <t>Istanbul University; Istanbul University</t>
  </si>
  <si>
    <t>Saygili, S (corresponding author), Istanbul Univ, Inst Grad Studies Hlth Sci, Prof Dr Cavit Orhan Tutengil St 4, TR-34116 Istanbul, Turkiye.</t>
  </si>
  <si>
    <t>selinkaratasli@ogr.iu.edu.tr</t>
  </si>
  <si>
    <t>Gezer, İlke/HGU-5068-2022; Kasımoğlu, Yelda/V-6411-2019</t>
  </si>
  <si>
    <t>1600-4469</t>
  </si>
  <si>
    <t>1600-9657</t>
  </si>
  <si>
    <t>DENT TRAUMATOL</t>
  </si>
  <si>
    <t>Dent. Traumatol.</t>
  </si>
  <si>
    <t>10.1111/edt.12952</t>
  </si>
  <si>
    <t>NE2C9</t>
  </si>
  <si>
    <t>WOS:001198702300001</t>
  </si>
  <si>
    <t>Bakota, E</t>
  </si>
  <si>
    <t>Bakota, Erica</t>
  </si>
  <si>
    <t>Commentary on: Elkhazeen A, Poulos C, Zhang X, Cavanaugh J, Cain M. A TikTok™ Benadryl challenge death-A case report and review of the literature.</t>
  </si>
  <si>
    <t>[Bakota, Erica] US FDA, ORA ORS Kansas City Human &amp; Anim Food Lab, Lenexa, KS USA; [Bakota, Erica] US FDA, ORA ORS Kansas City Human &amp; Anim Food Lab, 10749 West 84th Terrace, Lenexa, KS 66214 USA</t>
  </si>
  <si>
    <t>US Food &amp; Drug Administration (FDA); US Food &amp; Drug Administration (FDA)</t>
  </si>
  <si>
    <t>Bakota, E (corresponding author), US FDA, ORA ORS Kansas City Human &amp; Anim Food Lab, 10749 West 84th Terrace, Lenexa, KS 66214 USA.</t>
  </si>
  <si>
    <t>erica.bakota@fda.hhs.gov</t>
  </si>
  <si>
    <t>10.1111/1556-4029.15307</t>
  </si>
  <si>
    <t>K7UY6</t>
  </si>
  <si>
    <t>WOS:001008543300001</t>
  </si>
  <si>
    <t>Basch, CH; Hillyer, GC; Yalamanchili, B; Morris, A</t>
  </si>
  <si>
    <t>Basch, Corey H.; Hillyer, Grace C.; Yalamanchili, Bhavya; Morris, Aldean</t>
  </si>
  <si>
    <t>How TikTok Is Being Used to Help Individuals Cope With Breast Cancer: Cross-sectional Content Analysis</t>
  </si>
  <si>
    <t>JMIR CANCER</t>
  </si>
  <si>
    <t>TikTok; breast cancer; social media; short video apps; social support; content analysis; video; patient support; medical information; health information; peer support; online conversation; online health information</t>
  </si>
  <si>
    <t>QUALITY-OF-LIFE; SOCIAL SUPPORT; WOMEN; MEDIA; MISINFORMATION; TIME</t>
  </si>
  <si>
    <t>Background: Acknowledging the popularity of TikTok, how quickly medical information can spread, and how users seek support on social media, there is a clear lack of research on breast cancer conversations on TikTok. There is a paucity of information on how these videos can advocate for those impacted by breast cancer as a means to provide support and information as well as raise awareness.Objective: The purpose of this cross-sectional content analysis was to describe the content of videos from the hashtag #breastcancer on TikTok. Content related to breast cancer support and coping, cancer education, and heightening the awareness of breast cancer early detection, prevention, and treatment was evaluated.Methods: This study included 100 of the most viewed TikTok videos related to breast cancer through June 30, 2022. Videos were excluded if they were not in the English language or relevant to the topic being studied. Content was deductively coded into categories related to video characteristics and content topics using a screener based on expert breast cancer information sheets. Univariable analyses were conducted to evaluate differences in video characteristics and content when stratified as advocating or not advocating for breast cancer (yes or no) support, education, and awareness.Results: The cumulative number of views of the videos included in this study was 369,504,590. The majority (n=81, 81%) of videos were created by patients and loved ones of individuals with breast cancer, and the most commonly discussed topic was breast cancer support (n=88, 88%), followed by coping with the myriad issues surrounding breast cancer (n=79, 79%). Overall, &lt;50% of the videos addressed important issues such as body image (n=48, 48%), surgery (n=46, 46%), medication and therapy (n=41, 41%), or the stigma associated with a breast cancer diagnosis (n=44, 44%); however, in videos that were advocacy oriented, body image (40/62, 64% vs 8/38, 21%; P&lt;.001), stigma associated with breast cancer (33/62, 53% vs 11/38, 29%; P=.02), and breast cancer surgery (36/62, 58% vs 10/38, 26%; P=.002) were discussed significantly more often than in videos that did not specifically advocate for breast cancer.Conclusions: The use of videos to display health journeys can facilitate engagement by patients, family members, and loved ones interested in information about challenging conditions. Collectively, these findings highlight the level of peer-to-peer involvement on TikTok and may provide insights for designing breast cancer educational campaigns.</t>
  </si>
  <si>
    <t>[Basch, Corey H.; Yalamanchili, Bhavya; Morris, Aldean] William Paterson Univ, Dept Publ Hlth, Wayne, NJ USA; [Hillyer, Grace C.] Columbia Univ, Mailman Sch Publ Hlth, Dept Epidemiol, New York, NY USA; [Basch, Corey H.] William Paterson Univ, Dept Publ Hlth, 300 Pompton Rd, Wayne, NJ 07470 USA</t>
  </si>
  <si>
    <t>Columbia University</t>
  </si>
  <si>
    <t>Hillyer, Grace/AAF-5599-2020</t>
  </si>
  <si>
    <t>Basch, Corey H/0000-0003-4862-4229; Yalamanchili, Bhavya/0000-0002-8660-3907; Clarke Hillyer, Grace/0000-0003-0467-075X; Morris, Aldean/0000-0003-1887-2870</t>
  </si>
  <si>
    <t>2369-1999</t>
  </si>
  <si>
    <t>JMIR Cancer</t>
  </si>
  <si>
    <t>e42245</t>
  </si>
  <si>
    <t>10.2196/42245</t>
  </si>
  <si>
    <t>F6DD6</t>
  </si>
  <si>
    <t>WOS:000983220900006</t>
  </si>
  <si>
    <t>Gupta, AK; Faour, S; Wang, T; Ravi, SP; Talukder, M</t>
  </si>
  <si>
    <t>Gupta, Aditya K.; Faour, Sara; Wang, Tong; Ravi, Shruthi Polla; Talukder, Mesbah</t>
  </si>
  <si>
    <t>Pattern hair loss and health care professionals: How well are we connecting with our audience?</t>
  </si>
  <si>
    <t>hair loss; Instagram; social media; TikTok; YouTube</t>
  </si>
  <si>
    <t>SOCIAL MEDIA; INSTAGRAM; INFLUENCERS</t>
  </si>
  <si>
    <t>BackgroundPattern hair loss, the most common form of hair loss, affects millions in the United States. Americans are increasingly seeking health information from social media. It would appear that healthcare professionals contribute relatively minimally to pattern hair loss content, thereby posing serious concerns for credibility and quality of information available to the general public.ObjectivesThis study evaluates popular pattern hair loss-related content on Instagram, TikTok, and YouTube, aiming to understand effective engagement strategies for healthcare professionals on social media.MethodsThe top 60 short-form videos were extracted from Instagram, TikTok, and YouTube, using the search term pattern hair loss and inclusion of USA-based accounts only. Videos were categorized by creator type (healthcare vs. non-healthcare professional), content type (informational, interactional, and transactional), and analyzed for user engagement and quality, using engagement ratios and DISCERN scores, respectively.ConclusionsHealthcare professionals, especially dermatologists, play a crucial role in delivering credible information on social media, supported by higher DISCERN scores. Multi-platform presence, frequent activity, and strategic content creation contributes to increased reach and engagement. Duration of short-form videos does not impact engagement. The Duet or Remix options on TikTok, Instagram, and YouTube serve as a valuable tool for healthcare professionals to counter misinformation. Our study underscores the importance of optimizing educational impact provided by health care professionals at a time when the public increasingly relies on social media for medical information.</t>
  </si>
  <si>
    <t>[Gupta, Aditya K.] Univ Toronto, Sch Med, Dept Med, Div Dermatol, Toronto, ON, Canada; [Gupta, Aditya K.; Faour, Sara; Wang, Tong; Ravi, Shruthi Polla] Mediprobe Res Inc, London, ON, Canada; [Talukder, Mesbah] BRAC Univ, Sch Pharm, Kha 224 Bir Uttam Rafiqul Islam Ave, Dhaka 1212, Bangladesh</t>
  </si>
  <si>
    <t>University of Toronto; Mediprobe Research Inc.; Bangladesh Rural Advancement Committee BRAC; BRAC University</t>
  </si>
  <si>
    <t>Talukder, M (corresponding author), BRAC Univ, Sch Pharm, Kha 224 Bir Uttam Rafiqul Islam Ave, Dhaka 1212, Bangladesh.</t>
  </si>
  <si>
    <t>mesbah.talukder@bracu.ac.bd</t>
  </si>
  <si>
    <t>Gupta, Aditya K./0000-0002-8664-7723; Polla Ravi, Shruthi/0000-0001-7161-0322; Wang, Tong (Tony)/0000-0001-9359-9750; Talukder, Mesbah/0000-0003-0691-640X</t>
  </si>
  <si>
    <t>10.1111/jocd.16352</t>
  </si>
  <si>
    <t>WOS:001208299400001</t>
  </si>
  <si>
    <t>Lambert, J; Barnstable, G; Minter, E; Cooper, J; McEwan, D</t>
  </si>
  <si>
    <t>Lambert, Jeffrey; Barnstable, George; Minter, Eleanor; Cooper, Jemima; McEwan, Desmond</t>
  </si>
  <si>
    <t>Taking a One-Week Break from Social Media Improves Well-Being, Depression, and Anxiety: A Randomized Controlled Trial</t>
  </si>
  <si>
    <t>social media; mental health; depression; anxiety; well-being; mediation</t>
  </si>
  <si>
    <t>NETWORKING</t>
  </si>
  <si>
    <t>The present study aimed to understand the effects of a 1-week break from social media (SM) (Facebook, Instagram, Twitter, and TikTok) on well-being, depression, and anxiety compared with using SM as usual. We also aimed to understand whether time spent on different SM platforms mediates the relationship between SM cessation and well-being, depression, and anxiety. We randomly allocated 154 participants (mean age of 29.6 years) to either stop using SM (Facebook, Twitter, Instagram, and TikTok) for 1 week or continue to use SM as usual. At a 1-week follow-up, significant between-group differences in well-being (mean difference [MD] 4.9, 95% confidence interval [CI] 3.0-6.8), depression (MD -2.2, 95% CI -3.3 to -1.1), and anxiety (MD -1.7, 95% CI -2.8 to -0.6) in favor of the intervention group were observed, after controlling for baseline scores, age, and gender. The intervention effect on well-being was partially mediated by a reduction in total weekly self-reported minutes on SM. The intervention effect on depression and anxiety was partially mediated by a reduction in total weekly self-reported minutes on Twitter and TikTok, and TikTok alone, respectively. The present study shows that asking people to stop using SM for 1 week leads to significant improvements in well-being, depression, and anxiety. Future research should extend this to clinical populations and examine effects over the longer term.</t>
  </si>
  <si>
    <t>[Lambert, Jeffrey; Barnstable, George; Minter, Eleanor; Cooper, Jemima; McEwan, Desmond] Univ Bath, Dept Hlth, Bath, Avon, England</t>
  </si>
  <si>
    <t>Lambert, J (corresponding author), Univ Bath, Dept Hlth, 1 West 4-107, Bath BA2 7AY, Avon, England.</t>
  </si>
  <si>
    <t>jl2426@bath.ac.uk</t>
  </si>
  <si>
    <t>McEwan, David/A-3754-2015</t>
  </si>
  <si>
    <t>Cooper, Jemima/0000-0001-5102-7279; Lambert, Jeffrey/0000-0003-4774-9054; McEwan, Desmond/0000-0001-5118-6421</t>
  </si>
  <si>
    <t>10.1089/cyber.2021.0324</t>
  </si>
  <si>
    <t>S6GY5</t>
  </si>
  <si>
    <t>WOS:000810479000001</t>
  </si>
  <si>
    <t>Ariana, H; Almuhtadi, I; Natania, NJ; Handayani, PW; Bressan, S; Larasati, PD</t>
  </si>
  <si>
    <t>Ariana, Hanifa; Almuhtadi, Ikmal; Natania, Nikita Jacey; Handayani, Putu Wuri; Bressan, Stephane; Larasati, Pramitha Dwi</t>
  </si>
  <si>
    <t>Influence of TikTok on Body Satisfaction Among Generation Z inIndonesia:Mixed Methods Approach</t>
  </si>
  <si>
    <t>JMIR HUMAN FACTORS</t>
  </si>
  <si>
    <t>body satisfaction; social media; TikTok; Indonesia; cyber-bullying; cyberbullying; cyberbully; cyber-harassment; bullying; harassment; body shaming; objectify; objectifying; social media use; social media usage; socials; social network; social networks; social networking; Tik Tok; GenZ; youth; adolescent; adolescents; teen; teens; teenager; teenagers; young-adult; young-adults; Gen-Z</t>
  </si>
  <si>
    <t>SOCIAL MEDIA LITERACY; IMAGE; EXPOSURE; WOMEN; LIFE</t>
  </si>
  <si>
    <t>Background: As social media platforms gain popularity, their usage is increasingly associated with cyberbullying and bodyshaming, causing devastating effects. Objective: This study aims to investigate the impact of social media on Generation Z users'body image satisfaction. Morespecifically, it examines the impact of TikTok on body image satisfaction among TikTok users aged between 17 years and 26years in Indonesia. Methods: The methodology used mixed-method approaches. Quantitative data were obtained from 507 responses to a questionnaireand analyzed using covariance-based structural equation modeling. Qualitative data were obtained from the interviews of 32respondents and analyzed through content analysis. Results: This study reveals that upward appearance comparison is influenced by video-based activity and appearance motivation.Conversely, thin-ideal internalization is influenced by appearance motivation and social media literacy. Upward appearancecomparisons and thin-ideal internalization comparisons detrimentally impact users'body image satisfaction. Conclusions: The results of this study are expected to provide valuable insights for social media providers, regulators, andeducators in their endeavors to establish a positive and healthy social media environment for users. (JMIR Hum Factors 2024;11:e58371) doi: 10.2196/58371</t>
  </si>
  <si>
    <t>[Ariana, Hanifa; Almuhtadi, Ikmal; Natania, Nikita Jacey; Handayani, Putu Wuri; Larasati, Pramitha Dwi] Univ Indonesia, Fac Comp Sci, Kampus UI St, Depok 16424, Indonesia; [Bressan, Stephane] Natl Univ Singapore, Sch Comp, Singapore, Singapore</t>
  </si>
  <si>
    <t>University of Indonesia; National University of Singapore</t>
  </si>
  <si>
    <t>Handayani, PW (corresponding author), Univ Indonesia, Fac Comp Sci, Kampus UI St, Depok 16424, Indonesia.</t>
  </si>
  <si>
    <t>Putu.wuri@cs.ui.ac.id</t>
  </si>
  <si>
    <t>Larasati, Pramitha Dwi/0000-0003-1338-0906</t>
  </si>
  <si>
    <t>2292-9495</t>
  </si>
  <si>
    <t>JMIR HUM FACTORS</t>
  </si>
  <si>
    <t>JMIR Hum. Factors</t>
  </si>
  <si>
    <t>e58371</t>
  </si>
  <si>
    <t>10.2196/58371</t>
  </si>
  <si>
    <t>G0G5N</t>
  </si>
  <si>
    <t>WOS:001313503100001</t>
  </si>
  <si>
    <t>Basch, CH; Meleo-Erwin, Z; Fera, J; Jaime, C; Basch, CE</t>
  </si>
  <si>
    <t>Basch, Corey H.; Meleo-Erwin, Zoe; Fera, Joseph; Jaime, Christie; Basch, Charles E.</t>
  </si>
  <si>
    <t>A global pandemic in the time of viral memes: COVID-19 vaccine misinformation and disinformation on TikTok</t>
  </si>
  <si>
    <t>HUMAN VACCINES &amp; IMMUNOTHERAPEUTICS</t>
  </si>
  <si>
    <t>TikTok; COVID-19; social media; vaccine; prevention; anti-vaccination</t>
  </si>
  <si>
    <t>Misinformation and disinformation regarding COVID-19 and vaccination against it may be contributing to vaccine hesitancy. Social media outlets have reportedly made efforts to limit false information yet untruths related to COVID-19 persist online. The purpose of this study was to describe the content on COVID-19 vaccination on TikTok, an emerging social media platform. One-hundred trending videos were identified from the hashtag #covidvaccine and were coded for content. Collectively, these videos garnered over 35 million views. The coding category with the highest number of videos was Discouraged a Vaccine (n = 38), followed by Encouraged a Vaccine (n = 36). While only 36 videos encouraged a vaccine, these videos garnered over 50% of the total cumulative views and just under 50% of the total likes; the 38 videos that discouraged a vaccine garnered 39.6% of the total cumulative views, 44.3% of likes, and 47.4% of comments. Of the 38 videos discouraging the vaccine, 25 (65.79%) showed a parody of an adverse reaction and, collectively, received 71.07% of the total views among videos in this category. Twenty-two of these 38 videos (57.89%) falsely conveyed that a vaccine was available, as they were not at the time of the study. Anti-vaccination messaging may undermine efforts to ensure widespread uptake of the various COVID-19 vaccines, particularly for young people who are more likely than other age cohorts to use TikTok.</t>
  </si>
  <si>
    <t>[Basch, Corey H.; Meleo-Erwin, Zoe; Jaime, Christie] William Paterson Univ, Dept Publ Hlth, Univ Hall 366, Wayne, NJ 07470 USA; [Fera, Joseph] CUNY, Lehman Coll, Dept Math, New York, NY 10021 USA; [Basch, Charles E.] Columbia Univ, Teachers Coll, Dept Hlth &amp; Behav Studies, New York, NY 10027 USA</t>
  </si>
  <si>
    <t>Basch, CH (corresponding author), William Paterson Univ, Dept Publ Hlth, Univ Hall 366, Wayne, NJ 07470 USA.</t>
  </si>
  <si>
    <t>2164-5515</t>
  </si>
  <si>
    <t>2164-554X</t>
  </si>
  <si>
    <t>HUM VACC IMMUNOTHER</t>
  </si>
  <si>
    <t>Human Vaccines Immunother.</t>
  </si>
  <si>
    <t>AUG 3</t>
  </si>
  <si>
    <t>10.1080/21645515.2021.1894896</t>
  </si>
  <si>
    <t>Biotechnology &amp; Applied Microbiology; Immunology</t>
  </si>
  <si>
    <t>UU5TL</t>
  </si>
  <si>
    <t>WOS:000632781300001</t>
  </si>
  <si>
    <t>Vicari, S; Ditchfield, H</t>
  </si>
  <si>
    <t>Vicari, Stefania; Ditchfield, Hannah</t>
  </si>
  <si>
    <t>Platform visibility and the making of an issue: Vernaculars of hereditary cancer on Facebook, Instagram, TikTok and Twitter</t>
  </si>
  <si>
    <t>Affordance; BRCA; cross-platform; hashtag; Lynch syndrome; modularity; platform vernacular; quanti-quali; two-mode network; visual network analysis</t>
  </si>
  <si>
    <t>COMMUNITY</t>
  </si>
  <si>
    <t>We investigate the relationship between platform visibility and meaning making. Drawing on a quanti-quali investigation of hashtag practices in a cross-platform dataset, we explore how hereditary cancer is constructed, as an issue, on social media. Our findings provide strong evidence of significant variations across Instagram, TikTok and Twitter, with hashtag practices on these platforms tapping into platform-specific understandings of hereditary cancer: a pink ribbon issue on Instagram, the opportunity for non-normative exposures of bodies, pain and acceptance on TikTok and a scientific matter on Twitter. Platforms do not dictate choice, but their encounter with user interpretations, given similar material constraints (hashtag technology), lead to very different affordances. These affordances shape practices and, ultimately, meaning making. While raising concerns on the impact platform visibility might have on experiences and understandings of hereditary cancer, our work suggests broader implications for how we imagine and respond to the issues we care about.</t>
  </si>
  <si>
    <t>[Vicari, Stefania; Ditchfield, Hannah] Univ Sheffield, Dept Sociol Studies, 2 Whitham Rd, Sheffield S10 2AH, England</t>
  </si>
  <si>
    <t>University of Sheffield</t>
  </si>
  <si>
    <t>Vicari, S (corresponding author), Univ Sheffield, Dept Sociol Studies, 2 Whitham Rd, Sheffield S10 2AH, England.</t>
  </si>
  <si>
    <t>s.vicari@sheffield.ac.uk</t>
  </si>
  <si>
    <t>Vicari, Stefania/AFL-7458-2022</t>
  </si>
  <si>
    <t>Vicari, Stefania/0000-0002-4506-2358; Ditchfield, Hannah/0000-0001-8612-620X</t>
  </si>
  <si>
    <t>Leverhulme Trust [RPG-2021-152]</t>
  </si>
  <si>
    <t>Leverhulme Trust(Leverhulme Trust)</t>
  </si>
  <si>
    <t>The author(s) disclosed receipt of the following financial support for the research, authorship, and/or publication of this article: This work was supported by the Leverhulme Trust [grant number: RPG-2021-152].</t>
  </si>
  <si>
    <t>2024 FEB 19</t>
  </si>
  <si>
    <t>10.1177/14614448241229048</t>
  </si>
  <si>
    <t>IY9L4</t>
  </si>
  <si>
    <t>WOS:001170017400001</t>
  </si>
  <si>
    <t>Lopez, DR; Vernier, M; Berrios, A; Nunez, A; Csori, FR; Balboa, A; Rivera, VV; Vivar, MA</t>
  </si>
  <si>
    <t>Lopez, Diego Rivera; Vernier, Matthieu; Berrios, Anais; Nunez, Almendra; Csori, Fabian Riquelme; Balboa, Aracelly; Rivera, Victoria V.; Vivar, Marco Antonio</t>
  </si>
  <si>
    <t>Discursive Functioning of the Chilean Far-Right in the Press and TikTok: Historical Revisionism 50 Years after the Coup d'etat</t>
  </si>
  <si>
    <t>LETRAS-LIMA</t>
  </si>
  <si>
    <t>Social Conflict; Revisionism; Far-Right; Coup d'Etat; TikTok</t>
  </si>
  <si>
    <t>TWITTER; CRISIS</t>
  </si>
  <si>
    <t>This article analyzes the discursive functioning used by the far right on TikTok, supported by online press media, in the context of the fiftieth anniversary of the 1973 coup in Chile. The significance of the political mile-stone, combined with the context of Chilean social out-break that has allowed this political spectrum to enter the mainstream during and after the social outbreak of 2019-2020, necessitates an alternative approach. Thus, the aim of this work is to understand the discursive articulation, as both practice and political rationality, of the Chilean far right as an exercise in historical revisionism. The study considers 115 relevant TikTok videos published between 2019 and 2023, and the support of a corpus of over 950,000 news from 77 Chilean digital media outlets. Mixed methods are used to quantitatively analyze media coverage and qualitatively examine narrative structures through Sociology of Knowledge Ap-proach to Discourse (SKAD). The contribution of the text is to propose a reading that highlights the political autonomy of this political sector, which is assumed as a resistance that rebels against a regime of truth regarding the events of the Popular Unity era. Finally, this text contributes to an interdisciplinary discussion that con-siders data mining methods, discourse analysis, and the integration of sociological, psychological, political, and philosophical theories.</t>
  </si>
  <si>
    <t>[Lopez, Diego Rivera] Univ Catol Chile, Santiago, Chile; [Vernier, Matthieu] Univ Austral Chile, Valdivia, Chile; [Berrios, Anais; Nunez, Almendra; Balboa, Aracelly; Rivera, Victoria V.; Vivar, Marco Antonio] Ctr Estudios Interdisciplinarios Teoria Social &amp; S, Valparaiso, Chile; [Csori, Fabian Riquelme] Univ Valparaiso, Valparaiso, Chile</t>
  </si>
  <si>
    <t>Universidad Austral de Chile; Universidad de Valparaiso</t>
  </si>
  <si>
    <t>Lopez, DR (corresponding author), Univ Catol Chile, Santiago, Chile.</t>
  </si>
  <si>
    <t>dirivera1@uc.cl; mvernier@inf.uach.cl; anais.acbf@gmail.com; almendra.nunez@alumnos.uv.cl; fabian.riquelme@uv.cl; aracelly.balboa@alumnos.uv.cl; victoria.villarroel@alumnos.uv.cl; marco.vivar@alumnos.uv.cl</t>
  </si>
  <si>
    <t>Vernier, Matthieu/AHB-7038-2022</t>
  </si>
  <si>
    <t>UNIV NACIONAL MAYOR SAN MARCOS</t>
  </si>
  <si>
    <t>LIMA</t>
  </si>
  <si>
    <t>CIUDAD UNIVERSITARIA, AV VENEZUELA CDRA. 34 S/N, CASILLA POSTAL 11-0058, LIMA, 11, PERU</t>
  </si>
  <si>
    <t>0378-4878</t>
  </si>
  <si>
    <t>2071-5072</t>
  </si>
  <si>
    <t>Letras</t>
  </si>
  <si>
    <t>10.30920/letras.95.141.18</t>
  </si>
  <si>
    <t>D6G7O</t>
  </si>
  <si>
    <t>WOS:001297147600018</t>
  </si>
  <si>
    <t>A TikTok™ Benadryl Challenge death-A case report and review of the literature</t>
  </si>
  <si>
    <t>autopsy; death investigation; diphenhydramine overdose; forensic pathology; social media challenges; teenager death; TikTok (TM) Benadryl Challenge</t>
  </si>
  <si>
    <t>DIPHENHYDRAMINE</t>
  </si>
  <si>
    <t>TikTok (TM), a social media platform popular with teenagers and young adults, hosts a variety of short-form user videos with durations from 15 s to 10 min. Among these videos are potentially dangerous challenges, such as the Skull Breaker challenge and the Benadryl challenge. Benadryl (diphenhydramine) is an over-the-counter medication with potential for misuse in both suicidal and recreational purposes. We report the case of a 14-year-old girl who reportedly ingested an unknown amount of diphenhydramine while taking part in a TikTok (TM) social media challenge. Autopsy revealed marked bilateral pulmonary congestion and edema, as well as a bright pink granular material within the esophagus, stomach, duodenum, and proximal jejunum. A postmortem femoral blood sample result identified a lethal blood concentration of diphenhydramine (49,658 ng/ml). Physicians and other healthcare providers need to be aware of social media trends that may pose public health threats. Teenagers are a particularly susceptible group and need to be informed of the risks associated with these challenges. For the forensics field, a knowledge of and process for accessing social media platforms can be critical for investigating deaths. Given the extremely elevated concentration of diphenhydramine in this case, a knowledge of circumstances of death, the scene, and social media trends can assist the forensic pathologist in determining the correct manner of death-accident versus suicide.</t>
  </si>
  <si>
    <t>[Elkhazeen, Abu; Poulos, Chris; Cavanaugh, John; Cain, Matthew] Marion Cty Coroner Off, 521 West McCarty St, Indianapolis, IN 46225 USA; [Zhang, Xin] Indiana Univ Hlth, Dept Pathol, Indianapolis, IN USA</t>
  </si>
  <si>
    <t>Indiana University Health; IU Health University Hospital</t>
  </si>
  <si>
    <t>Cain, M (corresponding author), Marion Cty Coroner Off, 521 West McCarty St, Indianapolis, IN 46225 USA.</t>
  </si>
  <si>
    <t>mcain@salud.unm.edu</t>
  </si>
  <si>
    <t>10.1111/1556-4029.15149</t>
  </si>
  <si>
    <t>7K3NQ</t>
  </si>
  <si>
    <t>WOS:000861433500001</t>
  </si>
  <si>
    <t>Aziz, NNA; Musa, MH; Khalid, RM; Malik, SA; Nasution, N</t>
  </si>
  <si>
    <t>Aziz, Noreen Noor Abd; Musa, Mohd Hafizan; Khalid, Rusnani Mohamad; Malik, Shaherah Abdul; Nasution, Nurliana</t>
  </si>
  <si>
    <t>Purchase Intention for Halal Cosmetic Product among TikTok Application Users in Johor</t>
  </si>
  <si>
    <t>ENVIRONMENT-BEHAVIOUR PROCEEDINGS JOURNAL</t>
  </si>
  <si>
    <t>07th Asia-Pacific International Conference on Quality of Life (AQoL)</t>
  </si>
  <si>
    <t>SEP 30-OCT 02, 2023</t>
  </si>
  <si>
    <t>Bali, INDONESIA</t>
  </si>
  <si>
    <t>Purchase; Intention; Halal; Cosmetic</t>
  </si>
  <si>
    <t>REASONED ACTION; BEHAVIOR</t>
  </si>
  <si>
    <t>The demand for halal cosmetic products among the 2.0 billion Muslim consumers is growing internationally. This paper aims to identify the influence on attitude, subjective norms, perceived behavioral control, and knowledge towards the intention to purchase halal cosmetic products among consumers. A total of 100 questionnaires were distributed to TikTok users in Johor. The findings indicated that all variables positively influenced purchase intention of halal cosmetic products. This study also provides further insights into potential marketing strategies by halal cosmetic product manufacturers and the prospective halal cosmetic industry in Malaysia.</t>
  </si>
  <si>
    <t>[Aziz, Noreen Noor Abd; Malik, Shaherah Abdul] Univ Teknol MARA Johor, Fac Business &amp; Management, Segamat, Malaysia; [Musa, Mohd Hafizan; Khalid, Rusnani Mohamad] Univ Teknol MARA, Coll Comp Informat &amp; Math, Johor Baharu, Malaysia; [Nasution, Nurliana] Univ Lancang Kuning, Dept Informat Technol, Pekanbaru, Indonesia</t>
  </si>
  <si>
    <t>Aziz, NNA (corresponding author), Univ Teknol MARA Johor, Fac Business &amp; Management, Segamat, Malaysia.</t>
  </si>
  <si>
    <t>noree974@uitm.edu.my; mohdh233@uitm.edu.my; rusna162@uitm.edu.my; shahe314@uitm.edu.my; nurliananst@unilak.ac.id</t>
  </si>
  <si>
    <t>Khalid, Rusnani/AAJ-6917-2021; Nasution, Nurliana/AAB-7428-2021; Abd Aziz, Noreen Noor/AGY-6995-2022</t>
  </si>
  <si>
    <t>Universiti Teknologi MARA Cawangan Johor kampus Segamat @ UiTM Segamat, Johor</t>
  </si>
  <si>
    <t>Acknowledgements The authors gratefully acknowledge financial support from the Universiti Teknologi MARA Cawangan Johor kampus Segamat @ UiTM Segamat, Johor.</t>
  </si>
  <si>
    <t>E-IPH LTD UK</t>
  </si>
  <si>
    <t>THE LEADMILL, 6 LEADMILL RD, PO BOX STUDIO 7, SHEFFIELD, S1 4SE, ENGLAND</t>
  </si>
  <si>
    <t>2398-4287</t>
  </si>
  <si>
    <t>ENVIRON-BEHAV PROC J</t>
  </si>
  <si>
    <t>Environ.-Behav. Proc. J.</t>
  </si>
  <si>
    <t>10.21834/e-bpj.v8i26.5137</t>
  </si>
  <si>
    <t>Environmental Studies</t>
  </si>
  <si>
    <t>Environmental Sciences &amp; Ecology</t>
  </si>
  <si>
    <t>Y6PL1</t>
  </si>
  <si>
    <t>WOS:001106458600032</t>
  </si>
  <si>
    <t>Raber, M; Allen, H; Huang, S; Vazquez, M; Warner, E; Thompson, D</t>
  </si>
  <si>
    <t>Raber, Margaret; Allen, Haley; Huang, Sophia; Vazquez, Maria; Warner, Echo; Thompson, Debbe</t>
  </si>
  <si>
    <t>Mediterranean Diet Information on TikTok and Implications for Digital Health Promotion Research: Social Media Content Analysis</t>
  </si>
  <si>
    <t>misinformation; social media; Mediterranean Diet; content analysis; health communication; communication; TikTok; diet; cardiometabolic disease; cardiometabolic; consumer; eating; quality; mHealth; mobile health; digital health; promotion research; nutrition therapy; healthy diet</t>
  </si>
  <si>
    <t>Background: The Mediterranean diet has been linked to reduced risk for several cardiometabolic diseases. The lack of a cleardefinition of the Mediterranean diet in the scientific literature and the documented proliferation of nutrition misinformation onthe internet suggest the potential for confusion among consumers seeking web-based Mediterranean diet information. Objective: We conducted a social media content analysis of information about the Mediterranean diet on the influential socialmedia platform, TikTok, to examine public discourse about the diet and identify potential areas of misinformation. We thenanalyzed these findings in the context of health promotion to identify potential challenges and opportunities for the use of TikTokin promoting the Mediterranean diet for healthy living. Methods: The first-appearing 202 TikTok posts that resulted from a search of the hashtag #mediterraneandiet were downloaded and qualitatively examined. Post features and characteristics, poster information, and engagement metrics were extracted and synthesized across posts. Posts were categorized as those created by health professionals and those created by non health professionals based on poster-reported credentials. In addition to descriptive statistics of the entire sample, we compared posts created by professionals and nonprofessionals for content using chi-square tests. Results: TikTok posts varied in content, but posts that were developed by health professionals versus nonprofessionals were more likely to offer a definition of the Mediterranean diet (16/106, 15.1% vs 2/96, 2.1%; P=.001), use scientific citations to support claims (26/106, 24.5% vs 0/96, 0%; P&lt;.001), and discuss specific nutrients (33/106, 31.1% vs 6/96, 6.3%; P&lt;.001) and diseases related to the diet (27/106, 25.5% vs 5/96, 5.2%; P&lt;.001) compared to posts created by non health professionals. Conclusions: Social media holds promise as a venue to promote the Mediterranean diet, but the variability in information found in this study highlights the need to create clear definitions about the diet and its components when developing Mediterranean diet interventions that use new media structures.</t>
  </si>
  <si>
    <t>[Raber, Margaret; Vazquez, Maria] MD Anderson Canc Ctr, Dept Hlth Dispar Res, 1400 Pressler St Dr, Houston, TX 77030 USA; [Allen, Haley] Rice Univ, Dept Kinesiol, Houston, TX USA; [Huang, Sophia] Baylor Coll Med, Houston, TX USA; [Warner, Echo] Univ Utah, Huntsman Canc Inst, Salt Lake City, UT USA; [Thompson, Debbe] Baylor Coll Med, Childrens Nutr Res Ctr, Houston, TX USA</t>
  </si>
  <si>
    <t>University of Texas System; UTMD Anderson Cancer Center; Rice University; Baylor College of Medicine; Utah System of Higher Education; University of Utah; Huntsman Cancer Institute; Baylor College of Medicine</t>
  </si>
  <si>
    <t>Raber, M (corresponding author), MD Anderson Canc Ctr, Dept Hlth Dispar Res, 1400 Pressler St Dr, Houston, TX 77030 USA.</t>
  </si>
  <si>
    <t>mpraber@mdanderson.org</t>
  </si>
  <si>
    <t>Thompson, Debbe/GOV-5741-2022</t>
  </si>
  <si>
    <t>Raber, Margaret/0000-0003-2403-9607; Thompson, Debbe/0000-0002-5491-8816</t>
  </si>
  <si>
    <t>We would like to acknowledge Jennifer Coon for her assistance with the editing of this manuscript. This work was supported inpart by the US Department of Agriculture/Agricultural Research Service under Cooperative Agreement 58-3092-0-001</t>
  </si>
  <si>
    <t>e51094</t>
  </si>
  <si>
    <t>10.2196/51094</t>
  </si>
  <si>
    <t>E5T0D</t>
  </si>
  <si>
    <t>WOS:001303612400088</t>
  </si>
  <si>
    <t>Marcut, M; Chiriac, C</t>
  </si>
  <si>
    <t>Marcut, Mirela; Chiriac, Cosmin</t>
  </si>
  <si>
    <t>Assessing TikTok's Potential for Civil Society in Europe A Literature Review</t>
  </si>
  <si>
    <t>CIVIL SZEMLE</t>
  </si>
  <si>
    <t>Civil Society; Civil Society Organizations; Social Media; TikTok</t>
  </si>
  <si>
    <t>ENGAGEMENT</t>
  </si>
  <si>
    <t>Civil society organizations make use of different tools to get the message out to their public, ranging from raising awareness on social causes to educating the public on political issues of the day. With social media, their potential for outreach has expanded, considering the democratization of communication that these platforms bring forward. However, each social media platform is different, and the message and the cause must adapt to its specificities. Additionally, their activities fall prey under the perils of algorithmic governance, which decides how far and long their message travels. Considering that civil society organizations play a significant role in democratic processes, the use of social media can either short- circuit or expand their access to the public. This is the main starting point of this analysis, in which we aim to understand the manner in which social media platforms affect the activity of civil society organizations. The second main point of the analysis aims to look at how new social media platforms can fit into this narrative. How do civil society organizations have to adapt to TikTok, one of the world's most famous social media platforms? Methodologically, this paper focuses on an extensive quantitative and qualitative literature review to dissect the way social media platforms affect civil society organizations. Then, we use this theoretical framework to discuss TikTok and assess its potential for success or peril of civil society organizations.</t>
  </si>
  <si>
    <t>[Marcut, Mirela] Univ Oradea, Oradea, Romania; [Chiriac, Cosmin] Univ Oradea, Dept Int Relat &amp; European Studies, Oradea, Romania</t>
  </si>
  <si>
    <t>University of Oradea; University of Oradea</t>
  </si>
  <si>
    <t>Marcut, M (corresponding author), Univ Oradea, Oradea, Romania.</t>
  </si>
  <si>
    <t>mirelamarcut@uoradea.ro; cchiriac@uoradea.ro</t>
  </si>
  <si>
    <t>Marcut, Mirela/AAK-7015-2021; Chiriac, Cosmin/IUN-2214-2023</t>
  </si>
  <si>
    <t>UJ MANDATUM KONYVKIADO</t>
  </si>
  <si>
    <t>BUDAPEST</t>
  </si>
  <si>
    <t>FRATER GYORGY TER 11, BUDAPEST, 1149, HUNGARY</t>
  </si>
  <si>
    <t>1786-3341</t>
  </si>
  <si>
    <t>CIV SZLE</t>
  </si>
  <si>
    <t>Civ. Szle.</t>
  </si>
  <si>
    <t>AM7L6</t>
  </si>
  <si>
    <t>WOS:001118947000014</t>
  </si>
  <si>
    <t>Brewster, ML</t>
  </si>
  <si>
    <t>Brewster, Maureen Lehto</t>
  </si>
  <si>
    <t>It's Not Just About the Outfits: Fashioning Gender, Race, and Class on #RushTok</t>
  </si>
  <si>
    <t>CLOTHING AND TEXTILES RESEARCH JOURNAL</t>
  </si>
  <si>
    <t>fashion; social media; OOTD; style; TikTok; sorority; algorithm; qualitative research</t>
  </si>
  <si>
    <t>This manuscript analyzes outfit of the day (OOTD) content on TikTok to consider how the style-fashion-dress and social media practices in the digital sociality known as RushTok (re)produce gender, race, and class norms in Panhellenic sororities. I used feminist virtual ethnography to explore 97 OOTD videos produced during the 2022 Panhellenic sorority recruitment cycle. I followed the concept of the sorority girl around this data to map her emergence and effects in the RushTok sociality. I find that RushTok OOTDs remediate practices from traditional fashion media, and that the style-fashion-dress practices in this sociality emphasize luxury branding, highly feminine but conservative styles, and bodily discipline. These are (re)shaped by spatial and algorithmic logics, which privilege enactments of the sorority girl that (re)produce the White, wealthy, cisfeminine ideal. The logics of Panhellenic sororities intra-act with the TikTok algorithm to make this idealized sorority girl more visible, further (re)producing hierarchies of difference.</t>
  </si>
  <si>
    <t>[Brewster, Maureen Lehto] Univ Maryland Eastern Shore, Dept Human Ecol, Princess Anne, MD 21853 USA; [Brewster, Maureen Lehto] Univ Maryland Eastern Shore, Richard A Henson Ctr, Dept Human Ecol, Suite 2100, Princess Anne, MD 21853 USA</t>
  </si>
  <si>
    <t>University System of Maryland; University of Maryland Eastern Shore; University System of Maryland; University of Maryland Eastern Shore</t>
  </si>
  <si>
    <t>Brewster, ML (corresponding author), Univ Maryland Eastern Shore, Richard A Henson Ctr, Dept Human Ecol, Suite 2100, Princess Anne, MD 21853 USA.</t>
  </si>
  <si>
    <t>melehtobrewster@umes.edu</t>
  </si>
  <si>
    <t>Lehto Brewster, Maureen/JXN-9771-2024</t>
  </si>
  <si>
    <t>Lehto Brewster, Maureen/0000-0002-3194-0519</t>
  </si>
  <si>
    <t>0887-302X</t>
  </si>
  <si>
    <t>1940-2473</t>
  </si>
  <si>
    <t>CLOTH TEXT RES J</t>
  </si>
  <si>
    <t>Cloth. Text. Res. J.</t>
  </si>
  <si>
    <t>2024 APR 3</t>
  </si>
  <si>
    <t>10.1177/0887302X241244789</t>
  </si>
  <si>
    <t>Business; Social Sciences, Interdisciplinary</t>
  </si>
  <si>
    <t>MU2U7</t>
  </si>
  <si>
    <t>WOS:001196091700001</t>
  </si>
  <si>
    <t>Eghtesadi, M; Florea, A</t>
  </si>
  <si>
    <t>Eghtesadi, Marzieh; Florea, Adrian</t>
  </si>
  <si>
    <t>Facebook, Instagram, Reddit and TikTok: a proposal for health authorities to integrate popular social media platforms in contingency planning amid a global pandemic outbreak</t>
  </si>
  <si>
    <t>CANADIAN JOURNAL OF PUBLIC HEALTH-REVUE CANADIENNE DE SANTE PUBLIQUE</t>
  </si>
  <si>
    <t>Online medical community; Physician networking; Reddit; TikTok; Facebook; Social media; Healthcare communication; Influencers</t>
  </si>
  <si>
    <t>In December 2019, a new severe respiratory coronavirus infection (COVID-19) was detected and has since spread across the globe to be ultimately declared a pandemic by the World Health Organization on March 11, 2020. For physicians and allied medical professionals, the period since has been marked by an increased and rapidly changing flow of information from multiple regional, national and international health authorities, regulating bodies and professional associations. Although social media platforms have an active presence in the instant dissemination of information and medical professionals display active participation in them, traditional channels such as email are still being emphasized as a means of communication. This article discusses the opportunities offered by social media platforms such as Facebook, Reddit and TikTok to disseminate medical information both for the use of physicians and as a means to communicate essential information to the public at large.</t>
  </si>
  <si>
    <t>[Eghtesadi, Marzieh] Ctr Hosp Univ Montreal CHUM, Ctr Rech, 1000 St Denis, Montreal, PQ H2X 0C1, Canada; [Eghtesadi, Marzieh] Chron Pain Ctr CHUM, Dept Clin Neurosci, Montreal, PQ H2X 0C1, Canada; [Florea, Adrian] McGill Univ, Dept Emergency Med, Montreal, PQ, Canada; [Florea, Adrian] Johns Hopkins Univ, Hlth Informat, Baltimore, MD USA</t>
  </si>
  <si>
    <t>Universite de Montreal; McGill University; Johns Hopkins University</t>
  </si>
  <si>
    <t>Eghtesadi, M (corresponding author), Ctr Hosp Univ Montreal CHUM, Ctr Rech, 1000 St Denis, Montreal, PQ H2X 0C1, Canada.;Eghtesadi, M (corresponding author), Chron Pain Ctr CHUM, Dept Clin Neurosci, Montreal, PQ H2X 0C1, Canada.</t>
  </si>
  <si>
    <t>marzieh.eghtesadi@mail.mcgill.ca</t>
  </si>
  <si>
    <t>eghtesadi, marzieh/0000-0003-0409-0421; Florea, Adrian/0000-0001-7345-8918</t>
  </si>
  <si>
    <t>0008-4263</t>
  </si>
  <si>
    <t>1920-7476</t>
  </si>
  <si>
    <t>CAN J PUBLIC HEALTH</t>
  </si>
  <si>
    <t>Can. J. Public Health-Rev. Can. Sante Publ.</t>
  </si>
  <si>
    <t>10.17269/s41997-020-00343-0</t>
  </si>
  <si>
    <t>MH7ZB</t>
  </si>
  <si>
    <t>WOS:000539162300001</t>
  </si>
  <si>
    <t>Anderer, S</t>
  </si>
  <si>
    <t>Anderer, Samantha</t>
  </si>
  <si>
    <t>Patients Are Turning to TikTok for Health Information-Here's What Clinicians Need to Know</t>
  </si>
  <si>
    <t>JAMA-JOURNAL OF THE AMERICAN MEDICAL ASSOCIATION</t>
  </si>
  <si>
    <t>This Medical News article discusses research on health information being shared on the social media platform.</t>
  </si>
  <si>
    <t>0098-7484</t>
  </si>
  <si>
    <t>1538-3598</t>
  </si>
  <si>
    <t>JAMA-J AM MED ASSOC</t>
  </si>
  <si>
    <t>JAMA-J. Am. Med. Assoc.</t>
  </si>
  <si>
    <t>APR 16</t>
  </si>
  <si>
    <t>10.1001/jama.2024.1280</t>
  </si>
  <si>
    <t>PW2I6</t>
  </si>
  <si>
    <t>WOS:001189211900004</t>
  </si>
  <si>
    <t>Gentzler, AL; Hughes, JL; Johnston, M; Alderson, JE</t>
  </si>
  <si>
    <t>Gentzler, Amy L.; Hughes, Jeffrey L.; Johnston, Matty; Alderson, Jacob E.</t>
  </si>
  <si>
    <t>Which social media platforms matter and for whom? Examining moderators of links between adolescents' social media use and depressive symptoms</t>
  </si>
  <si>
    <t>JOURNAL OF ADOLESCENCE</t>
  </si>
  <si>
    <t>adolescents; depressive symptoms; individual differences; Instagram; social media; TikTok; YouTube</t>
  </si>
  <si>
    <t>IntroductionDespite extensive research on social media and risks for mental health, not enough is known about individual differences in these risks.MethodsThe present study, with data collected from 2018 to 2020, investigated the association between social media use (total and for specific platforms) and depressive symptoms in a sample of 237 American adolescents (Mage = 15.10; SD = 0.49; 51.1% girls and 48.5% boys). We investigated several moderators: gender, self-esteem, personality, and negative reactions to social media. Covariates were gender, timing of the follow-up (pre vs. during the pandemic), and depressive symptoms a year earlier.ResultsResults indicated that greater total time spent on social media was associated with higher levels of depressive symptoms. This effect held for Instagram, TikTok, and YouTube (but not Snapchat, Facebook, or Twitter). Several moderated effects were found. Twitter was associated with more depressive symptoms for girls but not boys. More frequent Instagram use was linked to more depressive symptoms for less or average-level extraverted teens but not for more extraverted teens, suggesting extraversion may be protective. More frequent TikTok use was associated with more depressive symptoms, particularly for teens who said they have more or average-level negative reactions to social media a year earlier.ConclusionsThis study suggests that certain adolescents may be at increased risk for serious mental health challenges, like elevated depressive symptoms, when using TikTok, Instagram, or Twitter more frequently, underscoring the importance of examining individual differences and particular social media platforms.</t>
  </si>
  <si>
    <t>[Gentzler, Amy L.; Hughes, Jeffrey L.; Johnston, Matty; Alderson, Jacob E.] West Virginia Univ, 53 Campus Dr, Morgantown, WV 26506 USA</t>
  </si>
  <si>
    <t>West Virginia University</t>
  </si>
  <si>
    <t>Gentzler, AL (corresponding author), West Virginia Univ, 53 Campus Dr, Morgantown, WV 26506 USA.</t>
  </si>
  <si>
    <t>amy.gentzler@mail.wvu.edu</t>
  </si>
  <si>
    <t>Alderson, Jacob/0000-0002-3288-1725</t>
  </si>
  <si>
    <t>US National Institute Child Health and Human Development [NICHD R15 HD078920-01]</t>
  </si>
  <si>
    <t>US National Institute Child Health and Human Development</t>
  </si>
  <si>
    <t>US National Institute Child Health and Human Development, Grant/Award Number: NICHD R15 HD078920-01</t>
  </si>
  <si>
    <t>0140-1971</t>
  </si>
  <si>
    <t>1095-9254</t>
  </si>
  <si>
    <t>J ADOLESCENCE</t>
  </si>
  <si>
    <t>J. Adolesc.</t>
  </si>
  <si>
    <t>10.1002/jad.12243</t>
  </si>
  <si>
    <t>AK4I2</t>
  </si>
  <si>
    <t>WOS:001063224200001</t>
  </si>
  <si>
    <t>Markey, CH; August, KJ; Gillen, MM; Rosenbaum, DL</t>
  </si>
  <si>
    <t>Markey, Charlotte H.; August, Kristin J.; Gillen, Meghan M.; Rosenbaum, Diane L.</t>
  </si>
  <si>
    <t>An Examination of Youths' Social Media Use and Body Image Considering TikTok, Snapchat, and Instagram</t>
  </si>
  <si>
    <t>JOURNAL OF MEDIA PSYCHOLOGY-THEORIES METHODS AND APPLICATIONS</t>
  </si>
  <si>
    <t>body image; social media; Instagram; Snapchat; TikTok</t>
  </si>
  <si>
    <t>PREADOLESCENT; FACEBOOK; GIRLS</t>
  </si>
  <si>
    <t>Research has suggested that social media use may present a risk to body image, but limited research explores newer social media platforms and how they are used. This study examined 275 youths' (Mage = 20.71) social media use in association with both positive and negative aspects of body image. Participants completed an online survey that included body image measures and items that queried them about the social media platforms they used (e.g., TikTok) and the activities they engaged in on these platforms. Findings indicated that women were more engaged in social media use and had lower body esteem and higher body shame and surveillance than men. Simultaneous regression analyses revealed that appearance-focused social media use, but not communication-focused use, was associated with negative body image. Age moderated the association between appearance-focused social media use and body appreciation. Together, these findings suggest that age, gender, and the ways in which youth use social media are important to consider in understanding potential risk for body image concerns.</t>
  </si>
  <si>
    <t>[Markey, Charlotte H.; August, Kristin J.] Rutgers State Univ, Dept Psychol, Camden, NJ USA; [Gillen, Meghan M.; Rosenbaum, Diane L.] Penn State Univ, Abington, PA USA; [Markey, Charlotte H.] Rutgers State Univ, Dept Psychol, 311 N 5th St, Camden, NJ 08102 USA</t>
  </si>
  <si>
    <t>Rutgers University System; Rutgers University Camden; Rutgers University New Brunswick; Pennsylvania Commonwealth System of Higher Education (PCSHE); Pennsylvania State University; Rutgers University System; Rutgers University New Brunswick; Rutgers University Camden</t>
  </si>
  <si>
    <t>Markey, CH (corresponding author), Rutgers State Univ, Dept Psychol, 311 N 5th St, Camden, NJ 08102 USA.</t>
  </si>
  <si>
    <t>chmarkey@camden.rutgers.edu</t>
  </si>
  <si>
    <t>Markey, Charlotte/0000-0001-5431-6017</t>
  </si>
  <si>
    <t>State University of New Jersey</t>
  </si>
  <si>
    <t>This work has been supported by an award to Charlotte Markey from Rutgers, The State University of New Jersey.</t>
  </si>
  <si>
    <t>HOGREFE PUBLISHING CORP</t>
  </si>
  <si>
    <t>BOSTON</t>
  </si>
  <si>
    <t>361 NEWBURY ST, 5 FL, BOSTON, MA, UNITED STATES</t>
  </si>
  <si>
    <t>1864-1105</t>
  </si>
  <si>
    <t>2151-2388</t>
  </si>
  <si>
    <t>J MEDIA PSYCHOL-GER</t>
  </si>
  <si>
    <t>J. Media Psychol.</t>
  </si>
  <si>
    <t>2024 MAR 13</t>
  </si>
  <si>
    <t>10.1027/1864-1105/a000420</t>
  </si>
  <si>
    <t>Communication; Psychology, Multidisciplinary</t>
  </si>
  <si>
    <t>Communication; Psychology</t>
  </si>
  <si>
    <t>LC3V7</t>
  </si>
  <si>
    <t>WOS:001184549900003</t>
  </si>
  <si>
    <t>Hase, V; Boczek, K; Scharkow, M</t>
  </si>
  <si>
    <t>Hase, Valerie; Boczek, Karin; Scharkow, Michael</t>
  </si>
  <si>
    <t>Adapting to Affordances and Audiences? A Cross-Platforrn, Multi-Modal Analysis of the Platformization o News on Facebook, Instagram, TikTok, and Twitter</t>
  </si>
  <si>
    <t>Digital news; platformization; social media; computational methods; Facebook; Instagram; TikTok; Twitter</t>
  </si>
  <si>
    <t>SOCIAL MEDIA; JOURNALISM; LOGIC</t>
  </si>
  <si>
    <t>To capture audiences' attention on social media, news outlets may disseminate journalistic content in line with platform instead of mass media logics, indicating a platformization of news. Taking a cross-platform, multi-modal approach, we analyze how German outlets select and adapt existing stories for Facebook, Instagram, TikTok, and Twitter. We combine a computational and a manual content analysis of articles and social media posts (N = 4,412), including related images/videos (N = 6 ,850). Overall, evidence for outlets following platform logics on social media is limited: News outlets select and adapt news on a technical level, for instance by distributing more content on news-centered platforms like Twitter or by fostering on-platform engagement by excluding external links on Instagram. However, they do not systematically select or adapt news on a more communicative level, for instance by preferring specific topics for social media or by using more engaging language on platforms.</t>
  </si>
  <si>
    <t>[Hase, Valerie] Ludwig Maximilians Univ Munchen, Munich, Germany; [Boczek, Karin] Catholic Univ Eichstatt Ingolstadt, Eichstatt, Germany; [Scharkow, Michael] Johannes Gutenberg Univ Mainz, Mainz, Germany</t>
  </si>
  <si>
    <t>University of Munich; Johannes Gutenberg University of Mainz</t>
  </si>
  <si>
    <t>Hase, V (corresponding author), Ludwig Maximilians Univ Munchen, Munich, Germany.</t>
  </si>
  <si>
    <t>valerie.hase@ifkw.lmu.de</t>
  </si>
  <si>
    <t>Boczek, Karin/AAW-3047-2020; Hase, Valerie/AAF-3430-2019</t>
  </si>
  <si>
    <t>Hase, Valerie/0000-0001-6656-4894</t>
  </si>
  <si>
    <t>10.1080/21670811.2022.2128389</t>
  </si>
  <si>
    <t>U4GC1</t>
  </si>
  <si>
    <t>WOS:000870569100001</t>
  </si>
  <si>
    <t>Bethell, MA; Anastasio, AT; Taylor, JR; Tabarestani, TQ; Klifto, CS; Anakwenze, O</t>
  </si>
  <si>
    <t>Bethell, Mikhail A.; Anastasio, Albert T.; Taylor, Joshua R.; Tabarestani, Troy Q.; Klifto, Christopher S.; Anakwenze, Oke</t>
  </si>
  <si>
    <t>Evaluating the Distribution, Quality, and Educational Value of Videos Related to Shoulder Instability Exercises on the Social Media Platform TikTok</t>
  </si>
  <si>
    <t>HEALTH LITERACY; INFORMATION; MISINFORMATION</t>
  </si>
  <si>
    <t>Background:Because of the lack of scientific oversight, the quality, applicability, and consistency of healthcare-related TikTok videos have become a focus of research exploration. The orthopaedic surgery literature lags behind other medical fields in analyzing the widespread utilization of TikTok videos for medical information delivery.Methods:TikTok was queried using the hashtag #shoulderstabilityexercises, and 109 videos were included. The videos were collected by two authors and independently evaluated using DISCERN (a well-validated informational analysis tool) and shoulder stability exercise education score (a self-designed tool for the evaluation of shoulder instability-related exercises).Results:DISCERN scores of videos uploaded by general users had significantly lower scores in all four categories than those uploaded by healthcare professionals (P &lt; 0.001, P = 0.005, P = 0.002, and P &lt; 0.001). For the shoulder stability exercise education score, general users had a significantly lower score than the healthcare professionals at 3.36 and 4.91 on a 25-point scale, respectively (P = 0.034). General users had more videos graded as very poor (84.2%) in comparison to the number of videos uploaded by healthcare professionals deemed very poor (51.5%). However, the remainder of healthcare professionals had their videos graded as poor (48.5%).Conclusion:Despite slightly improved video quality from healthcare professionals, the overall educational of the videos related to shoulder instability exercises was poor.</t>
  </si>
  <si>
    <t>[Bethell, Mikhail A.; Anastasio, Albert T.; Taylor, Joshua R.; Tabarestani, Troy Q.; Klifto, Christopher S.; Anakwenze, Oke] Duke Univ, Dept Orthopaed Surg, Med Ctr, Durham, NC 27708 USA</t>
  </si>
  <si>
    <t>Bethell, MA (corresponding author), Duke Univ, Dept Orthopaed Surg, Med Ctr, Durham, NC 27708 USA.</t>
  </si>
  <si>
    <t>mab204@duke.edu; albert.anastasio@duke.edu; joshua.taylor@duke.edu; troy.tabarestani@duke.edu; oke.anakwenze@duke.edu</t>
  </si>
  <si>
    <t>10.5435/JAAOSGlobal-D-23-00034</t>
  </si>
  <si>
    <t>J5BC1</t>
  </si>
  <si>
    <t>WOS:001009759200003</t>
  </si>
  <si>
    <t>Celik, B; Uzunboylu, H; Demirbas-Celik, N</t>
  </si>
  <si>
    <t>Celik, Birol; Uzunboylu, Huseyin; Demirbas-Celik, Nur</t>
  </si>
  <si>
    <t>Higher Education Students' Social Media Platform Preferences for Educational Purposes</t>
  </si>
  <si>
    <t>RED-REVISTA DE EDUCACION A DISTANCIA</t>
  </si>
  <si>
    <t>social media; educational purpose; preference; gender</t>
  </si>
  <si>
    <t>COOL ENGAGEMENTS; YOUTUBE; FACEBOOK; TWITTER; PERCEPTIONS; CHEMISTRY; TOOL</t>
  </si>
  <si>
    <t>The aim of the study is to determine the preference rankings higher education students' social media platform preferences for educational purposes. The most used social media platforms in which people spend their time are respectively Instagram, TikTok, YouTube, WhatsApp, and Facebook in Turkey. These nine social media platforms were scaled using the method of pair-wise comparison. Participants of the study were 492 higher education students in Turkey. Data analysis was done using the Thurstone V. equation of state equation. In this research, social media tools preferred by higher education students for educational purposes are listed respectively as Instagram, WhatsApp, YouTube, Twitter, Snapchat, Telegram, Pinterest, Facebook/FB Messenger and TikTok. Also, the preferences of female and male higher education students upon social media tools for educational purposes are examined. According to this for female students it is listed respectively as WhatsApp, Instagram, YouTube, Twitter, Snapchat, Pinterest, Telegram, TikTok and Facebook/FB Messenger; and for male students, it is listed respectively as Instagram, WhatsApp, YouTube, Twitter, Telegram, Facebook/FB Messenger, Snapchat, and Pinterest.</t>
  </si>
  <si>
    <t>[Celik, Birol] Near East Univ, Nortt Cyprus, Turkiye; [Uzunboylu, Huseyin] Near East Univ, Nicosia, North Cyprus, Turkiye; [Demirbas-Celik, Nur] Alanya Alaaddin Keykubat Univ, Alanya, Turkiye</t>
  </si>
  <si>
    <t>Near East University; Near East University; Alanya Alaaddin Keykubat University</t>
  </si>
  <si>
    <t>Celik, B (corresponding author), Near East Univ, Nortt Cyprus, Turkiye.</t>
  </si>
  <si>
    <t>celik.birol@benakademi.org; huseyin.uzunboylu@neu.edu.tr; nur.celik@alanya.edu.tr</t>
  </si>
  <si>
    <t>Demirbas-Celik, Nur/L-2032-2014; Uzunboylu, Huseyin/O-3552-2017; Celik, Birol/K-9484-2014</t>
  </si>
  <si>
    <t>Demirbas-Celik, Nur/0000-0001-7920-4361; Uzunboylu, Huseyin/0000-0002-6744-6838; Celik, Birol/0000-0002-5822-0829</t>
  </si>
  <si>
    <t>Murcia</t>
  </si>
  <si>
    <t>Edificio Pleiades Campus de Espinardo, Murcia, 30071, SPAIN</t>
  </si>
  <si>
    <t>1578-7680</t>
  </si>
  <si>
    <t>RED-REV EDUC DISTANC</t>
  </si>
  <si>
    <t>RED-Rev. Educ. Distancia</t>
  </si>
  <si>
    <t>JAN 9</t>
  </si>
  <si>
    <t>10.6018/red.491551</t>
  </si>
  <si>
    <t>L9AQ3</t>
  </si>
  <si>
    <t>WOS:001026122200005</t>
  </si>
  <si>
    <t>Becker, AB</t>
  </si>
  <si>
    <t>Becker, Amy Bree</t>
  </si>
  <si>
    <t>Getting Out the Vote on Twitter With Mandy Patinkin: Celebrity Authenticity, TikTok, and the Couple You Actually Want at Thanksgiving Dinner ... or Your Passover Seder</t>
  </si>
  <si>
    <t>celebrity; get out the vote; mobilization; Twitter; TikTok; authenticity</t>
  </si>
  <si>
    <t>STAR POWER; ENDORSEMENTS; ENGAGEMENT; ADVOCACY; POLITICS</t>
  </si>
  <si>
    <t>The research offers a critical examination of the social media activity of Mandy Patinkin and Kathryn Grody, the unexpected celebrity activist couple driving the effort to get out the vote during the 2020 U.S. presidential election. Documenting the performed authenticity and intimacy of the couple's Twitter feed, the analysis focuses on the couple's ability to create a multisocial, engaged relationship with their followers, capitalizing on a platform collapse across various social media accounts. The couple's advocacy is designed to encourage connective action and reflects a more democratic turn in celebrity engagement, where the boundaries that separate fan from star are diminished thanks to the affordances of social media platforms like Twitter and TikTok. A discussion of the subcultural Jewish political and cultural community Patinkin and Grody cultivate is advanced along with the couple's status as America's preferred relatives whom you would want at your Thanksgiving dinner or, for some, your annual Passover seder.</t>
  </si>
  <si>
    <t>[Becker, Amy Bree] Loyola Univ Maryland, Baltimore, MD 21210 USA</t>
  </si>
  <si>
    <t>Loyola University Maryland</t>
  </si>
  <si>
    <t>Becker, AB (corresponding author), Loyola Univ Maryland, Baltimore, MD 21210 USA.</t>
  </si>
  <si>
    <t>abbecker@loyola.edu</t>
  </si>
  <si>
    <t>WOS:000729944300074</t>
  </si>
  <si>
    <t>Zhao, LM; Ye, WM</t>
  </si>
  <si>
    <t>Zhao, Luming; Ye, WeiMing</t>
  </si>
  <si>
    <t>Making Laughter: How Chinese Official Media Produce News on the Douyin (TikTok)</t>
  </si>
  <si>
    <t>JOURNALISM PRACTICE</t>
  </si>
  <si>
    <t>Douyin; TikTok; Digital platform; Chinese official media; Social media logic; News production</t>
  </si>
  <si>
    <t>JOURNALISM; WORK</t>
  </si>
  <si>
    <t>As algorithm-driven content platforms sweep the world, what is changing in journalism? This article investigates news production of the Chinese official media on Douyin (the Chinese version of TikTok). From the perspectives of news gathering, professional role, and news value, we conducted a manual content analysis (N = 991) of four representative Chinese official media (People's Daily, China Youth Daily, Southern Metropolis Daily and Sichuan Observer) to reveal the commonalities and heterogeneities of their news production on Douyin. Then, through an automated content analysis of Sichuan Observer (N = 16,045), we illustrate how district media convergence centers have fought for public attention as emerging actors in the news ecosystem. Overall, we map the current practices of Chinese official media on the emerging algorithm-driven content platforms, focusing on how they pursue a new type of news orientation and popularize the Party's message while disseminating entertainment content. Contributions, such as the expansion of the classification framework of Chinese official media, and the catering of journalism to platforms, are discussed.</t>
  </si>
  <si>
    <t>[Zhao, Luming] Fudan Univ, Sch Journalism, Shanghai, Peoples R China; [Ye, WeiMing] Peking Univ, HSBC Business Sch, Shenzhen, Peoples R China</t>
  </si>
  <si>
    <t>Fudan University; Peking University</t>
  </si>
  <si>
    <t>Ye, WM (corresponding author), Peking Univ, HSBC Business Sch, Shenzhen, Peoples R China.</t>
  </si>
  <si>
    <t>yewm@phbs.pku.edu.cn</t>
  </si>
  <si>
    <t>Zhao, Luming/JAN-6535-2023</t>
  </si>
  <si>
    <t>Zhao, Luming/0000-0001-7055-1420</t>
  </si>
  <si>
    <t>National Social Science Fund of China [19BXW098]</t>
  </si>
  <si>
    <t>This work was supported by the National Social Science Fund of China (Grant No. 19BXW098).</t>
  </si>
  <si>
    <t>1751-2786</t>
  </si>
  <si>
    <t>1751-2794</t>
  </si>
  <si>
    <t>JOURNAL PRACT</t>
  </si>
  <si>
    <t>Journal. Pract.</t>
  </si>
  <si>
    <t>2023 APR 22</t>
  </si>
  <si>
    <t>10.1080/17512786.2023.2199720</t>
  </si>
  <si>
    <t>E1DJ1</t>
  </si>
  <si>
    <t>WOS:000973023000001</t>
  </si>
  <si>
    <t>Phan, DH; Nguyen, QD; Phuc, VKN</t>
  </si>
  <si>
    <t>Phan, Dinh Huan; Nguyen, Quang Duy; Phuc, Vinh Khang Nguyen</t>
  </si>
  <si>
    <t>Dataset on Vietnamese students' impulse buying behavior on TikTok shop</t>
  </si>
  <si>
    <t>DATA IN BRIEF</t>
  </si>
  <si>
    <t>Article; Data Paper</t>
  </si>
  <si>
    <t>E -commerce platform; Online impulse shopping; Scarcity; Serendipity information; Trust; Hedonic motivation; Shopping lifestyle; Product presentation</t>
  </si>
  <si>
    <t>This article aims to provide a dataset on the factors affecting the online impulse buying behavior of university and college students in Vietnam. The examined factors include scarcity (SC), serendipity information (SI), trust (TR), hedonic motivation (HM), shopping lifestyle (SL), and product presentation (PP). In particular, the survey focuses on impulse shopping behavior on TikTok Shop, a rapidly growing e-commerce platform that is increasingly popular among Generation Z in Vietnam and other Asian countries. The data collection process was conducted from January 2024 to March 2024 through an online questionnaire and resulting in 361 valid responses from 10 provinces and cities in the Mekong Delta. This dataset could be valuable for enterprises operating on TikTok Shop or those planning to join the platform by providing insights into consumer behavior. Furthermore, it facilitates broader comparative studies across different regions or shopping platforms. (c) 2024 The Author(s). Published by Elsevier Inc. This is an open access article under the CC BY-NC license (http://creativecommons.org/licenses/by-nc/4.0/)</t>
  </si>
  <si>
    <t>[Phan, Dinh Huan; Nguyen, Quang Duy; Phuc, Vinh Khang Nguyen] FPT Univ, Can Tho Campus, Can Tho 900000, Vietnam</t>
  </si>
  <si>
    <t>Nguyen, QD (corresponding author), FPT Univ, Can Tho Campus, Can Tho 900000, Vietnam.</t>
  </si>
  <si>
    <t>duynq28@fe.edu.vn</t>
  </si>
  <si>
    <t>2352-3409</t>
  </si>
  <si>
    <t>DATA BRIEF</t>
  </si>
  <si>
    <t>Data Brief</t>
  </si>
  <si>
    <t>10.1016/j.dib.2024.111047</t>
  </si>
  <si>
    <t>K7E2D</t>
  </si>
  <si>
    <t>WOS:001345462500001</t>
  </si>
  <si>
    <t>D'Ambrosi, R; Hewett, TE</t>
  </si>
  <si>
    <t>D'Ambrosi, Riccardo; Hewett, Timothy E.</t>
  </si>
  <si>
    <t>Validity of Material Related to the Anterior Cruciate Ligament on TikTok</t>
  </si>
  <si>
    <t>anterior cruciate ligament; arthroscopy; knee; reels; rehabilitation; return to sport; social media; TikTok</t>
  </si>
  <si>
    <t>POOR INFORMATION; SOCIAL MEDIA; QUALITY; YOUTUBE; VIDEOS; RELIABILITY; DISCERN; RETURN; SPORT</t>
  </si>
  <si>
    <t>Background: Video material is one of the most common types of digital information on social media platforms. Purpose: To assess the validity and informational value of TikTok videos with regard to the anterior cruciate ligament (ACL). Study Design: Cross-sectional study. Methods: Using the terms anterior cruciate ligament AND/OR ACL, 420 TikTok videos were retrieved, of which 100 videos were included in the analysis. The video duration and the number of likes, shares, and views were recorded. Videos were categorized based on the source (private user, physical therapist, surgeon, and researcher), subject type (patient experience, physical therapy, injury mechanism, anatomy, clinical test, and surgical technique), content (patient experience/testimony, education, and rehabilitation), and any background audio (music or voice). Video quality assessments were conducted using the DISCERN instrument, The Journal of the American Medical Association ( JAMA) benchmark criteria, and the Global Quality Score (GQS). Associations between quantitative variables were tested using the Spearman rank correlation. One-way analysis of variance or Mann-Whitney test was performed to assess whether video quality differed by video characteristics. Results: A total of 41 videos were published by private users (41%), 34 by physical therapists (34%), 23 by surgeons (23%), and 2 by researchers (2%). Most of the information regarded patient experience (34%), followed by physical therapy (20%), injury mechanism (19%), anatomy (11%), clinical test (9%), and surgical technique (7%). The mean video length was 40.55 +/- 41.58 seconds. The mean number of views was 151,084.39 +/- 487,150.02, while the mean numbers of comments, likes, and shares were 72.80 +/- 249.68, 6781.49 +/- 29,163.96, and 98.71 +/- 307.76, respectively. The mean DISCERN, JAMA, and GQS scores were 15.73 +/- 1.44, 0.19 +/- 0.39, and 1.16 +/- 0.37, respectively, indicating the poorest quality on all 3 indices. The number of views, likes, shares, comments, and video lengths were all positively correlated with DISCERN (except the number of shares), JAMA, and GQS scores ( P &lt; .05). A significant difference was found in DISCERN scores between videos by private users and those by surgeons (15.37 +/- 0.98 vs 16.22 +/- 1.57; P = .007). Conclusion: Our analysis has demonstrated that the educational value of these videos on the ACL on TikTok is poor. Given the rapid growth of TikTok, further research is needed.</t>
  </si>
  <si>
    <t>[D'Ambrosi, Riccardo] IRCCS Osped Galeazzi Sant Ambrogio, Milan, Italy; [D'Ambrosi, Riccardo] Univ Milan, Dipartimento Sci Biomed Salute, Milan, Italy; [Hewett, Timothy E.] Marshall Univ, Dept Orthopaed, Huntington, WV USA; [D'Ambrosi, Riccardo] IRCCS Osped Galeazzi Sant Ambrogio, Via Cristina Belgioioso 173, I-20133 Milan, Italy</t>
  </si>
  <si>
    <t>University of Milan; Marshall University</t>
  </si>
  <si>
    <t>D'Ambrosi, R (corresponding author), IRCCS Osped Galeazzi Sant Ambrogio, Via Cristina Belgioioso 173, I-20133 Milan, Italy.</t>
  </si>
  <si>
    <t>D'Ambrosi, Riccardo/B-4324-2017; Hewett, Timothy/G-1023-2011</t>
  </si>
  <si>
    <t>10.1177/23259671241228543</t>
  </si>
  <si>
    <t>JO3P2</t>
  </si>
  <si>
    <t>WOS:001174071600001</t>
  </si>
  <si>
    <t>Are, C; Briggs, P</t>
  </si>
  <si>
    <t>Are, Carolina; Briggs, Pam</t>
  </si>
  <si>
    <t>The Emotional and Financial Impact of De-Platforming on Creators at the Margins</t>
  </si>
  <si>
    <t>de-platforming; content moderation; platform governance; Instagram; TikTok; online sex work</t>
  </si>
  <si>
    <t>FOLLOWERS; WORK</t>
  </si>
  <si>
    <t>This study provides one of the first examples of de-platforming's direct emotional and financial impact on Instagram and TikTok content creators at the margins. Both platforms provide significant opportunities toward creative and flexible work, allowing creators to maintain networks, promote work, express themselves and earn a living. However, their governance can severely disrupt certain forms of content creation, particularly for users who post online sex work and nude content. Through a qualitative survey, we gathered the experiences of 123 de-platformed Instagram and TikTok users who posted nude or sex work-related content. Our study provides crucial testimonies showing that the precarity of creator labor and platforms' reliance on automated content moderation have negatively impacted creators' well-being. Participants faced adverse psychological impacts resulting from job and income uncertainty, associated feelings of powerlessness, a loss of digital identity, and enforced isolation from a previously established social network. We conclude by providing platform governance recommendations based on these experiences.</t>
  </si>
  <si>
    <t>[Are, Carolina; Briggs, Pam] Northumbria Univ, Newcastle Upon Tyne, England; [Are, Carolina] Northumbria Univ, Sutherland Bldg,Northumberland Rd, Newcastle Upon Tyne NE1 8ST, England</t>
  </si>
  <si>
    <t>Northumbria University; Northumbria University</t>
  </si>
  <si>
    <t>Are, C (corresponding author), Northumbria Univ, Sutherland Bldg,Northumberland Rd, Newcastle Upon Tyne NE1 8ST, England.</t>
  </si>
  <si>
    <t>Are, Carolina/0000-0003-1110-3155; Briggs, Pam/0000-0001-5028-4601</t>
  </si>
  <si>
    <t>10.1177/20563051231155103</t>
  </si>
  <si>
    <t>9R1JE</t>
  </si>
  <si>
    <t>Green Accepted, gold</t>
  </si>
  <si>
    <t>WOS:000945410600001</t>
  </si>
  <si>
    <t>Vacca, R</t>
  </si>
  <si>
    <t>Vacca, Ralph</t>
  </si>
  <si>
    <t>Algorithmic counterspaces: exploring Afro-Latino youth information practices using TikTok</t>
  </si>
  <si>
    <t>INFORMATION AND LEARNING SCIENCES</t>
  </si>
  <si>
    <t>Afro-Latinx teens; Mental health; Information practices; Counterspaces; Algorithmic design; TikTok; Intersectional identities; Afro-Latino youth</t>
  </si>
  <si>
    <t>HEALTH INFORMATION; SOCIAL MEDIA; BLACK; CONSCIOUSNESS; ADOLESCENT</t>
  </si>
  <si>
    <t>PurposeThis paper investigates the digital information practices of Afro-Latino youth, focusing on their engagement with mental health content on TikTok. It aims to understand how racial and ethnic identity dimensions shape their information behaviors in digital spaces.Design/methodology/approachEmploying qualitative methods, the study involved interviews with thirteen Afro-Latino teens. This exploratory approach, draws connections between Afro-Latino identity and information practices using three constructs: (i) typology of information practices, (ii) intersectionality, and (iii) assemblages.FindingsThe study reveals that Afro-Latino youth actively construct information assemblages and algorithmic counterspaces on TikTok, enabling them to engage with content that resonates with their identities. However, it also highlights the challenges posed by these spaces' temporary and algorithm-dependent nature in maintaining consistent engagement with mental health information.Research limitations/implicationsThe research is limited by its small sample size and focus on a single platform, which may affect generalizability. Future research should explore other platforms, and draw a deeper distinction between content creators and other users.Practical implicationsThis paper underscores the need for designers and educators to prioritize the importance of algorithmic literacy and design affordances that empower users to transparently understand algorithmic functionality, so as to support on-going engagement with algorithmic counterspaces.Originality/valueThis research offers novel insights into the digital information practices of Afro-Latino youth, a typically underrepresented group in academic research. It introduces new concepts in information science and digital media studies, highlighting the importance of intersectional identities in digital information practices.</t>
  </si>
  <si>
    <t>[Vacca, Ralph] Fordham Univ, Dept Commun &amp; Media Studies, Lincoln Ctr Campus, New York, NY 10458 USA</t>
  </si>
  <si>
    <t>Fordham University</t>
  </si>
  <si>
    <t>Vacca, R (corresponding author), Fordham Univ, Dept Commun &amp; Media Studies, Lincoln Ctr Campus, New York, NY 10458 USA.</t>
  </si>
  <si>
    <t>rvacca2@fordham.edu</t>
  </si>
  <si>
    <t>2398-5348</t>
  </si>
  <si>
    <t>2398-5356</t>
  </si>
  <si>
    <t>INFORM LEARN SCI</t>
  </si>
  <si>
    <t>Inf. Learn. Sci.</t>
  </si>
  <si>
    <t>OCT 28</t>
  </si>
  <si>
    <t>10.1108/ILS-12-2023-0209</t>
  </si>
  <si>
    <t>L5T4P</t>
  </si>
  <si>
    <t>WOS:001228676900001</t>
  </si>
  <si>
    <t>Knoedler, L; Knoedler, S; Chartier, C; Panayi, AC; Orgill, DP; Moog, P; Oezdemir, B; von Isenburg, S; Studier-Fischer, A; Prantl, L; Kehrer, A</t>
  </si>
  <si>
    <t>Knoedler, Leonard; Knoedler, Samuel; Chartier, Christian; Panayi, Adriana C.; Orgill, Dennis P.; Moog, Philipp; Oezdemir, Berkin; von Isenburg, Sarah; Studier-Fischer, Alexander; Prantl, Lukas; Kehrer, Andreas</t>
  </si>
  <si>
    <t>The Rise of Facial Palsy on Social Media Over the Last 5 Years</t>
  </si>
  <si>
    <t>JOURNAL OF CRANIOFACIAL SURGERY</t>
  </si>
  <si>
    <t>facial palsy; facial paralysis; Bell palsy; social media; SoMe; Facebook; Instagram; Twitter; TikTok; Facial Palsy Awareness Week</t>
  </si>
  <si>
    <t>BELLS-PALSY; HEALTH COMMUNICATION; SURGERY; MANAGEMENT; TWITTER; EDUCATION; IMPACT</t>
  </si>
  <si>
    <t>Background:Social media (SoMe) has become a powerful platform for distributing health information. Facial palsy (FP) results in functional and social impairment and lowers quality of life. Social media may help to raise awareness of FP sequalae. This study aims to determine the FP information growth on SoMe platforms and parameters that influence user engagement on FP content. Methods:Five commonly used SoMe platforms (Facebook, Instagram, TikTok, Twitter, and Reddit) were analyzed. Data on 18 FP hashtags and their social interaction parameters (posts, likes, reaches, comments, shares, language, and country of origin) over the past 5 years (July 31, 2016, to July 31, 2021) were collected. In-depth account analysis was performed on the 5 most popular Instagram profiles associated with FP. Results:The annual growth curve was positive on each platform. Facial Palsy Awareness Week 2021 trended best on TikTok. Facebook accumulated 315,411 likes and 1,922,678 reaches on 8356 posts. On Instagram, 24,968 posts gathered 4,904,124 likes and 9,215,852 reaches. TikTok users interacted on 3565 posts, accumulating 4,304,155 likes and 4,200,368 reaches. The implementation of reels (P&lt;0.001) and the profile host interacting with their followers by liking (P&lt;0.001) and replying (P&lt;0.001) to users' comments significantly increased the engagement rate. Conclusions:Facial palsy is of increasing interest on SoMe. Facial palsy surgeons may post reels, interact with their community, and engage into FPAW to promote user engagement.</t>
  </si>
  <si>
    <t>[Knoedler, Leonard; Prantl, Lukas; Kehrer, Andreas] Univ Hosp Regensburg, Dept Plast Hand &amp; Reconstruct Surg, Regensburg, Germany; [Knoedler, Samuel; Panayi, Adriana C.; Orgill, Dennis P.] Harvard Med Sch, Brigham &amp; Womens Hosp, Dept Surg, Div Plast Surg, Boston, MA USA; [Knoedler, Samuel; Moog, Philipp] Tech Univ Munich, Dept Plast Surg &amp; Hand Surg, Klinikum Rechts Isar, Munich, Germany; [Chartier, Christian] McGill Univ, Fac Med, Montreal, PQ, Canada; [Oezdemir, Berkin; Studier-Fischer, Alexander] Univ Hosp Heidelberg, Dept Gen Visceral &amp; Transplantat Surg, Heidelberg, Germany; [von Isenburg, Sarah] Practice Plast &amp; Aesthet Surg Munich, Munich, Germany; [Knoedler, Leonard] Cand Med, Von Kleist Str 22, D-93138 Lappersdorf, Germany</t>
  </si>
  <si>
    <t>University of Regensburg; Harvard University; Brigham &amp; Women's Hospital; Harvard Medical School; Technical University of Munich; McGill University; Ruprecht Karls University Heidelberg</t>
  </si>
  <si>
    <t>Knoedler, L (corresponding author), Cand Med, Von Kleist Str 22, D-93138 Lappersdorf, Germany.</t>
  </si>
  <si>
    <t>leonard.knoedler@ukr.de; samknoe@gmail.com; christian.chartier13@gmail.com; apanayi@bwh.harvard.edu; dorgill@bwh.harvard.edu; philipp.moog1@mri.tum.de; kamiloe32@gmail.com; sarah@isenburg.de; alexander@studier-fischer.com; lukas.prantl@klinik.uni-regensburg.de; andreaskehrer@gmx.de</t>
  </si>
  <si>
    <t>Kehrer, Andreas/AAC-2483-2021; Orgill, Dennis/H-7596-2019; Panayi, Adriana/HHT-0513-2022; Knoedler, Samuel/IZQ-4210-2023</t>
  </si>
  <si>
    <t>Panayi, Adriana/0000-0003-4053-9855; Knoedler, Samuel/0000-0001-5798-8003</t>
  </si>
  <si>
    <t>1049-2275</t>
  </si>
  <si>
    <t>1536-3732</t>
  </si>
  <si>
    <t>J CRANIOFAC SURG</t>
  </si>
  <si>
    <t>J. Craniofac. Surg.</t>
  </si>
  <si>
    <t>10.1097/SCS.0000000000009106</t>
  </si>
  <si>
    <t>D8PD2</t>
  </si>
  <si>
    <t>WOS:000971283000062</t>
  </si>
  <si>
    <t>Cunliffe, D</t>
  </si>
  <si>
    <t>Cunliffe, Daniel</t>
  </si>
  <si>
    <t>Exploring the presence of Cymraeg on TikTok</t>
  </si>
  <si>
    <t>Digital language vitality; endangered languages; minority languages; social media; Welsh</t>
  </si>
  <si>
    <t>SOCIAL NETWORKING SITES; LANGUAGE REVITALIZATION; MINORITY LANGUAGES; WELSH LANGUAGE; COMMUNICATION; SPEAKERS; MEDIA</t>
  </si>
  <si>
    <t>Many of the world's languages are endangered or vulnerable. For some of these languages, a presence in technological domains can illustrate vitality and demonstrate relevance to the lives of younger speakers. A presence on social media is often seen as particularly significant for younger speakers due to their high levels of social media use. This article explores the presence of Cymraeg (the Welsh language) on TikTok. Through the analysis of a corpus of 200 videos, the article reveals a complex and richly bilingual content space with considerable intermingling of Cymraeg and English. Commenting on videos and engaging in a text-based conversation with the content creator and other audience members is shown to be a significant activity. The corpus demonstrates that Cymraeg is being used, taught, discussed and promoted on TikTok. This article contributes to an ongoing assessment of the digital vitality of Cymraeg and extends our understanding of the role that social media can play in supporting the sustainability and vitality of minority languages.</t>
  </si>
  <si>
    <t>[Cunliffe, Daniel] Univ South Wales, Fac Comp Engn &amp; Sci, Pontypridd, Wales; [Cunliffe, Daniel] Univ South Wales, Fac Comp Engn &amp; Sci, Informat &amp; Elect, Treforest Campus, Pontypridd CF37 1DL, Wales</t>
  </si>
  <si>
    <t>University of South Wales; University of South Wales</t>
  </si>
  <si>
    <t>Cunliffe, D (corresponding author), Univ South Wales, Fac Comp Engn &amp; Sci, Informat &amp; Elect, Treforest Campus, Pontypridd CF37 1DL, Wales.</t>
  </si>
  <si>
    <t>daniel.cunliffe@southwales.ac.uk</t>
  </si>
  <si>
    <t>Cunliffe, Daniel/AAM-4343-2020</t>
  </si>
  <si>
    <t>Cunliffe, Daniel/0000-0002-9142-185X</t>
  </si>
  <si>
    <t>2024 APR 15</t>
  </si>
  <si>
    <t>10.1177/14614448241243096</t>
  </si>
  <si>
    <t>NX6A6</t>
  </si>
  <si>
    <t>WOS:001203779800001</t>
  </si>
  <si>
    <t>Wanzer, CV; Pfender, EJ; Travis, NP; Bleakley, A</t>
  </si>
  <si>
    <t>Wanzer, Claire V.; Pfender, Emily J.; Travis, Nicole P.; Bleakley, Amy</t>
  </si>
  <si>
    <t>Mapping the Field: A Content Analysis of Marketable NCAA Athletes' Social Media Self-Presentation</t>
  </si>
  <si>
    <t>COMMUNICATION &amp; SPORT</t>
  </si>
  <si>
    <t>self-presentation; national collegiate athletic association athletes; NIL; TikTok; instagram</t>
  </si>
  <si>
    <t>The following study applies the framework of self-presentation theory to examine one year of posts (n = 1064) from the TikTok and Instagram accounts of 18 highly marketable NCAA athletes. A content analysis was used to examine differences by platform, gender, and content type following the approval of NIL compensation for collegiate athletes. Findings revealed significant differences between male and female athletes regarding the type of content posted, prevalent self-presentation themes, and engagement. Male athletes were found to post more frontstage athletic performance content and backstage marketable lifestyle content than female athletes. In contrast, female athletes posted more backstage content in the attractive appearance category, which also was the category with the highest engagement from audiences. Additionally frontstage content in athletic performance content categories was more prevalent on Instagram, while backstage content appeared more frequently on TikTok. These findings advance our understanding of athletes' social media platform use and are in line with traditional media presentations of gender and sport.</t>
  </si>
  <si>
    <t>[Wanzer, Claire V.; Pfender, Emily J.; Travis, Nicole P.; Bleakley, Amy] Univ Delaware, Deparment Commun, Newark, DE USA; [Wanzer, Claire V.] Univ Delaware, Deparment Commun, 125 Acad St 102b, Newark, DE 19716 USA</t>
  </si>
  <si>
    <t>University of Delaware; University of Delaware</t>
  </si>
  <si>
    <t>Wanzer, CV (corresponding author), Univ Delaware, Deparment Commun, 125 Acad St 102b, Newark, DE 19716 USA.</t>
  </si>
  <si>
    <t>cwanzer@udel.edu</t>
  </si>
  <si>
    <t>2167-4795</t>
  </si>
  <si>
    <t>2167-4809</t>
  </si>
  <si>
    <t>COMMUN SPORT</t>
  </si>
  <si>
    <t>Commun. Sport</t>
  </si>
  <si>
    <t>2024 FEB 8</t>
  </si>
  <si>
    <t>10.1177/21674795241232404</t>
  </si>
  <si>
    <t>Communication; Hospitality, Leisure, Sport &amp; Tourism</t>
  </si>
  <si>
    <t>HE5P0</t>
  </si>
  <si>
    <t>WOS:001157833100001</t>
  </si>
  <si>
    <t>Feng, SM; Berndt, A; Ots, M</t>
  </si>
  <si>
    <t>Feng, Songming; Berndt, Adele; Ots, Mart</t>
  </si>
  <si>
    <t>Residents' videographic practices on TikTok (Douyin): Enacting and communicating social sustainability during a COVID-19 lockdown</t>
  </si>
  <si>
    <t>JOURNAL OF MEDIA BUSINESS STUDIES</t>
  </si>
  <si>
    <t>Short video; social media; social sustainability; UGC; lockdown; Douyin; residents; TikTok</t>
  </si>
  <si>
    <t>USER-GENERATED CONTENT; CONSUMER; BUSINESS; AUDIENCE; THINKING</t>
  </si>
  <si>
    <t>This paper explores the intersection between sustainability and social media activity by studying how user-generated content (UGC) creation enacted and communicated social sustainability in times of restricted social interaction. The context is Wuhan in China, a city that implemented a 76-day lockdown in the early stages of the COVID-19 pandemic. Based on a sample of 187 short videos created and posted by Wuhan residents on Douyin (TikTok) during the lockdown, this paper answers this question - how did UGC creators produce short videos on social media to facilitate social connections with others? UGC creators' video-making practices are conceptualised in the typology of Evoking, Performing, Collaborating, and Narrating, and each practice enabled creators to connect and socialise virtually with others, thus contributing to all participants' social sustainability in a pandemic. This study contributes to media management scholarship by adding knowledge to the understanding of two areas: the productive role of media audiences, especially their content production practices and logics; the nature of short videos as media products.</t>
  </si>
  <si>
    <t>[Feng, Songming] Beijing Normal Univ Hong Kong Baptist Univ United, Fac Humanities &amp; Social Sci, Dept Commun, Zhuhai, Guangdong, Peoples R China; [Feng, Songming; Berndt, Adele; Ots, Mart] Jonkoping Univ, Jonkoping Int Business Sch, Media Management &amp; Transformat Ctr MMTC, Jonkoping, Sweden; [Berndt, Adele] Univ Pretoria, Gordon Inst Business Sci, Johannesburg, South Africa; [Feng, Songming] Beijing Normal Univ Hong Kong Baptist Univ United, Fac Humanities &amp; Social Sci, Dept Commun, 2000 Jintong Rd Tangjiawan, Zhuhai, Guangdong, Peoples R China</t>
  </si>
  <si>
    <t>Hong Kong Baptist University; Beijing Normal University - Hong Kong Baptist University United International College; Jonkoping University; University of Pretoria; Hong Kong Baptist University; Beijing Normal University - Hong Kong Baptist University United International College</t>
  </si>
  <si>
    <t>Feng, SM (corresponding author), Beijing Normal Univ Hong Kong Baptist Univ United, Fac Humanities &amp; Social Sci, Dept Commun, 2000 Jintong Rd Tangjiawan, Zhuhai, Guangdong, Peoples R China.</t>
  </si>
  <si>
    <t>songmingfeng@uic.edu.cn</t>
  </si>
  <si>
    <t>; Berndt, Adele/T-5225-2017</t>
  </si>
  <si>
    <t>Feng, Songming/0000-0002-4645-2200; Ots, Mart/0000-0002-0301-9765; Berndt, Adele/0000-0002-6633-632X</t>
  </si>
  <si>
    <t>1652-2354</t>
  </si>
  <si>
    <t>2376-2977</t>
  </si>
  <si>
    <t>J MEDIA BUS STUD</t>
  </si>
  <si>
    <t>J. Media Bus. Stud.</t>
  </si>
  <si>
    <t>10.1080/16522354.2023.2207160</t>
  </si>
  <si>
    <t>K5E4W</t>
  </si>
  <si>
    <t>WOS:001022674000001</t>
  </si>
  <si>
    <t>van Kampen, K; Laski, J; Herman, G; Chan, TM</t>
  </si>
  <si>
    <t>van Kampen, Katherine; Laski, Jeremi; Herman, Gabrielle; Chan, Teresa M.</t>
  </si>
  <si>
    <t>Investigating COVID-19 Vaccine Communication and Misinformation on TikTok: Cross-sectional Study</t>
  </si>
  <si>
    <t>TikTok; COVID-19 vaccines; vaccinations; misinformation; COVID-19; Infodemiology; social media; health information; content analysis; vaccine hesitancy; public health; web-based health information</t>
  </si>
  <si>
    <t>Background: The COVID-19 pandemic has highlighted the need for reliable information, especially around vaccines. Vaccine hesitancy is a growing concern and a great threat to broader public health. The prevalence of social media within our daily lives emphasizes the importance of accurately analyzing how health information is being disseminated to the public. TikTok is of particular interest, as it is an emerging social media platform that young adults may be increasingly using to access health information. Objective: The objective of this study was to examine and describe the content within the top 100 TikToks trending with the hashtag #covidvaccine. Methods: The top 250 most viewed TikToks with the hashtag #covidvaccine were batch downloaded on July 1, 2021, with their respective metadata. Each TikTok was subsequently viewed and encoded by 2 independent reviewers. Coding continued until 100 TikToks could be included based on language and content. Descriptive features were recorded including health care professional (HCP) status of creator, verification of HCP status, genre, and misinformation addressed. Primary inclusion criteria were any TikToks in English with discussion of a COVID-19 vaccine. Results: Of 102 videos included, the median number of plays was 1,700,000, with median shares of 9224 and 62,200 followers. Upon analysis, 14.7% (15/102) of TikToks included HCPs, of which 80% (12/102) could be verified via social media or regulatory body search; 100% (15/15) of HCP-created TikToks supported vaccine use, and overall, 81.3% (83/102) of all TikToks (created by either a layperson or an HCP) supported vaccine use. Conclusions: As the pandemic continues, vaccine hesitancy poses a threat to lifting restrictions, and discovering reasons for this hesitancy is important to public health measures. This study summarizes the discourse around vaccine use on TikTok. Importantly, it opens a frank discussion about the necessity to incorporate new social media platforms into medical education, so we might ensure our trainees are ready to engage with patients on novel platforms. (JMIR Infodemiology 2022;2(2):e38316) doi: 10.2196/38316</t>
  </si>
  <si>
    <t>[van Kampen, Katherine; Herman, Gabrielle] McMaster Univ, Fac Hlth Sci, Michael G DeGroote Sch Med, Hamilton, ON, Canada; [Laski, Jeremi] Cent Michigan Univ, Coll Med, Mt Pleasant, MI USA; [Chan, Teresa M.] McMaster Univ, Fac Hlth Sci, Dept Med, Div Emergency Med, Hamilton, ON, Canada; [Chan, Teresa M.] McMaster Univ, Fac Hlth Sci, Off Continuing Profess Dev, Hamilton, ON, Canada; [Chan, Teresa M.] McMaster Univ, Fac Hlth Sci, McMaster Educ Res Innovat &amp; Theory, Hamilton, ON, Canada; [Chan, Teresa M.] McMaster Univ, Fac Hlth Sci, Dept Med, Div Educ &amp; Innovat, Hamilton, ON, Canada; [Chan, Teresa M.] McMaster Univ, Fac Hlth Sci, Dept Med, Div Emergency Med, 100 Main St W,Room 5003, Hamilton, ON L8P 1H6, Canada</t>
  </si>
  <si>
    <t>McMaster University; Central Michigan University; McMaster University; McMaster University; McMaster University; McMaster University; McMaster University</t>
  </si>
  <si>
    <t>Chan, TM (corresponding author), McMaster Univ, Fac Hlth Sci, Dept Med, Div Emergency Med, 100 Main St W,Room 5003, Hamilton, ON L8P 1H6, Canada.</t>
  </si>
  <si>
    <t>teresa.chan@medportal.ca</t>
  </si>
  <si>
    <t>; Chan, Teresa/T-6676-2017</t>
  </si>
  <si>
    <t>van Kampen, Katherine/0000-0001-7415-3243; Chan, Teresa/0000-0001-6104-462X; Herman, Gabrielle/0000-0003-4695-5251</t>
  </si>
  <si>
    <t>Physician Services Incorporated (PSI) foundation in Ontario, Canada</t>
  </si>
  <si>
    <t>The authors would like to thank Dr Yusuf Yilmaz for his invaluable help with citation management and TMC's research group for their constructive feedback throughout the research process. TMC has received funding for her work about social media for education and knowledge translation from the Physician Services Incorporated (PSI) foundation in Ontario, Canada.</t>
  </si>
  <si>
    <t>e38316</t>
  </si>
  <si>
    <t>10.2196/38316</t>
  </si>
  <si>
    <t>CQ9G4</t>
  </si>
  <si>
    <t>WOS:001126820700029</t>
  </si>
  <si>
    <t>Tommaso, L</t>
  </si>
  <si>
    <t>Tommaso, Laura</t>
  </si>
  <si>
    <t>A genre-oriented analysis of TikTok instructional discourse</t>
  </si>
  <si>
    <t>TRANSLATION AND TRANSLANGUAGING IN MULTILINGUAL CONTEXTS</t>
  </si>
  <si>
    <t>genre analysis; digital instructional discourse; EFL; social media</t>
  </si>
  <si>
    <t>LANGUAGE; CLASSROOMS; QUESTIONS; LECTURES; ENGLISH; STANCE</t>
  </si>
  <si>
    <t>This study intends to contribute to the analysis of digital instructional discourse in order to gain an insight into how the EFL classroom has in some sense shifted online in the hands of amateur experts (Tolson 2010; Bhatia 2018), who create an informal learning environment by drawing on their discursive competence, disciplinary knowledge and professional practice. By incorporating quantitative, qualitative, and case study data, this article considers the value of genre analysis in educational social media research. It focuses, particularly, on the rhetorical and lexico-grammatical features of a selection of TikTok video mini-lessons targeting Italian speakers of English as a foreign language. Analysis of the data reveals that digital language teaching discourse on TikTok is a structured event with recurrent rhetorical patterns and linguistic features for achieving both pedagogical and promotional communicative purposes. The research bears considerable relevance given the need for the analysis of transformation processes in instructional discourse amid the widespread use of information and communication technologies and the advance of online learning.</t>
  </si>
  <si>
    <t>[Tommaso, Laura] Univ Piemonte Orientale, Vercelli, Italy; [Tommaso, Laura] DISUM, Via Galileo Ferraris,107 Studio 2, I-13100 VercelliI, Italy</t>
  </si>
  <si>
    <t>University of Eastern Piedmont Amedeo Avogadro</t>
  </si>
  <si>
    <t>Tommaso, L (corresponding author), DISUM, Via Galileo Ferraris,107 Studio 2, I-13100 VercelliI, Italy.</t>
  </si>
  <si>
    <t>laura.tommaso@uniupo.it</t>
  </si>
  <si>
    <t>2352-1805</t>
  </si>
  <si>
    <t>2352-1813</t>
  </si>
  <si>
    <t>TRANSL TRANSL MULT C</t>
  </si>
  <si>
    <t>Translational Translanguaging Multiling. Contexts</t>
  </si>
  <si>
    <t>FEB 9</t>
  </si>
  <si>
    <t>10.1075/ttmc.00124.tom</t>
  </si>
  <si>
    <t>HW6O2</t>
  </si>
  <si>
    <t>WOS:001162586300001</t>
  </si>
  <si>
    <t>Meng, L; Kou, SN; Duan, S; Bie, YY</t>
  </si>
  <si>
    <t>Meng, Lu (Monroe); Kou, Sining; Duan, Shen; Bie, Yongyue</t>
  </si>
  <si>
    <t>The impact of content characteristics of Short-Form video ads on consumer purchase Behavior: Evidence from TikTok</t>
  </si>
  <si>
    <t>JOURNAL OF BUSINESS RESEARCH</t>
  </si>
  <si>
    <t>Content Characteristic; Short-Form Video Ad; TikTok; Purchase Behavior</t>
  </si>
  <si>
    <t>TELEVISION COMMERCIALS; OF-MOUTH; INVOLVEMENT; ATTITUDE; AUTHENTICITY; INTENTION; RESPONSES; TRUST; IMAGE; EWOM</t>
  </si>
  <si>
    <t>Short-form video ads are becoming increasingly popular. However, with the development of this burgeoning practice, there has been a surge in homogenized content, which makes it difficult to capture consumer attention and promote products. To address this issue, this research investigates 1) what content characteristics of shortform video ads are important for consumers and 2) how these content characteristics impact consumer purchase. Based on grounded theory, Study 1 identifies five content characteristics of short-form video ads: trustworthiness, expertise, attractiveness, authenticity, and brand heritage. Study 2 examines the impact of these characteristics on consumer purchase behavior by analyzing 2,578 valid videos released on TikTok by 128 users from January to December 2022. The results suggest that trustworthiness, expertise, and attractiveness are positively related to consumer purchase, whereas authenticity and brand heritage influence consumer purchase behaviors in a U-shaped manner. This study has theoretical and managerial implications for stakeholders.</t>
  </si>
  <si>
    <t>[Meng, Lu (Monroe); Bie, Yongyue] Southwest Jiaotong Univ, Sch Econ &amp; Management, Chengdu, Peoples R China; [Kou, Sining] Renmin Univ China, Business Sch, Beijing, Peoples R China; [Duan, Shen] Zhongnan Univ Econ &amp; Law, Sch Business Adm, Wuhan, Peoples R China</t>
  </si>
  <si>
    <t>Southwest Jiaotong University; Renmin University of China; Zhongnan University of Economics &amp; Law</t>
  </si>
  <si>
    <t>Bie, YY (corresponding author), Southwest Jiaotong Univ, Sch Econ &amp; Management, Chengdu, Peoples R China.;Duan, S (corresponding author), Zhongnan Univ Econ &amp; Law, Sch Business Adm, Wuhan, Peoples R China.</t>
  </si>
  <si>
    <t>jjzxml123@163.com; 2019100998@ruc.edu.cn; shen.duan@outlook.com; bieyongyue@126.com</t>
  </si>
  <si>
    <t>Kou, Sining/KFR-9372-2024</t>
  </si>
  <si>
    <t>China Postdoctoral Science Foundation [2022M722628]; National Natural Science Foundation of China [72302192]; National Social Science Foundation of China [23FYB061]; Social Science Foundation of Sichuan Province [SCJJ23ND437]; Western Rural Revitalization Research Center [WRR202312]</t>
  </si>
  <si>
    <t>China Postdoctoral Science Foundation(China Postdoctoral Science Foundation); National Natural Science Foundation of China(National Natural Science Foundation of China (NSFC)); National Social Science Foundation of China(National Office of Philosophy and Social Sciences); Social Science Foundation of Sichuan Province; Western Rural Revitalization Research Center</t>
  </si>
  <si>
    <t>This work was funded by the China Postdoctoral Science Foundation Grant (2022M722628), the National Natural Science Foundation of China Grant (72302192), the National Social Science Foundation of China Grant (23FYB061), the Social Science Foundation of Sichuan Province (SCJJ23ND437) and the Western Rural Revitalization Research Center (WRR202312) awarded to the first author.</t>
  </si>
  <si>
    <t>0148-2963</t>
  </si>
  <si>
    <t>1873-7978</t>
  </si>
  <si>
    <t>J BUS RES</t>
  </si>
  <si>
    <t>J. Bus. Res.</t>
  </si>
  <si>
    <t>10.1016/j.jbusres.2024.114874</t>
  </si>
  <si>
    <t>C3X2Q</t>
  </si>
  <si>
    <t>WOS:001288717600001</t>
  </si>
  <si>
    <t>Martucci, C; Ogliari, E</t>
  </si>
  <si>
    <t>Martucci, Chiara; Ogliari, Elena</t>
  </si>
  <si>
    <t>Generation Z in search of the future: the didactic-pedagogical model of TikTok Mundi</t>
  </si>
  <si>
    <t>didactic-pedagogical model; active citizenship; digital inclusion; school- university synergy; cross-media; empowerment</t>
  </si>
  <si>
    <t>This article presents the educational project TikTok Mundi, funded by the University of Milan, by focusing on its role in promoting digital citizenship among high school and university students. The project stands out for its innovative approach based on co-design and collaboration, aimed at developing critical skills in the use of digital media and fostering active participation in the production of audiovisual content. The analysis of the key components of TikTok Mundi-interactive workshops, training internships, and public events -demonstrates that these initiatives offered students a unique opportunity to explore and understand the cultural dynamics of contemporary digitization. In particular, the article discusses how the project enhanced the identities and talents of the participants, while encouraging a constructive dialogue between the university, local community, and educational institutions. Finally, the article emphasises the crucial importance of initiatives like TikTokMundi in promoting active and informed citizenship, integrating interdisciplinary perspectives into future education, and enriching the educational landscape with an inclusive and innovative approach.</t>
  </si>
  <si>
    <t>[Martucci, Chiara] Univ Milan, Studi Polit &amp; Docente Contratto, Milan, Italy; [Ogliari, Elena] Univ Milan, Ric Studi Letterari &amp; Culturali Presso, Milan, Italy</t>
  </si>
  <si>
    <t>University of Milan; University of Milan</t>
  </si>
  <si>
    <t>Martucci, C (corresponding author), Univ Milan, Studi Polit &amp; Docente Contratto, Milan, Italy.</t>
  </si>
  <si>
    <t>chiara.martucci@unimi.it; elena.ogliari@unimi.it</t>
  </si>
  <si>
    <t>WOS:001336390400003</t>
  </si>
  <si>
    <t>Taylor, ZA; Abidin, C</t>
  </si>
  <si>
    <t>Taylor, Zari A.; Abidin, Crystal</t>
  </si>
  <si>
    <t>Where are all the Black girls on TikTok?: Exploring in-group community and (in)visibility through #BlackGirlTikTok</t>
  </si>
  <si>
    <t>social media; platform affordances; hashtag analysis; Black girls; digital Black feminism; niche communities; visibility</t>
  </si>
  <si>
    <t>ADOLESCENT GIRLS; IDENTITY; POLITICS</t>
  </si>
  <si>
    <t>Since the global virality of the 'Renegade' dance on TikTok and beyond in 2020, concerns regarding the erasure of Black girls have been noted. This paper extends the conversation by considering how Black girls and teenagers may continue to wrestle with visibility and suppression even within a more intimate in-group community of Black TikTokers. In this paper, we assemble an original corpus of TikTok posts purposively sampled from #BlackGirlTikTok and apply content analysis guided by critical technocultural discourse analysis. Our findings reveal that the dominant discourse on #BlackGirlTikTok focused on embodied self-care (i.e. body and beauty care, health and wellness) and Black popular culture (i.e. audio memes, parlance), constituting a niche community for users to commune. However, despite the nomenclature of the hashtag, the users dominating the community were overtly Black women rather than Black girls or teenagers, thus raising issues of visibility, competition, and suppression within the in-group community.</t>
  </si>
  <si>
    <t>[Taylor, Zari A.] Univ North Carolina Chapel Hill, Chapel Hill, NC USA; [Abidin, Crystal] Curtin Univ, Perth, Australia</t>
  </si>
  <si>
    <t>University of North Carolina; University of North Carolina Chapel Hill; University of North Carolina School of Medicine; Curtin University</t>
  </si>
  <si>
    <t>Taylor, ZA (corresponding author), Univ North Carolina Chapel Hill, Dept Commun, 308 Bynum Hall, Chapel Hill, NC 27599 USA.</t>
  </si>
  <si>
    <t>zari@live.unc.edu</t>
  </si>
  <si>
    <t>Taylor, Zari/HLW-7626-2023</t>
  </si>
  <si>
    <t>Taylor, Zari/0000-0002-2278-3152</t>
  </si>
  <si>
    <t>Australian Research Council, Andrew W. Mellon Foundation [DE190100789, G-2112-11902]</t>
  </si>
  <si>
    <t>Australian Research Council, Andrew W. Mellon Foundation(Australian Research Council)</t>
  </si>
  <si>
    <t>The authors disclosed receipt of the following financial support for the research, authorship, and/or publication of this article: This work was supported by the Australian Research Council, Andrew W. Mellon Foundation (grant number DE190100789, G-2112-11902).</t>
  </si>
  <si>
    <t>10.1177/13678779241276751</t>
  </si>
  <si>
    <t>F9W1E</t>
  </si>
  <si>
    <t>WOS:001313228600001</t>
  </si>
  <si>
    <t>Axler, EN; Lipner, SR</t>
  </si>
  <si>
    <t>Axler, Eden N.; Lipner, Shari R.</t>
  </si>
  <si>
    <t>Unveiling an Acrylate Allergy Epidemic: Analysis of Dermatologic Findings Associated With At-Home Gel Nails on TikTok</t>
  </si>
  <si>
    <t>gel nail; acrylate; contact dermatitis; acrylate allergy; at-home gel nail kit; nail disorder; patient education</t>
  </si>
  <si>
    <t>[Axler, Eden N.; Lipner, Shari R.] Weill Cornell Med, Dept Dermatol, New York, NY USA; [Lipner, Shari R.] Weill Cornell Med, Dept Dermatol, 1305 York Ave, New York, NY 10021 USA</t>
  </si>
  <si>
    <t>Cornell University; Weill Cornell Medicine; Cornell University; Weill Cornell Medicine</t>
  </si>
  <si>
    <t>10.1177/12034754231220930</t>
  </si>
  <si>
    <t>KH3K2</t>
  </si>
  <si>
    <t>WOS:001138807100001</t>
  </si>
  <si>
    <t>Radzitskaya, Y; Islamov, A</t>
  </si>
  <si>
    <t>Radzitskaya, Yadviga; Islamov, Artem</t>
  </si>
  <si>
    <t>Nanolearning approach in developing professional competencies of modern students: Impact on self-regulation development</t>
  </si>
  <si>
    <t>JOURNAL OF COMPUTER ASSISTED LEARNING</t>
  </si>
  <si>
    <t>digital technology; nanolearning; self-regulation; student professional competencies; TikTok</t>
  </si>
  <si>
    <t>Nanolearning represents an educational methodology rooted in personalisation and the individualisation of the educational process, leveraging contemporary information technologies. Nanolearning, closely intertwined with self-regulated learning, entails an individual's capacity to plan, monitor and regulate their learning process, objectives and strategies. In nanolearning, information is presented in small, discrete fragments, necessitating students to autonomously manage their time and educational progress, thereby determining when and what to study. Nanolearning and TikTok can synergistically intersect, yielding innovative pedagogical approaches. TikTok, a popular social platform for sharing concise video clips, introduces a novel mode of information dissemination and interpersonal communication.BackgroundThe introduction of a flexible education system that meets the individual requirements of a student is a burning need of our time. The study hypothesis is as follows: Will nanolearning be able to change the self-regulatory competence of the experiment participants and how exactly?ObjectivesThe current study aimed to determine nanolearning effectiveness in the context of students' self-regulation development.MethodsThis was done using a self-regulation questionnaire addressed to a sample of 120 students of the Kokshetau University named after A. Myrzakhmetov. As a nanolearning platform, this study benefited from the TikTok app.ResultsThe results showed that the experimental group achieved significantly higher scores than the control group on goal setting, environmental structuring, task strategies, time management, help-seeking and self-evaluation.ConclusionsThe results obtained can help develop a set of activities for the optimisation of the educational process to improve student professional competence.</t>
  </si>
  <si>
    <t>[Radzitskaya, Yadviga] Kokshetau Univ, Dept Social Pedag Disciplines, Auezov Str 189A, Kokshetau 025000, Kazakhstan; [Islamov, Artem] Kazan Fed Univ, Dept Theory &amp; Methods Profess Educ, Yelabuga, Russia</t>
  </si>
  <si>
    <t>Sh.Ualikhanov Kokshetau University; Kazan Federal University</t>
  </si>
  <si>
    <t>Radzitskaya, Y (corresponding author), Kokshetau Univ, Dept Social Pedag Disciplines, Auezov Str 189A, Kokshetau 025000, Kazakhstan.</t>
  </si>
  <si>
    <t>y.radzitskaya@rambler.ru</t>
  </si>
  <si>
    <t>Kazan Federal University Strategic Academic Leadership Program</t>
  </si>
  <si>
    <t>Artem Islamov has been supported by the Kazan Federal University Strategic Academic Leadership Program.</t>
  </si>
  <si>
    <t>0266-4909</t>
  </si>
  <si>
    <t>1365-2729</t>
  </si>
  <si>
    <t>J COMPUT ASSIST LEAR</t>
  </si>
  <si>
    <t>J. Comput. Assist. Learn.</t>
  </si>
  <si>
    <t>10.1111/jcal.12943</t>
  </si>
  <si>
    <t>QM1F7</t>
  </si>
  <si>
    <t>WOS:001142794600001</t>
  </si>
  <si>
    <t>Song, SY; Park, KM; Phong, K; Kim, EA</t>
  </si>
  <si>
    <t>Song, Siyou; Park, Keon Min; Phong, Kiet; Kim, Esther A.</t>
  </si>
  <si>
    <t>Evaluating the Quality and Reliability of Gender-affirming Surgery Videos on YouTube and TikTok</t>
  </si>
  <si>
    <t>PLASTIC SURGEONS; SOCIAL MEDIA; TRENDS</t>
  </si>
  <si>
    <t>Background: Social media platforms have changed the way medical information is disseminated. Transgender patients may utilize social media to learn about gender-affirming surgery (GAS). Although videos on social media are readily accessible, their content is not verified or peer-reviewed. Therefore, this study aimed to evaluate the quality and reliability of YouTube and TikTok videos related to GAS. Methods: YouTube and TikTok were queried for gender-affirming top surgery, metoidioplasty, phalloplasty, breast augmentation, and vaginoplasty. Quality of video content was analyzed by the DISCERN scale. Quality scores were compared among the type of GAS, account user, and content category. Results: There were 275 YouTube videos and 55 TikTok videos. Most videos focused on masculinizing top surgery (P &lt; 0.001). Overall, videos on masculinizing GAS had higher quality and reliability than videos on feminizing GAS (P &lt; 0.001). Chest surgery videos were of higher quality than those on genital surgery (P &lt;= 0.001). Videos on masculinizing top surgery had the highest quality, whereas vaginoplasty had the lowest quality and reliability (P &lt; 0.001). Videos produced by health care professionals and academic institutions had the greatest quality and reliability, respectively (P &lt; 0.0001), whereas videos produced by patients were the least reliable (P &lt; 0.0001). Conclusions: Videos on GAS ranged from poor to good quality and reliability. Health care professionals, especially plastic surgeons, should create high-quality videos on social media to educate transgender patients. There should also be greater efforts in disseminating existing high-quality videos on social media. Resources posted on social media platforms can reach a wide audience through accessible means.</t>
  </si>
  <si>
    <t>[Song, Siyou; Park, Keon Min; Kim, Esther A.] Univ Calif San Francisco, Dept Surg, Div Plast &amp; Reconstruct Surg, 350 Parnassus Ave,Suite 509, San Francisco, CA 94143 USA; [Phong, Kiet] Univ Calif San Francisco, Dept Bioengn &amp; Therapeut Sci, San Francisco, CA 94143 USA</t>
  </si>
  <si>
    <t>University of California System; University of California San Francisco; University of California System; University of California San Francisco</t>
  </si>
  <si>
    <t>Kim, EA (corresponding author), Univ Calif San Francisco, Dept Surg, Div Plast &amp; Reconstruct Surg, 350 Parnassus Ave,Suite 509, San Francisco, CA 94143 USA.</t>
  </si>
  <si>
    <t>esther.kim@ucsf.edu</t>
  </si>
  <si>
    <t>e4443</t>
  </si>
  <si>
    <t>10.1097/GOX.0000000000004443</t>
  </si>
  <si>
    <t>3F4XQ</t>
  </si>
  <si>
    <t>WOS:000830673800002</t>
  </si>
  <si>
    <t>Terradillos, J; Ureta, A; Gras, J</t>
  </si>
  <si>
    <t>Orbegozo Terradillos, Julen; Larrondo Ureta, Ainara; Morales i Gras, Jordi</t>
  </si>
  <si>
    <t>TikTok and political communication: interaction patterns and Engagement Rate of candidates and parties in an election campaign</t>
  </si>
  <si>
    <t>TikTok; social networks; political communication; electoral communication; social network analysis; big data; engagement rate</t>
  </si>
  <si>
    <t>Introduction : This study examines the influence of TikTok on political communication during the municipal and regional elections in Spain in 2023, highlighting the importance of this platform as a crucial emerging medium for political engagement. Additionally, it focuses on the progressive derelationalization of digital platforms, which are more centered on content and entertainment than on interpersonal relationships Methodology : Computer tools were used for data capture and visualization, and Google Colab for writing and executing Python scripts. In addition, a correlation matrix is used to analyze the engagement variables of 65 accounts and determine the strength and direction of the relationships between them. Furthermore, a novel formula is employed to calculate the Engagement Rate, a cornerstone of the research and a metric that allows observing the phenomenon through variables such as comments, likes, views, number of followers, and number of posts. Results : General data (presence, activity, interactivity, positive interaction, visualisation and dissemination of content), the temporal distribution of posts, the Engagement Rate and the correlation of metrics are inferred. An overview of activity and interactivity patterns of parties, candidates and users of the social network is thus obtained, finding significant variations in engagement. Discussion and conclusions : The research highlights the way TikTok is transforming political communication, demonstrating that success hinges not on conventional elements, but on digital strategies and alignment with the algorithm. Although some parties experienced significant engagement, this did not translate into electoral victories, suggesting a shift towards politainment and mass content consumption. Furthermore, it pinpoints areas for future investigation regarding the interplay between digital platforms and political dynamics.</t>
  </si>
  <si>
    <t>[Orbegozo Terradillos, Julen; Larrondo Ureta, Ainara] Univ Basque Country, Leioa, Spain; [Morales i Gras, Jordi] Camara Bilbao Univ Bussines Sch, Bilbao, Spain</t>
  </si>
  <si>
    <t>Terradillos, J (corresponding author), Univ Basque Country, Leioa, Spain.</t>
  </si>
  <si>
    <t>julen.orbegozo@ehu.eus; arrondo@ehu.eus; jordi.morales@camarabilbaoubs.com</t>
  </si>
  <si>
    <t>10.4185/rlcs-2025-2323</t>
  </si>
  <si>
    <t>WV1J0</t>
  </si>
  <si>
    <t>WOS:001257553200001</t>
  </si>
  <si>
    <t>Che, SP; Kim, JH</t>
  </si>
  <si>
    <t>Che, ShaoPeng; Kim, Jang Hyun</t>
  </si>
  <si>
    <t>Sentiment Impact of Public Health Agency communication Strategies on TikTok under COVID-19 Normalization: Deep Learning Exploration</t>
  </si>
  <si>
    <t>JOURNAL OF PUBLIC HEALTH-HEIDELBERG</t>
  </si>
  <si>
    <t>TikTok; Deep learning; ERNIE; Crisis and Emergency Risk Communication; Communication strategy; Sentiment classification</t>
  </si>
  <si>
    <t>SOCIAL MEDIA; CRISIS; TWITTER</t>
  </si>
  <si>
    <t>AimThe accessibility of social media data has allowed researchers to measure official-public interactions during COVID-19. However, previous work analyzing official posts or public comments has failed to explore the link between the two. Therefore, this study investigates the relationship between the communication strategies of public health agencies (PHAs) on TikTok and public emotional/sentiment tendencies in COVID-19 normalization.Subject and methodsThis study uses the 2022 Shanghai city closure event as a public health communication case study in the context of COVID-19 normalization, using TikTok as a data source. We first analyze the communication strategies adopted by the PHA based on the Crisis and Emergency Risk Communication (CERC) model. Then, we classify the sentiment of public comments using the Large-Scale Knowledge Enhanced Pre-Training for Language Understanding and Generation (ERNIE) pre-training model. Finally, we explore the connection between PHA communication strategies and public sentiment tendencies.ResultsFirst, the public's sentiment tendencies differ at different stages. Therefore, appropriate communication strategies should be developed stage-by-stage. Second, the public's emotional disposition to different communication strategies varies: government statements, vaccines, and prevention and control programs are more likely to produce a friendly comment environment, while policy and new cases per day are more likely to produce unfavorable comment content. However, this does not mean that policy and new cases per day should be avoided; the judicious use of these two strategies can help PHAs understand the current issues causing public dissatisfaction. Third, videos with celebrity appearances can significantly increase positive public sentiment and, thereby, public participation.ConclusionWe propose an improved CERC guideline for China based on the Shanghai lockdown case.</t>
  </si>
  <si>
    <t>[Che, ShaoPeng] Tsinghua Univ, Sch Journalism &amp; Commun, Beijing, Peoples R China; [Kim, Jang Hyun] Sungkyunkwan Univ, Dept Interact Sci, Seoul, South Korea</t>
  </si>
  <si>
    <t>Tsinghua University; Sungkyunkwan University (SKKU)</t>
  </si>
  <si>
    <t>Kim, JH (corresponding author), Sungkyunkwan Univ, Dept Interact Sci, Seoul, South Korea.</t>
  </si>
  <si>
    <t>alohakim@skku.edu</t>
  </si>
  <si>
    <t>Che, ShaoPeng/IUQ-1918-2023; Kim, Jang Hyun/HRC-9519-2023</t>
  </si>
  <si>
    <t>Che, ShaoPeng/0000-0003-1547-8798; Kim, Jang Hyun/0000-0001-7750-2664</t>
  </si>
  <si>
    <t>National Research Foundation of Korea (NRF) - Korean government [NRF-2020R1A2C1014957]</t>
  </si>
  <si>
    <t>National Research Foundation of Korea (NRF) - Korean government(National Research Foundation of Korea)</t>
  </si>
  <si>
    <t>This work was supported by a National Research Foundation of Korea (NRF) grant funded by the Korean government (NRF-2020R1A2C1014957).</t>
  </si>
  <si>
    <t>2198-1833</t>
  </si>
  <si>
    <t>1613-2238</t>
  </si>
  <si>
    <t>J PUBLIC HEALTH-HEID</t>
  </si>
  <si>
    <t>J. Public Health-Heidelberg</t>
  </si>
  <si>
    <t>10.1007/s10389-023-01921-5</t>
  </si>
  <si>
    <t>YZ7M8</t>
  </si>
  <si>
    <t>WOS:000985180600001</t>
  </si>
  <si>
    <t>Indrawati; Yones, PCP; Muthaiyah, S</t>
  </si>
  <si>
    <t>Indrawati; Yones, Prily Calista Putri; Muthaiyah, Saravanan</t>
  </si>
  <si>
    <t>eWOM via the TikTok application and its influence on the purchase intention of somethinc products</t>
  </si>
  <si>
    <t>ASIA PACIFIC MANAGEMENT REVIEW</t>
  </si>
  <si>
    <t>eWOM; Information adoption model; Purchase intention; Electronic word-of-mouth; TikTok</t>
  </si>
  <si>
    <t>WORD-OF-MOUTH; INFORMATION ADOPTION; SOURCE CREDIBILITY; SOCIAL MEDIA; E-WOM; COMMUNICATION; COMMUNITIES; PLS</t>
  </si>
  <si>
    <t>Global data has indicated prevalent growth of online purchases of consumer goods where multiple purchase decisions have been influenced by peer reviews by web users particularly from the influence of social media. Social media has replaced traditional word-of-mouth and introduced a new phenomenon i.e. electronic word-of-mouth (eWOM). TikTok has become one of the trending social media platforms with beauty content within its application. Somethinc is one of the brands that is being viewed mostly on this application. This study aims to better understand the influence of eWOM by virtue of the TikTok application on purchase intention of Somethinc. To understand the influence of eWOM, we applied the information adoption model as the model had been widely used in previous eWOM studies. The information quantity variable was added to the information adoption model. We collected data from 403 respondents administered through a Google Form survey that had several criteria. PLS-SEM using Smart PLS was chosen for data analysis. We found that information adoption positively and significantly influences purchase intention. The model was able to predict the purchase intention of Somethinc accurately by 21.1%.&amp; COPY; 2022 The Authors. Published by Elsevier B.V. on behalf of College of Management, National Cheng Kung University. This is an open access article under the CC BY license (http://creativecommons.org/licenses/ by/4.0/).</t>
  </si>
  <si>
    <t>[Indrawati; Yones, Prily Calista Putri] Telkom Univ, Sch Econ &amp; Business, Bandung, Indonesia; [Muthaiyah, Saravanan] Multimedia Univ, Fac Management, Cyberjaya, Malaysia</t>
  </si>
  <si>
    <t>Telkom University; Multimedia University</t>
  </si>
  <si>
    <t>Indrawati (corresponding author), Telkom Univ, Sch Econ &amp; Business, Bandung, Indonesia.</t>
  </si>
  <si>
    <t>indrawati@telkomuniversity.ac.id; prilycalista@student.telkomuniversity.ac.id; saravanan.muthaiyah@mmu.edu.my</t>
  </si>
  <si>
    <t>Muthaiyah, Saravanan/ABC-4043-2021</t>
  </si>
  <si>
    <t>ELSEVIER TAIWAN</t>
  </si>
  <si>
    <t>TAIPEI</t>
  </si>
  <si>
    <t>RM N-412, 4F, CHIA HSIN BUILDING 11, NO 96, ZHONG SHAN N ROAD SEC 2, TAIPEI, 10449, TAIWAN</t>
  </si>
  <si>
    <t>1029-3132</t>
  </si>
  <si>
    <t>ASIA PAC MANAG REV</t>
  </si>
  <si>
    <t>Asia Pac. Manag. Rev.</t>
  </si>
  <si>
    <t>10.1016/j.apmrv.2022.07.007</t>
  </si>
  <si>
    <t>K3GS7</t>
  </si>
  <si>
    <t>WOS:001015361900001</t>
  </si>
  <si>
    <t>Zhu, M; Che, SP</t>
  </si>
  <si>
    <t>Zhu, Min; Che, Shaopeng</t>
  </si>
  <si>
    <t>Communicating Nutritional Knowledge to the Chinese Public: Examining Predictive Factors of User Engagement on TikTok in China</t>
  </si>
  <si>
    <t>nutrition communication; science popularization; user engagement; communication strategy; TikTok; Douyin</t>
  </si>
  <si>
    <t>Objective: This study aims to identify content variables that theoretical research suggests should be considered as strategic approaches to facilitate science communication with the public and to assess their practical effects on user engagement metrics. Methods: Data were collected from the official Chinese TikTok account (Douyin) of the Nutrition Research Institute of China National Cereals, Oils and Foodstuffs Corporation, China's largest state-owned food processing conglomerate. Dependent variables included likes, shares, comments, subscription increases. Independent variables encompassed explanation of jargon (metaphor, personification, science visualization), communication remarks (conclusion presence, recommendation presence), and content themes. Descriptive analysis and negative binomial regression were employed, with statistical significance set at 0.05. Results: First, subscription increases were positively associated with personification (p &lt; 0.05, 0.024) and science visualization (p &lt; 0.01, 0.000). Second, a positive relationship existed between comments and communicator recommendations (p &lt; 0.01, 0.000), while presenting conclusions negatively correlated with shares (p &lt; 0.05, 0.012). Conclusions: Different strategies yielded improvements in various engagement metrics. This can provide practical guidance for communicators, emphasizing the need to balance scholarly presentation with sustaining appealing statistics.</t>
  </si>
  <si>
    <t>[Zhu, Min; Che, Shaopeng] Tsinghua Univ, Sch Journalism &amp; Commun, Beijing 100084, Peoples R China</t>
  </si>
  <si>
    <t>Che, SP (corresponding author), Tsinghua Univ, Sch Journalism &amp; Commun, Beijing 100084, Peoples R China.</t>
  </si>
  <si>
    <t>zhum21@mails.tsinghua.edu.cn; cheshao@tsinghua.edu.cn</t>
  </si>
  <si>
    <t>Che, ShaoPeng/IUQ-1918-2023</t>
  </si>
  <si>
    <t>Che, ShaoPeng/0000-0003-1547-8798</t>
  </si>
  <si>
    <t>Postdoctoral Fellowship Program of CPSF</t>
  </si>
  <si>
    <t>We thank the COFCO Research Institute for providing the data that made this study possible.</t>
  </si>
  <si>
    <t>10.3390/bs14030201</t>
  </si>
  <si>
    <t>ME6N8</t>
  </si>
  <si>
    <t>WOS:001191991000001</t>
  </si>
  <si>
    <t>Feijoo, B; Pavez, I; Benavides, C</t>
  </si>
  <si>
    <t>Feijoo, Beatriz; Pavez, Isabel; Benavides, Cristobal</t>
  </si>
  <si>
    <t>Analysis of Chilean children's perceptions of commercial content on TikTok: I ate a commercial</t>
  </si>
  <si>
    <t>Advertising; social networks; TikTok; children; entertainment; interaction</t>
  </si>
  <si>
    <t>In the context of the high digitization of childhood, advertising on social networks becomes an ideal location for brands and advertisers to meet this audience profile. However, in the debate, no space has been given to how boys and girls perceive these advertising strategies. Therefore, this work aims to qualitatively explore the discourses related to the experience of using TikTok with a focus on advertising. For this, 32 in-depth interviews were conducted with minors between 11 and 14 years old who are users of this platform in Santiago, Chile. The results indicate that the platform is perceived as an entertainment space, especially for the segment of children and young people. Regarding advertising, the participants agree that, although it may be intrusive and not necessarily appropriate to their interests, if it complies with the rules of the application -brief, with humor, and music- it is tolerated and even welcomed by its users. However, this does not happen when there is a covert, deceptive or repetitive advertising intent. Added to these elements is their control over the advertisement and the possibility of interaction with the brand.</t>
  </si>
  <si>
    <t>[Feijoo, Beatriz] Univ Int La Rioja, Logrono, Spain; [Pavez, Isabel] Univ Andes, Nucleo Milenio Mejorar Salud Mental Adolescentes, Santiago, Chile; [Benavides, Cristobal] Univ Andes, Santiago, Chile</t>
  </si>
  <si>
    <t>Universidad Internacional de La Rioja (UNIR); Universidad de los Andes - Chile; Universidad de los Andes - Chile</t>
  </si>
  <si>
    <t>Feijoo, B (corresponding author), Univ Int La Rioja, Logrono, Spain.</t>
  </si>
  <si>
    <t>beatriz.feijoo@unir.net; mipavez@uandes.cl; cbenavides@uandes.cl</t>
  </si>
  <si>
    <t>Feijoo Fernandez, Beatriz/B-3909-2017</t>
  </si>
  <si>
    <t>Feijoo Fernandez, Beatriz/0000-0001-5287-3813; Pavez, Isabel/0000-0002-8367-4793</t>
  </si>
  <si>
    <t>10.14198/MEDCOM.24250</t>
  </si>
  <si>
    <t>R7CH0</t>
  </si>
  <si>
    <t>WOS:001065890100020</t>
  </si>
  <si>
    <t>Yuan, L; Xia, H; Ye, Q</t>
  </si>
  <si>
    <t>Yuan, Lin; Xia, Hao; Ye, Qiang</t>
  </si>
  <si>
    <t>The effect of advertising strategies on a short video platform: evidence from TikTok</t>
  </si>
  <si>
    <t>INDUSTRIAL MANAGEMENT &amp; DATA SYSTEMS</t>
  </si>
  <si>
    <t>Short video marketing; In-feed advertising; KOL endorsement; Social commerce; TikTok (Douyin); Douyin marketing</t>
  </si>
  <si>
    <t>WORD-OF-MOUTH; PRODUCT INVOLVEMENT; BRAND FAMILIARITY; CONTEXT; WEB; SERVICES; LANGUAGE; ATTITUDE; SALES; AD</t>
  </si>
  <si>
    <t>Purpose There are two major strategies for short video advertising which are KOL (key opinion leader) endorsement and in-feed advertising. The authors aim to research the effectiveness of these two strategies for heterogeneous sellers. Design/methodology/approach The study employed a data set of users from Douyin. Using an endogenous treatment model, the study empirically examines the two strategies' effectiveness in attracting product traffic for online retailors at a short video app Douyin (TikTok). Findings The results show that the performance of in-feed advertising is higher when the seller's product is of lower price and when the seller has smaller cumulative video exposure. In addition, KOL endorsement is effective regardless of the product price, but performs better when the seller has larger cumulative video exposure. Originality/value To the best of the authors' knowledge, this study is one of the first to explore the interaction effects of two major advertising strategies, KOL endorsement and in-feed advertising on short video platforms. The findings provide important theoretical contributions and practical implications.</t>
  </si>
  <si>
    <t>[Yuan, Lin; Xia, Hao; Ye, Qiang] Harbin Inst Technol, Sch Management, Harbin, Peoples R China</t>
  </si>
  <si>
    <t>Harbin Institute of Technology</t>
  </si>
  <si>
    <t>Yuan, L (corresponding author), Harbin Inst Technol, Sch Management, Harbin, Peoples R China.</t>
  </si>
  <si>
    <t>yuanlynn@stu.hit.edu.cn</t>
  </si>
  <si>
    <t>0263-5577</t>
  </si>
  <si>
    <t>1758-5783</t>
  </si>
  <si>
    <t>IND MANAGE DATA SYST</t>
  </si>
  <si>
    <t>Ind. Manage. Data Syst.</t>
  </si>
  <si>
    <t>AUG 16</t>
  </si>
  <si>
    <t>10.1108/IMDS-12-2021-0754</t>
  </si>
  <si>
    <t>Computer Science, Interdisciplinary Applications; Engineering, Industrial</t>
  </si>
  <si>
    <t>3U1TR</t>
  </si>
  <si>
    <t>WOS:000838789800001</t>
  </si>
  <si>
    <t>Bouillon, L; Schouten, D; Campos, F</t>
  </si>
  <si>
    <t>Marcus, A; Rosenzweig, E; Soares, MM</t>
  </si>
  <si>
    <t>Bouillon, Louna; Schouten, Dion; Campos, Fabio</t>
  </si>
  <si>
    <t>Designing the User Experience to Achieve Better Engagement and Feedback on TikTok Accounts</t>
  </si>
  <si>
    <t>DESIGN, USER EXPERIENCE, AND USABILITY, DUXU 2023, PT I</t>
  </si>
  <si>
    <t>12th International Conference on Design, User Experience, and Usability (DUXU) Held as Part of the 25th International Conference on Human-Computer Interaction (HCII)</t>
  </si>
  <si>
    <t>Social media Ux; Meaningful feeback; TikTok user experience</t>
  </si>
  <si>
    <t>In this research, we explored how different variables influence the user experience in the TikTok social media channel. The engagement of the users in giving meaningful feedback to the posts was the main variable being observed. This is important because in several business-to-business and business-to-consumer applications the companies are interested in using meaningful feedback from the users to improve their products, be it a tangible device or a media product. So, instead of focusing on getting more followers, in situations like that, it is more important the kind of feedback received from the users. In this research, a mixed methods approach was applied. Joining the quantitative results with the insights from the qualitative part of the research, it is possible to conclude that the algorithm used by TikTok to define the content in the timelines has a bigger influence on engagement than the kind of content. To achieve the desired result of an increase in the number and quality of feedback by the viewers, it was found that being more direct can produce interesting increases. The posts where the viewers were asked to comment and reply with a certain answer have the most comments. In some instances, the increase is almost 300% more when comparing it to the average amount of comments. Most interviewees also stated that they would love to help out and would provide meaningful feedback if this was directly asked. The same goes for Q&amp;A's and interaction-based posts.</t>
  </si>
  <si>
    <t>[Bouillon, Louna; Schouten, Dion; Campos, Fabio] BUAS Breda Univ, Breda, NB, Netherlands</t>
  </si>
  <si>
    <t>Campos, F (corresponding author), BUAS Breda Univ, Breda, NB, Netherlands.</t>
  </si>
  <si>
    <t>ferreira.f@buas.nl</t>
  </si>
  <si>
    <t>Ferreira da Costa Campos, Fabio/P-4982-2017</t>
  </si>
  <si>
    <t>Ferreira da Costa Campos, Fabio/0000-0002-7882-876X</t>
  </si>
  <si>
    <t>978-3-031-35698-8; 978-3-031-35699-5</t>
  </si>
  <si>
    <t>10.1007/978-3-031-35699-5_36</t>
  </si>
  <si>
    <t>BW8RX</t>
  </si>
  <si>
    <t>WOS:001206154900036</t>
  </si>
  <si>
    <t>Shi, JL; Li, G; Zhao, YR; Nie, QF; Xue, SY; Lv, YF; Zhang, YJ; Yang, JC; Du, GX</t>
  </si>
  <si>
    <t>Shi, Jinlong; Li, Gang; Zhao, Yaru; Nie, Qifan; Xue, Shuyan; Lv, Yangfan; Zhang, Yijing; Yang, Jiachen; Du, Guoxu</t>
  </si>
  <si>
    <t>Communication Mechanism and Optimization Strategies of Short Fitness-Based Videos on TikTok During COVID-19 Epidemic Period in China</t>
  </si>
  <si>
    <t>COVID-19; TikTok; fitness preferences; spatio temporal evolution; communication mechanism; optimization strategy</t>
  </si>
  <si>
    <t>Scientific and moderate exercise is an effective remedy to boost the immune system and minimize the risk of infection in coronavirus disease 2019 (COVID-19) epidemic period. In this context, social media platforms play an essential role in communicating scientific fitness at home. Based on the integrated analysis of communication, physical geography, and health geography, this article takes short fitness-based videos on TikTok as the research object and comprehensively uses text analysis, mathematical statistics, and spatial analysis to reveal the characteristics of communication elements, fitness preferences, and the spatiotemporal evolution of these short videos, and to explore the communication mechanism and optimization path of short videos. The results show that: (1) the communication information focusing on fighting against the epidemic and keeping fit at home is made into short videos by female youth. Through the communication channels mainly composed of texts, pictures, and audio, the communication subjects carry out multilevel interactive communication with the communication objects; (2) fitness preferences are mainly composed of dances, unarmed fitness, and fitness with equipment; (3) from the perspective of time, taking February 20 as the node, the daily number of released short videos shows a trend of increase before decrease; from the perspective of space, the distribution is significantly unbalanced across provinces, and the direction is not apparent; and (4) this article explores the communication mechanism and targeted optimization countermeasures of short fitness-based videos on TikTok in China's COVID-19 epidemic period.</t>
  </si>
  <si>
    <t>[Shi, Jinlong] Northwest Univ, Dept Phys Educ, Xian, Peoples R China; [Shi, Jinlong; Li, Gang; Xue, Shuyan; Lv, Yangfan; Zhang, Yijing; Yang, Jiachen; Du, Guoxu] Northwest Univ, Coll Urban &amp; Environm Sci, Xian, Peoples R China; [Zhao, Yaru] Sichuan Agr Univ, Coll Phys Educ, Yaan, Peoples R China; [Nie, Qifan] Univ Alabama, Alabama Transportat Inst, Tuscaloosa, AL USA</t>
  </si>
  <si>
    <t>Northwest University Xi'an; Northwest University Xi'an; Sichuan Agricultural University; University of Alabama System; University of Alabama Tuscaloosa</t>
  </si>
  <si>
    <t>Li, G (corresponding author), Northwest Univ, Coll Urban &amp; Environm Sci, Xian, Peoples R China.</t>
  </si>
  <si>
    <t>liglzu@gmail.com</t>
  </si>
  <si>
    <t>Li, Gang/JFA-3426-2023; Shi, JIn/JYP-1805-2024</t>
  </si>
  <si>
    <t>SHI, Jinlong/0000-0001-7308-2391</t>
  </si>
  <si>
    <t>Regular Fund of Northwest University [20YJZX030]; Characteristic and Advantage Research Team Construction Project of Human-Environment Relations and Space Security of Northwest University [2019]</t>
  </si>
  <si>
    <t>Regular Fund of Northwest University; Characteristic and Advantage Research Team Construction Project of Human-Environment Relations and Space Security of Northwest University</t>
  </si>
  <si>
    <t>Regular Fund of Northwest University (Grant No. 20YJZX030); Characteristic and Advantage Research Team Construction Project of Human-Environment Relations and Space Security of Northwest University (Grant No. 2019).</t>
  </si>
  <si>
    <t>10.3389/fcomm.2022.778782</t>
  </si>
  <si>
    <t>ZY6OA</t>
  </si>
  <si>
    <t>WOS:000772703500001</t>
  </si>
  <si>
    <t>Boatman, DD; Eason, S; Conn, ME; Kennedy-Rea, SK</t>
  </si>
  <si>
    <t>Boatman, Dannell D.; Eason, Susan; Conn, Mary Ellen; Kennedy-Rea, Stephenie K.</t>
  </si>
  <si>
    <t>Human Papillomavirus Vaccine Messaging on TikTok: Social Media Content Analysis</t>
  </si>
  <si>
    <t>cancer prevention and control; cervical cancer; cancer prevention and control; child/adolescent health; immunization</t>
  </si>
  <si>
    <t>Background. The human papillomavirus (HPV) vaccine is viewed as a critical tool to protect against six HPVrelated cancers. Vaccination is recommended from early adolescence through age 26 years. As young people have become increasingly involved in personal health-related decisions, there is a need to tailor HPV vaccine messaging and reach this priority population on social media and digital outlets. TikTok is a growing social media platform with approximately 70% of its users between the ages of 13 and 24 years. Purpose. The aim of this study was to understand HPV vaccine messaging and interactions on TikTok as a needed first step to identifying effective strategies to reach young people with important health messaging. Methods. Content analysis was performed on 170 top TikToks focused on the HPV vaccine. TikToks were assessed for content, classification type, and number of interactions. Results. Most TikToks were provaccine, while antivaccine TikToks had more user interactions. Cancer and prevention were the main content areas of the analyzed provaccine TikToks, while the side effects were the primary focus of antivaccine messages. Approximately 30% of all top TikToks analyzed were developed by health professionals. TikToks without an explicit vaccine opinion primarily described personal experiences and mentioned side effects most often. Implications. TikTok is a growing social media platform that can be used to reach young people and encourage HPV vaccine uptake. Health professionals need to consider the interest that users have in personal experiences and address antivaccine narratives related to side effects.</t>
  </si>
  <si>
    <t>[Boatman, Dannell D.; Eason, Susan; Conn, Mary Ellen; Kennedy-Rea, Stephenie K.] West Virginia Univ, Canc Inst, POB 9350, Morgantown, WV 26506 USA</t>
  </si>
  <si>
    <t>Boatman, DD (corresponding author), West Virginia Univ, Canc Inst, POB 9350, Morgantown, WV 26506 USA.</t>
  </si>
  <si>
    <t>dboatman@hsc.wvu.edu</t>
  </si>
  <si>
    <t>Boatman, Dannell/0000-0003-0219-0322; Conn, Mary Ellen/0009-0000-0109-3710</t>
  </si>
  <si>
    <t>10.1177/15248399211013002</t>
  </si>
  <si>
    <t>1D6DL</t>
  </si>
  <si>
    <t>WOS:000649514000001</t>
  </si>
  <si>
    <t>Basch, CH; Yalamanchili, B; Fera, J; Narayanan, S</t>
  </si>
  <si>
    <t>Basch, Corey H.; Yalamanchili, Bhavya; Fera, Joseph; Narayanan, Sandhya</t>
  </si>
  <si>
    <t>Most liked #monkeypox videos on TikTok: Implications for infection control</t>
  </si>
  <si>
    <t>AMERICAN JOURNAL OF INFECTION CONTROL</t>
  </si>
  <si>
    <t>Social media; Prevention</t>
  </si>
  <si>
    <t>This cross-sectional study describes the content of the 100 most liked videos on TikTok using the hashtag #monkeypox. The videos in the sample received 472,866,669 views and 56,434,700 likes. Most (67%) of the videos were created by consumers. Mentions or suggestions of exposure were the only content characteristic included in a majority of the videos (N = 54). Over a third of the sample used parody, memes, or satire (38%), which were derogatory.(c) 2023 Association for Professionals in Infection Control and Epidemiology, Inc. Published by Elsevier Inc. All rights reserved.</t>
  </si>
  <si>
    <t>[Basch, Corey H.; Yalamanchili, Bhavya; Narayanan, Sandhya] William Paterson Univ, Dept Publ Hlth, Wayne, NJ USA; [Fera, Joseph] CUNY, Lehman Coll, Dept Math, Bronx, NY USA; [Basch, Corey H.] William Paterson Univ, Dept Publ Hlth, Univ Hall, Wayne, NJ 07470 USA</t>
  </si>
  <si>
    <t>0196-6553</t>
  </si>
  <si>
    <t>1527-3296</t>
  </si>
  <si>
    <t>AM J INFECT CONTROL</t>
  </si>
  <si>
    <t>Am. J. Infect. Control</t>
  </si>
  <si>
    <t>10.1016/j.ajic.2023.06.021</t>
  </si>
  <si>
    <t>Public, Environmental &amp; Occupational Health; Infectious Diseases</t>
  </si>
  <si>
    <t>ES8R0</t>
  </si>
  <si>
    <t>WOS:001141012200001</t>
  </si>
  <si>
    <t>Jamet-Lange, H; Duguay, S</t>
  </si>
  <si>
    <t>Jamet-Lange, Hannah; Duguay, Stefanie</t>
  </si>
  <si>
    <t>How do we do that? An analysis of TikToks by lesbians over age 30 representing sexual identity, lived experience over time, and solidarity</t>
  </si>
  <si>
    <t>JOURNAL OF LESBIAN STUDIES</t>
  </si>
  <si>
    <t>Social media; self-representation; intergenerational communication; queer time; digital media</t>
  </si>
  <si>
    <t>OLD LESBIANS</t>
  </si>
  <si>
    <t>Lesbians have long turned to digital media and technologies for information, support, and to self-represent sexual identity in ways that have the capacity for building communities and gathering publics and counterpublics. TikTok is a short video platform popular with young people, which has increasingly seen the participation of comparatively older users. This paper investigates the self-representation of lesbians over age 30 on TikTok to understand the themes in their content and how the platform shapes their communication with others. Through sampling tailored to TikTok's algorithmic curation, ten lesbians' accounts are examined alongside qualitative coding and analysis of 50 of these creators' videos. Findings reveal key themes regarding the expression of identity and age, lived experience over time, and bids for connection and community. TikTokers expressed lesbian identity in continuity with longstanding stereotypes to enhance visibility but also incorporated humor and youthful trends to give rise to novel identity expressions. Videos showcasing the passage of time and sociopolitical change demonstrated the resilience of lesbian lives and conveyed hope while advice and statements of solidarity expressed support for young people's present struggles with homophobia and transphobia. Contrasting with studies of TikTok's generational wars, this article shows how older lesbians are building generational bridges through their uptake of youth-driven platform practices, sharing of past challenges to support youth in overcoming present hurdles, and by modeling lesbian futures.</t>
  </si>
  <si>
    <t>[Jamet-Lange, Hannah; Duguay, Stefanie] Concordia Univ, 7141 sherbrooke st West, Montreal, PQ H4B 1R6, Canada</t>
  </si>
  <si>
    <t>Duguay, S (corresponding author), Concordia Univ, 7141 sherbrooke st West, Montreal, PQ H4B 1R6, Canada.</t>
  </si>
  <si>
    <t>Quebec Fonds de recherche - Societe et culture [2023-NP-311362]</t>
  </si>
  <si>
    <t>Quebec Fonds de recherche - Societe et culture</t>
  </si>
  <si>
    <t>This research was supported by funding from the Quebec Fonds de recherche - Societe et culture - grant number 2023-NP-311362.</t>
  </si>
  <si>
    <t>1089-4160</t>
  </si>
  <si>
    <t>1540-3548</t>
  </si>
  <si>
    <t>J LESBIAN STUD</t>
  </si>
  <si>
    <t>J. Lesbian Stud.</t>
  </si>
  <si>
    <t>2024 JUN 17</t>
  </si>
  <si>
    <t>10.1080/10894160.2024.2369431</t>
  </si>
  <si>
    <t>WD0E5</t>
  </si>
  <si>
    <t>WOS:001252806400001</t>
  </si>
  <si>
    <t>Kim, D</t>
  </si>
  <si>
    <t>Kim, Dasol</t>
  </si>
  <si>
    <t>Economies of Difference and Identity-based Content on a Digital Platform: The Case Study of Emily in Korea on TikTok</t>
  </si>
  <si>
    <t>TELEVISION &amp; NEW MEDIA</t>
  </si>
  <si>
    <t>attention economy; TikTok; identity entrepreneurship; race; Korea; whiteness; identity-based content</t>
  </si>
  <si>
    <t>WHITE; PRIVILEGE</t>
  </si>
  <si>
    <t>This study presents a conceptualization of identity-based content creation in the digital sphere, examining the cases of two TikTok content creators, Amy and Erin, who leverage their identities to establish distinctive brands. Amy, a white American English teacher in Korea, highlights the differences between her and Korean society in her content about Korea, while Erin, a Korean American, critiques Amy's content by emphasizing the distinction between her experience as an immigrant and Amy's experience as a white American. The study explores how the emphasis on self-branding can obscure power dynamics and historical inequalities within identity-based content creation, which inherently reflects geopolitics and racial hierarchy. The research further examines how this type of content creation can serve as a space for the negotiation of power dynamics between dominant and non-dominant identities while also functioning as a means to build a self-brand in the digital content creation field.</t>
  </si>
  <si>
    <t>[Kim, Dasol] State Univ New York New Paltz, New Paltz, NY USA; [Kim, Dasol] State Univ New York New Paltz, 1 Hawk Dr, New Paltz, NY 12561 USA</t>
  </si>
  <si>
    <t>State University of New York (SUNY) System; SUNY New Paltz; State University of New York (SUNY) System; SUNY New Paltz</t>
  </si>
  <si>
    <t>Kim, D (corresponding author), State Univ New York New Paltz, 1 Hawk Dr, New Paltz, NY 12561 USA.</t>
  </si>
  <si>
    <t>kimd@newpaltz.edu</t>
  </si>
  <si>
    <t>Kim, Dasol/HSQ-2744-2023</t>
  </si>
  <si>
    <t>Kim, Dasol/0000-0003-3987-2319</t>
  </si>
  <si>
    <t>1527-4764</t>
  </si>
  <si>
    <t>1552-8316</t>
  </si>
  <si>
    <t>TELEV NEW MEDIA</t>
  </si>
  <si>
    <t>Telev. New Media</t>
  </si>
  <si>
    <t>10.1177/15274764231217105</t>
  </si>
  <si>
    <t>MV3P5</t>
  </si>
  <si>
    <t>WOS:001112664200001</t>
  </si>
  <si>
    <t>Wang, YL; Feng, DZ</t>
  </si>
  <si>
    <t>Wang, Yilei; Feng, Dezheng (William)</t>
  </si>
  <si>
    <t>History, modernity, and city branding in China: a multimodal critical discourse analysis of Xi'an's promotional videos on social media</t>
  </si>
  <si>
    <t>City branding; social media; multimodal critical discourse analysis; promotional videos; China; TikTok</t>
  </si>
  <si>
    <t>In the digital age, cities around the world are mobilizing various symbolic resources to rebrand their images through social media. Against this background, this study investigates how Xi'an, a second-tier developing city in China, constructs its digitalized urban imaginary using the popular social media platform of TikTok. A semiotic framework is developed to model Xi'an's urban imaginary as evaluative attributes and to elucidate how they are constructed through linguistic and visual resources in short videos on TikTok. The analysis of 294 videos shows that Xi'an highlights its dual identity as a modern metropolis and a historical city. The modern metropolis image is characterized by the personification of Xi'an as a stylish, young, popular, and international microcelebrity; the historical city image is constructed through recreating the Great Tang dynasty and revitalizing local folk art. The characteristics of city branding discourse reflect China's wanghong economy, urban policies and the affordances of social media.</t>
  </si>
  <si>
    <t>[Wang, Yilei] Hong Kong Polytech Univ, Fac Humanities, Hong Kong, Peoples R China; [Feng, Dezheng (William)] Hong Kong Polytech Univ, Dept English, Hong Kong, Peoples R China</t>
  </si>
  <si>
    <t>Hong Kong Polytechnic University; Hong Kong Polytechnic University</t>
  </si>
  <si>
    <t>Feng, DZ (corresponding author), Hong Kong Polytech Univ, Dept English, Hong Kong, Peoples R China.</t>
  </si>
  <si>
    <t>will.feng@polyu.edu.hk</t>
  </si>
  <si>
    <t>Hong Kong Polytechnic University [YBYF]</t>
  </si>
  <si>
    <t>Hong Kong Polytechnic University(Hong Kong Polytechnic University)</t>
  </si>
  <si>
    <t>This work was supported by The Hong Kong Polytechnic University: [Grant Number YBYF].</t>
  </si>
  <si>
    <t>10.1080/10350330.2020.1870405</t>
  </si>
  <si>
    <t>G7MR5</t>
  </si>
  <si>
    <t>WOS:000605704300001</t>
  </si>
  <si>
    <t>Rajaei, A; Abraham, D</t>
  </si>
  <si>
    <t>Rajaei, Afarin; Abraham, Danna</t>
  </si>
  <si>
    <t>From Polarities and Perspectives of Social Media: Instagram, TikTok, and Mental Well-Being in the Post-Pandemic Society</t>
  </si>
  <si>
    <t>FAMILY JOURNAL</t>
  </si>
  <si>
    <t>social media; mental health; Instagram; TikTok; COVID-19; digital well-being; mixed-methods research</t>
  </si>
  <si>
    <t>ADOLESCENTS; LONELINESS</t>
  </si>
  <si>
    <t>The COVID-19 pandemic has significantly impacted global mental health, with social media platforms like Instagram and TikTok playing a crucial role in shaping individuals' experiences and well-being. This mixed-methods study investigates the influence of these platforms on mental health outcomes in the post-pandemic era, combining quantitative surveys (N = 200) with qualitative interviews (N = 15) across different age groups. The researchers explored relationships between social media use and mental health indicators, examined age-related differences in experiences, and uncovered themes related to social comparison, body image concerns, and the dual role of social media in providing both support and stress. Findings contribute to the growing body of research on social media's impact on mental health, highlighting the complex nature of social media use and its varied effects on different age groups. This study offers insights for mental health professionals, social media platforms, and policymakers in developing targeted interventions and guidelines for promoting healthy social media use and supporting digital well-being in the post-pandemic context.</t>
  </si>
  <si>
    <t>[Rajaei, Afarin; Abraham, Danna] Alliant Int Univ, Calif Sch Profess Psychol, 4-3 82 Business Sch,10455,Pomerado Rd, San Diego, CA 92131 USA</t>
  </si>
  <si>
    <t>Alliant International University</t>
  </si>
  <si>
    <t>Rajaei, A (corresponding author), Alliant Int Univ, Calif Sch Profess Psychol, 4-3 82 Business Sch,10455,Pomerado Rd, San Diego, CA 92131 USA.</t>
  </si>
  <si>
    <t>Afarin.rajaei@alliant.edu</t>
  </si>
  <si>
    <t>Rajaei, Afarin/ABA-1950-2021</t>
  </si>
  <si>
    <t>Alliant Educational Foundation</t>
  </si>
  <si>
    <t>The authors disclosed receipt of the followingfinancial support for theresearch, authorship, and/or publication of this article: This work wassupported by the Alliant Educational Foundation.</t>
  </si>
  <si>
    <t>1066-4807</t>
  </si>
  <si>
    <t>1552-3950</t>
  </si>
  <si>
    <t>FAM J</t>
  </si>
  <si>
    <t>Fam. J.</t>
  </si>
  <si>
    <t>10.1177/10664807241293149</t>
  </si>
  <si>
    <t>L0I4W</t>
  </si>
  <si>
    <t>WOS:001347644600001</t>
  </si>
  <si>
    <t>The evaluation and analysis of irritable bowel syndrome-related short videos on social media (TikTok)</t>
  </si>
  <si>
    <t>ALIMENTARY PHARMACOLOGY &amp; THERAPEUTICS</t>
  </si>
  <si>
    <t>PATIENT EDUCATION; DISEASE; INSIGHTS</t>
  </si>
  <si>
    <t>Background: TikTok is one of the fastest growing social media platforms. Irritable bowel syndrome (IBS) has recently become a trending topic of interest among TikTok users. Aim: To better understand the quality and accuracy of information presented in the most popular IBS-relevant videos on TikTok. Methods: We reviewed videos with the tag 'IBS'. We excluded those not relevant to IBS or lasting &lt;10 s or &gt;10 min. Baseline characteristics about the videos were collected. Two independent reviewers assessed each video using DISCERN and Patient Education Materials and Assessment Tool (PEMAT) tools, two validated instruments to assess the quality of patient education materials. Results: Of 100 videos, 33% were uploaded by participants with a defined medical background. The median DISCERN score of videos uploaded by participants with a medical background was 2.43 (2.00-3.10); from participants with a non-medical background, it was 1.37 (1.23-1.70) (p &lt; 0.01). The median PEMAT Understandability scores of videos uploaded by participants with or without a medical background were 92.86 (86.61-95.00) and 80.95 (75.76-89.58), respectively (p &lt; 0.01). The median PEMAT Actionability scores of videos uploaded by participants with or without a medical background were 100.00 (66.67-100.00) and 0.00, respectively (0.00-45.83; p &lt; 0.01). Conclusion: Videos posted by medical professionals are easier to understand and to act on, and are more reliable and unbiased, and more likely to recommend shared decision making about treatment.</t>
  </si>
  <si>
    <t>[Waidyaratne, Gavisha; Daboul, Judy] Ohio State Univ, Wexner Med Ctr, Dept Internal Med, 395 W 12th Ave, Columbus, OH 43210 USA; [Liyanarachchi, Sandya] Ohio State Univ, Coll Med, Dept Mol Med &amp; Therapeut, Columbus, OH USA; [Liyanarachchi, Sandya] Comprehens Canc Ctr, Columbus, OH USA; [Chakraborty, Subhankar] Ohio State Univ, Wexner Med Ctr, Div Gastroenterol Hepatol &amp; Nutr, Columbus, OH USA</t>
  </si>
  <si>
    <t>University System of Ohio; Ohio State University; University System of Ohio; Ohio State University; James Cancer Hospital &amp; Solove Research Institute; University System of Ohio; Ohio State University</t>
  </si>
  <si>
    <t>Waidyaratne, G; Daboul, J (corresponding author), Ohio State Univ, Wexner Med Ctr, Dept Internal Med, 395 W 12th Ave, Columbus, OH 43210 USA.</t>
  </si>
  <si>
    <t>gavisha.waidyaratne@osumc.edu; judy.daboul@osumc.edu</t>
  </si>
  <si>
    <t>0269-2813</t>
  </si>
  <si>
    <t>1365-2036</t>
  </si>
  <si>
    <t>ALIMENT PHARM THER</t>
  </si>
  <si>
    <t>Aliment. Pharmacol. Ther.</t>
  </si>
  <si>
    <t>10.1111/apt.18096</t>
  </si>
  <si>
    <t>Gastroenterology &amp; Hepatology; Pharmacology &amp; Pharmacy</t>
  </si>
  <si>
    <t>YC7G7</t>
  </si>
  <si>
    <t>WOS:001242542700001</t>
  </si>
  <si>
    <t>Rothchild, E; Jung, GA; Wang, F; Ricci, JA</t>
  </si>
  <si>
    <t>Rothchild, Evan; Jung, Geena; Wang, Fei; Ricci, Joseph A.</t>
  </si>
  <si>
    <t>Prejuvenation: What Social Media Tells Us About the Rising Trend</t>
  </si>
  <si>
    <t>TOXIN TYPE-A; HEALTH INFORMATION; WRINKLES; QUALITY; LINES; BOTOX; TERM</t>
  </si>
  <si>
    <t>Background Prejuvenation, a practice gaining enormous popularity among younger adults, can largely attribute its explosive growth to TikTok, the platform on which many first encounter this trend. Despite the rising usage of prejuvenation, however, there is a lack of clarity regarding its clinical practice and efficacy.Objectives To investigate the understandability, reliability, and actionability of prejuvenation-related TikTok content.Methods TikTok was queried using 13 hashtags consisting of popular colloquial terms associated with prejuvenation treatments, and the top 25 videos meeting inclusion criteria for each hashtag were analyzed. For each video, poster credentials and video type were determined. Videos considered educational were analyzed using the validated modified DISCERN score and the Patient Education Materials Assessment Tool scales. Creator's prejuvenation recommendations were recorded. Univariate and linear regression models were utilized for analysis.Results A total of 303 videos amassed over 61,000,000 million views, 3,957,091 likes, 24,455 comments, and 71,697 shares. Nonphysicians posted the most videos (n = 257, 84.8%) and had significantly higher median views, likes, comments, and engagement than physician videos. Analysis of educational videos showed that most videos (50, 67%) supported the use of prejuvenation treatments, 18 (24%) were neutral, and 6 (8%) were opposed.Conclusions Prejuvenation content on TikTok varies widely in terms of quality and recommendations, calling for more standardization regarding the practice. Physician-generated prejuvenation content was more reliable, but distinguishing it from nonphysician content was challenging, underscoring the need for platform-specific verification tools.</t>
  </si>
  <si>
    <t>[Ricci, Joseph A.] Donald &amp; Barbara Zucker Sch Med, 600 Northern Blvd, Great Neck, NY 11021 USA</t>
  </si>
  <si>
    <t>Ricci, JA (corresponding author), Donald &amp; Barbara Zucker Sch Med, 600 Northern Blvd, Great Neck, NY 11021 USA.</t>
  </si>
  <si>
    <t>dr.joseph.ricci@gmail.com</t>
  </si>
  <si>
    <t>Ricci, Joseph/0000-0002-5791-4378; Rothchild, Evan/0000-0002-0081-3277; Jung, Geena/0000-0002-3228-4381</t>
  </si>
  <si>
    <t>10.1093/asj/sjad347</t>
  </si>
  <si>
    <t>KY7N2</t>
  </si>
  <si>
    <t>WOS:001122500800001</t>
  </si>
  <si>
    <t>Lee, GL; Teo, A; Ho, AD; Chu, M; Chng, YSK; Kumaran, SS</t>
  </si>
  <si>
    <t>Lee, Guan Lin; Teo, Albert; Ho, Audrey; Chu, Michael; Chng, Yi-Shi Kelly; Kumaran, Shalini Sri</t>
  </si>
  <si>
    <t>Impact of an End-User-Designed Education Bundle for Electronic Health Records System Education of House Officers</t>
  </si>
  <si>
    <t>work productivity; electronic health record system; tiktok; electronic health records; medical education</t>
  </si>
  <si>
    <t>IMPROVE</t>
  </si>
  <si>
    <t>Introduction The benefits of Electronic Health Records (EHR) use in clinical care are well documented. However, without proper education and training on EHR systems, clinicians may face challenges in utilizing these technological tools effectively. Suboptimal usage of EHR systems can affect productivity. This study assesses the effectiveness of an end -user -designed education bundle as a supplement to existing training in EHR training for house officers. Additionally, it evaluates the effectiveness of using non -conventional teaching modalities (i.e., short TikTok-style videos) to see how effective and accepted it was in comparison to traditional educational material. Methods A single -armed pre -post -study design consisting of 36 house officers was employed to evaluate the effectiveness of the intervention bundle. The bundle consists of a series of EHR tips and tricks as identified by experienced senior medical officers. The three components of the bundle are a handbook with consolidated tips and tricks, a long -form lecture video, and a series of TikTok-style videos. Distribution was done through healthcare collaborative platforms such as TigerConnectTM (Los Angeles, USA) and email. Results Participants found that the inclusion of our supplementary education bundle results in more effective training for EHR usage, with mean effectiveness with and without the educational bundle being 7.77 and 6.44, respectively (p &lt; 0.001). There were also significant improvements in ease of finding information (7.67 vs 7.14, p = 0.016), performing general functions (7.50 vs 6.89, p = 0.0050), and overall efficiency (7.39 vs 6.92, p = 0.022). We also found TikTok-style videos were non -inferior to more traditional forms of education such as a handbook and traditional long -form lecture videos (p = 0.250). Conclusion An end -user -driven education bundle focusing on high -yield, advanced functions may be useful in enhancing the overall EHR system experience for junior doctors. Of note, TikTok-style videos may be no less effective than traditional methods of EHR teaching.</t>
  </si>
  <si>
    <t>[Lee, Guan Lin; Teo, Albert; Ho, Audrey; Chu, Michael; Kumaran, Shalini Sri] Singapore Gen Hosp, Dept Internal Med, Singapore, Singapore; [Chng, Yi-Shi Kelly] Singhealth Polyclin, Eunos Polyclin, Singapore, Singapore; [Chng, Yi-Shi Kelly] Singhealth, Singhealth Duke NUS Family Med Acad Clin Program, Singapore, Singapore</t>
  </si>
  <si>
    <t>Singapore General Hospital</t>
  </si>
  <si>
    <t>Lee, GL (corresponding author), Singapore Gen Hosp, Dept Internal Med, Singapore, Singapore.</t>
  </si>
  <si>
    <t>leeguanlin@gmail.com</t>
  </si>
  <si>
    <t>JUN 25</t>
  </si>
  <si>
    <t>e63102</t>
  </si>
  <si>
    <t>10.7759/cureus.63102</t>
  </si>
  <si>
    <t>WU3C0</t>
  </si>
  <si>
    <t>WOS:001257337900029</t>
  </si>
  <si>
    <t>Videos about older adults on TikTok</t>
  </si>
  <si>
    <t>NEGATIVE CONTACT; STEREOTYPES; AGEISM; GENERATIONS</t>
  </si>
  <si>
    <t>Besides being one of the fastest growing platforms since entering the social media fray in 2016, TikTok is notably monopolized by teenagers, which makes it a veritable source of information not to be overlooked by gerontologists. Currently, most studies regarding age stereotypes on social media have examined content on Twitter and Facebook. Our study explores how older adults are portrayed on TikTok and the factors associated with these portrayals. We analyzed 673 videos with the hashtags #Boomer and/or #OkBoomer that received over 5.4 billion views and categorized them into nine topics. Five of these topics (e.g., 'Warmth/Coldness') were extracted from previous studies on age stereotypes. The remaining four topics were unique to our dataset (e.g., 'Wealth Gap'). The outcome variable was 'Negative Age Stereotypes' which was rated on a binary scale. One in two videos about older adults featured negative content. As hypothesized, videos containing negative age stereotypes were more likely to be about the 'Values and Beliefs of Older Adults' (7 times), 'Negative Encounters with Older Adults' (8 times) or 'Older Adults Antagonizing the Young' (13 times). Conversely, videos which portrayed older adults as 'Warm' were 43% less likely to contain negative stereotypes. As the phenomenon of an aging population fast unfolds, it is imperative that society relinquishes its tendency to stereotype individuals on the grounds of age. By examining the possible mechanisms driving negative stereotypes of older adults on TikTok, our study provides the basis upon which such stereotypes can be counteracted. In doing so, it paves the way both to improve the well-being of older persons and to foster intergenerational solidarity.</t>
  </si>
  <si>
    <t>We gratefully acknowledge the support of the Social Science Research Council SSHR Fellowship (MOE2018-SSHR-004). The funders had no role in study design, data collection and analysis, decision to publish, or preparation of the manuscript.</t>
  </si>
  <si>
    <t>AUG 2</t>
  </si>
  <si>
    <t>e0285987</t>
  </si>
  <si>
    <t>10.1371/journal.pone.0285987</t>
  </si>
  <si>
    <t>O4CY9</t>
  </si>
  <si>
    <t>WOS:001043323500001</t>
  </si>
  <si>
    <t>It's All About Being There: Rethinking Presence and Co-Presence in the Ethnographic Field during and after the Covid-19 Pandemic</t>
  </si>
  <si>
    <t>JOURNAL OF WORLD POPULAR MUSIC</t>
  </si>
  <si>
    <t>TikTok; multimedia fieldwork; music and place; ethnographing; pandemic; ethno- graphy; Covid-19 pandemic</t>
  </si>
  <si>
    <t>Ethnomusicologists often move into the field to observe, analyse, and describe the knowledge creation and negotiation practices of a musical tradition. However, the scenarios caused by the COVID-19 pandemic have proven to be a challenge to the practice of our ethnographic work. We were prevented from going to the field and musicians could not meet physically to develop their musicking, partially transferring their practices to various digital platforms. Although the pandemic confronts us with previously unthinkable challenges, some of these situations are not new if we think about musical practices like those of TikTok. Beyond the time of the pandemic, these practices have already shown to be a challenge for various theoretical and methodologi- cal conceptions of our ethnographic work, since they do not materialize in concrete practices in a given place. In this article, drawing on my ethnographic research on TikTok musicking from an Austrian perspective, as well as my reflections as an ethnomusicologist during the time of the COVID-19 pandemic, I will discuss the idea of musical geography through practice, as well as the concepts of presence and co-presence, to critically reflect on the ideas of being there or being present, so important in ethnographic work. In addition to these reflections, I will examine and discuss various experiences lived throughout the musicking of TikTok under a multimedia reality before and during the pandemic, in order to discuss the idea that musical geography through practice can change our perspectives on the field pre- and post -pandemic.</t>
  </si>
  <si>
    <t>[Bermudez, Juan] Univ Vienna, Dept Musicol, Spitalgasse 2,Hof 9 Campus, A-1090 Vienna, Austria</t>
  </si>
  <si>
    <t>Bermúdez, J (corresponding author), Univ Vienna, Dept Musicol, Spitalgasse 2,Hof 9 Campus, A-1090 Vienna, Austria.</t>
  </si>
  <si>
    <t>juan.bermudez@univie.ac.at</t>
  </si>
  <si>
    <t>Bermudez, Juan/0000-0001-5811-739X</t>
  </si>
  <si>
    <t>2052-4900</t>
  </si>
  <si>
    <t>2052-4919</t>
  </si>
  <si>
    <t>J WORLD POP MUS</t>
  </si>
  <si>
    <t>J. World Pop. Mus.</t>
  </si>
  <si>
    <t>10.1558/jwpm.26375</t>
  </si>
  <si>
    <t>O0ZN9</t>
  </si>
  <si>
    <t>WOS:001041191700003</t>
  </si>
  <si>
    <t>Zhu, CS; Fong, LHN; Li, X; Buhalis, D; Chen, H</t>
  </si>
  <si>
    <t>Zhu, Chris; Fong, Lawrence Hoc Nang; Li, Xi; Buhalis, Dimitrios; Chen, Hong</t>
  </si>
  <si>
    <t>Short video marketing in tourism: Telepresence, celebrity attachment, and travel intention</t>
  </si>
  <si>
    <t>INTERNATIONAL JOURNAL OF TOURISM RESEARCH</t>
  </si>
  <si>
    <t>celebrity attachment; destination marketing; existential authenticity; telepresence theory; TikTok</t>
  </si>
  <si>
    <t>VIRTUAL-REALITY; SOCIAL MEDIA; AUTHENTICITY; EXPERIENCE; HOSPITALITY; DIMENSIONS; ATTITUDE</t>
  </si>
  <si>
    <t>Drawn upon Telepresence theory, this study aims to identify the relationships between existential authenticity, celebrity attachment, telepresence, and travel intention in the short video experience. Survey results show that existential authenticity fosters user attachment to celebrity and then travel intention, but has no impact on telepresence which is also not related to travel intention; Furthermore, celebrity attachment enhances travel intention. Although existential authenticity has no effect on telepresence, celebrity attachment mediates the relationship between existential authenticity and telepresence. This study offers insights to both scholars and practitioners, informing strategies for enhancing destination competitiveness through TikTok marketing campaigns.</t>
  </si>
  <si>
    <t>[Zhu, Chris] Macao Inst Tourism Studies, Sch Tourism Management, Taipa, Macau, Peoples R China; [Fong, Lawrence Hoc Nang] Univ Macau, Fac Business Adm, Zhuhai, Macau, Peoples R China; [Fong, Lawrence Hoc Nang] Univ Macau, Ctr Cognit &amp; Brain Sci, Zhuhai, Macau, Peoples R China; [Li, Xi; Chen, Hong] City Univ Macau, Fac Int Tourism &amp; Management, Taipa, Macau, Peoples R China; [Buhalis, Dimitrios] Bournemouth Univ, Business Sch, Bournemouth, England</t>
  </si>
  <si>
    <t>Macao University of Tourism; University of Macau; University of Macau; City University of Macau; Bournemouth University</t>
  </si>
  <si>
    <t>Li, X (corresponding author), City Univ Macau, Fac Int Tourism &amp; Management, Taipa, Macau, Peoples R China.</t>
  </si>
  <si>
    <t>xli@cityu.mo</t>
  </si>
  <si>
    <t>LI, Xi/JAC-8809-2023; Buhalis, Dimitrios/C-2045-2008; Fong, Lawrence Hoc Nang/L-7933-2013</t>
  </si>
  <si>
    <t>LI, Xi/0000-0003-3519-4805; Buhalis, Dimitrios/0000-0001-9148-6090; Fong, Lawrence Hoc Nang/0000-0001-7107-3360; Zhu, Chris/0000-0003-2475-4897</t>
  </si>
  <si>
    <t>1099-2340</t>
  </si>
  <si>
    <t>1522-1970</t>
  </si>
  <si>
    <t>INT J TOUR RES</t>
  </si>
  <si>
    <t>Int. J. Tour. Res.</t>
  </si>
  <si>
    <t>10.1002/jtr.2599</t>
  </si>
  <si>
    <t>CV6F4</t>
  </si>
  <si>
    <t>WOS:001071562100001</t>
  </si>
  <si>
    <t>Getting high for likes: Exploring cannabis-related content on TikTok</t>
  </si>
  <si>
    <t>cannabis; adolescent; social media</t>
  </si>
  <si>
    <t>MARIJUANA; ALCOHOL</t>
  </si>
  <si>
    <t>Introduction With over 1 billion monthly users globally, a third of whom are under 14 years, TikTok's popularity is indisputable. Publicly available cannabis-related content on this platform may influence perceptions of cannabis use. We aimed to examine how cannabis-related videos are portrayed on TikTok. Methods Data were collected from TikTok using hashtag-based keywords on cannabis-related videos (n = 1377). Seven researchers documented video metrics (i.e. views, likes, comments) and independently coded videos for sentiment and theme. Results After removing duplicates and non-related content, the final sample contained 881 videos. These videos had a median view count of 518 700 (SD = +/- 1 082 905), median likes count of 99 900 (SD = +/- 206 647) and median comment count of 931 (SD = +/- 2977). Many videos portrayed cannabis use positively (54.14%; collectively viewed 417 million times), with 15.84% of this subset actively depicting cannabis or administration products. The thematic analysis identified seven non-mutually exclusive themes. Content portraying cannabis use as entertaining or humorous accounted for 71.74% of videos, with a further 42.90% discussing personal cannabis use experiences and 24.63% promoting the social and cultural acceptability of cannabis use. Discussion and Conclusions Our sample revealed over half of videos portrayed cannabis use positively and none were age restricted. All were publicly accessible through standard web and smartphone applications. With previous research demonstrating that exposure to cannabis-related content can influence adolescents' attitudes and problematic cannabis use, it is important more effective age restrictions and regulations are introduced to social media platforms.</t>
  </si>
  <si>
    <t>[Rutherford, Brienna N.; Sun, Tianze; Johnson, Benjamin; Co, Steven; Lim, Carmen C. W.; Chiu, Vivian; Leung, Janni; Stjepanovic, Daniel; Connor, Jason P.; Chan, Gary C. K.] Univ Queensland, Natl Ctr Youth Subst Use Res, Brisbane, Qld, Australia; [Rutherford, Brienna N.; Sun, Tianze; Johnson, Benjamin; Co, Steven; Lim, Carmen C. W.; Chiu, Vivian; Leung, Janni; Stjepanovic, Daniel; Chan, Gary C. K.] Univ Queensland, Sch Psychol, Brisbane, Qld, Australia; [Lim, Tong Liang] Univ Hosp Leicester NHS Trust, Leicester, Leics, England; [Leung, Janni] UNSW Sydney, Natl Drug &amp; Alcohol Res Ctr, Sydney, NSW, Australia; [Connor, Jason P.] Univ Queensland, Discipline Psychiat, Brisbane, Qld, Australia</t>
  </si>
  <si>
    <t>Rutherford, BN (corresponding author), Univ Queensland, Natl Ctr Youth Subst Use Res, St Lucia, Qld 4072, Australia.</t>
  </si>
  <si>
    <t>Stjepanovic, Daniel/B-3658-2009; Sun, Tianze/LFS-0433-2024; Lim, Carmen/O-7634-2016; Chan, Gary/B-7220-2015; Connor, Jason/F-7040-2010; Leung, Janni/H-1003-2012</t>
  </si>
  <si>
    <t>Rutherford, Brienna/0000-0002-6034-6527; Chiu, Vivian/0000-0002-8729-3330; Sun, Tianze/0000-0002-3939-9499; Chan, Gary/0000-0002-7569-1948; Connor, Jason/0000-0002-7020-1196; Johnson, Benjamin/0000-0003-2831-0150; Leung, Janni/0000-0001-5816-2959</t>
  </si>
  <si>
    <t>10.1111/dar.13433</t>
  </si>
  <si>
    <t>2P8QM</t>
  </si>
  <si>
    <t>WOS:000746077700001</t>
  </si>
  <si>
    <t>Jaramillo-Dent, D; Contreras-Pulido, P; Pérez-Rodríguez, A</t>
  </si>
  <si>
    <t>Jaramillo-Dent, Daniela; Contreras-Pulido, Paloma; Perez-Rodriguez, Amor</t>
  </si>
  <si>
    <t>Immigrant Influencers on TikTok: Diverse Microcelebrity Profiles and Algorithmic (In)Visibility</t>
  </si>
  <si>
    <t>algorithm; identity; immigration; influencer; online persona; social media; TikTok; visibility</t>
  </si>
  <si>
    <t>COMMUNICATION; MIGRANTS; CELEBRITY; POLITICS; YOUTUBE; MEDIA</t>
  </si>
  <si>
    <t>Internet celebrity has become a phenomenon of great interest for scholars in the last few years. This is partly due to its impact in contemporary media ecosystems, and its influence in political, social, cultural, and commercial behaviors around the world. Meanwhile, some segments of the population continue to be marginalized by sociotechnical configurations that perpetuate structures of dominance in the digital sphere and on social media platforms. This is the case of immigrants, who often face diverse digital, symbolic, and physical borders that neglect their voice and agency. Thus, the present study aims to explore the creative practices of immigrant tiktokers who have achieved a significant following on this platform. Using a case study approach, we explore four immigrant creator profiles with a following of 17,000 to 500,000 through in-depth interviews and a multimodal content analysis of 252 of their videos to delve into their platformed practices on TikTok. The participants are Latin American immigrant creators living in the US and Spain, identified as part of a larger study on the uses of TikTok by Latinx immigrants in these two countries exploring 53 immigrant creator profiles with more than 10,000 followers. Their practices related to algorithmic (in)visibility, and their unfolding identities including their digital, creative, political, activist, cultural, and national personas are noteworthy, and suggest unique pathways to reclaim agency through social media influence and construct multi-dimensional microcelebrity identities beyond migratory status.</t>
  </si>
  <si>
    <t>[Jaramillo-Dent, Daniela; Perez-Rodriguez, Amor] Univ Huelva, Dept Philol, Huelva, Spain; [Jaramillo-Dent, Daniela] Erasmus Univ, Dept Media &amp; Commun, Rotterdam, Netherlands; [Contreras-Pulido, Paloma] Int Univ La Rioja, Dept Educ, Logrono, Spain</t>
  </si>
  <si>
    <t>Universidad de Huelva; Erasmus University Rotterdam; Erasmus University Rotterdam - Excl Erasmus MC; Universidad Internacional de La Rioja (UNIR)</t>
  </si>
  <si>
    <t>Jaramillo-Dent, D (corresponding author), Univ Huelva, Dept Philol, Huelva, Spain.;Jaramillo-Dent, D (corresponding author), Erasmus Univ, Dept Media &amp; Commun, Rotterdam, Netherlands.</t>
  </si>
  <si>
    <t>daniela.jaramillo@pi.uhu.es</t>
  </si>
  <si>
    <t>Jaramillo-Dent, Daniela/AAD-5509-2020; Perez-Rodriguez, Amor/D-3738-2013; Contreras-Pulido, Paloma/C-3907-2013</t>
  </si>
  <si>
    <t>Perez-Rodriguez, Amor/0000-0001-8312-5412; Contreras-Pulido, Paloma/0000-0002-6206-7820; JARAMILLO-DENT, Daniela/0000-0001-8372-0107</t>
  </si>
  <si>
    <t>Alfamed (Euro-American Research Network) , under Grant R+D+I Project (2019-2021), entitled Youtubers and Intagrammers: Media competence in emerging prosumers - Spanish Ministry of Science, Innovation and Universities [RTI2018-093303-B-I00]; European Regional Development Fund (ERDF); R+D-i Project (2020-2022) , entitled Instagrammers and youtu-bers for the transmedia empowerment of Andalusian citizens. The media competence of instatubers - Andalusian Regional Government [P18-RT-756]</t>
  </si>
  <si>
    <t>Alfamed (Euro-American Research Network) , under Grant R+D+I Project (2019-2021), entitled Youtubers and Intagrammers: Media competence in emerging prosumers - Spanish Ministry of Science, Innovation and Universities; European Regional Development Fund (ERDF)(European Union (EU)); R+D-i Project (2020-2022) , entitled Instagrammers and youtu-bers for the transmedia empowerment of Andalusian citizens. The media competence of instatubers - Andalusian Regional Government</t>
  </si>
  <si>
    <t>This work was supported by Alfamed (Euro-American Research Network) , under Grant R+D+I Project (2019-2021) , entitled Youtubers and Intagrammers: Media competence in emerging prosumers, with code RTI2018-093303-B-I00, financed by the Spanish Ministry of Science, Innovation and Universities and the European Regional Development Fund (ERDF) , and the R+D-i Project (2020-2022) , entitled Instagrammers and youtu-bers for the transmedia empowerment of Andalusian citizens. The media competence of instatubers, with code P18-RT-756, financed by the Andalusian Regional Government in the 2018 call (Andalusian Research, Development and Innovation Plan, 2020) and the European Regional Development Fund (ERDF) . The authors would like to thank the reviewers for their thoughtful and helpful comments, which have signifi-cantly improved the article.</t>
  </si>
  <si>
    <t>10.17645/mac.v10i1.4743</t>
  </si>
  <si>
    <t>WOS:000762434300008</t>
  </si>
  <si>
    <t>Cao, JX; Peng, XN; Liang, F; Tong, X</t>
  </si>
  <si>
    <t>Cao, Jiaxun; Peng, Xuening; Liang, Fan; Tong, Xin</t>
  </si>
  <si>
    <t>Voices Help Correlate Signs and Words: Analyzing Deaf and Hard-of-Hearing (DHH) TikTokers' Content, Practices, and Pitfalls</t>
  </si>
  <si>
    <t>Deaf and hard-of-hearing; TikTok; Content creation</t>
  </si>
  <si>
    <t>SOCIAL NETWORKING; PEOPLE; MEDIA; LANGUAGE; COMMUNICATION; YOUTUBE; USERS; PARTICIPATION; REQUIREMENTS; EXPERIENCES</t>
  </si>
  <si>
    <t>Video-sharing platforms such as TikTok have offered new opportunities for d/Deaf and hard-of-hearing (DHH) people to create public-facing content using sign language - an integral part of DHH culture. Besides sign language, DHH creators deal with a variety of modalities when creating videos, such as captions and audio. However, hardly any work has comprehensively addressed DHH creators' multimodal practices with the lay public's reactions taken into account. In this paper, we systematically analyzed 308 DHH-authored TikTok videos using a mixed-methods approach, focusing on DHH TikTokers' content, practices, pitfalls, and viewer engagement. Our findings highlight that while voice features such as synchronous voices are scant and challenging for DHH TikTokers, they may help promote viewer engagement. Other empirical findings, including the distributions of topics, practices, pitfalls, and their correlations with viewer engagement, further lead to actionable suggestions for DHH TikTokers and video-sharing platforms.</t>
  </si>
  <si>
    <t>[Cao, Jiaxun; Liang, Fan; Tong, Xin] Duke Kunshan Univ, Suzhou, Peoples R China; [Peng, Xuening] Univ Florida, Gainesville, FL USA</t>
  </si>
  <si>
    <t>Duke Kunshan University; State University System of Florida; University of Florida</t>
  </si>
  <si>
    <t>Tong, X (corresponding author), Duke Kunshan Univ, Suzhou, Peoples R China.</t>
  </si>
  <si>
    <t>jessie.cao@dukekunshan.edu.cn; xuening.peng@uf.edu; fan.liang@dukekunshan.edu.cn; xin.tong@dukekunshan.edu.cn</t>
  </si>
  <si>
    <t>Liang, Fan/HGA-0248-2022</t>
  </si>
  <si>
    <t>Tong, Xin/0000-0002-8037-6301; Liang, Fan/0000-0001-5169-2623</t>
  </si>
  <si>
    <t>Kunshan Government Research Fund [23KKSGR031]</t>
  </si>
  <si>
    <t>Kunshan Government Research Fund</t>
  </si>
  <si>
    <t>This work was supported by the Kunshan Government Research Fund (23KKSGR031). We thank the anonymous reviewers for helping us improve this work. We thank Roshan Venkatakrishnan from the University of Florida for the valuable input to our quantitative data analysis. Xuening Peng's contribution was made while she was a research assistant at Duke Kunshan University.</t>
  </si>
  <si>
    <t>10.1145/3613904.3642413</t>
  </si>
  <si>
    <t>WOS:001259864900012</t>
  </si>
  <si>
    <t>Alhabash, S; Smischney, TM; Suneja, A; Nimmagadda, A; White, LR</t>
  </si>
  <si>
    <t>Alhabash, Saleem; Smischney, Tegan Marie; Suneja, Anvita; Nimmagadda, Anish; White, Linda R.</t>
  </si>
  <si>
    <t>So Similar, Yet So Different: How Motivations to Use Facebook, Instagram, Twitter, and TikTok Predict Problematic Use and Use Continuance Intentions</t>
  </si>
  <si>
    <t>uses and gratifications; Facebook; Instagram; Twitter; TikTok; privacy; platform addiction; social media use</t>
  </si>
  <si>
    <t>SOCIAL MEDIA; GRATIFICATIONS; PRIVACY; ENGAGEMENT; MOTIVES; SITES; TRUST</t>
  </si>
  <si>
    <t>While much of the studies within the Uses and Gratifications (U&amp;G) tradition were set to predict facets of media use, the current study examines how use motivations, nature of platform use, and privacy-related perceptions predict users' use continuance intentions for Facebook, Instagram, Twitter, and TikTok and their problematic use (i.e., addiction), simultaneously. The study uses a cross-sectional survey of undergraduate students at a large Midwestern University (N = 685), where participants expressed their motivations to use each of the four platforms (depending on their active use of the platform), platform affinity and other usage factors, their intentions to continue using the platform, and their problematic use of the platform. Findings showed superiority of Instagram in terms of U&amp;G. Regression models highlighted differences in the four platforms' problematic use and continuance intentions. Findings are discussed within the framework of reconceptualizing U&amp;G outcomes within the evolving social media environment. The current study reports differences and commonalities in the uses and gratifications of Facebook, Instagram, Twitter, and TikTok among a sample of college students. Our findings showed significant differences in how college students use the four platforms and why they use them. Instagram took the lead in terms of use and motivations for using the platform. Additionally, our regression analyses showed that each platform was predicted by a different set of motivations, as well as different patterns of association with privacy-related factors, where trust was key in predicting platform use continuance intentions.</t>
  </si>
  <si>
    <t>[Alhabash, Saleem; Suneja, Anvita; Nimmagadda, Anish; White, Linda R.] Michigan State Univ, E Lansing, MI USA; [Smischney, Tegan Marie] Nystrom &amp; Associates Ltd, Rochester, MN USA; [White, Linda R.] Univ Nebraska Lincoln, Lincoln, NE USA; [Alhabash, Saleem] Michigan State Univ, Coll Commun Arts &amp; Sci, Dept Advertising &amp; Publ Relat, 404 Wilson Rd,Room 313, E Lansing, MI 48824 USA</t>
  </si>
  <si>
    <t>Michigan State University; University of Nebraska System; University of Nebraska Lincoln; Michigan State University</t>
  </si>
  <si>
    <t>Alhabash, S (corresponding author), Michigan State Univ, Coll Commun Arts &amp; Sci, Dept Advertising &amp; Publ Relat, 404 Wilson Rd,Room 313, E Lansing, MI 48824 USA.</t>
  </si>
  <si>
    <t>sa@msu.edu</t>
  </si>
  <si>
    <t>White, Linda/0000-0003-0599-3075</t>
  </si>
  <si>
    <t>10.1177/21582440241255426</t>
  </si>
  <si>
    <t>RS0R6</t>
  </si>
  <si>
    <t>WOS:001229538200001</t>
  </si>
  <si>
    <t>Soriano-Ayala, E; Díaz, MB; Cala, VC</t>
  </si>
  <si>
    <t>Soriano-Ayala, Encarnacion; Bonillo Diaz, Maria; Cala, Veronica C.</t>
  </si>
  <si>
    <t>TikTok and Child Hypersexualization: Analysis of Videos and Narratives of Minors</t>
  </si>
  <si>
    <t>AMERICAN JOURNAL OF SEXUALITY EDUCATION</t>
  </si>
  <si>
    <t>TikTok; children's sexualization; social networks; Video analysis; children's narratives</t>
  </si>
  <si>
    <t>SOCIAL MEDIA; SEXUALIZATION; GENDER; COMMUNICATION; ADOLESCENTS; MEN</t>
  </si>
  <si>
    <t>The objective of this study is to analyze the degree of sexualization observed in TikTok videos and to compare it with the narratives of young people about the social network. A mixed-methods research design was used combining (1) a quantitative observational study based on measuring indicators of sexualization in 648 videos published by the 12 TikTokers most followed in Spain and (2) a qualitative study with 12 in-depth interviews to TikTok users (6 male, 6 female) between 8 and 17 years old from Spain. The video analysis reveal hypersexualized behaviors in 10/12 accounts, without statistically significant gender differences. Narratives about the social network showed ambivalent ideas, considering it a fundamental space for fun and socialization while being aware of numerous risks and threats. Sexualization is described with the expression being loose and is recognized as an intrinsic characteristic of the network. The discourses on hypersexualization are markedly gendered, recognizing sexualization almost exclusively in women. Some young people perceive self-sexualization as a form of self-empowerment, while when they describe it in other women, it is penalized and negatively valued as a form of objectification that favors bullying. They also warn about its impact on self-esteem and mental health, especially in terms of those bodies that do not fit into body hierarchies. The climate of the network facilitates criticism and insult, the dissociation between the real and virtual self, and that public exposure increases their vulnerability. It is urgent to advance digital affective-sexual education that addresses these problems.</t>
  </si>
  <si>
    <t>[Soriano-Ayala, Encarnacion; Bonillo Diaz, Maria; Cala, Veronica C.] Univ Almeria, Fac Educ Sci, Crtra Sacramento S N,Canada San Urbano, Almeria 04120, Spain</t>
  </si>
  <si>
    <t>Universidad de Almeria</t>
  </si>
  <si>
    <t>Cala, VC (corresponding author), Univ Almeria, Fac Educ Sci, Crtra Sacramento S N,Canada San Urbano, Almeria 04120, Spain.</t>
  </si>
  <si>
    <t>vcc284@ual.es</t>
  </si>
  <si>
    <t>Soriano-Ayala, Encarnacion/X-4454-2018; C. Cala, Veronica/D-5726-2017</t>
  </si>
  <si>
    <t>C. Cala, Veronica/0000-0003-1254-1667</t>
  </si>
  <si>
    <t>Spanish Ministry of Economic Affairs [RTI2018-101668-B-I00]</t>
  </si>
  <si>
    <t>Spanish Ministry of Economic Affairs</t>
  </si>
  <si>
    <t>This research is funded by the Spanish Ministry of Economic Affairs. Project name: Teen Dating Violence. Research for a transcultural prevention and intervention in socioeducative contexts [RTI2018-101668-B-I00].</t>
  </si>
  <si>
    <t>1554-6128</t>
  </si>
  <si>
    <t>1554-6136</t>
  </si>
  <si>
    <t>AM J SEX EDUC</t>
  </si>
  <si>
    <t>Am. J. Sex. Educ.</t>
  </si>
  <si>
    <t>10.1080/15546128.2022.2096734</t>
  </si>
  <si>
    <t>F2YS5</t>
  </si>
  <si>
    <t>WOS:000824428700001</t>
  </si>
  <si>
    <t>Doan, TNQ; Lee, HT</t>
  </si>
  <si>
    <t>Doan, Thi Nhu Quynh; Lee, Hee Tae</t>
  </si>
  <si>
    <t>Relationships between FoMO, Flow, and Impulse Purchase: Focusing on TikTok Social-commerce Platform</t>
  </si>
  <si>
    <t>FoMO; Short-form Video; Social-commerce; TikTok; Impulse Purchase</t>
  </si>
  <si>
    <t>PRODUCT SCARCITY; NEED SATISFACTION; MEDIA ENGAGEMENT; FEAR; SELF; DESIRABILITY; UNIQUENESS; SUPPORT; ROLES</t>
  </si>
  <si>
    <t>Purpose: The current study investigates the variables influencing FoMO (Fear of Missing Out) and how FoMO affects flow experience and impulse purchases among Vietnamese Generation Z on TikTok, a short-form video social-commerce platform. Research design, data, and methodology: After developing operation definitions and measurement scales of each construct based on prior study, the research evaluated the direct and indirect effects among research variables by performing Structural Equation Modeling analysis on the program IBM SPSS AMOS 20 using data of 298 respondents obtained from an online survey by convenience sampling method. Results: Findings show that the three factors - covert narcissism, social comparison and scarcity - positively affect FoMO. Flow experience significantly influences impulse purchase, whereas FoMO does not directly predict impulse purchase. However, FoMO does positively affect impulse purchase under the mediating effect of flow experience. Conclusions: By highlighting factors affecting FoMO and clarifying the relationship between FoMO, flow experience, and impulse purchase, this research provides helpful insights into the theoretical underpinnings of FoMO and offers marketers practical suggestions to carry out successful marketing campaigns on video social-commerce platforms.</t>
  </si>
  <si>
    <t>[Doan, Thi Nhu Quynh] Virtuos Games, Prod Dept, Hanoi, Vietnam; [Lee, Hee Tae] Hannam Univ, Coll Business &amp; Econ, Daejeon, South Korea</t>
  </si>
  <si>
    <t>Hannam University</t>
  </si>
  <si>
    <t>Doan, TNQ (corresponding author), Virtuos Games, Prod Dept, Hanoi, Vietnam.</t>
  </si>
  <si>
    <t>quynh.dtn26@gmail.com; htlee@hnu.ac.kr</t>
  </si>
  <si>
    <t>10.15722/jds.21.11.202311.91</t>
  </si>
  <si>
    <t>L4V6V</t>
  </si>
  <si>
    <t>WOS:001350714600009</t>
  </si>
  <si>
    <t>Bindhim, NF; Althumiri, NA; Al-Duraihem, RA; Alasmary, S; Alkhamaali, Z; Alhabeeb, AA</t>
  </si>
  <si>
    <t>Bindhim, Nasser F.; Althumiri, Nora A.; Al-Duraihem, Rashed Abdullah; Alasmary, Saeed; Alkhamaali, Zaied; Alhabeeb, Abdulhameed Abdullah</t>
  </si>
  <si>
    <t>Association between daily use of social media and behavioral lifestyles in the Saudi community: a cross-sectional study</t>
  </si>
  <si>
    <t>social media; Saudi Arabia; behavior; lifestyle; mental health</t>
  </si>
  <si>
    <t>FACEBOOK; IMPACT</t>
  </si>
  <si>
    <t>ObjectiveThis study aimed to investigate the association between nine social media platforms use and health-related behavior, including fruit and vegetable intake, physical activity, tobacco use, and risk factors including depression and obesity.MethodsA cross-sectional study was conducted using secondary data from the Sharik Health Indicators Surveillance System (SHISS). Participants 18 years and older were recruited via phone-interviews. The nine social media platform use [Twitter-(X), Facebook, Instagram, WhatsApp, LinkedIn, Snapchat, TikTok, Telegram, and YouTube] were assessed using self-reported use. Health-related variables include behavioral factors including diet, physical activity, and tobacco use including (cigarettes, waterpipes, and e-cigarettes), risk of depression and obesity. Logistic regression analysis was performed to explore the association between social media use and health-related variables.ResultsThe study indicated that daily Snapchat users had a lower healthy diet (fruit and vegetable intake), whereas daily LinkedIn and WhatsApp users were positively associated with a healthier diet, relative to those with infrequent social media use. Furthermore, daily interaction with Instagram, TikTok, Telegram, and YouTube was significantly associated with increased depression risk. Conversely, Snapchat and WhatsApp usage was significantly linked to a decreased depression risk. Tobacco-smoking behaviors were associated with specific social media platforms: cigarette smoking was associated with Snapchat, TikTok, and YouTube; e-cigarette with Facebook, LinkedIn, Snapchat, and TikTok; and waterpipe smoking with Facebook and TikTok. Interestingly, some platforms, such as Instagram, were associated with reduced cigarette smoking. The relationship between social media activity and health-related outcomes remained significant after adjusting for age and gender.ConclusionThis study highlights the potential negative impact of particular daily social media use on health-related variables, including dietary habits, tobacco use, and depression. Nevertheless, particular daily social media use of some platforms was associated with a potential positive impact on the health-related variables. Social media platforms are tools that can be used to achieve both a positive and negative effect. By knowing which demographic segments have a greater presence on one platform, we are creating opportunities to understand the social phenomena and at the same time use it to reach those segments and communicate with them, because each social media platform has its unique way and framework of user communication.</t>
  </si>
  <si>
    <t>[Bindhim, Nasser F.; Althumiri, Nora A.] Informed Decis Making Res &amp; Studies, Riyadh, Saudi Arabia; [Al-Duraihem, Rashed Abdullah; Alasmary, Saeed; Alhabeeb, Abdulhameed Abdullah] Natl Ctr Mental Hlth Promot, Riyadh, Saudi Arabia; [Alkhamaali, Zaied] Saudi Food &amp; Drug Author, Riyadh, Saudi Arabia</t>
  </si>
  <si>
    <t>Althumiri, NA (corresponding author), Informed Decis Making Res &amp; Studies, Riyadh, Saudi Arabia.</t>
  </si>
  <si>
    <t>nora@althumiri.net</t>
  </si>
  <si>
    <t>Althumiri, Nora/HGC-1768-2022</t>
  </si>
  <si>
    <t>OCT 9</t>
  </si>
  <si>
    <t>10.3389/fpubh.2023.1254603</t>
  </si>
  <si>
    <t>U8ZU5</t>
  </si>
  <si>
    <t>WOS:001087635200001</t>
  </si>
  <si>
    <t>Sánchez-López, I; Roig-Vila, R; Salcedo, EM</t>
  </si>
  <si>
    <t>Sanchez-Lopez, Ivan; Roig-Vila, Rosabel; Salcedo, Edna Manota</t>
  </si>
  <si>
    <t>Teachers on TikTok: Creative strategies and resources for making content go viral. An evolution in education?</t>
  </si>
  <si>
    <t>TikTok; education; affordances; teachers; online learning; digital learning</t>
  </si>
  <si>
    <t>TikTok is experiencing exponential growth, especially among the younger generation. In the educational context, teachers are using the platform to disseminate personal publications and make them go viral. In this study, multimodal discourse analysis is used, together with grounded theory and the constant comparative method, to understand and interpret the resources and strategies being deployed by teachers to create content. It is found that teachers use different types of affordances of the TikTok platform. In terms of technological affordances, the short video stands out, as well as the 'selfie shot' and the teacher's own voice for representing themself, rather than music or lip-synching. In terms of social affordances, there is trend-following, a casual and optimistic tone, games and humour. In terms of inherited affordances, the whiteboard and marker pen, the centrality of exams or the continued use of the classroom are introduced into the virtual world. This creates tension between these analogisms and their opposite: the 'Tiktokification' of the educa-tional space. In the case of certain profiles, the educational purpose is replaced by a move towards personal growth on the internet and the promotion and commercialisation of products, imitating processes typical of influencers. There is also an overexposure of cho-reographed students, as well as indicators of sexualization of content, in an appropriation of the role of teacher for particular purposes. At the same time, the platform enables the visibility of educational profiles that offer expanded accessibility to very specific and con-crete pedagogical content, without this resulting in the implementation of micro-learning strategies or representing a radical break with traditional education.</t>
  </si>
  <si>
    <t>[Sanchez-Lopez, Ivan; Roig-Vila, Rosabel] Univ Alicante, Alicante, Spain; [Salcedo, Edna Manota] Univ Norte, Barranquilla, Colombia</t>
  </si>
  <si>
    <t>Universitat d'Alacant; Universidad del Norte Colombia</t>
  </si>
  <si>
    <t>Sánchez-López, I (corresponding author), Univ Alicante, Alicante, Spain.</t>
  </si>
  <si>
    <t>ivan.sanchez@ua.es; rosabel.roig@ua.es; ednam@uninorte.edu.co</t>
  </si>
  <si>
    <t>Sánchez-López, Iván/I-7330-2018</t>
  </si>
  <si>
    <t>Sanchez-Lopez, Ivan/0000-0002-5937-2904</t>
  </si>
  <si>
    <t>10.5565/rev/analisi.3634</t>
  </si>
  <si>
    <t>WOS:001141862900001</t>
  </si>
  <si>
    <t>Döring, N; Lehmann, S; Schumann-Doermer, C</t>
  </si>
  <si>
    <t>Doering, Nicola; Lehmann, Stephan; Schumann-Doermer, Claudia</t>
  </si>
  <si>
    <t>Contraception on YouTube, Instagram, and TikTok A content and quality analysis</t>
  </si>
  <si>
    <t>BUNDESGESUNDHEITSBLATT-GESUNDHEITSFORSCHUNG-GESUNDHEITSSCHUTZ</t>
  </si>
  <si>
    <t>Health information; Contraceptive information; Information quality; Internet; mDISCERN index</t>
  </si>
  <si>
    <t>INFORMATION; WITHDRAWAL; IMPLANT; QUERIES; HEALTH</t>
  </si>
  <si>
    <t>Background. Young people and adults increasingly obtain information about contraception via social media.Research aim. Against this background, the aim of this study is to investigate for the first time the content and quality of German-language contraceptive posts on YouTube, Instagram, and TikTok. Research questions on providers (F1), content (F2), and quality of contraceptive posts (F3) as well as audience reactions (F4) will be answered.Materials and methods. A sample of N = 1000 contraceptive posts from YouTube (500), Instagram (250), and TikTok (250) was drawn. A maximum of 20 contraception-related audience comments per post were included in the comment sample (N = 12,454). Posts and comments were analyzed using reliability-tested codebooks. SPSS was used for data analysis. The study is preregistered and all data, materials, and analysis scripts are publicly available.Results. The majority of contraceptive posts were found to be from health laypersons (52%), followed by media professionals and health professionals (F1). In terms of content, contraceptive posts covered all available contraceptive methods, with the pill (69%) and condoms (40%) dominating (F2). According to common quality criteria, there were clear deficits, with YouTube videos scoring best in comparison (F3). TikTok videos, on the other hand, were top performers in terms of audience interaction, attracting the most views, likes, and comments. Comment columns were often used by the audience to share their own contraceptive experiences or ask follow-up questions (F4).Discussion. Future research as well as practice interventions are needed to further assess the quality of contraceptive information in social media and improve it in a more targeted way.</t>
  </si>
  <si>
    <t>[Doering, Nicola; Lehmann, Stephan] TU Ilmenau, IfMK, Ilmenau, Germany; [Schumann-Doermer, Claudia] Deutsch Gesell Psychosomat Frauenheilkunde &amp; Gebur, Dresden, Germany; [Doering, Nicola] TU Ilmenau, IfMK, Ehrenbergstr 29, D-98693 Ilmenau, Germany</t>
  </si>
  <si>
    <t>Technische Universitat Ilmenau; Technische Universitat Ilmenau</t>
  </si>
  <si>
    <t>Döring, N (corresponding author), TU Ilmenau, IfMK, Ehrenbergstr 29, D-98693 Ilmenau, Germany.</t>
  </si>
  <si>
    <t>1436-9990</t>
  </si>
  <si>
    <t>1437-1588</t>
  </si>
  <si>
    <t>BUNDESGESUNDHEITSBLA</t>
  </si>
  <si>
    <t>Bundesgesundheitsblatt-Gesund.</t>
  </si>
  <si>
    <t>10.1007/s00103-023-03698-0</t>
  </si>
  <si>
    <t>Q5YQ5</t>
  </si>
  <si>
    <t>WOS:000985417600001</t>
  </si>
  <si>
    <t>García-Marín, D; Salvat-Martinrey, G</t>
  </si>
  <si>
    <t>Garcia-Marin, David; Salvat-Martinrey, Guiomar</t>
  </si>
  <si>
    <t>Viralizing the truth: predictive factors of fact-checkers' engagement on TikTok</t>
  </si>
  <si>
    <t>Engagement; Engagement rate; Disinformation; Fake news; Post-truth; Fact-checking; Digital platforms; Social video; Digital video; Social networks; Social media; TikTok</t>
  </si>
  <si>
    <t>FAKE NEWS; CHECKING; MISINFORMATION; INFORMATION; JOURNALISM; AGE</t>
  </si>
  <si>
    <t>Disinformation is one of the great challenges threatening the health of the public space and democratic systems, which must be based on truth to facilitate decision-making by citizens. For this reason, the fight against fake news has attracted attention from professionals and researchers during the last five years. In the journalistic field, numerous fact-checking outlets have been established. They use the media at their disposal and, above all, social networks to make verified content visible. TikTok, an emerging social video platform (very popular among the youth population), is the latest tool to be explored by fact-checkers to make the truth public. In this context, this paper aims to (1) determine the characteristics of fact-checkers' videos that drive their engagement on TikTok and (2) identify the factors that predict the number likes, comments, views, times shared, and engagement rate of such content. All the videos published on this platform by the Spanish fact-checkers Maldito bulo and Newtral (n = 320) during the first 26 months of activity of both outlets were analyzed. Bivariate correlational studies, multiple linear regression, and binary logistic regression tests were applied. The type of content (verification versus explanation) has a greater impact on engagement than the topics of the videos. Verifications multiply the probability of a content getting an above-average number of likes, by 2.42. If the video is hosted by a woman, it doubles its chances of getting an above-average number of shares. Our results provide other valuable data that can help fact-checkers make their content more easily spreadable.</t>
  </si>
  <si>
    <t>[Garcia-Marin, David; Salvat-Martinrey, Guiomar] Univ Rey Juan Carlos, Fac Ciencias Comunicac, Camino Molino 5, Fuenlabrada 28942, Madrid, Spain</t>
  </si>
  <si>
    <t>García-Marín, D (corresponding author), Univ Rey Juan Carlos, Fac Ciencias Comunicac, Camino Molino 5, Fuenlabrada 28942, Madrid, Spain.</t>
  </si>
  <si>
    <t>david.garciam@urjc.es; guiomar.salvat@urjc.es</t>
  </si>
  <si>
    <t>salvat-martinrey, guiomar/ABF-7134-2020; Garcia-Marin, David/GQH-0114-2022</t>
  </si>
  <si>
    <t>Garcia-Marin, David/0000-0002-4575-1911</t>
  </si>
  <si>
    <t>e310210</t>
  </si>
  <si>
    <t>10.3145/epi.2022.mar.10</t>
  </si>
  <si>
    <t>0Y3OI</t>
  </si>
  <si>
    <t>WOS:000790300900011</t>
  </si>
  <si>
    <t>Neira, JIM; Domínguez, MT; Lobo, MDO</t>
  </si>
  <si>
    <t>Martin Neira, Juan Ignacio; Trillo Dominguez, Magdalena; Olvera Lobo, Maria Dolores</t>
  </si>
  <si>
    <t>Scientific communication after the COVID-19 crisis: TikTok publishing strategies on the transmedia board</t>
  </si>
  <si>
    <t>Transmedia storytelling; TikTok; Digital journalism; Science journalism; Scientific communication; Social media; COVID-19</t>
  </si>
  <si>
    <t>SOCIAL NETWORKS; SCIENCE; JOURNALISM; INFORMATION; LITERACY; VIDEOS</t>
  </si>
  <si>
    <t>Introduction: This research aims to show the vision of prominent journalists in regards to the adaptation of science journalism to digital contexts. In addition, it addresses the possibilities offered by this web ecosystem to use transmedia narratives and TikTok as platforms for dissemination.Methodology: The methodology applied included semi-structured interviews with professionals linked to institutions, media, and university researchers in the area of Communication.Results: The study demonstrates the opportunity that the transmedia environment represents for science journalism as an ally to bring knowledge closer to new audiences. On a practical level, they point out its graphic potential, access and immediacy, in addition to proposing recommendations on content, style and relationship with the users of the messages that are disseminated in TikTok.Discussion: The research also includes a critical sense of the need for professionals and the media to adapt to new environments as a vital factor for sustainability. Understanding that it is not a question of passing trends but of the challenge of recovering the confidence of audiences and guaranteeing their viability.Conclusions: In addition to reporting rigorously on topics of interest at a critical moment of misinformation, it must aspire to create communities around science and generate attractive content for audiences not accustomed to this information. Avoiding a replicating use of social networks, taking advantage of all their narrative possibilities and, ultimately, contributing to reinforce the value of the professional practice in a context of media discrediting.</t>
  </si>
  <si>
    <t>[Martin Neira, Juan Ignacio] Univ Granada, Ciencias Sociales, Granada, Spain; [Trillo Dominguez, Magdalena] Univ Granada, Grp Joly, Granada, Spain; [Olvera Lobo, Maria Dolores] Univ Granada, Dept Informac &amp; Comunicac, Granada, Spain</t>
  </si>
  <si>
    <t>University of Granada; University of Granada; University of Granada</t>
  </si>
  <si>
    <t>Neira, JIM (corresponding author), Univ Granada, Ciencias Sociales, Granada, Spain.</t>
  </si>
  <si>
    <t>Martin-Neira, Juan-Ignacio/HLQ-5957-2023</t>
  </si>
  <si>
    <t>Martin Neira, Juan Ignacio/0000-0001-9754-1177</t>
  </si>
  <si>
    <t>10.4185/RLCS-2023-1841</t>
  </si>
  <si>
    <t>6P9JT</t>
  </si>
  <si>
    <t>WOS:000891241000002</t>
  </si>
  <si>
    <t>Molotov, K; Khlevniuk, D</t>
  </si>
  <si>
    <t>Molotov, Kirill; Khlevniuk, Daria</t>
  </si>
  <si>
    <t>Five Unknown Facts about ...  How Stalin Is Represented on Russian-Language TikTok</t>
  </si>
  <si>
    <t>COMMUNIST AND POST-COMMUNIST STUDIES</t>
  </si>
  <si>
    <t>media memory; TikTok; Stalin; Russia; social media; USSR</t>
  </si>
  <si>
    <t>COLLECTIVE MEMORY; POLITICS</t>
  </si>
  <si>
    <t>Stalin's era in Soviet history is one of the darkest. Nevertheless, despite numerous historical research, nonfiction and fiction, movies, and museum exhibitions exposing and discussing Stalin's atrocities, a sizable portion of the Russian population is neutral at best and respectful at worst of Stalin's leadership and personality. This article examines the dark side of Russian memories of Stalinism. According to our analysis of pro-Stalin content on TikTok, there are five major themes that users discuss in their pro-Stalin tiktoks: (1) Stalin as a leader in the victory of the Great Patriotic War, (2) a critique of contemporary culture's commemoration of victims of Stalinist repression, (3) a critique of the present, (4) the Stalin regime's achievements in economics and politics, and (5) admiration of Stalin's personality, focusing on his appearance and aesthetics. Furthermore, we hypothesize that social media's design and technological infrastructure can significantly influence which and how memory narratives are broadcast. In particular, Stalin as a celebrity is a framework largely overlooked by the researchers due to their focus on different media.</t>
  </si>
  <si>
    <t>[Molotov, Kirill] HSE Univ, Moscow, Russia; [Khlevniuk, Daria] Univ Amsterdam, Amsterdam, Netherlands</t>
  </si>
  <si>
    <t>HSE University (National Research University Higher School of Economics); University of Amsterdam</t>
  </si>
  <si>
    <t>Molotov, K (corresponding author), HSE Univ, Moscow, Russia.;Khlevniuk, D (corresponding author), Univ Amsterdam, Amsterdam, Netherlands.</t>
  </si>
  <si>
    <t>jedykirill@gmail.com; daria.khlevnyuk@gmail.com</t>
  </si>
  <si>
    <t>European Research Council (ERC) [949918]; European Research Council (ERC) [949918] Funding Source: European Research Council (ERC)</t>
  </si>
  <si>
    <t>Research for this article was supported by funding from the European Research Council (ERC) under the European Union's Horizon 2020 research and innovation program (grant agreement No. 949918) ) for the project Conspiratorial Memory: Cultures of Suspicion in Post-Socialist Europe.</t>
  </si>
  <si>
    <t>0967-067X</t>
  </si>
  <si>
    <t>1873-6920</t>
  </si>
  <si>
    <t>COMMUNIS POST-COMMUN</t>
  </si>
  <si>
    <t>Communist Post-Communist Stud.</t>
  </si>
  <si>
    <t>10.1525/cpcs.2024.2305308</t>
  </si>
  <si>
    <t>F0E8Z</t>
  </si>
  <si>
    <t>WOS:001306650400005</t>
  </si>
  <si>
    <t>Allemand, DS; Bonfim, L</t>
  </si>
  <si>
    <t>Allemand, Debora Souto; Bonfim, Larissa</t>
  </si>
  <si>
    <t>Dialogues between Dance at School and Dance at TikTok: Proposals in remote educacion</t>
  </si>
  <si>
    <t>Basic education; Dance pedagogy; Social networks; COVID-19 pandemic; Dialogicity</t>
  </si>
  <si>
    <t>Based on the experiences of Dance as a school subject at UFPE and UFRGS Application Schools in 2020, this work shares propositions of remote dance creation activities using TikTok. The research reflect on the theoretical-methodological assumptions of these proposals in search of a dialogical praxis, using the application duets resource as a possible metaphor for the construction of knowledge in Dance at school. It is observed that this artistic-pedagogical research was an interesting way of understanding the references of dance of the youth, which allowed the investigation in Dance, by teachers and students, in a horizontal, creative and contextualized way.</t>
  </si>
  <si>
    <t>[Allemand, Debora Souto] Univ Fed Rio Grande do Sul, Colegio Aplicacao, Danca, Porto Alegre, RS, Brazil; [Bonfim, Larissa] Univ Fed Pernambuco UFPE, Colegio Aplicacao, Danca, Recife, PE, Brazil</t>
  </si>
  <si>
    <t>Universidade Federal do Rio Grande do Sul; Universidade Federal de Pernambuco</t>
  </si>
  <si>
    <t>Allemand, DS (corresponding author), Univ Fed Rio Grande do Sul, Colegio Aplicacao, Danca, Porto Alegre, RS, Brazil.</t>
  </si>
  <si>
    <t>deborallemand@hotmail.com; larissa.bonfim@ufpe.br</t>
  </si>
  <si>
    <t>10.5965/1414573102412021e0112</t>
  </si>
  <si>
    <t>YD8WB</t>
  </si>
  <si>
    <t>WOS:000740714600017</t>
  </si>
  <si>
    <t>Herweck, AM; Chey, P; Hipp, HS; Kawwass, JF</t>
  </si>
  <si>
    <t>Herweck, Alexandra M.; Chey, Paris; Hipp, Heather S.; Kawwass, Jennifer F.</t>
  </si>
  <si>
    <t>Oocyte cryopreservation on TikTok and Instagram: Who is teaching whom?</t>
  </si>
  <si>
    <t>JOURNAL OF ASSISTED REPRODUCTION AND GENETICS</t>
  </si>
  <si>
    <t>Social media; Egg freezing; Oocyte freezing; Oocyte preservation; In vitro fertilization; IVF</t>
  </si>
  <si>
    <t>SOCIAL MEDIA; INFORMATION; YOUTUBE</t>
  </si>
  <si>
    <t>Purpose Oocyte cryopreservation (OC) is a medical intervention for reproductive-aged women, a demographic that uses social media heavily. This study characterizes the top TikTok videos and Instagram reels on OC. Methods Five hashtags pertaining to OC were selected: #oocytepreservation, #oocytecryopreservation, #eggfreezing, #oocytefreezing, and #fertilitypreservation. Top videos for each hashtag were evaluated for source, content, impact, and quality on both platforms. Descriptive and inferential statistics were performed to analyze differences between laypeople and medical professionals. Results From March to April 2023, 332 posts were reviewed. The most popular hashtags on TikTok and Instagram were #eggfreezing (n = 5.6 million views, n = 68,500 + posts) and #fertilitypreservation (n = 9 million views, n = 20,700 + posts). Laypeople dominated as sources (57.8%, 35.2%), followed by physicians (17.0%, 32.4%). No professional societies videos were found. Educational information (53.1%, 48.6%) was most frequently shared on both platforms respectively, followed by personal experiences (36.1%, 21.6%). Laypersons' posts were dominated by personal experiences (62.0%) with educational content second (33.3%). Educational content by medical professionals was more accurate on both TikTok and Instagram than patients (p &lt; 0.001, p &lt; 0.001). #Eggfreezing had the greatest impact for both patients and medical professionals based on shares (n = 9653, n = 3093), likes (n = 713,263, n = 120,700), and comments (n = 35,453, n = 1478). Notably, laypersons had a larger follower count than medical professionals (p &lt; 0.001). Conclusion The majority of available videos are from laypeople, focus on education topics, and are less accurate in comparison to those from medical professionals. Professional societies have an opportunity to enhance their social media presence for better availability and accuracy of OC information.</t>
  </si>
  <si>
    <t>[Herweck, Alexandra M.; Chey, Paris] Emory Univ, Dept Gynecol &amp; Obstet, Sch Med, 100 Woodruff Circle,Suite 327, Atlanta, GA 30322 USA; [Hipp, Heather S.; Kawwass, Jennifer F.] Emory Univ, Dept Gynecol &amp; Obstet, Div Reprod Endocrinol &amp; Infertil, Atlanta, GA 30322 USA</t>
  </si>
  <si>
    <t>Herweck, AM (corresponding author), Emory Univ, Dept Gynecol &amp; Obstet, Sch Med, 100 Woodruff Circle,Suite 327, Atlanta, GA 30322 USA.</t>
  </si>
  <si>
    <t>Aherwec@emory.edu</t>
  </si>
  <si>
    <t>Hipp, Heather/0000-0002-1089-3928; Kawwass, Jennifer/0000-0001-7345-735X; Chey, Paris/0000-0003-4300-6974; Herweck, Alexandra/0000-0002-6552-0993</t>
  </si>
  <si>
    <t>1058-0468</t>
  </si>
  <si>
    <t>1573-7330</t>
  </si>
  <si>
    <t>J ASSIST REPROD GEN</t>
  </si>
  <si>
    <t>J. Assist. Reprod. Genet.</t>
  </si>
  <si>
    <t>10.1007/s10815-024-03110-z</t>
  </si>
  <si>
    <t>Genetics &amp; Heredity; Obstetrics &amp; Gynecology; Reproductive Biology</t>
  </si>
  <si>
    <t>ZH6R5</t>
  </si>
  <si>
    <t>WOS:001202002100003</t>
  </si>
  <si>
    <t>Marengo, D; Fabris, MA; Longobardi, C; Settanni, M</t>
  </si>
  <si>
    <t>Marengo, Davide; Fabris, Matteo Angelo; Longobardi, Claudio; Settanni, Michele</t>
  </si>
  <si>
    <t>Smartphone and social media use contributed to individual tendencies towards social media addiction in Italian adolescents during the COVID-19 pandemic</t>
  </si>
  <si>
    <t>Social media use; Adolescence; Covid-19; Addiction; Problematic internet use</t>
  </si>
  <si>
    <t>DEPRESSIVE SYMPTOMS; NEED</t>
  </si>
  <si>
    <t>Introduction: Adolescents in remote education during the COVID-19 pandemic had few opportunities to socialize in person, resulting in a significant rise in the use of social networks or instant messaging applications. However, excessive use may promote addictive tendencies towards these platforms, with negative consequences for adolescents' well-being. Aims: In this study, we investigated the prevalence of smartphone and social media application use in early-tolate adolescents in remote education. We examined the relative impact of different social media applications on self-reported tendencies toward social media addiction. Methods: The sample consisted of 765 Italian adolescents (Age: M = 14.11 +/- 2.2; 401 females) who reported on use of the smartphone, social media applications, namely WhatsApp, Facebook, Twitter, TikTok, Instagram, Snapchat, Telegram, Messenger, and YouTube. Mean differences in social media addiction across group reporting different patterns of social media use were investigated. The contribution of each social media application in predicting social media addiction was determined using a random forest algorithm. Results: On average, adolescents using just WhatsApp and YouTube reported the lowest social media addiction compared with peers also using Instagram or TikTok (or both of them). Overall, we found time spent on smartphone, and use of TikTok were the strongest predictors of social media addiction, followed by use of Facebook, Telegram, Messenger, and Twitter. Instagram, Snapchat, and WhatsApp use showed no effect when examined together with the other platforms. Conclusions: Findings indicated that TikTok was the most addictive application during the COVID-19 pandemic, overshadowing other very popular applications with similar visual affordances.</t>
  </si>
  <si>
    <t>[Marengo, Davide; Fabris, Matteo Angelo; Longobardi, Claudio; Settanni, Michele] Univ Turin, Turin, Italy</t>
  </si>
  <si>
    <t>Longobardi, C (corresponding author), Univ Turin, Dept Psychol, Via Verdi 10, I-10124 Turin, Italy.</t>
  </si>
  <si>
    <t>davide.marengo@unito.it; matteoangelo.fabris@unito.it; Claudio.Longobardi@unito.it; michele.settanni@unito.it</t>
  </si>
  <si>
    <t>Marengo, Davide/AAE-5400-2021; Fabris, Matteo Angelo/AAV-8516-2020; Longobardi, Claudio/E-8296-2013</t>
  </si>
  <si>
    <t>Marengo, Davide/0000-0002-7107-0810; Fabris, Matteo Angelo/0000-0003-4522-5652; Longobardi, Claudio/0000-0002-8457-6554</t>
  </si>
  <si>
    <t>10.1016/j.addbeh.2021.107204</t>
  </si>
  <si>
    <t>2T6CY</t>
  </si>
  <si>
    <t>WOS:000822561500022</t>
  </si>
  <si>
    <t>Wengel, Y; Ma, L; Ma, YX; Apollo, M; Maciuk, K; Ashton, AS</t>
  </si>
  <si>
    <t>Wengel, Yana; Ma, Ling; Ma, Yixiao; Apollo, Michal; Maciuk, Kamil; Ashton, Ann Suwaree</t>
  </si>
  <si>
    <t>The TikTok effect on destination development: Famous overnight, now what?</t>
  </si>
  <si>
    <t>JOURNAL OF OUTDOOR RECREATION AND TOURISM-RESEARCH PLANNING AND MANAGEMENT</t>
  </si>
  <si>
    <t>TikTok; Social media 2; 0; Tourism marketing; Destination management organisation; Hainan Tropical Rainforest National Park</t>
  </si>
  <si>
    <t>SOCIAL MEDIA; TOURISM</t>
  </si>
  <si>
    <t>ABSTR A C T Contemporary tourists increasingly rely on social media platforms to inform their consumption choices. Increasingly more travellers rely on social media to make their travel choices; however, scant research explored the impacts of sudden destination popularity through social media. The current study reveals how TikTok made two off-the-beaten-track destinations in Hainan (China) famous overnight. Using participant observation and interviews, this paper explores how a destination suddenly had to cope not only with overtourism but also with all the issues it generates. The findings revealed that the local community struggles to seize the opportunities offered by tourism while forced to manage the tourist's flow. We propose a management framework for desti-nations in protected areas that suddenly became 'hot' on social media and Web 2.0. Finally, we discuss the implications for tourism policies and management and highlight the importance of links between user-generated content and the promotion as crucial for future tourism planning in protected areas.Management implications: The study results highlight how (off-the-beaten track) destination was impacted by unintentional promotion through TikTok. The findings revealed management gaps related to accessibility and amenities that resulted in negative environmental impacts when suddenly tourism numbers increased in a short time. These findings provide important implications for tourism policies, management, and marketing of des-tinations when their popularity depends on being 'hot' on social media and Web 2.0. The authors propose a Rapid Response Plan framework for handling future cases of sudden destination popularity.</t>
  </si>
  <si>
    <t>[Wengel, Yana; Ma, Ling; Ma, Yixiao; Apollo, Michal; Maciuk, Kamil] Hainan Univ, Arizona State Univ Int Joint Tourism Coll HAITC, Haikou, Hainan, Peoples R China; [Wengel, Yana; Apollo, Michal] Wakayama Univ, Ctr Tourism Res, Wakayama, Japan; [Wengel, Yana; Apollo, Michal] Pedag Univ Krakow, Inst Geog, Dept Tourism &amp; Reg Studies, Krakow, Poland; [Apollo, Michal] Yale Univ, Global Justice Program, New Haven, CT USA; [Maciuk, Kamil] AGH Univ Sci &amp; Technol, Dept Integrated Geodesy &amp; Cartog, Krakow, Poland; [Ashton, Ann Suwaree] Natl Inst Dev Adm, Grad Sch Tourism Management, Bangkok, Thailand</t>
  </si>
  <si>
    <t>Hainan University; Wakayama University; Pedagogical University of Cracow; Yale University; AGH University of Krakow; National Institute of Development Administration - Thailand</t>
  </si>
  <si>
    <t>Apollo, M (corresponding author), Pedag Univ Cracow, Inst Geog, 2 Podchorazych St, PL-30084 Krakow, Poland.</t>
  </si>
  <si>
    <t>yana.wengel@outlook.com; 2227625874@qq.com; 369061080@qq.com; apollomichal@gmail.com; maciuk@agh.edu.pl; suwareeshton@hotmail.com</t>
  </si>
  <si>
    <t>灵, 马/GXH-6559-2022; Maciuk, Kamil/JJC-7681-2023; Ashton, Ann/HJY-9293-2023; Apollo, Michal/C-4715-2016; Maciuk, Kamil/F-7428-2018; Wengel, Yana/A-7090-2017</t>
  </si>
  <si>
    <t>Apollo, Michal/0000-0002-7777-5176; Ma, Yixiao/0000-0002-4379-6067; Ma, Ling/0000-0003-0272-0653; Maciuk, Kamil/0000-0001-5514-8510; Wengel, Yana/0000-0002-8131-4137; Ashton, Ann Suwaree/0000-0001-9811-3529</t>
  </si>
  <si>
    <t>2213-0780</t>
  </si>
  <si>
    <t>2213-0799</t>
  </si>
  <si>
    <t>J OUTDOOR REC TOUR</t>
  </si>
  <si>
    <t>J. Outdo. Recreat. Tour. Res. Plan.</t>
  </si>
  <si>
    <t>10.1016/j.jort.2021.100458</t>
  </si>
  <si>
    <t>0D6WI</t>
  </si>
  <si>
    <t>WOS:000776132900007</t>
  </si>
  <si>
    <t>Bernstein, A; Zhu, M; Loloi, J; Babar, M; Winokur, N; Wysocki, M; Cohen, S</t>
  </si>
  <si>
    <t>Bernstein, Ari; Zhu, Michael; Loloi, Justin; Babar, Mustufa; Winokur, Nick; Wysocki, Matthew; Cohen, Seth</t>
  </si>
  <si>
    <t>TikTok as a source of information regarding premature ejaculation: a qualitative assessment</t>
  </si>
  <si>
    <t>SEXUAL MEDICINE</t>
  </si>
  <si>
    <t>premature ejaculation; disorders of ejaculation; sexual medicine; andrology</t>
  </si>
  <si>
    <t>DIAGNOSIS</t>
  </si>
  <si>
    <t>Background Patients are increasingly looking to social media platforms for medical information.Aim In this study we aimed to evaluate the quality of information regarding premature ejaculation (PE) on TikTok.Methods The term premature ejaculation was searched on TikTok on a single day in May 2022. Videos were sorted by 3 reviewers as reliable or unreliable based on the accuracy of video content. Relevant user metrics were collected for each video, including the numbers of likes, shares, and followers, and the video length, source of upload, and speaker type. The quality of information was objectified with 2 validated tools, with mean scores obtained from the 3 reviewers, the Patient Education Materials Assessment Tool (PEMAT) and the 5-point modified DISCERN instrument.Outcomes Outcomes were video reliability categorization, video and user metrics as described above, and video quality as quantified by PEMAT and DISCERN scores.Results Eight videos were categorized as reliable and 32 videos were categorized as unreliable. The mean number of likes per video was higher in the reliable than in the unreliable group (1238 vs 126, P &lt; .018). Accounts posting reliable videos had higher mean numbers of followers than those posting unreliable videos (55 050 vs 12 042, P = .025). The majority of unreliable videos (75%) vs reliable videos (12.5%) were posted by self-identified patients or individual users, whereas 62.5% of reliable videos vs versus 6.3% of unreliable videos were posted by individual physicians or physician groups. Few videos overall mentioned PE definition, indications for PE treatment, types of treatment, or value of psychological intervention (12.5%, 15%, 22.5%, and 5.0% of videos, respectively). Video length and number of shares did not differ between groups. Reliable videos had higher PEMAT (73.0 vs 45.1, P &lt; .001) and DISCERN (2.7 vs 0, P &lt; .001.) scores.Clinical implications There exists a critical need for enhanced quality of medical information on social media platforms in hopes of encouraging patients with impaired sexual function to seek appropriate medical care.Strength and limitations Strengths of this study include the objective use of validated quality assessment tools and a focus on TikTok as an emerging social media platform. Limitations include large numbers of excluded videos.Conclusion The quality of available information regarding PE on TikTok is low, with a significant percentage of videos on this topic fraught with inaccuracies. Given TikTok's prominence as a social media platform primarily geared toward younger audiences, we emphasize the need for improvement in the quality of information available regarding PE and its management.</t>
  </si>
  <si>
    <t>[Bernstein, Ari; Cohen, Seth] New York Univ Langone Hlth, Dept Urol, New York, NY 10016 USA; [Zhu, Michael; Babar, Mustufa; Winokur, Nick; Wysocki, Matthew] Albert Einstein Coll Med, Bronx, NY USA; [Loloi, Justin] Montefiore Med Ctr, Dept Urol, Bronx, NY USA</t>
  </si>
  <si>
    <t>New York University; Montefiore Medical Center; Albert Einstein College of Medicine; Yeshiva University; Montefiore Medical Center; Albert Einstein College of Medicine</t>
  </si>
  <si>
    <t>Bernstein, A (corresponding author), New York Univ Langone Hlth, Dept Urol, New York, NY 10016 USA.</t>
  </si>
  <si>
    <t>ari.bernstein12@gmail.com; michael.zhu@einsteinmed.edu; juloloi@montefiore.org; mustufa.babar@einsteinmed.edu; nick.winokur@einsteinmed.edu; matthew.wysocki@einsteinmed.edu; seth.cohen@nyulangone.org</t>
  </si>
  <si>
    <t>Babar, Mustufa/0000-0001-8490-2260</t>
  </si>
  <si>
    <t>2050-1161</t>
  </si>
  <si>
    <t>SEX MED-UK</t>
  </si>
  <si>
    <t>Sex. Med.</t>
  </si>
  <si>
    <t>qfac020</t>
  </si>
  <si>
    <t>10.1093/sexmed/qfac020</t>
  </si>
  <si>
    <t>Medicine, General &amp; Internal; Urology &amp; Nephrology</t>
  </si>
  <si>
    <t>General &amp; Internal Medicine; Urology &amp; Nephrology</t>
  </si>
  <si>
    <t>X1OX9</t>
  </si>
  <si>
    <t>WOS:001096220900010</t>
  </si>
  <si>
    <t>Ribeiro, HGS</t>
  </si>
  <si>
    <t>Ribeiro, Helena Gabrielle Souza</t>
  </si>
  <si>
    <t>This is so Aesthetic!: the aestheticization of the fashion image from Look of the day on Instagram to Get Ready with Me on TikTok</t>
  </si>
  <si>
    <t>DOBRAS</t>
  </si>
  <si>
    <t>Aesthetic.; Aestheticization; Look ofthe day; Get ready with me; Consumption</t>
  </si>
  <si>
    <t>The aestheticization of the world has been explicit through social medias. The term Aesthetic has been used to describe the harmonious composition of lifestyle, cultural references, habits and customs in online profiles on platforms such as Instagram and TikTok. In the photo and video production applications chosen for this study, the behavior of users strengthens artist capitalism, which consists of stylizing goods and services in order to move the market in the incessant search that involves subjects reflecting on the power of consuming images and acquisition of new products in order to belong to Aesthetics social groups based on tastes, values and ways of presenting oneself to the world. This article seeks to investigate how the tags Look of the Day and Get Ready with Me favor individuals in their search for continuous aesthetic experiences to build their self-image in the first two decades of the 21st century. Highlighting thinkers such as Lipovetsky, Serroy, Hegel and Maffesolli - the questions raised here, in a comprehensive perspective, interpret the power of Instagram and TikTok together with Pinterest as repositories and renewable collections of the contemporary fashion image.</t>
  </si>
  <si>
    <t>[Ribeiro, Helena Gabrielle Souza] Univ Estadual Feira de Santana, Desenho Cultura &amp; Interatividade, Feira de Santana, Brazil; [Ribeiro, Helena Gabrielle Souza] Univ Fed Bahia, Cultura &amp; Soc, Salvador, Brazil</t>
  </si>
  <si>
    <t>Universidade Estadual de Feira de Santana; Universidade Federal da Bahia</t>
  </si>
  <si>
    <t>Ribeiro, HGS (corresponding author), Univ Estadual Feira de Santana, Desenho Cultura &amp; Interatividade, Feira de Santana, Brazil.;Ribeiro, HGS (corresponding author), Univ Fed Bahia, Cultura &amp; Soc, Salvador, Brazil.</t>
  </si>
  <si>
    <t>nagabriellesr@gmail.com</t>
  </si>
  <si>
    <t>ASSOC BRASILEIRA ESTUDOS &amp; PESQUISAS MODA</t>
  </si>
  <si>
    <t>SAO PAULO</t>
  </si>
  <si>
    <t>RUA CARDOSO ALMEIDA, 788CONJ 144, SAO PAULO, CEP05013-001, BRAZIL</t>
  </si>
  <si>
    <t>2358-0003</t>
  </si>
  <si>
    <t>1982-0313</t>
  </si>
  <si>
    <t>dObras</t>
  </si>
  <si>
    <t>Z8DJ9</t>
  </si>
  <si>
    <t>WOS:001114323600011</t>
  </si>
  <si>
    <t>Méndez-Majuelos, I; López, PJ; Sobrados-León, M</t>
  </si>
  <si>
    <t>Mendez-Majuelos, Ines; Lopez Lopez, Pilar Jose; Sobrados-Leon, Maritza</t>
  </si>
  <si>
    <t>TikTokers and disability. Entertainment, inclusion and dissemination of values among Spanish- speaking youth</t>
  </si>
  <si>
    <t>TikTok; Spanish-speaking youth; disability; integration; entertainment; interaction</t>
  </si>
  <si>
    <t>Young people use social networks and information technologies as tools for their training and to interact with their environment. People with disabilities, especially the youngest, have also found in social networks a space to communicate with people of their age and let them know how they live their day to day, the problems to cope in the world they inhabit and find a place in it. our society. This article shows the results of an investigation that revolves around the way in which young Spanish-speakers with some type of disability use the TikTok social network for their self-representation, with the aim of knowing if they use their publications for the sole purpose of entertainment or as a powerful showcase to normalize the representation of their disability as one more aspect of the diversity of daily life. Through a descriptive investigation, a content analysis of a sample of 180 videos of the 9 tiktokers with disabilities with the most followers is carried out. Results indicate that TikTok is a platform with resources and tools of great interest to users with disabilities, where they can find content of an inclusive nature, and even vindication, of their disability, and an approach based on entertainment.</t>
  </si>
  <si>
    <t>[Mendez-Majuelos, Ines; Sobrados-Leon, Maritza] Univ Seville US, Dept Periodismo 2, Seville, Spain; [Lopez Lopez, Pilar Jose] Univ Rey Juan Carlos URJC, Fac Ciencias Comunicac, Dept Periodismo &amp; Comunicac Corporat, Madrid, Spain</t>
  </si>
  <si>
    <t>University of Sevilla; Universidad Rey Juan Carlos</t>
  </si>
  <si>
    <t>Méndez-Majuelos, I (corresponding author), Univ Seville US, Dept Periodismo 2, Seville, Spain.</t>
  </si>
  <si>
    <t>10.7195/ri14.v21i2.2026</t>
  </si>
  <si>
    <t>X8DT5</t>
  </si>
  <si>
    <t>WOS:001100696500001</t>
  </si>
  <si>
    <t>Shang, LY; Kou, ZY; Zhang, Y; Wang, D</t>
  </si>
  <si>
    <t>Chen, Y; Ludwig, H; Tu, Y; Fayyad, U; Zhu, X; Hu, X; Byna, S; Liu, X; Zhang, J; Pan, S; Papalexakis, V; Wang, J; Cuzzocrea, A; Ordonez, C</t>
  </si>
  <si>
    <t>Shang, Lanyu; Kou, Ziyi; Zhang, Yang; Wang, Dong</t>
  </si>
  <si>
    <t>A Multimodal Misinformation Detector for COVID-19 Short Videos on TikTok</t>
  </si>
  <si>
    <t>2021 IEEE INTERNATIONAL CONFERENCE ON BIG DATA (BIG DATA)</t>
  </si>
  <si>
    <t>9th IEEE International Conference on Big Data (IEEE BigData)</t>
  </si>
  <si>
    <t>DEC 15-18, 2021</t>
  </si>
  <si>
    <t>IEEE,IEEE Comp Soc,Ankura,Lyve Cloud, Seagate,NSF</t>
  </si>
  <si>
    <t>This paper studies an emerging and important problem of identifying misleading COVID-19 short videos where the misleading content is jointly expressed in the visual, audio, and textual content of videos. Existing solutions for misleading video detection mainly focus on the authenticity of videos or audios against AI algorithms (e.g., deepfake) or video manipulation, and are insufficient to address our problem where most videos are user-generated and intentionally edited. Two critical challenges exist in solving our problem: i) how to effectively extract information from the distractive and manipulated visual content in TikTok videos? ii) How to efficiently aggregate heterogeneous information across different modalities in short videos? To address the above challenges, we develop TikTec, a multimodal misinformation detection framework that explicitly exploits the captions to accurately capture the key information from the distractive video content, and effectively learns the composed misinformation that is jointly conveyed by the visual and audio content. We evaluate TikTec on a real-world COVID-19 video dataset collected from TikTok. Evaluation results show that TikTec achieves significant performance gains compared to state-of-the-art baselines in accurately detecting misleading COVID-19 short videos.</t>
  </si>
  <si>
    <t>[Shang, Lanyu; Kou, Ziyi; Wang, Dong] Univ Illinois, Sch Informat Sci, Champaign, IL 61820 USA; [Zhang, Yang] Univ Notre Dame, Dept Comp Sci &amp; Engn, Notre Dame, IN 46556 USA</t>
  </si>
  <si>
    <t>University of Illinois System; University of Illinois Urbana-Champaign; University of Notre Dame</t>
  </si>
  <si>
    <t>Shang, LY (corresponding author), Univ Illinois, Sch Informat Sci, Champaign, IL 61820 USA.</t>
  </si>
  <si>
    <t>lshang3@illinois.edu; ziyikou2@illinois.edu; yzhang42@nd.edu; dwang24@illinois.edu</t>
  </si>
  <si>
    <t>Shang, Lanyu/ABD-4572-2021</t>
  </si>
  <si>
    <t>Zhang, Yang/0000-0001-8135-369X; Shang, Lanyu/0000-0002-7480-6889</t>
  </si>
  <si>
    <t>National Science Foundation [CHE-2105032, IIS2008228, CNS-1845639, CNS-1831669]</t>
  </si>
  <si>
    <t>This research is supported in part by the National Science Foundation under Grant No. CHE-2105032, IIS2008228, CNS-1845639, CNS-1831669. The views and conclusions contained in this document are those of the authors and should not be interpreted as representing the official policies, either expressed or implied, of the U.S. Government. The U.S. Government is authorized to reproduce and distribute reprints for Government purposes notwithstanding any copyright notation here on.</t>
  </si>
  <si>
    <t>978-1-6654-3902-2</t>
  </si>
  <si>
    <t>10.1109/BigData52589.2021.9671928</t>
  </si>
  <si>
    <t>BT1RU</t>
  </si>
  <si>
    <t>WOS:000800559501001</t>
  </si>
  <si>
    <t>Barroso-Moreno, C; Rayón-Rumayor, L; Bañares-Marivela, E; Hernández-Ortega, J</t>
  </si>
  <si>
    <t>Barroso-Moreno, Carlos; Rayon-Rumayor, Laura; Banares-Marivela, Elena; Hernandez-Ortega, Jose</t>
  </si>
  <si>
    <t>Polarization, virality and contrary sentiments for LGTB content on Instagram, TikTok, and Twitter</t>
  </si>
  <si>
    <t>LGTB; LGBT; LGTBfobia; Social media; Social networks; Social network analysis; Virality; Gender diversity; Sexual diversity; Big Data; Qualitative research; Quantitative research; Influence groups; Citizenship; Instagram; Twitter; TikTok</t>
  </si>
  <si>
    <t>SOCIAL MEDIA; ONLINE; IDENTITY; PEOPLE; YOUTH; SELF</t>
  </si>
  <si>
    <t>Digital platforms are spaces for social participation with significant value in the development of the identity of adolescents and emerging adults. The objective is to identify the behavior and visibility of LGBT content using Instagram, TikTok, and Twitter posts of such content from May 16 to November 16, 2022, collecting 539,389 posts. Social media monitoring techniques gathered the posts with the keywords LGTB or LGBT in Spanish and English, forming the database. The methodology is based on a mixed design: first, the database is analyzed using Big Data techniques and, second, the 10 most viral posts from each social network are selected. The results show that dissemination of gender identity in content and meaning is uneven across the various social networks. Twitter profiles have a higher number of posts (61%), polarization, and lower virality and exhibit visible LGBTphobia. Instagram has a number of posts (37%) and average virality, with positive sentiments. TikTok has fewer posts (2%), less polarization, positive messages, and extreme virality. The three networks consider the Pride demonstrations to be a symbol of the community because they destabilize and confront LGBTphobic oppression by occupying public spaces, opening the closet without stigma or shame, as is reflected on social networks. The behavior of LGBT content on these platforms is multidimensional, uneven, and differentiated, which demonstrates the necessity of ensuring respect for the diversity of sexual orientation and gender identity on digital platforms.</t>
  </si>
  <si>
    <t>[Barroso-Moreno, Carlos; Rayon-Rumayor, Laura; Banares-Marivela, Elena; Hernandez-Ortega, Jose] Univ Complutense Madrid, Fac Educ, Ctr Formac Profesorado, Rector Royo Villanova 1, Madrid 28040, Spain</t>
  </si>
  <si>
    <t>Complutense University of Madrid</t>
  </si>
  <si>
    <t>Barroso-Moreno, C (corresponding author), Univ Complutense Madrid, Fac Educ, Ctr Formac Profesorado, Rector Royo Villanova 1, Madrid 28040, Spain.</t>
  </si>
  <si>
    <t>carbarro@ucm.es; larayon@ucm.es; elebanar@ucm.es; josehernandezortega@ucm.es</t>
  </si>
  <si>
    <t>Hernández-Ortega, José/AAO-9167-2020; Bañares-Marivela, Elena/AAZ-9983-2021; Rayon-Rumayor, Laura/ABG-4568-2020; Barroso Moreno, Carlos/HCH-6458-2022</t>
  </si>
  <si>
    <t>Hernandez-Ortega, Jose/0000-0003-3556-5688; Barroso Moreno, Carlos/0000-0002-1609-2267; Rayon-Rumayor, Laura/0000-0003-0339-8221; Banares-Marivela, Elena/0000-0002-9384-0193</t>
  </si>
  <si>
    <t>Community of Madrid Government; Universidad Complutense de Madrid in its Excellence Program for university professors, within the framework of the V Regional plan for scientific research and technological innovation (Pricit)</t>
  </si>
  <si>
    <t>Action financed by the Community of Madrid Government through the Multiyear Agreement with the Universidad Complutense de Madrid in its Excellence Program for university professors, within the framework of the V Regional plan for scientific research and technological innovation (Pricit).</t>
  </si>
  <si>
    <t>e320211</t>
  </si>
  <si>
    <t>10.3145/epi.2023.mar.11</t>
  </si>
  <si>
    <t>O1BJ0</t>
  </si>
  <si>
    <t>WOS:001041238800025</t>
  </si>
  <si>
    <t>Wintz, D; Wright, K; Schaffer, KB</t>
  </si>
  <si>
    <t>Wintz, Diane; Wright, Kelly; Schaffer, Kathryn B.</t>
  </si>
  <si>
    <t>Medical influence: what does success look like?</t>
  </si>
  <si>
    <t>PALLIATIVE CARE &amp; SOCIAL PRACTICE</t>
  </si>
  <si>
    <t>end of life; geriatrics; podcast; social media</t>
  </si>
  <si>
    <t>SOCIAL MEDIA; PALLIATIVE CARE; EDUCATION; HEALTH; TIKTOK</t>
  </si>
  <si>
    <t>Background: Social media influencers have revolutionized information, gaining viewers, retention, and interest with short videos. Medical teams could potentially benefit from this medium for educating patients. Defining success in this endeavor remains unclear.Objective: We are a surgeon-nurse team that sought to promote our messages on social media to gain viewers and interest in our website.Design: An educational podcast focusing on end-of-life discussions was linked to social media platforms, including Instagram and TikTok, to gain views on our website.Methods: Eleven podcast episodes were produced and published over a 3-month period, between November 2023 and January 2024. The podcast episodes were promoted to similar clients based on internal algorithms by a podcast streaming service, Spotify. The promotion provided by Spotify and website views were compared to responses evident by other social media posts.Results: After 3 months of publishing podcast episodes on Spotify, with free publicity, our podcast gained 10,400 promotions, 486 listeners, 49 followers, and approximately 1200 random website views. In comparison, the podcast content garnered more than 50,000 video clip views on TikTok and Instagram, after funding these brief video promotions. TikTok and Instagram both charged $20 or more per promotion. Paid promotion opportunities resulted in no website visits or podcast followers.Conclusion: Our own experience with social media promotion was inadequate in generating interest in our content. The authors would encourage other teams to be strategic with paid promotions and to consider engaging a marketing expert to improve the potential for mass interest in content and promotional efficiency. Additionally, based on these findings, the authors would appreciate more transparency in the algorithms behind successful promotions to better understand what success looks like for medical messaging.</t>
  </si>
  <si>
    <t>[Wintz, Diane] Jays Heart, Private Corp Registered San Diego, 7660 H Fay Ave 154, La Jolla, CA 92037 USA; [Wintz, Diane] Sharp HealthCare, Sharp Mem Hosp Trauma &amp; Acute Care Surg, Generat Hlth Div, Trauma Div, San Diego, CA 92111 USA; [Wright, Kelly] Jays Heart, La Jolla, CA USA; [Wright, Kelly] Sharp HealthCare, Sharp Mem Hosp, Generat Hlth Div, Adv Illness Management, San Diego, CA USA; [Schaffer, Kathryn B.] Sharp HealthCare, Sharp Mem Hosp Trauma &amp; Acute Care Surg, Jays Heart, San Diego, CA USA</t>
  </si>
  <si>
    <t>Wintz, D (corresponding author), Jays Heart, Private Corp Registered San Diego, 7660 H Fay Ave 154, La Jolla, CA 92037 USA.;Wintz, D (corresponding author), Sharp HealthCare, Sharp Mem Hosp Trauma &amp; Acute Care Surg, Generat Hlth Div, Trauma Div, San Diego, CA 92111 USA.</t>
  </si>
  <si>
    <t>diane@jaysheart.com</t>
  </si>
  <si>
    <t>2632-3524</t>
  </si>
  <si>
    <t>PALLIAT CARE SOC PR</t>
  </si>
  <si>
    <t>Palliat. Care Soc. Pract.</t>
  </si>
  <si>
    <t>10.1177/26323524241297695</t>
  </si>
  <si>
    <t>L8S2D</t>
  </si>
  <si>
    <t>WOS:001353357000001</t>
  </si>
  <si>
    <t>Taba, M; Ayre, J; Freeman, B; McCaffery, K; Bonner, C</t>
  </si>
  <si>
    <t>Taba, Melody; Ayre, Julie; Freeman, Becky; McCaffery, Kirsten; Bonner, Carissa</t>
  </si>
  <si>
    <t>COVID-19 messages targeting young people on social media: content analysis of Australian health authority posts</t>
  </si>
  <si>
    <t>HEALTH PROMOTION INTERNATIONAL</t>
  </si>
  <si>
    <t>social media; youth; adolescent; health communication; COVID-19</t>
  </si>
  <si>
    <t>Health authorities utilized social media during the COVID-19 pandemic to disseminate critical and timely health messages, specifically targeting priority groups such as young people. To understand how social media was used for this purpose, we investigated the content of COVID-19-related social media posts targeting young people (16-29 years old) shared by Australian health departments. Posts targeting young people with COVID-19 information were extracted from all eight Australian State and Territory health department Facebook, Instagram and TikTok accounts over 1 month of the Delta outbreak (September 2021) and analysed thematically. In total, 238 posts targeting young people were identified from 1059 COVID-19 posts extracted. All eight health departments used Facebook, five used Instagram and only one used TikTok. The majority of posts implicitly targeted young people; only 14.7% explicitly mentioned age or 'young people'. All posts included accompanying visuals; 77% were still images like photos or illustrations whilst 23% were moving images like videos and GIFs. Communication techniques included calls to action (63% of posts), responsive communication (32% of posts) and positive emotional appeal (31% of posts). Social marketing techniques catering to young people were used to varying extents despite receiving higher levels of engagement; 45% featured emojis whilst only 16% used humour, 14% featured celebrities and 6% were memes. Priority groups like ethnic/cultural groups and chronic health/disability communities were rarely targeted in this communication. The findings indicate a lack of health communication on social media directed towards young people, highlighting an opportunity for increased use of platforms like TikTok and trends popular with young people online.</t>
  </si>
  <si>
    <t>[Taba, Melody; Ayre, Julie; McCaffery, Kirsten; Bonner, Carissa] Univ Sydney, Fac Med &amp; Hlth, Sch Publ Hlth, Sydney Hlth Literacy Lab, Sydney, Australia; [Taba, Melody; Bonner, Carissa] Univ Sydney, Fac Med &amp; Hlth, Menzies Ctr Hlth Policy &amp; Econ, Sydney, Australia; [Freeman, Becky] Univ Sydney, Fac Med &amp; Hlth, Sch Publ Hlth, Prevent Res Collaborat, Sydney, Australia</t>
  </si>
  <si>
    <t>University of Sydney; University of Sydney; University of Sydney</t>
  </si>
  <si>
    <t>Taba, M (corresponding author), Univ Sydney, Fac Med &amp; Hlth, Sch Publ Hlth, Sydney Hlth Literacy Lab, Sydney, Australia.;Taba, M (corresponding author), Univ Sydney, Fac Med &amp; Hlth, Menzies Ctr Hlth Policy &amp; Econ, Sydney, Australia.</t>
  </si>
  <si>
    <t>melody.taba@sydney.edu.au</t>
  </si>
  <si>
    <t>Bonner, Carissa/AFL-3726-2022; Ayre, Julie/ABA-5914-2020; McCaffery, Kirsten/K-7945-2019; Taba, Melody/GQH-1353-2022</t>
  </si>
  <si>
    <t>Ayre, Julie/0000-0002-5279-5189; McCaffery, Kirsten/0000-0003-2696-5006; Freeman, Becky/0000-0002-2082-9612; Taba, Melody/0000-0002-2954-1092</t>
  </si>
  <si>
    <t>0957-4824</t>
  </si>
  <si>
    <t>1460-2245</t>
  </si>
  <si>
    <t>HEALTH PROMOT INT</t>
  </si>
  <si>
    <t>Health Promot. Int.</t>
  </si>
  <si>
    <t>daad034</t>
  </si>
  <si>
    <t>10.1093/heapro/daad034</t>
  </si>
  <si>
    <t>F1JJ8</t>
  </si>
  <si>
    <t>WOS:000979976200006</t>
  </si>
  <si>
    <t>Basch, CH; Hillyer, GC; Jacques, ET</t>
  </si>
  <si>
    <t>Basch, Corey H. H.; Hillyer, Grace C. C.; Jacques, Erin T. T.</t>
  </si>
  <si>
    <t>Professionally Created Content Related to HPV Vaccination on TikTok</t>
  </si>
  <si>
    <t>FRONTIERS IN DIGITAL HEALTH</t>
  </si>
  <si>
    <t>TikTok; Human Papillomavirus (HPV); vaccination; professional-patient relations; social media</t>
  </si>
  <si>
    <t>ADOLESCENTS; CARE; ATTITUDES; TIME</t>
  </si>
  <si>
    <t>Despite the protective abilities of the HPV vaccine, roughly half of adolescents in the United States have not completed the recommended HPV vaccine series. Professionals have taken to using social media platforms to encourage health behaviors such as receipt of the HPV vaccine. As such, the purpose of this study was to identify content created by professionals related to HPV on TikTok. This descriptive, cross-sectional study was conducted in January 2022 using the hashtag #HPV Vaccine to examine the 100 English language videos created by people who claimed to be health professionals. In addition to capturing metadata, each videos' content and subsequent comments were coded. Overall, 75.0% of the videos mentioned HPV-related cancer but few discussed vaccination as a cancer preventive measure (40.0%). More than half (52.0%) of the comments were neutral in tone and most focused on cancer (54.0%), alternative medicine (58.0%), and general questions about vaccination (62.0%). Comments about videos with greater numbers of likes more often mentioned cancer (85.0% vs. 46.3%, p = 0.002), the age at which to get vaccinated (70.0% vs. 41.3%, p = 0.02) and more frequently posed questions about vaccination (80.0% vs. 41.3%, p = 0.002) and cost and insurance coverage of vaccination (35.0% vs. 11.3%, p = 0.02) compared to videos with fewer likes. The power of provider information is paramount with HPV vaccine uptake. As providers increasingly create health messages on platforms such as TikTok, it is important that they remain aware of the potential for opposing or non-factual discourse.</t>
  </si>
  <si>
    <t>[Basch, Corey H. H.] William Paterson Univ, Dept Publ Hlth, Wayne, NJ 07470 USA; [Hillyer, Grace C. C.] Columbia Univ, Mailman Sch Publ Hlth, Dept Epidemiol, New York, NY USA; [Jacques, Erin T. T.] York Coll Penn, Dept Hlth &amp; Human Performance, Jamaica, NY USA</t>
  </si>
  <si>
    <t>Columbia University; City University of New York (CUNY) System; York College NY (CUNY)</t>
  </si>
  <si>
    <t>Basch, CH (corresponding author), William Paterson Univ, Dept Publ Hlth, Wayne, NJ 07470 USA.</t>
  </si>
  <si>
    <t>Clarke Hillyer, Grace/0000-0003-0467-075X</t>
  </si>
  <si>
    <t>2673-253X</t>
  </si>
  <si>
    <t>FRONT DIGIT HEALTH</t>
  </si>
  <si>
    <t>Front. Digit. Health</t>
  </si>
  <si>
    <t>JUN 28</t>
  </si>
  <si>
    <t>10.3389/fdgth.2022.888302</t>
  </si>
  <si>
    <t>M9DP0</t>
  </si>
  <si>
    <t>WOS:001033148800001</t>
  </si>
  <si>
    <t>Navarro-Güere, H</t>
  </si>
  <si>
    <t>Navarro-Guere, Hector</t>
  </si>
  <si>
    <t>Vertical video on mobile devices. Case study on TikTok, Instagram Reels and YouTube Shorts</t>
  </si>
  <si>
    <t>social media; vertical video; format; Audio-visual language; Theory of image; TikTok; Instagram Reels; YouTube Shorts</t>
  </si>
  <si>
    <t>In the current context of social media, vertical video has become an emerging format for sharing content. From the perspective of audio-visual communication, the proliferation of mobile devices has promoted the popularity of the vertical video format on social platforms. This trend raises the need to understand its relationships, implications and influence. Objective: In this context, this research focuses on analyzing images on three leading platforms: TikTok, Instagram Reels and YouTube Shorts. Methodology: A comparative study was carried out on the three social platforms to know the characteristics and variables of genre, image (format, type, camera placement, recording space, shots, scenes, montage, continuity, audio and overlays) and time (structure, order and duration), and in total 1,194 audio-visual pieces were studied. Conclusions: From the sample it can be deduced that in the three social platforms moving images of vertical format predominate, of the entertainment genre, of a scene, recorded with the camera at eye level, indoors, with open shots and sequence, with continuity with cuts, with a linear and chronological structure, with music, with superimpositions on the image, and of variable duration.</t>
  </si>
  <si>
    <t>[Navarro-Guere, Hector] Univ Vic, Univ Cent Catalunya, Fac Empresa &amp; Comun, Vic, Spain; [Navarro-Guere, Hector] Univ Barcelona, Bellas Artes, Barcelona, Spain; [Navarro-Guere, Hector] Univ Cent Venezuela, Licenciado Comun Social, Caracas, Venezuela</t>
  </si>
  <si>
    <t>Universitat de Vic - Universitat Central de Catalunya (UVic-UCC); University of Barcelona; University of Central Venezuela</t>
  </si>
  <si>
    <t>Navarro-Güere, H (corresponding author), Univ Vic, Univ Cent Catalunya, Fac Empresa &amp; Comun, Vic, Spain.;Navarro-Güere, H (corresponding author), Univ Barcelona, Bellas Artes, Barcelona, Spain.;Navarro-Güere, H (corresponding author), Univ Cent Venezuela, Licenciado Comun Social, Caracas, Venezuela.</t>
  </si>
  <si>
    <t>hector.navarro@uvic.cat</t>
  </si>
  <si>
    <t>10.26441/RC23.1-2024-3316</t>
  </si>
  <si>
    <t>WOS:001180928300001</t>
  </si>
  <si>
    <t>Wang, J; Oh, JI</t>
  </si>
  <si>
    <t>Wang, Jing; Oh, Jay In</t>
  </si>
  <si>
    <t>Factors Influencing Consumers' Continuous Purchase Intentions on TikTok: An Examination from the Uses and Gratifications (U&amp;G) Theory Perspective</t>
  </si>
  <si>
    <t>social media; uses and gratifications theory; continuous purchase intention; TikTok livestream; education level</t>
  </si>
  <si>
    <t>SOCIAL MEDIA; SHOP ONLINE; INTERNET; KNOWLEDGE; COMMERCE; FACEBOOK; BEHAVIOR; IMPACT; TRUST; UTILITARIAN</t>
  </si>
  <si>
    <t>After the COVID-19 pandemic, traditional online shopping with pictures and videos has been transformed into livestreaming shopping. Various apps for livestreaming shopping have gained popularity, and TikTok livestreaming (TTL) accounts for more than half of livestreaming shopping in China. Therefore, consumers' ability to continue shopping is the core factor for the sustainable development of TTL. The purpose of this study was to explore what kinds of gratifications affect the continuous purchase intentions of TTL consumers and to examine the moderating effect of education level. We collected data from 234 TTL consumers in China and then used a structural equation model to analyze, while SPSS23.0 and AMOS24.0 were applied to evaluate and empirically test the research hypotheses. This study confirmed the significant impact of four kinds of satisfaction on consumers' continuous shopping intentions and also confirmed the differences among consumers with different levels of education. This provides theoretical support for the sustainable development of e-commerce in the future and the maximization of income from live shopping.</t>
  </si>
  <si>
    <t>[Wang, Jing; Oh, Jay In] Dankook Univ, Grad Sch, Dept Business Adm, 152 Jukjeon Ro, Yongin 16890, Gyeonggi Do, South Korea</t>
  </si>
  <si>
    <t>Dankook University</t>
  </si>
  <si>
    <t>Oh, JI (corresponding author), Dankook Univ, Grad Sch, Dept Business Adm, 152 Jukjeon Ro, Yongin 16890, Gyeonggi Do, South Korea.</t>
  </si>
  <si>
    <t>jioh@dankook.ac.kr</t>
  </si>
  <si>
    <t>Wang, Jing/0000-0002-8297-5447</t>
  </si>
  <si>
    <t>10.3390/su151310028</t>
  </si>
  <si>
    <t>M2IE8</t>
  </si>
  <si>
    <t>WOS:001028462300001</t>
  </si>
  <si>
    <t>Kim, S; Tam, L; Bach, SB</t>
  </si>
  <si>
    <t>Kim, Soojin; Tam, Lisa; Bach, Seung B.</t>
  </si>
  <si>
    <t>Understanding Start-up Employees' Communicative Behaviors on an Employer Review Website: A Comparison of TikTok and Snapchat</t>
  </si>
  <si>
    <t>STRATEGIC INTERNAL COMMUNICATION; ORGANIZATIONAL REPUTATION; CORPORATE REPUTATION; TRANSFORMATIONAL LEADERSHIP; PUBLIC-RELATIONS; CULTURE; BRAND; ENTREPRENEURSHIP; EMPOWERMENT; CHALLENGES</t>
  </si>
  <si>
    <t>To provide insights into start-ups' reputation management, this study aims to explore how employees of a start-up, being, in a broad sense, an entrepreneurial firm, evaluate their employer on an employer review platform. Specifically, it compares the reputational opportunities and challenges of TikTok as a start-up and Snapchat as a more established company in the same industry. It explores the cognitive and evaluative representations employees associate with their employers in reviews. To do this, a total of 644 English-language employee reviews were collected from Glassdoor, an employer review platform on which former and current employees anonymously post reviews about their organizations. Content analysis was then conducted, unveiling 14 thematic topics. The top three most frequently mentioned topics were work environment, co-workers, and salaries and benefits. A comparison of the two companies showed that TikTok received a proportionately higher number of positive reviews about career progression opportunities, work environment, and office and location. However, it also received proportionately more negative reviews on work arrangements, salaries and benefits, and intrinsic rewards. Theoretical and empirical implications are discussed.</t>
  </si>
  <si>
    <t>[Kim, Soojin] Univ Technol Sydney, Sch Commun, Sydney, Australia; [Tam, Lisa] Queensland Univ Technol, Sch Advertising Mkt &amp; Publ Relat, Brisbane, Australia; [Bach, Seung B.] Calif State Univ Bakersfield, Sch Business &amp; Publ Adm CSUB BPA, Entrepreneurship &amp; Strategy, Bakersfield, CA USA; [Tam, Lisa] Queensland Univ Technol, 2 George St, Brisbane, Qld 4000, Australia</t>
  </si>
  <si>
    <t>University of Technology Sydney; Queensland University of Technology (QUT); California State University System; California State University Bakersfield; Queensland University of Technology (QUT)</t>
  </si>
  <si>
    <t>Tam, L (corresponding author), Queensland Univ Technol, 2 George St, Brisbane, Qld 4000, Australia.</t>
  </si>
  <si>
    <t>l.tam@qut.edu.au</t>
  </si>
  <si>
    <t>Tam, Lisa/I-6237-2019</t>
  </si>
  <si>
    <t>Kim, Soojin/0000-0001-8968-0249; Tam, Lisa/0000-0001-6520-6120</t>
  </si>
  <si>
    <t>10.1080/1553118X.2021.2011732</t>
  </si>
  <si>
    <t>G6BW2</t>
  </si>
  <si>
    <t>WOS:000989997800010</t>
  </si>
  <si>
    <t>Marti-Ochoa, J; Martin-Fuentes, E; Ferrer-Rosell, B</t>
  </si>
  <si>
    <t>Marti-Ochoa, Julia; Martin-Fuentes, Eva; Ferrer-Rosell, Berta</t>
  </si>
  <si>
    <t>Airbnb on TikTok: Brand Perception Through User Engagement and Sentiment Trends</t>
  </si>
  <si>
    <t>social media; user-generated content; sentiment analysis; online social networks; influencers</t>
  </si>
  <si>
    <t>SOCIAL MEDIA; CONSUMER ENGAGEMENT; SHARING ECONOMY; ONLINE; POST; CONSUMPTION; STRATEGIES; KNOWLEDGE; IMPACT; TRAVEL</t>
  </si>
  <si>
    <t>This study delves into Airbnb's brand presence on TikTok by analyzing textual content in posts, and human audio in videos. This approach aims to decipher the brand narrative and gauge user engagement. In the dynamic realm of social media marketing, TikTok has emerged as a key platform in shaping brand perception. This research specifically concentrates on Airbnb's content, distinguishing between official narratives and user-generated content (UGC). Notably, themes of Travel dominate official posts, contrasting with Real Estate and Business in UGC. The methodology employed involves advanced data collection techniques, including web scraping for textual data and artificial intelligence for transcribing human audio to text. The findings reveal that UGC commands greater engagement and volume compared to Airbnb's own brand content, underscoring the increasing significance of user involvement in brand storytelling. An analysis of the study results is conducted using linguistic natural processing (LNP) for the sentiment base, and the vector space model for emotion analysis. Sentiment analysis reveals a predominance of the emotion happiness and a significant presence of surprise in the posts, both of which are critical for audience engagement. Moreover, the study indicates a high approval rate for Airbnb-related content, reflecting a positive reception of the brand. Additionally, the research observes that influencers, particularly nano influencers, have higher engagement rates, indicating that their authenticity and relatability appeal especially to Generation Z audiences. This study not only sheds light on the intricate relationship between brand narrative, user engagement, and sentiment on TikTok but also offers valuable insights into effective brand image construction and propagation in the digital era, highlighting the importance of diverse emotions in enhancing audience engagement.</t>
  </si>
  <si>
    <t>[Marti-Ochoa, Julia; Martin-Fuentes, Eva; Ferrer-Rosell, Berta] Univ Lleida, Lleida, Spain</t>
  </si>
  <si>
    <t>Universitat de Lleida</t>
  </si>
  <si>
    <t>Marti-Ochoa, J (corresponding author), Univ Lleida, Dept Econ &amp; Business, C Jaume II 73, Lleida 25001, Spain.</t>
  </si>
  <si>
    <t>julia.marti@udl.cat</t>
  </si>
  <si>
    <t>Marti-Ochoa, Júlia/GYR-1059-2022; Ferrer-Rosell, Berta/J-8552-2015; Martin-Fuentes, Eva/O-2881-2014</t>
  </si>
  <si>
    <t>Ferrer-Rosell, Berta/0000-0001-5554-0782; Martin-Fuentes, Eva/0000-0002-4902-6258</t>
  </si>
  <si>
    <t>Spanish Ministry of Science and Innovation MCIN/AEI/10.13039/501100011033/ FEDER, UE within the RevTour project Use of online reviews for tourism intelligence and for the establishment of transparent and reliable evaluation standards [PID2022-138564OA-I00]; Institute for social and Territorial Development (INDEST) within the ResTur project for the call (2023CRINDESTABC)</t>
  </si>
  <si>
    <t>Spanish Ministry of Science and Innovation MCIN/AEI/10.13039/501100011033/ FEDER, UE within the RevTour project Use of online reviews for tourism intelligence and for the establishment of transparent and reliable evaluation standards; Institute for social and Territorial Development (INDEST) within the ResTur project for the call (2023CRINDESTABC)</t>
  </si>
  <si>
    <t>The author(s) disclosed receipt of the following financial support for the research, authorship, and/or publication of this article: This work was supported by the Spanish Ministry of Science and Innovation MCIN/AEI/10.13039/501100011033/ FEDER, UE within the RevTour project Use of online reviews for tourism intelligence and for the establishment of transparent and reliable evaluation standards (Ref: PID2022-138564OA-I00) and Institute for social and Territorial Development (INDEST) within the ResTur project for the call (2023CRINDESTABC).</t>
  </si>
  <si>
    <t>2024 AUG 8</t>
  </si>
  <si>
    <t>10.1177/08944393241260242</t>
  </si>
  <si>
    <t>C1U7M</t>
  </si>
  <si>
    <t>WOS:001287286400001</t>
  </si>
  <si>
    <t>de Souza Fonseca, Diego Leonardo; Severo Fonseca, Maria Gabriella Flores</t>
  </si>
  <si>
    <t>TikTok as a tool for innovation in library information services</t>
  </si>
  <si>
    <t>EM QUESTAO</t>
  </si>
  <si>
    <t>Social network; Innovation; Information services; Consumption of information; Libraries</t>
  </si>
  <si>
    <t>The study aims to analyze the digital positioning of some libraries in the social network TikTok, observing the use of this platform as an innovation strategy in services from the perspective of new trends in information consumption. This is a descriptive research of qualitative approach, whose study design was divided into two phases: bibliographic research (survey of research and experience reports on the theme) and survey of the profiles of libraries on the social network that use the platform. Five profiles were analyzed: Sierra Madre Public Library, Vancouver Public Library, Iowa Public Library, Dover Public Library, and Calgary Public Library. The research analysis process about the digital positioning of these spaces was carried out based on four aspects: marketing, engagement, interaction with users, and content production. It was observed that these libraries, by combining their professional character with the entertainment potential of the social network TikTok, developed a relationship of interaction and engagement with their users, which generated greater interest in their information services and products through digital marketing. They thus became innovative in their strategic digital positioning, following the new trends of information consumption by users.</t>
  </si>
  <si>
    <t>[de Souza Fonseca, Diego Leonardo] Univ Estadual Londrina, Londrina, Parana, Brazil; [Severo Fonseca, Maria Gabriella Flores] Univ Brasilia, Brasilia, DF, Brazil</t>
  </si>
  <si>
    <t>Fonseca, DLD (corresponding author), Univ Estadual Londrina, Londrina, Parana, Brazil.</t>
  </si>
  <si>
    <t>UNIV FEDERAL RIO GRANDE SUL, FAC BIBLIOTECONOMIA &amp; COMUNICACAO</t>
  </si>
  <si>
    <t>PORTO ALEGRE</t>
  </si>
  <si>
    <t>RUA RAMIRO BARCELOS, 2705, SALA 519, PORTO ALEGRE, RS 90040-060, BRAZIL</t>
  </si>
  <si>
    <t>1807-8893</t>
  </si>
  <si>
    <t>1808-5245</t>
  </si>
  <si>
    <t>Em. Questao</t>
  </si>
  <si>
    <t>e-116231</t>
  </si>
  <si>
    <t>10.19132/1808-5245282.116231</t>
  </si>
  <si>
    <t>ZH5ZX</t>
  </si>
  <si>
    <t>WOS:000761017800008</t>
  </si>
  <si>
    <t>Dimitroyannis, R; Cho, SL; Thodupunoori, S; Fenton, D; Nordgren, R; Roxbury, CR; Shogan, A</t>
  </si>
  <si>
    <t>Dimitroyannis, Rose; Cho, Stella; Thodupunoori, Sharanya; Fenton, David; Nordgren, Rachel; Roxbury, Christopher R.; Shogan, Andrea</t>
  </si>
  <si>
    <t>Does My Kid Have an Ear Infection? An Analysis of Pediatric Acute Otitis Media Videos on TikTok</t>
  </si>
  <si>
    <t>LARYNGOSCOPE</t>
  </si>
  <si>
    <t>acute otitis media; healthcare education; public health; social media</t>
  </si>
  <si>
    <t>CONSUMER HEALTH INFORMATION; COVID-19 INFORMATION; SOCIAL MEDIA; DIAGNOSIS</t>
  </si>
  <si>
    <t>Introduction: With the rise of social media, online platforms have become a common way to access healthcare information. This study examines the quality of pediatric acute otitis media (AOM) videos on TikTok, a popular short-form video social media platform. Methods: A TikTok search was conducted between 8/18 and 8/19/2023 using pediatric AOM hashtags: #pediatric acute otitis media management, #kid ear infections remedy, #child ear infections treatment, and #kid ear infection. Data collected include number of views/shares per day, uploader type (nonmedical influencer, lay individual, and medical professional), and content categories. The Patient Education Materials Assessment Tool for Audiovisual Material (PEMAT-AV) and DISCERN questionnaire measured understandability, actionability, and quality of videos. Multivariable linear regression models were used (significance set at &lt;= 0.05). Results: Of 166 videos, 38.6% (64) of uploaders were medical professionals, and 32.5% (54) were nonmedical influencers. Nonmedical influencer videos were viewed and shared significantly more than those by medical professionals (p &lt; 0.05). Controlling for covariates, physicians were more likely to produce more beneficial and higher quality videos as compared with nonmedical influencers (beta = 2.4 and 1.3, p &lt; 0.01, respectively). However, physicians did not have significantly different ratings for understandability compared with nonmedical influencers (beta = 0.45, p &gt; 0.05). Discussion: AOM content on TikTok is often geared toward caretakers of symptomatic children. Although physician-created AOM content was significantly higher quality, these videos reached a statistically smaller audience than those from nonmedical influencers. Addressing misinformation on social media platforms requires physicians to reach larger audiences by producing more actionable and understandable content.</t>
  </si>
  <si>
    <t>[Dimitroyannis, Rose; Cho, Stella; Thodupunoori, Sharanya; Fenton, David] Univ Chicago, Pritzker Sch Med, Chicago, IL USA; [Nordgren, Rachel] Univ Chicago, Dept Publ Hlth Sci, Chicago, IL USA; [Roxbury, Christopher R.; Shogan, Andrea] Univ Chicago, Dept Surg, Sect Otolaryngol Head &amp; Neck Surg, Chicago, IL USA</t>
  </si>
  <si>
    <t>Shogan, A (corresponding author), Univ Chicago, Sect Otolaryngol Head &amp; Neck Surg, Chicago, IL 60637 USA.</t>
  </si>
  <si>
    <t>ashogan@bsd.uchicago.edu</t>
  </si>
  <si>
    <t>Dimitroyannis, Rose/0000-0001-9249-4818; Shogan, Andrea/0000-0002-7197-9290</t>
  </si>
  <si>
    <t>0023-852X</t>
  </si>
  <si>
    <t>1531-4995</t>
  </si>
  <si>
    <t>Laryngoscope</t>
  </si>
  <si>
    <t>2024 JUL 4</t>
  </si>
  <si>
    <t>10.1002/lary.31617</t>
  </si>
  <si>
    <t>Medicine, Research &amp; Experimental; Otorhinolaryngology</t>
  </si>
  <si>
    <t>Research &amp; Experimental Medicine; Otorhinolaryngology</t>
  </si>
  <si>
    <t>XO5F0</t>
  </si>
  <si>
    <t>WOS:001262630800001</t>
  </si>
  <si>
    <t>Ambalov, IA</t>
  </si>
  <si>
    <t>Ambalov, Igor Alexander</t>
  </si>
  <si>
    <t>An Examination of the Influences of Habit, Compatibility, and Experience on the Continued Use of Short-Form Video-Sharing Services: A Case of TikTok</t>
  </si>
  <si>
    <t>INTERNATIONAL JOURNAL OF E-COLLABORATION</t>
  </si>
  <si>
    <t>Continuance Intention; Expectation-Confirmation Model; Online Social Media; SEM Analysis; Short-Form Videos; Social Networking; Use Behavior; User Experience</t>
  </si>
  <si>
    <t>SOCIAL NETWORK SITES; INFORMATION-SYSTEMS CONTINUANCE; INNOVATION CHARACTERISTICS; TECHNOLOGY ADOPTION; EMPIRICAL-TEST; CRITICAL MASS; INTENTION; ACCEPTANCE; ROLES; USAGE</t>
  </si>
  <si>
    <t>Short-form video-sharing services (SVSs) have rapidly grown in popularity in the recent years. Some evidence suggests that because users can quickly and easily create and consume on-demand content, SVSs are addictive, and they appeal to a wide audience. The literature describing this phenomenon is scant. In order to fill this gap, this study examines the roles of habit and compatibility on SVS continuance intention and the interaction of these relationships with user experience, using TikTok as a context. To this goal, data collected from 157 university-student TikTok users are analyzed using structural equation modeling to determine whether these factors shape their continuance decisions. The findings show that habit and compatibility positively affect continuance intention, while experience does not. The paper offers practical steps to increase continuance intention of current users. This study enhances SVS research by confirming that habit and compatibility are important influences on continuance usage decisions.</t>
  </si>
  <si>
    <t>[Ambalov, Igor Alexander] Rajapruk Univ, Fac Digital Technol, Bang Khanun, Thailand</t>
  </si>
  <si>
    <t>Ambalov, IA (corresponding author), Rajapruk Univ, Fac Digital Technol, Bang Khanun, Thailand.</t>
  </si>
  <si>
    <t>Ambalov, Igor/ITT-7943-2023</t>
  </si>
  <si>
    <t>Ambalov, Igor Alexander/0000-0002-6481-3305</t>
  </si>
  <si>
    <t>Center for Research and Innovation Promotion at Rajapruk University, Thailand [014/2564]</t>
  </si>
  <si>
    <t>Center for Research and Innovation Promotion at Rajapruk University, Thailand</t>
  </si>
  <si>
    <t>This research was supported by the Center for Research and Innovation Promotion at Rajapruk University, Thailand (Ref No: 014/2564).</t>
  </si>
  <si>
    <t>IGI GLOBAL</t>
  </si>
  <si>
    <t>HERSHEY</t>
  </si>
  <si>
    <t>701 E CHOCOLATE AVE, STE 200, HERSHEY, PA 17033-1240 USA</t>
  </si>
  <si>
    <t>1548-3673</t>
  </si>
  <si>
    <t>1548-3681</t>
  </si>
  <si>
    <t>INT J E-COLLAB</t>
  </si>
  <si>
    <t>Int. J. e-Collab.</t>
  </si>
  <si>
    <t>10.4018/IJeC.304371</t>
  </si>
  <si>
    <t>6I6JG</t>
  </si>
  <si>
    <t>WOS:000886236900011</t>
  </si>
  <si>
    <t>Wang, Z; Luo, C; Luo, X; Xu, X</t>
  </si>
  <si>
    <t>Wang, Zeen; Luo, Chuan; Luo, Xin (Robert); Xu, Xu</t>
  </si>
  <si>
    <t>Understanding the effect of group emotions on consumer instant order cancellation behavior in livestreaming E-commerce: Empirical evidence from TikTok</t>
  </si>
  <si>
    <t>DECISION SUPPORT SYSTEMS</t>
  </si>
  <si>
    <t>Livestreaming; Group emotion; Emotional contagion; Instant order cancellation; TikTok</t>
  </si>
  <si>
    <t>ONLINE REVIEWS; RETURNS; CONTAGION; AROUSAL</t>
  </si>
  <si>
    <t>Livestreaming e-commerce (LSE) exhibits a noteworthy idiosyncrasy in the form of escalating instant order cancellations, wherein consumers swiftly revoke their purchases during livestreaming before receiving the products. This study leveraged the emotional contagion theory to construct an econometric model and investigate the factors influencing viewers' instant order cancellation behaviors. An extensive dataset was assembled, comprising 4984 product introduction video segments from 768 TikTok livestreaming rooms in China, along with 1.29 million bullet screen comments and 513,551 viewers' information. Employing advanced multimodal data processing technologies, the study extracted anchors' (livestreaming hosts) multimodal emotion features. The empirical findings demonstrate the significant impact of anchors' emotions, encompassing body movements, facial expressions, voices, and conversation contents, on the arousal and valence of group emotions, where the latter exhibit opposing effects on instant order cancellation behavior. This research establishes the paramount roles of anchor and group emotions in viewers' instant order cancellation behaviors, lending credence to the epistemological applicability of emotional contagion theory in the context of LSE. The study's findings offer LSE practitioners practical implications to enhance business decision-making, fostering more engaging and emotionally resonant livestreaming experiences to reduce cancellations and improve customer retention.</t>
  </si>
  <si>
    <t>[Wang, Zeen; Luo, Chuan] Southwestern Univ Finance &amp; Econ, Sch Management Sci &amp; Engn, Chengdu, Peoples R China; [Luo, Xin (Robert)] Univ New Mexico, Anderson Sch Management, Albuquerque, NM 87131 USA; [Xu, Xu] Southwestern Univ Finance &amp; Econ, Sch Comp &amp; Artificial Intelligence, Chengdu, Peoples R China</t>
  </si>
  <si>
    <t>Southwestern University of Finance &amp; Economics - China; University of New Mexico; Southwestern University of Finance &amp; Economics - China</t>
  </si>
  <si>
    <t>Luo, X (corresponding author), Univ New Mexico, Anderson Sch Management, Albuquerque, NM 87131 USA.</t>
  </si>
  <si>
    <t>wang_zeen@smail.swufe.edu.cn; luochuan@swufe.edu.cn; xinluo@unm.edu; xuxujy@smail.swufe.edu.cn</t>
  </si>
  <si>
    <t>Luo, Xin/LOS-0705-2024</t>
  </si>
  <si>
    <t>Wang, Zeen/0009-0005-7116-4277</t>
  </si>
  <si>
    <t>Guanghua Talent Project from Southwestern University of Finance and Economics</t>
  </si>
  <si>
    <t>This research was supported by the Guanghua Talent Project from Southwestern University of Finance and Economics.</t>
  </si>
  <si>
    <t>0167-9236</t>
  </si>
  <si>
    <t>1873-5797</t>
  </si>
  <si>
    <t>DECIS SUPPORT SYST</t>
  </si>
  <si>
    <t>Decis. Support Syst.</t>
  </si>
  <si>
    <t>10.1016/j.dss.2023.114147</t>
  </si>
  <si>
    <t>Computer Science, Artificial Intelligence; Computer Science, Information Systems; Operations Research &amp; Management Science</t>
  </si>
  <si>
    <t>Computer Science; Operations Research &amp; Management Science</t>
  </si>
  <si>
    <t>OU1B5</t>
  </si>
  <si>
    <t>WOS:001209692400001</t>
  </si>
  <si>
    <t>Flórez, PKM; Hernández, CAV</t>
  </si>
  <si>
    <t>Florez, Paula Katterine Melo; Hernandez, Cesar Asdraldo Vargas</t>
  </si>
  <si>
    <t>Impact of Facebook, TikTok and Instagram advertising on the Arlington VA community</t>
  </si>
  <si>
    <t>INGENIERIA SOLIDARIA</t>
  </si>
  <si>
    <t>Social networks; advertising; Facebook; Instagram; TikTok; trends</t>
  </si>
  <si>
    <t>SOCIAL MEDIA; NEWS</t>
  </si>
  <si>
    <t>This paper is a product of the research about Advertisement impact in Facebook, TikTok and Instagram in Arlington Virginia community developed at the Francisco Jose de Caldas University in 2022. Introduction: Over time, generations have been changing and developing new consumer trends. Similarly, companies have been evolving to be able to adapt to the different trends to reach the target audience using diverse methods of advertising. Method: This paper makes use of databases such as Scopus, Google Scholar, and Index-K as sources of information to guide the research of social media use. Using statistics and articles, we determine the main aspects that guide behavior and the use of the different social media platforms in different age groups. Results: This Paper shows that, depending on the age group, the use of social media is different. Conclusions: Younger users prefer platforms where they can share videos or images. As people grow, they are more attracted to platforms like Facebook where they can find social interaction and information and share different types of content. Limitation: This paper is focused on people that live in Arlington a small city in the state of Virginia. The information found can be a basis for analyzing users' behaviors on different platforms.</t>
  </si>
  <si>
    <t>[Florez, Paula Katterine Melo; Hernandez, Cesar Asdraldo Vargas] Francisco Jose De Caldas Univ, Engn Fac, Ind Engn Project, Bogota, Colombia</t>
  </si>
  <si>
    <t>Flórez, PKM (corresponding author), Francisco Jose De Caldas Univ, Engn Fac, Ind Engn Project, Bogota, Colombia.</t>
  </si>
  <si>
    <t>Pkmelof@correo.udistrital.edu.co; cavargash@udistrital.edu.co</t>
  </si>
  <si>
    <t>UNIV COOPERATIVE COLOMBIA, FAC ENGINEERING</t>
  </si>
  <si>
    <t>BOGOTA</t>
  </si>
  <si>
    <t>AV CARCAS NO 37-15, BOGOTA, 00000, COLOMBIA</t>
  </si>
  <si>
    <t>1900-3102</t>
  </si>
  <si>
    <t>2357-6014</t>
  </si>
  <si>
    <t>ING SOLIDAR</t>
  </si>
  <si>
    <t>Ing. Solidar.</t>
  </si>
  <si>
    <t>10.16925/2357-6014.2023.01.07</t>
  </si>
  <si>
    <t>Engineering, Multidisciplinary</t>
  </si>
  <si>
    <t>Engineering</t>
  </si>
  <si>
    <t>R1KF4</t>
  </si>
  <si>
    <t>WOS:001061992900002</t>
  </si>
  <si>
    <t>Suárez-Alvarez, R; García-Jiménez, A; Catalina-García, B</t>
  </si>
  <si>
    <t>Suarez-alvarez, Rebeca; Garcia-Jimenez, Antonio; Catalina-Garcia, Beatriz</t>
  </si>
  <si>
    <t>The Russia-Ukraine war on TikTok. The representation of the present and its impact</t>
  </si>
  <si>
    <t>social media; news; TikTok; Russia; Ukraine; war</t>
  </si>
  <si>
    <t>SOCIAL MEDIA; NEWS; COMMUNICATION; JOURNALISM; NETWORK; FORMATS; SPAIN</t>
  </si>
  <si>
    <t>As well as transforming interpersonal relationships between citizens, social network platforms are also impacting the information ecosystem. Increasingly, young people are obtaining information through social networks, while journalists and traditional media strive to maintain their roles as sources of information. In order to observe this evolution in information consumption, the war between Ukraine and Russia is examined. The author profiles of contributors who publish the most about this war are analysed, as is the most viral content on TikTok, currently the most frequently downloaded social network platform. A content analysis was conducted on 420 videos relating to the Russia-Ukraine war created and shared by 107 authors during the first 42 days of the conflict (22 February to 05 April 2022). The profiles of media outlets, influencers, anonymous users, the authorities, professionals, governmental and international entities and NGOs are examined as sources of information on the conflict. The results confirm that anonymous authors and influencers are the ones who share the most content about the war, while influencers are the most followed profiles, with more than 113 million followers. This number is significantly higher than the number of followers (49 million) reached by verified media outlets.</t>
  </si>
  <si>
    <t>[Suarez-alvarez, Rebeca; Garcia-Jimenez, Antonio; Catalina-Garcia, Beatriz] Univ Rey Juan Carlos, Madrid, Spain</t>
  </si>
  <si>
    <t>rebeca.suarez@urjc.es; antonio.garcia@urjc.es; beatriz.catalina@urjc.es</t>
  </si>
  <si>
    <t>Suarez-Alvarez, Rebeca/ACS-8344-2022; Catalina Garcia, Beatriz/C-1727-2015</t>
  </si>
  <si>
    <t>Catalina Garcia, Beatriz/0000-0003-0464-3225</t>
  </si>
  <si>
    <t>10.5565/rev/analisi.3587</t>
  </si>
  <si>
    <t>WOS:001141862900006</t>
  </si>
  <si>
    <t>Basch, CH; Yousaf, H; Fera, J; Castillo, RG</t>
  </si>
  <si>
    <t>Basch, Corey H.; Yousaf, Helen; Fera, Joseph; Castillo, Rafael Gonzalez</t>
  </si>
  <si>
    <t>Traffic as an Urban Health Determinant: Coverage of the New York City Congestion Pricing Plan on TikTok</t>
  </si>
  <si>
    <t>TikTok; Congestion Pricing; New York City; Urban Health</t>
  </si>
  <si>
    <t>Social listening can provide deeper insight into public sentiment regarding policy proposals, as seen with the congestion pricing initiative in New York City (NYC). The purpose of this study was to assess the content of a sample of TikTok videos related to congestion pricing in NYC. A total of 100 unique videos were extracted from the hashtag #nyccongestionpricing on TikTok and coded for the presence of the following information based on four different areas of focus: video metrics, details about pricing plan, effects of pricing plan, and user-related issues. In total, the 100-video sample received 17,375,818 views, 1,285,610 likes, 89,883 favorites, and 100,634 comments. Only 3 of the 25 content characteristics were present in a majority (&gt; 50) of the videos. These were mentions location (below 60th street of Manhattan) (N = 65), mentions cost (N = 61), and mentions cons of pricing (N = 56). Mentioning location had a significant effect on the views (p = 0.0163) and likes (p = 0.0225) a video received. Mentioning cost had a statistical impact on the views (p = 0.0098), likes (p = 0.0128), favorites (p = 0.0128), and comments (p = 0.0030) that the video received. Mentioning the MTA and benefits of the congestion plan significantly lowered metrics of engagement. Themes that emerged were personal, often negative and tended to focus more on cost to citizens and location, despite the evidence of negative public health impacts. This research can be used as a springboard for future research that examines social listening at the intersection of public health and policy.</t>
  </si>
  <si>
    <t>[Basch, Corey H.] William Paterson Univ, Dept Publ Hlth, Univ Hall, Wayne, NJ 07470 USA; [Yousaf, Helen] Columbia Univ, Mailman Sch Publ Hlth, New York, NY 10032 USA; [Fera, Joseph; Castillo, Rafael Gonzalez] CUNY Lehman Coll, Dept Math, Bronx, NY 10468 USA</t>
  </si>
  <si>
    <t>Columbia University; City University of New York (CUNY) System</t>
  </si>
  <si>
    <t>10.1007/s10900-024-01415-9</t>
  </si>
  <si>
    <t>K2I1S</t>
  </si>
  <si>
    <t>WOS:001342156500001</t>
  </si>
  <si>
    <t>Wang, SF; Esperança, JP; Wu, Q</t>
  </si>
  <si>
    <t>Wang, Shaofeng; Esperanca, Jose Paulo; Wu, Qiao</t>
  </si>
  <si>
    <t>Effects of Live Streaming Proneness, Engagement and Intelligent Recommendation on Users' Purchase Intention in Short Video Community: Take TikTok (DouYin) Online Courses as an Example</t>
  </si>
  <si>
    <t>ARTIFICIAL-INTELLIGENCE; CUSTOMER ENGAGEMENT; PERCEIVED EASE; CO-CREATION; INFORMATION; DECISION; TRUST; EXPERIENCE; BEHAVIOR; LOYALTY</t>
  </si>
  <si>
    <t>Shopping through short video communities has become a new trend, but few currently understand users' purchase intention toward TikTok online courses. This research developed a purchasing intention model of TikTok online courses by extending the technology acceptance model. This study used a questionnaire survey method and collected 413 valid questionnaires. Partial least squares structural equation modeling (PLS-SEM) was adopted to test the hypotheses and found: (1) perceived usefulness and ease of use positively affect perceived value. Free trial negatively affects perceived cost. Perceived usefulness, perceived ease of use, and free trial indirectly affect purchase intention through two mediation variables; (2) live streaming proneness, live streaming engagement, and perceived value positively affect purchase intention, while the perceived cost will negatively affect purchase intention; (3) an exciting conclusion is that intelligent recommendation positively moderates the relationship between perceived value and live streaming engagement with purchase intention, but intelligent recommendation negatively moderates the relationship between perceived cost and purchase intention. These findings make theoretical contributions and provide managerial insights based on empirical results for short video community purchase intentions.</t>
  </si>
  <si>
    <t>[Wang, Shaofeng; Wu, Qiao] Zhejiang Wanli Univ, Sch Logist &amp; E Commerce, Ningbo, Peoples R China; [Wang, Shaofeng] Beijing Normal Univ, Smart Learning Inst, Beijing, Peoples R China; [Esperanca, Jose Paulo] Lisbon Univ Inst, ISCTE Business Sch, Lisbon, Portugal; [Esperanca, Jose Paulo] Lisbon Univ Inst, Business Res Unit, Lisbon, Portugal</t>
  </si>
  <si>
    <t>Zhejiang Wanli University; Beijing Normal University; Instituto Universitario de Lisboa; Instituto Universitario de Lisboa</t>
  </si>
  <si>
    <t>Wu, Q (corresponding author), Zhejiang Wanli Univ, Sch Logist &amp; E Commerce, Ningbo, Peoples R China.</t>
  </si>
  <si>
    <t>qiaowu101@163.com</t>
  </si>
  <si>
    <t>Afonso Esperanca, Jose Paulo/0000-0002-2135-1307; Wang, Shaofeng/0000-0002-0300-2453</t>
  </si>
  <si>
    <t>Zhejiang Province Association for Higher Education Project [KT2022412]; Ningbo Education Science Planning Project [2022YZD012]; Ningbo Soft Science Research Program [2022R040, 2021R030]</t>
  </si>
  <si>
    <t>Zhejiang Province Association for Higher Education Project; Ningbo Education Science Planning Project; Ningbo Soft Science Research Program</t>
  </si>
  <si>
    <t>This work was supported by the Zhejiang Province Association for Higher Education Project under grant [KT2022412], Ningbo Education Science Planning Project under Grant [2022YZD012], Ningbo Soft Science Research Program under Grant [2022R040], and Ningbo Soft Science Research Program under Grant [2021R030].</t>
  </si>
  <si>
    <t>10.1080/10447318.2022.2091653</t>
  </si>
  <si>
    <t>O8WM1</t>
  </si>
  <si>
    <t>WOS:000844095400001</t>
  </si>
  <si>
    <t>Jafri, FI; Ancha, N; Roy, A; Ahmad, S; Riaz, H; Hyman, C</t>
  </si>
  <si>
    <t>Jafri, Faraz I.; Ancha, Nirupama; Roy, Ananya; Ahmad, Sami; Riaz, Hamna; Hyman, Charles</t>
  </si>
  <si>
    <t>TikTok and irritable bowel syndrome (IBS): a cross-sectional study of social media content quality</t>
  </si>
  <si>
    <t>TikTok; IBS; Inflammatory bowel syndrome; Diagnosis; e-Gut health; Misinformation; Public health; Social media</t>
  </si>
  <si>
    <t>IMPACT</t>
  </si>
  <si>
    <t>AimWe sought to investigate the quality of TikTok content to characterize the educational content and accuracy of information related to irritable bowel syndrome (IBS) being distributed.Subject and methodsSocial media has increasingly become the main platform individuals and medical professionals use to share their lived experiences with medical conditions along with health advice. User-generated content about IBS is among the most popular health topics on the video-sharing social media platform TikTok. In this study, the first 100 videos meeting inclusion criteria under the hashtag #IBS were thematically analyzed by two independent reviewers for source, number of views, intent, and content. The source or entity posting the video was categorized as an influencer, lay individual, or medical professional. The intent was classified as educational/non-educational and factual/non-factual, while content categories included comedy, lifestyle and acceptability, marketing, and medical advice. The overall quality, understandability, and actionability of the video were assessed using the Patient Education Materials Assessment Tool for Audiovisual Materials (PEMAT-A/V), which measures the understandability and actionability of the videos.ResultsAcross all 100 videos meeting inclusion criteria, 42 videos were posted by social media influencers, compared to 10 posted by medical professionals. Of the 30 videos rated as educational, 14 were determined to be factual. A vast majority (97%) of the non-educational videos (n = 68) were posted by non-medical professionals. Content posted by influencers had a higher average number of shares (16,382, SD 25,673) than content by medical professionals (10,869, SD 19,488). In contrast, the average number of views was higher for videos from medical professionals (3,661,000, SD 3,807,115) than videos posted by influencers (2,926,476, SD 2,874,250). The most common themes discussed in IBS videos included lifestyle/acceptability (43%, n = 43) and health advice (40%, n = 40).ConclusionAlmost half of the TikTok videos about IBS were posted by influencers and had poor educational content. Content posted by influencers was more likely to be shared, while medical professionals garnered more average views. These findings support the partnership of healthcare organizations and professionals with influencers to increase health information sharing and dissemination of factual educational content.</t>
  </si>
  <si>
    <t>[Jafri, Faraz I.; Ancha, Nirupama; Roy, Ananya; Ahmad, Sami; Riaz, Hamna; Hyman, Charles] Univ Texas Austin, Dell Med Sch, 1501 Red River St, Austin, TX 78712 USA</t>
  </si>
  <si>
    <t>Jafri, FI (corresponding author), Univ Texas Austin, Dell Med Sch, 1501 Red River St, Austin, TX 78712 USA.</t>
  </si>
  <si>
    <t>farazirfanjafri@utexas.edu</t>
  </si>
  <si>
    <t>Roy, Ananya/0000-0002-0706-3237; Jafri, Faraz/0000-0002-6568-8120</t>
  </si>
  <si>
    <t>2023 AUG 9</t>
  </si>
  <si>
    <t>10.1007/s10389-023-02062-5</t>
  </si>
  <si>
    <t>O6IY1</t>
  </si>
  <si>
    <t>WOS:001044833900001</t>
  </si>
  <si>
    <t>Community Mitigation of COVID-19 and Portrayal of Testing on TikTok: Descriptive Study</t>
  </si>
  <si>
    <t>TikTok; social media; COVID-19; testing; disgust; anxiety; content analysis; communication; infodemiology; infoveillance; public health; digital public health; digital health; community mitigation</t>
  </si>
  <si>
    <t>Background: COVID-19 testing remains an essential element of a comprehensive strategy for community mitigation. Social media is a popular source of information about health, including COVID-19 and testing information. One of the most popular communication channels used by adolescents and young adults who search for health information is TikTok-an emerging social Objective: The purpose of this study was to describe TikTok videos related to COVID-19 testing. Methods: The hashtag #covidtesting was searched, and the first 100 videos were included in the study sample. At the time the sample was drawn, these 100 videos garnered more than 50% of the views for all videos cataloged under the hashtag #covidtesting. The content characteristics that were coded included mentions, displays, or suggestions of anxiety, COVID-19 symptoms, quarantine, types of tests, results of test, and disgust/unpleasantness. Additional data that were coded included the number and percentage of views, likes, and comments and the use of music, dance, and humor. Results: The 100 videos garnered more than 103 million views; 111,000 comments; and over 12.8 million likes. Even though only 44 videos mentioned or suggested disgust/unpleasantness and 44 mentioned or suggested anxiety, those that portrayed tests as disgusting/unpleasant garnered over 70% of the total cumulative number of views (73,479,400/103,071,900, 71.29%) and likes (9,354,691/12,872,505, 72.67%), and those that mentioned or suggested anxiety attracted about 60% of the total cumulative number of views (61,423,500/103,071,900, 59.59%) and more than 8 million likes (8,339,598/12,872,505, 64.79%). Independent one-tailed t tests (alpha=.05) revealed that videos that mentioned or suggested that COVID-19 testing was disgusting/unpleasant were Conclusions: Our finding of an association between TikTok videos that mentioned or suggested that COVID-19 tests were disgusting/unpleasant and these videos' propensity to garner views and likes is of concern. There is a need for public health agencies to recognize and address connotations of COVID-19 testing on social media.</t>
  </si>
  <si>
    <t>[Basch, Corey H.; Pellicane, Alessia] William Paterson Univ, Dept Publ Hlth, Univ Hall, Wayne, NJ 07470 USA; [Mohlman, Jan] William Paterson Univ, Dept Psychol, Wayne, NJ 07470 USA; [Fera, Joseph] CUNY, Lehman Coll, Dept Math, Bronx, NY USA; [Tang, Hao; Basch, Charles E.] Columbia Univ, Teachers Coll, Dept Hlth &amp; Behav Studies, New York, NY 10027 USA</t>
  </si>
  <si>
    <t>Tang, Hao/0000-0003-3002-1374; Mohlman, Jan/0000-0002-2976-6224; Basch, Corey H/0000-0003-4862-4229</t>
  </si>
  <si>
    <t>e29528</t>
  </si>
  <si>
    <t>10.2196/29528</t>
  </si>
  <si>
    <t>WOS:000738510300018</t>
  </si>
  <si>
    <t>Seekis, V; Kennedy, R</t>
  </si>
  <si>
    <t>Seekis, Veya; Kennedy, Richelle</t>
  </si>
  <si>
    <t>The impact of #beauty and #self-compassion tiktok videos on young women's appearance shame and anxiety, self-compassion, mood, and comparison processes</t>
  </si>
  <si>
    <t>TikTok; Beauty ideals; Self-compassion; Appearance shame; Appearance Anxiety; Upward appearance comparisons</t>
  </si>
  <si>
    <t>BODY DYSMORPHIC DISORDER; OBJECTIFICATION THEORY; SOCIAL MEDIA; IMAGE; SATISFACTION; VALIDATION; FACEBOOK</t>
  </si>
  <si>
    <t>This study examined the impact of exposure to beauty, self-compassion, and travel (control) TikTok videos on young women's face-related appearance shame and anxiety, self-compassion, mood, upward appearance comparisons and thoughts. Undergraduate women (N = 115) were randomly assigned to view one of three compilation TikTok videos on either beauty tips, self-compassion strategies, or travel destinations. Upward appearance comparisons and thoughts were assessed at post-test only given the items related to video exposure; all other measures were assessed at pre-and post-test. Controlling for pre-test measures, results showed that face-related appearance shame and anxiety, and negative mood were higher, whereas self -compassion was lower in the beauty group relative to the travel control and self-compassion groups. Self -compassion was higher in the self-compassion group relative to the travel control. Women in the beauty group reported more upward appearance comparisons and appearance thoughts relative to women in the travel control and self-compassion groups. The self-compassion group reported more appearance thoughts relative to the travel control. Findings contribute to prior research by showing that brief exposure to beauty TikToks may have a negative effect on how young women feel about their appearance, but also how self -compassion videos may help young women feel more compassionate toward themselves.(c) 2023 The Author(s). Published by Elsevier Ltd. This is an open access article under the CC BY-NC-ND license (http://creativecommons.org/licenses/by-nc-nd/4.0/).</t>
  </si>
  <si>
    <t>[Seekis, Veya; Kennedy, Richelle] Griffith Univ, Sch Appl Psychol, Southport, Australia; [Seekis, Veya] 1 Parklands Dr, Southport, Qld 4215, Australia</t>
  </si>
  <si>
    <t>Griffith University; Griffith University - Gold Coast Campus</t>
  </si>
  <si>
    <t>v.seekis@griffith.edu.au</t>
  </si>
  <si>
    <t>Seekis, Veya/AAW-3503-2020</t>
  </si>
  <si>
    <t>Seekis, Veya/0000-0002-4079-009X</t>
  </si>
  <si>
    <t>10.1016/j.bodyim.2023.02.006</t>
  </si>
  <si>
    <t>9X8FZ</t>
  </si>
  <si>
    <t>WOS:000950002500001</t>
  </si>
  <si>
    <t>Basch, CH; Fera, J; Pellicane, A; Basch, CE</t>
  </si>
  <si>
    <t>Basch, Corey H.; Fera, Joseph; Pellicane, Alessia; Basch, Charles E.</t>
  </si>
  <si>
    <t>Videos With the Hashtag #vaping on TikTok and Implications for Informed Decision-making by Adolescents: Descriptive Study</t>
  </si>
  <si>
    <t>JMIR PEDIATRICS AND PARENTING</t>
  </si>
  <si>
    <t>vaping; TikTok; social media; misinformation; decision-making; adolescents; young adults; e-cigarettes; public health; informed decision-making</t>
  </si>
  <si>
    <t>Background: Despite the public health importance of vaping and the widespread use of TikTok by adolescents and young adults, research is lacking on the nature and scope of vaping content on this networking service. Objective: The purpose of this study is to describe the content of TikTok videos related to vaping. Methods: By searching the hashtag #vaping in the discover feature, similar to 478 4 million views were seen during the time of data collection. The first 100 relevant videos under that hashtag were used in this study. Relevance was determined by simply noting if the video was related in any way to vaping. Coding consisted of several categories directly related to vaping and additional categories, including the number of likes, comments, and views, and if the video involved music, humor, or dance. Results: The 100 videos included in the sample garnered 156,331,347 views; 20,335,800 likes; and 296,460 comments. The majority of the videos (n=59) used music and over one-third (n=37) used humor. The only content category observed in the majority of the videos sampled was the promotion of vaping, which was included in 57 videos that garnered over 74 million views (47.5% of cumulative views). A total of 42% (n=42) of the 100 videos sampled featured someone vaping or in the presence of vape pens, and these videos garnered over 22% (&gt;35 million) of the total views. Conclusions: It is necessary for public health agencies to improve understanding of the nature and content of videos that attract viewers' attention and harness the strength of this communication channel to promote informed decision-making about vaping.</t>
  </si>
  <si>
    <t>[Basch, Corey H.; Pellicane, Alessia] William Paterson Univ, 300 Pompton Rd, Wayne, NJ 07470 USA; [Fera, Joseph] Lehman Coll, Bronx, NY USA; [Basch, Charles E.] Columbia Univ, Teachers Coll, New York, NY 10027 USA</t>
  </si>
  <si>
    <t>Basch, CH (corresponding author), William Paterson Univ, 300 Pompton Rd, Wayne, NJ 07470 USA.</t>
  </si>
  <si>
    <t>2561-6722</t>
  </si>
  <si>
    <t>JMIR PEDIATR PARENT</t>
  </si>
  <si>
    <t>JMIR Pediatr. Parent.</t>
  </si>
  <si>
    <t>e30681</t>
  </si>
  <si>
    <t>10.2196/30681</t>
  </si>
  <si>
    <t>0K0JZ</t>
  </si>
  <si>
    <t>WOS:000780484800016</t>
  </si>
  <si>
    <t>Rossi, NA; Benavidez, M; Nuti, SA; Hajiyev, Y; Hughes, CA; Pine, HS</t>
  </si>
  <si>
    <t>Rossi, Nicholas A.; Benavidez, Mia; Nuti, Shiva A.; Hajiyev, Yusif; Hughes, Charles A.; Pine, Harold S.</t>
  </si>
  <si>
    <t>Viral voices: A multi-platform analysis of tonsillectomy on social media</t>
  </si>
  <si>
    <t>INTERNATIONAL JOURNAL OF PEDIATRIC OTORHINOLARYNGOLOGY</t>
  </si>
  <si>
    <t>Tonsillectomy; Social media; Parent-patient relations; Qualitative research; Patient satisfaction; Patient-centered care</t>
  </si>
  <si>
    <t>Objectives: To assess the influence of social media platforms, including TikTok, Instagram, and Facebook, in shaping public perceptions about tonsillectomies and to identify the nature of the content disseminated on these platforms. Methods: A comprehensive analysis of 1482 relevant social media posts related to tonsillectomies was conducted across major platforms, including TikTok, Instagram, and Facebook. Content was categorized based on author, topic of the post, timeframe, and overall tone. The study also compared engagement metrics across platforms. Results: TikTok emerged as the most engaging platform with a mean of 3272.8 likes per post. Patients drove 61.6 % of the discourse, with 63.9 % of discussions being lifestyle oriented. Educational content constituted 12.5 % of the overall discourse. Sentiments towards the procedure were almost evenly split, with 29.4 % positive and 28.5 % negative; 92 % of the negative posts were authored by patients. Conclusions: Patients were the most common social media authors, driving the conversation and a significant portion expressing negative views. Physicians, conversely, showed a low level of social media engagement. By understanding and addressing online narratives, clinicians can offer more informed patient support, debunk myths, and provide empathetic insights, ensuring positive patient experiences in the era of digital health communication.</t>
  </si>
  <si>
    <t>[Rossi, Nicholas A.; Hajiyev, Yusif; Hughes, Charles A.; Pine, Harold S.] Univ Texas Med Branch, Dept Otolaryngol Head &amp; Neck Surg, Galveston, TX USA; [Benavidez, Mia; Nuti, Shiva A.] Univ Texas Med Branch, Sch Med, Galveston, TX USA; [Rossi, Nicholas A.] Univ Texas Med Branch, Dept Otolaryngol, 301 Univ Blvd, Galveston, TX 77550 USA</t>
  </si>
  <si>
    <t>Rossi, NA (corresponding author), Univ Texas Med Branch, Dept Otolaryngol, 301 Univ Blvd, Galveston, TX 77550 USA.</t>
  </si>
  <si>
    <t>narossi@utmb.edu</t>
  </si>
  <si>
    <t>Rossi, Nicholas/0000-0002-7105-2196</t>
  </si>
  <si>
    <t>0165-5876</t>
  </si>
  <si>
    <t>1872-8464</t>
  </si>
  <si>
    <t>INT J PEDIATR OTORHI</t>
  </si>
  <si>
    <t>Int. J. Pediatr. Otorhinolaryngol.</t>
  </si>
  <si>
    <t>10.1016/j.ijporl.2023.111816</t>
  </si>
  <si>
    <t>Otorhinolaryngology; Pediatrics</t>
  </si>
  <si>
    <t>EL2R0</t>
  </si>
  <si>
    <t>WOS:001139020700001</t>
  </si>
  <si>
    <t>Hallward, L; Feng, OLV; Duncan, LR</t>
  </si>
  <si>
    <t>Hallward, Laura; Feng, Olivia; Duncan, Lindsay R.</t>
  </si>
  <si>
    <t>An exploration and comparison of #BodyPositivity and #BodyNeutrality content on TikTok</t>
  </si>
  <si>
    <t>Social media; Body image; Body neutrality; Body positivity; Eating disorder prevention</t>
  </si>
  <si>
    <t>POSITIVE BODY-IMAGE; FUNCTIONALITY; EXPOSURE; PROTECT; BEAUTY; WOMEN; MODEL; FAT</t>
  </si>
  <si>
    <t>TikTok, one of the most popular visual social media platforms, has been criticized for perpetuating and glorifying eating disorders. In response, content focused on body positivity (loving your body) is growing on TikTok. However, body positivity content on other social platforms promotes positive body image but also perpetuates unrealistic beauty ideals. Body neutrality (deemphasizing the focus on the body's appearance) is an alternative concept that could portray less harmful content, but has yet to be explored. Therefore, the purpose of this study was to explore and compare the content under #BodyPositivity and #BodyNeutrality on TikTok. One hundred and fifty TikToks under each hashtag were downloaded. A thematic analysis of the TikToks was conducted. Three themes were generated that captured content across both hashtags, with only minor differences in content between the two: (1) Resisting societal ideologies (with subtheme: Normalizing insecurities), (2) (Re)producing disordered content (with subtheme: Toxic (body) positivity promotes the need for neutrality), and (3) Social critique. Within the themes, there was the promotion of body positivity through self-love and body acceptance, but also content that continued to emphasize standard beauty ideals and the thin-ideal. Certain TikToks provided educational content that explained the roots of the #BodyPositivity movement and what #BodyNeutrality means as a potentially more realistic approach to body acceptance. Findings suggest that #BodyNeutrality may provide a safer space for individuals online, and future research should assess the impact of such TikToks on those viewing them to assess body and eating attitudes and behaviours.</t>
  </si>
  <si>
    <t>[Hallward, Laura] Western Univ, Sch Kinesiol, 1151 Richmond St, London, ON N6A 3K7, Canada; [Feng, Olivia; Duncan, Lindsay R.] McGill Univ, Dept Kinesiol &amp; Phys Educ, Montreal, PQ, Canada</t>
  </si>
  <si>
    <t>Western University (University of Western Ontario); McGill University</t>
  </si>
  <si>
    <t>Hallward, L (corresponding author), Western Univ, Sch Kinesiol, 1151 Richmond St, London, ON N6A 3K7, Canada.</t>
  </si>
  <si>
    <t>lhallwar@uwo.ca</t>
  </si>
  <si>
    <t>10.1016/j.eatbeh.2023.101760</t>
  </si>
  <si>
    <t>L7KF6</t>
  </si>
  <si>
    <t>WOS:001025004700001</t>
  </si>
  <si>
    <t>Hopfer, S; Phillips, KKD; Weinzierl, M; Vasquez, HE; Alkhatib, S; Harabagiu, SM</t>
  </si>
  <si>
    <t>Hopfer, Suellen; Phillips, Kalani Kieu-Diem; Weinzierl, Maxwell; Vasquez, Hannah E.; Alkhatib, Sarah; Harabagiu, Sanda M.</t>
  </si>
  <si>
    <t>Adaptation and Dissemination of a National Cancer Institute HPV Vaccine Evidence-Based Cancer Control Program to the Social Media Messaging Environment</t>
  </si>
  <si>
    <t>HPV; HPV vaccine; social media; implementation adaptation; engagement; vaccine interventions</t>
  </si>
  <si>
    <t>HUMAN-PAPILLOMAVIRUS VACCINATION; COGNITIVE LOAD; GRATIFICATIONS; INFECTIONS; INSTAGRAM; FRAMEWORK; COVID-19; IMPACT; TIKTOK; US</t>
  </si>
  <si>
    <t>Social media offers a unique opportunity to widely disseminate HPV vaccine messaging to reach youth and parents, given the information channel has become mainstream with 330 million monthly users in the United States and 4.2 billion users worldwide. Yet, a gap remains on how to adapt evidence-based vaccine interventions for the in vivo competitive social media messaging environment and what strategies to employ to make vaccine messages go viral. Push-pull and RE-AIM dissemination frameworks guided our adaptation of a National Cancer Institute video-based HPV vaccine cancer control program, the HPV Vaccine Decision Narratives, for the social media environment. We also aimed to understand how dissemination might differ across three platforms, namely Instagram, TikTok, and Twitter, to increase reach and engagement. Centering theory and a question-answer framework guided the adaptation process of segmenting vaccine decision story videos into shorter coherent segments for social media. Twelve strategies were implemented over 4 months to build a following and disseminate the intervention. The evaluation showed that all platforms increased following, but Instagram and TikTok outperformed Twitter on impressions, followers, engagement, and reach metrics. Although TikTok increased reach the most (unique accounts that viewed content), Instagram increased followers, engagement, and impressions the most. For Instagram, the top performer, six of 12 strategies contributed to increasing reach, including the use of videos, more than 11 hashtags, COVID-19 hashtags, mentions, and follow-for-follow strategies. This observational social media study identified dissemination strategies that significantly increased the reach of vaccine messages in a real-world competitive social media messaging environment. Engagement presented greater challenges. Results inform the planning and adaptation considerations necessary for transforming public health HPV vaccine interventions for social media environments, with unique considerations depending on the platform.</t>
  </si>
  <si>
    <t>[Hopfer, Suellen; Phillips, Kalani Kieu-Diem; Vasquez, Hannah E.; Alkhatib, Sarah] Univ Calif Irvine, Dept Hlth Soc &amp; Behav, Program Publ Hlth, Irvine, CA 92697 USA; [Weinzierl, Maxwell; Harabagiu, Sanda M.] Univ Texas Dallas, Dept Comp Sci, Richardson, TX USA</t>
  </si>
  <si>
    <t>University of California System; University of California Irvine; University of Texas System; University of Texas Dallas</t>
  </si>
  <si>
    <t>Hopfer, S (corresponding author), Univ Calif Irvine, Dept Hlth Soc &amp; Behav, Program Publ Hlth, Irvine, CA 92697 USA.</t>
  </si>
  <si>
    <t>shopfer@hs.uci.edu</t>
  </si>
  <si>
    <t>Hopfer, Suellen/KVB-8219-2024</t>
  </si>
  <si>
    <t>Hopfer, Suellen/0000-0003-3232-9743</t>
  </si>
  <si>
    <t>10.3389/fdgth.2022.819228</t>
  </si>
  <si>
    <t>M4XZ5</t>
  </si>
  <si>
    <t>WOS:001030271200001</t>
  </si>
  <si>
    <t>Li, LF; Kang, K</t>
  </si>
  <si>
    <t>Assoc Informat Syst</t>
  </si>
  <si>
    <t>Li, Lifu; Kang, Kyeong</t>
  </si>
  <si>
    <t>Analyzing Shopping Behavior of the Middle-aged users in Tiktok Live Streaming Platform</t>
  </si>
  <si>
    <t>AMCIS 2020 PROCEEDINGS</t>
  </si>
  <si>
    <t>Conference of the Association-for-Information-Systems (AMCIS)</t>
  </si>
  <si>
    <t>AUG 10-14, 2020</t>
  </si>
  <si>
    <t>Mobile commerce; Live streaming platform; Chinese Middle-aged users; Live anchors; Shopping behavior</t>
  </si>
  <si>
    <t>With the popularity of live streaming platforms, an increasing number of middle-aged online users begin to spend plenty of time and money on these platforms. However, in China, most of the middle-aged users lack live shopping experience and detailed legal knowledge, which results that they are easier to build trust with live anchors. In light of this, this study analyses the online shopping behavior of middle-aged users and research the features of live streaming platform TikTok. Based on the analysis, the research model related to the trust-building between Chinese middle-aged online users and live anchors will be established.</t>
  </si>
  <si>
    <t>[Li, Lifu; Kang, Kyeong] Univ Technol Sydney, Sydney, NSW, Australia</t>
  </si>
  <si>
    <t>Li, LF (corresponding author), Univ Technol Sydney, Sydney, NSW, Australia.</t>
  </si>
  <si>
    <t>Lifu.Li@student.uts.edu.au; Kyeong.Kang@uts.edu.au</t>
  </si>
  <si>
    <t>Li, Lifu/0000-0002-7345-9782</t>
  </si>
  <si>
    <t>ASSOC INFORMATION SYSTEMS</t>
  </si>
  <si>
    <t>ATLANTA</t>
  </si>
  <si>
    <t>P.O. BOX 2712, ATLANTA, GA 30301-2712 USA</t>
  </si>
  <si>
    <t>978-1-7336325-4-6</t>
  </si>
  <si>
    <t>BP6LR</t>
  </si>
  <si>
    <t>WOS:000559924500064</t>
  </si>
  <si>
    <t>Juliebo-Jones, P; Tzelves, L; Beisland, C; Roth, I; Somani, BK</t>
  </si>
  <si>
    <t>Juliebo-Jones, Patrick; Tzelves, Lazaros; Beisland, Christian; Roth, Ingunn; Somani, Bhaskar K.</t>
  </si>
  <si>
    <t>Patient experiences and perceptions of kidney stone surgery: what lessons can be learned from TikTok?</t>
  </si>
  <si>
    <t>FRONTIERS IN SURGERY</t>
  </si>
  <si>
    <t>urolithiasis; ureteroscopy; TikTok; social media; shockwave lithotripsy</t>
  </si>
  <si>
    <t>QUALITY-OF-LIFE; TRENDS</t>
  </si>
  <si>
    <t>Introduction The aim of this study was to perform an evaluation of patient experiences and perceptions regarding kidney stone surgery on the social media platform TikTok. An increasing number of the public use social media (SoMe) as a platform to share their views regarding their experiences related to surgical treatment.Methods Using the hashtag #kidneystonesurgery, the 100 most recent video posts as of 01.01.2024 on TikTok were included. As well as demographic data such as gender and location, thematic content was also collected. To achieve this, a previously published framework was used and adapted for application in the setting of kidney stone surgery. This was piloted on 20 sample videos to assess its feasibility before revision and establishment of the final framework. This included the following key areas: Pain, Complications, Anxiety, Recovery, Return to work, Finances, Treatment delays, Diet and Prevention and stent complaints.Results The majority of posts (95%) were from North America, 80% by females and the mean number of video views was 92,826 (range: 261-2,000,000). 76% of the videos discussed ureteroscopy (URS). 49% were filmed at the hospital, which was named in 9% of the videos. Top three topics discussed were: Recovery (65%), pain (62%) and stents (55%). This was followed by anxiety (39%) and complications (24%). 12% of these videos uploaded by lay people included basic medical information that was wholly incorrect. More than half of the posts (51%) were negative in tone. Treatment delays (5%) and a lack of sufficient preoperative information (4%) were also raised, that appeared to contribute to the negative reports. However, the main cause for negative tone owed to the 80% of the patients (n = 44) who discussed stents that focused their video on the pain suffered from the post operative stent.Conclusion There is a high level of usership and engagement on TikTok on the subject of kidney stone surgery. The proportion of negative videos is high and much of this is related to the bothersome stent symptoms and complications. This could easily lead to misperceptions among potential patients about the true burden of such adverse events.</t>
  </si>
  <si>
    <t>[Juliebo-Jones, Patrick; Tzelves, Lazaros] EAU YAU Endourol Grp, Arnhem, Netherlands; [Juliebo-Jones, Patrick; Beisland, Christian; Roth, Ingunn] Haukeland Hosp, Dept Urol, Bergen, Norway; [Juliebo-Jones, Patrick; Beisland, Christian; Roth, Ingunn] Univ Bergen, Dept Clin Med, Bergen, Norway; [Tzelves, Lazaros] Natl &amp; Kapodistrian Univ Athens, Sismanogleio Gen Hosp, Dept Urol 2, Athens, Greece; [Somani, Bhaskar K.] Univ Hosp Southampton, Dept Urol, Southampton, England</t>
  </si>
  <si>
    <t>University of Bergen; Haukeland University Hospital; University of Bergen; National &amp; Kapodistrian University of Athens</t>
  </si>
  <si>
    <t>Juliebo-Jones, P (corresponding author), EAU YAU Endourol Grp, Arnhem, Netherlands.;Juliebo-Jones, P (corresponding author), Haukeland Hosp, Dept Urol, Bergen, Norway.;Juliebo-Jones, P (corresponding author), Univ Bergen, Dept Clin Med, Bergen, Norway.</t>
  </si>
  <si>
    <t>jonesurology@gmail.com</t>
  </si>
  <si>
    <t>Beisland, Christian/R-6046-2019</t>
  </si>
  <si>
    <t>2296-875X</t>
  </si>
  <si>
    <t>FRONT SURG</t>
  </si>
  <si>
    <t>Front. Surg.</t>
  </si>
  <si>
    <t>MAR 20</t>
  </si>
  <si>
    <t>10.3389/fsurg.2024.1374851</t>
  </si>
  <si>
    <t>MT0W6</t>
  </si>
  <si>
    <t>WOS:001195778800001</t>
  </si>
  <si>
    <t>Lyu, Y; Cai, J; Callis, A; Cotter, K; Carroll, JM</t>
  </si>
  <si>
    <t>Lyu, Yao; Cai, Jie; Callis, Anisa; Cotter, Kelley; Carroll, John M.</t>
  </si>
  <si>
    <t>I Got Flagged for Supposed Bullying, Even Though It Was in Response to Someone Harassing Me About My Disability.: A Study of Blind TikTokers' Content Moderation Experiences</t>
  </si>
  <si>
    <t>Visual Impairment; Blind and Low Vision; Disability; Accessibility; Marginalization; TikTok; Short-Video Platform; BlindTok; Content Moderation; Platform Governance; Transformative Justice</t>
  </si>
  <si>
    <t>The Human-Computer Interaction (HCI) community has consistently focused on the experiences of users moderated by social media platforms. Recently, scholars have noticed that moderation practices could perpetuate biases, resulting in the marginalization of user groups undergoing moderation. However, most studies have primarily addressed marginalization related to issues such as racism or sexism, with little attention given to the experiences of people with disabilities. In this paper, we present a study on the moderation experiences of blind users on TikTok, also known as BlindToker, to address this gap. We conducted semi-structured interviews with 20 BlindTokers and used thematic analysis to analyze the data. Two main themes emerged: BlindTokers' situated content moderation experiences and their reactions to content moderation. We reported on the lack of accessibility on TikTok's platform, contributing to the moderation and marginalization of BlindTokers. Additionally, we discovered instances of harassment from trolls that prompted BlindTokers to respond with harsh language, triggering further moderation. We discussed these findings in the context of the literature on moderation, marginalization, and transformative justice, seeking solutions to address such issues.</t>
  </si>
  <si>
    <t>[Lyu, Yao; Cai, Jie; Callis, Anisa; Cotter, Kelley; Carroll, John M.] Penn State Univ, University Pk, PA 16802 USA</t>
  </si>
  <si>
    <t>Lyu, Y (corresponding author), Penn State Univ, University Pk, PA 16802 USA.</t>
  </si>
  <si>
    <t>yaolyu@psu.edu; jpc6982@psu.edu; amc8276@psu.edu; kcotter@psu.edu; jmcarroll@psu.edu</t>
  </si>
  <si>
    <t>Cai, Jie/LOR-7320-2024; Carroll, John Millar/A-8718-2009</t>
  </si>
  <si>
    <t>Cotter, Kelley/0000-0003-1243-0131; Cai, Jie/0000-0002-0582-555X; Carroll, John Millar/0000-0001-5189-337X</t>
  </si>
  <si>
    <t>10.1145/3613904.3642148</t>
  </si>
  <si>
    <t>WOS:001255317904049</t>
  </si>
  <si>
    <t>Nashid, L</t>
  </si>
  <si>
    <t>Nashid, Laila</t>
  </si>
  <si>
    <t>Understanding Digital Narratives of Black Girlhood Through Social Media Aesthetics</t>
  </si>
  <si>
    <t>GIRLHOOD STUDIES-AN INTERDISCIPLINARY JOURNAL</t>
  </si>
  <si>
    <t>affect; agency; Cottagecore; self-definitions; short form video; Soft Black Girl aesthetic; stereotypes; TikTok</t>
  </si>
  <si>
    <t>Today, Black girls use social media, including TikTok, as sites for storytelling and for creating their own self-definitions. In this article, I address the question of how Black girls use social media aesthetics to construct digital narratives about their Black girlhoods. To do so, by analyzing a case study of TikToks, I explore the rise of the Soft Black Girl aesthetic and its connections to larger, white-dominated aesthetics, such as Cottagecore. Furthermore, I trace the political implications of social media sub-aesthetics that Black girls create, as well as how such sub-aesthetics are used to both deconstruct stereotypes pertaining to the adultification of Black girls and disengage from whiteness in online spaces.</t>
  </si>
  <si>
    <t>[Nashid, Laila] Cornell Univ, Dept Literatures English, Ithaca, NY 14850 USA</t>
  </si>
  <si>
    <t>Cornell University</t>
  </si>
  <si>
    <t>Nashid, L (corresponding author), Cornell Univ, Dept Literatures English, Ithaca, NY 14850 USA.</t>
  </si>
  <si>
    <t>lsn38@cornell.edu</t>
  </si>
  <si>
    <t>Acknowledgements: I would like to thank Dr. Meina Yates-Richard, Dr. Janeria Easley, and Professor Dehanza Rogers for their support on this re-search endeavor. I would also like to thank the anonymous peer reviewers for their generative feedback.</t>
  </si>
  <si>
    <t>BERGHAHN JOURNALS</t>
  </si>
  <si>
    <t>BROOKLYN</t>
  </si>
  <si>
    <t>20 JAY ST, SUITE 512, BROOKLYN, NY 11201 USA</t>
  </si>
  <si>
    <t>1938-8209</t>
  </si>
  <si>
    <t>1938-8322</t>
  </si>
  <si>
    <t>GIRLHOOD STUD</t>
  </si>
  <si>
    <t>Girlhood Stud.</t>
  </si>
  <si>
    <t>10.3167/ghs.2024.170207</t>
  </si>
  <si>
    <t>H9M7P</t>
  </si>
  <si>
    <t>WOS:001326608100006</t>
  </si>
  <si>
    <t>Li, Y; Xu, XX; Song, B; He, H</t>
  </si>
  <si>
    <t>Li, Yi; Xu, Xiuxiu; Song, Bo; He, Hong</t>
  </si>
  <si>
    <t>Impact of Short Food Videos on the Tourist Destination Image-Take Chengdu as an Example</t>
  </si>
  <si>
    <t>TikTok; short food video; destination image; city brand; content analysis</t>
  </si>
  <si>
    <t>SOCIAL MEDIA; PERSPECTIVE; INSTAGRAM; GAZE; CITY</t>
  </si>
  <si>
    <t>Taking Chengdu as an example, based on the destination image theory and employing the content analysis methodology, this paper conducts data mining on the online comment texts of TikTok short food videos, and analyzes the impact of short food videos on the destination image (cognitive image, affective image and conative image). The results show that: (1) in terms of cognitive image, short food videos have increased potential tourists' attention to the destination image, especially their attention to the flavor characteristics of food in the destination and the local social environment; (2) in terms of affective image, the comments of short food videos are mainly neutral and positive, and the contents about the flavor characteristics of food and the local social environment are more likely to affect the affective image of the destination; and (3) in terms of conative image, the appearance description of food in short food videos brings about an obvious effect of intention, and it also creates the demand to travel together and obtain information. This paper is inspiring for city managers and tourism marketers to use TikTok short videos to establish and disseminate food-based city brands and destination images.</t>
  </si>
  <si>
    <t>[Li, Yi; Xu, Xiuxiu; He, Hong] Chongqing Univ Posts &amp; Telecommun, Sch Econ &amp; Management, Chongqing 400065, Peoples R China; [Song, Bo] Shanghai Normal Univ, Shanghai Inst Tourism, Shanghai 200234, Peoples R China</t>
  </si>
  <si>
    <t>Chongqing University of Posts &amp; Telecommunications; Shanghai Normal University</t>
  </si>
  <si>
    <t>Song, B (corresponding author), Shanghai Normal Univ, Shanghai Inst Tourism, Shanghai 200234, Peoples R China.</t>
  </si>
  <si>
    <t>liyi@cqupt.edu.cn; xiuxiuxu19@hotmail.com; song@shnu.edu.cn; honghe98@hotmail.com</t>
  </si>
  <si>
    <t>; Li, Yi/JTT-3294-2023</t>
  </si>
  <si>
    <t>SONG, Bo/0000-0002-2116-6363; Li, Yi/0000-0002-3410-3273</t>
  </si>
  <si>
    <t>Social Science Fund of Chongqing Federation of Social Science Circles [2019YBGL065]; Undergraduate Scientific Research Training Program of Chongqing University of Posts and Telecommunications</t>
  </si>
  <si>
    <t>Social Science Fund of Chongqing Federation of Social Science Circles; Undergraduate Scientific Research Training Program of Chongqing University of Posts and Telecommunications</t>
  </si>
  <si>
    <t>This research was supported by the Social Science Fund of Chongqing Federation of Social Science Circles [grant number 2019YBGL065]; the Undergraduate Scientific Research Training Program of Chongqing University of Posts and Telecommunications 2020.</t>
  </si>
  <si>
    <t>10.3390/su12176739</t>
  </si>
  <si>
    <t>NO8BJ</t>
  </si>
  <si>
    <t>WOS:000569712600001</t>
  </si>
  <si>
    <t>Vizcaino-Verdu, A; Abidin, C</t>
  </si>
  <si>
    <t>TeachTok: Teachers of TikTok, micro-celebrification, and fun learning communities</t>
  </si>
  <si>
    <t>Teaching; Micro-celebrity; Social media; Teacher identity; Online learning</t>
  </si>
  <si>
    <t>AFFORDANCES</t>
  </si>
  <si>
    <t>This study explores the subculture of teachers and teaching on TikTok, known in the vernacular as 'TeachTok', through a daily walkthrough method, a digital ethnography immersion, and an audio-visual content analysis to understand how teachers participate in the micro-celebrification process. By curating a framework that assesses teachers' identities on social media, from May to July 2021 we closely monitored the accounts of 12 teachers alongside the general discourse of teaching on the platform to understand how they discussed their 'responsibilities', 'commitment', 'authority', and 'recognition' among their communities. 'TeachTok' was observed to adopt micro-celebrification practices through empathetic, resilient and storytelling dynamics.(c) 2022 Elsevier Ltd. All rights reserved.</t>
  </si>
  <si>
    <t>[Vizcaino-Verdu, Arantxa] Univ Huelva, Dept Pedag, Huelva, Spain; [Abidin, Crystal] Curtin Univ, Internet Studies, Perth, Australia</t>
  </si>
  <si>
    <t>Vizcaino-Verdu, A (corresponding author), Univ Huelva, Dept Pedag, Huelva, Spain.</t>
  </si>
  <si>
    <t>Alfamed Euro-American Research Network; Spanish Ministry of Science, Innovation and Universities [RTI2018-093303-B-I00]; ERDF; Andalusian Regional Government [P18-RT-756]; Australian Research Council DECRA [DE190100789]; TikTok Cultures Research Network - Strategic Research Funding from the Faculty of Humanities at Curtin</t>
  </si>
  <si>
    <t>Alfamed Euro-American Research Network; Spanish Ministry of Science, Innovation and Universities(Spanish Government); ERDF(European Union (EU)); Andalusian Regional Government; Australian Research Council DECRA(Australian Research Council); TikTok Cultures Research Network - Strategic Research Funding from the Faculty of Humanities at Curtin</t>
  </si>
  <si>
    <t>This work was supported by the Alfamed Euro-American Research Network, under Grant R + D + I Project (2019-2021), entitled 'Youtubers and Intagrammers: Media competition in emerging prosumers' (RTI2018-093303-B-I00, Spanish Ministry of Science, Innovation and Universities; ERDF), and the R + D-i Project (2020-2022), entitled Instagrammers and youtubers for the transmedia empowerment of Andalusian citizens. The media competence of instatubers' (P18-RT-756, Andalusian Regional Government; ERDF). The time put toward this research is supported by an Australian Research Council DECRA (DE190100789), and the TikTok Cultures Research Network supported by Strategic Research Funding from the Faculty of Humanities at Curtin. The study has also resulted from an International Internship between the University of Huelva and Curtin University.</t>
  </si>
  <si>
    <t>10.1016/j.tate.2022.103978</t>
  </si>
  <si>
    <t>8I2DA</t>
  </si>
  <si>
    <t>WOS:000921535300001</t>
  </si>
  <si>
    <t>Wang, YH; Gu, TJ; Wang, SY</t>
  </si>
  <si>
    <t>Wang, Yu-Huan; Gu, Tian-Jun; Wang, Shyang-Yuh</t>
  </si>
  <si>
    <t>Causes and Characteristics of Short Video Platform Internet Community Taking the TikTok Short Video Application as an Example</t>
  </si>
  <si>
    <t>2019 IEEE INTERNATIONAL CONFERENCE ON CONSUMER ELECTRONICS - TAIWAN (ICCE-TW)</t>
  </si>
  <si>
    <t>IEEE International Conference on Consumer Electronics-Taiwan</t>
  </si>
  <si>
    <t>IEEE International Conference on Consumer Electronics-Taiwan (IEEE ICCE-TW)</t>
  </si>
  <si>
    <t>MAY 20-22, 2019</t>
  </si>
  <si>
    <t>Ilan, TAIWAN</t>
  </si>
  <si>
    <t>In the past two years, the short musical video platforms in China, represented by TikTok and Kuai Shou, have developed rapidly, and the number of users and social influence have risen sharply. As a result, many internet communities have formed within the platforms. These internet communities are generally characterized by youthfulness, large quantity, low thresholds, and discretely organized. Their formation and aggregation also lie in their satisfaction with the needs of users' cognition, emotion, personal integration, social integration and pressure relief. This paper will combine the theory of uses and gratifications, social identity and media law, and internet and offline research methods to analyze the characteristics and causes of the internet community of short video platforms.</t>
  </si>
  <si>
    <t>[Wang, Yu-Huan; Wang, Shyang-Yuh] Renmin Univ China, Dept Journalism &amp; Int Relat, Beijing, Peoples R China; [Gu, Tian-Jun] Renmin Univ China, Dept Commun, Beijing, Peoples R China; Chinese Culture Univ, Dept Mass Commun, Taipei, Taiwan</t>
  </si>
  <si>
    <t>Renmin University of China; Renmin University of China; Chinese Culture University</t>
  </si>
  <si>
    <t>Wang, SY (corresponding author), Renmin Univ China, Dept Journalism &amp; Int Relat, Beijing, Peoples R China.</t>
  </si>
  <si>
    <t>shyangwang@gmail.com</t>
  </si>
  <si>
    <t>2381-5779</t>
  </si>
  <si>
    <t>978-1-7281-3279-2</t>
  </si>
  <si>
    <t>IEEE INT C ELECTR TA</t>
  </si>
  <si>
    <t>10.1109/icce-tw46550.2019.8992021</t>
  </si>
  <si>
    <t>Engineering, Electrical &amp; Electronic</t>
  </si>
  <si>
    <t>BS3LC</t>
  </si>
  <si>
    <t>WOS:000712323500324</t>
  </si>
  <si>
    <t>Guo, LJ; Xu, JQ; Zhu, R; Peng, LH; Wang, SY</t>
  </si>
  <si>
    <t>Guo, Lijun; Xu, Jiaqi; Zhu, Rui; Peng, Lihui; Wang, Shiyu</t>
  </si>
  <si>
    <t>Self-presentation of grey-haired influencers on TikTok: active ageing in China</t>
  </si>
  <si>
    <t>CONTINUUM-JOURNAL OF MEDIA &amp; CULTURAL STUDIES</t>
  </si>
  <si>
    <t>Grey-haired influencers; active ageing; self-presentation; media image</t>
  </si>
  <si>
    <t>IMPRESSION MANAGEMENT</t>
  </si>
  <si>
    <t>As the ageing of global societies continues to accelerate, China is actively responding to population ageing through its national strategy, and the rise of new media has provided more opportunities for the realization of this strategy. With the support of new media platforms such as TikTok, elderly people have started an active ageing trend on the Internet. This research conducts a qualitative content analysis of the videos of the top 10 'grey-haired influencers' on the TikTok platform based on the theory of self-presentation, with a focus on their self-presentation in the new media era. Technological empowerment has facilitated the main narrative of grey-haired influencers, and they have transformed from being 'presented by others' to 'creating self-images'. The self-presentation strategies of grey-haired influencers encompass both adherence to and deviations from Goffman's theory. These strategies elicit diverse feedback from the audience, which prompts the grey-haired influencers to make further adjustments to their strategies and self-presentation. Ultimately, these influencers strive to create a meaningful space for older individuals, promote the development of a new grey-haired identity, and facilitate the dissemination of narratives about ageing among different age groups, thus fostering the practice of active ageing.</t>
  </si>
  <si>
    <t>[Guo, Lijun; Xu, Jiaqi] Sun Yat Sen Univ, Sch Int Studies, Dept Russian Studies, 135 Xingang Xi Rd, Guangzhou 510275, Peoples R China; [Zhu, Rui; Peng, Lihui] Sun Yat Sen Univ, Sch Sociol &amp; Anthropol, Dept Sociol &amp; Social Work, Guangzhou, Peoples R China; [Wang, Shiyu] Sun Yat Sen Univ, Sch Sociol &amp; Anthropol, Dept Anthropol, Guangzhou, Peoples R China</t>
  </si>
  <si>
    <t>Sun Yat Sen University; Sun Yat Sen University; Sun Yat Sen University</t>
  </si>
  <si>
    <t>Guo, LJ (corresponding author), Sun Yat Sen Univ, Sch Int Studies, Dept Russian Studies, 135 Xingang Xi Rd, Guangzhou 510275, Peoples R China.</t>
  </si>
  <si>
    <t>guolj5@mail.sysu.edu.cn</t>
  </si>
  <si>
    <t>Peng, Lihui/0009-0000-5774-7066; Xu, JiaQi/0000-0003-2072-7074</t>
  </si>
  <si>
    <t>Ministry of Education of the People's Republic of China [21YJC740016]</t>
  </si>
  <si>
    <t>Ministry of Education of the People's Republic of China(Ministry of Education, China)</t>
  </si>
  <si>
    <t>This work was supported by Ministry of Education of the People's Republic of China (Grant numbers 21YJC740016).</t>
  </si>
  <si>
    <t>1030-4312</t>
  </si>
  <si>
    <t>1469-3666</t>
  </si>
  <si>
    <t>CONTINUUM-J MEDIA CU</t>
  </si>
  <si>
    <t>Continuum-J. Media Cult. Stud.</t>
  </si>
  <si>
    <t>MAR 3</t>
  </si>
  <si>
    <t>10.1080/10304312.2024.2348691</t>
  </si>
  <si>
    <t>UR4C0</t>
  </si>
  <si>
    <t>WOS:001215374700001</t>
  </si>
  <si>
    <t>Wang, CQ; Li, ZY</t>
  </si>
  <si>
    <t>Wang, Chuqi; Li, Zhiyu</t>
  </si>
  <si>
    <t>Unraveling the relationship between audience engagement and audiovisual characteristics of automotive green advertising on Chinese TikTok (Douyin)</t>
  </si>
  <si>
    <t>FEAR APPEALS; HEALTH; HUMOR; BEHAVIOR</t>
  </si>
  <si>
    <t>As video platforms such as Douyin, also known as TikTok's Chinese version, continue to grow, there is an increasing interest in the study of green advertising videos to understand their audiovisual features and their impact on audience engagement. In this research, we specifically focus on green advertising within the automotive industry. Drawing on literature from sustainability, green advertising, and communication studies, we identified seven audiovisual aspects and three persuasive strategies pertinent to green automotive advertising videos. Utilizing a mixed-methods video analysis framework, we analyzed a dataset of 2,553 green automotive advertising videos on Douyin over three years from 15 June 2020 to 15 June 2023. These videos exhibited higher loudness, a faster pace, and longer durations compared to their non-green counterparts. We categorized three distinct types of green advertising videos on Douyin and established that specific audiovisual features and persuasive strategies are significantly correlated with audience engagement levels. This study not only delineates the audiovisual characteristics of green automotive advertising in China's digital space but also contributes to the broader discourse on sustainable marketing practices on social networks like TikTok. The findings extend image-centric research to video content and provide marketers with data-driven insights for crafting effective content creation strategies on Douyin.</t>
  </si>
  <si>
    <t>[Wang, Chuqi; Li, Zhiyu] Macau Univ Sci &amp; Technol, Fac Humanities &amp; Arts, Macau, Peoples R China</t>
  </si>
  <si>
    <t>Macau University of Science &amp; Technology</t>
  </si>
  <si>
    <t>Wang, CQ (corresponding author), Macau Univ Sci &amp; Technol, Fac Humanities &amp; Arts, Macau, Peoples R China.</t>
  </si>
  <si>
    <t>2220017888@stuedent.must.edu.mo</t>
  </si>
  <si>
    <t>; Wang, Chuqi/KQV-4795-2024</t>
  </si>
  <si>
    <t>LI, ZHIYU/0009-0007-7637-3152; Wang, Chuqi/0000-0002-3600-0737</t>
  </si>
  <si>
    <t>e0299496</t>
  </si>
  <si>
    <t>10.1371/journal.pone.0299496</t>
  </si>
  <si>
    <t>NC5V4</t>
  </si>
  <si>
    <t>WOS:001198272000049</t>
  </si>
  <si>
    <t>Kriegel, ER; Lazarevic, B; Athanasian, CE; Milanaik, RL</t>
  </si>
  <si>
    <t>Kriegel, Elana R.; Lazarevic, Bojan; Athanasian, Christian E.; Milanaik, Ruth L.</t>
  </si>
  <si>
    <t>TikTok, Tide Pods and Tiger King: health implications of trends taking over pediatric populations</t>
  </si>
  <si>
    <t>CURRENT OPINION IN PEDIATRICS</t>
  </si>
  <si>
    <t>internet challenges; streaming services; TikTok; trends</t>
  </si>
  <si>
    <t>ADOLESCENTS</t>
  </si>
  <si>
    <t>Purpose of review With children and adolescents constantly connected to their devices in an ever-changing technological landscape, new and emerging trends in entertainment media have created potential health implications for pediatric patients. The purpose of this review is to provide pediatricians with explanations of specific trends on streaming services, the popular new mobile application TikTok, recent widespread 'Internet Challenges' that include pediatric participants, and new technologies. These emerging trends can pose potential harms to the health and wellbeing of children and adolescents. Recent findings Recent reports and news articles have discussed popular technological trends and the adverse effects that can occur. Although technology provides access to information and social connection for youth, it also creates platforms where children can be exposed to disturbing content, peer pressure, cyberbullying, and encouragement to participate in activities that could cause potential physical harm or even death. Pediatricians need to be aware of trends to best understand the implications of these technologies, especially in clinical practice. Pediatricians play an important role in educating parents and patients about the risks of these trends, in facilitating conversations about related topics including self-esteem, cyberbullying and peer pressure to promote healthy internet use, and providing necessary resources.</t>
  </si>
  <si>
    <t>[Kriegel, Elana R.; Lazarevic, Bojan; Athanasian, Christian E.; Milanaik, Ruth L.] Steven &amp; Alexandra Cohen Childrens Med Ctr New Yo, Div Dev &amp; Behav Pediat, 1983 Marcus Ave,Suite 130, Lake Success, NY 11042 USA</t>
  </si>
  <si>
    <t>Northwell Health; North Shore University Hospital; Steven &amp; Alexandra Cohen Children's Medical Center of New York</t>
  </si>
  <si>
    <t>Milanaik, RL (corresponding author), Steven &amp; Alexandra Cohen Childrens Med Ctr New Yo, Div Dev &amp; Behav Pediat, 1983 Marcus Ave,Suite 130, Lake Success, NY 11042 USA.</t>
  </si>
  <si>
    <t>rmilanai@northwell.edu</t>
  </si>
  <si>
    <t>Athanasian, Christian/0000-0002-3432-1537; Kriegel, Elana/0009-0001-4085-2086</t>
  </si>
  <si>
    <t>1040-8703</t>
  </si>
  <si>
    <t>1531-698X</t>
  </si>
  <si>
    <t>CURR OPIN PEDIATR</t>
  </si>
  <si>
    <t>CURR. OPIN. PEDIATR.</t>
  </si>
  <si>
    <t>10.1097/MOP.0000000000000989</t>
  </si>
  <si>
    <t>PZ6MD</t>
  </si>
  <si>
    <t>WOS:000612853000022</t>
  </si>
  <si>
    <t>Pereira, VC; Perotto, J; Carbonieri, D</t>
  </si>
  <si>
    <t>Pereira, Vinicius Carvalho; Perotto, Jhonatan; Carbonieri, Divanize</t>
  </si>
  <si>
    <t>Literary gossip on the social media platform TikTok: a case study about the literature digital influencer @patzzic</t>
  </si>
  <si>
    <t>SOLETRAS</t>
  </si>
  <si>
    <t>Literary gossip; Literature in digital media; Digital literary influencers; Booktokers; TikTok</t>
  </si>
  <si>
    <t>Faced with new profiles of young readers, used to interacting with digital devices and to the intermedial nature of social media, there is a need to investigate new forms of literary mediation. The consumption habits of this public and their relations with texts sometimes call into question concepts of literature and reading, which also respond to innovations in the literary scene on the Internet, increasingly marked by the presence of digital influencers. In this context, we herein analyze the profile @patzzic, which has hundreds of thousands of followers on TikTok and produces and disseminates analyses, spoilers, reading tips and reviews about works and authors, both classic and contemporary. This analysis discusses @patzzic's approach to the commented works, more specifically through what the digital influencer popularized in Brazil as literary gossips, which foster new followers and potential readers, especially young people. The analysis of the corpus, formed by two literary gossips of the profile at stake, is grounded on the theoretical constructs of literature as an expanded field, literature in digital media, digital literary influencers, adaptations and intermediality are adopted, according to Garramuno (2014), Rocha (2014), Schollhammer and Defilippo (2019), Hutcheon (2011) and Rajewsky (2012), respectively.</t>
  </si>
  <si>
    <t>[Pereira, Vinicius Carvalho; Carbonieri, Divanize] Univ Fed Mato Grosso, Dept Letras, Cuiaba, Brazil; [Pereira, Vinicius Carvalho] Univ Fed Mato Grosso, Programa Posgrad Estudos Linguagem, Cuiaba, Brazil; [Pereira, Vinicius Carvalho] Univ Nottingham, Modern Languages &amp; Cultures, Nottingham, England; [Perotto, Jhonatan] Univ Cuiaba, Inst Fed Educ Ciencia &amp; Tecnol Mato Grosso, Cuiaba, Brazil; [Perotto, Jhonatan] Univ Fed Mato Grosso, Letras, Cuiaba, Brazil</t>
  </si>
  <si>
    <t>Universidade Federal de Mato Grosso; Universidade Federal de Mato Grosso; University of Nottingham; Universidade de Cuiaba; Instituto Federal de Mato Grosso (IFMT); Universidade Federal de Mato Grosso</t>
  </si>
  <si>
    <t>Pereira, VC (corresponding author), Univ Fed Mato Grosso, Dept Letras, Cuiaba, Brazil.;Pereira, VC (corresponding author), Univ Fed Mato Grosso, Programa Posgrad Estudos Linguagem, Cuiaba, Brazil.;Pereira, VC (corresponding author), Univ Nottingham, Modern Languages &amp; Cultures, Nottingham, England.</t>
  </si>
  <si>
    <t>viniciuscarpe@gmail.com; jhonatanperotto@gmail.com; divacarbo@hotmail.com</t>
  </si>
  <si>
    <t>Pereira, Vinicius/O-3842-2015</t>
  </si>
  <si>
    <t>UNIV ESTADO RIO JANEIRO</t>
  </si>
  <si>
    <t>RIO DE JANEIRO RJ</t>
  </si>
  <si>
    <t>RUA SAO FRANCISCO XAVIER, 524-BLOCO F, RIO DE JANEIRO RJ, 20559-900, BRAZIL</t>
  </si>
  <si>
    <t>1519-7778</t>
  </si>
  <si>
    <t>2316-8838</t>
  </si>
  <si>
    <t>10.12957/soletras.2023.79588</t>
  </si>
  <si>
    <t>W3LA6</t>
  </si>
  <si>
    <t>WOS:001090664900001</t>
  </si>
  <si>
    <t>Zhang, YY; Li, Y; Zhang, EJ; Long, Y</t>
  </si>
  <si>
    <t>Zhang, Yuyang; Li, Yan; Zhang, Enjia; Long, Ying</t>
  </si>
  <si>
    <t>Revealing virtual visiting preference: Differentiating virtual and physical space with massive TikTok records in Beijing</t>
  </si>
  <si>
    <t>CITIES</t>
  </si>
  <si>
    <t>Virtual space; Virtual visiting activities; Physical visiting activities; TikTok; Built environment</t>
  </si>
  <si>
    <t>BUILT ENVIRONMENT; BEHAVIOR; URBAN</t>
  </si>
  <si>
    <t>With the growing penetration of information and communication technologies, social media platforms have become one of the most frequently used virtual spaces in daily life, producing spatiality with new logic and structure. However, few studies have examined the difference of visiting preferences in virtual space due to the lack of proper benchmarks constructed from physical space. The quantity of geo-tagged views, likes, comments, shares embedded in TikTok filming locations was used to measuring virtual and physical visiting activities (VVAs, PVAs), providing a perfect opportunity to clarify the virtual visiting differences. Built environment components are regarded as the objects of reference and their relationships with VVAs and PVAs were examined separately, and virtual visiting preferences were revealed as the following three main points: 1. VVAs are less associated with the built environment, due to people's indirect perception of physical elements. 2. Components that people are more familiar with in physical space and could shape impressive public city images, such as landmarks and urban nodes, are dramatically enhanced in virtual space. 3. Components that could be easily perceived in physical space but hard to present through visual medium, such as functional diversity, are far less critical in virtual space.</t>
  </si>
  <si>
    <t>[Zhang, Yuyang; Li, Yan; Zhang, Enjia; Long, Ying] Tsinghua Univ, Sch Architecture, Beijing 100084, Peoples R China; [Long, Ying] Tsinghua Univ, Hang Lung Ctr Real Estate, Key Lab Ecoplanning &amp; Green Bldg, Minist Educ, Beijing 100084, Peoples R China</t>
  </si>
  <si>
    <t>Tsinghua University; Tsinghua University</t>
  </si>
  <si>
    <t>Long, Y (corresponding author), Tsinghua Univ, Sch Architecture, Beijing 100084, Peoples R China.</t>
  </si>
  <si>
    <t>ylong@tsinghua.edu.cn</t>
  </si>
  <si>
    <t>LONG, YING/AAG-4329-2021</t>
  </si>
  <si>
    <t>Zhang, Enjia/0000-0002-9768-495X; Zhang, Yuyang/0000-0001-9207-4039</t>
  </si>
  <si>
    <t>0264-2751</t>
  </si>
  <si>
    <t>1873-6084</t>
  </si>
  <si>
    <t>Cities</t>
  </si>
  <si>
    <t>10.1016/j.cities.2022.103983</t>
  </si>
  <si>
    <t>Urban Studies</t>
  </si>
  <si>
    <t>4W2EY</t>
  </si>
  <si>
    <t>WOS:000859980000002</t>
  </si>
  <si>
    <t>Lorenzo, SB</t>
  </si>
  <si>
    <t>Lorenzo, Samantha B.</t>
  </si>
  <si>
    <t>#Storytime: An analysis of COVID-19 origin narratives and conspiracies on TikTok</t>
  </si>
  <si>
    <t>ATLANTIC JOURNAL OF COMMUNICATION</t>
  </si>
  <si>
    <t>BELIEF</t>
  </si>
  <si>
    <t>This study delves into the construction, communication, and reception of crisis narratives on TikTok, specifically focusing on videos discussing the purported origins of COVID-19 via the hashtag #covidorigin. Employing a content analysis approach, this research examines patterns in content types and their relationship with public engagement metrics such as views, likes, comments, and shares. This study observed that popular TikTok videos discussing the origin of COVID-19 majorly incorporated at least one of the following: a first-hand narrative (a story in the first-person), a secondhand narrative (an account someone heard from other people), and/or an informational report (e.g., legislative documents, news reports, and book summaries). Additionally, while U.S. intelligence agencies have yet to reach a consensus on COVID-19's origin, this research detected a surge in #covidorigin videos following a 2023 interview in which FBI Director Wray stated that COVID-19 likely originated from a laboratory incident in China. Overall, this study suggests the influential role public leaders and media sources have in disseminating COVID-19 information and the importance of coherent crisis narratives in shaping public understanding. It also considers the effects of content types and communication formats in terms of how the public engages with speculative claims online.</t>
  </si>
  <si>
    <t>[Lorenzo, Samantha B.] Univ Oregon, Ctr Sci Commun Res, Allen Hall,1020 Univ St, Eugene, OR 97403 USA</t>
  </si>
  <si>
    <t>Lorenzo, SB (corresponding author), Univ Oregon, Ctr Sci Commun Res, Allen Hall,1020 Univ St, Eugene, OR 97403 USA.</t>
  </si>
  <si>
    <t>slorenzo@uoregon.edu</t>
  </si>
  <si>
    <t>Lorenzo, Santiago/LQK-7172-2024</t>
  </si>
  <si>
    <t>Lorenzo, Samantha/0000-0002-8602-434X</t>
  </si>
  <si>
    <t>1545-6870</t>
  </si>
  <si>
    <t>1545-6889</t>
  </si>
  <si>
    <t>ATL J COMMUN</t>
  </si>
  <si>
    <t>Atl. J. Commun.</t>
  </si>
  <si>
    <t>2024 OCT 27</t>
  </si>
  <si>
    <t>10.1080/15456870.2024.2420754</t>
  </si>
  <si>
    <t>K0Y1S</t>
  </si>
  <si>
    <t>WOS:001341219400001</t>
  </si>
  <si>
    <t>Irfan, B; Yaqoob, A</t>
  </si>
  <si>
    <t>Irfan, Bilal; Yaqoob, Aneela</t>
  </si>
  <si>
    <t>Innovating Online Otolaryngology: The Development of the ENT Content Engagement and Quality Index for Audiovisual Material</t>
  </si>
  <si>
    <t>sinus; audiovisual content; social media; content quality assessment; sinus health</t>
  </si>
  <si>
    <t>Introduction The advent of social media platforms, notably TikTok, has significantly transformed the landscape of health information dissemination, offering both opportunities and challenges for public health communication. This study focuses on TikTok's influence on sinus health information, addressing the dual challenge of widespread engagement and the risk of misinformation in otolaryngology, or ENT (ear-nose-throat), information online. We introduce the ENT Content Engagement and Quality Index (ENT-CEQI), a pioneering tool designed to assess the quality and engagement of ENT-related content on TikTok, aiming to improve public understanding of sinus health. Materials and methods Our methodology involved a systematic analysis of sinus health-related content on TikTok. We collected data on the top 100 most popular videos using the hashtag #sinus at two different points in time, analyzing engagement metrics and content quality. The ENT-CEQI was developed to evaluate content, incorporating both quantitative engagement metrics (views, likes, comments, shares, favorites) and qualitative assessments (accuracy, clarity, relevance, practicality, engagement). The study employed statistical analyses, including trend analysis, correlation analysis, principal component analysis (PCA), KMeans clustering, regression analysis, and the Kruskal-Wallis test, to understand the dynamics of content engagement and quality. Results Initial findings revealed significant disparities in engagement metrics and quality scores among different content creator categories, with physician-generated content showing the highest engagement and quality. The trend analysis indicated shifts in content popularity and quality over time, with a notable increase in views and likes for private company content. The PCA and clustering analyses identified distinct content clusters, offering insights into viewer engagement patterns. Regression analysis and the Kruskal-Wallis test, however, did not find significant predictors (p-value: 0.3916) of content quality or differences in likes across content types, suggesting complex factors influencing content engagement and quality perception. Discussion The study highlights TikTok's potential and pitfalls in disseminating sinus health information. The introduction of the ENT-CEQI represents a major step toward enhancing the evaluation of health content on social media, emphasizing the importance of accuracy, clarity, and relevance in public health communication. The analysis underscores the complexity of social media engagement and the need for robust tools to assess content quality. It also points to the critical role of healthcare professionals in engaging with the public through social media to combat misinformation. Conclusions TikTok serves as a potent platform for sinus health education, capable of reaching wide and diverse audiences. The ENT-CEQI emerges as a vital tool for assessing the quality and engagement of ENT-related content, guiding content creators toward producing more reliable and informative content. This study contributes to the understanding of social medias role in health communication, advocating for the strategic use of innovative tools such as the ENT-CEQI to enhance public health outcomes through improved online health education and misinformation management.</t>
  </si>
  <si>
    <t>[Irfan, Bilal] Univ Michigan, Microbiol &amp; Immunol, Ann Arbor, MI 48109 USA; [Yaqoob, Aneela] Beaumont Hosp, Infect Dis, Taylor, MI USA</t>
  </si>
  <si>
    <t>University of Michigan System; University of Michigan; Beaumont Health</t>
  </si>
  <si>
    <t>e55195</t>
  </si>
  <si>
    <t>10.7759/cureus.55195</t>
  </si>
  <si>
    <t>NJ0E9</t>
  </si>
  <si>
    <t>WOS:001199959900001</t>
  </si>
  <si>
    <t>Lu, X; Lu, ZC; Liu, CQ</t>
  </si>
  <si>
    <t>Lu, Xing; Lu, Zhicong; Liu, Changqing</t>
  </si>
  <si>
    <t>Exploring TikTok Use and Non-use Practices and Experiences in China</t>
  </si>
  <si>
    <t>Short video sharing; Uses and gratifications; User engagement; Social computing; Non-use; TikTok</t>
  </si>
  <si>
    <t>Short-form video sharing mobile applications like TikTok (Douyin) have been gaining traction globally in recent years. These video sharing platforms have transformed how users consume online content in a drastic way. The recommendation algorithms of these applications form a ludic loop for users - the more users watch videos, the better the algorithms work, and the more users are exposed to content of their interest. Although prior research has explored how and why users watch short-form videos, relatively little research has studied those who choose not to use Douyin. To address this, we conducted a survey study with Internet users in China (N= 192), focusing specifically on Douyin and those who have abandoned or never adopted Douyin. Our results show that various perceptions of these users shape diverse practices of engagement with and disengagement from Douyin. Those who choose not to use Douyin are mostly motivated by the fear of addiction, or the stigmatized perceptions of videos on Douyin that deemed low-quality. Those who are using Douyin and those who choose to quit Douyin have different perceptions of the efficacy of Douyin's recommendation algorithms. We situate our findings with prior research on technology non-use, and provide design implications for future video-based social media.</t>
  </si>
  <si>
    <t>[Lu, Xing] Ningxia Univ, Yinchuan, Ningxia, Peoples R China; [Lu, Zhicong] Univ Toronto, Toronto, ON, Canada; [Liu, Changqing] Guangdong Univ Foreign Studies, Guangzhou, Peoples R China</t>
  </si>
  <si>
    <t>Ningxia University; University of Toronto; Guangdong University of Foreign Studies</t>
  </si>
  <si>
    <t>Lu, ZC (corresponding author), Univ Toronto, Toronto, ON, Canada.</t>
  </si>
  <si>
    <t>lxncs@nxu.edu.cn; luzhc@dgp.toronto.edu; liucq@gdufs.edu.cn</t>
  </si>
  <si>
    <t>Lu, Zhicong/JRX-3247-2023</t>
  </si>
  <si>
    <t>Lu, Zhicong/0000-0002-7761-6351</t>
  </si>
  <si>
    <t>10.1007/978-3-030-49576-3_5</t>
  </si>
  <si>
    <t>WOS:001297926500005</t>
  </si>
  <si>
    <t>Dezuanni, M; Reddan, B; Rutherford, L; Schoonens, A</t>
  </si>
  <si>
    <t>Dezuanni, Michael; Reddan, Bronwyn; Rutherford, Leonie; Schoonens, Amy</t>
  </si>
  <si>
    <t>Selfies and shelfies on #bookstagram and #booktok - social media and the mediation of Australian teen reading</t>
  </si>
  <si>
    <t>LEARNING MEDIA AND TECHNOLOGY</t>
  </si>
  <si>
    <t>Teen reading; selfies; shelfies; Instagram; TikTok</t>
  </si>
  <si>
    <t>This article explores how selfies and shelfies on the digital platforms Instagram and TikTok contribute to the dynamics of intermediation for Australian teen readers by presenting two contrasting case studies. The first features Australian Bookstagrammer @BookBookOwl whose social media accounts feature aspirational content in which identity construction is attached to her expertise as a bookstagrammer and book lover. The second is the TikTok account of @hana.might.read who frequently posts using the #booktok hashtag and whose posts are personal and reader-identity focused. The article aims to explore selfie and shelfie practices as examples of social media posts that potentially mediate book and reading culture for Australian teenagers. The article investigates how the examples exist as social media entertainment [Cunningham and Craig 2019. Social Media Entertainment: The New Intersection of Hollywood and Silicon Valley. New York: New York University Press] which incorporate and rely on traits of micro-celebrity [Abidin 2018. Internet Celebrity: Understanding Fame Online. Bingley: Emerald Publishing], performativity [Butler 1990. Gender Trouble. New York: Routledge] and relational labour [Baym 2018. Playing to the Crowd: Musicians, Audiences, and the Intimate Work of Connection. New York: New York University Press] as a key ingredient of their success.</t>
  </si>
  <si>
    <t>[Dezuanni, Michael; Schoonens, Amy] Queensland Univ Technol, Digital Media Res Ctr, Musk Ave, Kelvin Grove 4059, Australia; [Reddan, Bronwyn; Rutherford, Leonie] Deakin Univ, Fac Arts &amp; Educ, Burwood, Australia</t>
  </si>
  <si>
    <t>Dezuanni, M (corresponding author), Queensland Univ Technol, Digital Media Res Ctr, Musk Ave, Kelvin Grove 4059, Australia.</t>
  </si>
  <si>
    <t>m.dezuanni@qut.edu.au</t>
  </si>
  <si>
    <t>Rutherford, Leonie/C-7318-2017</t>
  </si>
  <si>
    <t>Reddan, Bronwyn/0000-0002-9469-2890; Schoonens, Amy/0000-0002-6683-3641; Dezuanni, Michael/0000-0002-2278-8455</t>
  </si>
  <si>
    <t>Australian Research Council [LP180100258]; Australian Research Council [LP180100258] Funding Source: Australian Research Council</t>
  </si>
  <si>
    <t>Australian Research Council(Australian Research Council); Australian Research Council(Australian Research Council)</t>
  </si>
  <si>
    <t>This work was supported by the Australian Research Council under the Linkage Projects scheme [number LP180100258].</t>
  </si>
  <si>
    <t>1743-9884</t>
  </si>
  <si>
    <t>1743-9892</t>
  </si>
  <si>
    <t>LEARN MEDIA TECHNOL</t>
  </si>
  <si>
    <t>Learn. Media Technol.</t>
  </si>
  <si>
    <t>10.1080/17439884.2022.2068575</t>
  </si>
  <si>
    <t>4E6OA</t>
  </si>
  <si>
    <t>WOS:000790313200001</t>
  </si>
  <si>
    <t>Peña-Fernández, S; Larrondo-Ureta, A; Morales-i-Gras, J</t>
  </si>
  <si>
    <t>Pena-Fernandez, Simon; Larrondo-Ureta, Ainara; Morales-i-Gras, Jordi</t>
  </si>
  <si>
    <t>Feminism, gender identity and polarization in TikTok and Twitter</t>
  </si>
  <si>
    <t>Young people; gender studies; identity; feminism; social media; digital activism</t>
  </si>
  <si>
    <t>SOCIAL MEDIA; ACTIVISM; WOMAN</t>
  </si>
  <si>
    <t>The potential of social media to create open, collaborative and participatory spaces allows young women to engage and empower themselves in political and social activism. In this context, the objective of this research is to analyze the polarization in the debate at the intersection between the defense of feminism and transsexuality, preferably among the young public, symbolized in the use of the term  TERF. To do this, the existing communities on Twitter and TikTok on this subject have been analyzed with Social Network Analysis techniques, and the presence of young people in them. The results indicate that the debates between both networks are not very cohesive, with a highly modularized structure that suggests isolation of each community in itself. For this reason, it can be considered that the debate on sexual identity has resulted in a strong polarization of feminist activism in social media. Likewise, the positions of transinclusive feminism are very majority among young people, which reinforces the idea of an ideological debate that can also be understood in a generational perspective. Finally, a differential use between both social networks has been identified, where TikTok is a less partisan and more dialogical network than Twitter, which leads to discussions and participation in a more neutral tone.</t>
  </si>
  <si>
    <t>[Pena-Fernandez, Simon; Larrondo-Ureta, Ainara; Morales-i-Gras, Jordi] Univ Pais Vasco UPV EHU, Dept Periodismo, Leioa, Spain</t>
  </si>
  <si>
    <t>Peña-Fernández, S (corresponding author), Univ Pais Vasco UPV EHU, Dept Periodismo, Leioa, Spain.</t>
  </si>
  <si>
    <t>simon.pena@ehu.eus; ainara.larrondo@ehu.eus; jordi.morales@ehu.eus</t>
  </si>
  <si>
    <t>Morales-i-Gras, Jordi/JXL-9807-2024; Pena-Fernandez, Simon/C-4850-2013; Larrondo Ureta, Ainara/ADN-4801-2022</t>
  </si>
  <si>
    <t>Pena-Fernandez, Simon/0000-0003-2080-3241; Morales-i-Gras, Jordi/0000-0003-4173-3609; Larrondo Ureta, Ainara/0000-0003-3303-4330</t>
  </si>
  <si>
    <t>10.3916/C75-2023-04</t>
  </si>
  <si>
    <t>D9QA2</t>
  </si>
  <si>
    <t>WOS:000971989200004</t>
  </si>
  <si>
    <t>Moolenijzer, NB; Dew, KN</t>
  </si>
  <si>
    <t>Moolenijzer, Nicolaas B.; Dew, Kristin N.</t>
  </si>
  <si>
    <t>They know that it works because we are looking for ourselves - LGBTQ plus TikTok Users' Perceptions and Experiences of Queerbaiting</t>
  </si>
  <si>
    <t>PUBLICATION OF THE 25TH ACM INTERNATIONAL CONFERENCE ON MOBILE HUMAN-COMPUTER INTERACTION, MOBILEHCI 2023 ADJUNCT</t>
  </si>
  <si>
    <t>25th ACM International Conference on Mobile Human-Computer Interaction (MobileHCI)</t>
  </si>
  <si>
    <t>SEP 26-29, 2023</t>
  </si>
  <si>
    <t>Athens, GREECE</t>
  </si>
  <si>
    <t>Assoc Comp Machinery,ACM SIGCHI,Greek SIGCHI,Univ Aegean,Univ Patras,Ist Sci Tecnologie Informazione A Faedo Cosiglio Nazl Ric,Google Res,Knowledge,Ergologic,Clio Muse,Unisystems,Efood,Moptil,Dynacomp,P Net,Plaisio,Athens Convent &amp; Visiting Bur,Veneti</t>
  </si>
  <si>
    <t>Queer HCI; queerbaiting; gender and sexuality</t>
  </si>
  <si>
    <t>LGBTQ+ people often find refuge and community in online spaces. However, with the increasingly monetized experience of social media creation, these spaces are sometimes infiltrated by non-LGBTQ+ people in order to profit off of a new audience. We found that on the social media platform TikTok, there is a large diversity of experiences LGBTQ+ people have with this phenomenon, which is sometimes referred to as queerbaiting. Despite the differences in experience, reactions are often very similar. Typically there is a feeling of deception or disappointment followed by acts of disengagement, such as swiping away from the content or blocking the creator. We attempt to capture these tactics as recommendations for technology design.</t>
  </si>
  <si>
    <t>[Moolenijzer, Nicolaas B.; Dew, Kristin N.] Univ Washington, Seattle, WA 98195 USA</t>
  </si>
  <si>
    <t>Moolenijzer, NB (corresponding author), Univ Washington, Seattle, WA 98195 USA.</t>
  </si>
  <si>
    <t>nicolaas@uw.edu; kndew@uw.edu</t>
  </si>
  <si>
    <t>University of Washington Human Centered Design &amp; Engineering department; Diversity, Equity and Inclusion Committee</t>
  </si>
  <si>
    <t>We appreciate the financial support from the University of Washington Human Centered Design &amp; Engineering department, particularly the Diversity, Equity and Inclusion Committee.</t>
  </si>
  <si>
    <t>978-1-4503-9924-1</t>
  </si>
  <si>
    <t>10.1145/3565066.3608705</t>
  </si>
  <si>
    <t>Computer Science, Artificial Intelligence; Computer Science, Cybernetics</t>
  </si>
  <si>
    <t>BW3UG</t>
  </si>
  <si>
    <t>WOS:001143735000020</t>
  </si>
  <si>
    <t>Drivas, M; Reed, OS; Berndt-Goke, M</t>
  </si>
  <si>
    <t>Drivas, Magdalayna; Reed, Olivia Simone; Berndt-Goke, Maranda</t>
  </si>
  <si>
    <t>#WhatIEatInADay: The effects of viewing food diary TikTok videos on young adults' body image and intent to diet</t>
  </si>
  <si>
    <t>Body image; TikTok; Social comparison; Social media; Intent to diet</t>
  </si>
  <si>
    <t>SOCIAL MEDIA; WOMENS MOOD; INSTAGRAM IMAGES; EATING-DISORDER; MODELS; IMPACT; SELF; DISSATISFACTION; FITSPIRATION; VALIDATION</t>
  </si>
  <si>
    <t>The rise of short-form video content has prompted research into its impact on body image; however, little remains known regarding the effects of exposure to food-related content of this type. The present study aimed to fill this gap in the literature by conducting a between-subjects experiment (N = 316) examining the effects of exposure to low-calorie versus high-calorie What I Eat in A Day food diary TikTok videos on young adults' body appreciation, body dissatisfaction, and diet intentions. Additionally, this study sought to explore how social comparison and mood might affect participants' responses to these videos. Results indicate that social comparison mediated the relationship between video type (low- vs high- calorie) and positive mood, such that lowcalorie videos increased upward social comparison and decreased positive mood, and high-calorie videos increased downward social comparison and increased positive mood. Positive direct effects of positive mood on body appreciation and diet intentions occurred, and a negative direct effect on body dissatisfaction was found. Additionally, positive mood mediated the path from social comparison to diet intentions. These findings highlight the importance of further research into the nuanced impacts of food diary social media content on young adults' body image and behaviors.</t>
  </si>
  <si>
    <t>[Drivas, Magdalayna] Univ Southern Calif, Annenberg Sch Commun &amp; Journalism, Los Angeles, CA 90089 USA; [Reed, Olivia Simone] Minot State Univ, Dept Fine &amp; Performing Arts, Minot, ND USA; [Berndt-Goke, Maranda] Murray State Univ, Dept Journalism &amp; Mass Commun, Murray, KY USA</t>
  </si>
  <si>
    <t>University of Southern California; Murray State University</t>
  </si>
  <si>
    <t>Drivas, M (corresponding author), Univ Southern Calif, Annenberg Sch Commun &amp; Journalism, Los Angeles, CA 90089 USA.</t>
  </si>
  <si>
    <t>mdrivas@usc.edu</t>
  </si>
  <si>
    <t>Drivas, Magdalayna/AAD-3740-2022</t>
  </si>
  <si>
    <t>Goke, Maranda/0000-0002-0957-660X; Reed, Olivia/0000-0003-0806-9208; Drivas, Magdalayna/0000-0003-1409-7598</t>
  </si>
  <si>
    <t>10.1016/j.bodyim.2024.101712</t>
  </si>
  <si>
    <t>RY3X2</t>
  </si>
  <si>
    <t>WOS:001231190000001</t>
  </si>
  <si>
    <t>Tian, Y; Liu, SS; Zhang, DS</t>
  </si>
  <si>
    <t>Tian, Yu; Liu, Shuaishuai; Zhang, Desheng</t>
  </si>
  <si>
    <t>Clearness qualitative comparative analysis of the spread of TikTok health science knowledge popularization accounts</t>
  </si>
  <si>
    <t>Health knowledge; short video; TikTok; post-pandemic era; qualitative comparison analysis</t>
  </si>
  <si>
    <t>SOCIAL MEDIA; INFORMATION; ATTITUDES; NEWS</t>
  </si>
  <si>
    <t>ObjectiveThis study analyzed the popularity of TikTok health knowledge popularization accounts with the objective of creating a template for accounts suited to widely disseminating information, thereby enhancing the public's access to health knowledge on a broader scale.MethodsThis study is based on 40 Chinese TikTok short video accounts that were active from February to April 2022 and were engaged in health science popularization. Data were validated by structured calibration using three qualitative anchors. It employs the content-context and the elaboration likelihood models as the theoretical framework. A qualitative comparative analysis is used to explore the factors affecting the popularity of this type of account mechanism.ResultsAmong the nine variables involved in the calculation, one reached 0.909091, demonstrating that the number of followers was both a necessary factor and a condition for the popularity of short health science video accounts. There were 16 paths in the complex solution with a consistency of 1, and their overall coverage reached 0.878788, indicating that approximately 87% of the cases could be explained. From the spread of the content and communication situation, professional medical knowledge, current hot topics, professionals, and serious issues were the most likely combinations for rapid spread. From the perspective of the central and edge paths, likes exceeding 100,000 and fans exceeding 1 million were essential combinations.ConclusionsThe dissemination of medical knowledge has gained significant traction, especially with regard to trending and popular topics. When it comes to the tone of communication, a serious style proved effective in fostering what can be termed hot communication. From the standpoint of central and peripheral paths, it is crucial that the number of likes in the past month and the total number of fans surpass 100,000 and one million, respectively.</t>
  </si>
  <si>
    <t>[Tian, Yu; Zhang, Desheng] Wuhan Sports Univ, Dept Journalism &amp; Commun, Wuhan, Peoples R China; [Liu, Shuaishuai] Wuhan Sports Univ, Dept Phys Educ, Wuhan, Peoples R China; [Zhang, Desheng] Wuhan Sports Univ, Dept Journalism &amp; Commun, 461 LuoYu Rd, Wuhan 430079, Peoples R China</t>
  </si>
  <si>
    <t>Wuhan Sports University; Wuhan Sports University; Wuhan Sports University</t>
  </si>
  <si>
    <t>Zhang, DS (corresponding author), Wuhan Sports Univ, Dept Journalism &amp; Commun, 461 LuoYu Rd, Wuhan 430079, Peoples R China.</t>
  </si>
  <si>
    <t>2021420002@whsu.edu.cn</t>
  </si>
  <si>
    <t>This article was funded by the National Social Science Fund of China, Project Title: Research on the Construction of Sports All-Media Communication Pattern in the New Era</t>
  </si>
  <si>
    <t>N/A.</t>
  </si>
  <si>
    <t>10.1177/20552076231219116</t>
  </si>
  <si>
    <t>CI8H3</t>
  </si>
  <si>
    <t>WOS:001124709600001</t>
  </si>
  <si>
    <t>Todd, A</t>
  </si>
  <si>
    <t>Todd, Anastasia</t>
  </si>
  <si>
    <t>Cripping Girlhood on Service Dog Tok</t>
  </si>
  <si>
    <t>SOCIETIES</t>
  </si>
  <si>
    <t>disabled girlhood; disability media studies; service dogs; TikTok</t>
  </si>
  <si>
    <t>This article explores how disabled girl handlers crip girlhood on service dog tok, the emergent subculture on TikTok comprised of disabled handlers who upload and post videos about their everyday life in partnership with a service dog. Looking at the TikTok accounts and self-representational practices of three disabled girl handlers-Ava of @avaandcheddar, Claire of @rosie.the.sd, and Lexy of @muslimservicedogmom28-this article traces how their videos evince an audio-visual representation of interspecies intimacy, a becoming with, that complicates the familiar story of the disabled girl handler/service dog dyad that one might see or scroll past online-one of rehabilitative exceptionalism, disability disavowal, and chrononormative understandings of girlhood. On service dog tok, Ava, Claire, Lexy, and their service dogs broadcast the quotidian and move against a service dog sentimentalism that seeks to depoliticize disability and the relationship between disabled handlers and their service dogs. Their videos produce and circulate a nuanced understanding of interdependence, care, and ableism forged via the mutual entanglement with their service dogs. Ultimately, this article argues that disabled girl handlers on service dog tok upend what we think we know about disabled girls and girlhoods, recasting the meanings ascribed to their bodyminds, experiences, and their relationships with their service dogs in their own terms.</t>
  </si>
  <si>
    <t>[Todd, Anastasia] Univ Kentucky, Coll Arts &amp; Sci, Dept Gender &amp; Womens Studies, Lexington, KY 40508 USA</t>
  </si>
  <si>
    <t>University of Kentucky</t>
  </si>
  <si>
    <t>Todd, A (corresponding author), Univ Kentucky, Coll Arts &amp; Sci, Dept Gender &amp; Womens Studies, Lexington, KY 40508 USA.</t>
  </si>
  <si>
    <t>anastasia.todd@uky.edu</t>
  </si>
  <si>
    <t>Todd, Anastasia/ABE-7514-2020</t>
  </si>
  <si>
    <t>2075-4698</t>
  </si>
  <si>
    <t>Societies</t>
  </si>
  <si>
    <t>10.3390/soc14020030</t>
  </si>
  <si>
    <t>JI0X4</t>
  </si>
  <si>
    <t>WOS:001172429100001</t>
  </si>
  <si>
    <t>Montag, C; Wegmann, E; Schmidt, LD; Klein, L; Rozgonjuk, D; Rumpf, HJ</t>
  </si>
  <si>
    <t>Montag, Christian; Wegmann, Elisa; Schmidt, Lasse David; Klein, Lena; Rozgonjuk, Dmitri; Rumpf, Hans-Juergen</t>
  </si>
  <si>
    <t>Insights on associations between the frequency of use of diverse social media products and social networks use disorder tendencies from a German speaking sample</t>
  </si>
  <si>
    <t>BMC RESEARCH NOTES</t>
  </si>
  <si>
    <t>Social media addiction; TikTok; Facebook; Instagram; WhatsApp</t>
  </si>
  <si>
    <t>ObjectiveIn the present work we investigate how individual differences in at least occasionally using distinct social media platforms is linked to social networks use disorder (SNUD) tendencies. A final sample of n = 2200 participants filled in the AICA-C-9 measure to get insights into individual differences in overuse of social media and participants also indicated which platforms they used at least once a month. ResultsThe analysis revealed a robust positive association between number of at least occasionally used social media apps and SNUD tendencies (r = .44, p &lt; .001). Further, platforms differed in terms of their addictive potential, if one takes associations between frequency of distinct platforms use and SNUD tendencies as a proxy for this (and of course the actual descriptive statistics of the SNUD scale for the (non-)frequent user groups of the different platforms). In this regard, at least occasionally using some platforms (here Tumblr, Twitter and TikTok) was associated with highest SNUD tendencies. Moreover, largest differences in terms of effect sizes between the occasional and non-occasional user groups regarding SNUD scores could be observed for Instagram, WhatsApp, and TikTok. The present work bases on data from a larger project investigating associations between SNUD and tobacco use disorder.</t>
  </si>
  <si>
    <t>[Montag, Christian; Rozgonjuk, Dmitri] Ulm Univ, Inst Psychol &amp; Educ, Dept Mol Psychol, Helmholtzstr 8-1, D-89081 Ulm, Germany; [Wegmann, Elisa; Klein, Lena] Univ Duisburg Essen, Fac Comp Sci, Gen Psychol Cognit &amp; Ctr Behav Addict Res CeBAR, Duisburg, Germany; [Schmidt, Lasse David; Rumpf, Hans-Juergen] Univ Lubeck, Dept Psychiat &amp; Psychotherapy, Lubeck, Germany</t>
  </si>
  <si>
    <t>Ulm University; University of Duisburg Essen; University of Lubeck</t>
  </si>
  <si>
    <t>Montag, Christian/H-6536-2019; Wegmann, Elisa/GXH-7386-2022; Rozgonjuk, Dmitri/IUQ-5970-2023</t>
  </si>
  <si>
    <t>Deutsche Forschungsgemeinschaft (DFG, German Research Foundation) [FOR2974 -411232260]; Projekt DEAL</t>
  </si>
  <si>
    <t>Deutsche Forschungsgemeinschaft (DFG, German Research Foundation)(German Research Foundation (DFG)); Projekt DEAL</t>
  </si>
  <si>
    <t>The project was funded by the Deutsche Forschungsgemeinschaft (DFG, German Research Foundation) in the context of the Research Unit ACSID, FOR2974 -411232260.Open Access funding enabled and organized by Projekt DEAL.</t>
  </si>
  <si>
    <t>1756-0500</t>
  </si>
  <si>
    <t>BMC RES NOTES</t>
  </si>
  <si>
    <t>BMC Res. Notes</t>
  </si>
  <si>
    <t>10.1186/s13104-024-06833-5</t>
  </si>
  <si>
    <t>Biology; Multidisciplinary Sciences</t>
  </si>
  <si>
    <t>Life Sciences &amp; Biomedicine - Other Topics; Science &amp; Technology - Other Topics</t>
  </si>
  <si>
    <t>XR2G9</t>
  </si>
  <si>
    <t>WOS:001263335400001</t>
  </si>
  <si>
    <t>Shah, YB; Beiriger, J; Mehta, S; Cohen, SD</t>
  </si>
  <si>
    <t>Shah, Yash B.; Beiriger, Jacob; Mehta, Sagar; Cohen, Seth D.</t>
  </si>
  <si>
    <t>Analysis of patient education materials on TikTok for erectile dysfunction treatment</t>
  </si>
  <si>
    <t>HEALTH-CARE; INFORMATION</t>
  </si>
  <si>
    <t>Erectile dysfunction (ED) is widely prevalent and has diverse management options which are poorly understood and accessed by patients. This cross-sectional TikTok study aimed to evaluate the quality of ED educational materials and define trends in healthcare provider content development. Three reviewers independently analyzed 50 videos. Variables of interest included author characteristics, viewer engagement, content accuracy, and video quality, understandability, and actionability. Quantitative analysis was performed using the validated PEMAT and DISCERN screening tools. A wide range of treatment options were presented among the 26 healthcare and 24 non-healthcare videos, including behavioral techniques, herbs/ supplements, dietary modifications, pharmacology, and interventions. Healthcare authors tended to focus on pharmacology and intervention, and when they did discuss behavioral, herbal, or dietary options, accuracy significantly exceeded non-healthcare authors (96.2% vs. 12.5%, p &lt; 0.001). Although healthcare-authored videos were superior in accuracy and understandability scores (p &lt; 0.001), they had low actionability and reduced user engagement including likes (1195 vs. 4723, p = 0.050) and bookmarks (114 vs. 839, p = 0.010). Our findings indicate that despite the availability of high-quality ED treatment resources created by healthcare professionals on TikTok, engagement and actionability remain alarmingly low. Furthermore, there is substantial, readily accessible misinformation produced by non-healthcare entities. Modernized medical education paradigms, communications research, and awareness may optimize social media as a public health tool.</t>
  </si>
  <si>
    <t>[Shah, Yash B.; Beiriger, Jacob; Mehta, Sagar] Thomas Jefferson Univ, Sidney Kimmel Med Coll, Philadelphia, PA USA; [Cohen, Seth D.] NYU Langone, Dept Urol, New York, NY 10016 USA</t>
  </si>
  <si>
    <t>Jefferson University; NYU Langone Medical Center</t>
  </si>
  <si>
    <t>Cohen, SD (corresponding author), NYU Langone, Dept Urol, New York, NY 10016 USA.</t>
  </si>
  <si>
    <t>Seth.Cohen@nyulangone.org</t>
  </si>
  <si>
    <t>Shah, Yash/KIE-9701-2024</t>
  </si>
  <si>
    <t>Shah, Yash/0000-0003-1551-7611</t>
  </si>
  <si>
    <t>10.1038/s41443-023-00726-0</t>
  </si>
  <si>
    <t>L7Q6E</t>
  </si>
  <si>
    <t>WOS:001023974800001</t>
  </si>
  <si>
    <t>Basch, CH; Fera, J; Quinones, N</t>
  </si>
  <si>
    <t>Basch, Corey H.; Fera, Joseph; Quinones, Nasia</t>
  </si>
  <si>
    <t>A content analysis of direct-to-consumer DNA testing on TikTok</t>
  </si>
  <si>
    <t>JOURNAL OF COMMUNITY GENETICS</t>
  </si>
  <si>
    <t>TikTok; Direct-to-consumer genetic testing; Social media</t>
  </si>
  <si>
    <t>SOCIAL NETWORKING</t>
  </si>
  <si>
    <t>Despite the fact that the internet is a popular source of health information, limited research has been conducted on the ways in which direct-to-consumer (DTC) DNA testing has been discussed by consumers on the internet, and on social media platforms specifically. The purpose of this study was to describe the content of 100 videos that addressed DTC DNA testing on TikTok, a video-sharing social network. The 100 videos included had a combined 77,498 comments and 9,680,309 likes.The majority (&gt; 50%) of videos reviewed mentioned using DTC DNA testing kits to find family roots (94%), included information on commercial DNA testing kits (67%), and featured a person taking or talking about taking a DNA test (92%). These videos also received a majority of the total comments/likes. Neither the use of music (p = .06 and p = .07) nor the mention of using DNA testing to locate family (p = .08 and p = .09) had a significant effect on a video's comments or likes, respectively. Genetic counselors, health care providers, and public health professionals should be aware that there is a need to present both benefits and disadvantages of DTC DNA testing on social media platforms. A greater presence of comprehensive information on social media platforms can increase the likelihood that one makes erudite decisions.</t>
  </si>
  <si>
    <t>[Basch, Corey H.; Quinones, Nasia] William Paterson Univ, Dept Publ Hlth, Univ Hall 366, Wayne, NJ 07470 USA; [Fera, Joseph] CUNY, Lehman Coll, Dept Math, 250 Bedford Pk Blvd W, The Bronx, NY 10468 USA</t>
  </si>
  <si>
    <t>1868-310X</t>
  </si>
  <si>
    <t>1868-6001</t>
  </si>
  <si>
    <t>J COMMUN GENET</t>
  </si>
  <si>
    <t>J. Commun. Genet.</t>
  </si>
  <si>
    <t>10.1007/s12687-021-00526-3</t>
  </si>
  <si>
    <t>Genetics &amp; Heredity</t>
  </si>
  <si>
    <t>TB8GZ</t>
  </si>
  <si>
    <t>WOS:000640457500001</t>
  </si>
  <si>
    <t>Castillo-Abdul, B; Fernandez, EO; Romero-Rodriguez, LM</t>
  </si>
  <si>
    <t>Castillo-Abdul, Barbara; Fernandez, Eglee Ortega; Romero-Rodriguez, Luis M.</t>
  </si>
  <si>
    <t>Corporate social responsibility communication of male luxury fashion brands: analysis on Instagram, Facebook and TikTok</t>
  </si>
  <si>
    <t>MANAGEMENT DECISION</t>
  </si>
  <si>
    <t>Corporate social responsibility; Social media; Sustainability; Fashion brands</t>
  </si>
  <si>
    <t>SUSTAINABILITY; PLATFORMS</t>
  </si>
  <si>
    <t>PurposeThis study aims to analyze the content on corporate social responsibility (CSR) of Gucci, Prada and Ermenegildo Zegna on the social networks Instagram, Facebook and TikTok in order to examine the focus of the publications of these luxury brands, what type of content is more frequent and which ones generate more interaction and engagement.Design/methodology/approachAn interpretive content analysis of a sample of 92 posts on CSR published between December 2021 and June 2022 is used. For this purpose, an analysis sheet validated through theoretical constructs and pilot testing is used.FindingsMost of the social responsibility content of the fashion brands analyzed is linked to the use of sustainable materials, the protection of natural spaces and, in the particular case of Prada, the protection of the oceans. The posts that achieve the highest interactions are videos and photo reels. Although the strategies that significantly increase brands' reach on social networks are collaborations and joint posts with other fashion brands, as is the case of Gucci with NorthFace and Prada with Adidas. Also, one of the main findings of this research has been to identify that brands may be using TikTok - perhaps experimentally - to reach stakeholders in Asian countries, especially China, where other platforms such as Instagram or Facebook may have a more limited reach.Originality/valueThis research shows that the social responsibility activities of luxury fashion brands leverage the content marketing strategy in social networks. It also demonstrates the importance of the Asian market (mainly Chinese) in the outreach strategies of brands, as is the case of Gucci and Prada, which bet on CSR activities for the protection of the Asian tiger in the framework of the year of the tiger in the Chinese horoscope, as well as the publication of certain content on TikTok.</t>
  </si>
  <si>
    <t>[Castillo-Abdul, Barbara; Romero-Rodriguez, Luis M.] Rey Juan Carlos Univ, Dept Commun Sci &amp; Sociol, Madrid, Spain; [Castillo-Abdul, Barbara] Univ Especial Espiritu Santo, ESAI Business Sch, Samborondon, Ecuador; [Fernandez, Eglee Ortega] Nebrija Univ, Fac Commun &amp; Arts, Madrid, Spain</t>
  </si>
  <si>
    <t>Universidad Rey Juan Carlos; Universidad Antonio de Nebrija</t>
  </si>
  <si>
    <t>Romero-Rodriguez, LM (corresponding author), Rey Juan Carlos Univ, Dept Commun Sci &amp; Sociol, Madrid, Spain.</t>
  </si>
  <si>
    <t>barbara.castillo@urjc.es; eortegafe@nebrija.es; luis.romero@urjc.es</t>
  </si>
  <si>
    <t>Ortega Fernandez, Eglee/V-2997-2018; Castillo, Barbara/AAY-4187-2020; Romero-Rodriguez, Luis M./P-8698-2014</t>
  </si>
  <si>
    <t>Ortega Fernandez, Eglee/0000-0001-7103-2403; Castillo, Barbara/0000-0002-3711-1519; Romero-Rodriguez, Luis M./0000-0003-3924-1517</t>
  </si>
  <si>
    <t>0025-1747</t>
  </si>
  <si>
    <t>1758-6070</t>
  </si>
  <si>
    <t>MANAGE DECIS</t>
  </si>
  <si>
    <t>Manag. Decis.</t>
  </si>
  <si>
    <t>MAR 19</t>
  </si>
  <si>
    <t>10.1108/MD-09-2022-1316</t>
  </si>
  <si>
    <t>LH8G3</t>
  </si>
  <si>
    <t>WOS:000897987700001</t>
  </si>
  <si>
    <t>Ballesteros-Aguayo, L; Colussi, J; Garcia-Estevez, N</t>
  </si>
  <si>
    <t>Ballesteros-Aguayo, Lucia; Colussi, Juliana; Garcia-Estevez, Noelia</t>
  </si>
  <si>
    <t>Astroturfing Strategies in Tik Tok publications: the case of the Trans Spain Law</t>
  </si>
  <si>
    <t>Astroturfing; TikTok; Transsexual Law; Spain; populism</t>
  </si>
  <si>
    <t>This investigation aims to determine what kind of online political astroturfing has been used in the debate on the Transsexual Law in Spain based on the content analysis of 112 publications on TikTok between October 13, 2022 and April 13, 2023. Through an exploratory methodology, a set of variables were applied, among which stand out the actors, the ideological polarization, as well as the predominant emotion. The main conclusion points to the existence of a political online astroturfing campaign against the Transsexual Law in Spain based on a false impression of popular voluntad through the synchronic coordination of accounts that publish favorable opinions to the instigators of the campaign, all of which responds the strategy of populist leaders.</t>
  </si>
  <si>
    <t>[Ballesteros-Aguayo, Lucia] Univ Malaga, Malaga, Spain; [Colussi, Juliana] Univ Rey Juan Carlos, Mostoles, Spain; [Garcia-Estevez, Noelia] Univ Seville, Seville, Spain</t>
  </si>
  <si>
    <t>Universidad de Malaga; Universidad Rey Juan Carlos; University of Sevilla</t>
  </si>
  <si>
    <t>Ballesteros-Aguayo, L (corresponding author), Univ Malaga, Malaga, Spain.</t>
  </si>
  <si>
    <t>luciaballesteros@uma.es; juliana.colussi@urjc.es; noeliagarcia@us.es</t>
  </si>
  <si>
    <t>10.5209/hics.92238</t>
  </si>
  <si>
    <t>CO1R1</t>
  </si>
  <si>
    <t>WOS:001126102400017</t>
  </si>
  <si>
    <t>TikTok as a data gathering space: the case of grandchildren and grandparents during the COVID-19 pandemic</t>
  </si>
  <si>
    <t>IDC '21: PROCEEDINGS OF INTERACTION DESIGN AND CHILDREN 2021</t>
  </si>
  <si>
    <t>20th ACM Interaction Design and Children (IDC) Conference</t>
  </si>
  <si>
    <t>JUN 24-30, 2021</t>
  </si>
  <si>
    <t>Assoc Comp Machinery,Natl &amp; Kapodistrian Univ Athens,LUMS,BRIDGES,EUGAIN,NSF</t>
  </si>
  <si>
    <t>Tik Tok; COVID-19; Intergenerational Solidarity; social media; grandchildren; grandparents</t>
  </si>
  <si>
    <t>Grandparents and grandchildren benefit from a relationship with each other. However, in times of crisis and social distancing it is challenging to maintain this relationship. In this paper, we reflect on TikTok as a data gathering platform that might help designers to capture and ideate on remote communication design across generations. We report on a study that aimed to learn about how grandparents and grandchildren perform their relationship on Tik-Tok in 2020 during the COVID-19 pandemic. Our work might trigger discussions on the potentials of social media as a place for data gathering, as well as the implications of these insights when designing for and with children, and more particularly intergenerational remote interactions.</t>
  </si>
  <si>
    <t>[Nouwen, Marije] Katholieke Univ Leuven, Meaningful Interact Lab Mintlab, Leuven, Belgium; [Duflos, Mathilde] Univ Tours, Psychol Ages Vie &amp; Adaptat, EA 2114, PAVeA, Tours, France</t>
  </si>
  <si>
    <t>KU Leuven; Universite de Tours</t>
  </si>
  <si>
    <t>Nouwen, M (corresponding author), Katholieke Univ Leuven, Meaningful Interact Lab Mintlab, Leuven, Belgium.</t>
  </si>
  <si>
    <t>marije.nouwen@kuleuven.be; mathilde.duflos1@gmail.com</t>
  </si>
  <si>
    <t>Nouwen, Marije/0000-0002-5991-9084; Duflos, Mathilde/0000-0001-9532-1859</t>
  </si>
  <si>
    <t>FWO (Fonds Wetenschappelijk Onderzoek Vlaanderen) [G0E3718N]; Center for Human-Computer Interaction (University of Salzburg)</t>
  </si>
  <si>
    <t>FWO (Fonds Wetenschappelijk Onderzoek Vlaanderen)(FWO); Center for Human-Computer Interaction (University of Salzburg)</t>
  </si>
  <si>
    <t>The first author receives funding in the context of the re:tangent research project, funded by FWO (Fonds Wetenschappelijk Onderzoek Vlaanderen - grant number G0E3718N) in collaboration with the Center for Human-Computer Interaction (University of Salzburg).</t>
  </si>
  <si>
    <t>978-1-4503-8452-0</t>
  </si>
  <si>
    <t>10.1145/3459990.3465201</t>
  </si>
  <si>
    <t>BS7UZ</t>
  </si>
  <si>
    <t>WOS:000767988500054</t>
  </si>
  <si>
    <t>Hendrickx, J; Vazquez-Herrero, J</t>
  </si>
  <si>
    <t>Hendrickx, Jonathan; Vazquez-Herrero, Jorge</t>
  </si>
  <si>
    <t>Dissecting Social Media Journalism: A Comparative Study Across Platforms, Outlets and Countries</t>
  </si>
  <si>
    <t>Social media; Instagram; TikTok; news content; content analysis; affordances; platformisation</t>
  </si>
  <si>
    <t>NEWS</t>
  </si>
  <si>
    <t>News outlets increasingly position themselves on social media platforms with platform-bound content next to their regular media offerings. At the time of writing, scholarship on studying these novel types of news content remains limited in size and scope. Drawing on recent theoretical insights from the dislocation of news journalism and social media logics, we assess a dataset of Instagram and TikTok posts of public, private and digital-native news outlets from Belgium, Spain and the United Kingdom (n = 458). Contrary to previous findings, we conclude that news publishers tend to adapt their content to the specific technological affordances of social media networks and that news-related content prevails, signalling normalisation patterns for how news is produced for and diffused via both platforms.</t>
  </si>
  <si>
    <t>[Hendrickx, Jonathan] Univ Vienna, Dept Commun, Vienna, Austria; [Vazquez-Herrero, Jorge] Univ Santiago Compostela, Dept Commun Sci, Santiago De Compostela, Spain</t>
  </si>
  <si>
    <t>University of Vienna; Universidade de Santiago de Compostela</t>
  </si>
  <si>
    <t>Hendrickx, J (corresponding author), Univ Vienna, Dept Commun, Vienna, Austria.</t>
  </si>
  <si>
    <t>Hendrickx, Jonathan/JFT-0494-2023; Vázquez-Herrero, Jorge/ITT-4798-2023</t>
  </si>
  <si>
    <t>MCIN/AEI [PID2021-122534OB-C21]; ERDF A way of making Europe</t>
  </si>
  <si>
    <t>MCIN/AEI; ERDF A way of making Europe</t>
  </si>
  <si>
    <t>This article is part of the R&amp;D project Digital-native media in Spain: Strategies, competencies, social involvement and (re)definition of practices in journalistic production and diffusion (PID2021-122534OB-C21), funded by MCIN/AEI/10.13039/501100011033/ and by ERDF A way of making Europe.</t>
  </si>
  <si>
    <t>10.1080/1461670X.2024.2324318</t>
  </si>
  <si>
    <t>WOS:001176731600001</t>
  </si>
  <si>
    <t>Koning, IM; van den Eijnden, RJJM; Vossen, HGM</t>
  </si>
  <si>
    <t>Koning, Ina Maria; van den Eijnden, Regina J. J. M.; Vossen, Helen G. M.</t>
  </si>
  <si>
    <t>From greenwashing to screenwashing? How the tech industry plays around with children ' s future</t>
  </si>
  <si>
    <t>JOURNAL OF BEHAVIORAL ADDICTIONS</t>
  </si>
  <si>
    <t>screenwashing; tech industry; adolescents; time-notification</t>
  </si>
  <si>
    <t>SOCIAL MEDIA; SELF-CONTROL; ADOLESCENTS; CHECKING</t>
  </si>
  <si>
    <t>In this viewpoint, we introduce the term ' screenwashing ' , which describes the phenomenon whereby social media platforms, such as TikTok and Instagram, pretend to be more socially responsible than they actually are. That is, social media platforms pretend to be thoughtful about children ' s health and the prevention of problematic social media use, but this often turns out to be nothing more than  a lick of paint  . We describe how features like the one -hour noti fi cation on TikTok and Instagram are considered screenwashing and why we believe so. Screenwashing, an unethical practice, has the potential to mislead parents and young users. Consequently, we advocate for increased government intervention to protect our youth from the potential hazards associated with problematic social media use.</t>
  </si>
  <si>
    <t>[Koning, Ina Maria] Vrije Univ Amsterdam, Clin Child &amp; Family Studies, Educ &amp; Family Sci, Boechorststr 7, NL-1081 BT Amsterdam, Netherlands; [van den Eijnden, Regina J. J. M.] Univ Utrecht, Youth Studies, Interdisciplinary Social Sci, Padualaan 14, NL-3584 CH Utrecht, Netherlands; [Vossen, Helen G. M.] Univ Utrecht, Clin Child &amp; Family Studies, Educ &amp; Pedag, Heidelberglaan 1, NL-3584 CS Utrecht, Netherlands</t>
  </si>
  <si>
    <t>Vrije Universiteit Amsterdam; Utrecht University; Utrecht University</t>
  </si>
  <si>
    <t>Koning, IM (corresponding author), Vrije Univ Amsterdam, Clin Child &amp; Family Studies, Educ &amp; Family Sci, Boechorststr 7, NL-1081 BT Amsterdam, Netherlands.</t>
  </si>
  <si>
    <t>h.m.koning@vu.nl</t>
  </si>
  <si>
    <t>van den Eijnden, Regina/P-5510-2019</t>
  </si>
  <si>
    <t>Koning, Ina/0000-0003-0305-0487</t>
  </si>
  <si>
    <t>AKADEMIAI KIADO ZRT</t>
  </si>
  <si>
    <t>BUDAFOKI UT 187-189-A-3, H-1117 BUDAPEST, HUNGARY</t>
  </si>
  <si>
    <t>2062-5871</t>
  </si>
  <si>
    <t>2063-5303</t>
  </si>
  <si>
    <t>J BEHAV ADDICT</t>
  </si>
  <si>
    <t>J. Behav. Addict.</t>
  </si>
  <si>
    <t>10.1556/2006.2023.00084</t>
  </si>
  <si>
    <t>UW6V3</t>
  </si>
  <si>
    <t>gold, Green Accepted, Green Published</t>
  </si>
  <si>
    <t>WOS:001251149700001</t>
  </si>
  <si>
    <t>Cai, YN; Wang, F</t>
  </si>
  <si>
    <t>Mori, H; Asahi, Y</t>
  </si>
  <si>
    <t>Cai, Yunna; Wang, Fan</t>
  </si>
  <si>
    <t>Exploring the Behavior of Users Training Douyin's Personalized Recommendation Algorithm System in China</t>
  </si>
  <si>
    <t>HUMAN INTERFACE AND THE MANAGEMENT OF INFORMATION, PT II, HIMI 2024</t>
  </si>
  <si>
    <t>Conference on Human Interface and the Management of Information Thematic Area (HIMI) Held as Part of the 26th International Conference on Human-Computer Interaction (HCII)</t>
  </si>
  <si>
    <t>TikTok; Information Behavior; Algorithms; Personalized Recommendation Algorithm System; Algorithm awareness; Human algorithm interaction</t>
  </si>
  <si>
    <t>This study investigates a novel form of human-algorithm interaction where users train TikTok's recommendation algorithm. Through observations and interviews with 22 self-reported algorithm trainers, researchers identified the motivations, methods, and perceptual influencing factors underlying this behavior. The findings reveal that users employ various strategies, such as adjusting the functions of the recommendation algorithm system. Motivated by the pursuit of values and risk avoidance, this behavior is influenced by users' algorithmic literacy, satisfaction with recommendations, and perceived benefits and costs. The research significantly contributes to our understanding of how individuals positively perceive and engage with algorithmic systems, shedding light on previously overlooked aspects. It introduces a novel strategy on addressing algorithmic risks from the user's standpoint by advocating cooperation with algorithms.</t>
  </si>
  <si>
    <t>[Cai, Yunna; Wang, Fan] Wuhan Univ, Wuhan 430072, Hubei, Peoples R China</t>
  </si>
  <si>
    <t>Wuhan University</t>
  </si>
  <si>
    <t>Cai, YN (corresponding author), Wuhan Univ, Wuhan 430072, Hubei, Peoples R China.</t>
  </si>
  <si>
    <t>caiyunna1106@whu.edu.cn</t>
  </si>
  <si>
    <t>Wang, Fan/0000-0003-0100-0320</t>
  </si>
  <si>
    <t>978-3-031-60113-2; 978-3-031-60114-9</t>
  </si>
  <si>
    <t>10.1007/978-3-031-60114-9_14</t>
  </si>
  <si>
    <t>Computer Science, Artificial Intelligence; Computer Science, Software Engineering; Computer Science, Theory &amp; Methods</t>
  </si>
  <si>
    <t>BX4AE</t>
  </si>
  <si>
    <t>WOS:001286501800014</t>
  </si>
  <si>
    <t>Han, X; Kuipers, G</t>
  </si>
  <si>
    <t>Han, Xiao; Kuipers, Giselinde</t>
  </si>
  <si>
    <t>Humour and TikTok memes during the 2020 pandemic lockdown: Tensions of gender and care faced by Chinese mothers working from home</t>
  </si>
  <si>
    <t>TikTok; COVID humour; memes; gender; Chinese working mothers</t>
  </si>
  <si>
    <t>This article examines a humorous meme that emerged on Chinese TikTok during the COVID-19 pandemic in China. Using #workfromhomewithchildcare, Chinese working mothers shared humorous clips of their experience of working from home with their children who were also at home during the pandemic lockdown. By analysing the themes, protagonists, and humour techniques of a sample of 85 videos, we ask why the mood of these clips is so strongly marked by humour, and what this tells us about contemporary Chinese society, particularly about the position of women and mothers. We show that these memetic clips consist of three distinct genres of mothers working from home: (1) 'balancing mothers' who balance between work and childcare, (2) 'pedagogic mothers' who give childcare tips, and (3) 'commercially oriented' mothers who offer tutorials by means of product placement and advertisement. While these memes express what Mary Douglas called 'a joke in the social structure' without offering either relief or critique, they do create an online joking culture that offers temporary relief as well as awareness that others are in the same position. Our analysis tempers enthusiastic claims about both the critical potential of humour and the new 'liberating' affordances offered by digital platforms to produce liberating female spaces.</t>
  </si>
  <si>
    <t>[Han, Xiao] Commun Univ China, Beijing, Peoples R China; [Kuipers, Giselinde] Katholieke Univ Leuven, Leuven, Belgium</t>
  </si>
  <si>
    <t>Communication University of China; KU Leuven</t>
  </si>
  <si>
    <t>Han, X (corresponding author), Commun Univ China, State Key Lab Media Convergence &amp; Commun, Dingfuzhuang East St 1, Beijing 100026, Peoples R China.</t>
  </si>
  <si>
    <t>han.xiao@cuc.edu.cn</t>
  </si>
  <si>
    <t>kuipers, gmm/AAU-8267-2021</t>
  </si>
  <si>
    <t>Kuipers, Giselinde/0000-0002-5767-1054; Han, Xiao/0000-0003-4726-7389</t>
  </si>
  <si>
    <t>State Key Laboratory of Media Convergence and Communication at Communication University of China; Centre for Sociological Research at Katholieke Universiteit Leuven (Giselinde Kuipers); Beijing Social Sciences Fund [20XCC015]; Fundamental Research Funds for the Central Universities, Communication University of China [CUC19B059-1]</t>
  </si>
  <si>
    <t>State Key Laboratory of Media Convergence and Communication at Communication University of China; Centre for Sociological Research at Katholieke Universiteit Leuven (Giselinde Kuipers); Beijing Social Sciences Fund; Fundamental Research Funds for the Central Universities, Communication University of China</t>
  </si>
  <si>
    <t>The authors gratefully acknowledge funding from the State Key Laboratory of Media Convergence and Communication at Communication University of China (Xiao Han) and from the Centre for Sociological Research at Katholieke Universiteit Leuven (Giselinde Kuipers, email:giselinde.kuipers@kuleuven.be).This work was supported by the Beijing Social Sciences Fund (grant no. 20XCC015) and the Fundamental Research Funds for the Central Universities, Communication University of China (grant no. CUC19B059-1).</t>
  </si>
  <si>
    <t>0920203X211049634</t>
  </si>
  <si>
    <t>10.1177/0920203X211049634</t>
  </si>
  <si>
    <t>XG8IK</t>
  </si>
  <si>
    <t>WOS:000713602500001</t>
  </si>
  <si>
    <t>Mhalla, M; Yun, J; Nasiri, A</t>
  </si>
  <si>
    <t>Mhalla, Majdouline; Yun, Jiang; Nasiri, Alireza</t>
  </si>
  <si>
    <t>Video-Sharing Apps Business Models: TikTok Case Study</t>
  </si>
  <si>
    <t>INTERNATIONAL JOURNAL OF INNOVATION AND TECHNOLOGY MANAGEMENT</t>
  </si>
  <si>
    <t>Apps; Apps monetization; Business model; Video-sharing applications; Video-sharing apps business models; TikTok business model</t>
  </si>
  <si>
    <t>INFORMATION-TECHNOLOGY; VALUE CREATION</t>
  </si>
  <si>
    <t>As the number of mobile and Internet users increases around the world, the consumption of video content continues to grow exponentially among people, as well as businesses. However, for these platforms to offer their services at a low to no cost, they have to experiment with different business models, looking for profitability and economic balance without charging their users. In this paper, we will describe and discuss the business model of a video sharing platform that became a worldwide phenomenon only three years after its launch, from raising billions of dollars from notorious investors - e.g. SoftBank Group, Tiger Global Management - to generating exorbitant revenues, this video application was very innovative and versatile at making money and generating revenues. The main goal of this study is to understand how video sharing platforms monetize their business, especially if most of its services are free for its users. The paper highlights all the steps of a business model, using the TikTok application as the case study of a successful model. We found that video-sharing applications need to incorporate new ways of monetizing their businesses that they are very versatile, they do not rely solely on advertising and that they are experimenting with various models, e.g. paid subscriptions and in-app purchases.</t>
  </si>
  <si>
    <t>[Mhalla, Majdouline; Yun, Jiang] Dongbei Univ Finance &amp; Econ, Sch Business Adm, Dalian, Peoples R China; [Nasiri, Alireza] Univ Tehran, Management Sch, Tehran, Iran</t>
  </si>
  <si>
    <t>Dongbei University of Finance &amp; Economics; University of Tehran</t>
  </si>
  <si>
    <t>Mhalla, M (corresponding author), Dongbei Univ Finance &amp; Econ, Sch Business Adm, Dalian, Peoples R China.</t>
  </si>
  <si>
    <t>majdouline.mhalla@outlook.fr</t>
  </si>
  <si>
    <t>Mhalla, Majdouline/0000-0001-6541-5205</t>
  </si>
  <si>
    <t>WORLD SCIENTIFIC PUBL CO PTE LTD</t>
  </si>
  <si>
    <t>5 TOH TUCK LINK, SINGAPORE 596224, SINGAPORE</t>
  </si>
  <si>
    <t>0219-8770</t>
  </si>
  <si>
    <t>1793-6950</t>
  </si>
  <si>
    <t>INT J INNOV TECHNOL</t>
  </si>
  <si>
    <t>Int. J. Innov. Technol. Manag.</t>
  </si>
  <si>
    <t>10.1142/S0219877020500509</t>
  </si>
  <si>
    <t>RY0VP</t>
  </si>
  <si>
    <t>WOS:000599361100003</t>
  </si>
  <si>
    <t>Vermeire, Z; de Haan, MJ; Sefton-Green, J; Akkerman, SF</t>
  </si>
  <si>
    <t>Vermeire, Z.; de Haan, M. J.; Sefton-Green, J.; Akkerman, S. F.</t>
  </si>
  <si>
    <t>The desire to learn: the alienation and reimagining of pedagogy on YouTube, Twitch and TikTok</t>
  </si>
  <si>
    <t>CRITICAL STUDIES IN EDUCATION</t>
  </si>
  <si>
    <t>Alienation; pedagogy; social media platforms; formal education; informal learning; YouTube; Twitch; TikTok; voice of youth</t>
  </si>
  <si>
    <t>DISCOURSES</t>
  </si>
  <si>
    <t>This paper aims to understand the perspectives of young people involved in online learning communities on what they consider valuable for their learning. We do this by bringing their experiences with online community pedagogies (OCPs) into conversation with their critiques of school pedagogies (SPs) to see whether we can understand this interaction as generative of 'alternative' pedagogies. Whereas previously alternative pedagogies were understood to arise from 'new' technologies, we argue that such pedagogies arise from needs created by youth's experiences with navigating these different pedagogical contexts. We interviewed 37 community members from six learning communities on YouTube, Twitch and TikTok. We show that youth perceive school as controlling, imposing pressure to perform, and disconnected from what they think matters and qualifies expertise. Based on their online experiences, youth emphasised the importance of control, experimentation space, and being enabled to act on societal issues. Using Deleuze and Guattari's conceptualisation of 'desire', and Appadurai's 'global imaginaries', we interpret OPs dialoguing with youth's alienating perspectives on schooling as 'reimagined pedagogies' that act as collective voices for global (re-)imaginaries of school. We conclude with the importance of taking youth's experiences with alienation and OPs seriously as objects of thought for alternative pedagogic futures.</t>
  </si>
  <si>
    <t>[Vermeire, Z.; de Haan, M. J.] Univ Utrecht, Dev &amp; Educ Youth Diverse Soc DEEDS, Utrecht, Netherlands; [Sefton-Green, J.] Deakin Univ, Sch Educ, Melbourne, Vic, Australia; [Akkerman, S. F.] Univ Utrecht, Educ, Utrecht, Netherlands</t>
  </si>
  <si>
    <t>Utrecht University; Deakin University; Utrecht University</t>
  </si>
  <si>
    <t>Vermeire, Z (corresponding author), Univ Utrecht, Martinus J Langeveldgebouw, Heidelberglaan 1, NL-3584 CS Utrecht, Netherlands.</t>
  </si>
  <si>
    <t>z.vermeire@uu.nl</t>
  </si>
  <si>
    <t>de haan, mariette/J-1567-2012</t>
  </si>
  <si>
    <t>Vermeire, Zowi/0000-0002-7911-9148; Sefton-Green, Julian/0000-0001-9318-4934; de Haan, Mariette/0000-0002-0412-7442</t>
  </si>
  <si>
    <t>Haagsche Genootschap</t>
  </si>
  <si>
    <t>The work was supported by the Haagsche Genootschap.</t>
  </si>
  <si>
    <t>1750-8487</t>
  </si>
  <si>
    <t>1750-8495</t>
  </si>
  <si>
    <t>CRIT STUD EDUC</t>
  </si>
  <si>
    <t>Crit. Stud. Educ.</t>
  </si>
  <si>
    <t>2024 JUN 29</t>
  </si>
  <si>
    <t>10.1080/17508487.2024.2365805</t>
  </si>
  <si>
    <t>WU4O7</t>
  </si>
  <si>
    <t>WOS:001257376700001</t>
  </si>
  <si>
    <t>Mc Nally, K; Wright, K; Goldkind, L; Kattari, SK; Victor, BG</t>
  </si>
  <si>
    <t>Mc Nally, Kellan; Wright, Kathryn; Goldkind, Lauri; Kattari, Shanna K.; Victor, Bryan G.</t>
  </si>
  <si>
    <t>Disability Expertise and Large Language Models: A Qualitative Study of Autistic TikTok Creators' Use of ChatGPT</t>
  </si>
  <si>
    <t>disability expertise; autism; accessibility; generative artificial intelligence; neurodivergence</t>
  </si>
  <si>
    <t>The purpose of this study was to describe how autistic TikTok creators are using ChatGPT across various domains of their lives, their motivations for doing so, and resulting impacts. Using a framework of disability expertise, we document the knowledge that creators acquired through use of ChatGPT and then shared with peers via social media. We used deductive qualitative methods to analyze 25 TikTok videos from 25 unique creators. Themes were identified in connection with motivations for the use of ChatGPT, settings in which it was used, applications of this technology, and resulting impacts for creators. Findings indicate that autistic creators were motivated to use ChatGPT to navigate neurotypical environments, manage features of their neurodivergence, and unmask, with the technology often serving as a digital coach, communication assistant, and conversational partner. Use of ChatGPT resulted in harm reduction, time and energy savings, positive emotional experiences, and meaningful accomplishments in both personal and professional settings. These findings indicate that ChatGPT serves as an important resource for many autistic individuals, facilitating accommodations to often inaccessible environments and helping users manage stressors and pursue goals. The study also highlights the significance of social media platforms for disseminating disability expertise related to the use of large language models to improve quality of life.</t>
  </si>
  <si>
    <t>[Mc Nally, Kellan; Wright, Kathryn; Victor, Bryan G.] Wayne State Univ, Detroit, MI USA; [Goldkind, Lauri] Fordham Univ, Bronx, NY USA; [Kattari, Shanna K.] Univ Michigan, Ann Arbor, MI USA</t>
  </si>
  <si>
    <t>Wayne State University; Fordham University; University of Michigan System; University of Michigan</t>
  </si>
  <si>
    <t>Mc Nally, K (corresponding author), Wayne State Univ, Sch Social Work, 5447 Woodward Ave, Detroit, MI 48214 USA.;Mc Nally, K (corresponding author), Wayne State Univ, Dept Anthropol, 5447 Woodward Ave, Detroit, MI 48214 USA.</t>
  </si>
  <si>
    <t>kellan.mcnally@wayne.edu</t>
  </si>
  <si>
    <t>Kattari, Shanna/P-9656-2019; Victor, Bryan/T-8349-2019</t>
  </si>
  <si>
    <t>Victor, Bryan/0000-0002-2092-912X</t>
  </si>
  <si>
    <t>10.1177/20563051241279549</t>
  </si>
  <si>
    <t>G1R2H</t>
  </si>
  <si>
    <t>WOS:001314473000001</t>
  </si>
  <si>
    <t>Xiao, LY</t>
  </si>
  <si>
    <t>Xiao, Leon Y.</t>
  </si>
  <si>
    <t>Illegal loot box advertising on social media? An empirical study using the Meta and TikTok ad transparency repositories</t>
  </si>
  <si>
    <t>COMPUTER LAW &amp; SECURITY REVIEW</t>
  </si>
  <si>
    <t>Loot boxes; Video gaming regulation; Information technology law; Consumer protection; Social media marketing and advertising</t>
  </si>
  <si>
    <t>Loot boxes are gambling-like products inside video games that can be bought with real-world money to obtain random rewards. They are widely available to children, and stakeholders are concerned about potential harms, e. g., overspending. UK advertising must disclose, if relevant, that a game contains (i) any in-game purchases and (ii) loot boxes specifically. An empirical examination of relevant adverts on Meta-owned platforms (i.e., Facebook, Instagram, and Messenger) and TikTok revealed that only about 7 % disclosed loot box presence. The vast majority of social media advertising (93 %) was therefore non-compliant with UK advertising regulations and also EU consumer protection law. In the UK alone, the 93 most viewed TikTok adverts failing to disclose loot box presence were watched 292,641,000 times total or approximately 11 impressions per active user. Many people have therefore been repeatedly exposed to prohibited and socially irresponsible advertising that failed to provide important and mandated information. Implementation deficiencies with ad repositories, which must comply with transparency obligations imposed by the EU Digital Services Act, are also highlighted, e.g., not disclosing the beneficiary. How data access empowered by law can and should be used by researchers is practically demonstrated. Policymakers should consider enabling more such opportunities for the public benefit.</t>
  </si>
  <si>
    <t>[Xiao, Leon Y.] IT Univ Copenhagen, Ctr Digital Play, Copenhagen, Denmark; [Xiao, Leon Y.] Univ Bristol, Sch Psychol Sci, Bristol, England</t>
  </si>
  <si>
    <t>IT University Copenhagen; University of Bristol</t>
  </si>
  <si>
    <t>Xiao, LY (corresponding author), IT Univ Copenhagen, Ctr Digital Play, Copenhagen, Denmark.;Xiao, LY (corresponding author), Univ Bristol, Sch Psychol Sci, Bristol, England.</t>
  </si>
  <si>
    <t>lexi@itu.dk</t>
  </si>
  <si>
    <t>Xiao, Leon/AAS-5625-2020</t>
  </si>
  <si>
    <t>Xiao, Leon/0000-0003-0709-0777</t>
  </si>
  <si>
    <t>Academic Forum for the Study of Gambling (AFSG) Postgraduate Research Support Grants; UK Gambling Commission; International Relations Office of The Jagiellonian University; Polish National Agency for Academic Exchange; Republic of Poland; European Social Fund of the European Commis-sion of the European Union; Nordic Society Foundation; MiSK Foundation (Prince Mohammed bin Salman bin Abdulaziz Foundation); UK Gambling Commission - Danish Ministry of Health's gambling addiction pool; YMCA (Young Men's Christian Association) of Greater Toronto Youth Gambling Awareness Program - Government of Ontario</t>
  </si>
  <si>
    <t>Academic Forum for the Study of Gambling (AFSG) Postgraduate Research Support Grants; UK Gambling Commission; International Relations Office of The Jagiellonian University; Polish National Agency for Academic Exchange(Polish National Agency for Academic Exchange (NAWA)); Republic of Poland; European Social Fund of the European Commis-sion of the European Union; Nordic Society Foundation; MiSK Foundation (Prince Mohammed bin Salman bin Abdulaziz Foundation); UK Gambling Commission - Danish Ministry of Health's gambling addiction pool; YMCA (Young Men's Christian Association) of Greater Toronto Youth Gambling Awareness Program - Government of Ontario</t>
  </si>
  <si>
    <t>L.Y.X. is supported by a PhD Fellowship funded by the IT University of Copenhagen (IT-Universitetet i Kobenhavn), which is publicly funded by the Kingdom of Denmark (Kongeriget Danmark).</t>
  </si>
  <si>
    <t>ELSEVIER ADVANCED TECHNOLOGY</t>
  </si>
  <si>
    <t>OXFORD FULFILLMENT CENTRE THE BOULEVARD, LANGFORD LANE, KIDLINGTON, OXFORD OX5 1GB, OXON, ENGLAND</t>
  </si>
  <si>
    <t>0267-3649</t>
  </si>
  <si>
    <t>COMPUT LAW SECUR REV</t>
  </si>
  <si>
    <t>Comput. Law Secur. Rev.</t>
  </si>
  <si>
    <t>10.1016/j.clsr.2024.106069</t>
  </si>
  <si>
    <t>M1R2M</t>
  </si>
  <si>
    <t>WOS:001355374900001</t>
  </si>
  <si>
    <t>Huertas-Bailen, A; Quintas-Froufe, N; Gonzalez-Neira, A</t>
  </si>
  <si>
    <t>Huertas-Bailen, Amparo; Quintas-Froufe, Natalia; Gonzalez-Neira, Ana</t>
  </si>
  <si>
    <t>Audience Participation in Tiktok's Metadata</t>
  </si>
  <si>
    <t>Audience; Metadata; Participation; TikTok; Social Media; Video.</t>
  </si>
  <si>
    <t>MEDIA; ALGORITHMS; AGE</t>
  </si>
  <si>
    <t>With the expansion of the digital culture, deep reflection on how to research audiences is necessary. If before the individual was placed in a social category determining cultural tastes, now technology identifies patterns of behavior from the direct record of their actions. This text explores the type of knowledge that can be gained on audience participation in TikTok. We propose a methodology that consist in the analyse of usage metadata. Fieldwork has focused on &lt;&lt; A2ality &gt;&gt;, an information account with 4.4 million followers in Spain. We analyzed all videos shared during six weeks of the first quarter of 2023 (n=173). The purpose was to know (a) the degree of the linear correlation between the metadata of the same piece and (b) the existence of correlations between metadata and type of video/ content. For each metadata available in open (comments, likes, saves, shares and very high), four activity levels have been established (low, medium, high and top). The majority trend indicates that the levels obtained by the metadata of the same content are not coincident, that is, a video will have more or less scope according to the observed metadata. The homogeneity of the videos has caused that only clear correlations between topic and metadata are detected. Topics with less presence can reach high levels of activity.</t>
  </si>
  <si>
    <t>[Huertas-Bailen, Amparo] Univ Autonoma Barcelona, Barcelona, Spain; [Quintas-Froufe, Natalia; Gonzalez-Neira, Ana] Univ A Coruna, La Coruna, Spain</t>
  </si>
  <si>
    <t>Autonomous University of Barcelona; Universidade da Coruna</t>
  </si>
  <si>
    <t>Huertas-Bailen, A (corresponding author), Univ Autonoma Barcelona, Barcelona, Spain.</t>
  </si>
  <si>
    <t>amparo.huertas@uab.ca; n.quintas.froufe@udc.es; ana.gneira@udc.es</t>
  </si>
  <si>
    <t>Bailén, Amparo/L-4091-2019</t>
  </si>
  <si>
    <t>Este estudio es una accion fruto del proyecto &lt;&lt; Polarizacion social e interculturalidad: el seguimiento de la actualidad politica por parte de la juventud migrante y autoctona desde una mirada interseccional (POINTAP) &gt;&gt; (PID2021-125032OB-I00) , aprobado en la convocatoria 2021 &lt;&lt; PROYECTOS DE GENERACIN DE CONOCIMIENTO &gt;&gt;, en el marco del Programa Estatal para impulsar la Investigacion Cientifico-Tecnica y su Transferencia, Plan Estatal de Investigacion Cientifica, Tecnica y de Innovacion 2021-2023.</t>
  </si>
  <si>
    <t>Oxbridge Publishing House</t>
  </si>
  <si>
    <t>Sollihul</t>
  </si>
  <si>
    <t>4 White House Way, Sollihul, ENGLAND</t>
  </si>
  <si>
    <t>10.58262/V32I78.7</t>
  </si>
  <si>
    <t>F4I9K</t>
  </si>
  <si>
    <t>WOS:001309482500007</t>
  </si>
  <si>
    <t>Masciantonio, A; Bourguignon, D; Bouchat, P; Balty, M; Rimé, B</t>
  </si>
  <si>
    <t>Masciantonio, Alexandra; Bourguignon, David; Bouchat, Pierre; Balty, Manon; Rime, Bernard</t>
  </si>
  <si>
    <t>Don't put all social network sites in one basket: Facebook, Instagram, Twitter, TikTok, and their relations with well-being during the COVID-19 pandemic</t>
  </si>
  <si>
    <t>SELF-ESTEEM; MEDIA; SATISFACTION</t>
  </si>
  <si>
    <t>Prior studies indicated that actively using social network sites (SNSs) is positively associated with well-being by enhancing social support and feelings of connectedness. Conversely, passively using SNSs is negatively associated with well-being by fostering upward social comparison and envy. However, the majority of these studies has focused on Facebook. The present research examined the relationships between well-being-satisfaction with life, negative affect, positive affect-and using actively or passively various SNSs-Facebook, Instagram, Twitter, TikTok-during the COVID-19 pandemic. In addition, two mediators were tested: social support and upward social comparison. One thousand four persons completed an online survey during the quarantine measures; the analyses employed structural equation modeling. Results showed that passive usage of Facebook is negatively related to well-being through upward social comparison, whereas active usage of Instagram is positively related to satisfaction with life and negative affect through social support. Furthermore, active usage of Twitter was positively related to satisfaction with life through social support; while passive usage was negatively related to upward social comparison, which, in turn, was associated with more negative affect. Finally, TikTok use was not associated with well-being. Results are discussed in line with SNSs' architectures and users' motivations. Future research is required to go beyond methodological and statistical limitations and allow generalization. This study concludes that SNSs must be differentiated to truly understand how they shape human interactions.</t>
  </si>
  <si>
    <t>[Masciantonio, Alexandra; Bourguignon, David; Bouchat, Pierre; Balty, Manon] Univ Lorraine, Dept Psychol, Metz, France; [Rime, Bernard] Catholic Univ Louvain, Dept Psychol, Louvain La Neuve, Belgium</t>
  </si>
  <si>
    <t>Universite de Lorraine; Universite Catholique Louvain</t>
  </si>
  <si>
    <t>Masciantonio, A (corresponding author), Univ Lorraine, Dept Psychol, Metz, France.</t>
  </si>
  <si>
    <t>Alexandra.masciantonio@univ-lorraine.fr</t>
  </si>
  <si>
    <t>MASCIANTONIO, Alexandra/GSO-3370-2022; Bourguignon, David/AAC-9707-2020</t>
  </si>
  <si>
    <t>Bourguignon, David/0000-0001-5428-422X; Bouchat, Pierre/0000-0002-6639-6453; MASCIANTONIO, Alexandra/0000-0001-5550-4976</t>
  </si>
  <si>
    <t>e0248384</t>
  </si>
  <si>
    <t>10.1371/journal.pone.0248384</t>
  </si>
  <si>
    <t>QX8JZ</t>
  </si>
  <si>
    <t>WOS:000629590400051</t>
  </si>
  <si>
    <t>Wang, F; Cheng, T; Chemakin, K; Rothchild, E; Ricci, JA</t>
  </si>
  <si>
    <t>Wang, Fei; Cheng, Tiffany; Chemakin, Katherine; Rothchild, Evan; Ricci, Joseph A.</t>
  </si>
  <si>
    <t>TransTok - An analysis of surgical gender affirmation content on TikTok</t>
  </si>
  <si>
    <t>JOURNAL OF PLASTIC RECONSTRUCTIVE AND AESTHETIC SURGERY</t>
  </si>
  <si>
    <t>Plastic Surgery The Meeting / 91st Meeting of the American-Society-of-Plastic-Surgeons (ASPS)</t>
  </si>
  <si>
    <t>OCT 27-30, 2022</t>
  </si>
  <si>
    <t>Amer Soc Plast Surg</t>
  </si>
  <si>
    <t>TikTok; Social media; Transgender; Gender affirmation; surgery</t>
  </si>
  <si>
    <t>SOCIAL MEDIA; HEALTH; INFORMATION; QUALITY; USAGE; CARE</t>
  </si>
  <si>
    <t>Purpose: Social media platforms are popular sources of medical information but may harbor harmful misinformation. This study aims to evaluate the effect of TikTok on the transgender population, which may be more likely to seek information from non-traditional sources because of high medical mistrust. Methods: Twenty gender affirmation related hashtags were queried, with the top 25 videos per hashtag included for analysis. Videos were categorized based on the content and creator. Variables included likes, comments, shares, and video views. All educational videos were analyzed for reliability of information using a modified DISCERN (mDISCERN) score and the Patient Education Materials Assessment Tool (PMAT). Kruskal-Wallis H tests, Mann-Whitney U tests, and simple linear regression models were used in analysis. Results: A total of 429 videos amassed 571,434,231 views, 108,050,498 likes, 2,151,572 comments, and 190,9744 shares. Patients were the majority of content creators (74.88%), with patient experiences being the majority of videos (36.07%). Non-physician creators had significantly higher likes and comments when compared to physicians (6185 vs. 1645, p = 0.028; 108 vs. 47, p = 0.016 respectively). Sixty educational videos were included in information reliability analysis. There were no significant differences between video characteristics of different content creators, even after stratifying according to physician status. Significant differences were observed in the reliability of information according to PMAT and mDISCERN scores, with physician created videos being significantly higher rated than non-physician created videos (0.90 vs. 0.84, p &lt; 0.001; 3 vs. 2, p &lt; 0.001, respectively). Conclusion: Lower quality information is associated with non-physician content creators. We encourage physicians to be continuously involved in creating quality information on TikTok. (c) 2023 British Association of Plastic, Reconstructive and Aesthetic Surgeons. Published by Elsevier Ltd. All rights reserved.</t>
  </si>
  <si>
    <t>[Wang, Fei; Cheng, Tiffany; Chemakin, Katherine; Rothchild, Evan; Ricci, Joseph A.] Montefiore Med Ctr, Albert Einstein Coll Med, Dept Surg, Div Plast &amp; Reconstruct Surg, New York, NY USA; [Ricci, Joseph A.] Montefiore Med Ctr, Albert Einstein Coll Med, Dept Surg, Div Plast Surg, 1776 Eastchester Rd,Suite 200, Bronx, NY 10461 USA</t>
  </si>
  <si>
    <t>Montefiore Medical Center; Yeshiva University; Yeshiva University; Montefiore Medical Center; Albert Einstein College of Medicine</t>
  </si>
  <si>
    <t>Ricci, JA (corresponding author), Montefiore Med Ctr, Albert Einstein Coll Med, Dept Surg, Div Plast Surg, 1776 Eastchester Rd,Suite 200, Bronx, NY 10461 USA.</t>
  </si>
  <si>
    <t>Rothchild, Evan/0000-0002-0081-3277</t>
  </si>
  <si>
    <t>1748-6815</t>
  </si>
  <si>
    <t>1878-0539</t>
  </si>
  <si>
    <t>J PLAST RECONSTR AES</t>
  </si>
  <si>
    <t>J. Plast. Reconstr. Aesthet. Surg.</t>
  </si>
  <si>
    <t>10.1016/j.bjps.2023.05.038</t>
  </si>
  <si>
    <t>Q8FK0</t>
  </si>
  <si>
    <t>WOS:001059823200001</t>
  </si>
  <si>
    <t>Samuel, L; Tang, H; Basch, CH</t>
  </si>
  <si>
    <t>Samuel, L.; Tang, H.; Basch, C. H.</t>
  </si>
  <si>
    <t>TikTok: a far-reaching opportunity for health professionals to address weight loss</t>
  </si>
  <si>
    <t>PUBLIC HEALTH</t>
  </si>
  <si>
    <t>TikTok; Weight loss; Body image; Transformational imagery</t>
  </si>
  <si>
    <t>SOCIAL MEDIA; SUPPORT</t>
  </si>
  <si>
    <t>Objectives: Recent behavioral research indicates that social media may be successfully integrated into weight loss interventions to mitigate the obesity epidemic that has been linked with type two diabetes, cardiovascular diseases, cancers, as well as poor psychological health. This study aimed to examine the content and characteristics of 100 most trending TikTok videos related to weight loss.Study design: This was a cross-sectional, descriptive study.Methods: Videos were analyzed for source, predominant theme, and inclusion of specific content. Independent two-tailed t-tests assessed the effect of content on number of comments, likes, and forwards garnered by the videos.Results: More than 90% of the videos were consumer generated, indicating a missed opportunity by health professionals to use social media to provide accurate information regarding weight loss. Less than one-fifth of the videos were informational but significantly influenced the number of comments (P &lt;.001) and likes (P = .002). Videos mentioning benefits ((P &lt;.001) and speed of weight loss (P = .003) significantly influenced the number of forwards, whereas those that mentioned recipes (P = .005) and how to lose weight (P =.003) significantly affected the number of comments.Conclusion: The results underscore the need for further research to elucidate the effectiveness of social media in impacting weight loss, as well as how they may supplement traditional health promotion and behavior interventions for weight loss. (c) 2022 The Royal Society for Public Health. Published by Elsevier Ltd. All rights reserved.</t>
  </si>
  <si>
    <t>[Samuel, L.] City Univ New York, Lehman Coll, Dept Hlth Sci, Bronx, NY 10468 USA; [Tang, H.] Columbia Univ, Teachers Coll, Dept Hlth &amp; Behav Studies, New York, NY 10027 USA; [Basch, C. H.] William Paterson Univ, Dept Publ Hlth, Wayne, NJ 07470 USA</t>
  </si>
  <si>
    <t>Samuel, L (corresponding author), City Univ New York, Lehman Coll, Dept Hlth Sci, Bronx, NY 10468 USA.</t>
  </si>
  <si>
    <t>Lalitha.Samuel@lehman.cuny.edu</t>
  </si>
  <si>
    <t>Samuel, Lalitha/0000-0001-7480-3701</t>
  </si>
  <si>
    <t>W B SAUNDERS CO LTD</t>
  </si>
  <si>
    <t>32 JAMESTOWN RD, LONDON NW1 7BY, ENGLAND</t>
  </si>
  <si>
    <t>0033-3506</t>
  </si>
  <si>
    <t>1476-5616</t>
  </si>
  <si>
    <t>Public Health</t>
  </si>
  <si>
    <t>10.1016/j.puhe.2022.10.010</t>
  </si>
  <si>
    <t>8D5OX</t>
  </si>
  <si>
    <t>WOS:000918343500007</t>
  </si>
  <si>
    <t>Cuevas-Calderón, E; Demuru, P; Kanashiro, L; Dongo, EY; Anzelmo, A</t>
  </si>
  <si>
    <t>Cuevas-Calderon, Elder; Demuru, Paolo; Kanashiro, Lilian; Dongo, Eduardo Yalan; Anzelmo, Angela</t>
  </si>
  <si>
    <t>Cultural War of the Radical Conservative Right on TikTok: A Comparative Study of Influencers in Peru, Brazil, France and Italy</t>
  </si>
  <si>
    <t>Far-Right; TikTok; Conservatism Groups; Influencers; Cultural War</t>
  </si>
  <si>
    <t>POLITICIANS; HATE</t>
  </si>
  <si>
    <t>This research analyzed and compared the construction of discursive values of Radical Right in the Global North and South. We adopted an exploratory-qualitative approach, comparing content from nano influencers on TikTok in Peru, Brazil, France, and Italy to explore the cultural war and how they represent the enemy of the people. The methodology was based on four filtering processes. The first focuses on defining nanoinfluencers as the subject of this study. The second involves obtaining accounts via the Influencity platform. The third entails refining accounts using a codebook derived from the existing literature to determine their relevance to content production from a radical right perspective. The fourth process involves selecting videos from July to December 2023, resulting in a sample of n=154 videos. The results show that in Latin America, religious rhetoric is used to emotionally connect with the audience and resist the progressive dictatorship, while in Europe, the discourse seeks to distance itself from the already entrenched progressive dictatorship in the government. In Latin America, the goal is to prevent its arrival, whereas in Europe, it is disassociated from progressivism. This study contributes to the analysis of the singularities and contradictions in the discursive production of Latin American Radical Right, expanding the existing literature.</t>
  </si>
  <si>
    <t>[Cuevas-Calderon, Elder; Kanashiro, Lilian; Dongo, Eduardo Yalan] Univ Lima, Lima, Peru; [Demuru, Paolo] Univ Presbiteriana Mackenzie, Sao Paulo, Brazil; [Anzelmo, Angela] Galatasaray Univ, Estambul, Turkiye</t>
  </si>
  <si>
    <t>Universidad de Lima; Universidade Presbiteriana Mackenzie; Galatasaray University</t>
  </si>
  <si>
    <t>Cuevas-Calderón, E (corresponding author), Univ Lima, Lima, Peru.</t>
  </si>
  <si>
    <t>ecuevas@ulima.edu.pe; paolo.demuru@mackenzie.br; lkanashi@ulima.edu.pe; educotres@gmail.com; aanzelmo@gsu.edu.tr</t>
  </si>
  <si>
    <t>Demuru, Paolo/GRY-0356-2022; KANASHIRO, LILIAN/AAI-7007-2021</t>
  </si>
  <si>
    <t>10.30920/letras.95.141.11</t>
  </si>
  <si>
    <t>WOS:001297147600011</t>
  </si>
  <si>
    <t>Busurkina, IP</t>
  </si>
  <si>
    <t>Busurkina, Irina P.</t>
  </si>
  <si>
    <t>Ethics and Values in the Digital Environment: by the Example of Parody Videos on TikTok</t>
  </si>
  <si>
    <t>Ethics of Parody; Ethical Expertise; Parody Videos; Digital Media; Values of Humor; Informational Services; TikTok; Humor Censorship; Humor as Social Criticism; Cultural Trauma</t>
  </si>
  <si>
    <t>POLITICAL PARODY; SOCIAL MEDIA; SATIRE; HUMOR; INTERNET; FUNNY</t>
  </si>
  <si>
    <t>The ethics of the comic is a relatively new interdisciplinary field of knowledge that is gaining new relevance with the development of a variety of social media. The purpose of this article is to review the existing research and show by examples how ethics and values are closely related to the specific functions of social media, such as distributing parody content and commenting on it. The main focus of our study is a parody which can be defined as communicative behavior in the form of a text, movement, or even a song, imitating the characteristics or behavior of the object being ridiculed. Unlike a literal quotation, a parody reproduces the original in a distorted form for the purpose of mockery. Within this article modern ethical approaches to the evaluation of parody as well as the main functions of parody in the digital environment are considered. Based on the examples of parody videos on TikTok the particular ways of expressing social problems and cultural traumas by using the comic strategies are identified. Furthermore, the issues of algorithmic censorship concerning such videos as well as the problem of the moral autonomy of users are discussed.</t>
  </si>
  <si>
    <t>[Busurkina, Irina P.] RAS, Inst Sociol, Res Ctr Cultural Exclus &amp; Frontier Zones RCCEFZ R, St Petersburg, Russia</t>
  </si>
  <si>
    <t>Russian Academy of Sciences; Federal Center of Theoretical &amp; Applied Sociology - FCTAS; Institute of Sociology of the RAS; Sociological Institute of the Russian Academy of Sciences</t>
  </si>
  <si>
    <t>Busurkina, IP (corresponding author), RAS, Inst Sociol, Res Ctr Cultural Exclus &amp; Frontier Zones RCCEFZ R, St Petersburg, Russia.</t>
  </si>
  <si>
    <t>ipbusurkina@gmail.com</t>
  </si>
  <si>
    <t>Busurkina, Irina/AAC-6027-2021</t>
  </si>
  <si>
    <t>10.46539/gmd.v3i3.137</t>
  </si>
  <si>
    <t>WQ3LO</t>
  </si>
  <si>
    <t>WOS:000713721200018</t>
  </si>
  <si>
    <t>Sykes, I</t>
  </si>
  <si>
    <t>Sykes, Isabel</t>
  </si>
  <si>
    <t>From 'girlboss' to #stayathomegirlfriend: The romanticisation of domestic labour on TikTok</t>
  </si>
  <si>
    <t>Domestic labour; popular feminism; #stayathomegirlfriend; TikTok; tradwives</t>
  </si>
  <si>
    <t>PSYCHIC LIFE; WORK; CONTRADICTIONS; GENDER</t>
  </si>
  <si>
    <t>Since the beginning of the Covid-19 pandemic, romanticised depictions of domestic work have proliferated on social media sites. In particular, the increasingly popular TikTok platform is replete with images of domestic labour centred on repetitive routines, catharsis and feminine aesthetics. The #stayathomegirlfriend trend exemplifies this phenomenon. Rooted in tradwife ideology, which advocates a 'return' to a male breadwinner model of domesticity, the #stayathomegirlfriend aesthetic espouses a romantic ideal of feminine domesticity as an escape from the 'double shift' and represents a backlash to popular feminism's failed injunction to 'lean in'. Under this trend, domestic labour is romanticised as an aesthetically pleasing self-care practice for a generation who have watched their mothers suffer through the grind of the neoliberal labour market, and who are themselves incited to become a 'girlboss' to survive it. Through a thematic analysis of popular videos under this hashtag trend, this article reveals that stay-at-home girlfriends unwittingly mimic the popular feminist doctrine of 'empowerment' through their depictions of domestic self-care and channel 'girlboss' culture through their work as social media influencers. Thus, despite purporting to reject popular feminism's celebration of the 'girlboss' and repurpose tradwife ideology for Generation Z, stay-at-home girlfriends accomplish neither: subjugating themselves within the 'double shift' and denying the value of their own labour on both fronts.</t>
  </si>
  <si>
    <t>[Sykes, Isabel] Brunel Univ, London, England</t>
  </si>
  <si>
    <t>Brunel University</t>
  </si>
  <si>
    <t>Sykes, I (corresponding author), Brunel Univ London, Dept Social &amp; Polit Sci, Kingston Lane, Uxbridge UB8 3PH, England.</t>
  </si>
  <si>
    <t>2254911@brunel.ac.uk</t>
  </si>
  <si>
    <t>Arts and Humanities Research Council as part of the Techne Doctoral Training Partnership [AH/ R01275X/1]</t>
  </si>
  <si>
    <t>Arts and Humanities Research Council as part of the Techne Doctoral Training Partnership</t>
  </si>
  <si>
    <t>The author(s) disclosed receipt of the following financial support for the research, authorship, and/or publication of this article: This work was supported by the Arts and Humanities Research Council as part of the Techne Doctoral Training Partnership [Training Grant reference number AH/ R01275X/1].</t>
  </si>
  <si>
    <t>10.1177/13675494241285643</t>
  </si>
  <si>
    <t>J3Z7N</t>
  </si>
  <si>
    <t>WOS:001336485700001</t>
  </si>
  <si>
    <t>Tenea, A</t>
  </si>
  <si>
    <t>Tenea, Anca</t>
  </si>
  <si>
    <t>Algorithmically Mediated Nostalgia through Recordings of Post-Communist Parties on TikTok and Instagram</t>
  </si>
  <si>
    <t>ROMANIAN JOURNAL OF COMMUNICATION AND PUBLIC RELATIONS</t>
  </si>
  <si>
    <t>platform affordances; nostalgia; social media; algorithmic imaginary; remediation</t>
  </si>
  <si>
    <t>Among numerous capabilities, social media platforms have also enabled users to remix and repurpose analog videos through their features. This remediated media is further propelled by the platforms' algorithmic systems, thus enhancing their visibility among users who, as affective publics, can interact with it and further remediate it. This paper discusses how the nostalgic discourse takes shape on Instagram and TikTok around remediated analog videos of parties and celebrations during the 1990s in Romania and how the platform affordances and the algorithmic imaginary of the affective publics influence the nostalgic discourse. The exploratory study utilizes a mixed method - combining digital ethnography, discourse analysis, and digital humanities - the research identifies a double-folded nostalgia, which is impacted by the interplay between each platform's specific affordances and the imagined rules and styles of the platforms, imagined by their users.</t>
  </si>
  <si>
    <t>[Tenea, Anca] Univ Bucharest, CESI, Space Image Text Terr Doctoral Sch, Bucharest, Romania</t>
  </si>
  <si>
    <t>University of Bucharest</t>
  </si>
  <si>
    <t>Tenea, A (corresponding author), Univ Bucharest, CESI, Space Image Text Terr Doctoral Sch, Bucharest, Romania.</t>
  </si>
  <si>
    <t>anca.tenea@gmail.com</t>
  </si>
  <si>
    <t>SCOALA NATL STUDII POLITICE ADM - SNSPA, FAC COMINICARE REALTI PUBLICE</t>
  </si>
  <si>
    <t>BUCHAREST</t>
  </si>
  <si>
    <t>Bd Expozitiei, Nr 30A, Sector 1, BUCHAREST, ILFOV, ROMANIA</t>
  </si>
  <si>
    <t>1454-8100</t>
  </si>
  <si>
    <t>2344-5440</t>
  </si>
  <si>
    <t>ROM J COMMUN PUB REL</t>
  </si>
  <si>
    <t>Rom. J. Commun. Public Relat.</t>
  </si>
  <si>
    <t>LW2H7</t>
  </si>
  <si>
    <t>WOS:001189767700001</t>
  </si>
  <si>
    <t>Lloveras, MC</t>
  </si>
  <si>
    <t>Lloveras, Maria Castellvi</t>
  </si>
  <si>
    <t>From postfeminism to neoliberal and popular feminism through content shared by TikTok and Instagram influencers between 2017 and 2021</t>
  </si>
  <si>
    <t>COMUNICACIO-REVISTA DE RECERCA I D ANALISI</t>
  </si>
  <si>
    <t>TikTok; lnstagram; postfeminism; neoliberalism; influencers; social media</t>
  </si>
  <si>
    <t>Influencers are one of the social media figures with the greatest ability to impact a wide audience of young people, especially women. By laying bare their intimacy to millions of followers, they obtain social status and visibility, becoming microcelebrities (Hearn, 2008; Marwick, 2015). Using social semiotics, this paper presents a comparative study of the contents published by two generations of female influencers between 2017 and 2021. The aim is to analyse the evolution of these influencers in order to identify similarities, changes and contradictions with respect to the representation of their feminine identity. The images, videos and texts shared by these young people contain implicit elements that illustrate the revision and updating of postfeminist sensitivity towards new paradigms, such as neoliberal or popular feminism, which presents a new conception of female empowerment based on individuality.</t>
  </si>
  <si>
    <t>[Lloveras, Maria Castellvi] Univ Pompeu Fabra, Dept Comunicacio, Grp Recerca MEDIUM, Barcelona, Spain</t>
  </si>
  <si>
    <t>Lloveras, MC (corresponding author), Univ Pompeu Fabra, Dept Comunicacio, Grp Recerca MEDIUM, Barcelona, Spain.</t>
  </si>
  <si>
    <t>maria.castellvi@upf.edu</t>
  </si>
  <si>
    <t>CASTELLVI, MARIA/ISB-6043-2023</t>
  </si>
  <si>
    <t>SOC CATALANA COMUNICACIO</t>
  </si>
  <si>
    <t>CARRER DEL CARME 47, BARCELONA, 08001, SPAIN</t>
  </si>
  <si>
    <t>2014-0304</t>
  </si>
  <si>
    <t>2014-0444</t>
  </si>
  <si>
    <t>COMUNICACIO</t>
  </si>
  <si>
    <t>Comunicacio</t>
  </si>
  <si>
    <t>10.2436/20.3008.01.225</t>
  </si>
  <si>
    <t>L4PM6</t>
  </si>
  <si>
    <t>WOS:001023101600001</t>
  </si>
  <si>
    <t>Chao, M; Lei, J; He, R; Jiang, YP; Yang, HB</t>
  </si>
  <si>
    <t>Chao, Miao; Lei, Jing; He, Ru; Jiang, Yunpeng; Yang, Haibo</t>
  </si>
  <si>
    <t>TikTok use and psychosocial factors among adolescents: Comparisons of non-users, moderate users, and addictive users</t>
  </si>
  <si>
    <t>PSYCHIATRY RESEARCH</t>
  </si>
  <si>
    <t>Short-video application use; Mental health; Social media; Adolescent; Addiction; School</t>
  </si>
  <si>
    <t>SOCIAL MEDIA USE; SHORT-FORM; FACEBOOK USE; SITE USE; ANXIETY; SCALE; DEPRESSION; STRESS; NETWORKING; STUDENTS</t>
  </si>
  <si>
    <t>Short-video applications like TikTok are increasingly popular. This study examines the association between short-video application use (SVU) and psychosocial factors in 1,346 adolescents (Mage = 14.97, 51.8% female). 199 non-users and 1147 users (686 moderate users, 461 addictive users) were identified. Results revealed a high prevalence of addictive SVU in the sample. Addictive users exhibited worse mental health conditions than non-users and moderate users, including higher levels of depression, anxiety, stress, loneliness, social anxiety, attention problems, and lower life satisfaction and sleep quality. Addictive users also faced higher academic stress, poorer academic performance, more bullying victimization, worse parental relationships, more negative parenting styles, and lower parental education levels. Moderate users had different family environments than non-users, but no differences in mental health or school performance. Together, these findings suggest that addictive users experience a more disadvantageous situation across mental health, family, and school conditions, while non-users have advantageous family environments. Moderate SVU may not be associated with negative mental health condition or poor school performance. Moderate and addictive SVU should be considered distinct phenomena. Given the psychiatric symptoms present in addictive users of TikTok and similar apps, targeted interventions and treatments are urgently needed.</t>
  </si>
  <si>
    <t>[Chao, Miao; Jiang, Yunpeng; Yang, Haibo] Tianjin Normal Univ, Acad Psychol &amp; Behav, Minist Educ, Key Res Base Humanities &amp; Social Sci, Tianjin, Peoples R China; [Chao, Miao; Lei, Jing; He, Ru; Jiang, Yunpeng; Yang, Haibo] Tianjin Normal Univ, Fac Psychol, Tianjin, Peoples R China; [Chao, Miao; Jiang, Yunpeng; Yang, Haibo] Ctr Collaborat Innovat Assessment &amp; Promot Mental, Tianjin, Peoples R China; [Jiang, Yunpeng] 393 Binshuixi Rd, Tianjin 300387, Peoples R China</t>
  </si>
  <si>
    <t>Tianjin Normal University; Tianjin Normal University</t>
  </si>
  <si>
    <t>Jiang, YP (corresponding author), 393 Binshuixi Rd, Tianjin 300387, Peoples R China.</t>
  </si>
  <si>
    <t>jiangyp@tjnu.edu.cn</t>
  </si>
  <si>
    <t>Haibo, Yang/IUO-0953-2023</t>
  </si>
  <si>
    <t>Haibo, Yang/0000-0003-0386-5336; Chao, Miao/0000-0002-6286-5857</t>
  </si>
  <si>
    <t>National Social Science Fund of~China [21CSH050]; Tianjin Philosophy and Social Science Project [TJJXQN20-003, TJJX21-013]</t>
  </si>
  <si>
    <t>National Social Science Fund of~China; Tianjin Philosophy and Social Science Project</t>
  </si>
  <si>
    <t>This work was supported by the National Social Science Fund of China [No. 21CSH050] , Tianjin Philosophy and Social Science Project [TJJXQN20-003] and [TJJX21-013] .</t>
  </si>
  <si>
    <t>0165-1781</t>
  </si>
  <si>
    <t>1872-7123</t>
  </si>
  <si>
    <t>PSYCHIAT RES</t>
  </si>
  <si>
    <t>Psychiatry Res.</t>
  </si>
  <si>
    <t>10.1016/j.psychres.2023.115247</t>
  </si>
  <si>
    <t>I2PY0</t>
  </si>
  <si>
    <t>WOS:001001266400001</t>
  </si>
  <si>
    <t>Lu, YD; Shen, CH</t>
  </si>
  <si>
    <t>Lu, Yingdan; Shen, Cuihua (Cindy)</t>
  </si>
  <si>
    <t>Unpacking Multimodal Fact-Checking: Features and Engagement of Fact-Checking Videos on Chinese TikTok (Douyin)</t>
  </si>
  <si>
    <t>fact-checking; misinformation; multimodal; TikTok; Douyin; video; image-as-data</t>
  </si>
  <si>
    <t>SCIENCE; HEALTH; MISINFORMATION; INFORMATION; TWITTER; NEWS</t>
  </si>
  <si>
    <t>As fact-checking videos increasingly circulate on video-sharing platforms, more research is needed to understand the prevalent features of such videos and how they are associated with audience engagement. Drawing from the literature on fact-checking, communication, marketing, and computer science, we identified eight audiovisual features as well as seven persuasive strategies that are most relevant to fact-checking videos. Using a hybrid video analysis framework combining both automated and manual content analysis, we examined 4,309 fact-checking videos on Douyin, the Chinese version of TikTok. We found that fact-checking videos on Douyin tended to have higher brightness, less cool color dominance, and faster tempo than non-fact-checking videos from the same accounts and Douyin Trending videos, and frequently used persuasive strategies like clickbait and humor. Through feature clustering, we established three types of fact-checking videos on Douyin-long storytelling cartoons, short stimulating videos, and short authoritative videos. We found that several audiovisual features and persuasive strategies were associated with audience engagement, such as likes, comments, and reshares. This study sheds light on the common practices of fact-checking videos in Chinese cyberspace, extends the current image-as-data paradigm to fact-checking videos, and helps fact-checkers make evidence-based decisions on content creation.</t>
  </si>
  <si>
    <t>[Lu, Yingdan] Stanford Univ, Stanford, CA USA; [Shen, Cuihua (Cindy)] Univ Calif Davis, Davis, CA USA</t>
  </si>
  <si>
    <t>Stanford University; University of California System; University of California Davis</t>
  </si>
  <si>
    <t>Lu, YD (corresponding author), Stanford Univ, Dept Commun, Room 110,Bldg 120,450 Jane Stanford Way, Stanford, CA 94305 USA.</t>
  </si>
  <si>
    <t>yingdan@stanford.edu</t>
  </si>
  <si>
    <t>Lu, Yingdan/AAY-5538-2020</t>
  </si>
  <si>
    <t>Lu, Yingdan/0000-0002-9955-6070; Shen, Cuihua/0000-0003-1645-8211</t>
  </si>
  <si>
    <t>Stanford University, Stanford Program on Democracy and the Internet (PDI) Research Funding; University of California &gt; University of California, Davis, Academic Senate Research Grant</t>
  </si>
  <si>
    <t>The author(s) disclosed receipt of the following financial support for the research, authorship, and/or publication of this article: Stanford University, Stanford Program on Democracy and the Internet (PDI) Research Funding; University of California &gt; University of California, Davis, Academic Senate Research Grant.</t>
  </si>
  <si>
    <t>10.1177/20563051221150406</t>
  </si>
  <si>
    <t>9F1VP</t>
  </si>
  <si>
    <t>WOS:000937263200001</t>
  </si>
  <si>
    <t>Boulianne, S; Lee, S</t>
  </si>
  <si>
    <t>Boulianne, Shelley; Lee, Sangwon</t>
  </si>
  <si>
    <t>Conspiracy Beliefs, Misinformation, Social Media Platforms, and Protest Participation</t>
  </si>
  <si>
    <t>conspiracy; cross-national; Facebook; misinformation; protest; social media; TikTok; Twitch; YouTube</t>
  </si>
  <si>
    <t>POLITICAL-PARTICIPATION; ENGAGEMENT; TWITTER</t>
  </si>
  <si>
    <t>Protest has long been associated with left-wing actors and left-wing causes. However, right-wing actors also engage in protest. Are right-wing actors mobilized by the same factors as those actors on the left? This article uses cross-national survey data (i.e., US, UK, France, and Canada) gathered in February 2021 to assess the role of misinformation, conspiracy beliefs, and the use of different social media platforms in explaining participation in marches or demonstrations. We find that those who use Twitch or TikTok are twice as likely to participate in marches or demonstrations, compared to non-users, but the uses of these platforms are more highly related to participation in right-wing protests than left-wing protests. Exposure to misinformation on social media and beliefs in conspiracy theories also increase the likelihood of participating in protests. Our research makes several important contributions. First, we separate right-wing protest participation from left-wing protest participation, whereas existing scholarship tends to lump these together. Second, we offer new insights into the effects of conspiracy beliefs and misinformation on participation using cross-national data. Third, we examine the roles of emerging social media platforms such as Twitch and TikTok (as well as legacy platforms such as YouTube and Facebook) to better understand the differential roles that social media platforms play in protest participation.</t>
  </si>
  <si>
    <t>[Boulianne, Shelley] MacEwan Univ, Dept Sociol, Edmonton, AB, Canada; [Lee, Sangwon] New Mexico State Univ, Dept Commun Studies, Las Cruces, NM 88003 USA</t>
  </si>
  <si>
    <t>New Mexico State University</t>
  </si>
  <si>
    <t>Boulianne, S (corresponding author), MacEwan Univ, Dept Sociol, Edmonton, AB, Canada.</t>
  </si>
  <si>
    <t>sjboulianne@gmail.com</t>
  </si>
  <si>
    <t>Boulianne, Shelley/D-8411-2013</t>
  </si>
  <si>
    <t>Boulianne, Shelley/0000-0002-8951-1098</t>
  </si>
  <si>
    <t>10.17645/mac.v10i4.5667</t>
  </si>
  <si>
    <t>6I2SE</t>
  </si>
  <si>
    <t>WOS:000885979600004</t>
  </si>
  <si>
    <t>Li, ZQ; Xie, YX; Netravali, R; Jamieson, K</t>
  </si>
  <si>
    <t>USENIX Association</t>
  </si>
  <si>
    <t>Li, Zhuqi; Xie, Yaxiong; Netravali, Ravi; Jamieson, Kyle</t>
  </si>
  <si>
    <t>Dashlet: Taming Swipe Uncertainty for Robust Short Video Streaming</t>
  </si>
  <si>
    <t>PROCEEDINGS OF THE 20TH USENIX SYMPOSIUM ON NETWORKED SYSTEMS DESIGN AND IMPLEMENTATION, NSDI 2023</t>
  </si>
  <si>
    <t>20th USENIX Symposium on Networked Systems Design and Implementation (NSDI)</t>
  </si>
  <si>
    <t>APR 17-19, 2023</t>
  </si>
  <si>
    <t>USENIX,ACM SIGOPS,Amazon,Futurewei Technologies,Google,Meta,NetApp,Two Sigma,NSF,ByteDance,Vmware Univ Res Fund,King Abdullah Univ Sci &amp; Technol</t>
  </si>
  <si>
    <t>Short video streaming applications have recently gained substantial traction, but the non-linear video presentation they afford swiping users fundamentally changes the problem of maximizing user quality of experience in the face of the vagaries of network throughput and user swipe timing. This paper describes the design and implementation of Dashlet, a system tailored for high quality of experience in short video streaming applications. With the insights we glean from an in-the-wild TikTok performance study and a user study focused on swipe patterns, Dashlet proposes a novel out-of-order video chunk pre-buffering mechanism that leverages a simple, non machine learning-based model of users' swipe statistics to determine the pre-buffering order and bitrate. The net result is a system that outperforms TikTok by 28-101%, while also reducing by 30% the number of bytes wasted on downloaded video that is never watched.</t>
  </si>
  <si>
    <t>[Li, Zhuqi; Xie, Yaxiong; Netravali, Ravi; Jamieson, Kyle] Princeton Univ, Princeton, NJ 08544 USA</t>
  </si>
  <si>
    <t>Princeton University</t>
  </si>
  <si>
    <t>Li, ZQ (corresponding author), Princeton Univ, Princeton, NJ 08544 USA.</t>
  </si>
  <si>
    <t>NSF CNS grants [2152313, 2153449, 2147909, 2140552, 2151630]; Sloan Research Fellowship; Princeton School of Engineering and Applied Science</t>
  </si>
  <si>
    <t>NSF CNS grants; Sloan Research Fellowship(Alfred P. Sloan Foundation); Princeton School of Engineering and Applied Science</t>
  </si>
  <si>
    <t>We thank the anonymous reviewers and our shepherd, Sanjay Rao for their insightful comments. This material is supported in part by NSF CNS grants 2152313, 2153449, 2147909, 2140552, and 2151630, Sloan Research Fellowship, as well as a grant from the Princeton School of Engineering and Applied Science.</t>
  </si>
  <si>
    <t>978-1-939133-33-5</t>
  </si>
  <si>
    <t>BV7IK</t>
  </si>
  <si>
    <t>WOS:001066630000084</t>
  </si>
  <si>
    <t>Díaz-Herrera, L; González-Fernández, N; Salcines-Talledo, I</t>
  </si>
  <si>
    <t>Diaz-Herrera, Laura; Gonzalez-Fernandez, Natalia; Salcines-Talledo, Irina</t>
  </si>
  <si>
    <t>Critical Thinking in Primary School Teachers on the Use of Instagram and TikTok</t>
  </si>
  <si>
    <t>EDUCATION IN THE KNOWLEDGE SOCIETY</t>
  </si>
  <si>
    <t>social networks critical thinking; teachers primary school</t>
  </si>
  <si>
    <t>This research aims to discover the critical thinking skills that primary school teachers show as users of Instagram and/or TikTok, as well as how they express that they work on these skills with their students in the classroom. A qualitative methodology was chosen for this purpose, using a Focus Group with six teachers from different schools in Cantabria (Spain). The main results outline a contradictory situation in which teachers, despite handling a good part of the key com-petencies in critical thinking, avoid working systematically in the classroom due to a lack of infor-mation and general ignorance. Along these lines, the conclusions suggest the need to promote teacher training in critical thinking in education.</t>
  </si>
  <si>
    <t>[Diaz-Herrera, Laura; Gonzalez-Fernandez, Natalia; Salcines-Talledo, Irina] Univ Cantabria, Dept Educ, Santander, Spain</t>
  </si>
  <si>
    <t>Universidad de Cantabria</t>
  </si>
  <si>
    <t>Díaz-Herrera, L (corresponding author), Univ Cantabria, Dept Educ, Santander, Spain.</t>
  </si>
  <si>
    <t>lauradiazherrera8@gmail.com; gonzalen@unican.es; salcinesi@unican.es</t>
  </si>
  <si>
    <t>González-Fernández, Natalia/K-8959-2014; Salcines Talledo, Irina/H-1957-2015</t>
  </si>
  <si>
    <t>Salcines Talledo, Irina/0000-0003-0170-9807</t>
  </si>
  <si>
    <t>EDICIONES UNIV SALAMANCA</t>
  </si>
  <si>
    <t>APARTADO DE CORREOS 325, SALAMANCA, 00000, SPAIN</t>
  </si>
  <si>
    <t>2444-8729</t>
  </si>
  <si>
    <t>EDUC KNOWL SOC</t>
  </si>
  <si>
    <t>Educ. Knowl. Soc.</t>
  </si>
  <si>
    <t>NOV 17</t>
  </si>
  <si>
    <t>e27569</t>
  </si>
  <si>
    <t>10.14201/eks.27569</t>
  </si>
  <si>
    <t>6O1IQ</t>
  </si>
  <si>
    <t>WOS:000889999600001</t>
  </si>
  <si>
    <t>Zhang, YD; Lucas, M; Bem-Haja, P; Pedro, L</t>
  </si>
  <si>
    <t>Zhang, Yidi; Lucas, Margarida; Bem-Haja, Pedro; Pedro, Luis</t>
  </si>
  <si>
    <t>Analysis of short videos on TikTok for learning Portuguese as a foreign language</t>
  </si>
  <si>
    <t>Short videos; instructional videos; multimedia learning; foreign language; Portuguese; TikTok</t>
  </si>
  <si>
    <t>In recent years, short videos have proliferated on various social media platforms, serving as a visual resource with a long history of use for various educational purposes, including foreign language learning (FLL). Despite the growing interest in the use of such platforms for short video learning, little is currently known about the use of these platforms for FLL, highlighting the need to validate these learning resources within a theoretical framework. In this context, this article analyses 34 short videos for Portuguese language learning on TikTok using an adaptation of the principles of multimedia learning proposed by Mayer. It then analyses the relation between the number of principles and each cognitive processing dimension, and the number of views and likes. Results show the adapted principles are suitable for the analysis of short videos for FLL and reveal the most prevalent one is the principle of signalling. Furthermore, the article demonstrates that the more principles a video addresses, the more likes it receives, and that the fostering generative processing dimension plays an important role in this mediation. Overall, the article illustrates the practical application of online short videos as a targeted resource for facilitating FLL and streamlines the development of instructional design strategies for short videos in the context of online FLL.</t>
  </si>
  <si>
    <t>[Zhang, Yidi; Lucas, Margarida] Univ Aveiro, Dept Educ &amp; Psicol, Ctr Invest Didact &amp; Tecnol Formac Prof CIDTFF, Lab Contenidos Digitales, Aveiro, Portugal; [Bem-Haja, Pedro] Univ Aveiro, Dept Educ &amp; Psicol, Ctr Invest Tecnol &amp; Serv Sanitarios CINTESIS, Aveiro, Portugal; [Pedro, Luis] Univ Aveiro, Dept Comunicac &amp; Arte, Ctr Invest Medios Digitales &amp; Interacc DigiMedia, Aveiro, Portugal</t>
  </si>
  <si>
    <t>Universidade de Aveiro; Universidade de Aveiro; Universidade de Aveiro</t>
  </si>
  <si>
    <t>Zhang, YD (corresponding author), Univ Aveiro, Dept Educ &amp; Psicol, Ctr Invest Didact &amp; Tecnol Formac Prof CIDTFF, Lab Contenidos Digitales, Aveiro, Portugal.</t>
  </si>
  <si>
    <t>yidi@ua.pt; mlucas@ua.pt; pedro.bem-haja@ua.pt; Ipedro@ua.pt</t>
  </si>
  <si>
    <t>Lucas, Margarida/I-1339-2014; Pedro, Luis/W-4583-2018; Bem-Haja, Pedro/G-8283-2015</t>
  </si>
  <si>
    <t>Lucas, Margarida/0000-0002-7438-5287; Pedro, Luis/0000-0003-1763-8433; Bem-Haja, Pedro/0000-0002-7547-5743</t>
  </si>
  <si>
    <t>10.3916/C77-2023-01</t>
  </si>
  <si>
    <t>W6RD1</t>
  </si>
  <si>
    <t>WOS:001092871200001</t>
  </si>
  <si>
    <t>Ouyang, Y; Huang, L; Wei, ZB</t>
  </si>
  <si>
    <t>Ouyang, Yi; Huang, Liang; Wei, ZhongBin</t>
  </si>
  <si>
    <t>Research on the Influence Mechanism of Precision Marketing on Online Consumer Behaviour based on the 'S-O-R' Paradigm and Eroglu's (2001) Online Shopping Response Model</t>
  </si>
  <si>
    <t>2021 2ND INTERNATIONAL CONFERENCE ON E-COMMERCE AND INTERNET TECHNOLOGY (ECIT 2021)</t>
  </si>
  <si>
    <t>2nd International Conference on E-Commerce and Internet Technology (ECIT)</t>
  </si>
  <si>
    <t>MAR 05-07, 2021</t>
  </si>
  <si>
    <t>TikTok; precision marketing; perceived value of online shopping consumers; extroversion; online consumer behaviour</t>
  </si>
  <si>
    <t>ATTRIBUTES</t>
  </si>
  <si>
    <t>The development of e-commerce and the Internet has promoted the rise of the short video shopping platform called TikTok. The increasing scale of trading on the TikTok platform has aroused the increasing concern of people regarding practice and theory, but the influence mechanism of its precision marketing on consumer buying behaviour remains unclear. Combined with the `Stimulus-Organism-Response' framework and Eroglu's consumer online shopping response model, this study takes precision marketing as an independent variable and online consumer behaviour as a dependent variable. The perceived value of online shopping consumers is the mediating variable, whereas their extroversion is the moderating variable to establish the model. Through a network questionnaire, information is collected from 251 consumers. The positive correlation between precision marketing and the perceived value of online shopping consumers and purchase behaviour is confirmed by empirical research; the relationship between precision marketing and online consumer behaviour is mediated by consumer perceived value. The extraversion of online shopping consumers has a positive moderating effect on the relationship between their perceived value and precision marketing, including the above mediating effect on such a perceived value. The above conclusions provide theoretical basis and practical enlightenment for the network platform to improve its precision marketing effect.</t>
  </si>
  <si>
    <t>[Ouyang, Yi; Huang, Liang] Guangdong Univ Finance &amp; Econ Sch, Sch Business Adm, Guangzhou, Peoples R China; [Wei, ZhongBin] Guangzhou Labor Employment Serv Adm Ctr, Guangzhou, Peoples R China</t>
  </si>
  <si>
    <t>Huang, L (corresponding author), Guangdong Univ Finance &amp; Econ Sch, Sch Business Adm, Guangzhou, Peoples R China.</t>
  </si>
  <si>
    <t>lam_huang@163.com</t>
  </si>
  <si>
    <t>Mehrez, Sadok/AHD-9108-2022</t>
  </si>
  <si>
    <t>978-1-6654-3873-5</t>
  </si>
  <si>
    <t>10.1109/ECIT52743.2021.00055</t>
  </si>
  <si>
    <t>Business; Computer Science, Interdisciplinary Applications; Management</t>
  </si>
  <si>
    <t>BR8SG</t>
  </si>
  <si>
    <t>WOS:000672805700048</t>
  </si>
  <si>
    <t>Savolainen, I; Oksanen, A</t>
  </si>
  <si>
    <t>Savolainen, Iina; Oksanen, Atte</t>
  </si>
  <si>
    <t>Keeping you connected or keeping you addicted? Weekly use of social media platforms is associated with hazardous alcohol use and problem gambling among adults</t>
  </si>
  <si>
    <t>ALCOHOL AND ALCOHOLISM</t>
  </si>
  <si>
    <t>social media; hazardous alcohol use; problem gambling; longitudinal design</t>
  </si>
  <si>
    <t>DRINKING; CONSUMPTION; ADOLESCENTS; ATTITUDES; EXPOSURE; MODELS</t>
  </si>
  <si>
    <t>Aims A wide variety of social media platforms exist, each offering tailored solutions to attract specific target audiences based on their social media needs and interests. This diversity may pose a risk factor for the development or perpetuation of harmful behaviors. Research has established a connection between social media use and increased health risk behaviors. This six-wave exploratory longitudinal study investigated the associations between active social media use, hazardous alcohol use, and problem gambling among adult social media users.Methods Data were collected via surveys in 6-month intervals, starting in March-April 2021 (T1: N = 1530; Mage = 46.67; SD = 16.42; 50.33% male). Of the T1 respondents, 58.10% participated in T6 (n = 889). Measures included the frequency of use of different social media platforms, the 3-item Alcohol Use Disorders Identification Test (AUDIT-C), and the Problem Gambling Severity Index (PGSI). Hybrid multilevel regression models were used for analyses.Results We found positive within-person effects of weekly Facebook use and between-person effects of weekly use of Facebook, TikTok, and gambling-related online communities on drinking. These results suggest an increase in hazardous alcohol consumption over time among the platforms' active users. Weekly Instagram use had a negative between-person effect on hazardous alcohol use. Individuals using TikTok or gambling communities weekly were more prone to problem gambling compared to non-weekly users.Conclusions There are risks involved in the active use of some social media services among adult users. Prevention work, including digital health interventions, should be targeted according to the appropriate user group. Short Summary: In a six-wave longitudinal study of Finnish adults (N = 1530), active use of Facebook, TikTok, or virtual gambling communities was associated with hazardous alcohol consumption, while active engagement in gambling communities or TikTok was also linked to increased gambling problems over time.</t>
  </si>
  <si>
    <t>[Savolainen, Iina; Oksanen, Atte] Tampere Univ, Fac Social Sci, Kalevantie 5, Tampere 33014, Finland</t>
  </si>
  <si>
    <t>Tampere University</t>
  </si>
  <si>
    <t>Savolainen, I (corresponding author), Tampere Univ, Fac Social Sci, Kalevantie 5, Tampere 33014, Finland.</t>
  </si>
  <si>
    <t>iina.savolainen@tuni.fi; atte.oksanen@tuni.fi</t>
  </si>
  <si>
    <t>Savolainen, Iina/AAW-7238-2021; Oksanen, Atte/AAA-6682-2019</t>
  </si>
  <si>
    <t>Savolainen, Iina/0000-0002-8811-965X</t>
  </si>
  <si>
    <t>Finnish Foundation for Alcohol Studies(Gambling in the Digital Age -Project, 2021-2024)</t>
  </si>
  <si>
    <t>This work was supported by the Finnish Foundation for Alcohol Studies(Gambling in the Digital Age -Project, 2021-2024, PI:Prof. Atte Oksanen).</t>
  </si>
  <si>
    <t>0735-0414</t>
  </si>
  <si>
    <t>1464-3502</t>
  </si>
  <si>
    <t>ALCOHOL ALCOHOLISM</t>
  </si>
  <si>
    <t>Alcohol Alcohol.</t>
  </si>
  <si>
    <t>agae024</t>
  </si>
  <si>
    <t>10.1093/alcalc/agae024</t>
  </si>
  <si>
    <t>NS5O5</t>
  </si>
  <si>
    <t>WOS:001202458300001</t>
  </si>
  <si>
    <t>Ebert, C; Wang, XY</t>
  </si>
  <si>
    <t>Ebert, Christof; Wang, Xuya</t>
  </si>
  <si>
    <t>China Artificial Intelligence Industry Insights</t>
  </si>
  <si>
    <t>You may use Alipay, Baidu, or TikTok. But did you know that Chinese AI and IT increasingly influence everyday life? The rapid growth of tech business in China has contributed to the development of a dynamic and competitive landscape. This article provides insights.</t>
  </si>
  <si>
    <t>[Ebert, Christof] Vector Consulting Serv, D-70499 Stuttgart, Germany; [Wang, Xuya] Baidu, Shanghai 201203, Peoples R China</t>
  </si>
  <si>
    <t>Baidu</t>
  </si>
  <si>
    <t>Ebert, C (corresponding author), Vector Consulting Serv, D-70499 Stuttgart, Germany.</t>
  </si>
  <si>
    <t>christof.ebert@vector.com; wangxuya@baidu.com</t>
  </si>
  <si>
    <t>Ebert, Christof/JXM-5500-2024</t>
  </si>
  <si>
    <t>Ebert, Christof/0000-0003-2287-1854</t>
  </si>
  <si>
    <t>10.1109/MC.2024.3382422</t>
  </si>
  <si>
    <t>TG5B0</t>
  </si>
  <si>
    <t>WOS:001240114700013</t>
  </si>
  <si>
    <t>Hernández-Serrano, MJ; Jones, B; Renés-Arellano, P; Ortuño, RAC</t>
  </si>
  <si>
    <t>Hernandez-Serrano, Maria Jose; Jones, Barbara; Renes-Arellano, Paula; Campos Ortuno, Rosalynn A.</t>
  </si>
  <si>
    <t>Analysis of Digital Self-Presentation Practices and Profiles of Spanish Adolescents on Instagram and TikTok</t>
  </si>
  <si>
    <t>JOURNAL OF NEW APPROACHES IN EDUCATIONAL RESEARCH</t>
  </si>
  <si>
    <t>ADOLESCENTS; DIGITAL IDENTITY; SELF-PRESENTATION; INSTAGRAM; TIKTOK</t>
  </si>
  <si>
    <t>MEDIA USE; IDENTITY; LIVES; MODEL</t>
  </si>
  <si>
    <t>This study analyses self-presentation practices and profiles among Spanish teenagers on Instagram and TikTok. Both of these online spaces prioritise and promote visual publications, are structured to allow feedback on self-presentation, and offer the user filters both to control self-image and to target specific audiences. Three research questions guided the methodological process for the twofold analysis of self-presentation practices on social networks: an exploratory factor analysis to identify latent factors among these practices; and a descriptive analysis of the profiles identified by gender and age. Results indicate that adolescents' self-presentation practices were related to three different factors: social validation; authenticity; and image control. One of the most outstanding results is that self-presentation practices could be less guided by social feedback, since the number of followers or likes was irrelevant for most adolescents, and that adolescents increasingly tend to be guided by innovative predispositions of truthfulness. In turn, conclusions suggest that teens need to be equipped with suitable self-representation practices for safe and sustainable identity narratives on social networks, since the global COVID-19 pandemic has exponentially increased both the usage and the time spent on social networking sites, enlarging the availability of spaces for adolescents to express themselves and build their identities through different self-representation practices.</t>
  </si>
  <si>
    <t>[Hernandez-Serrano, Maria Jose; Campos Ortuno, Rosalynn A.] Univ Salamanca, Dept Theory &amp; Hist Educ, Salamanca, Spain; [Jones, Barbara] Univ Manchester, Manchester, Lancs, England; [Renes-Arellano, Paula] Univ Cantabria, Santander, Spain</t>
  </si>
  <si>
    <t>University of Salamanca; University of Manchester; Universidad de Cantabria</t>
  </si>
  <si>
    <t>Hernández-Serrano, MJ (corresponding author), Univ Salamanca, Escuela Univ Magisterio, Campus Viriato,Avda Cardenal Cisneros 34, Zamora 49022, Spain.</t>
  </si>
  <si>
    <t>mjhs@usal.es</t>
  </si>
  <si>
    <t>ARELLANO, PAULA/K-8390-2014; Campos, Rosalynn/AAB-2322-2019; Jones, Barbara/JDN-2155-2023; Hernandez-Serrano, Maria Jose/L-3747-2014; Campos Ortuno, Rosalynn Argelia/B-9767-2015</t>
  </si>
  <si>
    <t>Hernandez-Serrano, Maria Jose/0000-0003-3818-993X; Jones, Barbara/0000-0003-2717-6076; Campos Ortuno, Rosalynn Argelia/0000-0002-1456-753X; RENES-ARELLANO, PAULA/0000-0003-0932-7694</t>
  </si>
  <si>
    <t>Spanish State Research Agency, Spain [PGC2018-097884-B-I00]</t>
  </si>
  <si>
    <t>Spanish State Research Agency, Spain</t>
  </si>
  <si>
    <t>Spanish State Research Agency, Spain (Award:PGC2018-097884-B-I00)</t>
  </si>
  <si>
    <t>UNIV ALICANTE, GRUPO INVESTIGACION EDUTIC-ADEI</t>
  </si>
  <si>
    <t>CARRETERA SAN VICENTE RASPEIG, SAN VICENTE DEL RASPEIG, ALICANTE, 03690, SPAIN</t>
  </si>
  <si>
    <t>2254-7339</t>
  </si>
  <si>
    <t>J NEW APPROACHES EDU</t>
  </si>
  <si>
    <t>J. New Approaches Educ. Res.</t>
  </si>
  <si>
    <t>10.7821/naer.2022.1.797</t>
  </si>
  <si>
    <t>ZS0ZX</t>
  </si>
  <si>
    <t>WOS:000768202600004</t>
  </si>
  <si>
    <t>Blanchet, J; Hillis, M; Lee, Y; Shao, QJ; Zhou, X; Kraemer, D; Balkcom, D</t>
  </si>
  <si>
    <t>Blanchet, Julien; Hillis, Megan; Lee, Yeongji; Shao, Qijia; Zhou, Xia; Kraemer, David; Balkcom, Devin</t>
  </si>
  <si>
    <t>LearnThatDance: Augmenting TikTok Dance Challenge Videos with an Interactive Practice Support System Powered by Automatically Generated Lesson Plans</t>
  </si>
  <si>
    <t>ADJUNCT PROCEEDINGS OF THE 36TH ANNUAL ACM SYMPOSIUM ON USER INTERFACE SOFTWARE &amp; TECHNOLOGY, UIST 2023 ADJUNCT</t>
  </si>
  <si>
    <t>36th Annual ACM Symposium on User Interface Software and Technology (UIST)</t>
  </si>
  <si>
    <t>OCT 29-NOV 01, 2023</t>
  </si>
  <si>
    <t>Assoc Comp Machinery,ACM Special Interest Grp Comp Human Interact,ACM Special Interest Grp Comp Graph</t>
  </si>
  <si>
    <t>dance; dance education; intelligent tutoring system</t>
  </si>
  <si>
    <t>In this demo we showcase an interactive application to support the learning of TikTok dance challenge short dance choreographies. Our system utilizes dance challenge videos as the information source, performing music analysis and pose estimation to segment the dance into learnable chunks and generate a practice plan that implements motor learning techniques such as incremental part-learning and fading guidance. These plans are presented in a web app that implements video demonstration, augmented webcam mirroring, practice recording/review functionality, and both concurrent and terminal feedback. By operating on a ubiquitous information source, generating the lessons automatically, and requiring only a web browser and webcam in the user interface, our system is a step towards significantly expanding the reach of dance choreography learning and a platform for further research into dance HCI.</t>
  </si>
  <si>
    <t>[Blanchet, Julien; Hillis, Megan; Lee, Yeongji; Kraemer, David; Balkcom, Devin] Dartmouth Coll, Hanover, NH 03755 USA; [Shao, Qijia; Zhou, Xia] Columbia Univ, New York, NY USA</t>
  </si>
  <si>
    <t>Dartmouth College; Columbia University</t>
  </si>
  <si>
    <t>Blanchet, J (corresponding author), Dartmouth Coll, Hanover, NH 03755 USA.</t>
  </si>
  <si>
    <t>julien.b.blanchet.gr@dartmouth.edu; megan.e.hillis.gr@dartmouth.edu; yeongji.lee.gr@dartmouth.edu; qijia@cs.columbia.edu; xia@cs.columbia.edu; david.j.m.kraemer@dartmouth.edu; devin.balkcom@dartmouth.edu</t>
  </si>
  <si>
    <t>Shao, Qijia/IRZ-8906-2023</t>
  </si>
  <si>
    <t>Blanchet, Julien/0000-0002-2584-9591; Kraemer, David/0000-0001-9829-2029; Hillis, Megan/0000-0003-1896-4599; Zhou, Xia/0000-0002-2852-9024; Shao, Qijia/0000-0002-2250-1549</t>
  </si>
  <si>
    <t>NSF [1822819, 2202553]</t>
  </si>
  <si>
    <t>NSF(National Science Foundation (NSF))</t>
  </si>
  <si>
    <t>This work is supported by NSF Awards 1822819 and 2202553. Additionally, we would like to thank Amy Snifen, Luyang Zhao, Samuel Lensgraf, and Aiwei Zhang for their time spent using the web-app, which provided valuable insights for its improvement.</t>
  </si>
  <si>
    <t>979-8-4007-0096-5</t>
  </si>
  <si>
    <t>10.1145/3586182.3615801</t>
  </si>
  <si>
    <t>Computer Science, Cybernetics; Computer Science, Hardware &amp; Architecture; Computer Science, Interdisciplinary Applications; Computer Science, Software Engineering</t>
  </si>
  <si>
    <t>BW2TP</t>
  </si>
  <si>
    <t>WOS:001125107000083</t>
  </si>
  <si>
    <t>Janes, EE; Villalovos, K; D'Aniello, C</t>
  </si>
  <si>
    <t>Janes, Emily E.; Villalovos, Kristian; D'Aniello, Carissa</t>
  </si>
  <si>
    <t>#BadTherapist: What TikTok is Saying About Therapy Discontinuation</t>
  </si>
  <si>
    <t>CONTEMPORARY FAMILY THERAPY</t>
  </si>
  <si>
    <t>Therapy discontinuation; Therapy processes; Negative therapy experiences</t>
  </si>
  <si>
    <t>LISTED PATIENTS EXPERIENCES; PSYCHOTHERAPY; DROPOUT; TERMINATION; PREDICTORS; ALLIANCE; CONTEXT; CLIENT; VIEWS</t>
  </si>
  <si>
    <t>Therapy discontinuation, a term used to describe clients ending treatment prematurely, is a common problem faced by mental healthcare professionals. This study considers how negative experiences in therapy impact the client's experience in therapy and how this contributes to premature discontinuation. Video posts that used the hashtag bad therapist (#badtherapist) were collected from the social media platform TikTok and analyzed using inductive qualitative content analysis procedures. Five themes emerged from our analysis including: invalidation, biases, boundary violations, including religious beliefs without client agreement, and denial of trauma. Oftentimes, clients who prematurely discontinue services or openly discuss negative therapy experiences in therapy are labeled as resistant ; however, the data suggest that more careful consideration of therapist behavior and self-of-the-therapist issues is needed. Clinical implications and limitations to the study are discussed.</t>
  </si>
  <si>
    <t>[Janes, Emily E.; Villalovos, Kristian; D'Aniello, Carissa] Texas Tech Univ, Coll Human Sci, Community &amp; Addict Sci Dept, 1301 Akron Ave,Room 271,Box 41250, Lubbock, TX 79409 USA</t>
  </si>
  <si>
    <t>Janes, EE (corresponding author), Texas Tech Univ, Coll Human Sci, Community &amp; Addict Sci Dept, 1301 Akron Ave,Room 271,Box 41250, Lubbock, TX 79409 USA.</t>
  </si>
  <si>
    <t>ejanes@ttu.edu; kristian.villalovos@ttu.edu; carissa.daniello@ttu.edu</t>
  </si>
  <si>
    <t>Janes, Emily/0000-0002-7666-7552</t>
  </si>
  <si>
    <t>0892-2764</t>
  </si>
  <si>
    <t>1573-3335</t>
  </si>
  <si>
    <t>CONTEMP FAM THER</t>
  </si>
  <si>
    <t>Contemp. Fam. Ther.</t>
  </si>
  <si>
    <t>10.1007/s10591-022-09660-7</t>
  </si>
  <si>
    <t>M5IP3</t>
  </si>
  <si>
    <t>WOS:000906145000001</t>
  </si>
  <si>
    <t>Zhu, C; Hall, CM; Fong, LHN; She, SL; Koupaei, SN</t>
  </si>
  <si>
    <t>Zhu, Chris; Hall, C. Michael; Fong, Lawrence Hoc Nang; She, Silin; Koupaei, Sara Naderi</t>
  </si>
  <si>
    <t>How does ice-snow celebrity influence Chinese tourists to visit Nordic destinations? The case of TikTok</t>
  </si>
  <si>
    <t>SCANDINAVIAN JOURNAL OF HOSPITALITY AND TOURISM</t>
  </si>
  <si>
    <t>Nordic tourism; parasocial interaction theory; ice-snow tourism; celebrity attachment; short video</t>
  </si>
  <si>
    <t>VIRTUAL-REALITY; TECHNOLOGY; ENJOYMENT</t>
  </si>
  <si>
    <t>The emergence of short video (e.g. TikTok) provides a new avenue for destination marketing. However, limited research exists on short ice-snow destination videos, which are significant for Nordic winter tourism marketing. Drawing on a model based on parasocial interaction theory, this study finds that ice-snow celebrity attachment positively predicts Chinese tourists' parasocial interaction, enjoyment, and hence intention to visit Nordic destinations in winter. Considering that Chinese tourists are an important consumer group for Nordic tourism, the study contributes not only to parasocial interaction theory in the context of short videos and the presentation of ice-snow tourism experiences but also to how to improve ice-snow tourism marketing via celebrity strategies.</t>
  </si>
  <si>
    <t>[Zhu, Chris] Macao Inst Tourism Studies, Sch Tourism Management, Macau, Peoples R China; [Hall, C. Michael; Koupaei, Sara Naderi] Univ Canterbury, Dept Management Mkt &amp; Tourism, Christchurch, New Zealand; [Hall, C. Michael] Univ Oulu, Geog Res Unit, Oulu, Finland; [Hall, C. Michael] Linnaeus Univ, Sch Business &amp; Econ, Kalmar, Sweden; [Hall, C. Michael] Lund Univ, Dept Serv Management &amp; Serv Studies, Helsingborg, Sweden; [Hall, C. Michael] Kyung Hee Univ, Coll Hospitality &amp; Tourism Management, Seoul, South Korea; [Fong, Lawrence Hoc Nang] Univ Macau, Fac Business Adm, Macau, Peoples R China; [Fong, Lawrence Hoc Nang] Univ Macau, Ctr Cognit &amp; Brain Sci, Macau, Peoples R China; [She, Silin] Hanshan Normal Univ, Sch Geog Sci &amp; Tourism, Chaozhou, Guangdong, Peoples R China; [She, Silin] City Univ Macau, Fac Int Tourism &amp; Management, Macau, Peoples R China</t>
  </si>
  <si>
    <t>Macao University of Tourism; University of Canterbury; University of Oulu; Linnaeus University; Lund University; Kyung Hee University; University of Macau; University of Macau; Hanshan Normal University; City University of Macau</t>
  </si>
  <si>
    <t>She, SL (corresponding author), Hanshan Normal Univ, Sch Geog Sci &amp; Tourism, Chaozhou, Guangdong, Peoples R China.;She, SL (corresponding author), City Univ Macau, Fac Int Tourism &amp; Management, Macau, Peoples R China.</t>
  </si>
  <si>
    <t>T21092100079@cityu.mo</t>
  </si>
  <si>
    <t>Fong, Lawrence Hoc Nang/L-7933-2013; Hall, Colin Michael/C-1439-2010; Naderi, Sara/GLT-5977-2022</t>
  </si>
  <si>
    <t>Fong, Lawrence Hoc Nang/0000-0001-7107-3360; Zhu, Chris/0000-0003-2475-4897; Hall, Colin Michael/0000-0002-7734-4587; Naderi, Sara/0000-0001-6118-1288</t>
  </si>
  <si>
    <t>1502-2250</t>
  </si>
  <si>
    <t>1502-2269</t>
  </si>
  <si>
    <t>SCAND J HOSP TOUR</t>
  </si>
  <si>
    <t>Scand. J. Hosp. Tour.</t>
  </si>
  <si>
    <t>10.1080/15022250.2024.2343283</t>
  </si>
  <si>
    <t>Hospitality, Leisure, Sport &amp; Tourism; Sociology</t>
  </si>
  <si>
    <t>Social Sciences - Other Topics; Sociology</t>
  </si>
  <si>
    <t>L4D2O</t>
  </si>
  <si>
    <t>WOS:001204608900001</t>
  </si>
  <si>
    <t>Cui, NN; Lu, YT; Cao, YL; Chen, XF; Fu, SQ; Su, Q</t>
  </si>
  <si>
    <t>Cui, Nannan; Lu, Yuting; Cao, Yelin; Chen, Xiaofan; Fu, Shuiqiao; Su, Qun</t>
  </si>
  <si>
    <t>Quality Assessment of TikTok as a Source of Information About Mitral Valve Regurgitation in China: Cross-Sectional Study</t>
  </si>
  <si>
    <t>mitral valve regurgitation; video quality; TikTok; Journal of American Medical Association; JAMA; Global Quality Score; GQS; PEMAT- A/V; Spearman correlation analysis; Poisson regression analysis</t>
  </si>
  <si>
    <t>VALVULAR HEART-DISEASE; YOUTUBE; EPIDEMIOLOGY; VIDEOS</t>
  </si>
  <si>
    <t>Background: In China, mitral valve regurgitation (MR) is the most common cardiovascular valve disease. However, patientsin China typically experience a high incidence of this condition, coupled with a low level of health knowledge and a relativelylow rate of surgical treatment. TikTok hosts a vast amount of content related to diseases and health knowledge, providing viewerswith access to relevant information. However, there has been no investigation or evaluation of the quality of videos specificallyaddressing MR.Objective: This study aims to assess the quality of videos about MR on TikTok in China.Methods: A cross-sectional study was conducted on the Chinese version of TikTok on September 9, 2023. The top 100 videoson MR were included and evaluated using quantitative scoring tools such as the modified DISCERN (mDISCERN), the Journalof the American Medical Association (JAMA) benchmark criteria, the Global Quality Score (GQS), and the Patient EducationMaterials Assessment Tool for Audio-Visual Content (PEMAT-A/V). Correlation and stepwise regression analyses were performedto examine the relationships between video quality and various characteristics.Results: We obtained 88 valid video files, of which most (n=81, 92%) were uploaded by certified physicians, primarily cardiacsurgeons, and cardiologists. News agencies/organizations and physicians had higher GQS scores compared with individuals (newsagencies/organizations vs individuals, P=.001; physicians vs individuals, P=.03). Additionally, news agencies/organizations hadhigher PEMAT understandability scores than individuals (P=.01). Videos focused on disease knowledge scored higher in GQS(P&lt;.001), PEMAT understandability (P&lt;.001), and PEMAT actionability (P&lt;.001) compared with videos covering surgical cases.PEMAT actionability scores were higher for outpatient cases compared with surgical cases (P&lt;.001). Additionally, videos focusedon surgical techniques had lower PEMAT actionability scores than those about disease knowledge (P=.04). The strongestcorrelations observed were between thumbs up and comments (r=0.92, P&lt;.001), thumbs up and favorites (r=0.89, P&lt;.001), thumbsup and shares (r=0.87, P&lt;.001), comments and favorites (r=0.81, P&lt;.001), comments and shares (r=0.87, P&lt;.001), and favoritesand shares (r=0.83, P&lt;.001). Stepwise regression analysis identified length (P&lt;.001), content (P&lt;.001), and physicians(P=.004) as significant predictors of GQS. The final model (model 3) explained 50.1% of the variance in GQSs. The predictiveequation for GQS is as follows: GQS = 3.230 - 0.294 x content - 0.274 x physicians + 0.005 x length. This model was statisticallysignificant (P=.004) and showed no issues with multicollinearity or autocorrelation.Conclusions: Our study reveals that while most MR-related videos on TikTok were uploaded by certified physicians, ensuringprofessional and scientific content, the overall quality scores were suboptimal. Despite the educational value of these videos, theguidance provided was often insufficient. The predictive equation for GQS developed from our analysis offers valuable insightsbut should be applied with caution beyond the study context. It suggests that creators should focus on improving both the contentand presentation of their videos to enhance the quality of health information shared on social media</t>
  </si>
  <si>
    <t>[Cui, Nannan; Cao, Yelin; Fu, Shuiqiao; Su, Qun] Zhejiang Univ, Sch Med, Affiliated Hosp 1, Dept Surg Intens Care Unit, 79 Qingchun Rd, Hangzhou 310003, Peoples R China; [Lu, Yuting] Zhejiang Univ, Sch Med, Affiliated Hosp 1, Dept Ultrasonog, Hangzhou, Peoples R China; [Chen, Xiaofan] Zhejiang Univ, Affiliated Hosp 1, Sch Med, Dept Cardiovasc Surg, Hangzhou, Peoples R China</t>
  </si>
  <si>
    <t>Zhejiang University; Zhejiang University; Zhejiang University</t>
  </si>
  <si>
    <t>Su, Q (corresponding author), Zhejiang Univ, Sch Med, Affiliated Hosp 1, Dept Surg Intens Care Unit, 79 Qingchun Rd, Hangzhou 310003, Peoples R China.</t>
  </si>
  <si>
    <t>sqicu@zju.edu.cn</t>
  </si>
  <si>
    <t>chen, xiaofan/0000-0002-4946-1153; Su, Qun/0009-0003-4545-5906</t>
  </si>
  <si>
    <t>AUG 20</t>
  </si>
  <si>
    <t>e55403</t>
  </si>
  <si>
    <t>10.2196/55403</t>
  </si>
  <si>
    <t>E6V1O</t>
  </si>
  <si>
    <t>WOS:001304354000003</t>
  </si>
  <si>
    <t>Bonilla-del-Río, M; Vizcaíno-Verdú, A</t>
  </si>
  <si>
    <t>Bonilla-del-Rio, Monica; Vizcaino-Verdu, Arantxa</t>
  </si>
  <si>
    <t>The Little Mermaid looks like me!: cross-cultural diversity, inclusion and children's self-esteem on TikTok</t>
  </si>
  <si>
    <t>PSYCHOLOGY SOCIETY &amp; EDUCATION</t>
  </si>
  <si>
    <t>Inclusion; Social media; Disney; Childhood; Stereotypes</t>
  </si>
  <si>
    <t>While media raise awareness about inclusion and cross-cultural diversity worldwide, new avenues for debate are emerging in social media platforms such as TikTok, targeting especially children's audiences. An example of this are the popular reaction videos to film releases such as the teaser of Disney's The Little Mermaid live action, which have constructed discussion networks around symbolic representation, colonial decentralization, stereotypical rupture, or the Caucasian imaginary in childhood. This study examines children's reactions and community sentiment expressed on TikTok through qualitative analysis of 50 video-reactions and sentiment analysis of 11,510 comments. For this purpose, we conducted an inductive content analysis using 10 codes, including diversity and inclusion, emotions, prejudice, and racial/ethnic identity, as well as a sentiment analysis coded using natural language processing and artificial intelligence based on OpenAI's GPT model. The findings indicate that the portrayal of an African-American character, Halle Bailey, is well-received by minors, fostering a widespread positive response towards cross-cultural diversity. The representation of a black complexion and copper-brown hair, in contrast to the former Caucasian and red-haired icon, does not appear to intimidate children, who express enthusiasm and excitement about her role. This representation reflects a sense of shared positivism, where both the adult and child Disneyfied imagination suggest a future based on diversity and enhanced self-esteem for children.</t>
  </si>
  <si>
    <t>[Bonilla-del-Rio, Monica] Univ Europea Atlantico, Santander, Spain; [Vizcaino-Verdu, Arantxa] Univ Int Rioja, Madrid, Spain; [Bonilla-del-Rio, Monica] Fac Ciencias Sociales &amp; Humanidades, Dept Comunicac, C Isabel Torres 21, Santander 39011, Cantabria, Spain</t>
  </si>
  <si>
    <t>Bonilla-del-Río, M (corresponding author), Fac Ciencias Sociales &amp; Humanidades, Dept Comunicac, C Isabel Torres 21, Santander 39011, Cantabria, Spain.</t>
  </si>
  <si>
    <t>monica.bonilla@uneatlantico.es</t>
  </si>
  <si>
    <t>Bonilla del Río, Mónica/AAH-2297-2020; Vizcaíno-Verdú, Arantxa/AGW-9688-2022; Vizcaino-Verdu, Arantxa/Q-4126-2018</t>
  </si>
  <si>
    <t>EDITORIAL UNIV CORDOBA-UCOPRESS</t>
  </si>
  <si>
    <t>CAMPUS UNIV RABANALES, CTRA NAC IV, KM 396, CORDOBA, 14071, SPAIN</t>
  </si>
  <si>
    <t>2171-2085</t>
  </si>
  <si>
    <t>1989-709X</t>
  </si>
  <si>
    <t>PSYCHOL SOC EDUC</t>
  </si>
  <si>
    <t>Psychol. Soc. Educ.</t>
  </si>
  <si>
    <t>10.21071/psye.v15i3.16098</t>
  </si>
  <si>
    <t>Z9ID9</t>
  </si>
  <si>
    <t>WOS:001115127200013</t>
  </si>
  <si>
    <t>Doreleijers, K; Swanenberg, J</t>
  </si>
  <si>
    <t>Doreleijers, Kristel; Swanenberg, Jos</t>
  </si>
  <si>
    <t>Putting local dialect in the mix: Indexicality and stylization in a TikTok challenge</t>
  </si>
  <si>
    <t>LANGUAGE &amp; COMMUNICATION</t>
  </si>
  <si>
    <t>Sociolinguistics; Local dialect; Indexicality; Enregisterment; Stylization; Recontextualization</t>
  </si>
  <si>
    <t>LANGUAGE; ENREGISTERMENT; MEDIA</t>
  </si>
  <si>
    <t>This paper investigates the role of local dialect forms and other semiotic signs in lan-guagecultural practices on social media in the southern Dutch province North Brabant. Although dialect use is severely decreasing in this area, we find abundant dialect features in present-day media productions, but these are not simply some last remains. By con-ducting a qualitative discourse analysis of a carnivalesque music video (2020), we argue that non-linguistic resources and co-occurring dialect features are enregistered as recog-nizably 'Brabantish' for the purpose of indexing place-based identities. Moreover, we show that reproduction on TikTok (2021) takes place through recontextualization and indexical stance-taking.O 2023 The Authors. Published by Elsevier Ltd. This is an open access article under the CC BY license (http://creativecommons.org/licenses/by/4.0/).</t>
  </si>
  <si>
    <t>[Doreleijers, Kristel; Swanenberg, Jos] Tilburg Univ, Sch Humanities &amp; Digital Sci, Dept Culture Studies, POB 90153, NL-5000 LE Tilburg, Netherlands; [Doreleijers, Kristel; Swanenberg, Jos] Royal Netherlands Acad Arts &amp; Sci, Meertens Inst, POB 10855, NL-1001 EW Amsterdam, Netherlands</t>
  </si>
  <si>
    <t>Tilburg University; Royal Netherlands Academy of Arts &amp; Sciences; Meertens Institute (KNAW)</t>
  </si>
  <si>
    <t>Doreleijers, K (corresponding author), Tilburg Univ, Sch Humanities &amp; Digital Sci, Dept Culture Studies, POB 90153, NL-5000 LE Tilburg, Netherlands.</t>
  </si>
  <si>
    <t>K.G.A.Doreleijers@tilburguniversity.edu; A.P.C.Swanenberg@tilburguniversity.edu</t>
  </si>
  <si>
    <t>Swanenberg, Jos/KBB-2002-2024</t>
  </si>
  <si>
    <t>Doreleijers, Kristel/0000-0001-7452-2010; Swanenberg, Jos/0000-0002-0397-8990</t>
  </si>
  <si>
    <t>Dutch Research Council (NWO) [PGW.19.018]</t>
  </si>
  <si>
    <t>Dutch Research Council (NWO)(Netherlands Organization for Scientific Research (NWO))</t>
  </si>
  <si>
    <t>Funding This work was supported by the Dutch Research Council (NWO) , grant number PGW.19.018. CRediT author statement</t>
  </si>
  <si>
    <t>0271-5309</t>
  </si>
  <si>
    <t>1873-3395</t>
  </si>
  <si>
    <t>LANG COMMUN</t>
  </si>
  <si>
    <t>Lang. Commun.</t>
  </si>
  <si>
    <t>10.1016/j.langcom.2023.06.002</t>
  </si>
  <si>
    <t>Communication; Linguistics</t>
  </si>
  <si>
    <t>N4GG8</t>
  </si>
  <si>
    <t>WOS:001036609600001</t>
  </si>
  <si>
    <t>Pourazad, N; Stocchi, L; Narsey, SHREYA</t>
  </si>
  <si>
    <t>Pourazad, Naser; Stocchi, Lara; Narsey, Shreya</t>
  </si>
  <si>
    <t>A Comparison of Social Media Influencers' KPI Patterns across Platforms Exploring Differences in Followers and Engagement On Facebook, Instagram, YouTube, TikTok, and Twitter</t>
  </si>
  <si>
    <t>JOURNAL OF ADVERTISING RESEARCH</t>
  </si>
  <si>
    <t>social media influ-encers; influencer marketing; engagement; followers; endorsement; double jeop-ardy</t>
  </si>
  <si>
    <t>WORD-OF-MOUTH; DOUBLE-JEOPARDY; SOURCE CREDIBILITY; BRAND ENGAGEMENT; DIRICHLET; CELEBRITY; IDENTIFICATION; COMMUNICATION; IMPACT; MODEL</t>
  </si>
  <si>
    <t>Brand managers increasingly incorporate influencer marketing in their marketing strategies, but methods for evaluating the effectiveness of influencers and choosing the best personalities to collaborate with are unreliable. This study addresses this shortfall by examining classic key performance indicators (i.e., the number of followers and engagement rate) of 180 influencers on Facebook, Instagram, YouTube, TikTok, and Twitter. The analysis is based on a sample of more than 35,000 posts and considers the influencers' areas of expertise. Among the key findings, the authors detected differences in double jeopardy effects (reverse, classic, and no double jeopardy) among mature, growing, and changing social media platforms. The findings carry practical implications for establishing partnerships between brands and influencers.</t>
  </si>
  <si>
    <t>[Pourazad, Naser] Flinders Univ S Australia, Adelaide, Australia; [Stocchi, Lara; Narsey, Shreya] Univ South Australia, Adelaide, Australia</t>
  </si>
  <si>
    <t>Flinders University South Australia; University of South Australia</t>
  </si>
  <si>
    <t>Pourazad, N (corresponding author), Flinders Univ S Australia, Adelaide, Australia.</t>
  </si>
  <si>
    <t>naser.pourazad@flinders.edu.au; lara.stocchi@unisa.edu.au; shreya.narsey@marketingscience.info</t>
  </si>
  <si>
    <t>Pourazad, Naser/E-7423-2014</t>
  </si>
  <si>
    <t>Pourazad, Naser/0000-0002-2256-0207</t>
  </si>
  <si>
    <t>ADVERTISING RESEARCH FOUNDATION</t>
  </si>
  <si>
    <t>432 PARK AVENUE SOUTH, 6TH FLOOR, NEW YORK, NY 10016 USA</t>
  </si>
  <si>
    <t>0021-8499</t>
  </si>
  <si>
    <t>1740-1909</t>
  </si>
  <si>
    <t>J ADVERTISING RES</t>
  </si>
  <si>
    <t>J. Advert. Res.</t>
  </si>
  <si>
    <t>10.2501/JAR-2023-008</t>
  </si>
  <si>
    <t>M1DD1</t>
  </si>
  <si>
    <t>WOS:001027615700004</t>
  </si>
  <si>
    <t>Szeto, MD; Mamo, A; Afrin, A; Militello, M; Barber, C</t>
  </si>
  <si>
    <t>Szeto, Mindy D.; Mamo, Andrina; Afrin, Antara; Militello, Michelle; Barber, Cara</t>
  </si>
  <si>
    <t>Social Media in Dermatology and an Overview of Popular Social Media Platforms</t>
  </si>
  <si>
    <t>CURRENT DERMATOLOGY REPORTS</t>
  </si>
  <si>
    <t>Social media applications; Facebook; Twitter; Instagram; TikTok; YouTube</t>
  </si>
  <si>
    <t>INSTAGRAM; INFLUENCERS; TWITTER</t>
  </si>
  <si>
    <t>Purpose of Review Social media provides an accessible and increasingly popular avenue for sharing healthcare information, networking, and outreach in dermatology. We provide an overview of prominent social media platforms, also known as applications or apps, as well as a discussion of their influence and implications for the field. Recent Findings The various collaborative features of Facebook, Twitter, Instagram, TikTok, YouTube, Snapchat, and other emerging platforms have proven appealing to organizations and users seeking dermatology-related content and medical advice. However, the potential for propagation of inaccurate or even dangerous information is high. Summary Despite the risks associated with social media usage, dermatology can benefit from opportunities to connect and engage with audiences through these platforms. Dermatologists should be encouraged to increase their presence on multiple social media apps to dispel and counteract misleading posts with evidence-based knowledge.</t>
  </si>
  <si>
    <t>[Szeto, Mindy D.; Mamo, Andrina] Univ Colorado, Dept Dermatol, Anschutz Med Campus, Aurora, CO USA; [Afrin, Antara] Michigan State Univ, Coll Human Med, E Lansing, MI 48824 USA; [Militello, Michelle] Rocky Vista Univ, Coll Osteopath Med, Parker, CO USA; [Barber, Cara] Silver Falls Dermatol, Good Samaritan Reg Med Ctr, Dept Dermatol, Salem, OR 97302 USA</t>
  </si>
  <si>
    <t>University of Colorado System; University of Colorado Anschutz Medical Campus; Michigan State University; Michigan State University College of Human Medicine</t>
  </si>
  <si>
    <t>Barber, C (corresponding author), Silver Falls Dermatol, Good Samaritan Reg Med Ctr, Dept Dermatol, Salem, OR 97302 USA.</t>
  </si>
  <si>
    <t>cara.barber@silverfallsderm.net</t>
  </si>
  <si>
    <t>Szeto, Mindy/GPP-5886-2022</t>
  </si>
  <si>
    <t>Afrin, Antara/0000-0001-6577-8225</t>
  </si>
  <si>
    <t>2162-4933</t>
  </si>
  <si>
    <t>CURR DERMATOL REP</t>
  </si>
  <si>
    <t>Curr. Dermatol. Rep.</t>
  </si>
  <si>
    <t>10.1007/s13671-021-00343-4</t>
  </si>
  <si>
    <t>YJ4OH</t>
  </si>
  <si>
    <t>WOS:000708776800001</t>
  </si>
  <si>
    <t>Wang, YL; Feng, D</t>
  </si>
  <si>
    <t>Identity performance and self-branding in social commerce: A multimodal content analysis of Chinese wanghong women?s video-sharing practice on TikTok br</t>
  </si>
  <si>
    <t>Identity performance; Self -branding; Social commerce; Multimodal content analysis; Wanghong women</t>
  </si>
  <si>
    <t>AGENCY</t>
  </si>
  <si>
    <t>Social media have facilitated the development of a new wanghong profession and the burgeoning social commerce in China, where young women capitalize on their femininity to promote beauty products. Against this background, this study aims to investigate how Chinese wanghong women craft their identities in their selfbranding videos on the leading social commerce platform of TikTok. A framework is developed to model their projected identities as evaluative attributes and to elucidate how the identities are constructed using verbal and visual resources. A multimodal content analysis of a corpus of 1258 videos posted by 6 top-ranked wanghong women on TikTok shows that their identities are defined in terms of three marketable attributes: (1) the celebrity self, in which they highlight their glamorous appearance, aspirational lifestyle, and social responsibility, (2) the entrepreneur self, which includes their accentuation of their professionalism and self-empowerment, and (3) the ordinary woman self, in which they emphasize their intimate relationship with their consumer-audience on the one hand, and construct a cheerful and amiable self-image on the other. The multi-faceted identities shed new light on the evolving Chinese femininity shaped by the entangled forces of the development of the neoliberal social commerce and wanghong economy in China on the one hand, and the unique socio-political context on the other hand.</t>
  </si>
  <si>
    <t>[Wang, Yilei] Xi An Jiao Tong Univ, Sch Foreign Studies, Xian, Peoples R China; [Feng, Dezheng (William)] Hong Kong Polytech Univ, Dept English &amp; Commun, Hong Kong, Peoples R China</t>
  </si>
  <si>
    <t>Xi'an Jiaotong University; Hong Kong Polytechnic University</t>
  </si>
  <si>
    <t>Feng, D (corresponding author), Hong Kong Polytech Univ, Dept English &amp; Commun, Hung Hom, Room AG408, Hong Kong, Peoples R China.</t>
  </si>
  <si>
    <t>Yilei, Wang/ITV-1206-2023</t>
  </si>
  <si>
    <t>10.1016/j.dcm.2022.100652</t>
  </si>
  <si>
    <t>5V9YR</t>
  </si>
  <si>
    <t>WOS:000877580000001</t>
  </si>
  <si>
    <t>Bueno-Fernandes, AC; Campos-Pellanda, E</t>
  </si>
  <si>
    <t>Bueno-Fernandes, Anna Claudia; Campos-Pellanda, Eduardo</t>
  </si>
  <si>
    <t>Gender stereotypes in TikTok and Instagram: a reverse engineering experiment for understanding the mechanisms of social network algorithms</t>
  </si>
  <si>
    <t>Communication; technology; reverse engineering; gender stereotypes; algorithms; TikTok; Instagram</t>
  </si>
  <si>
    <t>In the context of immersion of digital content during the Covid-19 pandemic, the popularization of algorithmic mechanisms for curating information in everyday life was evident. This article presents the observations of a reverse engineering experiment carried out at PUCRS (Brazil) in which evidence of the reinforcement (or not) of gender stereotypes in social networks was sought. For this, accounts were created on the TikTok and Instagram apps, one identified with male pronouns, the other with female pronouns. The study was divided into phases in which the levels of interaction with the content of the applications were changed so that it was possible to analyze the transformations in the recommended videos to identify clues to the mechanism used by the platform. Finally, it was possible to observe differences between the content suggested for each profile that may be related to gender stereotypes and differences in quality and popular topics in each application. It was also possible to perceive which actions seemed to have more interference in the recommendations and which type of content or interaction was prioritized for each network. This study does not intend to end the discussions on how social networks operate but to bring new questions and reflections on the parameters used by their logic and the possible positive and negative effects of these recommendations in different social contexts.</t>
  </si>
  <si>
    <t>[Bueno-Fernandes, Anna Claudia; Campos-Pellanda, Eduardo] Pontificia Univ Catolica Rio Grande do Sul, Porto Alegre, RS, Brazil</t>
  </si>
  <si>
    <t>Pontificia Universidade Catolica Do Rio Grande Do Sul</t>
  </si>
  <si>
    <t>Bueno-Fernandes, AC (corresponding author), Pontificia Univ Catolica Rio Grande do Sul, Porto Alegre, RS, Brazil.</t>
  </si>
  <si>
    <t>anna.cbf@gmail.com; eduardo.pellanda@pucrs.br</t>
  </si>
  <si>
    <t>Campos Pellanda, Eduardo/O-1080-2017</t>
  </si>
  <si>
    <t>Campos Pellanda, Eduardo/0000-0002-8296-9282; Fernandes, Anna/0000-0001-9627-0002</t>
  </si>
  <si>
    <t>SEP-FEB</t>
  </si>
  <si>
    <t>10.17163/uni.n37.2022.10</t>
  </si>
  <si>
    <t>4A3HD</t>
  </si>
  <si>
    <t>WOS:000844996000010</t>
  </si>
  <si>
    <t>Stadnyk, F</t>
  </si>
  <si>
    <t>Stadnyk, Faith</t>
  </si>
  <si>
    <t>Co-healthism in Health at Every Size®-aligned TikTok activism: transforming the definition of healthism via feminist-of-color disability studies theorizing</t>
  </si>
  <si>
    <t>FAT STUDIES-AN INTERDISCIPLINARY JOURNAL OF BODY WEIGHT AND SOCIETY</t>
  </si>
  <si>
    <t>Health at Every Size (R); healthism; fatness; online activism; feminist-of-color disability studies</t>
  </si>
  <si>
    <t>RACE</t>
  </si>
  <si>
    <t>This article is a feminist-of-color disability studies-oriented TikTok critical discourse analysis of 100 popular Health at Every Size (R) (HAES (R)) TikToks. It evaluates the power relations surrounding how HAES (R) frameworks are disseminated on TikTok and unpacks the implications for fat liberation. HAES (R) frameworks of care capacitate the eradication of medical fatmisia and the weight-centered health paradigm. While popular among online fat activists, HAES (R) frameworks have been widely accused of perpetuating healthism. My analysis makes clear how HAES (R) discourse is often steeped in ableist, white supremacist, and colonial healthism. Through this analysis, I ultimately argue that the definition of healthism needs to shift to center ableism, white supremacy, and colonialism, as well as the co-constituting nature of how systems of oppression aggregate to weaponize health against those with embodiments marked as unhealthy. I argue that this shift is necessary to produce analyses committed to radical solidarity. I mark this shift by coining and utilizing the term co-healthism. To demonstrate the need for my argument, I organize the results into three themes: healthist ableism, healthist white supremacy, and healthist colonialism in HAES (R) discourse. In the discussion, I clarify the co-constitutive nature of these themes and argue for the shift from healthism to co-healthism. I also define the concept and explain its methodological potentialities.</t>
  </si>
  <si>
    <t>[Stadnyk, Faith] Carleton Univ, Feminist Inst Social Transformat FIST, Ottawa, ON, Canada; [Stadnyk, Faith] Carleton Univ, Feminist Inst Social Transformat FIST, 1125 Colonel Dr, Ottawa, ON K1S 5B6, Canada</t>
  </si>
  <si>
    <t>Carleton University; Carleton University</t>
  </si>
  <si>
    <t>Stadnyk, F (corresponding author), Carleton Univ, Feminist Inst Social Transformat FIST, 1125 Colonel Dr, Ottawa, ON K1S 5B6, Canada.</t>
  </si>
  <si>
    <t>faith.cstadnyk@gmail.com</t>
  </si>
  <si>
    <t>Stadnyk, Faith/0009-0004-2328-7689</t>
  </si>
  <si>
    <t>Canada Graduate Scholarship from the Social Sciences and Humanities Research Council (SSHRC); Social Sciences and Humanities Research Council (SSHRC)</t>
  </si>
  <si>
    <t>Canada Graduate Scholarship from the Social Sciences and Humanities Research Council (SSHRC)(Social Sciences &amp; Humanities Research Council of Canada (SSHRC)); Social Sciences and Humanities Research Council (SSHRC)(Social Sciences &amp; Humanities Research Council of Canada (SSHRC))</t>
  </si>
  <si>
    <t>This work was financially supported, in part, by the Canada Graduate Scholarship - Master's (CGSM) from the Social Sciences and Humanities Research Council (SSHRC). Thank you to my phenomenal supervisor, Dr. Fady Shanouda.</t>
  </si>
  <si>
    <t>2160-4851</t>
  </si>
  <si>
    <t>2160-486X</t>
  </si>
  <si>
    <t>FAT STUD</t>
  </si>
  <si>
    <t>Fat Stud.</t>
  </si>
  <si>
    <t>2024 JAN 19</t>
  </si>
  <si>
    <t>10.1080/21604851.2024.2306991</t>
  </si>
  <si>
    <t>FJ1G4</t>
  </si>
  <si>
    <t>WOS:001145295600001</t>
  </si>
  <si>
    <t>Grandinetti, J</t>
  </si>
  <si>
    <t>Grandinetti, Justin</t>
  </si>
  <si>
    <t>Examining embedded apparatuses of AI in Facebook and TikTok</t>
  </si>
  <si>
    <t>AI &amp; SOCIETY</t>
  </si>
  <si>
    <t>AI; Algorithms; Transparency; Platforms; Material-discursive</t>
  </si>
  <si>
    <t>In popular discussions, the nuances of AI are often abridged as the algorithm, as the specific arrangements of machine learning (ML), deep learning (DL) and automated decision-making on social media platforms are typically shrouded in proprietary secrecy punctuated by press releases and transparency initiatives. What is clear, however, is that AI embedded on social media functions to recommend content, personalize ads, aggregate news stories, and moderate problematic material. It is also increasingly apparent that individuals are concerned with the uses, implications, and fairness of algorithmic systems. Perhaps in response to concerns about the algorithm by individuals and governments, social media platforms utilize transparency initiatives and official statements, in part, to deflect official regulation. In the following paper, I draw from transparency initiatives and statements from representatives of Facebook and TikTok as case studies of how AI is embedded in these platforms, with attention to the promotion of AI content moderation as a solution to the circulation of problematic material and misinformation. This examination considers the complexity of embedded AI as a material-discursive apparatus, predicated on discursive techniques-what is seeable, sayable, knowable in a given time period-as well as the material arrangements-algorithms, datasets, users, platforms, infrastructures, moderators, etc. As such, the use of AI as part of the immensely popular platforms Facebook and TikTok demonstrates that AI does not exist in isolation, instead functioning as human-machine ensemble reliant on strategies of acceptance via discursive techniques and the changing material arrangements of everyday embeddedness.</t>
  </si>
  <si>
    <t>[Grandinetti, Justin] Univ N Carolina, Commun Studies, Charlotte, NC 28223 USA</t>
  </si>
  <si>
    <t>University of North Carolina; University of North Carolina Charlotte</t>
  </si>
  <si>
    <t>Grandinetti, J (corresponding author), Univ N Carolina, Commun Studies, Charlotte, NC 28223 USA.</t>
  </si>
  <si>
    <t>0951-5666</t>
  </si>
  <si>
    <t>1435-5655</t>
  </si>
  <si>
    <t>AI SOC</t>
  </si>
  <si>
    <t>AI Soc.</t>
  </si>
  <si>
    <t>10.1007/s00146-021-01270-5</t>
  </si>
  <si>
    <t>N1FQ3</t>
  </si>
  <si>
    <t>WOS:000695094900001</t>
  </si>
  <si>
    <t>O'Toole, K</t>
  </si>
  <si>
    <t>O'Toole, Katherine</t>
  </si>
  <si>
    <t>Collaborative Creativity in TikTok Music Duets</t>
  </si>
  <si>
    <t>Creativity; HCI; MIR; CSCW</t>
  </si>
  <si>
    <t>On the social media platform TikTok, users are able to engage with each other's content by using the Duet feature, which allows them to re-share another user's video while also layering on additional content to the original video. Through this, the affordances of the Duet feature facilitate a distributed and collaborative creative process, in which we can observe the evolution of cultural artifacts through the different versions that are produced from user contributions. As a result, the open-ended nature of these collaborations positions engagement as both a creative and social act. In this paper, we identify the ways in which the Duet feature supports decentralized co-creativity and engagement between users. We find that the cumulative nature of an artifact's creative evolution, along with the ability for multiple iterations of an artifact to develop in parallel, facilitates development of diverse creative artifacts.</t>
  </si>
  <si>
    <t>[O'Toole, Katherine] Northwestern Univ, Evanston, IL 60208 USA</t>
  </si>
  <si>
    <t>O'Toole, K (corresponding author), Northwestern Univ, Evanston, IL 60208 USA.</t>
  </si>
  <si>
    <t>kmarie.otoole@gmail.com</t>
  </si>
  <si>
    <t>O'Toole, Katherine/0000-0001-6653-1486</t>
  </si>
  <si>
    <t>10.1145/3544548.3581380</t>
  </si>
  <si>
    <t>WOS:001048393804027</t>
  </si>
  <si>
    <t>Scharlach, R; Hallinan, B; Shifman, L</t>
  </si>
  <si>
    <t>Scharlach, Rebecca; Hallinan, Blake; Shifman, Limor</t>
  </si>
  <si>
    <t>Governing principles: Articulating values in social media platform policies</t>
  </si>
  <si>
    <t>boundary objects; Facebook; Instagram; platform policies; TikTok; Twitter; values; YouTube</t>
  </si>
  <si>
    <t>INTERNET GOVERNANCE; FACEBOOK</t>
  </si>
  <si>
    <t>As sites where social media corporations profess their commitment to principles like community and free speech, policy documents function as boundary objects that navigate diverse audiences, purposes, and interests. This article compares the discourse of values in the Privacy Policies, Terms of Service, and Community Guidelines of five major platforms (Facebook, Instagram, YouTube, Twitter, and TikTok). Through a mixed-methods analysis, we identified frequently mentioned value terms and five overarching principles consistent across platforms: expression, community, safety, choice, and improvement. However, platforms limit their burden to execute these values by selectively assigning responsibility for their enactment, often unloading such responsibility onto users. Moreover, while each of the core values may potentially serve the public good, they can also promote narrow corporate goals. This dual framing allows platforms to strategically reinterpret values to suit their own interests.</t>
  </si>
  <si>
    <t>[Scharlach, Rebecca; Hallinan, Blake; Shifman, Limor] Hebrew Univ Jerusalem, Dept Commun &amp; Journalism, IL-91905 Jerusalem, Israel</t>
  </si>
  <si>
    <t>Scharlach, R (corresponding author), Hebrew Univ Jerusalem, Dept Commun &amp; Journalism, IL-91905 Jerusalem, Israel.</t>
  </si>
  <si>
    <t>Hallinan, Blake/0000-0002-4696-8290; Shifman, Limor/0000-0002-2616-9491; Scharlach, Rebecca/0000-0003-3033-5795</t>
  </si>
  <si>
    <t>10.1177/14614448231156580</t>
  </si>
  <si>
    <t>J7E8H</t>
  </si>
  <si>
    <t>WOS:000945465700001</t>
  </si>
  <si>
    <t>Liu, H; Peng, JL; Li, L; Deng, A; Huang, XX; Yin, GB; Ming, J; Luo, HJ; Liang, YY</t>
  </si>
  <si>
    <t>Liu, Hui; Peng, Jialun; Li, Lu; Deng, Ao; Huang, Xiangxin; Yin, Guobin; Ming, Jia; Luo, Haojun; Liang, Yinyin</t>
  </si>
  <si>
    <t>Assessment of the reliability and quality of breast cancer related videos on TikTok and Bilibili: cross-sectional study in China</t>
  </si>
  <si>
    <t>breast cancer; video; cross-sectional study; health education; quality evaluation</t>
  </si>
  <si>
    <t>PALLIATIVE CARE; INFORMATION; YOUTUBE; INTEGRATION; DISCERN</t>
  </si>
  <si>
    <t>Background As the most common malignant tumor in the world, breast cancer also brings a huge disease burden to China. Ordinary people are increasingly inclined to use the Internet, especially video social platforms, as a source of health information. Educating the public to obtain correct information is important to reduce the incidence of breast cancer and improve the prognosis. However, the quality and reliability of breast cancer-related video content have not been fully studied. Objective This study aims to evaluate the quality of the information of breast cancer-related videos on TikTok and Bilibili video sharing platforms and factors related to video quality. Methods We collected the top 100 videos about breast cancer on TikTok and Bilibili, respectively. Categorize videos according to video source and video content. Video quality and reliability were assessed using Global Quality Score (GQS) and modified DISCERN (mDISCERN) tools. We also analyzed the correlation between video quality and video likes, comments, saves, and shares. Results Although the quality and reliability of Bilibili's breast cancer videos were higher than TikTok (p = 0.002 and p = 0.001, respectively), the video quality of both video sharing platforms was not satisfactory, with a median GQS scores of 2.00 and 3.00 and mDISCERN scores of 1.00 and 2.00, respectively. In general, the quality and reliability of videos released by medical practitioners were higher than those of non-medical practitioners, and the quality and reliability of videos covering disease-related knowledge were higher than those of news reports (all p &lt; 0.001). Among medical practitioners, the quality of videos uploaded by doctors in breast disease was significantly lower than that of doctors in other areas (p &lt; 0.05). There was a significant positive correlation between video quality and duration (r = 0.240, p &lt; 0.001), a weak negative correlation between video quality and likes (r = 0.191, p &lt; 0.01), video quality and comments (r = 0.256, p &lt; 0.001), video reliability and likes (r = 0.198, p &lt; 0.001), video reliability and comments (r = 0.243, p &lt; 0.01). Conclusion Our study shows that the quality and reliability of breast cancer-related videos on TikTok and Bilibili are poor, and the overall quality is unsatisfactory. But videos uploaded by medical practitioners covering disease knowledge, prevention and treatment are of higher quality. Medical practitioners are encouraged to publish more high-quality videos, while video social platforms should formulate relevant policies to censor and supervise health education videos, so as to enable the public to obtain reliable health information.</t>
  </si>
  <si>
    <t>[Liu, Hui; Li, Lu; Deng, Ao; Huang, Xiangxin; Yin, Guobin; Ming, Jia; Luo, Haojun; Liang, Yinyin] Chongqing Med Univ, Affiliated Hosp 2, Dept Breast &amp; Thyroid Surg, Chongqing, Peoples R China; [Peng, Jialun] Chongqing Med Univ, Affiliated Hosp 2, Dept Hepatobiliary Surg, Chongqing, Peoples R China</t>
  </si>
  <si>
    <t>Chongqing Medical University; Chongqing Medical University</t>
  </si>
  <si>
    <t>Luo, HJ; Liang, YY (corresponding author), Chongqing Med Univ, Affiliated Hosp 2, Dept Breast &amp; Thyroid Surg, Chongqing, Peoples R China.</t>
  </si>
  <si>
    <t>luohaojun@hospital.cqmu.edu.cn; monaderaming5@hospital.cqmu.edu.cn</t>
  </si>
  <si>
    <t>huang, xiangxin/JXM-2989-2024</t>
  </si>
  <si>
    <t>li, lu/0009-0009-8381-3093</t>
  </si>
  <si>
    <t>Kuanren Talents Program of the second affiliated hospital of Chongqing Medical University [kryc-gg-2207, kryc-yq-2228]</t>
  </si>
  <si>
    <t>Kuanren Talents Program of the second affiliated hospital of Chongqing Medical University</t>
  </si>
  <si>
    <t>The author(s) declare financial support was received for the research, authorship, and/or publication of this article. The work was supported by the Kuanren Talents Program of the second affiliated hospital of Chongqing Medical University (No: kryc-gg-2207, No: kryc-yq-2228).</t>
  </si>
  <si>
    <t>JAN 22</t>
  </si>
  <si>
    <t>10.3389/fpubh.2023.1296386</t>
  </si>
  <si>
    <t>HB6X5</t>
  </si>
  <si>
    <t>WOS:001157079500001</t>
  </si>
  <si>
    <t>Yélamos-Guerra, MS; García-Gámez, M</t>
  </si>
  <si>
    <t>Salome Yelamos-Guerra, Maria; Garcia-Gamez, Maria</t>
  </si>
  <si>
    <t>The use of TikTok in higher education as a motivating source for students</t>
  </si>
  <si>
    <t>PORTA LINGUARUM</t>
  </si>
  <si>
    <t>Tik Tok; learning tool; innovative approach; new technologies; motivation</t>
  </si>
  <si>
    <t>UNIVERSITY</t>
  </si>
  <si>
    <t>This article presents a study conducted at the University of Malaga with the participation of second-year students from the Degree in English Studies. It focuses on a TikTok project that the participants had to edit for the British History class in the academic year 2020/2021. The students' reception of said project as an innovative learning tool, both as applied to English as a second language and to the content of the courses, was analysed and measured using a questionnaire that was elaborated ad hoc and properly validated. Our results indicate great success and acceptance of the activity on the part of the students, who consider that this innovative approach to learning being highly integrated with new technologies fosters the comprehension and active learning of the subject, thus enhancing comprehension in a stimulating and motivating way.</t>
  </si>
  <si>
    <t>[Salome Yelamos-Guerra, Maria; Garcia-Gamez, Maria] Univ Malaga, Malaga, Spain</t>
  </si>
  <si>
    <t>Universidad de Malaga</t>
  </si>
  <si>
    <t>Yélamos-Guerra, MS (corresponding author), Univ Malaga, Malaga, Spain.</t>
  </si>
  <si>
    <t>; Moreno-Ortiz, Antonio/C-6497-2017</t>
  </si>
  <si>
    <t>Yelamos Guerra, Salome/0000-0002-5975-5008; Garcia Gamez, Maria/0000-0001-7068-0038; Moreno-Ortiz, Antonio/0000-0002-8268-9598</t>
  </si>
  <si>
    <t>UNIV GRANADA</t>
  </si>
  <si>
    <t>UNIV GRANADA, GRANADA, 18071, SPAIN</t>
  </si>
  <si>
    <t>1697-7467</t>
  </si>
  <si>
    <t>Porta Linguarum</t>
  </si>
  <si>
    <t>10.30827/portalin.vi38.21684</t>
  </si>
  <si>
    <t>2B9KH</t>
  </si>
  <si>
    <t>WOS:000810499200006</t>
  </si>
  <si>
    <t>Sancho, ME; Iranzo-Cabrera, M</t>
  </si>
  <si>
    <t>Sancho, Maria Estefano; Iranzo-Cabrera, Maria</t>
  </si>
  <si>
    <t>Sexual Educommunication in Spanish Media. Analysis of Consent Media Coverage on Instagram and TikTok</t>
  </si>
  <si>
    <t>educommunication; generation Z; Instagram; journalism; sexuality; TikTok</t>
  </si>
  <si>
    <t>This article explores how Spanish media address the ethics of sexual relationships and influence the construction and perception of sexuality among the younger audiences- referred to as Generation Z or Zoomers- through their social media platforms. This observation coincides with the legislative process of the 'Yes Means Yes' Law, a normative change of social and media relevance that places consent at the forefront of relationships following an increase in group sexual assaults by men against a woman. Using a qualitative methodology based on content and discourse analysis, 13 media outlets on Instagram and TikTok were examined, comprising a total of 13,585 published pieces of content. The results show that media coverage focuses on political and temporal controversies, with no intention to delve into or contextualize the various aspects surrounding sexual relationships and consent. It is concluded that the media do not assume an educommunicative function around sexuality despite the potential of the new narratives of both social networks to raise awareness about affective-sexual relationships. Informative and gender-inclusive content, based on reasoned argumentation, are the ones that arouse the greatest interest among the youngest audiences. Precisely through them, journalistic companies could assume an informative and interpretative commitment aimed at raising awareness of an issue about which young people are uninformed and which affects society as a whole on a cultural and political level.</t>
  </si>
  <si>
    <t>[Sancho, Maria Estefano] Radio Televis Espanola, Valencia, Spain; [Iranzo-Cabrera, Maria] Univ Valencia, Fac Philol Translat &amp; Commun, Journalism, Valencia, Spain</t>
  </si>
  <si>
    <t>Sancho, ME (corresponding author), Radio Televis Espanola, Valencia, Spain.</t>
  </si>
  <si>
    <t>maria.estefano01@gmail.com; maria.iranzo-cabrera@uv.es</t>
  </si>
  <si>
    <t>Generalitat Valenciana [Regional Government of the Region of Valencia] [CIAICO2021-125]</t>
  </si>
  <si>
    <t>Generalitat Valenciana [Regional Government of the Region of Valencia]</t>
  </si>
  <si>
    <t>This research is part of the project 'Desconcierto informativo: calidad precarizada, sobre (des)informacion y polarizacion' [Information turmoil: precarious quality, (dis)information overload and polarisation], funded by the Generalitat Valenciana [Regional Government of the Region of Valencia] (Ref. CIAICO2021-125).</t>
  </si>
  <si>
    <t>E5P3J</t>
  </si>
  <si>
    <t>WOS:001303516600001</t>
  </si>
  <si>
    <t>Sexual educommunication in Spanish media. Analysis of consent media coverage on Instagram and TikTok</t>
  </si>
  <si>
    <t>This article explores how Spanish media address the ethics of sexual relationships and influence the construction and perception of sexuality among the younger audiences- referred to as Generation Z or Zoomers- through their social media platforms. This observation coincides with the legislative process of the 'Yes Means Yes' Law, a normative change of social and media relevance that places consent at the forefront of relationships following an increase in group sexual assaults by men against a woman. Using a qualitative methodology based on content and discourse analysis, 13 media outlets on Instagram and TikTok were examined, comprising a total of 13,585 published pieces of content. The results show that media coverage focuses on political and temporal controversies, with no intention to delve into and contextualize the various aspects surrounding sexual relationships and consent. It is concluded that the media do not assume an educommunicative function around sexuality despite the potential of the new narratives of both social networks to raise awareness about affective-sexual relationships. Informative and gender-inclusive content, based on reasoned argumentation, are the ones that arouse the greatest interest among the youngest audiences. Precisely through them, journalistic companies could assume an informative and interpretative commitment aimed at raising awareness of an issue about which young people are uninformed and which affects society as a whole on a cultural and political level.</t>
  </si>
  <si>
    <t>[Sancho, Maria Estefano] Radio Televis Espanola, Valencia, Spain; [Iranzo-Cabrera, Maria] Univ Valencia, Fac Filol Traducc &amp; Comunicac, Periodismo, Valencia, Spain</t>
  </si>
  <si>
    <t>Iranzo-Cabrera, Maria/I-1431-2015</t>
  </si>
  <si>
    <t>e2155</t>
  </si>
  <si>
    <t>10.7195/ri14.v22i2.2155</t>
  </si>
  <si>
    <t>WOS:001303516600002</t>
  </si>
  <si>
    <t>Xu, TG; Gao, Q; Ge, XZ; Lu, JJ</t>
  </si>
  <si>
    <t>Xu, Tugen; Gao, Qi; Ge, Xinzhu; Lu, Jijian</t>
  </si>
  <si>
    <t>The relationship between social media and professional learning from the perspective of pre-service teachers: A survey</t>
  </si>
  <si>
    <t>Social media; WeChat; TikTok; Professional learning; STEM</t>
  </si>
  <si>
    <t>WEB 2.0; HIGHER-EDUCATION; FACEBOOK; WECHAT; MOBILE; STUDENTS; USAGE</t>
  </si>
  <si>
    <t>Social media usage is indispensable for college students, but the connection between social media and learning has received little scientific investigation. By examining pre-service teachers' attention to science, technology, engineering, and mathematics (STEM) teaching content and presentation in social media apps through WeChat, DingTalk, and TikTok, this study aimed to provide suggestions on using social media apps to promote pre-service teachers' skill learning and teaching development and to understand the relationship between social media and learning. 383 valid surveys were distributed and gathered. The findings indicate that: 1) Social media apps have both beneficial and detrimental effects on education. 2) The degree of agreement differs on Social media app is an excellent teaching tool and social media app has significant promise in boosting educational development. The highest and lowest levels of agreement degrees were obtained for DingTalk and TikTok. The level of identification also affects how much pre-service teachers may pay attention to educational research and how frequently they study new materials in the future. 3) The degree to which pre-service teachers' academic performance in professional learning is affected by their use of social media varies. These findings have implications for pre-service teachers. This study suggests that it is necessary to further investigate the teaching aid function of social media apps and how pre-service teachers can better utilize them to develop professional skills.</t>
  </si>
  <si>
    <t>[Xu, Tugen; Gao, Qi; Ge, Xinzhu; Lu, Jijian] Hangzhou Normal Univ, 2318 Yuhangtang Rd, Hangzhou 311121, Zhejiang, Peoples R China</t>
  </si>
  <si>
    <t>Hangzhou Normal University</t>
  </si>
  <si>
    <t>Lu, JJ (corresponding author), Hangzhou Normal Univ, 2318 Yuhangtang Rd, Hangzhou 311121, Zhejiang, Peoples R China.</t>
  </si>
  <si>
    <t>xutugen@163.com; 550572284@qq.com; gexinzhu2019@163.com; lujijian@foxmail.com</t>
  </si>
  <si>
    <t>Lu, Jijian/GYV-0784-2022</t>
  </si>
  <si>
    <t>Lu, Jijian/0000-0003-0208-9486; Xu, Tugen/0009-0007-8667-3394</t>
  </si>
  <si>
    <t>10.1007/s10639-023-11861-y</t>
  </si>
  <si>
    <t>HJ3M2</t>
  </si>
  <si>
    <t>WOS:000995051900001</t>
  </si>
  <si>
    <t>Peng, HX; Zhang, XW; Cao, C</t>
  </si>
  <si>
    <t>Peng, Haoxuan; Zhang, Xuanwu; Cao, Cong</t>
  </si>
  <si>
    <t>A Study on the Influencing Factors of User Interaction Mode Selection in the Short Video Industry: A Case Study of TikTok</t>
  </si>
  <si>
    <t>SOCIAL COMPUTING AND SOCIAL MEDIA: DESIGN, USER EXPERIENCE AND IMPACT, SCSM 2022, PT I</t>
  </si>
  <si>
    <t>14th International Conference on Social Computing and Social Media (SCSM) Held as Part of the 24th International Conference on Human-Computer Interaction (HCII)</t>
  </si>
  <si>
    <t>JUN 26-JUL 01, 2022</t>
  </si>
  <si>
    <t>Short video industry; Driving factors; Interactive behaviour</t>
  </si>
  <si>
    <t>TRUST; MEDIA; VARIABLES; TRAITS</t>
  </si>
  <si>
    <t>In recent years, with the popularity and development of the Internet and mobile terminals, social short videos, as a new form of social media, have become more and more popular among consumers. By using emerging technologies such as big data and artificial intelligence, the short video platform can analyse user needs more accurately and push services and content in a targeted manner. At the same time, users can send barrage and share information with other users while watching short videos. With accurate user portraits and information push, as well as various interaction modes, TikTok has reached one billion monthly active users. In this paper, taking the TikTok short video platform as an example and examining it from the perspective of its users, a research model is built based on the ternary reciprocal determinism model of social cognitive theory. A questionnaire survey was used to gather 176 valid samples. Partial least squares structural equation modelling (PLS-SEM) was used to analyse the model and the research hypothesis. The results show that individual interaction is influenced by the individual, environment, social presence, public opinion, personal traits, trust properness and other factors. At present, there is little literature on the driving factors of short video application users' participation behaviour. Therefore, this paper aims to fill the gaps in related fields to a certain extent.</t>
  </si>
  <si>
    <t>[Peng, Haoxuan; Zhang, Xuanwu; Cao, Cong] Zhejiang Univ Technol, Hangzhou, Peoples R China</t>
  </si>
  <si>
    <t>Zhejiang University of Technology</t>
  </si>
  <si>
    <t>Cao, C (corresponding author), Zhejiang Univ Technol, Hangzhou, Peoples R China.</t>
  </si>
  <si>
    <t>congcao@zjut.edu.cn</t>
  </si>
  <si>
    <t>Cao, Cong/ABD-5679-2020</t>
  </si>
  <si>
    <t>Cao, Cong/0000-0003-4163-2218</t>
  </si>
  <si>
    <t>Zhejiang University of Technology Humanities and Social Sciences Pre-Research Fund Project [GZ21731320013]; Zhejiang University of Technology Subject Reform Project [GZ21511320030]</t>
  </si>
  <si>
    <t>Zhejiang University of Technology Humanities and Social Sciences Pre-Research Fund Project; Zhejiang University of Technology Subject Reform Project</t>
  </si>
  <si>
    <t>The work described in this paper was supported by grants from the Zhejiang University of Technology Humanities and Social Sciences Pre-Research Fund Project (GZ21731320013), and the Zhejiang University of Technology Subject Reform Project (GZ21511320030).</t>
  </si>
  <si>
    <t>978-3-031-05061-9; 978-3-031-05060-2</t>
  </si>
  <si>
    <t>10.1007/978-3-031-05061-9_13</t>
  </si>
  <si>
    <t>BU5CM</t>
  </si>
  <si>
    <t>WOS:000911435700013</t>
  </si>
  <si>
    <t>Williams, TJV; Slater, HE; Gomez, CT</t>
  </si>
  <si>
    <t>Williams, Thomas James Vaughan; Slater, Harriet Emily; Gomez, Camilo Tamayo</t>
  </si>
  <si>
    <t>Unpacking the Construction of Online Identities of Hybristophilia Communities on TikTok</t>
  </si>
  <si>
    <t>DEVIANT BEHAVIOR</t>
  </si>
  <si>
    <t>MEN</t>
  </si>
  <si>
    <t>This study delves into the expressions of Hybristophilia, an intriguing phenomenon characterized by a sexual attraction to criminal offenders. While existing literature has primarily focused on manifestations including letter-writing and courtroom support, scant attention has been given to the online realm, leaving a notable gap in understanding the interplay between Hybristophilia, online identity constructions, and offline duality. Employing an innovative method termed the TikTok Matrix Analysis (TMA), the research team explored Hybristophilia content on the popular social media platform TikTok. This analytical method identified four prominent themes: Sexual Objectification, Trivialisation of Trauma, Romanticisation of Criminals, and Guiltiness. Notably, the content online exhibited a concerted effort to reshape the negative perception of the criminal offender and their actions, simultaneously serving as an outlet for the author's admiration for the chosen offender. The findings highlight the transformative nature of Hybristophilia content online and its potential impact on both users and victims. By diluting the negative perception of criminal actions, these expressions may inadvertently contribute to minimizing the severity of offenses and overlooking the trauma experienced by victims. The study also underscores the importance of considering the ethical implications and limitations inherent in researching such sensitive topics. This research contributes to the broader understanding of Hybristophilia by shedding light on its manifestations within the digital landscape. As society navigates the complex intersection of online and offline identities, the study prompts further exploration into the consequences of these expressions on individuals, communities, and the justice system.</t>
  </si>
  <si>
    <t>[Williams, Thomas James Vaughan; Slater, Harriet Emily; Gomez, Camilo Tamayo] Univ Huddersfield, Huddersfield, England; [Gomez, Camilo Tamayo] Univ Huddersfield UK, Sch Human &amp; Hlth Sci, Dept Behav &amp; Social Sci, Ramsden Bldg R2-46, Huddersfield HD1 3DH, England</t>
  </si>
  <si>
    <t>University of Huddersfield</t>
  </si>
  <si>
    <t>Gomez, CT (corresponding author), Univ Huddersfield UK, Sch Human &amp; Hlth Sci, Dept Behav &amp; Social Sci, Ramsden Bldg R2-46, Huddersfield HD1 3DH, England.</t>
  </si>
  <si>
    <t>c.a.tamayogomez@hud.ac.uk</t>
  </si>
  <si>
    <t>Williams, Thomas/JKS-7826-2023; Gomez, Camilo/AAH-7898-2020</t>
  </si>
  <si>
    <t>Slater, Harriet Emily/0000-0002-0698-0199; Williams, Tom/0000-0003-0856-6474; Tamayo Gomez, Dr Camilo/0000-0001-7576-7562</t>
  </si>
  <si>
    <t>0163-9625</t>
  </si>
  <si>
    <t>1521-0456</t>
  </si>
  <si>
    <t>DEVIANT BEHAV</t>
  </si>
  <si>
    <t>Deviant Behav.</t>
  </si>
  <si>
    <t>2024 APR 7</t>
  </si>
  <si>
    <t>10.1080/01639625.2024.2338273</t>
  </si>
  <si>
    <t>Criminology &amp; Penology; Psychology, Social; Sociology</t>
  </si>
  <si>
    <t>Criminology &amp; Penology; Psychology; Sociology</t>
  </si>
  <si>
    <t>NG3T2</t>
  </si>
  <si>
    <t>WOS:001199267000001</t>
  </si>
  <si>
    <t>Thornenea, A</t>
  </si>
  <si>
    <t>Thornenea, A (corresponding author), Univ Bucharest, CESI, Space Image Text Terr Doctoral Sch, Bucharest, Romania.</t>
  </si>
  <si>
    <t>JY7E2</t>
  </si>
  <si>
    <t>WOS:001176776900003</t>
  </si>
  <si>
    <t>Wusylko, C; Weisberg, L; Abramowitz, B; Opoku, RA; Williams, J; Xing, WL; Vu, T; Vu, M</t>
  </si>
  <si>
    <t>Wusylko, Christine; Weisberg, Lauren; Abramowitz, Brian; Opoku, Raymond A.; Williams, Jessica; Xing, Wanli; Vu, Teresa; Vu, Michelle</t>
  </si>
  <si>
    <t>Using machine learning techniques to investigate learner engagement with TikTok media literacy campaigns</t>
  </si>
  <si>
    <t>JOURNAL OF RESEARCH ON TECHNOLOGY IN EDUCATION</t>
  </si>
  <si>
    <t>Media literacy education; artificial intelligence; machine learning; social media; learner engagement</t>
  </si>
  <si>
    <t>SOCIAL MEDIA; BIG DATA</t>
  </si>
  <si>
    <t>Social media has the unique capacity to expose many learners to media literacy instruction via targeted campaigns. Investigating learner engagement and reaction to these efforts may be a fruitful endeavor for researchers that can inform the design of future campaigns. However, the massive datasets associated with social media posts are difficult, and often impossible, to analyze with traditional qualitative methods. This study seeks to address this problem by leveraging machine learning techniques to collect and analyze Big Data from two different media literacy campaigns on the youth-oriented social media platform TikTok. Specifically, we explore the ways topic modeling, sentiment analysis, and network analysis can provide insight into learner engagement with these campaigns and discuss limitations and implications for stakeholders interested in utilizing these approaches.</t>
  </si>
  <si>
    <t>[Wusylko, Christine; Weisberg, Lauren; Abramowitz, Brian; Opoku, Raymond A.; Williams, Jessica; Xing, Wanli; Vu, Teresa; Vu, Michelle] Univ Florida, Coll Educ, Gainesville, FL 32611 USA</t>
  </si>
  <si>
    <t>Wusylko, C (corresponding author), Univ Florida, Coll Educ, Gainesville, FL 32611 USA.</t>
  </si>
  <si>
    <t>Weisberg, Lauren/M-1489-2019; Wusylko, Christine/JLK-9388-2023</t>
  </si>
  <si>
    <t>Wusylko, Christine/0000-0003-3449-9391; Opoku, Raymond/0000-0001-9892-0152; Abramowitz, Brian/0000-0001-8681-0853; Weisberg, Lauren/0000-0001-8033-3662</t>
  </si>
  <si>
    <t>1539-1523</t>
  </si>
  <si>
    <t>1945-0818</t>
  </si>
  <si>
    <t>J RES TECHNOL EDUC</t>
  </si>
  <si>
    <t>J. Res. Technol. Educ.</t>
  </si>
  <si>
    <t>10.1080/15391523.2023.2266518</t>
  </si>
  <si>
    <t>ET6N4</t>
  </si>
  <si>
    <t>WOS:001141221800005</t>
  </si>
  <si>
    <t>Kender, K; Frauenberger, C</t>
  </si>
  <si>
    <t>Kender, Kay; Frauenberger, Christopher</t>
  </si>
  <si>
    <t>The Shape of Social Media: Towards Addressing (Aesthetic) Design Power</t>
  </si>
  <si>
    <t>PROCEEDINGS OF THE 2022 ACM DESIGNING INTERACTIVE SYSTEMS CONFERENCE, DIS 2022</t>
  </si>
  <si>
    <t>ACM Designing Interactive Systems Conference (DIS)</t>
  </si>
  <si>
    <t>JUN 13-17, 2022</t>
  </si>
  <si>
    <t>Social Media; Visual Design; Power; Aesthetics; Twitter; Facebook; Instagram; TikTok</t>
  </si>
  <si>
    <t>DEFINITION</t>
  </si>
  <si>
    <t>The effects of social media on our society are heavily researched and discussed, but few insights about the role of aesthetic design therein have been gained to this date, despite research in related areas providing precedent: drawing from existing theory on persuasive design, nudge, dark patterns, and advertising, we suggest the term Aesthetic Design Power to conduct a preliminary critical analysis of the design of four influential social media platforms (Facebook, Twitter, Instagram, and TikTok) as a foundation for critical discussions about the aesthetic design of social media and its impact. We present salient design attributes and elements shared by these four platforms, speculate about the possible motivations and effects of these design decisions, and argue for an urgent need for further research into, and discussions about, the visual design and connected Aesthetic Design Power of social media.</t>
  </si>
  <si>
    <t>[Kender, Kay] TU Wien, Human Comp Interact Grp, Vienna, Austria; [Frauenberger, Christopher] Univ Salzburg, Ctr Human Comp Interact, Salzburg, Austria</t>
  </si>
  <si>
    <t>Technische Universitat Wien; Salzburg University</t>
  </si>
  <si>
    <t>Kender, K (corresponding author), TU Wien, Human Comp Interact Grp, Vienna, Austria.</t>
  </si>
  <si>
    <t>silvia-kay.kender@tuwien.ac.at; christopher.frauenberger@plus.ac.at</t>
  </si>
  <si>
    <t>Frauenberger, Christopher/AAD-9349-2020</t>
  </si>
  <si>
    <t>Frauenberger, Christopher/0000-0003-0204-881X; Kender, Kay/0000-0002-3733-9329</t>
  </si>
  <si>
    <t>978-1-4503-9358-4</t>
  </si>
  <si>
    <t>10.1145/3532106.3533470</t>
  </si>
  <si>
    <t>BV4NQ</t>
  </si>
  <si>
    <t>WOS:001036715000025</t>
  </si>
  <si>
    <t>Andersson, M</t>
  </si>
  <si>
    <t>Andersson, Marta</t>
  </si>
  <si>
    <t>Multimodal expression of impoliteness in YouTube reaction videos to transgender activism</t>
  </si>
  <si>
    <t>Entertaining impoliteness; Social semiotic discourse analysis; Multimodality; YouTube reaction videos; TikTok</t>
  </si>
  <si>
    <t>This study examines the genre of YouTube reaction videos as a distinct form of cultural production and social influence in online communication. Despite its prevalence and popularity, the genre has received limited scholarly attention, particularly with regard to reactions to ideological activism. This paper aims to fill this gap by conducting a social semiotic discourse analysis of videos reviewing the activism of transgender community on TikTok. The analysis demonstrates how intersecting non-verbal and technologically enabled modes, such as gaze, gestures, facial expressions, and various audio-visual effects, contribute to the expression of impoliteness arising from a sense of superiority over the target, shared with non-targeted viewers. Overall, the paper provides insights into the dynamics of online culture wars and the multimodal manifestations of impoliteness in contemporary social media discourse.</t>
  </si>
  <si>
    <t>[Andersson, Marta] Uppsala Univ, Dept English, Thunbergsvagen 3G, S-75238 Uppsala, Sweden; [Andersson, Marta] Stockholm Univ, Dept English, Univ Vagen 10E, S-10691 Stockholm, Sweden</t>
  </si>
  <si>
    <t>Uppsala University; Stockholm University</t>
  </si>
  <si>
    <t>Andersson, M (corresponding author), Uppsala Univ, Dept English, Thunbergsvagen 3G, S-75238 Uppsala, Sweden.;Andersson, M (corresponding author), Stockholm Univ, Dept English, Univ Vagen 10E, S-10691 Stockholm, Sweden.</t>
  </si>
  <si>
    <t>marta.andersson@engelska.uu.se</t>
  </si>
  <si>
    <t>Andersson, Marta/0000-0003-3506-9676</t>
  </si>
  <si>
    <t>10.1016/j.dcm.2024.100760</t>
  </si>
  <si>
    <t>RI8Q1</t>
  </si>
  <si>
    <t>WOS:001227129600001</t>
  </si>
  <si>
    <t>Hyperconnected: girls, boys and adolescents on social networks. The TikTok phenomenon</t>
  </si>
  <si>
    <t>social networks; Teen; behavioral problem; addictive behavior</t>
  </si>
  <si>
    <t>Digital network communication platforms revolutionized the way we communicate, inform and entertain ourselves; They mainly impacted the new generations. The pandemic increased consumption patterns at all ages and its consequences: sedentary lifestyle; obesity; sleep, psychological, cognitive, memory/attention, academic performance disturbances; problematic behaviors and risks of cyberbullying. The activity of new generations on TikTok - a platform where they can create, view, share viral videos and challenges - has an impact on their behavior. Your posts generate approvals, comments and followers; This stimulates the dopaminergic reward circuit, which is the basis of addictive behaviors. The pediatrician must be aware of these behaviors to recommend good use practices. This narrative review, based on bibliography from PubMed Central, SciELO, national and international recommendations, aims to inform and update professionals about the platform, its characteristics and its recommendations for safe use.</t>
  </si>
  <si>
    <t>[Pedrouzo, Silvina B.; Krynski, Laura] Sociedad Argentina Pediat, Buenos Aires, DF, Argentina</t>
  </si>
  <si>
    <t>Pedrouzo, SB (corresponding author), Sociedad Argentina Pediat, Buenos Aires, DF, Argentina.</t>
  </si>
  <si>
    <t>10.5546/aap.2022-02674</t>
  </si>
  <si>
    <t>T9MT0</t>
  </si>
  <si>
    <t>WOS:001081159200002</t>
  </si>
  <si>
    <t>Liu, JH; Yang, L</t>
  </si>
  <si>
    <t>Liu, Jinhe; Yang, Le</t>
  </si>
  <si>
    <t>Dual-Track platform governance on content: A comparative study between China and United States</t>
  </si>
  <si>
    <t>China-U.S; content governance; Douyin/TikTok; platform governance; technology governance</t>
  </si>
  <si>
    <t>INTERNET-GOVERNANCE; SOCIAL MEDIA; GLOBALIZATION; RULES</t>
  </si>
  <si>
    <t>An Internet platform carrying information content has dual properties of content (information) and technology (medium). We deconstruct the complicated relationships of platform governance on content in China and the United States by building a theoretical framework of dual-track governance of content and technology. China's mechanism of platform governance on content focuses more on content governance, while the U.S. focuses more on technology governance. China and the U.S. is dominated by the state and the market separately, forming the two mechanisms of Statism with Content Regulation First and Marketism with Technology Governance First, with four different characteristics. TikTok Path, following the Separation Principle of content governance and technology governance, is a feasible approach for the platform company that attempts to go abroad to adapt to different or even conflicting governance contexts.</t>
  </si>
  <si>
    <t>[Liu, Jinhe] Tsinghua Univ, Sch Publ Policy &amp; Management, Beijing 100084, Peoples R China; [Yang, Le] Tsinghua Univ, Sch Journalism &amp; Commun, Beijing, Peoples R China</t>
  </si>
  <si>
    <t>Liu, JH (corresponding author), Tsinghua Univ, Sch Publ Policy &amp; Management, Beijing 100084, Peoples R China.</t>
  </si>
  <si>
    <t>liujinhe2010@sina.com</t>
  </si>
  <si>
    <t>Yang, Le/GZG-6603-2022</t>
  </si>
  <si>
    <t>Liu, Jinhe/0000-0002-5311-0452</t>
  </si>
  <si>
    <t>10.1002/poi3.307</t>
  </si>
  <si>
    <t>2H3NL</t>
  </si>
  <si>
    <t>WOS:000804574700001</t>
  </si>
  <si>
    <t>Paliwoda, ED; Torres, A; Dema, E; Gajjar, AA; Horne, MJ; Trandafirescu, M; Adamo, MA; Schalet, BJ; Bray, SMC</t>
  </si>
  <si>
    <t>Paliwoda, Ethan D.; Torres, Alejandro; Dema, Elma; Gajjar, Avi A.; Horne, Mason J.; Trandafirescu, Mathew; Adamo, Matthew A.; Schalet, Benjamin J.; Bray, Stephanie M. C.</t>
  </si>
  <si>
    <t>Confronting Craniosynostosis: Maternal Concerns, Challenges, and Coping for their Children</t>
  </si>
  <si>
    <t>CLEFT PALATE CRANIOFACIAL JOURNAL</t>
  </si>
  <si>
    <t>social media; craniosynostosis; caregivers; parents; children; Instagram; TikTok</t>
  </si>
  <si>
    <t>PLASTIC-SURGERY; SOCIAL MEDIA; CARE</t>
  </si>
  <si>
    <t>Objective The study objective was to characterize shared online experiences surrounding craniosynostosis.Methods Isolated and syndromic craniosynostosis-related consecutive posts (N = 700) made by patients and caregivers were extracted from TikTok and Instagram between 2017-2024. A cross-sectional qualitative analysis following guidelines for practical thematic analysis was performed.Results The majority of posts were by caregivers (96%) and by females (97%). Forty categorical subthemes from social media posts were synthesized into 4 predominant themes. Overarching thematic trends included Emotional and Psychological Support (47%), Medical Information and Treatment (27%), Family and Social Dynamics (15%), and Awareness, Education, and Advocacy (12%).Conclusion Social media is used by caregivers, primarily mothers, for emotional support, processing health information, sharing experiences, raising awareness, and celebrating cranioversaries. Male and patient perspectives were underrepresented. Physicians may use social media to gain insights, disseminate quality health information, and connect with patients.</t>
  </si>
  <si>
    <t>[Paliwoda, Ethan D.; Gajjar, Avi A.; Horne, Mason J.] Albany Med Coll, 43 New Scotland Ave, Albany, NY 12208 USA; [Torres, Alejandro] Brown Univ, Providence, RI USA; [Dema, Elma] Union Coll, Schenectady, NY USA; [Trandafirescu, Mathew] Vanderbilt Univ, Nashville, TN USA; [Adamo, Matthew A.] Albany Med Coll, Dept Neurosurg, Albany, NY USA; [Schalet, Benjamin J.; Bray, Stephanie M. C.] Albany Med Coll, Dept Surg, Div Plast Surg, Albany, NY USA</t>
  </si>
  <si>
    <t>Albany Medical College; Brown University; Union College; Vanderbilt University; Albany Medical College; Albany Medical College</t>
  </si>
  <si>
    <t>Paliwoda, ED (corresponding author), Albany Med Coll, 43 New Scotland Ave, Albany, NY 12208 USA.</t>
  </si>
  <si>
    <t>paliwoe@amc.edu</t>
  </si>
  <si>
    <t>Paliwoda, Ethan/0009-0005-5069-5829; Horne, Mason/0000-0002-7784-5912</t>
  </si>
  <si>
    <t>1055-6656</t>
  </si>
  <si>
    <t>1545-1569</t>
  </si>
  <si>
    <t>CLEFT PALATE-CRAN J</t>
  </si>
  <si>
    <t>Cleft Palate-Craniofac. J.</t>
  </si>
  <si>
    <t>2024 OCT 21</t>
  </si>
  <si>
    <t>10.1177/10556656241286835</t>
  </si>
  <si>
    <t>J8U0Z</t>
  </si>
  <si>
    <t>WOS:001339746200001</t>
  </si>
  <si>
    <t>Xiang, BW; Chen, RS; Xu, GF</t>
  </si>
  <si>
    <t>Xiang, Bowen; Chen, Rushuang; Xu, Gaofeng</t>
  </si>
  <si>
    <t>Uncovering Network Heterogeneity of China's Three Major Urban Agglomerations from Hybrid Space Perspective-Based on TikTok Check-In Records</t>
  </si>
  <si>
    <t>LAND</t>
  </si>
  <si>
    <t>urban network; hybrid space; TikTok; three major urban agglomerations of China</t>
  </si>
  <si>
    <t>MEGA-CITY REGION; PATTERNS</t>
  </si>
  <si>
    <t>Urban agglomeration is an essential spatial support for the urbanization strategies of emerging economies, including China, especially in the era of mediatization. From a hybrid space perspective, this paper invites TikTok cross-city check-in records to empirically investigate the vertical and flattened distribution characteristics of check-in networks of China's three major urban agglomerations by the hierarchical property, community scale, and node centrality. The result shows that (1) average check-in flow in the Yangtze River Delta, Beijing-Tianjin-Hebei, and Pearl River Delta network decreases in descending order, forming a Z-shaped, single-point radial, and N-shaped structure, respectively. (2) All three urban agglomerations exhibit a nexus community structure with the regional high-flow cities as the core and the surrounding cities as the coordinator. (3) Geographically proximate or recreation-resource cities have a high degree of hybrid spatial accessibility, highlighting their nexus role. Finally, the article further discusses the flattened evolutionary structure of the check-in network and proposes policy recommendations for optimizing check-in networks at both the digital and geospatial levels. The study gains from the lack of network relationship perspective in the study of location-based social media and provides a novel research method and theoretical support for urban agglomeration integration in the context of urban mediatization.</t>
  </si>
  <si>
    <t>[Xiang, Bowen] Wuhan Univ, Sch Urban Design, Wuhan 430072, Peoples R China; [Chen, Rushuang] China Southwest Architectural Design &amp; Res Inst Co, Chengdu 610041, Peoples R China; [Xu, Gaofeng] Beijing Jiaotong Univ, Sch Architecture &amp; Design, Beijing 100044, Peoples R China</t>
  </si>
  <si>
    <t>Wuhan University; Beijing Jiaotong University</t>
  </si>
  <si>
    <t>Xu, GF (corresponding author), Beijing Jiaotong Univ, Sch Architecture &amp; Design, Beijing 100044, Peoples R China.</t>
  </si>
  <si>
    <t>gfxu@bjtu.edu.cn</t>
  </si>
  <si>
    <t>徐, 高峰/KXR-8670-2024</t>
  </si>
  <si>
    <t>Xu, Gaofeng/0000-0002-2869-1566</t>
  </si>
  <si>
    <t>2073-445X</t>
  </si>
  <si>
    <t>LAND-BASEL</t>
  </si>
  <si>
    <t>Land</t>
  </si>
  <si>
    <t>10.3390/land12010134</t>
  </si>
  <si>
    <t>7Y9IY</t>
  </si>
  <si>
    <t>WOS:000915184500001</t>
  </si>
  <si>
    <t>Chen, T; Wu, J; Chen, X; Ding, HH; Cai, JX</t>
  </si>
  <si>
    <t>Tu, YP; Chi, M</t>
  </si>
  <si>
    <t>Chen, Ting; Wu, Jiang; Chen, Xi; Ding, Honghao; Cai, Jingxuan</t>
  </si>
  <si>
    <t>Understanding the Effects of the Multidimensional Content of Streamers' Live Speech on Consumer Purchase Behavior in Livestreaming E-commerce: Empirical Evidence from TikTok</t>
  </si>
  <si>
    <t>E-BUSINESS: NEW CHALLENGES AND OPPORTUNITIES FOR DIGITAL-ENABLED INTELLIGENT FUTURE, PT II, WHICEB 2024</t>
  </si>
  <si>
    <t>Lecture Notes in Business Information Processing</t>
  </si>
  <si>
    <t>23rd Wuhan International Conference on E-business (WHICEB)</t>
  </si>
  <si>
    <t>MAY 24-26, 2024</t>
  </si>
  <si>
    <t>China Univ Geosciences, Wuhan, PEOPLES R CHINA</t>
  </si>
  <si>
    <t>Assoc Informat Systems,China Assoc Informat Systems,China Informat Economics Soc,Wuhan Univ Communicat</t>
  </si>
  <si>
    <t>China Univ Geosciences</t>
  </si>
  <si>
    <t>Livestreaming e-commerce; Conversation content; Purchase behavior; Video analysis; TikTok</t>
  </si>
  <si>
    <t>Livestreaming e-commerce has emerged as an effective way of facilitating consumer purchase decisions. Moreover, streamers play a crucial role in promoting product sales through live speech. Existing research has focused primarily on the effects of streamers' competencies, linguistic characteristics, and social interaction-oriented content on purchase decisions by analyzing streamers' conversation content, ignoring the differential impact of multidimensional content. Therefore, this study identifies and examines how the multidimensional content of streamers' live speech influences consumer purchase behavior in livestreaming e-commerce, with a particular focus on the moderating role of streamer influence. By analyzing a fine-grained dataset comprising 1,030 livestreaming events of 582 streamers from TikTok and matching them with actual sales transactions, a negative binominal regression model is used to estimate the research model, and the results show that product and social information contained in streamer conversation content has an inverted U-shaped relationship with consumer purchase behavior, while emotional information has a negative linear relationship with consumer purchase behavior. Furthermore, streamer influence significantly and positively moderates the effects of streamers' conversation content (product, social and emotional information) on consumer purchase behavior. This research establishes the paramount role of streamers' multidimensional conversation content in customer purchase behavior, lending credence to the epistemological applicability of persuasion theory in the context of livestreaming e-commerce. The study's findings offer some practical implications for developing conversation content in the context of livestreaming e-commerce.</t>
  </si>
  <si>
    <t>[Chen, Ting; Wu, Jiang; Ding, Honghao] Wuhan Univ, Sch Informat Management, Wuhan 430072, Peoples R China; [Wu, Jiang] Wuhan Univ, E Commerce Res &amp; Dev Ctr, Wuhan 430072, Peoples R China; [Chen, Xi] Wuhan Univ, State Key Lab Informat Engn Surveying Mapping &amp; R, Wuhan 430072, Peoples R China; [Cai, Jingxuan] Soochow Univ, Dongwu Business Sch, Res Ctr Smarter Supply Chain, Suzhou 215031, Peoples R China</t>
  </si>
  <si>
    <t>Wuhan University; Wuhan University; Wuhan University; Soochow University - China</t>
  </si>
  <si>
    <t>Wu, J (corresponding author), Wuhan Univ, Sch Informat Management, Wuhan 430072, Peoples R China.;Wu, J (corresponding author), Wuhan Univ, E Commerce Res &amp; Dev Ctr, Wuhan 430072, Peoples R China.</t>
  </si>
  <si>
    <t>jiangw@whu.edu.cn</t>
  </si>
  <si>
    <t>Key Project of National Natural Science Foundation of China [72232006]</t>
  </si>
  <si>
    <t>Key Project of National Natural Science Foundation of China(National Natural Science Foundation of China (NSFC))</t>
  </si>
  <si>
    <t>This research was supported by the Key Project of National Natural Science Foundation of China under Grant 72232006.</t>
  </si>
  <si>
    <t>1865-1348</t>
  </si>
  <si>
    <t>1865-1356</t>
  </si>
  <si>
    <t>978-3-031-60259-7; 978-3-031-60260-3</t>
  </si>
  <si>
    <t>LECT NOTES BUS INF P</t>
  </si>
  <si>
    <t>10.1007/978-3-031-60260-3_20</t>
  </si>
  <si>
    <t>BX8DU</t>
  </si>
  <si>
    <t>WOS:001329868800020</t>
  </si>
  <si>
    <t>Azzari, EF; Mayer, LF</t>
  </si>
  <si>
    <t>Azzari, Eliane Fernandes; Mayer, Lucas Falvo</t>
  </si>
  <si>
    <t>THE SHOW IN EDUCATION: TIKTOK TEACHERS' INFLUENCERS</t>
  </si>
  <si>
    <t>CADERNOS EDUCACAO TECNOLOGIA E SOCIEDADE</t>
  </si>
  <si>
    <t>digital technologies; teacher education; digital ethnography; literacies</t>
  </si>
  <si>
    <t>This paper proposes a brief discussion of some excerpts of TIkTok public video-posts retrieved from the profile of two popular teachers. It is discussed that such teachers assume the role of digital influencers whilst adopting the practice of video production and sharing, whenever they focus on educational topics or not. Digital ethnography is adopted as a methodology, and the researchers trust on screenshot tools as a method to select and capture imagens from the videos that are hereby represented by figures. The discussion finds support in the Literacies studies to broach issues related to the place of education and teaching in the contemporaneity. It also searches for support in other studies, related to concepts of culture, cultural industry, mass communication, and the public-show society to build up a qualitative and interpretative reading of the data presented.</t>
  </si>
  <si>
    <t>[Azzari, Eliane Fernandes; Mayer, Lucas Falvo] Pontificia Univ Catolica Campinas, Campinas, Brazil</t>
  </si>
  <si>
    <t>Pontificia Universidade Catolica de Campinas</t>
  </si>
  <si>
    <t>Azzari, EF (corresponding author), Pontificia Univ Catolica Campinas, Campinas, Brazil.</t>
  </si>
  <si>
    <t>eliane.azzari@puc-campinas.edu.br; lucas.fm3@puccampinas.edu.br</t>
  </si>
  <si>
    <t>INST FED EDUCATION, SCIENCE &amp; TECHNOLOGY OF GOIAS, CAMPUS INHUMAS</t>
  </si>
  <si>
    <t>INHUMAS</t>
  </si>
  <si>
    <t>COLL AVE, SN, VALLEY GOIABEIRAS, ATHENA LIB, INHUMAS, GOIAS 75400-000, BRAZIL</t>
  </si>
  <si>
    <t>2316-9907</t>
  </si>
  <si>
    <t>CAD EDUC TECNOL SOC</t>
  </si>
  <si>
    <t>Cad. Educ. Tecnol. Soc.</t>
  </si>
  <si>
    <t>10.14571/brajets.v15.n2.217-226</t>
  </si>
  <si>
    <t>F4VG8</t>
  </si>
  <si>
    <t>WOS:000982335700005</t>
  </si>
  <si>
    <t>Ho-Mai, NT; Tran, VT; Nguyen, VK; Do, UTT; Truong, TB; Tran, PTK</t>
  </si>
  <si>
    <t>Ho-Mai, Nhi Thao; Tran, Vinh Trung; Nguyen, Vien Ky; Do, Uyen Thi Thu; Truong, Thanh Ba; Tran, Phuong Thi Kim</t>
  </si>
  <si>
    <t>The pathways of increasing online celebrity brand equity and followers' hotel booking intention: a serial multiple mediation model</t>
  </si>
  <si>
    <t>JOURNAL OF RESEARCH IN INTERACTIVE MARKETING</t>
  </si>
  <si>
    <t>Celebrity credibility; Lifestyle congruence; Breadth of self-disclosure; Online celebrity brand equity; Hotel booking intentions; TikTok platform; Serial multiple mediation model</t>
  </si>
  <si>
    <t>SELF-DISCLOSURE; CONSUMERS; IMPACT; TRUST; INTERACTIVITY; AUTHENTICITY; CREDIBILITY; PERCEPTIONS; CONGRUENCE; FANS</t>
  </si>
  <si>
    <t>PurposeFrom a consumer-brand relationship (CBR) perspective, this study proposes a serial multiple mediation model to explore the pathways (e.g. cognitive, affective and hybrid) to increase online celebrity brand equity (OCBE) and follower's hotel booking intentions (FBI).Design/methodology/approachPaper-based and online surveys were used to collect data from 443 respondents who had been using TikTok and had followed at least one online celebrity on TikTok, while that online celebrity had reviewed one or more types of accommodation. A serial multiple mediation model was evaluated through covariance-based structural equation modeling.FindingsThe results confirmed the hybrid cognitive-affective and cognitive-affective-conative pathways among antecedents and components of OCBE and FBI.Originality/valueFrom a CBR perspective, this study provides a serial multiple mediation model to increase OCBE via hybrid cognitive-affective pathways and to drive FBI via cognitive-affective-conative pathways. These sequential relationships contribute to the human branding literature by defining a mechanism of how online celebrities can efficiently attract followers, thus driving online celebrity brand loyalty and hotel booking intentions.Research limitations/implicationsThe results should be validated in other cultural contexts to generalize findings and broaden the range of target respondents to include international followers and those within other nations.</t>
  </si>
  <si>
    <t>[Ho-Mai, Nhi Thao] Hanken Sch Econ, Mkt &amp; Management, Helsinki, Finland; [Tran, Vinh Trung; Nguyen, Vien Ky; Do, Uyen Thi Thu; Tran, Phuong Thi Kim] Univ Danang, Univ Econ, Fac Tourism, Danang, Vietnam; [Truong, Thanh Ba] Univ Danang, Univ Econ, Accounting Dept, Danang, Vietnam</t>
  </si>
  <si>
    <t>Hanken School of Economics; University of Danang; University of Danang</t>
  </si>
  <si>
    <t>Tran, PTK (corresponding author), Univ Danang, Univ Econ, Fac Tourism, Danang, Vietnam.</t>
  </si>
  <si>
    <t>phuong.ttk@due.udn.vn</t>
  </si>
  <si>
    <t>Nguyen, Ky Vien/IYS-4763-2023</t>
  </si>
  <si>
    <t>Ho Mai Thao, Nhi/0009-0002-1977-8587; Tran, Phuong/0000-0001-8776-7738; Uyen, Do/0009-0008-2929-327X</t>
  </si>
  <si>
    <t>University of Danang, University of Economics, Vietnam</t>
  </si>
  <si>
    <t>Funding: This research is partly funded by the University of Danang, University of Economics, Vietnam</t>
  </si>
  <si>
    <t>2040-7122</t>
  </si>
  <si>
    <t>2040-7130</t>
  </si>
  <si>
    <t>J RES INTERACT MARK</t>
  </si>
  <si>
    <t>J. Res. Interact. Mark.</t>
  </si>
  <si>
    <t>NOV 11</t>
  </si>
  <si>
    <t>10.1108/JRIM-08-2023-0265</t>
  </si>
  <si>
    <t>K3V3O</t>
  </si>
  <si>
    <t>WOS:001156636600001</t>
  </si>
  <si>
    <t>Miao, Z; Fu, YL; Lu, J; Gao, SJ</t>
  </si>
  <si>
    <t>Miao, Zhi; Fu, Yanli; Lu, Jia; Gao, Shujing</t>
  </si>
  <si>
    <t>Research on Visual Analysis and Prediction of Short Video Users</t>
  </si>
  <si>
    <t>2024 9TH INTERNATIONAL CONFERENCE ON ELECTRONIC TECHNOLOGY AND INFORMATION SCIENCE, ICETIS 2024</t>
  </si>
  <si>
    <t>9th International Conference on Electronic Technology and Information Science (ICETIS)</t>
  </si>
  <si>
    <t>Hangzhou, PEOPLES R CHINA</t>
  </si>
  <si>
    <t>short video; visual analysis; data mining</t>
  </si>
  <si>
    <t>In the context of mobile internet, short videos have become popular due to their rich and humanized content as well as their fragmented dissemination characteristics. They have rapidly spread across various domains, and short video media promotion has gradually become the mainstream promotional method for various enterprises, organizations, and institutions to showcase themselves to the public. Focusing on university cultural propaganda work, this article selects the official TikTok account of a university as the research object. By utilizing Python and its related tools for data analysis, visualization, and data mining, we conduct user behavior analysis and visualization of the works posted and user data from the past three years. Additionally, we use data mining techniques to predict user viewing preferences and needs. The conclusions drawn from this analysis provide valuable reference for creators and operators of the university's official TikTok account, thereby optimizing the new model for external cultural propaganda work.</t>
  </si>
  <si>
    <t>[Miao, Zhi; Fu, Yanli; Lu, Jia; Gao, Shujing] Engn Univ PAP, Xian, Peoples R China</t>
  </si>
  <si>
    <t>Fu, YL (corresponding author), Engn Univ PAP, Xian, Peoples R China.</t>
  </si>
  <si>
    <t>3480621@qq.com; 345765707@qq.com; 672833410@qq.com; 149297683@qq.com</t>
  </si>
  <si>
    <t>979-8-3503-8835-0; 979-8-3503-8834-3</t>
  </si>
  <si>
    <t>10.1109/ICETIS61828.2024.10593792</t>
  </si>
  <si>
    <t>Computer Science, Information Systems; Engineering, Electrical &amp; Electronic</t>
  </si>
  <si>
    <t>BX5EW</t>
  </si>
  <si>
    <t>WOS:001298131100140</t>
  </si>
  <si>
    <t>Bonansinga, D</t>
  </si>
  <si>
    <t>Bonansinga, Donatella</t>
  </si>
  <si>
    <t>Visual de-demonisation: A new era of radical right mainstreaming</t>
  </si>
  <si>
    <t>BRITISH JOURNAL OF POLITICS &amp; INTERNATIONAL RELATIONS</t>
  </si>
  <si>
    <t>de-demonisation; mainstreaming; Instagram; populist radical right; TikTok; visual communication</t>
  </si>
  <si>
    <t>SOCIAL MEDIA; INSTAGRAM; POPULISM; FACEBOOK; GERMAN</t>
  </si>
  <si>
    <t>This conceptual article calls for the integration of new approaches to the study of visual populist communication, arguing that it will play a critical part in a new era of radical right mainstreaming. Extant scholarship on the mainstreaming of the radical right has focused on party politics and rhetoric, neglecting the visual self-presentation and emotional strategies of radical right leaders on platforms like Instagram and TikTok. The article proposes the novel concept of 'visual de-demonisation' to capture these dynamics, articulating it as a three-fold strategy that emphasises the legitimacy, good character and ample policy platform of radical right leaders on visual social media. The article also argues that visual platforms provide the radical right with the ideal setting to present itself in a renewed and more positive light, hence serving its strategic interest in de-demonising. This poses a key challenge for the future, potentially contributing to its increased normalisation.</t>
  </si>
  <si>
    <t>[Bonansinga, Donatella] UCL, Dept Polit Sci, 29-30 Tavistock Sq, London WC1H 9QU, England</t>
  </si>
  <si>
    <t>Bonansinga, D (corresponding author), UCL, Dept Polit Sci, 29-30 Tavistock Sq, London WC1H 9QU, England.</t>
  </si>
  <si>
    <t>d.bonansinga@ucl.ac.uk</t>
  </si>
  <si>
    <t>Bonansinga, Donatella/AAV-5179-2021</t>
  </si>
  <si>
    <t>Bonansinga, Donatella/0000-0003-1968-0811</t>
  </si>
  <si>
    <t>1369-1481</t>
  </si>
  <si>
    <t>1467-856X</t>
  </si>
  <si>
    <t>BRIT J POLIT INT REL</t>
  </si>
  <si>
    <t>Br. J. Polit. Int. Relat.</t>
  </si>
  <si>
    <t>2024 JUN 13</t>
  </si>
  <si>
    <t>10.1177/13691481241259384</t>
  </si>
  <si>
    <t>UE4Z2</t>
  </si>
  <si>
    <t>WOS:001246384900001</t>
  </si>
  <si>
    <t>Goodwin, A; Joseff, K; Riedl, MJ; Lukito, J; Woolley, S</t>
  </si>
  <si>
    <t>Goodwin, Anastasia; Joseff, Katie; Riedl, Martin J.; Lukito, Josephine; Woolley, Samuel</t>
  </si>
  <si>
    <t>Political Relational Influencers: The Mobilization of Social Media Influencers in the Political Arena</t>
  </si>
  <si>
    <t>social media; influencer; politics; Instagram; TikTok; grassroots; astroturfing</t>
  </si>
  <si>
    <t>ENDORSEMENTS; AUTHENTICITY; CREDIBILITY; LEADERS</t>
  </si>
  <si>
    <t>Social media platforms are a powerful tool to exert influence and impress opinions-for commercial operators, brands, and political campaigns. Influencers can help campaigns reach specific audiences and convey support for issues and candidates. In this study, we focus on political relational influencers who operate to legitimize and amplify political messages, specifically in the context of Instagram and TikTok. We define this group of influencers as content creators who promote political and social causes, for payments or without payments, to their audiences. Through in-depth interviews with 18 influence campaign stakeholders-a term under which we congregate influencer marketing executives, political organizers, strategists, influencers, journalists, academics, and regulators-we shed light on the complex and sophisticated ways influencers coordinate among each other and with political campaigns, the motivations of influencers to get involved in political campaigns, and the question of where to draw the line between genuine grassroots coordination and disingenuous (astroturfing) organizing.</t>
  </si>
  <si>
    <t>[Goodwin, Anastasia; Joseff, Katie; Riedl, Martin J.; Lukito, Josephine; Woolley, Samuel] Univ Texas Austin, Austin, TX 78712 USA</t>
  </si>
  <si>
    <t>Riedl, MJ (corresponding author), Univ Texas Austin, Austin, TX 78712 USA.</t>
  </si>
  <si>
    <t>anastasia.goodwin@utexas.edu; kjoseff@alumni.stanford.edu; martin.riedl@utexas.edu; jlukito@utexas.edu; swoolley@utexas.edu</t>
  </si>
  <si>
    <t>Riedl, Martin/AAN-7489-2020</t>
  </si>
  <si>
    <t>Open Society Foundations; Miami Foundation; John S. and James L. Knight Foundation; Omidyar Network</t>
  </si>
  <si>
    <t>The first two authors contributed equally to this work. We are grateful to the anonymous reviewers for helpful feedback on the article and would also like to thank Claire Coburn and Jacob Gursky for their assistance. This study is a project of the Center for Media Engagement at the Moody College of Communication at the University of Texas at Austin, where research is supported by the Open Society Foundations, Omidyar Network, The Miami Foundation, as well as the John S. and James L. Knight Foundation.</t>
  </si>
  <si>
    <t>WOS:000989946400088</t>
  </si>
  <si>
    <t>Cleofas, JV</t>
  </si>
  <si>
    <t>Cleofas, Jerome Visperas</t>
  </si>
  <si>
    <t>Social media disorder during community quarantine: A mixed methods study among rural young college students during the COVID-19 pandemic</t>
  </si>
  <si>
    <t>ARCHIVES OF PSYCHIATRIC NURSING</t>
  </si>
  <si>
    <t>Mental health; Problematic social media use; Rural health; Social media disorder; Tiktok; Youth</t>
  </si>
  <si>
    <t>DEPRESSIVE SYMPTOMS; INTERNET; ADDICTION</t>
  </si>
  <si>
    <t>Purpose: This study sought to identify determinants of social media disorder (SMD) and describe the social media engagement among rural young (18 to 24 years old) college students during long periods of community quarantine due to COVID-19. Methods: This mixed methods study draws from a sample of 500 students from rural Luzon, Philippines. Quantitative and qualitative data collection were done via online survey. Results: Findings reveal that 24.2 % of the respondents have SMD. Students who are from below middle-income households, and are active on Tiktok have greater odds for SMD. Qualitative analysis of narratives of students with SMD (n = 121) reveal the beneficial and negative impacts of social media. Conclusions: Results highlight how social position, and uses and gratifications of social media can facilitate development of SMD.</t>
  </si>
  <si>
    <t>[Cleofas, Jerome Visperas] De La Salle Univ, Dept Sociol &amp; Behav Sci, Manila, Philippines; [Cleofas, Jerome Visperas] De La Salle Univ, 2401 Taft Ave, Manila 1004, Metro Manila, Philippines</t>
  </si>
  <si>
    <t>De La Salle University; De La Salle University</t>
  </si>
  <si>
    <t>Cleofas, JV (corresponding author), De La Salle Univ, 2401 Taft Ave, Manila 1004, Metro Manila, Philippines.</t>
  </si>
  <si>
    <t>jerome.cleofas@dlsu.edu.ph</t>
  </si>
  <si>
    <t>Cleofas, Jerome/ADK-1126-2022</t>
  </si>
  <si>
    <t>0883-9417</t>
  </si>
  <si>
    <t>1532-8228</t>
  </si>
  <si>
    <t>ARCH PSYCHIAT NURS</t>
  </si>
  <si>
    <t>Arch. Psychiatr. Nurs.</t>
  </si>
  <si>
    <t>10.1016/j.apnu.2022.06.003</t>
  </si>
  <si>
    <t>Nursing; Psychiatry</t>
  </si>
  <si>
    <t>2F6HV</t>
  </si>
  <si>
    <t>WOS:000813009400001</t>
  </si>
  <si>
    <t>Handwashing videos on TikTok during the COVID-19 pandemic: Potential for disease prevention and health promotion</t>
  </si>
  <si>
    <t>INFECTION DISEASE &amp; HEALTH</t>
  </si>
  <si>
    <t>TikTok; Handwashing; Social media; Public health</t>
  </si>
  <si>
    <t>HAND HYGIENE; PATIENT-CARE; RISK; INTERVENTIONS; SANITATION; COMMUNITY; WATER</t>
  </si>
  <si>
    <t>Background: Handwashing has long been promoted to maintain health and in preventing disease transmission. One of the most valuable ways to convey messages related to handwashing is through visual display, such as video for educational purposes and to enhance learning. Social media is an important and popular way to disseminate messages to a wide audience. Methods: In this cross-sectional, descriptive study, two hashtags, #WashYourHands and #SafeguardSplash were used to select the sample of 100 from available TikTok videos. In order to code each video, the same coding categories were used for both hashtags, including (1) wetting and rinsing hands (2) lathering soap (3) time used for scrubbing (4) drying hands (5) mentions COVID-19 (6) mentions using hand sanitizer instead of soap (7) mentions how germs spread (8) mentions key times to wash hands (9) and actual depiction of washing hands. Additional descriptive categories were coded as well. The observations recorded were tabulated and descriptive statistics were performed. Independent one-tailed t-tests (a Z .05) were calculated to determine if a video's hashtag had a significant association with its garnered views, likes, and/or comments. Results: In total, the 100-video sample received 1,990,834,567 views, 40,355,468 likes, and 173,422 comments. Despite the fact that each hashtag made up an equal proportion (50%) of the total sample, videos with #WashYourHands accounted for 93.3% of the total views. Coverage of the important steps involved in handwashing, such as drying hands, was minimal as was relevant background information. Conclusion: The results indicate that while this opportunity is being realized to some degree, the majority of videos did not cover topics related important concepts of hand hygiene. Given the high engagement of younger audiences with TikTok, this could be a powerful mechanism for demonstrating and encouraging proper handwashing, especially in a population with low rates of handwashing. (C) 2021 Australasian College for Infection Prevention and Control. Published by Elsevier B.V. All rights reserved.</t>
  </si>
  <si>
    <t>[Basch, Corey H.; Pellicane, Alessia] William Paterson Univ, Dept Publ Hlth, Univ Hall, Wayne, NJ 07470 USA; [Fera, Joseph] CUNY, Dept Math, Lehman Coll, Bronx, NY USA; [Basch, Charles E.] Columbia Univ, Teachers Coll, Dept Hlth &amp; Behav Studies, New York, NY 10027 USA</t>
  </si>
  <si>
    <t>ELSEVIER INC</t>
  </si>
  <si>
    <t>525 B STREET, STE 1900, SAN DIEGO, CA 92101-4495 USA</t>
  </si>
  <si>
    <t>2468-0451</t>
  </si>
  <si>
    <t>INFECT DIS HEALTH</t>
  </si>
  <si>
    <t>Infect. Dis. Health</t>
  </si>
  <si>
    <t>10.1016/j.idh.2021.09.039</t>
  </si>
  <si>
    <t>YI8XE</t>
  </si>
  <si>
    <t>WOS:000744124900006</t>
  </si>
  <si>
    <t>Willis, C</t>
  </si>
  <si>
    <t>Willis, Craig</t>
  </si>
  <si>
    <t>Divergence and convergence: The implications of shifting media consumption habits on the field of minority language media studies</t>
  </si>
  <si>
    <t>CATALAN JOURNAL OF COMMUNICATION &amp; CULTURAL STUDIES</t>
  </si>
  <si>
    <t>public service media; minority languages; social media; platform media; TikTok; broadcasting</t>
  </si>
  <si>
    <t>TELEVISION; CATALAN</t>
  </si>
  <si>
    <t>This commentary assesses what impact the generational divergence of audience preferences alongside the platform convergence of content creators will have for minority language media outlets and researchers working in this subdiscipline. An overview of the history of minority language media studies depicts this in two waves - first with 'traditional' media forms, followed by a second wave with the emergence of social media as a mass form of speakers' consumption and participation habits. The commentary then outlines the stark generational divergence of social media consumption which has bought TikTok and Instagram to the fore at the expense of Facebook and Twitter, followed by demonstrating institutional actors' adoption of creating short-form audio-visual content directly for such emerging channels. The conclusions suggest a third wave of minority language media literature will face different challenges as a result, potentially leading to a accessible data.</t>
  </si>
  <si>
    <t>[Willis, Craig] European Ctr Minor Issues, Flensburg, Germany; [Willis, Craig] European Ctr Minor Issues, Schiffbruecke 12, D-24939 Flensburg, Germany</t>
  </si>
  <si>
    <t>Willis, C (corresponding author), European Ctr Minor Issues, Schiffbruecke 12, D-24939 Flensburg, Germany.</t>
  </si>
  <si>
    <t>willis@ecmi.de</t>
  </si>
  <si>
    <t>Willis, Craig/HTQ-4089-2023</t>
  </si>
  <si>
    <t>Willis, Craig/0000-0002-0981-5068</t>
  </si>
  <si>
    <t>1757-1898</t>
  </si>
  <si>
    <t>1757-1901</t>
  </si>
  <si>
    <t>CATAL J COMMU CUL ST</t>
  </si>
  <si>
    <t>Catal. J. Commun. Cultur. Studies</t>
  </si>
  <si>
    <t>JAN 25</t>
  </si>
  <si>
    <t>10.1386/cjcs_00100_1</t>
  </si>
  <si>
    <t>NR9R9</t>
  </si>
  <si>
    <t>WOS:001202303700001</t>
  </si>
  <si>
    <t>Roderick, N</t>
  </si>
  <si>
    <t>Roderick, Noah</t>
  </si>
  <si>
    <t>Exigence at the Dawn of Recommendation Media: Dramatizing Salience in Audio Memes</t>
  </si>
  <si>
    <t>RHETORIC SOCIETY QUARTERLY</t>
  </si>
  <si>
    <t>Audio memes; exigence; genre studies; mimesis; the rhetorical situation; TikTok</t>
  </si>
  <si>
    <t>GENRE</t>
  </si>
  <si>
    <t>This article looks at how exigence is made publicly observable in user-based media operating on recommendation algorithms. Messaging in these rhetorical environments often takes the form of imitative behaviors rather than statements inviting a direct response. Examined in the article are two audio memes from TikTok representing two modes of imitation: one a physical imitation meme associated with the Woman, Life, Freedom protests in Iran, and the other a narrative imitation meme where participants objectify endemic social problems. The findings suggest that the responsorial imperative of audio memes can either intensify the speed and urgency with which an exigence is experienced, or it can bring urgency to endemic problems. The studies also find that the formal qualities of a given audio meme constrain both how an exigence is communicated as well as what kinds of exigences the meme can be taken up for in the first place.</t>
  </si>
  <si>
    <t>[Roderick, Noah] Orebro Univ Orebro, Rhetor, Orebro, Sweden</t>
  </si>
  <si>
    <t>Roderick, N (corresponding author), Orebro Univ Orebro, Rhetor, Orebro, Sweden.</t>
  </si>
  <si>
    <t>noah.roderick@oru.se</t>
  </si>
  <si>
    <t>Roderick, Noah/0000-0001-8543-4411</t>
  </si>
  <si>
    <t>0277-3945</t>
  </si>
  <si>
    <t>1930-322X</t>
  </si>
  <si>
    <t>RHETOR SOC Q</t>
  </si>
  <si>
    <t>Rhetor. Soc. Q.</t>
  </si>
  <si>
    <t>10.1080/02773945.2023.2251454</t>
  </si>
  <si>
    <t>Communication; Literature; Philosophy</t>
  </si>
  <si>
    <t>HH9N4</t>
  </si>
  <si>
    <t>WOS:001082793600001</t>
  </si>
  <si>
    <t>Martens, M; Balling, G; Higgason, KA</t>
  </si>
  <si>
    <t>Martens, Marianne; Balling, Gitte; Higgason, Kristen A.</t>
  </si>
  <si>
    <t>#BookTokMadeMeReadIt: young adult reading communities across an international, sociotechnical landscape</t>
  </si>
  <si>
    <t>BookTok; Reader Engagement; Affect; Connected learning; Sociotechnical landscape; Affordances; COVID-19</t>
  </si>
  <si>
    <t>FICTION; SCREEN; TEXTS</t>
  </si>
  <si>
    <t>Purpose - This research article presents an exploratory case study of the sociotechnical landscape of BookTok, and how young people use it to connect with others around the books they love, or those they love to hate. By observing the interplay between young people, books, and the technology (TikTok) that connects them, this study aims to explore how blending analog and digital media tools makes reading social and fun. Design/methodology/approach - The authors selected three bestsellers available in English and Danish, and BookTokers who made related videos. This study used a qualitative, ethnographic (Pink, 2021) approach to explore interactions on the app. Inductive coding (Saldana, 2021) helped the authors identify themes, and connect to areas of inquiry. Findings - During the pandemic, TikTok and BookTok offered young people opportunities for reading engagement in social, bookish communities by using technology to promote reading in print. In doing so, their actions made reading and being a reader highly entertaining. Research limitations/implications - As an exploratory case study, this research is not generalizable. But the findings will apply to future work on reading, publishing, and connected learning in a sociotechnical landscape. Practical implications - BookTok connects print and digital formats, offering innovative possibilities for young people's connected learning and reading promotion in schools and libraries. Originality/value - Because TikTok is a relatively new tool, and its sub-community BookTok became popular during the COVID-19 pandemic, research on this topic is still in its earliest stages.</t>
  </si>
  <si>
    <t>[Martens, Marianne; Higgason, Kristen A.] Kent State Univ, Sch Informat, Kent, OH 44240 USA; [Balling, Gitte] Univ Copenhagen, Copenhagen, Denmark</t>
  </si>
  <si>
    <t>University System of Ohio; Kent State University; Kent State University Kent; Kent State University Salem; University of Copenhagen</t>
  </si>
  <si>
    <t>Martens, M (corresponding author), Kent State Univ, Sch Informat, Kent, OH 44240 USA.</t>
  </si>
  <si>
    <t>mmarten3@kent.edu; gitte.balling@hum.ku.dk; khiggaso@kent.edu</t>
  </si>
  <si>
    <t>Balling, Gitte/AHB-3630-2022</t>
  </si>
  <si>
    <t>Balling, Gitte/0000-0003-1872-0025</t>
  </si>
  <si>
    <t>2022 NOV 30</t>
  </si>
  <si>
    <t>10.1108/ILS-07-2022-0086</t>
  </si>
  <si>
    <t>6R9CU</t>
  </si>
  <si>
    <t>WOS:000892594500001</t>
  </si>
  <si>
    <t>Wolinska, A; Murray, G; Andrawis, M; Beatty, P; Blasco, MC; Doyle, C; Mc Feely, O; Murphy, L; Tobin, AM</t>
  </si>
  <si>
    <t>Wolinska, Anna; Murray, Gregg; Andrawis, Madonna; Beatty, Paula; Costa Blasco, Marta; Doyle, Claire; Mc Feely, Orla; Murphy, Lisa; Tobin, Anne-Marie</t>
  </si>
  <si>
    <t>Comparison of Social Media Content on Hidradenitis Suppurativa: A Cross-Sectional Study</t>
  </si>
  <si>
    <t>DERMATOLOGY</t>
  </si>
  <si>
    <t>Hidradenitis suppurativa; TikTok; Instagram; Facebook; Hashtag; Hidradenitis suppurativa warrior; Hidradenitis</t>
  </si>
  <si>
    <t>Background: Research has shown that patients may turn to social media seeking information regarding diagnosis and treatment. This study aimed to analyze and compare content related to hidradenitis suppurativa (HS) using the hashtag tool across three of the most popular social media platforms to determine the information that patients are exposed to online. Methods: We identified hashtags across Instagram, TikTok, and Facebook for #hidradenitissuppurativa. The top 50 videos returned by the algorithm across each site were selected for analysis. Data extracted for comparison included content creator demographics, number of followers, type of content (educational vs. noneducational), and associated hashtags. Results: Sixty-seven percent of posts were created by females (n = 101/150), 10% by males (n = 16/150), and 22% other (n = 33/150). Distribution was similar across all platforms. User accounts on TikTok have a significantly higher number of followers (median = 38,700, range = 902-17,600,000 followers) compared to Facebook (median = 1,375, range = 58-777,000 followers) and Instagram (median = 2,818, range = 57-9,800 followers). Conclusion: This study suggests that there is a disproportionate number of patients creating content to raise awareness on HS on social media compared to patient support groups or medical professionals. We propose that social media is a useful platform that dermatologists and official institutional bodies can utilize as an alternative method of health promotion and patient education. Further research to explore social media trends across a range of dermatological conditions can help guide targeted education campaigns in the future.</t>
  </si>
  <si>
    <t>[Wolinska, Anna; Andrawis, Madonna; Beatty, Paula; Costa Blasco, Marta; Doyle, Claire; Mc Feely, Orla; Murphy, Lisa; Tobin, Anne-Marie] Tallaght Univ Hosp, Dept Dermatol, Dublin, Ireland; [Murray, Gregg] Beaumont Hosp, Dept Dermatol, Dublin, Ireland</t>
  </si>
  <si>
    <t>Wolinska, A (corresponding author), Tallaght Univ Hosp, Dept Dermatol, Dublin, Ireland.</t>
  </si>
  <si>
    <t>annawolinska@alumnircsi.com</t>
  </si>
  <si>
    <t>Tobin, Anne/B-1153-2019</t>
  </si>
  <si>
    <t>1018-8665</t>
  </si>
  <si>
    <t>1421-9832</t>
  </si>
  <si>
    <t>10.1159/000531041</t>
  </si>
  <si>
    <t>U4DZ4</t>
  </si>
  <si>
    <t>WOS:001008098100001</t>
  </si>
  <si>
    <t>Han, JJ; Shi, YF; Ma, HT</t>
  </si>
  <si>
    <t>Han, Jiajun; Shi, Yifan; Ma, Haitao</t>
  </si>
  <si>
    <t>Assessment of videos related to lung nodules in China</t>
  </si>
  <si>
    <t>lung nodule; health information; social media platform; quality; TikTok</t>
  </si>
  <si>
    <t>INFORMATION; QUALITY; PLATFORM; INTERNET</t>
  </si>
  <si>
    <t>BackgroundWith the popularization of mobile phones and the development of the Internet, many patients use social media platforms to seek health information. Currently, TikTok, iQiyi, Bilibili, and Weibo are the most popular video platforms in China. Therefore, based on the above facts, this study estimated the quality of lung nodule videos taken in China using these platforms. MethodsThe term lung nodule was searched on these platforms. Then, the first 30 videos were selected. Subsequently, some videos were excluded after they had been reviewed and analyzed, after which information on the features and sources of these videos was finally assessed using DISCERN, the Journal of the American Medical Association (JAMA) Benchmark Criteria, and the Hexagonal Radar Schema. Analysis was performed according to different groups. Results101 videos were included in this study. According to the different sources, although most videos were from physicians (71.3%), comprising those with shorter durations; faster updates; and more likes, comments, and shares; no significant difference in the scores were obtained. Moreover, regarding the different platforms, while Weibo had the highest update, TikTok had more likes, comments, and shares. Investigations also revealed that while score differences were recorded, most videos were rated very poor and poor. Besides, hexagonal radar charts showed a severe deficiency of video information. ConclusionsAlthough the quality of most videos on the understudied social media platforms was poor, these platforms have huge potential. Therefore, caution should be exercised when using the platforms as information sources about lung nodules, and a better review and push system is needed.</t>
  </si>
  <si>
    <t>[Han, Jiajun; Shi, Yifan; Ma, Haitao] Soochow Univ, Dept Thorac Surg, Affiliated Hosp1, Suzhou, Peoples R China; [Ma, Haitao] Suzhou Dushu Lake Hosp, Dept Thorac Surg, Suzhou, Peoples R China</t>
  </si>
  <si>
    <t>Soochow University - China</t>
  </si>
  <si>
    <t>Ma, HT (corresponding author), Soochow Univ, Dept Thorac Surg, Affiliated Hosp1, Suzhou, Peoples R China.;Ma, HT (corresponding author), Suzhou Dushu Lake Hosp, Dept Thorac Surg, Suzhou, Peoples R China.</t>
  </si>
  <si>
    <t>mht7403@163.com</t>
  </si>
  <si>
    <t>shi, yifan/GYU-2179-2022</t>
  </si>
  <si>
    <t>OCT 10</t>
  </si>
  <si>
    <t>10.3389/fsurg.2022.1019212</t>
  </si>
  <si>
    <t>5U3GP</t>
  </si>
  <si>
    <t>WOS:000876440000001</t>
  </si>
  <si>
    <t>Pérez-Salazar, G</t>
  </si>
  <si>
    <t>Perez-Salazar, Gabriel</t>
  </si>
  <si>
    <t>Expressions around Positive Masculinities on Mexican Facebook and TikTok Profiles. A Content Analysis Approach</t>
  </si>
  <si>
    <t>MCS-MASCULINITIES AND SOCIAL CHANGE</t>
  </si>
  <si>
    <t>Identity; masculinities; social media</t>
  </si>
  <si>
    <t>GENDER; IDENTITY; MACHISMO; SCALE; MEN</t>
  </si>
  <si>
    <t>With the objective of identifying the way in which manifestations around masculinities take place in a selection of Mexican profiles that publish content in Spanish on both Facebook and TikTok, around proposals that oppose what Connell identifies as hegemonic masculinity, a content analysis was carried out on a non -probabilistic sample of publications and comments. Main results indicate that the proposals made in the observed sites revolve around participatory parenthood, given in the context of respectful couple relationships, with tolerance for sexgender diversity, also highlighting free emotional expression as part of self -care that is both mental and physical. Some of the main conclusions suggest that, despite the resistance to the patriarchal structure that can be observed in the digital spaces studied, other research reveals that there are still many manifestations that shows asymmetric positions of power between different sex -gender identities.</t>
  </si>
  <si>
    <t>[Perez-Salazar, Gabriel] Univ Autonoma Coahuila, Fac Commun Sci, Saltillo, Mexico</t>
  </si>
  <si>
    <t>Pérez-Salazar, G (corresponding author), Univ Autonoma Coahuila, Fac Commun Sci, Saltillo, Mexico.</t>
  </si>
  <si>
    <t>HIPATIA PRESS</t>
  </si>
  <si>
    <t>C-CLARAMUNT 4, BARCELONA, 08030, SPAIN</t>
  </si>
  <si>
    <t>2014-3605</t>
  </si>
  <si>
    <t>MCS-MASC SOC CHANG</t>
  </si>
  <si>
    <t>MCS-Masc. Soc. Chang.</t>
  </si>
  <si>
    <t>10.17583/msc.12004</t>
  </si>
  <si>
    <t>JE1L2</t>
  </si>
  <si>
    <t>WOS:001171395000004</t>
  </si>
  <si>
    <t>Ogliari, E</t>
  </si>
  <si>
    <t>Ogliari, Elena</t>
  </si>
  <si>
    <t>Milan between neglect and frenzy: does TikTok Mundi's Generation Z counter- narrate the city?</t>
  </si>
  <si>
    <t>Milan; Generation Z; self-representation; perception of the city; audiovisual content</t>
  </si>
  <si>
    <t>The article aims to illustrate the research interests and outcomes of the call for videos and reels, Raccontaci la tua Milano Monde. This initiative, conducted within the framework of the project TikTok Mundi, encouraged high school students in Milan to portray their city through audiovisual content. An analysis of the 38 contributions received unveiled a perception of Milan as a hectic city, often viewed as dangerous or alienating. This initiative provided young people with a unique platform to express their thoughts and impressions freely, exposing a perception of Milan as seldom beautiful and liveable, but rather as a mere transit point. The article concludes with an examination of the audiovisual content produced, underscoring how this reflects not only the discomfort experienced by young people, but also their aspiration to change the status quo.</t>
  </si>
  <si>
    <t>[Ogliari, Elena] Univ Milan, Milan, Italy</t>
  </si>
  <si>
    <t>Ogliari, E (corresponding author), Univ Milan, Milan, Italy.</t>
  </si>
  <si>
    <t>elena.ogliari@unimi.it</t>
  </si>
  <si>
    <t>WOS:001336390400004</t>
  </si>
  <si>
    <t>Yu, ZZ; Hou, JX; Zhou, OT</t>
  </si>
  <si>
    <t>Yu, Zizheng; Hou, Jiaxi; Zhou, Oscar Tianyang</t>
  </si>
  <si>
    <t>Short Video Activism With and on Douyin: An Innovative Repertoire of Contention for Chinese Consumers</t>
  </si>
  <si>
    <t>Douyin; TikTok; consumer activism; short video; repertoire of contention; China</t>
  </si>
  <si>
    <t>This article examines consumer video activism tactics in China and their impact on Chinese consumers and society. Drawing upon 56 semistructured interviews and a case study analysis of Chinese online consumer protest in 2018, we argue that short-video-activism tactics have become an innovative repertoire of contention for Chinese consumers and Douyin, the sister app of TikTok, has become a real-time updated database of this repertoire. Using Douyin as a case study, we argue that it plays three key roles in mediating Chinese consumer activism: a techno-cultural construct that affords highly heterogeneous users to present everyday experiences via short videos; a multisided market that profoundly affects the tactics consumers choose to amplify their voices; and a governing entity that both moderates content for its users and simultaneously is subject to government regulations.</t>
  </si>
  <si>
    <t>[Yu, Zizheng] Univ Greenwich, London, England; [Hou, Jiaxi] Univ Tokyo, Tokyo, Japan; [Zhou, Oscar Tianyang] Univ Kent, Canterbury, England; [Hou, Jiaxi] Univ Tokyo, Grad Sch Interdisciplinary Informat Studies, 7-3-1 Hongo, Bunkyo-ku, Tokyo 1130033, Japan</t>
  </si>
  <si>
    <t>University of Greenwich; University of Tokyo; University of Kent; University of Tokyo</t>
  </si>
  <si>
    <t>Hou, JX (corresponding author), Univ Tokyo, Grad Sch Interdisciplinary Informat Studies, 7-3-1 Hongo, Bunkyo-ku, Tokyo 1130033, Japan.</t>
  </si>
  <si>
    <t>houjiaxi725@gmail.com</t>
  </si>
  <si>
    <t>Yu, Zizheng/GYQ-6234-2022</t>
  </si>
  <si>
    <t>Hou, Jiaxi/0000-0002-6799-8261; Zhou, Tianyang/0000-0002-9170-9351; Yu, Zizheng/0000-0002-5927-5784</t>
  </si>
  <si>
    <t>10.1177/20563051231157603</t>
  </si>
  <si>
    <t>9Q2CX</t>
  </si>
  <si>
    <t>WOS:000944779800001</t>
  </si>
  <si>
    <t>Cheng, T; Wang, F; Barmettler, A</t>
  </si>
  <si>
    <t>Cheng, Tiffany; Wang, Fei; Barmettler, Anne</t>
  </si>
  <si>
    <t>#Oculoplastics: An Analysis of TikTok's Top Oculoplastics Content</t>
  </si>
  <si>
    <t>OPHTHALMIC PLASTIC AND RECONSTRUCTIVE SURGERY</t>
  </si>
  <si>
    <t>Purpose: To analyze the source and quality of oculoplastics-related content on TikTok, a popular social media platform. Methods: Twenty-five oculoplastics-related hashtags were queried. The top 20 videos for each hashtag were included. The nunber of views, likes, comments, and shares were recorded for each video. Each video was also categorized by the account owner and by video content characteristics. A subanalysis of the educational videos was conducted using the mDISCERN, Patient Education Materials Assessment Tool, and modified MICI scores to assess video quality, understandability and actionability, and medical accuracy, respectively. Results: The included 386 videos amassed 218,997,134 views, 15,033,220 likes, 148,099 comments, and 276,445 shares. Patients were the leading content creators (38.1%), followed by nonophthalmology MDs/DOs (25.6%), and oculoplastic surgeons/ophthalmologists (16.3%). Physician-created videos received more visibility than nonphysician-created videos (median of 23,600 views and 22 shares), though this did not reach statistical significance. However, oculoplastic surgeon-posted content received the lowest median views and shares. The video category that amassed the most views was live procedure/surgeries, followed by educational and patient experience. Subanalysis of 46 educational videos revealed physicians were the chief creators, accounting for 67.4% of all educational videos. Physician-created content demonstrated statistically significant better understandability and actionability, as measured by the Patient Education Materials Assessment Tool (p = 0.0053). Conclusion: Physicians play an important role in disseminating evidence-based medicine on social media. While oculoplastics-related TikTok videos are gaining traction, additional research is needed to improve the visibility of oculoplastic-surgeon posted content.</t>
  </si>
  <si>
    <t>[Cheng, Tiffany; Wang, Fei; Barmettler, Anne] Albert Einstein Coll Med, Dept Ophthalmol &amp; Visual Sci, Montefiore Med Ctr, Bronx, NY USA</t>
  </si>
  <si>
    <t>Montefiore Medical Center; Albert Einstein College of Medicine; Yeshiva University</t>
  </si>
  <si>
    <t>Barmettler, A (corresponding author), 3332 Rochambcau Ave,3rd Floor, Bronx, NY 10467 USA.</t>
  </si>
  <si>
    <t>annebarmettler@gmail.com</t>
  </si>
  <si>
    <t>0740-9303</t>
  </si>
  <si>
    <t>1537-2677</t>
  </si>
  <si>
    <t>OPHTHAL PLAST RECONS</t>
  </si>
  <si>
    <t>Ophthalmic Plast. Reconstr. Surg.</t>
  </si>
  <si>
    <t>10.1097/IOP.0000000000002158</t>
  </si>
  <si>
    <t>Ophthalmology; Surgery</t>
  </si>
  <si>
    <t>4K4YL</t>
  </si>
  <si>
    <t>WOS:000851957100019</t>
  </si>
  <si>
    <t>'Dysfunctional' appeals and failures of algorithmic justice in Instagram and TikTok content moderation</t>
  </si>
  <si>
    <t>Appeals; Content moderation; Fairness; Algorithms; Content creators; De-platforming</t>
  </si>
  <si>
    <t>GOVERNANCE; RULES</t>
  </si>
  <si>
    <t>This article explores users' perceptions of justice when using appeals on Instagram and TikTok, focusing on the barriers de-platformed users across fields like activism, sex work, sex education and LGBTQIA + self-expression face when using these platforms' automated appeals to recover their de-platformed content and/or accounts. Examining appeals from a platform governance standpoint and drawing from fairness and due process literature, this study finds concerning loopholes within these platforms' appeals, leaving room for discrimination, fraud and scams and leading to user disempowerment. Through interviews with de-platformed users, this paper reveals significant barriers faced by particularly transgender and sex working users when recovering their de-platformed accounts through in-platform appeals. With metaphors of an 'algorithmic cop, jury and judge,' this paper concludes that the needs of marginalised users have been designed out of content moderation and of platforms' processes, leading them to experience the appeals system as opaque, unfair and unjust.</t>
  </si>
  <si>
    <t>[Are, Carolina] Northumbria Univ, Ctr Digital Citizens, Ellison Pl, Newcastle Upon Tyne NE1 8ST, England</t>
  </si>
  <si>
    <t>Are, C (corresponding author), Northumbria Univ, Ctr Digital Citizens, Ellison Pl, Newcastle Upon Tyne NE1 8ST, England.</t>
  </si>
  <si>
    <t>Research Councils UK &gt; Engineering and Physical Sciences Research Council [EP/T022582/1]</t>
  </si>
  <si>
    <t>Research Councils UK &gt; Engineering and Physical Sciences Research Council(UK Research &amp; Innovation (UKRI)Engineering &amp; Physical Sciences Research Council (EPSRC))</t>
  </si>
  <si>
    <t>This work was supported by Research Councils UK &gt; Engineering and Physical Sciences Research Council EP/T022582/1.</t>
  </si>
  <si>
    <t>2024 AUG 28</t>
  </si>
  <si>
    <t>10.1080/1369118X.2024.2396621</t>
  </si>
  <si>
    <t>F1B1M</t>
  </si>
  <si>
    <t>WOS:001307229600001</t>
  </si>
  <si>
    <t>Leo-Liu, J; Fung, A; Fu, H</t>
  </si>
  <si>
    <t>Leo-Liu, Jindong; Fung, Anthony; Fu, Han</t>
  </si>
  <si>
    <t>Cooptation, hijacking, or normalization? The discursive concession of body politics on Douyin</t>
  </si>
  <si>
    <t>articulation; body politics; China; common sense; discursive concession; Douyin; negotiation; sexuality; TikTok; hegemony</t>
  </si>
  <si>
    <t>The short-video platform TikTok/Douyin becomes a space not only for individuals to express and articulate their interests, but also for the authorities to negotiate with the public on various ideological boundaries. This article specifically examines a Douyin campaign in which the platform attempts to prescribe a standard of body exposure that falls within the tolerance level of the authorities and, meanwhile, favours users' interests to gain support. To conceptualize such discursive negotiations and the relevant tactics, we propose the term 'discursive concession' to describe the process of compromise by temporarily challenging, obscuring, and rearticulating the discursive boundary, eventually legitimizing the subordinated discourse by aligning it with the dominant ideological logic. By analysing discourses of representative short videos and comments, we identified three tactics of discursive concession: cooptation, hijacking, and normalization. They respectively describe how dominant, subordinated, and middle powers leverage each other to push the discursive boundary forward.</t>
  </si>
  <si>
    <t>[Leo-Liu, Jindong; Fu, Han] Chinese Univ Hong Kong, Commun, Hong Kong, Peoples R China; [Fung, Anthony] Chinese Univ Hong Kong, Sch Journalism &amp; Commun, Hong Kong, Peoples R China; [Fu, Han] Chinese Univ Hong Kong, Hong Kong, Peoples R China</t>
  </si>
  <si>
    <t>Chinese University of Hong Kong; Chinese University of Hong Kong; Chinese University of Hong Kong</t>
  </si>
  <si>
    <t>Fu, H (corresponding author), Chinese Univ Hong Kong, Hong Kong, Peoples R China.</t>
  </si>
  <si>
    <t>fuhan@link.cuhk.edu.hk</t>
  </si>
  <si>
    <t>Fu, Han/0000-0002-3417-4338; Liu, Jindong/0000-0002-5456-0148</t>
  </si>
  <si>
    <t>10.1177/13678779241239681</t>
  </si>
  <si>
    <t>D2S4T</t>
  </si>
  <si>
    <t>WOS:001193080800001</t>
  </si>
  <si>
    <t>Cooper, BR; Concilla, A; Albrecht, JM; Bhukhan, A; Laughter, MR; Anderson, JB; Rundle, CW; McEldrew, EC; Presley, CL</t>
  </si>
  <si>
    <t>Cooper, Benjamin R.; Concilla, Anthony; Albrecht, J. Mark; Bhukhan, Aashni; Laughter, Melissa R.; Anderson, Jaclyn B.; Rundle, Chandler W.; McEldrew, Emily C.; Presley, Colby L.</t>
  </si>
  <si>
    <t>Social Media as a Medium for Dermatologic Education</t>
  </si>
  <si>
    <t>Social media; Facebook; Twitter; Instagram; Youtube; Tiktok; Education</t>
  </si>
  <si>
    <t>INFORMATION DISSEMINATION; INSTAGRAM; TWITTER; PATIENT; POSTS</t>
  </si>
  <si>
    <t>Purpose of Review We explore the utility of social media platforms as educational tools in dermatology, providing a summary of how these sites are used by the public and dermatologists alike, and demonstrating ways these findings may be applied for educational purposes. Recent Findings Over half of the world's population utilizes social media platforms. More recently, these platforms have increasingly been used for educational purposes. In the field of dermatology, a large portion of the educational content is coming from users with no formal medical or dermatologic training. Summary Each of the top five social media platforms in the world (Twitter, Instagram, TikTok, YouTube, and Facebook) has unique qualities which people may utilize to educate fellow users. As more of the population seeks online health information and education, it is important that dermatologists, while taking ethical considerations into account, become more comfortable facilitating educational content on social media.</t>
  </si>
  <si>
    <t>[Cooper, Benjamin R.] Rocky Vista Univ, Coll Osteopath Med, Parker, CO USA; [Concilla, Anthony] Philadelphia Coll Osteopath Med, Coll Osteopath Med, Philadelphia, PA USA; [Albrecht, J. Mark] Univ Utah, Sch Med, Salt Lake City, UT USA; [Bhukhan, Aashni] Nova Southeastern Univ, Dr Kiran C Patel Coll Osteopath Med, Ft Lauderdale, FL 33314 USA; [Laughter, Melissa R.] Univ Texas Austin, Dept Med, Austin, TX 78712 USA; [Anderson, Jaclyn B.] Stanford Univ, Dept Pathol, Stanford, CA 94305 USA; [Rundle, Chandler W.] Duke Univ Hosp, Dept Dermatol, Durham, NC USA; [McEldrew, Emily C.; Presley, Colby L.] Lehigh Valley Hlth Network, Div Dermatol, Allentown, PA 18102 USA</t>
  </si>
  <si>
    <t>Utah System of Higher Education; University of Utah; Nova Southeastern University; University of Texas System; University of Texas Austin; Stanford University; Duke University; Lehigh Valley Health Network</t>
  </si>
  <si>
    <t>Presley, CL (corresponding author), Lehigh Valley Hlth Network, Div Dermatol, Allentown, PA 18102 USA.</t>
  </si>
  <si>
    <t>colby.presley@lvhn.org</t>
  </si>
  <si>
    <t>Cooper, Benjamin/0000-0002-8439-4128; Rundle, Chandler/0000-0002-7624-8147</t>
  </si>
  <si>
    <t>10.1007/s13671-022-00359-4</t>
  </si>
  <si>
    <t>1H4KM</t>
  </si>
  <si>
    <t>WOS:000788033400001</t>
  </si>
  <si>
    <t>Chen, H; Wang, M; Zhang, Z</t>
  </si>
  <si>
    <t>Chen, Hao; Wang, Min; Zhang, Zhen</t>
  </si>
  <si>
    <t>Research on Rural Landscape Preference Based on TikTok Short Video Content and User Comments</t>
  </si>
  <si>
    <t>TikTok short video; content analysis; user comments; rural landscape preference</t>
  </si>
  <si>
    <t>PERCEPTION; PHOTOGRAPHS; VALUES; ISLAND</t>
  </si>
  <si>
    <t>Landscape is the visual embodiment of the human-environment relationship. It is an important field for understanding and shaping the relationship between human society and the environment, and it is also the focus of multidisciplinary attention. Rural landscape construction is of great significance to the development of rural tourism and rural revitalization. The results and preferences from landscape evaluation are an important basis for landscape construction. This paper selected 222 rural landscape short video works published on the TikTok short video platform; extracted the basic elements of rural landscapes using video content analysis and according to grounded theory; condensed 32 basic categories and 12 main categories; and formed a rural landscape system composed of three core categories: rural ecological, living, and productive landscapes. The short video user comment data were mined using ROST CM6 software, to analyze the rural landscape preferences of video viewers. The results showed that the short video users had a high overall evaluation of rural landscapes, but there were differences among the three core rural landscape preference categories. Users had a high preference for the architectural landscape and ecological landscape in the rural lifestyle landscape but raised concerns about the impact of disharmonious infrastructure and service facilities, existing security risks, and environmental health on the rural landscape. This paper suggests that we should pay attention to the construction of rural artistic conceptions and the expression of nostalgia, enhance experiences to enhance perception, and strengthen the protection of natural and cultural landscapes.</t>
  </si>
  <si>
    <t>[Chen, Hao; Wang, Min; Zhang, Zhen] Anhui Agr Univ, Sch Econ &amp; Management, Hefei 230036, Peoples R China</t>
  </si>
  <si>
    <t>Anhui Agricultural University</t>
  </si>
  <si>
    <t>Wang, M (corresponding author), Anhui Agr Univ, Sch Econ &amp; Management, Hefei 230036, Peoples R China.</t>
  </si>
  <si>
    <t>wangmin@stu.ahau.edu.cn</t>
  </si>
  <si>
    <t>Chen, Hao/0000-0001-9393-6112; Wang, Min/0000-0002-2057-0049</t>
  </si>
  <si>
    <t>10.3390/ijerph191610115</t>
  </si>
  <si>
    <t>4B2TF</t>
  </si>
  <si>
    <t>WOS:000845636000001</t>
  </si>
  <si>
    <t>Conde-Caballero, D; Castillo-Sarmiento, CA; Ballesteros-Yánez, I; Rivero-Jiménez, B; Mariano-Juárez, L</t>
  </si>
  <si>
    <t>Conde-Caballero, David; Castillo-Sarmiento, Carlos A.; Ballesteros-Yanez, Inmaculada; Rivero-Jimenez, Borja; Mariano-Juarez, Lorenzo</t>
  </si>
  <si>
    <t>Microlearning through TikTok in Higher Education. An evaluation of uses and potentials</t>
  </si>
  <si>
    <t>Digital learning technologies; e-learning; microlearning; social media; technology acceptance; TikTok</t>
  </si>
  <si>
    <t>SOCIAL MEDIA; FACEBOOK; STUDENTS</t>
  </si>
  <si>
    <t>While social media is evolving rapidly, understanding its underlying and persistent features with the potential to support high-quality learning would provide opportunities to enhance competence acquisition and collaborative work in higher education. Moreover, the adoption of tools that students already use in their everyday lives facilitates the integration of new forms of learning. In this context, we have developed an initiative to disseminate content through TikTok in three modules of the Bachelor's Degree in Nursing course, with the aim of promoting quality learning through these microlearning environments. To this end, we have implemented these learning environments and evaluated the users' perceptions, as well as their level of acceptance of the technology according to the Technology Acceptance Model. Overall, our results show high levels of satisfaction with regard to engagement and the content generated, as well as in terms of the acceptance of the technology. Our results do not show gender-specific variations, but we did detect slight variations depending on the subject in which the microlearning tool was deployed. Although for the most part these variations do not change the participants' assessment of their experience, it will be necessary in the future to determine the underlying reasons for these variations. In addition, our results suggest that it is possible to design a content creation system to promote quality learning through microlearning that can be transferred to other subjects, at least in the Bachelor's Degree in Nursing.</t>
  </si>
  <si>
    <t>[Conde-Caballero, David; Mariano-Juarez, Lorenzo] Univ Extremadura, Fac Nursing &amp; Occupat Therapy, Dept Nursing, Caceres 10003, Spain; [Castillo-Sarmiento, Carlos A.] Univ Castilla La Mancha, Sch Physiotherapy &amp; Nursing, Dept Nursing Physiotherapy &amp; Occupat Therapy, Toledo 45071, Spain; [Castillo-Sarmiento, Carlos A.; Ballesteros-Yanez, Inmaculada] Univ Castilla La Mancha, Reg Ctr Biomed Res, Albacete 02008, Spain; [Ballesteros-Yanez, Inmaculada] Univ Castilla La Mancha, Sch Med, Dept Inorgan &amp; Organ Chem &amp; Biochem, Ciudad Real 13071, Spain; [Rivero-Jimenez, Borja] Univ Extremadura, Teacher Training Coll, Dept Business Management &amp; Sociol, Caceres 10003, Spain</t>
  </si>
  <si>
    <t>Universidad de Extremadura; Universidad de Castilla-La Mancha; Universidad de Castilla-La Mancha; Universidad de Castilla-La Mancha; Universidad de Extremadura</t>
  </si>
  <si>
    <t>Castillo-Sarmiento, CA (corresponding author), Univ Castilla La Mancha, Sch Physiotherapy &amp; Nursing, Dept Nursing Physiotherapy &amp; Occupat Therapy, Toledo 45071, Spain.;Castillo-Sarmiento, CA (corresponding author), Univ Castilla La Mancha, Reg Ctr Biomed Res, Albacete 02008, Spain.</t>
  </si>
  <si>
    <t>dcondecab@unex.es; CarlosA.Castillo@uclm.es; Inmaculada.BYanez@uclm.es; brivero@unex.es; lorenmariano@unex.es</t>
  </si>
  <si>
    <t>Conde-Caballero, David/B-4459-2017; CASTILLO SARMIENTO, CARLOS ALBERTO/L-4286-2017</t>
  </si>
  <si>
    <t>CASTILLO SARMIENTO, CARLOS ALBERTO/0000-0002-6313-5485</t>
  </si>
  <si>
    <t>10.1007/s10639-023-11904-4</t>
  </si>
  <si>
    <t>WOS:001000494700001</t>
  </si>
  <si>
    <t>Saposnik, G</t>
  </si>
  <si>
    <t>Saposnik, Gustavo</t>
  </si>
  <si>
    <t>Understanding social media: how its popularity could be used to advance medical education in stroke care?</t>
  </si>
  <si>
    <t>JOURNAL OF NEUROLOGY</t>
  </si>
  <si>
    <t>Stroke; Social media; Medical education; Medicine; TikTok; Twitter; Google</t>
  </si>
  <si>
    <t>The wide availability of social media (SM) has revolutionized human interactions and education in different settings (e.g., household, workplace, academic, hospitals). Nearly 60% of the global population spend a daily average of over 6 h of screen time. By facilitating audio, video, and interactive material, SM has reshaped users' perceptions, choices, and communication. The science behind SM can be explained by the activation of the brain reward pathways which explains the success of SM platforms lead by user-generated content (i.e., TikTok). Our understanding of SM user's interests, mode of access, time spent with screens, and internet are critical to advance medical education by applying new learning technologies to advance medical education and stroke care. For example, the top 20 most visited websites and the most searched hashtags on TikTok in 2022 did not include any health-related topics, reflecting a challenging competition for attention of different segments of the population. We must overcome current gaps in medical education such as increased curricular activities, increasingly demanding tasks, differences in personal preferences between residents and faculty members, etc. New strategies using more engaging learning technologies and SM platforms (e.g., stroke simulations, interactive diagnostic and therapeutic decisions, tracking user's attention to assess knowledge transfer) are needed. This would allow a more effective delivery of educational content by stimulating the curiosity and participation of students, patients, and physicians offering more rewarding experiences across the continuum of stroke care.</t>
  </si>
  <si>
    <t>[Saposnik, Gustavo] Univ Toronto, Li Ka Shing Inst, Decis Neurosci Unit, Toronto, ON, Canada; [Saposnik, Gustavo] Univ Toronto, St Michaels Hosp, Dept Med, Div Neurol, 55 Queen St, Toronto, ON M5C 1R6, Canada; [Saposnik, Gustavo] World Stroke Org WSO, World Stroke Acad WSA, Geneva, Switzerland; [Saposnik, Gustavo] NeuroEconSolut com, Toronto, ON, Canada</t>
  </si>
  <si>
    <t>University of Toronto; University of Toronto; Saint Michaels Hospital Toronto</t>
  </si>
  <si>
    <t>Saposnik, G (corresponding author), Univ Toronto, Li Ka Shing Inst, Decis Neurosci Unit, Toronto, ON, Canada.;Saposnik, G (corresponding author), Univ Toronto, St Michaels Hosp, Dept Med, Div Neurol, 55 Queen St, Toronto, ON M5C 1R6, Canada.;Saposnik, G (corresponding author), World Stroke Org WSO, World Stroke Acad WSA, Geneva, Switzerland.;Saposnik, G (corresponding author), NeuroEconSolut com, Toronto, ON, Canada.</t>
  </si>
  <si>
    <t>Gustavo.Saposnik@unityhealth.to</t>
  </si>
  <si>
    <t>Saposnik, Gustavo/M-3937-2017</t>
  </si>
  <si>
    <t>Saposnik, Gustavo/0000-0002-5950-9886</t>
  </si>
  <si>
    <t>0340-5354</t>
  </si>
  <si>
    <t>1432-1459</t>
  </si>
  <si>
    <t>J NEUROL</t>
  </si>
  <si>
    <t>J. Neurol.</t>
  </si>
  <si>
    <t>10.1007/s00415-023-11743-w</t>
  </si>
  <si>
    <t>L5SX3</t>
  </si>
  <si>
    <t>WOS:000992109300003</t>
  </si>
  <si>
    <t>Yin, SH; Fu, CZ; Dai, GQ</t>
  </si>
  <si>
    <t>Yin, Shuhua; Fu, Chengzhou; Dai, Guangquan</t>
  </si>
  <si>
    <t>Exploring the Festival Attendees' Experiences on Social Media: A Study on the Guangzhou International Light Festival</t>
  </si>
  <si>
    <t>social media; festival experience; TikTok; modularity algorithm</t>
  </si>
  <si>
    <t>ONLINE REVIEWS; TOURISM; QUALITY; GENDER; EVENT; HOSPITALITY; FACEBOOK; IMPACT; ROLES; PLATFORMS</t>
  </si>
  <si>
    <t>This article explores festival attendees' experiences on social media. Data on festival attendees' posts on the Guangzhou International Light Festival were collected from TikTok. The Jieba Chinese word segmentation tool was applied to tokenize the texts and then classify the high-frequency words and phrases into five dimensions of festival experiences. The five dimensions of festival attendees' experiences are cognitive, novel, affective, physical participation, and social interaction. A combination of the modularity algorithm and Gephi was used to cluster and visualize the festival attendees' overall experiences and the different experiences in terms of gender and age. The results indicate that, in festival attendees' overall experience, cognitive experience accounted for the largest proportion, followed by physical participation, and the proportion of social interaction, emotional experience, and novel experience was less. Moreover, the demographic characteristics of gender and age differ in the festival experience.</t>
  </si>
  <si>
    <t>[Yin, Shuhua; Dai, Guangquan] South China Univ Technol, Guangzhou, Peoples R China; [Fu, Chengzhou] Guangdong Pharmaceut Univ, Guangzhou, Peoples R China; [Dai, Guangquan] South China Univ Technol, Guangzhou 510006, Peoples R China</t>
  </si>
  <si>
    <t>South China University of Technology; Guangdong Pharmaceutical University; South China University of Technology</t>
  </si>
  <si>
    <t>Dai, GQ (corresponding author), South China Univ Technol, Guangzhou 510006, Peoples R China.</t>
  </si>
  <si>
    <t>gqdai@scut.edu.cn</t>
  </si>
  <si>
    <t>yin, ShuHua/0000-0002-5546-0384; DAI, Guangquan/0000-0001-8490-6173</t>
  </si>
  <si>
    <t>National Natural Science Foundation of China (NSFC) [42171228]</t>
  </si>
  <si>
    <t>National Natural Science Foundation of China (NSFC)(National Natural Science Foundation of China (NSFC))</t>
  </si>
  <si>
    <t>The author(s) disclosed receipt of the following financial support for the research, authorship, and/or publication of this article: This study was supported by a grant from the National Natural Science Foundation of China (NSFC) (No.42171228, to Guangquan Dai).</t>
  </si>
  <si>
    <t>10.1177/21582440221145154</t>
  </si>
  <si>
    <t>H9BO4</t>
  </si>
  <si>
    <t>WOS:000998831300001</t>
  </si>
  <si>
    <t>Ella, B; Smadar, B; Shirley, DS</t>
  </si>
  <si>
    <t>Ella, Ben-Atar; Smadar, Ben-Asher; Shirley, Druker Shitrit</t>
  </si>
  <si>
    <t>Social punishment by the distribution of aggressive TikTok videos against women in a traditional society</t>
  </si>
  <si>
    <t>Cyberbully; Gender-based violence; TikTok; Backlash mechanism; Bedouin students</t>
  </si>
  <si>
    <t>BACKLASH; ISRAELI; GENDER; POWER; SELF</t>
  </si>
  <si>
    <t>PurposeOnline violence has been rampant in the past decade, intensifying the victims' suffering owing to its rapid dissemination to vast audiences. This study aims to focus on online gender-based violence directed against young Bedouin women who have left their male-dominated home territory for academic studies. This study examined how the backlash against these students, intended to stop changes in traditional gender roles, is reflected in offensive TikTok videos. Design/methodology/approachThis research is based on a qualitative-thematic analysis of 77 questionnaires and 30 semistructured in-depth interviews with first-year female Bedouin students aged 18-21 years. FindingsThe backlash was widespread, with young Bedouin men using offensive videos as proof that women have violated codes of honor and morality. The videos exhibited four types of gender-based violence: claims of immoral behavior, aggressive captions that take the footage out of context, allegations of immodest clothing and digital photo editing that produced fabricated results. Examining participants' reactions to the videos, this study revealed two patterns of response: passive acceptance of the situation and an active approach that included reaching out to powerful Bedouin men for solutions. Originality/valueThis research enriches the literature on online gender-based violence, particularly against women in traditional societies, and suggests practical steps: developing online media literacy in traditional societies, adopting a proactive approach and nurturing social self-competence in women who have been victims of online gender-based violence.</t>
  </si>
  <si>
    <t>[Ella, Ben-Atar] Sapir Acad Coll, Shderot, Israel; [Smadar, Ben-Asher] Achva Acad Coll, Shikmim, Israel; [Shirley, Druker Shitrit] Bar Ilan Univ, Ramat Gan, Israel</t>
  </si>
  <si>
    <t>Bar Ilan University</t>
  </si>
  <si>
    <t>Smadar, B (corresponding author), Achva Acad Coll, Shikmim, Israel.</t>
  </si>
  <si>
    <t>benatarella@gmail.com; bsmadar@gmail.com; shirleydruker@gmail.com</t>
  </si>
  <si>
    <t>Ben-Atar, Ella/0000-0001-9097-9651</t>
  </si>
  <si>
    <t>2023 JAN 25</t>
  </si>
  <si>
    <t>10.1108/JICES-06-2022-0059</t>
  </si>
  <si>
    <t>8E8LV</t>
  </si>
  <si>
    <t>WOS:000919220800001</t>
  </si>
  <si>
    <t>Liu, R; Yang, TN; Deng, WH; Liu, XY; Deng, JW</t>
  </si>
  <si>
    <t>Liu, Ran; Yang, Tianan; Deng, Wenhao; Liu, Xiaoyan; Deng, Jianwei</t>
  </si>
  <si>
    <t>What Drives the Influence of Health Science Communication Accounts on TikTok? A Fuzzy-Set Qualitative Comparative Analysis</t>
  </si>
  <si>
    <t>TikTok; microvideo; health science communication; account influence; fsQCA</t>
  </si>
  <si>
    <t>SOCIAL MEDIA ENGAGEMENT; USER INFLUENCE; COVID-19 INFORMATION; TECHNOLOGY; PRINCIPLES; CONFIGURATIONS; BEHAVIOR; TWITTER; SYSTEM</t>
  </si>
  <si>
    <t>Medical institutions face a variety of challenges as they seek to enhance their reputation and increase the influence of their social media accounts. Becoming a social media influencer in the health field in today's complex online environment requires integrated social and technical systems. However, rather than holistically investigating the mechanism of account influence, studies have focused on a narrow subset of social and technical conditions that drive online influence. We attribute this to the mismatch between complex causality problems and traditional symmetric regression methods. In this study, we adopted an asymmetric configurational perspective that allowed us to test a causally complex model of the conditions that create strong and not-strong account influence. We used fuzzy-set qualitative comparative analysis (fsQCA) to detect the effects of varying configurations of three social system characteristics (i.e., an oncology-related attribute, a public attribute, and comment interaction) and two technical system characteristics (i.e., telepresence and video collection) on the TikTok accounts of 63 elderly Chinese doctors (60 to 92 years old). Our results revealed two pathways associated with distinct sociotechnical configurations to strong account influence and three pathways associated with distinct sociotechnical configurations to not-strong account influence. Furthermore, the results confirmed that a single antecedent condition cannot, on its own, produce an outcome, i.e., account influence. Multiple inter-related conditions are required to produce an influential account. These results offer a more holistic picture of how health science communication accounts operate and reconcile the scattered results in the literature. We also demonstrate how configurational theory and methods can be used to analyze the complexities of social media platforms.</t>
  </si>
  <si>
    <t>[Liu, Ran] Wenzhou Med Univ, Sch Publ Hlth &amp; Management, Wenzhou 325035, Peoples R China; [Liu, Ran; Yang, Tianan; Deng, Wenhao; Deng, Jianwei] Beijing Inst Technol, Sch Management &amp; Econom, Beijing 100081, Peoples R China; [Yang, Tianan; Deng, Wenhao; Deng, Jianwei] Sustainable Dev Res Inst Econ &amp; Soc Beijing, Beijing 100081, Peoples R China; [Liu, Xiaoyan] Beijing Jiaotong Univ, Sch Languages &amp; Commun Studies, Beijing 100044, Peoples R China</t>
  </si>
  <si>
    <t>Wenzhou Medical University; Beijing Institute of Technology; Beijing Jiaotong University</t>
  </si>
  <si>
    <t>Deng, JW (corresponding author), Beijing Inst Technol, Sch Management &amp; Econom, Beijing 100081, Peoples R China.;Deng, JW (corresponding author), Sustainable Dev Res Inst Econ &amp; Soc Beijing, Beijing 100081, Peoples R China.</t>
  </si>
  <si>
    <t>111605@bit.edu.cn</t>
  </si>
  <si>
    <t>Yang, Tianan/P-6973-2019</t>
  </si>
  <si>
    <t>Yang, Tianan/0000-0001-6994-354X</t>
  </si>
  <si>
    <t>National Natural Science Foundation of China [71974011, 72174022, 71603018, 71804009]; Special Fund for Scientific Innovation Program of Scientific Research Support, Beijing Institute of Technology [2021CX02051]</t>
  </si>
  <si>
    <t>National Natural Science Foundation of China(National Natural Science Foundation of China (NSFC)); Special Fund for Scientific Innovation Program of Scientific Research Support, Beijing Institute of Technology</t>
  </si>
  <si>
    <t>This study was supported by National Natural Science Foundation of China (grant nos. 71974011, 72174022, 71603018, and 71804009) and the Special Fund for Scientific Innovation Program of Scientific Research Support, Beijing Institute of Technology (grant no. 2021CX02051).</t>
  </si>
  <si>
    <t>10.3390/ijerph192113815</t>
  </si>
  <si>
    <t>6C8AL</t>
  </si>
  <si>
    <t>WOS:000882229700001</t>
  </si>
  <si>
    <t>Mourelatos, E; Mourelatos, H</t>
  </si>
  <si>
    <t>Mourelatos, Evangelos; Mourelatos, Haris</t>
  </si>
  <si>
    <t>Online video sharing and revenues during the pandemic. Evidence from musical stream data</t>
  </si>
  <si>
    <t>APPLIED ECONOMICS LETTERS</t>
  </si>
  <si>
    <t>Covid-19; streams; online video sharing; culture</t>
  </si>
  <si>
    <t>This study examines how instant online video sharing affects artists' musical streams during the pandemic. On average, the use of the TikTok app significantly increases artists' streams, by approximately 5%. This increase is even higher for male, European and dj Mag 2020 new entry artists.</t>
  </si>
  <si>
    <t>[Mourelatos, Evangelos] Univ Oulu, Dept Econ, Oulu, Finland; [Mourelatos, Haris] Univ Patras, Dept Econ, Patras, Greece</t>
  </si>
  <si>
    <t>University of Oulu; University of Patras</t>
  </si>
  <si>
    <t>Mourelatos, E (corresponding author), Univ Oulu, Dept Econ, Oulu, Finland.</t>
  </si>
  <si>
    <t>vagmourelatos@gmail.com</t>
  </si>
  <si>
    <t>Mourelatos, Vaggelis/AAE-7314-2020</t>
  </si>
  <si>
    <t>Mourelatos, Vaggelis/0000-0002-9534-7941</t>
  </si>
  <si>
    <t>1350-4851</t>
  </si>
  <si>
    <t>1466-4291</t>
  </si>
  <si>
    <t>APPL ECON LETT</t>
  </si>
  <si>
    <t>Appl. Econ. Lett.</t>
  </si>
  <si>
    <t>10.1080/13504851.2022.2110209</t>
  </si>
  <si>
    <t>S3UG9</t>
  </si>
  <si>
    <t>Green Published, Green Submitted, hybrid</t>
  </si>
  <si>
    <t>WOS:000839462100001</t>
  </si>
  <si>
    <t>Hu, SC; Gan, J; Shi, V; Krug, I</t>
  </si>
  <si>
    <t>Hu, Shuchen; Gan, Jasmine; Shi, Victoria; Krug, Isabel</t>
  </si>
  <si>
    <t>Chinese TikTok (Douyin) challenges and body image concerns: a pilot study</t>
  </si>
  <si>
    <t>TikTok; Social media; Body image; Eating disorders; Body dissatisfaction; China; Asia</t>
  </si>
  <si>
    <t>TRIPARTITE INFLUENCE MODEL; SELF-OBJECTIFICATION; EATING-DISORDERS; RISK-FACTORS; MEDIA INFLUENCES; SOCIAL MEDIA; EXERCISE; FITSPIRATION; FACEBOOK; SKINNY</t>
  </si>
  <si>
    <t>BackgroundSocial media content on Western platforms promoting thinness, or thinspiration, has been found to negatively affect body image perception of users. Less is known about non-Western social media use and its effects on body image concerns. Chinese TikTok, known as Douyin, is a popular short video platform with 600 million daily active users. Recent trends on Douyin encourage users to demonstrate thinness through participation in 'body challenges'. This paper argues that such content is comparable to thinspiration, however, to date hardly any research has been undertaken on these challenges. Thus, this pilot study aimed to analyse the content of three viral challenges and investigate their impact on Douyin users.MethodsThirty most viewed videos were collected for three challenges (N = 90): the Coin challenge, the A4 Waist challenge, and the Spider leg challenge. Videos were coded for variables relating to thin idealisation, including thin praise, sexualisation and objectification, and analysed through content analytic methods. Video comments (N &amp; AP; 5500) were analysed through thematic analysis, and main themes were identified.ResultsPreliminary findings showed that participants who objectified their bodies to a greater extent expressed more negative body image concerns. In addition, comments on the videos had themes of thin praise, self-comparison, and promotion of dieting behaviours. In particular, videos of the A4 Waist challenge were found to incite more negative self-comparison in viewers.ConclusionPreliminary findings suggest all three challenges promote the thin ideal and encourage body image concerns. Further research about the broader impact of body challenges is needed.</t>
  </si>
  <si>
    <t>[Hu, Shuchen; Shi, Victoria] Columbia Univ, Teachers Coll, New York, NY USA; [Gan, Jasmine; Krug, Isabel] Univ Melbourne, Univ Melbourne Psychol Clin, Melbourne Sch Psychol Sci, Level 7,North Melbourne, Melbourne, Vic 3051, Australia</t>
  </si>
  <si>
    <t>Columbia University Teachers College; Columbia University; University of Melbourne</t>
  </si>
  <si>
    <t>Krug, I (corresponding author), Univ Melbourne, Univ Melbourne Psychol Clin, Melbourne Sch Psychol Sci, Level 7,North Melbourne, Melbourne, Vic 3051, Australia.</t>
  </si>
  <si>
    <t>isabel.krug@unimelb.edu.au</t>
  </si>
  <si>
    <t>10.1186/s40337-023-00829-5</t>
  </si>
  <si>
    <t>WOS:001022863600002</t>
  </si>
  <si>
    <t>Nguyen, H; Parameswaran, P</t>
  </si>
  <si>
    <t>Nguyen, Ha; Parameswaran, Prasina</t>
  </si>
  <si>
    <t>Meaning making and relatedness: exploring critical data literacies on social media</t>
  </si>
  <si>
    <t>Critical data literacies; Social media</t>
  </si>
  <si>
    <t>AFFORDANCES; YOUTH</t>
  </si>
  <si>
    <t>PurposeThe goal of this study is to explore how content creators engage in critical data literacies on TikTok, a social media site that encourages the creation and dissemination of user-created, short-form videos. Critical data literacies encompass the ability to reason with, critique, control, and repurpose data for creative uses. Existing work on critical data literacies on social media has focused on understanding of personal data, critique of data use, and strategies to protect privacy. This work focuses on how TikTok content creators repurpose data to construct their own narratives. Design/methodology/approachThrough hashtag search, the authors created a corpus of 410 TikTok videos focused on discussing environmental and climate action, and qualitatively coded the videos for data literacies practices and video features (audio, footage, background images) that may support these practices. FindingsContent creators engaged in multiple practices to attach meanings to data and situate environmental and climate action discourse in lived experiences. While there were instances of no data practices, we found cases where creators compiled different data sources, situated data in personal and local contexts, and positioned their experiences as data points to supplement or counter other statistics. Creators further leveraged the platform's technical features, particularly the ability to add original audio and background images, to add narratives to the collective discourse. Originality/valueThis study presents a unique focus on examining critical data literacies on social media. Findings highlight how content creators repurpose data and integrate personal experiences. They illustrate platform features to support data practices and inform the design of learning environments.</t>
  </si>
  <si>
    <t>[Nguyen, Ha; Parameswaran, Prasina] Utah State Univ, Dept Instruct Technol &amp; Learning Sci, Logan, UT 84322 USA</t>
  </si>
  <si>
    <t>Nguyen, H (corresponding author), Utah State Univ, Dept Instruct Technol &amp; Learning Sci, Logan, UT 84322 USA.</t>
  </si>
  <si>
    <t>ha.nguyen@usu.edu; prasina.parameswaran@usu.edu</t>
  </si>
  <si>
    <t>5/6</t>
  </si>
  <si>
    <t>10.1108/ILS-02-2023-0016</t>
  </si>
  <si>
    <t>K8NB8</t>
  </si>
  <si>
    <t>WOS:000998606000001</t>
  </si>
  <si>
    <t>Sütcüoglu, BM; Güler, M</t>
  </si>
  <si>
    <t>Sutcuoglu, Bengu Mutlu; Guler, Melike</t>
  </si>
  <si>
    <t>Social Media Videos on Contraceptive Implants: An Assessment of Video Quality and Reliability</t>
  </si>
  <si>
    <t>Contraception; Social media; Internet; Birth control</t>
  </si>
  <si>
    <t>UNITED-STATES; INFORMATION; YOUTUBE; IUD</t>
  </si>
  <si>
    <t>Study Objective: There are many videos on contraception on YouTube and TikTok, and women around the world use video platforms extensively to seek health information from videos of uncertain reliability and quality. The main objective of this research was to evaluate the scientific reliability and quality of the most popular social media videos about contraceptive subdermal implants. Methods: TikTok and YouTube videos were assessed separately by two gynecologists. The video quality was evaluated according to the DISCERN score, modified DISCERN score, and Global Quality Scale (GQS) score. Results: The study included the 100 most popular videos, 44 of which were uploaded by health care professionals. The median DISCERN score for videos shared by health care professionals was 50 (range 15-75), whereas it was 22 (range 15-56) for videos shared by independent users ( P &lt; .001). The median modified DISCERN score was 4 (min -max 0-5), and the median GQS score was 4 (min -max 1-5) for the videos uploaded by health care professionals. The modified DISCERN and GQS scores of TikTok videos were lower than those of YouTube videos (both P &lt; .001). Conclusion: Social media videos about contraceptive subdermal implants are popular and have been viewed tens of thousands of times, but the overall medical validity, which we evaluated according to the scoring systems, was poor. Despite the large number of videos, the content's quality and reliability are quite limited. There is a need to prioritize the education provided to patients by gynecologists, as well as to create high -quality content for YouTube and other similar platforms.</t>
  </si>
  <si>
    <t>[Sutcuoglu, Bengu Mutlu; Guler, Melike] Lokman Hekim Univ, Dept Obstet &amp; Gynaecol, Ankara, Turkiye; [Sutcuoglu, Bengu Mutlu] Lokman Hekim Univ, Dept Obstet &amp; Gynaecol, Sincan Ankara, Turkiye</t>
  </si>
  <si>
    <t>Lokman Hekim University</t>
  </si>
  <si>
    <t>Sütcüoglu, BM (corresponding author), Lokman Hekim Univ, Dept Obstet &amp; Gynaecol, Sincan Ankara, Turkiye.</t>
  </si>
  <si>
    <t>drbengumutlu@gmail.com</t>
  </si>
  <si>
    <t>gÃ¼ler, melike/KDU-0553-2024; mutlu sütcüoğlu, bengü/HGD-0612-2022</t>
  </si>
  <si>
    <t>sutcuoglu, osman/0000-0003-3835-2741; mutlu sutcuoglu, bengu/0000-0002-5594-1719</t>
  </si>
  <si>
    <t>10.1016/j.jpag.2023.08.004</t>
  </si>
  <si>
    <t>JA7N5</t>
  </si>
  <si>
    <t>WOS:001170498600001</t>
  </si>
  <si>
    <t>Kent, MP; Bagnato, M; Amson, A; Remedios, L; Pritchard, M; Sabir, S; Gillis, G; Pauzé, E; Vanderlee, L; White, C; Hammond, D</t>
  </si>
  <si>
    <t>Kent, Monique Potvin; Bagnato, Mariangela; Amson, Ashley; Remedios, Lauren; Pritchard, Meghan; Sabir, Soulene; Gillis, Grace; Pauze, Elise; Vanderlee, Lana; White, Christine; Hammond, David</t>
  </si>
  <si>
    <t>#junkfluenced: the marketing of unhealthy food and beverages by social media influencers popular with Canadian children on YouTube, Instagram and TikTok</t>
  </si>
  <si>
    <t>INTERNATIONAL JOURNAL OF BEHAVIORAL NUTRITION AND PHYSICAL ACTIVITY</t>
  </si>
  <si>
    <t>Unhealthy food marketing; Children; Social media influencers; Food environment; Digital media</t>
  </si>
  <si>
    <t>Background Marketing of unhealthy foods to children on digital media significantly impacts their dietary preferences and contributes to diet-related noncommunicable diseases. Canadian children spend a significant amount of time on digital devices and are frequently exposed to unhealthy food marketing on social media, including by influencers with celebrity status who endorse products. This study aimed to examine the frequency, healthfulness, and power of unhealthy food marketing in posts by influencers popular with Canadian children on YouTube, Instagram and TikTok.Methods The top 9 influencers popular amongst Canadian children aged 10-12 years were identified from the 2021 International Food Policy Study Youth Survey. A total of 2,232 Instagram, YouTube and TikTok posts made by these influencers between June 1st 2021 and May 31st 2022 were examined for instances of food marketing. Food products/brands were identified and frequencies were calculated for the number of posts promoting food products/brands, posts promoting products/brands classified as less healthy according to Health Canada's Nutrient Profile Model (2018) and marketing techniques utilized.Results YouTube had the highest average rate of food marketing instances per post, at a rate of 1 food marketing instance every 0.7 posts, while TikTok and Instagram had instances every 10.2 posts and 19.3 posts, respectively. Overall, fast food restaurants was the most promoted food category (21%), followed by regular soft drinks (13%), snacks (11%), candy and chocolate (11%) and water (8%). The most frequently used marketing techniques were appeals to fun/cool (37%), the use of songs or music (28%) and the product being consumed (25%). In terms of healthfulness, 83% of the products/brands (87% of brands and 82% of products) promoted were classified as less healthy.Conclusions Social media influencers play a substantial role in promoting unhealthy food products to children, primarily fast food items. Given the significant impact of such marketing on children, there is a need for ongoing government-led monitoring, and it is crucial to include social media and influencer marketing in marketing restrictions targeting children in Canada to safeguard this vulnerable demographic.</t>
  </si>
  <si>
    <t>[Kent, Monique Potvin; Bagnato, Mariangela; Remedios, Lauren; Pritchard, Meghan; Sabir, Soulene; Gillis, Grace] Univ Ottawa, Sch Epidemiol &amp; Publ Hlth, Ottawa, ON, Canada; [Amson, Ashley; Pauze, Elise] Univ Ottawa, Interdisciplinary Sch Hlth Sci, Ottawa, ON, Canada; [Vanderlee, Lana] Univ Laval, Inst Nutr &amp; Funct Foods, Ctr NUTRISS Nutr Sante Soc, Sch Nutr, Quebec City, PQ, Canada; [White, Christine; Hammond, David] Univ Waterloo, Sch Publ Hlth Sci, Waterloo, ON, Canada</t>
  </si>
  <si>
    <t>University of Ottawa; University of Ottawa; Laval University; University of Waterloo</t>
  </si>
  <si>
    <t>Kent, MP (corresponding author), Univ Ottawa, Sch Epidemiol &amp; Publ Hlth, Ottawa, ON, Canada.</t>
  </si>
  <si>
    <t>mpk@rogers.com</t>
  </si>
  <si>
    <t>Hammond, David/JPW-9267-2023</t>
  </si>
  <si>
    <t>Health Canada</t>
  </si>
  <si>
    <t>1479-5868</t>
  </si>
  <si>
    <t>INT J BEHAV NUTR PHY</t>
  </si>
  <si>
    <t>Int. J. Behav. Nutr. Phys. Act.</t>
  </si>
  <si>
    <t>APR 11</t>
  </si>
  <si>
    <t>10.1186/s12966-024-01589-4</t>
  </si>
  <si>
    <t>Nutrition &amp; Dietetics; Physiology</t>
  </si>
  <si>
    <t>NK8J6</t>
  </si>
  <si>
    <t>WOS:001200436800001</t>
  </si>
  <si>
    <t>Hong, YR; Lee, NMY; Kirkpatrick, CE; Hu, SS; Lee, SKY; Hinnant, A</t>
  </si>
  <si>
    <t>Hong, Yoorim; Lee, Namyeon; Kirkpatrick, Ciera E.; Hu, Sisi; Lee, Sungkyoung; Hinnant, Amanda</t>
  </si>
  <si>
    <t>Trust Me, I'm a Doctor. How TikTok Videos from Different Sources Influence Clinical Trial Participation</t>
  </si>
  <si>
    <t>ELABORATION LIKELIHOOD MODEL; SOURCE CREDIBILITY; SELF-EFFICACY; INTENTION; KNOWLEDGE; MESSAGES; BEHAVIOR; PROMOTION; ATTITUDE; IMPACT</t>
  </si>
  <si>
    <t>This study experiments with TikTok videos to promote clinical trial participation. More specifically, it examines how short-form video sources (doctors vs. prior volunteers for clinical trials) influence perceived source credibility, self-efficacy, and behavioral intention to participate in clinical trials. Findings from this online experiment (N = 396) showed that doctor sources led to greater behavioral intention through enhancing source credibility compared to prior volunteer sources. Alternatively, prior volunteer sources increased behavioral intention via enhanced self-efficacy for participants with low trust in doctors. These findings contribute to the understanding of how short-form video sources act as heuristic cues, leading to persuasion outcomes. Overall, we recommend featuring doctors when using video-based messages to promote clinical trial participation. Also, this study emphasizes the need for health communication practitioners to consider prior volunteers as spokespersons when targeting populations with low baseline trust in doctors.</t>
  </si>
  <si>
    <t>[Hong, Yoorim; Lee, Sungkyoung] Univ Missouri, Sch Journalism, Strateg Commun, 176 Gannett, Columbia, MO 65211 USA; [Lee, Namyeon] Univ North Carolina Pembroke, Dept Mass Commun, Pembroke, NC USA; [Kirkpatrick, Ciera E.] Univ Nebraska Lincoln, Coll Journalism &amp; Mass Commun, Advertising &amp; Publ Relat, Lincoln, NE USA; [Hu, Sisi] Univ Arkansas, Sch Journalism &amp; Strateg Media, Advertising, Fayetteville, AR USA; [Hinnant, Amanda] Univ Missouri, Sch Journalism, Journalism Studies, Columbia, MO USA</t>
  </si>
  <si>
    <t>University of Missouri System; University of Missouri Columbia; University of North Carolina; University of North Carolina at Pembroke; University of Nebraska System; University of Nebraska Lincoln; University of Arkansas System; University of Arkansas Fayetteville; University of Missouri System; University of Missouri Columbia</t>
  </si>
  <si>
    <t>Hong, YR (corresponding author), Univ Missouri, Sch Journalism, Strateg Commun, 176 Gannett, Columbia, MO 65211 USA.</t>
  </si>
  <si>
    <t>yh3n3@mail.missouri.edu</t>
  </si>
  <si>
    <t>Lee, Sungkyoung/0000-0002-9769-3063; Hinnant, Amanda/0000-0002-9180-6848; Kirkpatrick, Ciera/0000-0002-2598-753X; Lee, Namyeon/0000-0002-1771-0311; Hong, Yoorim/0000-0003-3439-6608; Hu, Sisi/0000-0002-2192-0514</t>
  </si>
  <si>
    <t>This work was supported by the University of Missouri Research Council Grant [URC-21-030].</t>
  </si>
  <si>
    <t>2024 MAY 5</t>
  </si>
  <si>
    <t>10.1080/10410236.2024.2346680</t>
  </si>
  <si>
    <t>PX3A3</t>
  </si>
  <si>
    <t>WOS:001217328500001</t>
  </si>
  <si>
    <t>Segal, NL</t>
  </si>
  <si>
    <t>Segal, Nancy L.</t>
  </si>
  <si>
    <t>Twins Standing in for Co-Twins: Explanation and Speculation/Twin Research Reviews: Single v. Multiple Embryo Transfer; Neurimaging of Twins with Periventricular Nodular Heterotopia; Twin Dietary Study; New Hungarian Text on Twins/Human Interest: Valedictorian and Salutatorian Twins; Twin Mother at Age Seventy; Twins Reunited by Tiktok; New Film on Twins with Selective Mutism; Becoming Twin Doctors</t>
  </si>
  <si>
    <t>TWIN RESEARCH AND HUMAN GENETICS</t>
  </si>
  <si>
    <t>IDENTICAL-TWINS</t>
  </si>
  <si>
    <t>An overview of circumstances in which twins take the place of their co-twin is presented. Various explanations and speculations are proposed for understanding twins' willingness to do so in certain situations. This section is followed by reviews of timely twin research, namely single versus multiple embryo transfer; neurimaging of twins with periventricular nodular heterotopia; a twin dietary comparison; and a new book of twin-related readings from Hungary. The final portion of this article concerns human interest stories that both inform and entertain. They involve valedictorian and salutatorian twins; a mother delivering twins at age seventy; twins reunited by TikTok; a new film about twins with selective mutism; and twins becoming doctors.</t>
  </si>
  <si>
    <t>[Segal, Nancy L.] Calif State Univ Fullerton, Dept Psychol, Fullerton, CA 92831 USA</t>
  </si>
  <si>
    <t>California State University System; California State University Fullerton</t>
  </si>
  <si>
    <t>Segal, NL (corresponding author), Calif State Univ Fullerton, Dept Psychol, Fullerton, CA 92831 USA.</t>
  </si>
  <si>
    <t>nsegal@fullerton.edu</t>
  </si>
  <si>
    <t>1832-4274</t>
  </si>
  <si>
    <t>1839-2628</t>
  </si>
  <si>
    <t>TWIN RES HUM GENET</t>
  </si>
  <si>
    <t>Twin Res. Hum. Genet.</t>
  </si>
  <si>
    <t>10.1017/thg.2024.22</t>
  </si>
  <si>
    <t>Genetics &amp; Heredity; Obstetrics &amp; Gynecology</t>
  </si>
  <si>
    <t>J9R1R</t>
  </si>
  <si>
    <t>WOS:001221243300001</t>
  </si>
  <si>
    <t>Zhang, C; Liu, GL; Zhang, S</t>
  </si>
  <si>
    <t>Zhang, Cun; Liu, Guiling; Zhang, Shuang</t>
  </si>
  <si>
    <t>Collective identity construction in the covid-19 crisis A multimodal discourse-historical approach</t>
  </si>
  <si>
    <t>JOURNAL OF LANGUAGE AND POLITICS</t>
  </si>
  <si>
    <t>covid-19 crisis; collective identity; discourse-historical approach; multimodality; TikTok; China</t>
  </si>
  <si>
    <t>NATIONALISM</t>
  </si>
  <si>
    <t>Since the pandemic broke out in 2020, China has widely presented the covid crisis in its mass media and actively constructed collective identity thereof to mobilize medical workers, unify political stances, boost domestic solidarity, and promote international support. This paper combines the Discourse-Historical Approach and a multimodal perspective to investigate how the Chinese state-run news agency People's Daily discursively achieves these purposes on TikTok. A combination of qualitative and quantitative methods is used to present the high-frequency topoi of justifying the crisis and referential and predicational strategies of shaping collective identity within, which can fall into four dimensions: positive Self, negative Self, negative Others, and positive Others. The linguistic resources can be intensified/mitigated by visual-aural ensembles, which can draw the audience's attention and arouse their emotional attachments. This study also summarizes the embedded values in the discourses and situates them in socio-political contexts.</t>
  </si>
  <si>
    <t>[Zhang, Cun] Jilin Univ, Sch Foreign Studies, Changchun, Peoples R China; [Liu, Guiling] Jilin Univ, Sch Foreign Studies, Linguist, Changchun, Peoples R China; [Zhang, Shuang] Northeast Normal Univ, Sch Foreign Languages, Changchun, Jilin, Peoples R China</t>
  </si>
  <si>
    <t>Jilin University; Jilin University; Northeast Normal University - China</t>
  </si>
  <si>
    <t>Liu, GL (corresponding author), Jilin Univ, Dept English, Sch Foreign Studies, 2699 Qianjin St, Changchun, Peoples R China.</t>
  </si>
  <si>
    <t>liugl@jlu.edu.cn</t>
  </si>
  <si>
    <t>Liu, Guiling/0000-0002-7797-8600; zhang, cun/0000-0001-6372-7897</t>
  </si>
  <si>
    <t>Humanities and Social Sciences, Ministry of Education of China [20YJA740027]; National Social Science Fund of China [21BYY062]</t>
  </si>
  <si>
    <t>Humanities and Social Sciences, Ministry of Education of China(Ministry of Education, China); National Social Science Fund of China</t>
  </si>
  <si>
    <t>This study was supported by the Humanities and Social Sciences, Ministry of Education of China under Grant No. 20YJA740027 and the National Social Science Fund of China under Grant No. 21BYY062.</t>
  </si>
  <si>
    <t>1569-2159</t>
  </si>
  <si>
    <t>1569-9862</t>
  </si>
  <si>
    <t>J LANG POLIT</t>
  </si>
  <si>
    <t>J. Lang. Polit.</t>
  </si>
  <si>
    <t>10.1075/jlp.22024.zha</t>
  </si>
  <si>
    <t>Linguistics; Language &amp; Linguistics</t>
  </si>
  <si>
    <t>5R4KJ</t>
  </si>
  <si>
    <t>WOS:000874480800005</t>
  </si>
  <si>
    <t>Brown, SAW</t>
  </si>
  <si>
    <t>Brown, Scott A. W.</t>
  </si>
  <si>
    <t>Beyond the great firewall: EU and US responses to the China challenge in the global digital economy</t>
  </si>
  <si>
    <t>JOURNAL OF EUROPEAN INTEGRATION</t>
  </si>
  <si>
    <t>EU-China; US-China; weaponized interdependence; Huawei; TikTok</t>
  </si>
  <si>
    <t>SECURITIZATION; HUAWEI</t>
  </si>
  <si>
    <t>China's Great Firewall was designed to control information flows to keep citizens in and the wider world out. Consequently, until recently China's economic ascendancy was not mirrored in the global digital economy. However, China's increasing digital footprint and championing of national technology firms present numerous economic and security challenges for the EU and US as the dominant digital powers. This paper investigates how growing perceptions of China-based threats in the digital domain have shaped EU (including Member State-level) and US policies. Two pertinent cases - Huawei (hardware provider) and TikTok (digital platform) - illustrate how threat perceptions have catalysed securitization moves to restrict Chinese firms' roles within national digital economies. Western policymakers are increasingly concerned about China's capacity to weaponize technologically interdependent relationships by exploiting its firms' presence within Western networks. Yet significant differences between EU Member States' perceptions precluded both a uniform EU-level response and more extensive transatlantic cooperation.</t>
  </si>
  <si>
    <t>[Brown, Scott A. W.] Univ Dundee, Div Energy Environm &amp; Soc, Tower Bldg, Dundee DD1 4HN, Scotland</t>
  </si>
  <si>
    <t>University of Dundee</t>
  </si>
  <si>
    <t>Brown, SAW (corresponding author), Univ Dundee, Div Energy Environm &amp; Soc, Tower Bldg, Dundee DD1 4HN, Scotland.</t>
  </si>
  <si>
    <t>sawbrown@dundee.ac.uk</t>
  </si>
  <si>
    <t>Brown, Scott/AGV-8488-2022</t>
  </si>
  <si>
    <t>Brown, Scott/0000-0002-8287-9279</t>
  </si>
  <si>
    <t>School of Humanities, Social Sciences and Law at the University of Dundee</t>
  </si>
  <si>
    <t>My thanks to Alasdair Young and Jamal Shahin for extensive feedback on earlier drafts, as well as the two anonymous referees for their contributions. Helpful insights were also provided by the participants at the 'Governing the Digital Economy' workshop in Atlanta, September 2023 - Guillaume Beaumier, Vicki Birchfield, Chad Damro, Elaine Fahey, and Milton Mueller. Feedback on elements of the research were also received at the Jean Monnet Network on Transatlantic Trade Politics workshop in Ottawa, January, 2024. Fieldwork for this paper was supported by the School of Humanities, Social Sciences and Law at the University of Dundee. I am grateful to the interviewees who granted me their time and insights. Additional thanks to Edzia Carvalho, Mark Cutler, Dejan Stjepanovic, and Lorraine Van Blerk.</t>
  </si>
  <si>
    <t>0703-6337</t>
  </si>
  <si>
    <t>1477-2280</t>
  </si>
  <si>
    <t>J EUR INTEGR</t>
  </si>
  <si>
    <t>J. Eur. Integr.</t>
  </si>
  <si>
    <t>10.1080/07036337.2024.2402752</t>
  </si>
  <si>
    <t>J5P7O</t>
  </si>
  <si>
    <t>WOS:001337588900007</t>
  </si>
  <si>
    <t>Impact of discrete emotions on audience engagement with climate-change videos on Chinese TikTok (Douyin)</t>
  </si>
  <si>
    <t>SOCIAL BEHAVIOR AND PERSONALITY</t>
  </si>
  <si>
    <t>climate change; emotional expression; discrete emotions; facial emotion recognition technology; machine learning; Douyin; video presenters; audience engagement</t>
  </si>
  <si>
    <t>In this study we explored the effect of the discrete emotions of short-video presenters on audience engagement with climate-change videos on Chinese TikTok (Douyin). We performed an automated content analysis of 510 science communication videos, with a focus on the emotional expression of the presenter and interactions of emotions. Our findings revealed that the negative emotion of anger dominated climate-change videos and significantly influenced audience engagement. To our surprise, the presence of the emotion of happiness in the audio led to decreased engagement. We also uncovered the critical role of complex emotional interactions in affecting audience engagement, with combinations of positive and negative emotions being particularly influential. Furthermore, we employed facial emotion recognition and the SpeechBrain machine-learning technique for emotion detection in the videos, a methodological approach that is innovative and ensures objective and accurate analysis, as well as offering new possibilities for research.</t>
  </si>
  <si>
    <t>[Wang, Chuqi; Li, Zhiyu] Macau Univ Sci &amp; Technol, Fac Humanities &amp; Arts, Ave Wai Long, Taipa, Macau, Peoples R China</t>
  </si>
  <si>
    <t>Wang, CQ (corresponding author), Macau Univ Sci &amp; Technol, Fac Humanities &amp; Arts, Ave Wai Long, Taipa, Macau, Peoples R China.</t>
  </si>
  <si>
    <t>2220017888@student.must.edu.mo</t>
  </si>
  <si>
    <t>SOC PERSONALITY RES INC</t>
  </si>
  <si>
    <t>PALMERSTON NORTH</t>
  </si>
  <si>
    <t>P O BOX 1539, PALMERSTON NORTH 5330, NEW ZEALAND</t>
  </si>
  <si>
    <t>0301-2212</t>
  </si>
  <si>
    <t>1179-6391</t>
  </si>
  <si>
    <t>SOC BEHAV PERSONAL</t>
  </si>
  <si>
    <t>Soc. Behav. Pers.</t>
  </si>
  <si>
    <t>10.2224/sbp.13076</t>
  </si>
  <si>
    <t>NI5R9</t>
  </si>
  <si>
    <t>WOS:001199842600014</t>
  </si>
  <si>
    <t>Low, B; Ehret, C; Hagh, A</t>
  </si>
  <si>
    <t>Low, Bronwen; Ehret, Christian; Hagh, Anita</t>
  </si>
  <si>
    <t>Algorithmic imaginings and critical digital literacy on #BookTok</t>
  </si>
  <si>
    <t>Algorithm; BookTok; critical literacy; digital literacy; Gen Z; imagination; platform studies; reading; TikTok</t>
  </si>
  <si>
    <t>Despite the growing impact of algorithms on digital culture, and the importance of algorithmic awareness, little literacy research has investigated how algorithmic awareness and speculation shapes cultural production on digital platforms. Developing Bucher's concept of the algorithmic imagination for digital literacy research, we conduct a study of #BookTok, the home of book-related content on TikTok, the most algorithm-driven social media platform to date. Through a multimodal content analysis of 57 videos containing #algorithm and #BookTok, we propose and explore a typology of five categories of algorithmic imaginings: critique, defense, explanation, how to work, and exploration of the algorithm. These imaginaries move beyond rational attempts to deconstruct the algorithm and critique its role in platform capitalism toward playful explorations of the human-algorithmic relationship. This constitutes for us another dimension of critical literacy, as producers anthropomorphize technology in a manner that addresses the symbiotic meaning-making of human and machine head-on.</t>
  </si>
  <si>
    <t>[Low, Bronwen] McGill Univ, Dept Integrated Studies Educ, Fac Educ, Montreal, PQ, Canada; [Ehret, Christian] Univ North Carolina Chapel Hill, Sch Educ, Chapel Hill, NC USA; [Hagh, Anita] McGill Univ, Dept Integrated Studies Educ, Montreal, PQ, Canada; [Low, Bronwen] McGill Univ, Fac Educ, Educ Bldg,3700 McTavish, Montreal, PQ H2T 1E4, Canada</t>
  </si>
  <si>
    <t>McGill University; University of North Carolina School of Medicine; University of North Carolina; University of North Carolina Chapel Hill; McGill University; McGill University</t>
  </si>
  <si>
    <t>Low, B (corresponding author), McGill Univ, Fac Educ, Educ Bldg,3700 McTavish, Montreal, PQ H2T 1E4, Canada.</t>
  </si>
  <si>
    <t>bronwen.low@mcgill.ca</t>
  </si>
  <si>
    <t>Hagh, Anita/0009-0007-0179-3275</t>
  </si>
  <si>
    <t>2023 OCT 27</t>
  </si>
  <si>
    <t>10.1177/14614448231206466</t>
  </si>
  <si>
    <t>W4IN1</t>
  </si>
  <si>
    <t>WOS:001091278300001</t>
  </si>
  <si>
    <t>Remembering John C. Loehlin: 'Our Field Has Lost a Lion'/Twin Research Reviews: Cognitive Skills and Social Mobility, Risk of Arachnoid Hemorrhage, Heritability of Dental Traits, and Twin-to-Twin Transfusion Syndrome/Media Reports: Identical Twins With Different Health Histories, Twins Born 97 Days Apart, Retiring Twin Tennis Players, TikTok Twins and Twin Reality Stars</t>
  </si>
  <si>
    <t>John C. Loehlin, professor of psychology at the University of Texas, at Austin, passed away on August 9, 2020. John was 94 years of age. He will be remembered for his seminal contributions that have furthered the field of twin research in so many ways. An overview of his career is presented, with fond memories from his son and several colleagues. This tribute is followed by reviews of twin research on cognitive skills and social mobility, risk of subarachnoid hemorrhage, heritability of selected dental traits and twin-to-twin transfusion syndrome. Finally, twin-related topics of human interest include identical twins with different health histories, twins born 97 days apart, retiring twin tennis players, TikTok twins and twin reality stars.</t>
  </si>
  <si>
    <t>[Segal, Nancy L.] Calif State Univ Fullerton, Dept Psychol, Fullerton, CA 92634 USA</t>
  </si>
  <si>
    <t>Segal, NL (corresponding author), Calif State Univ Fullerton, Dept Psychol, Fullerton, CA 92634 USA.</t>
  </si>
  <si>
    <t>PII S1832427420000791</t>
  </si>
  <si>
    <t>10.1017/thg.2020.79</t>
  </si>
  <si>
    <t>QK9AA</t>
  </si>
  <si>
    <t>WOS:000620669600008</t>
  </si>
  <si>
    <t>Yu, HQ; Li, LZ</t>
  </si>
  <si>
    <t>Yu, Haiqing; Li, Luzhou</t>
  </si>
  <si>
    <t>Chinese digital platforms in Australia: From market and politics to governance</t>
  </si>
  <si>
    <t>WeChat; TikTok; tencent; ByteDance; Chinese platforms; platform governance</t>
  </si>
  <si>
    <t>Through the lens of platform governance, this paper examines the market, politics, and governance of made-in-China digital platforms in Australia, with a focus on WeChat and TikTok. It investigates how formal and informal arrangements are intertwined in the governance regimes and market strategies of these Chinese digital platforms when trying to navigate the turbulent waters of intensified Sino-Australia relations and a global trend towards increased government intervention in platform governance. The two made-in-China platforms represent two different models in platform governance adopted by Tencent and ByteDance: one conditioned by the Chinese 'strict liability' model and the other leaning toward the Western 'broad immunity' model. The Australian case illustrates the strife, success and politics of outbound Chinese digital platforms in a Western liberal democracy. It also highlights the dilemma, conundrum, and possible breakthrough in platform governance on a splintered and yet increasingly interconnected social media space.</t>
  </si>
  <si>
    <t>[Yu, Haiqing] RMIT Univ, Sch Media &amp; Commun, 124 Latrobe St, Melbourne, Vic, Australia; [Li, Luzhou] Monash Univ, Clayton, Vic, Australia</t>
  </si>
  <si>
    <t>Royal Melbourne Institute of Technology (RMIT); Monash University</t>
  </si>
  <si>
    <t>Yu, HQ (corresponding author), RMIT Univ, Sch Media &amp; Commun, 124 Latrobe St, Melbourne, Vic, Australia.</t>
  </si>
  <si>
    <t>haiqing.yu@rmit.edu.au</t>
  </si>
  <si>
    <t>Yu, Haiqing/0000-0001-8368-4214</t>
  </si>
  <si>
    <t>Australian Research Council [DE210100092, FT200100100]; Australian Research Council [FT200100100, DE210100092] Funding Source: Australian Research Council</t>
  </si>
  <si>
    <t>The author(s) disclosed receipt of the following financial support for the research, authorship, and/or publication of this article: This work was supported by the Australian Research Council, (grant number DE210100092, FT200100100).</t>
  </si>
  <si>
    <t>1329878X221095594</t>
  </si>
  <si>
    <t>10.1177/1329878X221095594</t>
  </si>
  <si>
    <t>4Z8EG</t>
  </si>
  <si>
    <t>WOS:000787260900001</t>
  </si>
  <si>
    <t>Collado, JR; Carratalá, FAM; Miras, S</t>
  </si>
  <si>
    <t>Collado, Jose Rovira; Carratala, Francisco Antonio Martinez; Miras, Sebastian</t>
  </si>
  <si>
    <t>Booktok: analysis of multimo dal discursive strategies for the promotion of reading in TikTok</t>
  </si>
  <si>
    <t>TEXTO LIVRE-LINGUAGEM E TECNOLOGIA</t>
  </si>
  <si>
    <t>Education; Internet; Reading; Social Networks; Interactive Video</t>
  </si>
  <si>
    <t>Booktoks are short videos that showcase content about books and literature on the TikTok platform, evolving from other online literary practices such as blogs or booktubers. These contents, with a unique mobile-adapted format, have progressively increased since 2020, becoming a phenomenon that has reached millions, especially among younger readers. The aim of this research is to identify and differentiate the multimo dal strategies that booktoks use for promoting reading. Through a content analysis of a previous sample of 500 videos,ten different booktok dynamics are identified, some of which are innovative compared to previous models. Subsequently, a multimo dal analysis of ten specific booktoks is conducted to demonstrate the new ways of discussing books through short videos. The types of interaction between video, sound, and content proposed by booktoks are described. New dynamics are identified, along with others inherited from booktubers, but it is confirmed that the mobile platform imposes a significant speed in the consumption of reading-related videos.</t>
  </si>
  <si>
    <t>[Collado, Jose Rovira; Carratala, Francisco Antonio Martinez; Miras, Sebastian] Univ Alicante, Fac Educ, Alicante, Spain</t>
  </si>
  <si>
    <t>Collado, JR (corresponding author), Univ Alicante, Fac Educ, Alicante, Spain.</t>
  </si>
  <si>
    <t>jrovira.collado@ua.es; famc@gcloud.ua.es; sebastian.miras@ua.es</t>
  </si>
  <si>
    <t>Miras, Sebastián/ADD-0130-2022</t>
  </si>
  <si>
    <t>Agradecimientos Esta investigacion esta dentro de la Red de Investigacion en Docencia Universitaria Multimodalidad y alfabetizacion transmedia en asignaturas de Didactica de la Lengua y la Literatura en Educacion Infantil (5741) , , de la Universidad de Alicante.</t>
  </si>
  <si>
    <t>UNIV FED MINAS GERAIS, FAC LETRAS</t>
  </si>
  <si>
    <t>BELO HORIZONTE MS</t>
  </si>
  <si>
    <t>AV ANTONIO CARLOS, 6627 4 ANDAR-4036, BELO HORIZONTE MS, 31270-901, BRAZIL</t>
  </si>
  <si>
    <t>1983-3652</t>
  </si>
  <si>
    <t>TEXTO LIVRE</t>
  </si>
  <si>
    <t>Texto Livre</t>
  </si>
  <si>
    <t>e51641</t>
  </si>
  <si>
    <t>10.1590/1983-3652.2024.51641</t>
  </si>
  <si>
    <t>I1Z3R</t>
  </si>
  <si>
    <t>WOS:001328303800001</t>
  </si>
  <si>
    <t>Quarles, LF; Feddema, K; Campera, M; Nekaris, KAI</t>
  </si>
  <si>
    <t>Quarles, Luke F. F.; Feddema, Kim; Campera, Marco; Nekaris, K. A. I.</t>
  </si>
  <si>
    <t>Normal redefined: Exploring decontextualization of lorises (Nycticebus &amp; Xanthonycticebus spp.) on social media platforms</t>
  </si>
  <si>
    <t>FRONTIERS IN CONSERVATION SCIENCE</t>
  </si>
  <si>
    <t>lorisidae; decontextualize; web 2; 0; social media; conservation; YouTube; TikTok; Giphy</t>
  </si>
  <si>
    <t>WILDLIFE TRADE; CONSERVATION; PRIMATES</t>
  </si>
  <si>
    <t>IntroductionDecontextualization is a concept from psychology whereby new words are learned outside of the context of the here-and-now. Decontextualized language is used for discussing abstract concepts and is crucial to the development of academic language. When it comes to images, a dearth of context can lead to a lack of clarity, such as the use of ambiguous decontextualized images in environmental communication, leading to the promotion of greenwashing. Here we refer to decontextualization as the removal of wildlife from their wild ecological context. Images and videos of globally threatened species are increasingly popular on social media. Showing such taxa alongside humans may impact public perceptions of their abundance and need for conservation and can increase illegal trade. One group of animals that are particularly popular on social media platforms are the slow and pygmy lorises (Nycticebus spp., Xanthonycticebus spp.). MethodsHere, we examined 100 videos from three popular social media platforms (YouTube, TikTok, and Giphy) to calculate how often and in which ways these videos remove slow lorises from their natural ecological and behavioural context. We also examined views and likes to determine viewer engagement trends. We used relevant content from each site to assess the presence of decontextualization using five conditions. ResultsIn all but two videos, conditions of decontextualization were present and 77% of all videos had four to five conditions of decontextualization. Using Spearman correlation, we found a significant effect of decontextualization scores on the number of views and likes for YouTube and TikTok videos. Views were significantly higher when videos presented animals in anthropogenic settings (i.e., in human-made structures or in proximity of human artefacts). Additionally, views on TikTok and YouTube were significantly higher when animals displayed signs of stress or ill health and when they were in unnatural conditions. DiscussionOur case study of lorises provides an example of the danger of decontextualizing wild animals on social media. Public preference for imagery where animals are neglected is indicative that better guidelines need to be put in place and policed by social media platforms. Additionally, conservationists need to develop strategies to promote wild imagery and further explore decontextualization if we are to understand and address the drivers of the rampant illegal wildlife trade online.</t>
  </si>
  <si>
    <t>[Quarles, Luke F. F.; Campera, Marco; Nekaris, K. A. I.] Oxford Brookes Univ, Nocturnal Primate Res Grp, Oxford, England; [Feddema, Kim] Edith Cowan Univ, Sch Business &amp; Law, Joondalup, WA, Australia</t>
  </si>
  <si>
    <t>Oxford Brookes University; Edith Cowan University</t>
  </si>
  <si>
    <t>Quarles, LF; Nekaris, KAI (corresponding author), Oxford Brookes Univ, Nocturnal Primate Res Grp, Oxford, England.</t>
  </si>
  <si>
    <t>lukequarles22@gmail.com; anekaris@brookes.ac.uk</t>
  </si>
  <si>
    <t>Feddema, Kim/AAA-2682-2021</t>
  </si>
  <si>
    <t>Quarles, Luke F./0009-0006-9093-9856</t>
  </si>
  <si>
    <t>2673-611X</t>
  </si>
  <si>
    <t>FRONT CONSERV SCI</t>
  </si>
  <si>
    <t>Front. Conserv. Sci.</t>
  </si>
  <si>
    <t>MAR 30</t>
  </si>
  <si>
    <t>10.3389/fcosc.2023.1067355</t>
  </si>
  <si>
    <t>Biodiversity Conservation; Ecology; Environmental Sciences</t>
  </si>
  <si>
    <t>I5HB2</t>
  </si>
  <si>
    <t>WOS:001003078700001</t>
  </si>
  <si>
    <t>Lin, HW</t>
  </si>
  <si>
    <t>Lin, Hong-Wen</t>
  </si>
  <si>
    <t>Applying means-end chains theory to understanding psychological cognitive structure of online video sharing platforms: A study of user behavior in TikTok</t>
  </si>
  <si>
    <t>JOURNAL OF CONSUMER BEHAVIOUR</t>
  </si>
  <si>
    <t>SOCIAL MEDIA; GENDER-DIFFERENCES; PERSONAL VALUES; FACEBOOK; AGE; PERCEPTION; CONSUMERS; ADOPTION; YOUTUBE; IMPACT</t>
  </si>
  <si>
    <t>The means-end chains theory was used in this study to explore the attributes most valued by TikTok users and to examine the resulting psychological values generated. Laddering interviews were used for content analysis and online video sharing platform attributes-user consequences-personal values psychological cognitive structures, from a perspective of the user were constructed using the structural implication matrix and hierarchical value map. A total of 34 elements were identified from the results of the study. The categorization of attribute elements was also expanded to include motivation for social media communication and interaction, which have not been previously explored. The results showed that diverse video genre, interesting video content, easy-to-use interface, visual effects application, and community sharing and recommendation are key platform attributes valued by users. The facilitating observational learning, promoting the joy of life, raising convenience, having fun with friends, relieving emotional stress, and other user consequences were generated by platform attributes. And lastly, personal values such as a sense of accomplishment, fun and enjoyment of life, warm relationships with others, and sense of belonging were gained. In addition, the study also finds that there are differences in the psychological cognitive structures between genders and that the correlations and influences among the elements have different degrees of significance. These findings can give marketers and policymakers a better understanding of the behavior of TikTok users and help them develop better strategies for marketing and promotion of the platform.</t>
  </si>
  <si>
    <t>[Lin, Hong-Wen] Chinese Culture Univ, Dept Int Trade, 55 Hwa Kang Rd, Taipei 11114, Taiwan</t>
  </si>
  <si>
    <t>Chinese Culture University</t>
  </si>
  <si>
    <t>Lin, HW (corresponding author), Chinese Culture Univ, Dept Int Trade, 55 Hwa Kang Rd, Taipei 11114, Taiwan.</t>
  </si>
  <si>
    <t>woodylin34@hotmail.com</t>
  </si>
  <si>
    <t>Lin, Hong-Wen/0000-0002-8294-4018</t>
  </si>
  <si>
    <t>This study was supported by the National Science and Technology Council in Taiwan (MOST 109-2420-H-034-036). The author also gratefully acknowledge the helpful comments and suggestions of the reviewers. [MOST 109-2420-H-034-036]; National Science and Technology Council in Taiwan</t>
  </si>
  <si>
    <t>This study was supported by the National Science and Technology Council in Taiwan (MOST 109-2420-H-034-036). The author also gratefully acknowledge the helpful comments and suggestions of the reviewers.; National Science and Technology Council in Taiwan</t>
  </si>
  <si>
    <t>This study was supported by the National Science and Technology Council in Taiwan (MOST 109-2420-H-034-036). The author also gratefully acknowledge the helpful comments and suggestions of the reviewers.</t>
  </si>
  <si>
    <t>1472-0817</t>
  </si>
  <si>
    <t>1479-1838</t>
  </si>
  <si>
    <t>J CONSUM BEHAV</t>
  </si>
  <si>
    <t>J. Consum. Behav.</t>
  </si>
  <si>
    <t>10.1002/cb.2268</t>
  </si>
  <si>
    <t>RO0R0</t>
  </si>
  <si>
    <t>WOS:001085325700001</t>
  </si>
  <si>
    <t>Alampi, ME</t>
  </si>
  <si>
    <t>Alampi, Maria Elena</t>
  </si>
  <si>
    <t>'I'd Like to See an Italian Film or TV Series in Which a Girl Moves Abroad': Italian Girlhood and Nomadic Experiences</t>
  </si>
  <si>
    <t>ITALIAN STUDIES</t>
  </si>
  <si>
    <t>Youth; girlhood; students; TikTok; Netflix; study abroad</t>
  </si>
  <si>
    <t>This article explores the portrayal of contemporary Italian girlhood in the context of Italian media studies. It critically examines the emergence of a new media depiction of Italian high-school girls in the role of exchange students abroad. Given the widespread prevalence of this trend, which has received limited academic attention, the representations of these young travellers are examined across different media, offering insights into their dynamic agency as cultural intermediaries within Italian society. The inquiry draws from data from the AHRC research project A Girls' Eye View. It analyses excerpts from project interviews and social media in order to shed light on the emergence of nomadic Italian girlhood as portrayed in TV series and on the TikTok platform. By exploring Italian girls' nomadic aspirations, the study provides valuable insights into the dynamic relationship between travel, education, and the impact of social media on their lives.</t>
  </si>
  <si>
    <t>[Alampi, Maria Elena] Univ Exeter, Exeter, England</t>
  </si>
  <si>
    <t>Alampi, ME (corresponding author), Univ Exeter, Exeter, England.</t>
  </si>
  <si>
    <t>mariaelena.alampi@gmail.com</t>
  </si>
  <si>
    <t>Alampi, Maria Elena/GPG-1704-2022</t>
  </si>
  <si>
    <t>Alampi, Maria Elena/0000-0002-3175-9541</t>
  </si>
  <si>
    <t>AHRC</t>
  </si>
  <si>
    <t>AHRC(UK Research &amp; Innovation (UKRI)Arts &amp; Humanities Research Council (AHRC))</t>
  </si>
  <si>
    <t>This article has been produced from data extracted from the AHRC-funded project: A Girls' Eye-View: Girlhood on the Italian Screen Since the 1950s</t>
  </si>
  <si>
    <t>0075-1634</t>
  </si>
  <si>
    <t>1748-6181</t>
  </si>
  <si>
    <t>ITAL STUD</t>
  </si>
  <si>
    <t>Ital. Stud.</t>
  </si>
  <si>
    <t>10.1080/00751634.2024.2322314</t>
  </si>
  <si>
    <t>Humanities, Multidisciplinary; Literature, Romance</t>
  </si>
  <si>
    <t>Arts &amp; Humanities - Other Topics; Literature</t>
  </si>
  <si>
    <t>PU9Q4</t>
  </si>
  <si>
    <t>WOS:001194347600001</t>
  </si>
  <si>
    <t>Khonach, T; Kurz, A</t>
  </si>
  <si>
    <t>Khonach, Torisha; Kurz, Anna</t>
  </si>
  <si>
    <t>Challenges of #bodypositivity: social media and hashtag activism</t>
  </si>
  <si>
    <t>Body positivity; social media; hashtag activism; fat activism; Content Analysis</t>
  </si>
  <si>
    <t>FAT; TIKTOK</t>
  </si>
  <si>
    <t>Fat liberation movements seeking to dismantle systematic discrimination against fat bodies have been active in the U.S for over 50 years. Body positivity specifically has gained immense traction in the last decade. Recently, body positivity has been used more widely to, supposedly, individually challenge general ideologies that value thinness and fitness. Utilizing 200 posts from Instagram and 200 videos from TikTok, we examine the ways that social media frames body positivity and is an important vector for sending messages regarding ideal bodies. We find that body positivity discourse on social media is fragmented. While messages of self-love abound, those who are afforded self-love are those who still maintain somewhat hegemonic body standards. Additionally, we find that body positivity is also often linked to bodily changes rooted in weight loss and healthism, appropriating the original meaning of #bodypositivity particularly through the use of hashtags to influence social media algorithms.</t>
  </si>
  <si>
    <t>[Khonach, Torisha; Kurz, Anna] Univ Nevada, Dept Sociol, 4505 Maryland Pkwy, Las Vegas, NV 89154 USA</t>
  </si>
  <si>
    <t>Khonach, T (corresponding author), Univ Nevada, Dept Sociol, 4505 Maryland Pkwy, Las Vegas, NV 89154 USA.</t>
  </si>
  <si>
    <t>t.khonach@gmail.com</t>
  </si>
  <si>
    <t>Khonach, Torisha/0000-0002-7230-3794</t>
  </si>
  <si>
    <t>Sociologists for Women in Society Beth B. Hess Memorial Scholarship; University of Nevada, Las Vegas Graduate College; University of Nevada, Las Vegas Graduate; Professional Student Association</t>
  </si>
  <si>
    <t>This work was supported by the Sociologists for Women in Society Beth B. Hess Memorial Scholarship; University of Nevada, Las Vegas Graduate College; University of Nevada, Las Vegas Graduate and Professional Student Association</t>
  </si>
  <si>
    <t>10.1080/21604851.2024.2328405</t>
  </si>
  <si>
    <t>XD3L1</t>
  </si>
  <si>
    <t>WOS:001195027000001</t>
  </si>
  <si>
    <t>Zhang, WY; Zhang, W; Daim, TU</t>
  </si>
  <si>
    <t>Zhang, Wenyao; Zhang, Wei; Daim, Tugrul U.</t>
  </si>
  <si>
    <t>Investigating consumer purchase intention in online social media marketing: A case study of Tiktok</t>
  </si>
  <si>
    <t>TECHNOLOGY IN SOCIETY</t>
  </si>
  <si>
    <t>Online social media; Online social media marketing; Pleasure-arousal-dominance model; Flow experience; Purchase intention</t>
  </si>
  <si>
    <t>FLOW EXPERIENCE; PERCEIVED VALUE; SHOPPING VALUE; E-COMMERCE; UTILITARIAN; MODEL; EMOTIONS; BEHAVIOR; ENGAGEMENT; INTERNET</t>
  </si>
  <si>
    <t>Online social media marketing has become a mainstream marketing approach, with huge and rising sales volume. Drawing on the pleasure-arousal-dominance model and flow theory, this study empirically investigates the relationships among perceived value, flow experience, emotional pleasure, and purchase intention by using a questionnaire survey of 257 consumers of Tiktok subordinating to online social media marketing in China. The results indicate that hedonic value and utilitarian value are positively associated with consumer purchase intention, respectively. Emotional pleasure mediates the relationship between perceived value and purchase intention, while flow experience positively moderates the relationships between hedonic value and emotional pleasure and between emotional pleasure and purchase intention. This study extends the online social media marketing literature related to consumer purchase intention. The results provide implications for future research and for operators and marketers.</t>
  </si>
  <si>
    <t>[Zhang, Wenyao] Qilu Univ Technol, Shandong Acad Sci, Sch Econ &amp; Management, Off Bldg,58 Sangyuan Rd, Jinan 250353, Peoples R China; [Zhang, Wei] Sichuan Univ, Sch Publ Adm, 24 Nanyiduan,Yihuan Rd, Chengdu 650016, Sichuan, Peoples R China; [Daim, Tugrul U.] Portland State Univ, USA Dept Engn &amp; Technol Management, ETM, POB 751, Portland, OR 97207 USA; [Daim, Tugrul U.] Chaoyang Univ Technol, Taichung, Taiwan</t>
  </si>
  <si>
    <t>Qilu University of Technology; Sichuan University; Portland State University; Chaoyang University of Technology</t>
  </si>
  <si>
    <t>Zhang, W (corresponding author), Sichuan Univ, Sch Publ Adm, 24 Nanyiduan,Yihuan Rd, Chengdu 650016, Sichuan, Peoples R China.;Daim, TU (corresponding author), Portland State Univ, USA Dept Engn &amp; Technol Management, ETM, POB 751, Portland, OR 97207 USA.</t>
  </si>
  <si>
    <t>20171482@qq.com; hbue_wb@163.com; ji2td@pdx.edu</t>
  </si>
  <si>
    <t>Daim, Tugrul/JFJ-5740-2023; Zhang, Wei/AAA-6273-2022</t>
  </si>
  <si>
    <t>Daim, Tugrul/0000-0003-1432-8958</t>
  </si>
  <si>
    <t>National Natural Science Foundation of China [72104115]; Late Funded Project of National Social Science Foundation of China [20YJC630218]; Humanities and Social Sciences Research Project of the Ministry of Education of China [202008370107]; China Scholarship Council (CSC) [22FGLB026]</t>
  </si>
  <si>
    <t>National Natural Science Foundation of China(National Natural Science Foundation of China (NSFC)); Late Funded Project of National Social Science Foundation of China(National Office of Philosophy and Social Sciences); Humanities and Social Sciences Research Project of the Ministry of Education of China; China Scholarship Council (CSC)(China Scholarship Council)</t>
  </si>
  <si>
    <t>This work was supported by the National Natural Science Foundation of China (Grant #72104115), the Late Funded Project of National Social Science Foundation of China (22FGLB026), Humanities and Social Sciences Research Project of the Ministry of Education of China (#20YJC630218), Project Supported by China Scholarship Council (CSC No.202008370107).</t>
  </si>
  <si>
    <t>0160-791X</t>
  </si>
  <si>
    <t>1879-3274</t>
  </si>
  <si>
    <t>TECHNOL SOC</t>
  </si>
  <si>
    <t>Technol. Soc.</t>
  </si>
  <si>
    <t>10.1016/j.techsoc.2023.102289</t>
  </si>
  <si>
    <t>Social Issues; Social Sciences, Interdisciplinary</t>
  </si>
  <si>
    <t>Social Issues; Social Sciences - Other Topics</t>
  </si>
  <si>
    <t>N8MH4</t>
  </si>
  <si>
    <t>WOS:001039485800001</t>
  </si>
  <si>
    <t>Richter, JD</t>
  </si>
  <si>
    <t>Richter, Jacob D.</t>
  </si>
  <si>
    <t>From Spectators to Participants: Rhetorical Approaches to Digital Nonviolent Resistance in Social Media Video</t>
  </si>
  <si>
    <t>Activism; advocacy rhetorics; civil disobedience; nonviolent resistance; rhetoric and social movements; short-form video; TikTok</t>
  </si>
  <si>
    <t>CIVIL-DISOBEDIENCE</t>
  </si>
  <si>
    <t>This article contributes a rhetorical approach to nonviolent resistance that is enacted in short-form social media video environments. By examining how three viral videos on the platform TikTok reimagine the nonviolent resistance tactics of sabotage, disruption, and civil disobedience, this article considers the similarities, differences, aptitudes, and constraints of digital nonviolent resistance in social media video compared to fully offline counterparts. Consideration of three short-form social media videos that involve sabotaging an antiabortion group's web portal, disrupting a Donald Trump campaign rally, and enacting civil disobedience by dancing without a headscarf in Iran showcase digital nonviolent resistance in social media video to more rapidly coordinate ad-hoc social networks, be more intensely calibrated for mediation, be more global and lighthearted, and be comparatively limited in scale, scope, efficacy, and risk to participants while still rhetorically generating meaningful consequences.</t>
  </si>
  <si>
    <t>[Richter, Jacob D.] George Washington Univ, 2100 Foxhall Rd NW, Washington, DC 20007 USA</t>
  </si>
  <si>
    <t>George Washington University</t>
  </si>
  <si>
    <t>Richter, JD (corresponding author), George Washington Univ, 2100 Foxhall Rd NW, Washington, DC 20007 USA.</t>
  </si>
  <si>
    <t>jacob.richter@gwu.edu</t>
  </si>
  <si>
    <t>2024 NOV 14</t>
  </si>
  <si>
    <t>10.1080/02773945.2024.2403356</t>
  </si>
  <si>
    <t>L8N4Y</t>
  </si>
  <si>
    <t>WOS:001353233800001</t>
  </si>
  <si>
    <t>Ramati, I</t>
  </si>
  <si>
    <t>Ramati, Ido</t>
  </si>
  <si>
    <t>Algorithmic Ventriloquism: The Contested State of Voice in AI Speech Generators</t>
  </si>
  <si>
    <t>text-to-speech; speech generators; human-machine relation; media ventriloquism; TikTok</t>
  </si>
  <si>
    <t>This article explores the vocal human-machine relations embedded in text-to-speech (TTS) generators. Retracing the human sources behind the synthetic speech and tracking the remediation of the voice by the machine-learning algorithm, it argues that artificial intelligence (AI) speaking agents such as Siri and Alexa, as well as other TTS acts such as TikTok's, are performing algorithmic ventriloquism. Speaking mechanically with the voices of professional voiceover artists, AI speech technologies algorithmically manipulate these voices, thus generating personas that hold an interconnected chain of tensions between the embodied and the virtual, the particular and the general, the human and the non-human, as well as between speech and writing. Algorithmic ventriloquism serves as an analytical framework to tie the techno-vocalic operation of the TTS system with its cultural, economic, philosophical, and sociolinguistic predicaments. The last section discusses the implications of algorithmic ventriloquism beyond the realm of the voice.</t>
  </si>
  <si>
    <t>[Ramati, Ido] Hebrew Univ Jerusalem, Jerusalem, Israel; [Ramati, Ido] Hebrew Univ Jerusalem, Dept Commun &amp; Journalism, Program Cultural Studies, Jerusalem, Israel</t>
  </si>
  <si>
    <t>Hebrew University of Jerusalem; Hebrew University of Jerusalem</t>
  </si>
  <si>
    <t>Ramati, I (corresponding author), Hebrew Univ Jerusalem, Dept Commun &amp; Journalism, Program Cultural Studies, Jerusalem, Israel.</t>
  </si>
  <si>
    <t>ido.ramati@mail.huji.ac.il</t>
  </si>
  <si>
    <t>10.1177/20563051231224401</t>
  </si>
  <si>
    <t>ER6K0</t>
  </si>
  <si>
    <t>WOS:001140687400001</t>
  </si>
  <si>
    <t>Segarra-Saavedra, J; Torres-Huamanyauri, YE</t>
  </si>
  <si>
    <t>Segarra-Saavedra, Jesus; Torres-Huamanyauri, Yuri-Edith</t>
  </si>
  <si>
    <t>Promoting books and encouraging reading through book influencers on TikTok</t>
  </si>
  <si>
    <t>OCNOS-JOURNAL OF READING RESEARCH</t>
  </si>
  <si>
    <t>Book reviews; reading promotion; book influencers; social networks; web 2.0 technologies; Spain</t>
  </si>
  <si>
    <t>The emergence of the new BookTok reading community has led to the appearance of the figure of the book influencer who disseminates, through their own channels and content, their literary preferences to young users interested in reading. This study analyses the communicative strategy of book influencers on TikTok. Content analysis is used to study the profiles of the main 30 Spanish book influencers and their 1,471 videos posted between 24th th February and 24th th April 2022 -coinciding with the International Book Day campaign- and in-depth interviews with 7 booktokers to find out their point of view in relation to their contributions to the promotion of reading and the increase in book consumption in Spain. The study concluded that book influencers collaborate with publishers due to the wide reach of their content. Furthermore, they believe that the communicative and promotional actions booktokers carry out contribute to the increase in sales and the promotion of reading.</t>
  </si>
  <si>
    <t>[Segarra-Saavedra, Jesus; Torres-Huamanyauri, Yuri-Edith] Univ Alicante, Alicante, Spain</t>
  </si>
  <si>
    <t>Segarra-Saavedra, J (corresponding author), Univ Alicante, Alicante, Spain.</t>
  </si>
  <si>
    <t>jesus.segarra@ua.es; yurieditht@gmail.com</t>
  </si>
  <si>
    <t>University of Alicante</t>
  </si>
  <si>
    <t>The research from which this article derives did not receive funding. It is framed within the research line Comunicacion y diffusion cientifica (Communication and scientific dissemination) of the research group Comunicacion y publicos especificos (Compubes) (Communication and specific audiences) of the University of Alicante.</t>
  </si>
  <si>
    <t>UNIV CASTILLA-LA MANCHA, CENTRO ESTUDIOS PROMOCION LITERATURA INFANTIL</t>
  </si>
  <si>
    <t>AVE ALFARES, 42, CUENCA, 16071, SPAIN</t>
  </si>
  <si>
    <t>1885-446X</t>
  </si>
  <si>
    <t>2254-9099</t>
  </si>
  <si>
    <t>OCNOS</t>
  </si>
  <si>
    <t>Ocnos</t>
  </si>
  <si>
    <t>10.18239/ocnos_2024.23.2.479</t>
  </si>
  <si>
    <t>A6O6Z</t>
  </si>
  <si>
    <t>WOS:001283714500008</t>
  </si>
  <si>
    <t>Ilbury, C</t>
  </si>
  <si>
    <t>Ilbury, Christian</t>
  </si>
  <si>
    <t>The recontextualisation of Multicultural London English: Stylising the 'roadman'</t>
  </si>
  <si>
    <t>LANGUAGE IN SOCIETY</t>
  </si>
  <si>
    <t>LANGUAGE; BLACKNESS; CONTACT; YOUTH</t>
  </si>
  <si>
    <t>Though research on the multiethnolect spoken in London-Multicultural London English (MLE)-has described the social distribution of the variety, the stylistic potentials of MLE remain poorly understood. This article explores the enregisterment and subsequent recontextualisation' (Bauman &amp; Briggs 1990) of MLE by analysing the linguistic and aesthetic components of a stylistic identity-the roadman'. Specifically, I explore a corpus of TikTok videos to analyse the ways in which linguistic features characteristic of MLE (e.g. pronominal man, discourse-pragmatic styll, fronted /uI/) are co-opted and stylised in parodic performances of the roadman. I demonstrate that these linguistic features co-occur with tropes of personhood (e.g. participation in grime music, overt heterosexuality, a streetwear aesthetic) that are ideologically associated with a particular type of gendered, classed, and racialized identity. Concluding, I reflect on the status of the roadman persona with reference to contemporary patterns of language variation in the UK. (Multicultural London English, personae, digital culture, TikTok, stylisation, performance)*</t>
  </si>
  <si>
    <t>[Ilbury, Christian] Univ Edinburgh, Dept Linguist &amp; English Language, 3 Charles St, Edinburgh EH8 9AD, Scotland</t>
  </si>
  <si>
    <t>University of Edinburgh</t>
  </si>
  <si>
    <t>Ilbury, C (corresponding author), Univ Edinburgh, Dept Linguist &amp; English Language, 3 Charles St, Edinburgh EH8 9AD, Scotland.</t>
  </si>
  <si>
    <t>cilbury@ed.ac.uk</t>
  </si>
  <si>
    <t>Ilbury, Christian/0000-0001-9289-271X</t>
  </si>
  <si>
    <t>0047-4045</t>
  </si>
  <si>
    <t>1469-8013</t>
  </si>
  <si>
    <t>LANG SOC</t>
  </si>
  <si>
    <t>Lang. Soc.</t>
  </si>
  <si>
    <t>10.1017/S0047404523000143</t>
  </si>
  <si>
    <t>Linguistics; Sociology</t>
  </si>
  <si>
    <t>L2F4A</t>
  </si>
  <si>
    <t>WOS:000969100000001</t>
  </si>
  <si>
    <t>Duguay, S; Gold-Apel, H</t>
  </si>
  <si>
    <t>Duguay, Stefanie; Gold-Apel, Hannah</t>
  </si>
  <si>
    <t>Stumbling Blocks and Alternative Paths: Reconsidering the Walkthrough Method for Analyzing Apps</t>
  </si>
  <si>
    <t>walkthrough; digital methods; social media; TikTok; app studies; algorithms</t>
  </si>
  <si>
    <t>SCROLLING BACK</t>
  </si>
  <si>
    <t>The walkthrough method was developed as a way to trace an app or platform's technological mechanisms and cultural references to understand how it guides users. This article explores the method's enduring strengths and emergent weaknesses regarding technological advances and developments in app studies. It engages with adjacent methods for understanding apps' intensifying structural and economic complexity, datafication, algorithmic logic, and personalization as well as approaches fostering a feminist ethics of care toward users. Considering these perspectives, the article discusses challenges encountered in teaching the method and applying it to algorithmically driven apps. With TikTok as a central example, examining the walkthrough process demonstrates the method's incongruence for investigating several aspects of the app, especially its automated personalization. These challenges highlight the need to combine, supplement, or exchange the method with other approaches as part of an expanding and flexible toolkit of methods in app studies.</t>
  </si>
  <si>
    <t>[Duguay, Stefanie; Gold-Apel, Hannah] Concordia Univ, Montreal, PQ, Canada; [Duguay, Stefanie] Concordia Univ, Dept Commun Studies, 7141 Sherbrooke St West, Montreal, PQ H4B 1R6, Canada</t>
  </si>
  <si>
    <t>10.1177/20563051231158822</t>
  </si>
  <si>
    <t>9S5UG</t>
  </si>
  <si>
    <t>WOS:000946404000001</t>
  </si>
  <si>
    <t>Pereira, BB; Ha, S</t>
  </si>
  <si>
    <t>Pereira, Brenda Braga; Ha, Sangwoo</t>
  </si>
  <si>
    <t>ENVIRONMENTAL ISSUES ON TIKTOK: TOPICS AND CLAIMS OF MISLEADING INFORMATION</t>
  </si>
  <si>
    <t>JOURNAL OF BALTIC SCIENCE EDUCATION</t>
  </si>
  <si>
    <t>TikTokvideos; misleading information; environmental issues; content analysis; science education</t>
  </si>
  <si>
    <t>CLIMATE-CHANGE; FAKE NEWS; MISINFORMATION; KNOWLEDGE; EDUCATION; TOXICITY; BEHAVIOR; POVERTY; RISKS</t>
  </si>
  <si>
    <t>In light of the increasing frequency of misleading information in social media regarding environmental issues, this study aimed to identify misleading information spread through TikTok videos and to discuss why such content is considered misleading, drawing on relevant literature. Hashtags with large numbers of views, such as #climatechange, #sustainability, #pollution, #biodiversity, #environmentalprotection, #environmentalissues, #energysource, and #environmentalproblems, were used for data collection through web scrapper called Apify (https://apify.com/). A total of 29 misleading videos were found. Content analysis was applied to identify and classify the topics and misleading claims. The topics of misleading videos, according to the most frequent mentions, were energy sources, followed by climate change, pollution, biodiversity, and environmental degradation. Among the misleading claims, videos related to pyramids as nonpollutant power plants and conspiracy related to pollution exhibited the highest frequency. The results show various misleading claims in videos related to in addressing misleading information. environmental issues was reinforced.</t>
  </si>
  <si>
    <t>[Pereira, Brenda Braga] Kyungpook Natl Univ, Dept Phys Educ, 80 Daehakro Bukgu, Daegu 41566, South Korea; [Ha, Sangwoo] Kyungpook Natl Univ, Sci Educ Res Inst, Dept Phys Educ, 80 Daehakro, Daegu 41566, South Korea</t>
  </si>
  <si>
    <t>Kyungpook National University (KNU); Kyungpook National University (KNU)</t>
  </si>
  <si>
    <t>Ha, S (corresponding author), Kyungpook Natl Univ, Sci Educ Res Inst, Dept Phys Educ, 80 Daehakro, Daegu 41566, South Korea.</t>
  </si>
  <si>
    <t>brendabragapereira@gmail.com; hswgcb@knu.ac.kr</t>
  </si>
  <si>
    <t>Ha, Sangwoo/0000-0001-7263-9821</t>
  </si>
  <si>
    <t>SCI METHODICAL CTR-SCI EDUCOLOGICA</t>
  </si>
  <si>
    <t>SIAULIAI</t>
  </si>
  <si>
    <t>DONELAICIO ST 29, SIAULIAI, LT-78115, LITHUANIA</t>
  </si>
  <si>
    <t>1648-3898</t>
  </si>
  <si>
    <t>J BALT SCI EDUC</t>
  </si>
  <si>
    <t>J. Balt. Sci. Educ.</t>
  </si>
  <si>
    <t>10.33225/jbse/24.23.131</t>
  </si>
  <si>
    <t>KZ0O1</t>
  </si>
  <si>
    <t>WOS:001183674900001</t>
  </si>
  <si>
    <t>Díaz-Lucena, A; Hidalgo-Cobo, P</t>
  </si>
  <si>
    <t>Diaz-Lucena, Antonio; Hidalgo-Cobo, Pablo</t>
  </si>
  <si>
    <t>Verification Agencies on TikTok: The Case of MediaWise and Politifact</t>
  </si>
  <si>
    <t>TikTok; fact-checking agencies; disinformation; MediaWise; Politifact; social networks</t>
  </si>
  <si>
    <t>FACT-CHECKING</t>
  </si>
  <si>
    <t>This research aims to analyse the work of two international information verification agencies on TikTok-MediaWise and Politifact-according to their evolution, approach, content, and format. To this end, a quantitative approach has been used with an inductive content analysis with nominal variables, which offers specific nuances adapted to the unit of analysis. In a first phase, an empirical analysis was carried out, focusing on the measurement and quantification of the number of publications and interactions of the audience, from the time Fthey started operating on this platform until 31 December 2023. The total number of posts extracted was N &gt; 704, which generated N &gt; 4,166,387 user responses. In a second phase, an in-depth content analysis of all the posts published by these two agencies in four months (October and November 2021 and October and November 2023) was carried out, allowing us to analyse their evolution, but also to compare the two agencies in terms of approach, themes, and style. The most important findings show that both agencies adapt the style and narratives to this social network through the use of dynamic resources, a casual and informal tone, and elements of humour. In addition, both contribute to public reason through different strategies: MediaWise focuses on media literacy and Politifact on verification, using resources, effects and content in line with that purpose. Finally, we observe a downward evolution in terms of reach and impact on the audience, as well as a lower dynamism in 2023 than in 2021, which opens the door to future lines of explanatory research that delve deeper into possible causes.</t>
  </si>
  <si>
    <t>[Diaz-Lucena, Antonio; Hidalgo-Cobo, Pablo] Univ Rey Juan Carlos, Commun &amp; Publ Relat &amp; Publ Dept, Madrid 28933, Spain</t>
  </si>
  <si>
    <t>Díaz-Lucena, A (corresponding author), Univ Rey Juan Carlos, Commun &amp; Publ Relat &amp; Publ Dept, Madrid 28933, Spain.</t>
  </si>
  <si>
    <t>antonio.diaz@urjc.es; pablo.hidalgo@urjc.es</t>
  </si>
  <si>
    <t>Diaz-Lucena, Antonio/GLU-6595-2022</t>
  </si>
  <si>
    <t>Diaz-Lucena, Antonio/0000-0002-4234-0850</t>
  </si>
  <si>
    <t>10.3390/soc14050059</t>
  </si>
  <si>
    <t>RZ9M2</t>
  </si>
  <si>
    <t>WOS:001231596400001</t>
  </si>
  <si>
    <t>Jaime, C; Samuel, L; Fera, J; Basch, CH</t>
  </si>
  <si>
    <t>Jaime, Christie; Samuel, Lalitha; Fera, Joseph; Basch, Corey H.</t>
  </si>
  <si>
    <t>Discussing health while seeking community: A descriptive study of celiac disease on TikTok</t>
  </si>
  <si>
    <t>NUTRITION AND HEALTH</t>
  </si>
  <si>
    <t>TikTok; celiac disease; social media; short video apps</t>
  </si>
  <si>
    <t>Background: For individuals suffering from chronic disease, more than being an information source for health information, social media serves as a dynamic forum for shared goals, emotional and practical support through the sharing of lived experiences. Aim: This study envisaged a content analysis of the 100 most widely-viewed English language videos related to celiac disease posted on TikTok. Methods: TikTok was searched using the hashtag #celiacdisease. This search term was chosen as it represented the broadest summation of the desired topic with the most views (80 million) of any related hashtag. The first 100 English language videos were selected. The video content was analyzed against predetermined descriptive categories, deductively derived content related to facts about celiac disease from a reliable source, and inductive content categories derived during the coding process. Results: The 100 videos included in this study received a total of 44,056,600 likes. The average number of likes across all videos was 440,566 with a standard deviation of 656,642.06. Two of the three categories were present in a majority (&gt;50) of the videos. They were practical information on diet therapy management (n=63) and challenges in managing celiac disease (n=73). In both instances, videos featuring this content also garnered a majority of the likes, 74.18% and 82.9% respectively. Independent one-tailed t-tests (alpha=.05) returned significant results for the diagnosis-related information (p=.0390) and practical information in diet therapy management (p=.0358) categories. On average, videos that included diagnosis-related information received more likes than those that did not: 672,983.33 vs. 340,958.57. Similarly, the average number of likes was significantly higher for videos that included practical information on diet therapy management (518,715.87) vs. those that did not (307,500). Conclusions: This study further confirms the growing trend of people using social media to discuss health issues in a way that is free and easily accessible among communities with shared experiences. The long-term effects of using personal narratives as credible sources of behavioral change for health, medical, or professional resources can be further investigated.</t>
  </si>
  <si>
    <t>[Jaime, Christie; Basch, Corey H.] William Paterson Univ, Dept Publ Hlth, Wayne, NJ USA; [Samuel, Lalitha] Lehman Coll CUNY, Dept Hlth Promot &amp; Nutr Sci, Bronx, NY USA; [Fera, Joseph] Lehman Coll CUNY, Dept Math, Bronx, NY USA</t>
  </si>
  <si>
    <t>City University of New York (CUNY) System; Lehman College (CUNY); City University of New York (CUNY) System; Lehman College (CUNY)</t>
  </si>
  <si>
    <t>Jaime, C (corresponding author), William Paterson Univ, Dept Publ Hlth, Univ Hall, Wayne, NJ 07470 USA.</t>
  </si>
  <si>
    <t>jaimec2@wpunj.edu</t>
  </si>
  <si>
    <t>Jaime, Christie/0000-0003-3613-5284; Samuel, Lalitha/0000-0001-7480-3701</t>
  </si>
  <si>
    <t>0260-1060</t>
  </si>
  <si>
    <t>2047-945X</t>
  </si>
  <si>
    <t>NUTR HEALTH-UK</t>
  </si>
  <si>
    <t>NUTR. HEALTH</t>
  </si>
  <si>
    <t>10.1177/02601060221127505</t>
  </si>
  <si>
    <t>CL8C5</t>
  </si>
  <si>
    <t>WOS:001125487900007</t>
  </si>
  <si>
    <t>Papakyriakopoulos, O; Tessono, C; Narayanan, A; Kshirsagar, M</t>
  </si>
  <si>
    <t>Papakyriakopoulos, Orestis; Tessono, Christelle; Narayanan, Arvind; Kshirsagar, Mihir</t>
  </si>
  <si>
    <t>How Algorithms Shape the Distribution of Political Advertising: Case Studies of Facebook, Google, and TikTok</t>
  </si>
  <si>
    <t>PROCEEDINGS OF THE 2022 AAAI/ACM CONFERENCE ON AI, ETHICS, AND SOCIETY, AIES 2022</t>
  </si>
  <si>
    <t>AAAI/ACM Conference on AI, Ethics, and Society (AIES)</t>
  </si>
  <si>
    <t>AUG 01-03, 2022</t>
  </si>
  <si>
    <t>Oxford, ENGLAND</t>
  </si>
  <si>
    <t>Assoc Comp Machinery,AAAI,ACM SIGAI</t>
  </si>
  <si>
    <t>interpretability; political speech; algorithmic auditing; accountability; political advertising; algorithmic targeting; regulation</t>
  </si>
  <si>
    <t>Online platforms play an increasingly important role in shaping democracy by influencing the distribution of political information to the electorate. In recent years, political campaigns have spent heavily on the platforms' algorithmic tools to target voters with online advertising. While the public interest in understanding how platforms perform the task of shaping the political discourse has never been higher, the efforts of the major platforms to make the necessary disclosures to understand their practices falls woefully short. In this study, we collect and analyze a dataset containing over 800,000 ads and 2.5 million videos about the 2020 U.S. presidential election from Facebook, Google, and TikTok. We conduct the first large scale data analysis of public data to critically evaluate how these platforms amplified or moderated the distribution of political advertisements.1 We conclude with recommendations for how to improve the disclosures so that the public can hold the platforms and political advertisers accountable.</t>
  </si>
  <si>
    <t>[Papakyriakopoulos, Orestis; Tessono, Christelle; Narayanan, Arvind; Kshirsagar, Mihir] Princeton Univ, Ctr Informat Technol Policy, Princeton, NJ 08544 USA</t>
  </si>
  <si>
    <t>Papakyriakopoulos, O (corresponding author), Princeton Univ, Ctr Informat Technol Policy, Princeton, NJ 08544 USA.</t>
  </si>
  <si>
    <t>orestis@princeton.edu; ct8474@princeton.edu; arvindn@cs.princeton.edu; mihir@princeton.edu</t>
  </si>
  <si>
    <t>Princeton Data Driven Social Science Initiative Grant</t>
  </si>
  <si>
    <t>This study was supported by a Princeton Data Driven Social Science Initiative Grant. We thank Laura Edelson, Andy Guess, and Matt Salganik for constructive feedback on the final manuscript. We are also grateful for the early feedback from the research seminar run by Princeton's Center for the Study of Democratic Politics and later feedback from the MPSA'22 panel on political marketing. We would also like to thank Eli Lucherini for support in data analysis, Ashley Gorham for conceptual contributions in the early stages of the project, Juan Carlos Medina for a part of the data collection, and Milica Maricic for support in classifying political ads and creating the website of the project.</t>
  </si>
  <si>
    <t>978-1-4503-9247-1</t>
  </si>
  <si>
    <t>10.1145/3514094.3534166</t>
  </si>
  <si>
    <t>Computer Science, Artificial Intelligence; Ethics; History &amp; Philosophy Of Science</t>
  </si>
  <si>
    <t>Computer Science; Social Sciences - Other Topics; History &amp; Philosophy of Science</t>
  </si>
  <si>
    <t>BW2KZ</t>
  </si>
  <si>
    <t>WOS:001118017500054</t>
  </si>
  <si>
    <t>Huang, SC; Silalahi, ADK; Eunike, IJ</t>
  </si>
  <si>
    <t>Huang, Shu-Chin; Silalahi, Andri Dayarana K.; Eunike, Ixora Javanisa</t>
  </si>
  <si>
    <t>Exploration of Moderated, Mediated, and Configurational Outcomes of Tourism-Related Content (TRC) on TikTok in Predicting Enjoyment and Behavioral Intentions</t>
  </si>
  <si>
    <t>WORD-OF-MOUTH; TECHNOLOGY ACCEPTANCE MODEL; SOCIAL MEDIA; PERCEIVED ENJOYMENT; CONTINUANCE INTENTION; USER ACCEPTANCE; VIRTUAL-REALITY; QUALITY; DESTINATION; IMPACT</t>
  </si>
  <si>
    <t>The significance of social media content in consumers' decision-making journeys has acquired substantial attention among scholars and business practitioners in recent times. However, the exploration of how marketing strategies should design social media content to influence behavioral intentions remains fairly inadequate, particularly within the tourism industry. This study is aimed at developing a model that includes the moderating, mediating, and configuration effects of tourism-related content (TRC) dimensions on TikTok to predict enjoyment and behavioral intention. This study employs a hybrid approach of structural equation modeling (SEM) and fuzzy set qualitative comparative analysis (fsQCA) to test hypotheses and propositions using a sample of 319 participants who have experience watching TRC on TikTok and have the intention to visit the destinations presented in the content. The results from SEM confirm that content reliability and understandability significantly influence perceived enjoyment. Furthermore, visit intention is predicted to increase through the contributions of content understandability and perceived enjoyment. Insights from the mediating effect reveal that perceived enjoyment serves as a fully mediating factor between content understandability and visit intention. Moreover, the moderating effects of gender and frequency of use exhibit significant differences in their impacts on perceived enjoyment and visit intention. The outcomes of fsQCA confirm that various configurations of TRC dimensions and enjoyment provide valuable insights for designing content-marketing strategies. The consideration of different combinations of these constructs can impact behavioral intentions. This research makes significant contributions to both theory and marketing practice, as the comprehensive discussion of the combinations of configurations provides amplified insights into this study's findings.</t>
  </si>
  <si>
    <t>[Huang, Shu-Chin; Silalahi, Andri Dayarana K.] Chaoyang Univ Technol, Coll Management, Dept Business Adm, Taichung, Taiwan; [Silalahi, Andri Dayarana K.] Univ HKBP Nommensen, Fac Econ &amp; Business, Management Program, Medan, Indonesia; [Eunike, Ixora Javanisa] Univ HKBP Nommensen, Grad Sch, Management Program, Medan, Indonesia</t>
  </si>
  <si>
    <t>Chaoyang University of Technology</t>
  </si>
  <si>
    <t>Silalahi, ADK (corresponding author), Chaoyang Univ Technol, Coll Management, Dept Business Adm, Taichung, Taiwan.;Silalahi, ADK (corresponding author), Univ HKBP Nommensen, Fac Econ &amp; Business, Management Program, Medan, Indonesia.</t>
  </si>
  <si>
    <t>schuang@gm.cyut.edu.tw; andridksilalahi@gmail.com; ixorajavanisaeunike@gmail.com</t>
  </si>
  <si>
    <t>Silalahi, Ph.D., Andri/IAP-1323-2023; Eunike, Ixora Javanisa/GPX-5057-2022</t>
  </si>
  <si>
    <t>Silalahi, Andri Dayarana K./0000-0002-5399-3742; Eunike, Ixora Javanisa/0000-0002-9214-7637</t>
  </si>
  <si>
    <t>WILEY-HINDAWI</t>
  </si>
  <si>
    <t>ADAM HOUSE, 3RD FL, 1 FITZROY SQ, LONDON, WIT 5HE, ENGLAND</t>
  </si>
  <si>
    <t>JAN 31</t>
  </si>
  <si>
    <t>10.1155/2024/2764759</t>
  </si>
  <si>
    <t>HG9B4</t>
  </si>
  <si>
    <t>WOS:001158445400001</t>
  </si>
  <si>
    <t>Feng, SJ; Yu, M; Leong, S; Chern, A</t>
  </si>
  <si>
    <t>Feng, Sharon J.; Yu, Michelle; Leong, Stephen; Chern, Alexander</t>
  </si>
  <si>
    <t>Exploration and Analysis of Cochlear Implant Content on Social Media</t>
  </si>
  <si>
    <t>hearing loss; tiktok; cochlear implant; social media; otology; otolaryngology</t>
  </si>
  <si>
    <t>Introduction: Social media has an ever-growing presence in patients' lives, particularly with the dissemination of both useful and misleading information. We performed an exploration and analysis of content pertaining to cochlear implantation on a popular social media platform. Methods: Cochlear implant (CI) was queried on TikTok in early October 2022 in a cross-sectional analysis. The 100 top videos were collected. Non-English and duplicate videos were excluded. Two independent researchers used the Global Quality Scale (GQS) and modified DISCERN tool to score videos; higher ratings indicate increased quality and reliability. Demographic data were also recorded. Results: Of the 100 videos assessed, 95 met the inclusion criteria. The average video had 2.36 million views, 328 thousand likes, and a duration of 36.1 seconds. The mean GQS was 1.91 (standard deviation (SD) 0.85), and the modified DISCERN score was 1.48 (SD 1.20). Posters were predominantly laypersons (93.7%), including CI users or parents of pediatric CI users. No videos featured audiologists or otolaryngologists. Nearly half of the videos (48.4%) discussed the experience of a patient or parent of a pediatric patient with CIs, and 24.2% were aimed at directly educating the viewers about CIs or the deaf community. Conclusions: Most videos featured CI users or families of pediatric CI users and detailed specific patient experiences. The deaf and CI communities have strong social media presences. Most videos had limited quality and reliability, measured via the GQS and modified DISCERN tool, and no videos featured hearing healthcare professionals, highlighting opportunities for clinicians to use the platform as a patient resource.</t>
  </si>
  <si>
    <t>[Feng, Sharon J.; Yu, Michelle; Chern, Alexander] Columbia Univ, New York Presbyterian Hosp, Irving Med Ctr, Dept Otolaryngol Head &amp; Neck Surg, New York, NY 10027 USA; [Feng, Sharon J.; Leong, Stephen] Columbia Univ, Vagelos Coll Phys &amp; Surg, New York, NY USA; [Yu, Michelle; Chern, Alexander] New York Presbyterian Hosp, Weill Cornell Med Coll, Dept Otolaryngol Head &amp; Neck Surg, New York, NY 10021 USA; [Leong, Stephen] Univ Washington, Dept Otolaryngol Head &amp; Neck Surg, Seattle, WA USA</t>
  </si>
  <si>
    <t>NewYork-Presbyterian Hospital; Columbia University; Columbia University; Cornell University; Weill Cornell Medicine; NewYork-Presbyterian Hospital; University of Washington; University of Washington Seattle</t>
  </si>
  <si>
    <t>Chern, A (corresponding author), Columbia Univ, New York Presbyterian Hosp, Irving Med Ctr, Dept Otolaryngol Head &amp; Neck Surg, New York, NY 10027 USA.</t>
  </si>
  <si>
    <t>achern1@jh.edu</t>
  </si>
  <si>
    <t>SEP 22</t>
  </si>
  <si>
    <t>e45801</t>
  </si>
  <si>
    <t>10.7759/cureus.45801</t>
  </si>
  <si>
    <t>W6QO0</t>
  </si>
  <si>
    <t>WOS:001092855400019</t>
  </si>
  <si>
    <t>Estrada-García, S; Gamir-Ríos, J</t>
  </si>
  <si>
    <t>Estrada-Garcia, Suandi; Gamir-Rios, Jose</t>
  </si>
  <si>
    <t>Soft news in original videos. Adaptation to TikTok of the main Spanish online media</t>
  </si>
  <si>
    <t>Digital journalism; Legacy media; New media; Social media; Hybrid media system; TikTok; Short videos; Native videos; Soft news; Hard news; Content analysis; Spain</t>
  </si>
  <si>
    <t>COMMUNICATION; JOURNALISM; MEMES; FORMS</t>
  </si>
  <si>
    <t>Since the beginning of 2020, media around the world have started and intensified their TikTok activity to gain notoriety and reach young people, their main user group. However, as with other previously popularized social media, such as Facebook or Twitter, the platform's logic is different from that traditionally employed by the media system when developing information products. The objective of this paper is to analyze the degree of adaptation to the logic of this network for the activity developed on it by the Spanish media. For this purpose, a combined methodology of quantitative and content analysis was applied to 446 videos posted by the official user accounts of 20 Minutos, Antena 3 Noticias, El Diario, El Mundo, and El Pais -the five media outlets with the largest online audience in that period -from the time the accounts were created until January 31, 2022. Specifically, we studied the activity developed, the notoriety achieved, and the interaction obtained, as well as the most common formats, topics, protagonists, and brand identity elements. The results show that the main Spanish media have tried to adapt to the entertainment logic of the platform both with the use of native editing resources as well as through the creation of original materials, predominantly soft news, about entertainment, celebrities, and lifestyle. The videos that gain more notoriety are those that are more adapted to this logic. However, the Spanish media analyzed post less frequently than international media, obtain fewer views, and register lower engagement levels; in addition, they do not use their presence on this social network to promote their other editorial products.</t>
  </si>
  <si>
    <t>[Estrada-Garcia, Suandi; Gamir-Rios, Jose] Univ Valencia, Fac Filol Traduccio &amp; Comunicacio, Avinguda Blasco Ibanez,32, Valencia 46010, Spain</t>
  </si>
  <si>
    <t>Estrada-García, S (corresponding author), Univ Valencia, Fac Filol Traduccio &amp; Comunicacio, Avinguda Blasco Ibanez,32, Valencia 46010, Spain.</t>
  </si>
  <si>
    <t>suanes@alumni.uv.es; jose.gamir@uv.es</t>
  </si>
  <si>
    <t>Gamir-Ríos, José/AGF-2889-2022</t>
  </si>
  <si>
    <t>Gamir-Rios, Jose/0000-0001-5379-6573</t>
  </si>
  <si>
    <t>Department of Innovation, Universities, Science and Digital Society of the Valencian Regional Government (Generalitat Valenciana), Spain [CIAICO2021/125]</t>
  </si>
  <si>
    <t>Department of Innovation, Universities, Science and Digital Society of the Valencian Regional Government (Generalitat Valenciana), Spain</t>
  </si>
  <si>
    <t>This work has been carried out within the framework of the consolidatable R&amp;D project Desconcierto informativo: calidad precarizada, sobre(des)informacion y polarizacion (CIAICO2021/125), funded by the Department of Innovation, Universities, Science and Digital Society of the Valencian Regional Government (Generalitat Valenciana), Spain.</t>
  </si>
  <si>
    <t>e320222</t>
  </si>
  <si>
    <t>10.3145/epi.2023.mar.22</t>
  </si>
  <si>
    <t>WOS:001041238800015</t>
  </si>
  <si>
    <t>Martins, C; Oliveira, L</t>
  </si>
  <si>
    <t>Martins, N; Brandao, D</t>
  </si>
  <si>
    <t>Martins, Catarina; Oliveira, Lidia</t>
  </si>
  <si>
    <t>Video Production for Social Network Dissemination: The Shoyce Brand Case</t>
  </si>
  <si>
    <t>ADVANCES IN DESIGN AND DIGITAL COMMUNICATION, DIGICOM 2020</t>
  </si>
  <si>
    <t>Springer Series in Design and Innovation</t>
  </si>
  <si>
    <t>4th International Conference on Digital Design and Communication (Digicom)</t>
  </si>
  <si>
    <t>NOV 05-07, 2020</t>
  </si>
  <si>
    <t>Polytechn Inst Cavado &amp; Ave, Design Sch,Res Inst Design Media &amp; Culture,CECS UM</t>
  </si>
  <si>
    <t>Video; Social media; Non-dairy beverage; Sustainability; Shoyce</t>
  </si>
  <si>
    <t>This article aims to present the project for the creation of video content incorporated in a digital communication plan for the portuguese brand Shoyce, a producer of non-dairy beverages and other products with 100% vegetable origin. The content developed includes four different segments: TikTok Challenges, Eu Escolho, Shoyce em Casa and Protein Campaign, published on Facebook, Instagram and TikTok. All content was adapted to give larger digital visibility to the brand, making the best use of the social isolation imposed to must worldwide citizens. Once the videos were published, after a period that allowed the organic and paid dissemination of the content, an analysis of the insights of the social networks was made. This data collection and subsequent analysis was helpful not only to understand the engagement of each content but also to have a global perspective of the feedback received and how the videos were perceived by the users.</t>
  </si>
  <si>
    <t>[Martins, Catarina; Oliveira, Lidia] Univ Aveiro, Aveiro, Portugal</t>
  </si>
  <si>
    <t>Universidade de Aveiro</t>
  </si>
  <si>
    <t>Martins, C (corresponding author), Univ Aveiro, Aveiro, Portugal.</t>
  </si>
  <si>
    <t>catarinafmm@ua.pt; lidia@ua.pt</t>
  </si>
  <si>
    <t>Oliveira, Lidia/B-5678-2011</t>
  </si>
  <si>
    <t>Oliveira, Lidia/0000-0002-3278-0326</t>
  </si>
  <si>
    <t>2661-8184</t>
  </si>
  <si>
    <t>2661-8192</t>
  </si>
  <si>
    <t>978-3-030-61671-7</t>
  </si>
  <si>
    <t>SPRINGER SER DES INN</t>
  </si>
  <si>
    <t>10.1007/978-3-030-61671-7_46</t>
  </si>
  <si>
    <t>Communication; Computer Science, Interdisciplinary Applications</t>
  </si>
  <si>
    <t>Communication; Computer Science</t>
  </si>
  <si>
    <t>BS7DA</t>
  </si>
  <si>
    <t>WOS:000758801000046</t>
  </si>
  <si>
    <t>Cai, Y; Zeng, H; Yang, PP; Xu, XW; Lai, YK; Zhou, Y</t>
  </si>
  <si>
    <t>Cai, Ying; Zeng, Hao; Yang, Pingping; Xu, Xiwen; Lai, Yongkang; Zhou, Yu</t>
  </si>
  <si>
    <t>The status quo of short video as sources of health information on gastroesophageal reflux disease in China: a cross-sectional study</t>
  </si>
  <si>
    <t>gastroesophageal reflux disease; health information; TikTok; Bilibili; short videos</t>
  </si>
  <si>
    <t>POPULATION-BASED COHORT; WEIGHT-LOSS; INTERVENTION; EPIDEMIOLOGY; SYMPTOMS</t>
  </si>
  <si>
    <t>Background Positive lifestyle adjustments have become effective methods in treating gastroesophageal reflux disease (GERD). Utilizing short video platforms to encourage GERD patients for effective self-disease management is a convenient and cost-effective approach. However, the quality of GERD-related videos on short video platforms is yet to be determined, and these videos may contain misinformation that patients cannot recognize. This study aims to assess the information quality of GERD-related short videos on TikTok and Bilibili in China.Methods Search and filter the top 100 GERD-related videos on TikTok and Bilibili based on comprehensive rankings. Two independent gastroenterologists conducted a comprehensive evaluation of the video quality using the Global Quality Score and the modified DISCERN tool. Simultaneously, the content of the videos was analyzed across six aspects: definition, symptoms, risk factors, diagnosis, treatment, and outcomes.Results A total of 164 GERD-related videos were collected in this study, and videos from non-gastrointestinal health professionals constitute the majority (56.71%), with only 28.66% originating from gastroenterology health professionals. The overall quality and reliability of the videos were relatively low, with DISCERN and GQS scores of 2 (IQR: 2-3) and 3 (IQR: 2-3), respectively. Relatively speaking, videos from gastrointestinal health professionals exhibit the highest reliability and quality, with DISCERN scores of 3 (IQR: 3-4) and GQS scores of 3 (IQR: 3-4), respectively.Conclusion Overall, the information content and quality of GERD-related videos still need improvement. In the future, health professionals are required to provide high-quality videos to facilitate effective self-disease management for GERD patients.</t>
  </si>
  <si>
    <t>[Cai, Ying; Zeng, Hao; Yang, Pingping; Xu, Xiwen; Zhou, Yu] Nanchang Univ, Affiliated Hosp 1, Dept Gastroenterol, Gaoxin Branch, Nanchang, Jiangxi, Peoples R China; [Lai, Yongkang] Naval Med Univ, Shanghai Changhai Hosp, Dept Gastroenterol, Shanghai, Peoples R China</t>
  </si>
  <si>
    <t>Nanchang University; Naval Medical University</t>
  </si>
  <si>
    <t>Cai, Y (corresponding author), Nanchang Univ, Affiliated Hosp 1, Dept Gastroenterol, Gaoxin Branch, Nanchang, Jiangxi, Peoples R China.</t>
  </si>
  <si>
    <t>cy1339872405@163.com</t>
  </si>
  <si>
    <t>xu, xiwen/LBD-6209-2024; yongkang, lai/JBR-9816-2023</t>
  </si>
  <si>
    <t>MAY 28</t>
  </si>
  <si>
    <t>10.3389/fpubh.2024.1400749</t>
  </si>
  <si>
    <t>TR1B4</t>
  </si>
  <si>
    <t>WOS:001242884100001</t>
  </si>
  <si>
    <t>McDermott, V</t>
  </si>
  <si>
    <t>McDermott, Victoria</t>
  </si>
  <si>
    <t>Framing, agency, and athlete activism: The case of simone biles at the 2020 olympics</t>
  </si>
  <si>
    <t>Athlete activism; Qualitative analysis; Athlete public relations; TikTok; Power; Mental health</t>
  </si>
  <si>
    <t>MENTAL-HEALTH; SOCIAL MEDIA; EATING-DISORDERS; PUBLIC-RELATIONS; SPORT; AUTHENTICITY; MASCULINITY; PREVALENCE; DISSENSUS; TOUGHNESS</t>
  </si>
  <si>
    <t>In July of 2021, Simone Biles shocked the world with her withdrawal from the 2020 Tokyo Olympics citing mental health as her rationale. Mental health remains a taboo subject within the realm of professional sports, and is often devalued, in stark contrast to the value placed on physical health. The present study explored Biles's framing of her withdrawal and publics' reactions to the withdrawal across two distinct social media platforms. Critical rhetorical analysis was used to analyze the Instagram posts made by Biles and a press conference transcript announcing and reifying her withdrawal, as well as 100 TikTok videos and 1000 comments illustrating publics' reactions. Findings demonstrate that Biles's framed her messages through genuineness, responsibility, resistance, and consistency. As a result of the frames used in the withdrawal messages, and the modality allowances afforded on TikTok (e.g., video, text, text and video, stitching), the space for dissent, as well as the ability to critique current power structures was created. From these findings, theoretically I argue that (1) framing theory can be used to create the space for resisting power, reclaiming agency, and challenging attacks of morality, and (2) theorize the ability of public relations to shape broader societal discourse. Practically, this research adds to the public relations literature (1) the value of new frames for image cultivation and the new role of publics for engaging in the acceptance, rejection, or co -creation of frames put forth by organizations and (2) the role of message modality for cultivating discourse and dissent.</t>
  </si>
  <si>
    <t>[McDermott, Victoria] Univ Alaska Fairbanks, Dept Commun, POB 756120, 101 Bunnell Bldg, Fairbanks, AK 99775 USA</t>
  </si>
  <si>
    <t>University of Alaska System; University of Alaska Fairbanks</t>
  </si>
  <si>
    <t>McDermott, V (corresponding author), Univ Alaska Fairbanks, Dept Commun, POB 756120, 101 Bunnell Bldg, Fairbanks, AK 99775 USA.</t>
  </si>
  <si>
    <t>vmmcdermott@alaska.edu</t>
  </si>
  <si>
    <t>10.1016/j.pubrev.2024.102457</t>
  </si>
  <si>
    <t>QX8A1</t>
  </si>
  <si>
    <t>WOS:001224246000001</t>
  </si>
  <si>
    <t>Tilton, S; Agozzino, A</t>
  </si>
  <si>
    <t>Tilton, Shane; Agozzino, Alisa</t>
  </si>
  <si>
    <t>The Ultra Lord of the Ukraine Special Operations' Agricultural Division: How memetic artifacts provides a foundation for the historical archiving of conflicts</t>
  </si>
  <si>
    <t>Memes; Wartime Communication; Stuart Hall; Propaganda; Influencers; Twitter; TikTok</t>
  </si>
  <si>
    <t>PROPAGANDA; RUSSIA; MEDIA</t>
  </si>
  <si>
    <t>This case study examines how social media accounts use memes and on-the-ground content to create a real-time and historical record of the events happening in Ukraine during the 2022 invasion of their country by Russian forces and their allies. Artifacts from the Ukrainian Memes Forces' Twitter account (among others) provides the memetic artifacts of examination. The grounding of this case study is based on Stuart Hall's Readings to assess how audiences would interpret these messages the memetic artifacts via Twitter and TikTok and using an analysis of the layers within the memes that pro-Russian and pro-Ukrainian content creators are producing. The general theme is that pro-Russian content creators are focusing their content on an internal audience under a theme of nationalistic pride, while pro-Ukraine content creators are focusing their content on external audiences under the themes of satire of Russian propaganda and global awareness of the war.</t>
  </si>
  <si>
    <t>[Tilton, Shane] Ohio Northern Univ, Getty Coll Arts &amp; Sci, Sch Social Sci &amp; Human Interact, Writing &amp; Multimedia Studies Program, 402 West Lincoln Ave,Freed Ctr 117, Ada, OH 45810 USA; [Tilton, Shane] Ohio Northern Univ, Getty Coll Arts &amp; Sci, Writing &amp; Multimedia Studies Program, Ada, OH USA; [Agozzino, Alisa] Ohio Northern Univ, Dicke Coll Business, Publ Relat Program, Cogent Social Sci, Ada, OH USA</t>
  </si>
  <si>
    <t>University System of Ohio; Ohio Northern University; University System of Ohio; Ohio Northern University; University System of Ohio; Ohio Northern University</t>
  </si>
  <si>
    <t>Tilton, S (corresponding author), Ohio Northern Univ, Getty Coll Arts &amp; Sci, Sch Social Sci &amp; Human Interact, Writing &amp; Multimedia Studies Program, 402 West Lincoln Ave,Freed Ctr 117, Ada, OH 45810 USA.</t>
  </si>
  <si>
    <t>s-tilton@onu.edu</t>
  </si>
  <si>
    <t>Agozzino, Alisa/KUC-4926-2024; Tilton, Shane/D-1002-2013</t>
  </si>
  <si>
    <t>Tilton, Shane/0000-0001-8954-444X</t>
  </si>
  <si>
    <t>10.1080/23311886.2023.2193440</t>
  </si>
  <si>
    <t>D1TT3</t>
  </si>
  <si>
    <t>WOS:000966621300001</t>
  </si>
  <si>
    <t>Sarman, A; Tuncay, S</t>
  </si>
  <si>
    <t>Sarman, Abdullah; Tuncay, Suat</t>
  </si>
  <si>
    <t>The relationship of Facebook, Instagram, Twitter, TikTok and WhatsApp/Telegram with loneliness and anger of adolescents living in Turkey: A structural equality model</t>
  </si>
  <si>
    <t>JOURNAL OF PEDIATRIC NURSING-NURSING CARE OF CHILDREN &amp; FAMILIES</t>
  </si>
  <si>
    <t>Adolescents; Anger; Loneliness; Social media</t>
  </si>
  <si>
    <t>SOCIAL MEDIA; VALIDITY; SCALE; USERS</t>
  </si>
  <si>
    <t>Purpose: The aim of this study is to determine the relationship of social media with loneliness and anger levels of adolescents living in Turkey. Design and methods: This study used a cross-sectional descriptive design. Loneliness and anger were measured with University of California, Los Angeles Loneliness Scale and Adolescent Anger Rating Scale. Data collection forms were prepared on Google Form and form' link was sent to adolescents. Results: A total of 1176 adolescents aged 13-18 years within four high schools were included. The results obtained show use of Facebook and duration of Facebook use of adolescents were not related to mean scores of loneliness. Adolescents with high duration of Instagram use was to be found that loneliness scores were sta-tistically high, but anger scores were similar. Twitter users had lower loneliness mean scores and higher anger scores. TikTok use was not related with loneliness scores. Conclusion: In conclusion, this study found that high duration of Instagram use was associated with higher lone-liness scores in adolescents, while Twitter users had lower loneliness scores and higher anger scores. The use of Facebook and TikTok did not significantly affect loneliness and anger levels. Practice implications: This study suggest that pediatric nurses can play a significant role in promoting balanced social media use and healthy coping strategies to mitigate the negative impact of excessive social media use on adolescent mental health. Pediatric nurses can support adolescent emotional wellbeing and promote a healthier digital environment.&amp; COPY; 2023 Elsevier Inc. All rights reserved.</t>
  </si>
  <si>
    <t>[Sarman, Abdullah; Tuncay, Suat] Bingol Univ, Fac Hlth Sci, Dept Pediat Nursing, TR-12000 Bingol, Turkiye</t>
  </si>
  <si>
    <t>Bingol University</t>
  </si>
  <si>
    <t>Sarman, A (corresponding author), Bingol Univ, Fac Hlth Sci, Dept Pediat Nursing, TR-12000 Bingol, Turkiye.</t>
  </si>
  <si>
    <t>abdullah.sarman@hotmail.com</t>
  </si>
  <si>
    <t>SARMAN, ABDULLAH/AAD-3274-2022; Tuncay, Suat/ABS-1319-2022</t>
  </si>
  <si>
    <t>Tuncay, Suat/0000-0001-5493-6507</t>
  </si>
  <si>
    <t>0882-5963</t>
  </si>
  <si>
    <t>J PEDIATR NURS</t>
  </si>
  <si>
    <t>J. Pediatr. Nurs.</t>
  </si>
  <si>
    <t>10.1016/j.pedn.2023.03.017</t>
  </si>
  <si>
    <t>Nursing; Pediatrics</t>
  </si>
  <si>
    <t>L1DF6</t>
  </si>
  <si>
    <t>WOS:001020723700001</t>
  </si>
  <si>
    <t>Che, SP; Zhang, SA; Kim, JH</t>
  </si>
  <si>
    <t>Che, ShaoPeng; Zhang, Shunan; Kim, Jang Hyun</t>
  </si>
  <si>
    <t>How public health agencies communicate with the public on TikTok under the normalization of COVID-19: A case of 2022 Shanghai's outbreak</t>
  </si>
  <si>
    <t>COVID-19; public health emergency; public health agency; TikTok; social media; communication strategy; crisis and emergency risk communication; negative binomial regression</t>
  </si>
  <si>
    <t>ObjectiveAs life with COVID-19 became a norm in 2022, the public's demand for and perception of COVID-19-related information has changed. This study analyzed the performance and responses of Healthy China and the public at various stages of COVID-19 normalization using the crisis and emergency risk communication (CERC) theory. MethodsThis study was based on the 2022 Shanghai COVID-19 outbreak and data from Healthy China, the official TikTok account of the National Health Commission of the People's Republic of China (NHCC). First, we divided the Shanghai lockdown into five stages in accordance with the CERC. Second, the videos released by Healthy China were open-coded. Third, to understand the distribution of strategies across the stages, we used counts and percentages to summarize the categorical variables. Fourth, we investigated the distribution of public participation indicators using descriptive statistical analysis. Finally, the relationship between stage and communication strategy was examined using the chi-square test and negative binomial regression. Results(1) Healthy China adopted a more flexible approach to communication strategies; (2) new cases per day was the commonly used substrategy for uncertainty reduction; (3) there was a significant difference in the strategies used by Healthy China at different stages; (4) public participation was highest in the pre-crisis period; and (5) the stage had a significant positive impact on the number of views, favorites, likes, and shares. ConclusionsThis research provides insight into effective communication strategies for the government or public health agencies to employ during COVID-19 normalization.</t>
  </si>
  <si>
    <t>[Che, ShaoPeng; Kim, Jang Hyun] Sungkyunkwan Univ, Dept Human Artificial Intelligence Interact, Seoul, South Korea; [Che, ShaoPeng; Zhang, Shunan; Kim, Jang Hyun] Sungkyunkwan Univ, Dept Interact Sci, Seoul, South Korea</t>
  </si>
  <si>
    <t>Sungkyunkwan University (SKKU); Sungkyunkwan University (SKKU)</t>
  </si>
  <si>
    <t>Kim, JH (corresponding author), Sungkyunkwan Univ, Dept Human Artificial Intelligence Interact, Seoul, South Korea.;Kim, JH (corresponding author), Sungkyunkwan Univ, Dept Interact Sci, Seoul, South Korea.</t>
  </si>
  <si>
    <t>Kim, Jang Hyun/HRC-9519-2023; Che, ShaoPeng/IUQ-1918-2023</t>
  </si>
  <si>
    <t>ZHANG, Shunan/0000-0003-3875-1849; Che, ShaoPeng/0000-0003-1547-8798</t>
  </si>
  <si>
    <t>National Research Foundation of Korea (NRF) - Korean Government; [NRF-2020R1A2C1014957]</t>
  </si>
  <si>
    <t>National Research Foundation of Korea (NRF) - Korean Government(National Research Foundation of Korea);</t>
  </si>
  <si>
    <t>Funding This work was supported by a National Research Foundation of Korea (NRF) grant funded by the Korean Government (NRF-2020R1A2C1014957).</t>
  </si>
  <si>
    <t>NOV 24</t>
  </si>
  <si>
    <t>10.3389/fpubh.2022.1039405</t>
  </si>
  <si>
    <t>6T6LB</t>
  </si>
  <si>
    <t>WOS:000893788300001</t>
  </si>
  <si>
    <t>Martínez-Estrella, EC; Samacá-Salamanca, E; García-Rivero, A; Cifuentes-Ambra, C</t>
  </si>
  <si>
    <t>Martinez-Estrella, Eva-Citlali; Samaca-Salamanca, Eliana; Garcia-Rivero, Ainhoa; Cifuentes-Ambra, Carlos</t>
  </si>
  <si>
    <t>Generation Z in Chile, Colombia, Mexico, and Panama: Interests and new digital consumption habits. Their use of Instagram and TikTok</t>
  </si>
  <si>
    <t>Instagram; TikTok; Gen Z; Generation Z; Centennials; Online behavior; Latin America; Conversation trends; Consumption patterns; Virtuality; Culture; Advertising</t>
  </si>
  <si>
    <t>SOCIAL NETWORKS</t>
  </si>
  <si>
    <t>In a reality that combines the virtual with the physical and in a context of information saturation, there are consumers who are more critical, demanding, and less loyal. In this context, it is timely to know the new habits of the Centennials, so as to understand their behaviors and consumption trends, aligning future communication strategies to their personality and interests. The Centennials or Generation Z are digital natives, concerned with technology, and complex to understand (Alonso-Lopez; Terol-Bolinches, 2020). Generation Z -analyzed in this study- is composed of those born between 2000 and 2008, which corresponds to the youth currently between 14 and 22 years old (Vilanova; Ortega, 2017; Hernandez; Andrade-del-Cid, 2020). The main objective of this research is to determine the patterns of consumption and online behavior exhibited by this generation in Mexico, Colombia, Chile, and Panama, with a focus on the characteristics of communication processes, online consumption patterns, and the cultural traits they possess. To achieve this, a mixed method is proposed consisting of a Twitter conversation analysis, survey application (n=550), in-depth interviews (n=36), and focus groups (n=2); all of which have been applied in the four selected countries. The main conclusions are that the preferred content of Centennials is humor (75%), with Instagram and TikTok being the most used networks. For they, the most important thing is to take care of their image and 40% are not interested in technological topics. Furthermore, cultural characteristics are shared among countries; however, language is the main difference between countries.</t>
  </si>
  <si>
    <t>[Martinez-Estrella, Eva-Citlali] Univ Complutense Madrid, Fac Comercio &amp; Turismo, Ave Islas Filipinas 3, Madrid 28003, Spain; [Samaca-Salamanca, Eliana] Univ Complutense Madrid, Fac Ciencias Informac, Ave Complutense 3, Madrid 28040, Spain; [Garcia-Rivero, Ainhoa] Univ Internac Rioja, Avda La Paz 137, Logrono 26006, Spain; [Cifuentes-Ambra, Carlos] Kontent Room, 31 SE 5 St,Suite 3516, Miami, FL 33131 USA</t>
  </si>
  <si>
    <t>Complutense University of Madrid; Complutense University of Madrid; Universidad Internacional de La Rioja (UNIR)</t>
  </si>
  <si>
    <t>Martínez-Estrella, EC (corresponding author), Univ Complutense Madrid, Fac Comercio &amp; Turismo, Ave Islas Filipinas 3, Madrid 28003, Spain.</t>
  </si>
  <si>
    <t>evacmart@ucm.es; esamaca@ucm.es; ainhoa.garcia@unir.net; ccifuentes@kontentroom.com</t>
  </si>
  <si>
    <t>Martinez-Estrella, Eva Citlali/0000-0001-6599-1050; Garcia Rivero, Ainhoa/0000-0003-4879-9950; Samaca, Eliana/0000-0002-5805-3602</t>
  </si>
  <si>
    <t>e320218</t>
  </si>
  <si>
    <t>10.3145/epi.2023.mar.18</t>
  </si>
  <si>
    <t>WOS:001041238800021</t>
  </si>
  <si>
    <t>Huang, YL; Chen, YK; Lin, SH; Cao, H; Chen, Q</t>
  </si>
  <si>
    <t>Huang, Ya-Li; Chen, Yu-Kun; Lin, Shi-Hao; Cao, Hua; Chen, Qiang</t>
  </si>
  <si>
    <t>The effect of short music videos on needs satisfaction and separation anxiety of children's family members during COVID-19: The example of TikTok</t>
  </si>
  <si>
    <t>FRONTIERS IN PEDIATRICS</t>
  </si>
  <si>
    <t>COVID-19; music short video; separation anxiety; needs satisfaction; ICU</t>
  </si>
  <si>
    <t>CONGENITAL HEART-DISEASE; INTENSIVE-CARE-UNIT; PARENTS; CAREGIVERS; HEALTH</t>
  </si>
  <si>
    <t>ObjectiveTo investigate the effect of short music videos on needs satisfaction and separation anxiety of the family members of children with congenital heart disease (CHD) in the cardiac intensive care unit (CICU) during the COVID-19 pandemic. MethodsEighty-seven children's family members were divided into the study group and the control group between February 2020 and March 2021. During the COVID-19 pandemic, the participants in the control group were visited by telephone, while the participants in the study group used the TikTok short music video application and WeChat as communication tools. After the intervention, the critical care family needs inventory (CCFNI) and separation anxiety scale (SAS) for all participants were recorded and analyzed. ResultsThere were no statistically significant differences in general characteristics or preintervention data between the two groups. However, the two dimensions of the support scale and information scale of the CCFNI in the study group were significantly different from those in the control group after the intervention (P = 0.008, and P = 0.021, respectively). There were significant differences in the three dimensions of the SAS between the two groups (P = 0.004, P = 0.007, and P = 0.041, respectively). ConclusionThe visiting system of the ICU changed during the COVID-19 pandemic, and the use of the TikTok short music video application and WeChat was conducive to optimizing the CICU ward visiting process, reducing the separation anxiety of the family members of children in the CICU, and improving their needs satisfaction.</t>
  </si>
  <si>
    <t>[Huang, Ya-Li; Cao, Hua; Chen, Qiang] Shanghai Childrens Med Ctr, Fujian Branch, Dept Cardiac Surg, Fuzhou, Peoples R China; [Huang, Ya-Li; Cao, Hua; Chen, Qiang] Fujian Childrens Hosp, Dept Cardiac Surg, Fuzhou, Peoples R China; [Huang, Ya-Li; Chen, Yu-Kun; Lin, Shi-Hao; Cao, Hua; Chen, Qiang] Fujian Med Univ, Coll Clin Med Obstet &amp; Gynecol &amp; Pediat, Fuzhou, Peoples R China; [Huang, Ya-Li; Cao, Hua; Chen, Qiang] Fujian Matern &amp; Child Hlth Hosp, Fujian Key Lab Women &amp; Childrens Crit Dis Res, Fuzhou, Peoples R China</t>
  </si>
  <si>
    <t>Fujian Medical University</t>
  </si>
  <si>
    <t>Chen, Q (corresponding author), Shanghai Childrens Med Ctr, Fujian Branch, Dept Cardiac Surg, Fuzhou, Peoples R China.;Chen, Q (corresponding author), Fujian Childrens Hosp, Dept Cardiac Surg, Fuzhou, Peoples R China.;Chen, Q (corresponding author), Fujian Med Univ, Coll Clin Med Obstet &amp; Gynecol &amp; Pediat, Fuzhou, Peoples R China.;Chen, Q (corresponding author), Fujian Matern &amp; Child Hlth Hosp, Fujian Key Lab Women &amp; Childrens Crit Dis Res, Fuzhou, Peoples R China.</t>
  </si>
  <si>
    <t>chenqiang2228@163.com</t>
  </si>
  <si>
    <t>chen, qiang/JXY-6982-2024; CHEN, YUKUN/KSM-2168-2024; Huang, yali/GWR-3654-2022</t>
  </si>
  <si>
    <t>2296-2360</t>
  </si>
  <si>
    <t>FRONT PEDIATR</t>
  </si>
  <si>
    <t>Front. Pediatr.</t>
  </si>
  <si>
    <t>10.3389/fped.2022.990752</t>
  </si>
  <si>
    <t>5N3FW</t>
  </si>
  <si>
    <t>WOS:000871677400001</t>
  </si>
  <si>
    <t>Zhao, Y</t>
  </si>
  <si>
    <t>Zhao, Yang</t>
  </si>
  <si>
    <t>TikTok and Researcher Positionality: Considering the Methodological and Ethical Implications of an Experimental Digital Ethnography</t>
  </si>
  <si>
    <t>INTERNATIONAL JOURNAL OF QUALITATIVE METHODS</t>
  </si>
  <si>
    <t>TikTok; experimental digital ethnography; youth culture; self-presentation; researcher positionality</t>
  </si>
  <si>
    <t>GAZE; PERSPECTIVES; ONLINE</t>
  </si>
  <si>
    <t>In this article I examine the opportunities and challenges arising from an experimental digital ethnography I conducted as a digital content creator in response to social restrictions during COVID-19. To explore the perceptions and performances of masculinity among young Uzbek men in Uzbekistan, I created 50 TikTok videos between 2021 and 2022. These videos received more than 300,000 likes in total, not only significantly broadening the reach of my research recruitment but also serving as a substantial source of ethnographic data during the pandemic. Throughout the creation of these digital videos, I assumed a dual role as an agent in the research and an object of observation. This dual role underscores the agency of both researchers and the researched in navigating the digital platform, which allows for the challenging of conventional research gazes and relationships. This digital approach also unveils the complex spatial dynamics that underlie interactions in both online and offline realms, shedding light on how digital platforms can both enhance and constrain research efforts. Moreover, this article delves into the ethical implications of this experimental digital ethnography, which revolve around potential physical and mental risks to researchers, challenges related to the re-definition of research participation, and issues pertaining to obtaining informed consent. The findings provide insights and make contributions to problematising the conceptualisation of digital spaces, online communities/publics and digital ethnography. I conclude by offering insights for researchers who face restrictions in field access or are interested in studying youth culture on social media platforms, particularly in the role of a content creator, an area that has been relatively underexplored in previous research.</t>
  </si>
  <si>
    <t>[Zhao, Yang] Univ Queensland, Sch Social Sci, Level 3,Michie Bldg, Brisbane, Qld 4067, Australia</t>
  </si>
  <si>
    <t>Zhao, Y (corresponding author), Univ Queensland, Sch Social Sci, Level 3,Michie Bldg, Brisbane, Qld 4067, Australia.</t>
  </si>
  <si>
    <t>nextyoung@gmail.com</t>
  </si>
  <si>
    <t>University of Queensland(University of Queensland)</t>
  </si>
  <si>
    <t>I extend my gratitude to Dr Jenny Munro and Prof Garth Stahl for their invaluable feedback and insightful comments during the drafting of this manuscript. Additionally, I am thankful for the helpful and constructive comments provided by Dr Jonah Rimer, Dr Mair Underwood, Prof Paul Henman and Prof Chao Zhang. The contributions from the anonymous reviewers significantly aided in the revision and enhancement of this manuscript. I must also express my profound appreciation for the indispensable role played by my interlocutors in facilitating my experimental digital ethnography.</t>
  </si>
  <si>
    <t>1609-4069</t>
  </si>
  <si>
    <t>INT J QUAL METH</t>
  </si>
  <si>
    <t>Int. J. Qual. Meth.</t>
  </si>
  <si>
    <t>10.1177/16094069231221374</t>
  </si>
  <si>
    <t>FR7E4</t>
  </si>
  <si>
    <t>WOS:001147639400001</t>
  </si>
  <si>
    <t>Manasyan, A; Ross, E; Malkoff, N; Cannata, B; Yenikomshian, HA; Gillenwater, TJ</t>
  </si>
  <si>
    <t>Manasyan, Artur; Ross, Erin; Malkoff, Nicolas; Cannata, Brigette; Yenikomshian, Haig A.; Gillenwater, T. Justin</t>
  </si>
  <si>
    <t>Analyzing Burn-Related Content on Social Media Platforms: A Study of Creator Types, Content Focus, and Engagement Metrics</t>
  </si>
  <si>
    <t>social media; Facebook; Twitter; TikTok; burn injury; burn centers</t>
  </si>
  <si>
    <t>INFORMATION; MANAGEMENT</t>
  </si>
  <si>
    <t>Social media offers a readily available, cost-effective way for medical experts to disseminate knowledge and shape public health outcomes but also allows for the spread of misinformation. This study aims to analyze burn-related material on social media by creator, content type, and engagement. Facebook, TikTok, and X (formerly Twitter) were queried with the following search terms: burn, burn injury, burn recovery, and burn treatment. Identified accounts were then manually screened for relevance. Year of creation and engagement metrics were collected. Accounts were categorized by content and creator type. Data were reported using descriptive statistics and visualized graphically to explore trends. Our search yielded 434 profiles, 234 of which met the inclusion criteria. TikTok had the most engagement at a median of 43,500 followers per account, with 38.3% of accounts focusing on individual experiences of burn survivors primarily on personal accounts (48.3%). In contrast, content on Facebook was related to the promotion of medical services (36.9%), whereas the most represented creator type was medical centers (33.6%). Nonprofits made up 40.4% of accounts on Twitter/X and more than a third of the content focused on patient advocacy, support, or burn prevention (36.5%). Important topics like burn education, prevention, and social support are lacking on major social media platforms. Engagement from burn care organizations and burn experts on social media is necessary. The findings of this study may guide advocates in the burn community on where and how to disseminate information on social media.</t>
  </si>
  <si>
    <t>[Manasyan, Artur; Ross, Erin; Malkoff, Nicolas; Cannata, Brigette; Yenikomshian, Haig A.; Gillenwater, T. Justin] Univ Southern Calif, Keck Sch Med, Los Angeles, CA 90033 USA; [Yenikomshian, Haig A.; Gillenwater, T. Justin] Keck Sch Med, Div Plast &amp; Reconstruct Surg, Los Angeles, CA 90033 USA</t>
  </si>
  <si>
    <t>Gillenwater, TJ (corresponding author), Univ Southern Calif, Keck Sch Med, Los Angeles, CA 90033 USA.;Gillenwater, TJ (corresponding author), Keck Sch Med, Div Plast &amp; Reconstruct Surg, Los Angeles, CA 90033 USA.</t>
  </si>
  <si>
    <t>justin.gillenwater@med.usc.edu</t>
  </si>
  <si>
    <t>Ross, Erin/0000-0002-9123-3744; Malkoff, Nicolas/0000-0002-3519-6790; Cannata, Brigette/0009-0003-1350-4275</t>
  </si>
  <si>
    <t>National Institute on Disability, Independent Living, and Rehabilitation Research; Los Angeles General Medical Center</t>
  </si>
  <si>
    <t>National Institute on Disability, Independent Living, and Rehabilitation Research(United States Department of Health &amp; Human Services); Los Angeles General Medical Center</t>
  </si>
  <si>
    <t>We would like to thank the Los Angeles General Medical Center for supporting this project.</t>
  </si>
  <si>
    <t>MAY 8</t>
  </si>
  <si>
    <t>10.1093/jbcr/irae068</t>
  </si>
  <si>
    <t>M1F6A</t>
  </si>
  <si>
    <t>WOS:001215490400001</t>
  </si>
  <si>
    <t>Kim, SJ; Villanueva, II; Chen, KP</t>
  </si>
  <si>
    <t>Kim, Sang Jung; Villanueva, Isabel Iruani; Chen, Kaiping</t>
  </si>
  <si>
    <t>Going Beyond Affective Polarization: How Emotions and Identities are Used in Anti-Vaccination TikTok Videos</t>
  </si>
  <si>
    <t>Emotion; identity; multimodality; anti-vax; TikTok; computational social science</t>
  </si>
  <si>
    <t>The rise of social media as a source of science and health information has brought challenges to informed citizenship and social trust due to the spread of misinformation, particularly anti-vaccination messages that incite hatred and discourage necessary health precautions. These messages often employ emotional appeals and identity cues. However, scholarship examining emotional appeals and identity cues in anti-vax messages is still at the nascent stage. Furthermore, most literature on emotions and identities on social media has focused on text-based platforms, despite the increasing popularity of interactive, multimodal platforms. To address these gaps, our paper analyzes recent TikTok anti-vax videos and incorporates the framework of multimodal frame processing, emotion-as-frames model, affective intelligence theory, and social identity theory. Our paper uncovers how different message modalities affect the impact of emotional narratives and identity cues on user engagement. We also investigate sociopolitical identity cues beyond partisan identities, expanding the current terrain of political communication. Our results demonstrate that audiences engage with emotional and identity cues in anti-vax videos differently based on distinct message modalities. We also found that identity cues related to interpersonal relationships (e.g. parental) and conspiracy groups were prevalent, in addition to partisan identity cues. These results offer new insights into sociopolitical identities beyond partisanship and highlight the importance of considering the multi-modal nature of video platforms. Overall, our paper sheds light on the complex relationship between emotions, identities, and message modalities on social media and provides important implications for addressing misinformation and improving science communication on digital platforms.</t>
  </si>
  <si>
    <t>[Kim, Sang Jung] Univ Iowa, Sch Journalism &amp; Mass Commun, Iowa, LA USA; [Chen, Kaiping] Univ Wisconsin Madison, Life Sci Commun, Madison, WI 53706 USA</t>
  </si>
  <si>
    <t>Chen, KP (corresponding author), Univ Wisconsin Madison, Life Sci Commun, Madison, WI 53706 USA.</t>
  </si>
  <si>
    <t>Chen, Kaiping/0000-0002-5864-5333; KIM, SANG JUNG/0000-0001-5861-728X; Villanueva, Isabel Iruani/0000-0002-0736-7492</t>
  </si>
  <si>
    <t>1058-4609</t>
  </si>
  <si>
    <t>1091-7675</t>
  </si>
  <si>
    <t>POLIT COMMUN</t>
  </si>
  <si>
    <t>Polit. Commun.</t>
  </si>
  <si>
    <t>10.1080/10584609.2023.2243852</t>
  </si>
  <si>
    <t>WO0H6</t>
  </si>
  <si>
    <t>WOS:001044756500001</t>
  </si>
  <si>
    <t>Ren, JF; Yang, JL; Zhu, MY; Majeed, S</t>
  </si>
  <si>
    <t>Ren, Jifan; Yang, Jialiang; Zhu, Mengyang; Majeed, Salman</t>
  </si>
  <si>
    <t>Relationship between consumer participation behaviors and consumer stickiness on mobile short video social platform under the development of ICT: based on value co-creation theory perspective</t>
  </si>
  <si>
    <t>INFORMATION TECHNOLOGY FOR DEVELOPMENT</t>
  </si>
  <si>
    <t>Sharing economy; ICT; value co-creation; consumer participation behaviors; consumer perceived value; consumer stickiness</t>
  </si>
  <si>
    <t>SHARING ECONOMY; CUSTOMER PARTICIPATION; PERCEIVED VALUE; MODERATING ROLE; SERVICE LOGIC; ONLINE; SATISFACTION; CONSUMPTION; MODEL; PERCEPTIONS</t>
  </si>
  <si>
    <t>As a representative of the sharing economy business model, TikTok, a short-form mobile video-sharing social networking platform, has numerous consumers worldwide. Based on the background of the development of information technology and value co-creation theory, this paper analyzes the relevance between information and communication technology and the sharing economy; studies the internal mechanism between consumer participation behaviors and consumer stickiness under different emotions; and expounds the impact of consumer participation behaviors on consumer perceived value. The structural equation model was used to analyze 902 questionnaires collected from TikTok consumers. The research results reveal that positive consumer participation behavior has a positive effect on consumer perceived value, negative consumer participation behavior harms consumer perceived value, and consumer perceived value has a positive impact on consumer happiness and stickiness. Consumer happiness plays an intermediary role between consumer perceived value and consumer stickiness.</t>
  </si>
  <si>
    <t>[Ren, Jifan; Yang, Jialiang; Zhu, Mengyang] Harbin Inst Technol, Sch Econ &amp; Management, Shenzhen, Peoples R China; [Majeed, Salman] Florida State Univ, Dedman Coll Hospitality, Int Ctr Hospitality Res &amp; Dev, Tallahassee, FL 32306 USA; [Majeed, Salman] Shenzhen Univ, Coll Management, Dept Mkt, Shenzhen, Peoples R China</t>
  </si>
  <si>
    <t>Harbin Institute of Technology; State University System of Florida; Florida State University; Shenzhen University</t>
  </si>
  <si>
    <t>Yang, JL (corresponding author), Harbin Inst Technol, Sch Econ &amp; Management, Shenzhen, Peoples R China.</t>
  </si>
  <si>
    <t>yangjl@szu.edu.cn</t>
  </si>
  <si>
    <t>Ren, Jifan/JOK-5310-2023</t>
  </si>
  <si>
    <t>Majeed, Salman/0000-0002-9306-397X</t>
  </si>
  <si>
    <t>0268-1102</t>
  </si>
  <si>
    <t>1554-0170</t>
  </si>
  <si>
    <t>INFORM TECHNOL DEV</t>
  </si>
  <si>
    <t>Inform. Technol. Dev.</t>
  </si>
  <si>
    <t>10.1080/02681102.2021.1933882</t>
  </si>
  <si>
    <t>Development Studies; Information Science &amp; Library Science</t>
  </si>
  <si>
    <t>UW7OH</t>
  </si>
  <si>
    <t>WOS:000657173000001</t>
  </si>
  <si>
    <t>Espinoza, A; Piña-García, CA</t>
  </si>
  <si>
    <t>Espinoza, Armando; Pina-Garcia, Carlos A.</t>
  </si>
  <si>
    <t>Propaganda and Manipulation in Mexico: A Programmed, Coordinated and Manipulative Pink Campaign</t>
  </si>
  <si>
    <t>political marketing; propaganda; astroturfing; social media; manipulation; Mexico</t>
  </si>
  <si>
    <t>Thanks to digital media communication, customers can receive targeted communications. Political actors increasingly engage in political marketing on social media in order to strengthen and propagate propaganda. There is enough evidence of a coordinated effort to spread official propaganda and imitate digital support with the aim of influencing and manipulating social media users, as well as the public opinion, primarily through official Twitter accounts and influencers on TikTok, using the Salario Rosa (Pink Salary) social program as cover. Through data mining and visualization tools, we gathered information about Tweets and TikTok videos containing the hashtag #SalarioRosa, and a variety of correlated hashtags, which is the main goal of this analysis. Our research indicates that traditional brute force astroturfing campaigns and a novel mimicking conversation tactic were employed to promote and raise awareness about political figures as well as to improve their reputation by manipulating the public opinion on social media platforms, without taking into account the negative impact on the current reality of women living in the State of Mexico, as stated in the Pink Salary for Vulnerability program.</t>
  </si>
  <si>
    <t>[Espinoza, Armando; Pina-Garcia, Carlos A.] Univ Veracruzana, Lab Anal Informac Generada traves Redes Sociales I, Xalapa 91030, Mexico</t>
  </si>
  <si>
    <t>Universidad Veracruzana</t>
  </si>
  <si>
    <t>Piña-García, CA (corresponding author), Univ Veracruzana, Lab Anal Informac Generada traves Redes Sociales I, Xalapa 91030, Mexico.</t>
  </si>
  <si>
    <t>Espinoza, Armando/LGZ-6266-2024; Gershenson, Carlos/F-2241-2010</t>
  </si>
  <si>
    <t>, Carlos/0000-0001-8741-4860</t>
  </si>
  <si>
    <t>10.3390/journalmedia4020037</t>
  </si>
  <si>
    <t>AM3V3</t>
  </si>
  <si>
    <t>WOS:001118852100001</t>
  </si>
  <si>
    <t>Xu, DD; Yan, S; Zhang, YH; Zhang, S; Nakamori, Y; Chen, LL</t>
  </si>
  <si>
    <t>Xu, Dandan; Yan, Shuo; Zhang, Yuhan; Zhang, Si; Nakamori, Yoshiteru; Chen, Lili</t>
  </si>
  <si>
    <t>Knowledge management for extreme public health events COVID-19: based on Tiktok data</t>
  </si>
  <si>
    <t>JOURNAL OF KNOWLEDGE MANAGEMENT</t>
  </si>
  <si>
    <t>Knowledge management; Knowledge sharing behavior; COVID-19; Douyin (Tiktok); Governance suggestion</t>
  </si>
  <si>
    <t>INFORMATION-TECHNOLOGY; SOCIAL MEDIA; DETERMINANTS; COMMUNITIES; NETWORKS; BARRIERS; IMPACT; TRUST</t>
  </si>
  <si>
    <t>Purpose Taking the COVID-19 as the background, this study aims to investigate the direct influencing factors regarding knowledge sharing behavior (KSB) on new media platforms and discuss how the characteristics of the users could enhance the KSB through moderation effect, and provide empirical evidences. Design/methodology/approach Based on the social exchange theory and after the text analysis of the data collected from the Tiktok platform in 2020, this paper uses the quantitative method to evaluate the factors influence KSB on short video social platform during the COVID-19 outbreak. Findings KSB on new media platform could be enhanced by richer knowledge content of the video posted and the attribute of the platform users directly. Platform users could affect the trustworthiness of the knowledge shared, thus influence the knowledge sharing. On the early stage of the COVID-19, the richer content of the knowledge released by users could effectively enhance the KSB. On the early stage of the emergency events, the official users could play a significant role on KS. During the mitigation stage of COVID-19, the KSB of the knowledge shared by unofficial users with richer content could be enhanced and the moderation effect is relatively stronger. Originality/value The research extends the social exchange theory to a disaster management context. The authors provide an effective reference for future governments to effectively cope with the epidemic and spread public knowledge in an emergency response context. By analyzing the influence of knowledge content and influencer characteristics, it could help the social media platform to improve content management and optimize resource allocation.</t>
  </si>
  <si>
    <t>[Xu, Dandan; Yan, Shuo; Zhang, Yuhan; Chen, Lili] Beijing Technol &amp; Business Univ, Beijing, Peoples R China; [Zhang, Si] Univ Chinese Acad Sci, Beijing, Peoples R China; [Nakamori, Yoshiteru] Adv Inst Sci &amp; Technol, Nomi, Japan</t>
  </si>
  <si>
    <t>Beijing Technology &amp; Business University; Chinese Academy of Sciences; University of Chinese Academy of Sciences, CAS</t>
  </si>
  <si>
    <t>Chen, LL (corresponding author), Beijing Technol &amp; Business Univ, Beijing, Peoples R China.</t>
  </si>
  <si>
    <t>chenlili918@126.com</t>
  </si>
  <si>
    <t>Xu, Dandan/H-7261-2019; zhang, yuhan/HLH-1222-2023</t>
  </si>
  <si>
    <t>1367-3270</t>
  </si>
  <si>
    <t>1758-7484</t>
  </si>
  <si>
    <t>J KNOWL MANAG</t>
  </si>
  <si>
    <t>J. Knowl. Manag.</t>
  </si>
  <si>
    <t>10.1108/JKM-06-2021-0450</t>
  </si>
  <si>
    <t>Information Science &amp; Library Science; Management</t>
  </si>
  <si>
    <t>Information Science &amp; Library Science; Business &amp; Economics</t>
  </si>
  <si>
    <t>4T3ZS</t>
  </si>
  <si>
    <t>WOS:000723030200001</t>
  </si>
  <si>
    <t>Raffoul, A; Santoso, M; Lu, JJ; Duran, V; Austin, SB</t>
  </si>
  <si>
    <t>Diet pills and deception: A content analysis of weight-loss, muscle-building, and cleanse and detox supplements videos on TikTok</t>
  </si>
  <si>
    <t>Social media; Eating disorders; Dietary supplements; Advertising; Content analysis</t>
  </si>
  <si>
    <t>EATING-DISORDERS; SOCIAL MEDIA; TIME</t>
  </si>
  <si>
    <t>The promotion of harmful dieting-related products, including weight-loss, muscle-building, and cleanse/detox supplements, is pervasive across TikTok. Use of these products has been associated with eating pathology, and in some instances, increased risk of an eating disorder diagnosis. To inform eating disorders prevention and public health intervention, a content analysis was conducted to analyze the promotional features of the most viewed videos as of June 2022 in the U.S. across popular dieting product-related hashtags (#dietpills, #preworkout, #detox) (N N = 233 videos). Investigators watched and coded videos using a codebook that captured details about featured individuals, product claims and details, and other video elements (e.g., language, use of popular music). Descriptive statistics were obtained to analyze trends within and across product hashtags. A total of 78 #dietpills, 86 #preworkout, and 69 #detox videos met study criteria. Videos promoting weight-loss and cleanse/detox products overwhelmingly featured feminine-presenting (70.5 % and 71 %, respectively) and thin (35.9 % and 44.9 %) individuals, while #preworkout video subjects were mostly masculine-presenting (73.3 %) and muscular (61.6 %). Most did not disclose their credentials (93.6 %) nor identify whether the promotion of the product was sponsored by the retailer (95.7 %). The vast majority of videos (97 %) did not provide any scientific evidence to support health- and appearance-related claims. The most popular videos promoting dieting-related supplements on TikTok overwhelmingly make unsubstantiated health claims, posing substantial risks for social media users who are vulnerable to their usage and associated health risks, including engagement in disordered eating.</t>
  </si>
  <si>
    <t>[Raffoul, Amanda; Santoso, Monique; Austin, S. Bryn] Boston Childrens Hosp, Div Adolescent Young Adult Med, Boston, MA USA; [Raffoul, Amanda; Austin, S. Bryn] Harvard Med Sch, Dept Pediat, Boston, MA USA; [Lu, Junjie; Austin, S. Bryn] Harvard TH Chan Sch Publ Hlth, Dept Social &amp; Behav Sci, Boston, MA USA; [Duran, Valeria] Harvard TH Chan Sch Publ Hlth, Dept Epidemiol, Boston, MA USA</t>
  </si>
  <si>
    <t>Harvard University; Boston Children's Hospital; Harvard University; Harvard Medical School; Harvard University; Harvard T.H. Chan School of Public Health; Harvard University; Harvard T.H. Chan School of Public Health</t>
  </si>
  <si>
    <t>Raffoul, A (corresponding author), Univ Toronto, Dept Nutr Sci, Toronto, ON, Canada.</t>
  </si>
  <si>
    <t>amanda.raffoul@utoronto.ca</t>
  </si>
  <si>
    <t>Ellen Feldberg Gordon Fund for Eating Disorders Prevention Research; Canadian Institutes of Health Research [MFE-171217]; Maternal and Child Health Bureau, Health Resources and Services Administration [T76-MC00001]; Strategic Training Initiative for the Prevention of Eating Disorders</t>
  </si>
  <si>
    <t>Ellen Feldberg Gordon Fund for Eating Disorders Prevention Research; Canadian Institutes of Health Research(Canadian Institutes of Health Research (CIHR)); Maternal and Child Health Bureau, Health Resources and Services Administration(United States Department of Health &amp; Human ServicesUnited States Health Resources &amp; Service Administration (HRSA)); Strategic Training Initiative for the Prevention of Eating Disorders</t>
  </si>
  <si>
    <t>This work was supported by the Ellen Feldberg Gordon Fund for Eating Disorders Prevention Research; the Strategic Training Initiative for the Prevention of Eating Disorders; the Canadian Institutes of Health Research [grant number MFE-171217] ; and the Maternal and Child Health Bureau, Health Resources and Services Administration [grant number T76-MC00001] .</t>
  </si>
  <si>
    <t>10.1016/j.eatbeh.2024.101911</t>
  </si>
  <si>
    <t>E2U9R</t>
  </si>
  <si>
    <t>WOS:001301614500001</t>
  </si>
  <si>
    <t>Caetano, PRB</t>
  </si>
  <si>
    <t>Caetano, Paulo R. B.</t>
  </si>
  <si>
    <t>NEW UTOPIAS? FIGURATIONS OF DATA COLLECTION ON THE SOCIAL NETWORK TIKTOK</t>
  </si>
  <si>
    <t>CONTEXTO-REVISTA DO PROGRAMA DE POS-GRADUACAO EM LETRAS</t>
  </si>
  <si>
    <t>Utopia; Sovereignty; Data collection</t>
  </si>
  <si>
    <t>DATAFICATION</t>
  </si>
  <si>
    <t>This essay presents an interdisciplinary research project, in the process of being implemented, in which it will be speculated how the so-called utopias give rise to thinking about the idea of sovereignty. It is intended to make a dialogue between Literary Studies, Linguistics, Law and Computer Science to think about how the collection of data from the social network Tiktok, which grew enormously during the Covid-19 virus pandemic, fosters such an approach. The Terms of Service and the Privacy Policy of the Chinese network will be addressed in order to see how mentioning the user, via pronouns, informs about the collection. The initial hypothesis is that the notion of Utopia helps to think about a concept that would be in crisis, that of sovereignty, since the biopolitical ubiquity gives rise, it seems, to a pulverized state presence. What follows concerns the part on Literary Studies, presented at the UFES congress.</t>
  </si>
  <si>
    <t>[Caetano, Paulo R. B.] Univ Estadual Montes Claros Unimontes, Montes Claros, Brazil</t>
  </si>
  <si>
    <t>Universidade Estadual de Montes Claros</t>
  </si>
  <si>
    <t>Caetano, PRB (corresponding author), Univ Estadual Montes Claros Unimontes, Montes Claros, Brazil.</t>
  </si>
  <si>
    <t>CENTRO CIENCIAS HUMANAS &amp; NATURAIS PROGRAMA POS-GRADUACAO &amp; LETRAS, VITORIA, 00000, BRAZIL</t>
  </si>
  <si>
    <t>2358-9566</t>
  </si>
  <si>
    <t>CONTEXTO-REV PROG PG</t>
  </si>
  <si>
    <t>Contexto</t>
  </si>
  <si>
    <t>EK7A6</t>
  </si>
  <si>
    <t>WOS:001138873600005</t>
  </si>
  <si>
    <t>Haenlein, M; Anadol, E; Farnsworth, T; Hugo, H; Hunichen, J; Welte, D</t>
  </si>
  <si>
    <t>Haenlein, Michael; Anadol, Ertan; Farnsworth, Tyler; Hugo, Harry; Hunichen, Jess; Welte, Diana</t>
  </si>
  <si>
    <t>Navigating the New Era of Influencer Marketing: How to be Successful on Instagram, TikTok, &amp; Co.</t>
  </si>
  <si>
    <t>CALIFORNIA MANAGEMENT REVIEW</t>
  </si>
  <si>
    <t>marketing communications; marketing implementation; marketing mix; social media; social networks</t>
  </si>
  <si>
    <t>SEGMENTATION</t>
  </si>
  <si>
    <t>Influencer marketing represents a $10 billion industry in 2020 and is becoming of increasing relevance for many firms, especially those operating in a business-to-consumer environment. Few firms in the fashion, beauty, travel, food, or beverage industries are running marketing campaigns these days that do not include, at least to some share, a collaboration with popular users on platforms such as Instagram and TikTok. However, many marketing managers still have a less than adequate understanding of those platforms compared with their knowledge of more traditional media channels and often find it hard to make the right decision in this fast-moving environment. To provide some guidance in this respect, this article aims to give an introduction to the most critical platforms for influencer marketing. It then presents advice to firms who want to engage in influencer marketing as well as specific questions on identifying the right influencers to collaborate with.</t>
  </si>
  <si>
    <t>[Haenlein, Michael] ESCP Business Sch, Mkt, Paris, France; [Haenlein, Michael] ESCP Business Sch, Execut PhD Program, Paris, France; [Anadol, Ertan] Tanke, Paris, France; [Farnsworth, Tyler] August United, Tempe, AZ USA; [Hugo, Harry] Goat, London, England; [Hunichen, Jess] Shine Influencers, Los Angeles, CA USA; [Welte, Diana] Dept, Berlin, Germany</t>
  </si>
  <si>
    <t>heSam Universite; ESCP Business School; heSam Universite; ESCP Business School</t>
  </si>
  <si>
    <t>Haenlein, M (corresponding author), ESCP Business Sch, Mkt, Paris, France.;Haenlein, M (corresponding author), ESCP Business Sch, Execut PhD Program, Paris, France.</t>
  </si>
  <si>
    <t>haenlein@escp.eu; ea@tanke.fr; tfarnsworth@augustunited.com; harry@goatagency.com; jess@shineinfluencers.com; diana.welte@depta-gency.com</t>
  </si>
  <si>
    <t>Haenlein, Michael/H-7852-2015</t>
  </si>
  <si>
    <t>Haenlein, Michael/0000-0001-6175-4947</t>
  </si>
  <si>
    <t>0008-1256</t>
  </si>
  <si>
    <t>2162-8564</t>
  </si>
  <si>
    <t>CALIF MANAGE REV</t>
  </si>
  <si>
    <t>Calif. Manage. Rev.</t>
  </si>
  <si>
    <t>10.1177/0008125620958166</t>
  </si>
  <si>
    <t>OI5XW</t>
  </si>
  <si>
    <t>WOS:000583352000001</t>
  </si>
  <si>
    <t>Martínez-Guevara, N; Orrico, H; Rojano-Cáceres, JR</t>
  </si>
  <si>
    <t>Duffy, VG; Rau, PP</t>
  </si>
  <si>
    <t>Martinez-Guevara, Niels; Orrico, Hazan; Rojano-Caceres, Jose-Rafael</t>
  </si>
  <si>
    <t>Classification of Body Posture on TikTok Videos Using a Representation Based on Angles</t>
  </si>
  <si>
    <t>HCI INTERNATIONAL 2022 - LATE BREAKING PAPERS: ERGONOMICS AND PRODUCT DESIGN, HCII 2022</t>
  </si>
  <si>
    <t>24th International Conference on Human-Computer Interaction, HCI International 2022 (HCII)</t>
  </si>
  <si>
    <t>Goteborg, SWEDEN</t>
  </si>
  <si>
    <t>Naive bayes; Body representation; Video analysis; Neural networks; Posture detection; Tiktok data; Data mining</t>
  </si>
  <si>
    <t>Representing complex phenomena, such that coming from video sources, in order to build models for posture detection involves challenges such as: avoiding loss of relevant information, rely on that the representation fits the expectative, and avoid cost for specialized hardware [1,4,5,8]. According to Patel et al. [7] detecting corporal movement is gaining strength for tasks such as: personal health care, environmental awareness, human-computer-interaction and surveillance systems. On the other hand, as we previously said, acquiring information based on corporal movement to feed the algorithms that build the models can be costly in time, computational resources, human participation, as well as the variety of representative movements to be studied. However, considering crowdsourcing coming from social networks which are focused in creating contents such as TikTok has facilitated collecting data from this nature. In particular, the contents in this social network are focused on corporal movements such as dancing, walking, speaking in sign language etc. which can be used to integrate large and diverse data sets. The trending in the platform, which are mainly oriented to dancing, make it possible to collect postural data sets which are arranged into similar observations. Nevertheless, there exists a challenge to analyze these sources due to the diversity to record the videos, for example we can find different resolution, backgrounds, source light, clothes, spatial position from the individual, etc. In this sense, preprocessing video is one of the first tasks to tackle noisy or diverse information and provide reliable information in the subsequent stage of the analysis. Therefore, in this article we propose a novel technique for extracting information that can be used to generalize postural information from the human body in TikTok videos without being affected by the differences in their capture methodology. To build a data set with the initial features from the videos we used the algorithm proposed by Cao et al. [2]. In our case, the novel technique is based on the representation of relationships between the corporal features which can form triangles in their significant positions within the posture. Due to such representation it is possible to search for equivalence in angles through different data sets. In that way, we reduce the number of variables used to find similarities, enabling the possibility to create generalized models with lower costs. In this case we used a Naive Bayes Network to verify the level of generalization and performance.</t>
  </si>
  <si>
    <t>[Martinez-Guevara, Niels; Orrico, Hazan; Rojano-Caceres, Jose-Rafael] Univ Veracruzana, Fac Estadist &amp; Informat, Xalapa, Veracruz, Mexico</t>
  </si>
  <si>
    <t>Martínez-Guevara, N; Rojano-Cáceres, JR (corresponding author), Univ Veracruzana, Fac Estadist &amp; Informat, Xalapa, Veracruz, Mexico.</t>
  </si>
  <si>
    <t>niemartinez@uv.mx; zs16013986@estudiantes.uv.mx; rrojano@uv.mx</t>
  </si>
  <si>
    <t>Rojano-Caceres, Jose Rafael/B-2694-2012</t>
  </si>
  <si>
    <t>Rojano-Caceres, Jose Rafael/0000-0002-3878-4571; Martinez-Guevara, Niels/0000-0002-6833-0562</t>
  </si>
  <si>
    <t>CONACyT [711994]</t>
  </si>
  <si>
    <t>CONACyT(Consejo Nacional de Ciencia y Tecnologia (CONACyT))</t>
  </si>
  <si>
    <t>We would like to thank CONACyT for the support for the preparation of this paper and the doctorate in Computer Science of the Veracruzana University for the support for the development of this project. Niels Martinez is supported by a CONACyT doctoral scholarship, No. 711994.</t>
  </si>
  <si>
    <t>978-3-031-21703-6; 978-3-031-21704-3</t>
  </si>
  <si>
    <t>10.1007/978-3-031-21704-3_19</t>
  </si>
  <si>
    <t>Computer Science, Interdisciplinary Applications; Engineering, Industrial; Engineering, Manufacturing</t>
  </si>
  <si>
    <t>BU7FQ</t>
  </si>
  <si>
    <t>WOS:000937041100019</t>
  </si>
  <si>
    <t>Bartolome, A; Niu, S</t>
  </si>
  <si>
    <t>Bartolome, Ava; Niu, Shuo</t>
  </si>
  <si>
    <t>A Literature Review of Video-Sharing Platform Research in HCI</t>
  </si>
  <si>
    <t>literature review; video; video-sharing; YouTube; TikTok; Twitch</t>
  </si>
  <si>
    <t>MICRO-CELEBRITY; YOUTUBE; MEDIA; INFORMATION; DEFINITION; ENGAGEMENT; FACEBOOK; IDENTITY; TWITTER; BRAND</t>
  </si>
  <si>
    <t>Video-sharing platforms (VSPs) such as YouTube, TikTok, and Twitch have grown rapidly in recent years and attracted millions of users. Research topics such as online communities, video interactions, and recommendation algorithms have drawn increasing attention. Group and community dynamics were also examined with live streaming and short-form videos. However, HCI literature lacks a holistic picture of video-sharing research themes, methods, and findings that summarizes the diverse topics on interaction modalities and communities. Prior reviews on VSPs were about a particular platform or reviewed as a part of social media. This paper contributes a scoping review of 106 articles on video-sharing published in HCI literature from 2012 to June 2022. We identified six research themes through grounded theory analysis and encoded five HCI research methods in VSP studies. We concluded a framework with five components to structure findings in video-sharing research, with which we reflect on future directions on this topic.</t>
  </si>
  <si>
    <t>[Bartolome, Ava] Univ Minnesota, Minneapolis, MN 55455 USA; [Niu, Shuo] Clark Univ, Worcester, MA USA</t>
  </si>
  <si>
    <t>University of Minnesota System; University of Minnesota Twin Cities; Clark University</t>
  </si>
  <si>
    <t>Bartolome, A (corresponding author), Univ Minnesota, Minneapolis, MN 55455 USA.</t>
  </si>
  <si>
    <t>barto541@umn.edu; shniu@clarku.edu</t>
  </si>
  <si>
    <t>Niu, Shuo/AAH-2395-2021</t>
  </si>
  <si>
    <t>Niu, Shuo/0000-0002-8316-4785</t>
  </si>
  <si>
    <t>10.1145/3544548.3581107</t>
  </si>
  <si>
    <t>WOS:001037809507028</t>
  </si>
  <si>
    <t>Liang, M</t>
  </si>
  <si>
    <t>Liang, Meng</t>
  </si>
  <si>
    <t>The end of social media? How data attraction model in the algorithmic media reshapes the attention economy</t>
  </si>
  <si>
    <t>algorithm; attention economy; China; Douyin; social media; TikTok</t>
  </si>
  <si>
    <t>Douyin, which is also known as the Chinese version of Tiktok, is currently the most valuable digital advertisement platform in China. One of the most significant features of this short-video platform is the heavy reliance on algorithmic production and distribution of media. In this emergent configuration, algorithms and data shape the production and circulation of media beyond social networks. Such a system develops by meshing grassroots and professionally generated content, leading to the audience engaging in the production of commercial content for profit. My essay explores the political context and economic logic that underpins these developments. It draws specifically on official reports from Douyin, as well as interviews with users, including individual users and Multiple Channel Network (MCN) employees. This essay proposes the idea of the 'data attraction model' based on the investigation of the emergence of new forms of algorithmic production and distribution. It argues that the data attraction model is characterised by an extreme logic of flexible accumulation, which is radically transforming the content production of participatory media in China</t>
  </si>
  <si>
    <t>[Liang, Meng] UCL, Gower St, London WC1E 6BT, England</t>
  </si>
  <si>
    <t>Liang, M (corresponding author), UCL, Gower St, London WC1E 6BT, England.</t>
  </si>
  <si>
    <t>uclzian@ucl.ac.uk</t>
  </si>
  <si>
    <t>Liang, Meng/0000-0001-8708-1453</t>
  </si>
  <si>
    <t>10.1177/01634437221077168</t>
  </si>
  <si>
    <t>3O2LG</t>
  </si>
  <si>
    <t>WOS:000771989700001</t>
  </si>
  <si>
    <t>Wijnhoven, F; VanSinderen, M</t>
  </si>
  <si>
    <t>Exploring the Relationships between Cultural Content and Viewers' Watching Interest: A Study of Tiktok Videos Produced by Chinese Ethnic Minority Groups</t>
  </si>
  <si>
    <t>PROCEEDINGS OF THE 18TH INTERNATIONAL CONFERENCE ON E-BUSINESS (ICE-B)</t>
  </si>
  <si>
    <t>18th International Conference on E-Business (ICE-B)</t>
  </si>
  <si>
    <t>JUL 07-09, 2021</t>
  </si>
  <si>
    <t>INSTICC</t>
  </si>
  <si>
    <t>Short Video Content; Ethnic Minority Group; Viewers' Watching Interest; Covariance Analysis; Cultural Protection</t>
  </si>
  <si>
    <t>This research aims to create a framework for ethnic minority groups (EMG) in building visual and aural short video content on social media platforms (SMPs). As the concept of urbanisation prevails in China, both the younger major group and EMG generations gradually accept the modern culture, which results in some traditional culture are faced with the danger of disappearance. In order to protect and spread EMG culture, this paper focuses on the short video created by EMG video producers on the TikTok platform. Through the classification of EMG videos content on the platform, it analyses what kinds of cultural content are effective in attracting viewers' watching interest. Using 1007 EMG videos as base data, the paper applies the covariance analysis method to present the relationships between cultural short video content and viewers' watching interest. Based on the comparisons among the results of different EMGs, the findings can guide EMG video producers to improve their visual content, contributing to EMG cultural protection and cultural diversity.</t>
  </si>
  <si>
    <t>[Li, Lifu; Kang, Kyeong] Univ Technol Sydney, Fac Engn &amp; Informat Technol, Sydney, NSW, Australia</t>
  </si>
  <si>
    <t>Li, LF (corresponding author), Univ Technol Sydney, Fac Engn &amp; Informat Technol, Sydney, NSW, Australia.</t>
  </si>
  <si>
    <t>SCITEPRESS</t>
  </si>
  <si>
    <t>SETUBAL</t>
  </si>
  <si>
    <t>AV D MANUELL, 27A 2 ESQ, SETUBAL, 2910-595, PORTUGAL</t>
  </si>
  <si>
    <t>978-989-758-527-2</t>
  </si>
  <si>
    <t>10.5220/0010610900370046</t>
  </si>
  <si>
    <t>BT3FI</t>
  </si>
  <si>
    <t>Green Submitted, hybrid</t>
  </si>
  <si>
    <t>WOS:000818924900003</t>
  </si>
  <si>
    <t>dos Santos, JFP; Williamson, PJ</t>
  </si>
  <si>
    <t>dos Santos, Jose F. P.; Williamson, Peter J.</t>
  </si>
  <si>
    <t>Beyond connectivity: Artificial intelligence and the internationalisation of digital firms</t>
  </si>
  <si>
    <t>INFORMATION AND ORGANIZATION</t>
  </si>
  <si>
    <t>Artificial intelligence; Machine learning; Born-digital multinationals; Internationalisation; Digital interactions; Revealed preferences; TikTok</t>
  </si>
  <si>
    <t>FOREIGN DIRECT-INVESTMENT; MODEL</t>
  </si>
  <si>
    <t>With the rapid development of artificial intelligence/machine learning technologies (AI/ML) it is now opportune to consider the potential for these technologies to create new strategies for internationalisation. In this paper we examine the implications of deploying AI technologies on the internationalisation process of firms. We show how firms can create digital interactions from which information about individual's revealed preferences can be imputed. The use of this information by a proprietary AI model, rather than using FDI designed to learn about the characteristics of country markets as proxies to predict the general behaviour of consumers located there, provides a new, country-agnostic way to enter foreign markets and adapt to differences among consumers based on segments of one. AI can, therefore, enable born-digital firms, and potentially other businesses where digitalisation can play a role, to build new kinds of competitive advantages based on data network effects. We illustrate these theoretical propositions with reference to value-creation activities of the short-video streaming born-digital TikTok.</t>
  </si>
  <si>
    <t>[dos Santos, Jose F. P.; Williamson, Peter J.] INSEAD, Practice Global Management, Fontainebleau, France; [Williamson, Peter J.] Cambridge Judge Business Sch, Int Management, Cambridge, England; [Williamson, Peter J.] Cambridge Judge Business Sch, Cambridge, England</t>
  </si>
  <si>
    <t>INSEAD Business School; University of Cambridge; University of Cambridge</t>
  </si>
  <si>
    <t>Williamson, PJ (corresponding author), Cambridge Judge Business Sch, Cambridge, England.</t>
  </si>
  <si>
    <t>p.williamson@jbs.cam.ac.uk</t>
  </si>
  <si>
    <t>This paper was first presented at the College of Jesus, University of Cambridge, during the conference  Where Digital meets Global,  , in December 2022. We are grateful to the attendees of the conference and to our colleagues and executives for their insightful comments and constructive feedback, which significantly contributed to the refinement of this work. Additionally, we thank the editor and reviewers for their thorough and thoughtful reviews, which have been instrumental in improving the quality of this paper.</t>
  </si>
  <si>
    <t>1471-7727</t>
  </si>
  <si>
    <t>1873-7919</t>
  </si>
  <si>
    <t>INFORM ORGAN-UK</t>
  </si>
  <si>
    <t>Inf. Organ.</t>
  </si>
  <si>
    <t>10.1016/j.infoandorg.2024.100538</t>
  </si>
  <si>
    <t>I5P5F</t>
  </si>
  <si>
    <t>WOS:001330778600001</t>
  </si>
  <si>
    <t>Pires, F; Vilasís-Pamos, J; Anglada-Pujol, O; Masanet, MJ</t>
  </si>
  <si>
    <t>Pires, Fernanda; Vilasis-Pamos, Julia; Anglada-Pujol, Ona; Masanet, Maria-Jose</t>
  </si>
  <si>
    <t>REPORTING AND SELF-DEFENCE OF SEXUAL HARASSMENT AND VIOLENCE IN UBER: HISTORY OF USERS ON TWITTER AND TIKTOK</t>
  </si>
  <si>
    <t>Catalan</t>
  </si>
  <si>
    <t>This article focuses on exploring the stories shared on social media from the perspective of women who have suffered various forms of violence and feelings of not being safe when using Uber transport services. For that reason, this article has the following specific objectives:1) to identify and explore the stories shared on social media describing violence and abuse suffered by Uber users due to their gender; and 2) to identify and explore the safety and protective measures articulated on social media in the face of said violent and abusive situations. In order to do this, we undertook non-participative systematic observation on the social networks Twitter and TikTok, where we identified content involving reports, self-defence, prevention and raising awareness. It can be concluded that most reports are in the field of experiences and involve user stories describing violence and abuse suffered while using Uber transport services. The self-defence content shared on social media is configured as a tool for tackling instances of harassment, However, these tools lack a collective mobilization aspect.</t>
  </si>
  <si>
    <t>[Pires, Fernanda] Univ Autonoma Barcelona UAB, Barcelona, Spain; [Vilasis-Pamos, Julia; Anglada-Pujol, Ona] Univ Pompeu Fabra, Barcelona, Spain; [Masanet, Maria-Jose] Univ Barcelona UB, Barcelona, Spain</t>
  </si>
  <si>
    <t>Autonomous University of Barcelona; Pompeu Fabra University</t>
  </si>
  <si>
    <t>Pires, F (corresponding author), Univ Autonoma Barcelona UAB, Barcelona, Spain.</t>
  </si>
  <si>
    <t>fernanda.pires@uab.cat; julia.vilasis@upf.edu; ona.anglada@upf.edu; mjose.masanet@ub.edu</t>
  </si>
  <si>
    <t>Masanet, Maria-Jose/AAW-9587-2020; Anglada-Pujol, Ona/IQV-5319-2023; Vilasís-Pamos, Júlia/AAR-6640-2021; Pires de Sá, Fernanda/D-9460-2019</t>
  </si>
  <si>
    <t>10.1344/bid2022.48.10</t>
  </si>
  <si>
    <t>WOS:000814043300003</t>
  </si>
  <si>
    <t>Faklaris, C; Cafaro, F; Blevins, A; O'Haver, MA; Singhal, N</t>
  </si>
  <si>
    <t>Faklaris, Cori; Cafaro, Francesco; Blevins, Asa; O'Haver, Matthew A.; Singhal, Neha</t>
  </si>
  <si>
    <t>A Snapshot of Bystander Attitudes about Mobile Live-Streaming Video in Public Settings</t>
  </si>
  <si>
    <t>INFORMATICS-BASEL</t>
  </si>
  <si>
    <t>live streaming; Periscope; Facebook Live; TikTok; mobile video; privacy; surveillance; ubiquitous computing; human-computer interaction; intellectual property</t>
  </si>
  <si>
    <t>With the advent of mobile apps such as Periscope, Facebook Live, and now TikTok, live-streaming video has become a commonplace form of social computing. It has not been clear, however, to what extent the current ubiquity of smartphones is impacting this technology's acceptance in everyday social situations, and how mobile contexts or affordances will affect and be affected by shifts in social norms and policy debates regarding privacy, surveillance, and intellectual property. This ethnographic-style research provides a snapshot of attitudes about the technology among a sample of US participants in two public contexts, both held outdoors in August 2016: A sports tailgating event and a meeting event. Interviews with n = 20 bystanders revealed that many are not fully aware of when their image or speech is being live-streamed in a casual context, and some want stronger notifications of and ability to consent to such broadcasting. We offer design recommendations to help bridge this socio-technical gap.</t>
  </si>
  <si>
    <t>[Faklaris, Cori] Carnegie Mellon Univ, Sch Comp Sci, Human Comp Interact Inst, Pittsburgh, PA 15213 USA; [Cafaro, Francesco; Blevins, Asa; O'Haver, Matthew A.; Singhal, Neha] Indiana Univ Purdue Univ, Dept Human Ctr Comp, Sch Informat &amp; Comp, Indianapolis, IN 46202 USA</t>
  </si>
  <si>
    <t>Carnegie Mellon University; Purdue University System; Purdue University</t>
  </si>
  <si>
    <t>Faklaris, C (corresponding author), Carnegie Mellon Univ, Sch Comp Sci, Human Comp Interact Inst, Pittsburgh, PA 15213 USA.;Cafaro, F (corresponding author), Indiana Univ Purdue Univ, Dept Human Ctr Comp, Sch Informat &amp; Comp, Indianapolis, IN 46202 USA.</t>
  </si>
  <si>
    <t>cfaklari@cs.cmu.edu; fcafaro@iu.edu; asablevins@gmail.com; maohaver@iupui.edu; neha.letterdrop@gmail.com</t>
  </si>
  <si>
    <t>Faklaris, Cori/0000-0002-4084-4086; Cafaro, Francesco/0000-0001-5744-6386</t>
  </si>
  <si>
    <t>2227-9709</t>
  </si>
  <si>
    <t>Informatics-Basel</t>
  </si>
  <si>
    <t>10.3390/informatics7020010</t>
  </si>
  <si>
    <t>Computer Science, Interdisciplinary Applications</t>
  </si>
  <si>
    <t>MO0UN</t>
  </si>
  <si>
    <t>WOS:000551252300011</t>
  </si>
  <si>
    <t>Felix, MHL; de Barros, JG</t>
  </si>
  <si>
    <t>Felix, Matheus Henrique Lopes; de Barros, Janaina Galdino</t>
  </si>
  <si>
    <t>THE GROWTH OF SOCIAL NETWORKS IN PANDEMIC TIMES</t>
  </si>
  <si>
    <t>HUMANIDADES &amp; INOVACAO</t>
  </si>
  <si>
    <t>Social Networks; Social Isolation; Users; Media; Health</t>
  </si>
  <si>
    <t>This article aims to identify if the social networks Instagram and TikTok had an increase in users during the time of social isolation and if this increase can be harmful to health, the Google forms platform was used to make the questionnaire of this research, seeking to know the opinion of the users themselves.</t>
  </si>
  <si>
    <t>[Felix, Matheus Henrique Lopes; de Barros, Janaina Galdino] UFAL AL, Maceio, AL, Brazil</t>
  </si>
  <si>
    <t>Felix, MHL (corresponding author), UFAL AL, Maceio, AL, Brazil.</t>
  </si>
  <si>
    <t>Matheus.felix@ichca.ufal.br; janaina.barros@ichca.ufal.br</t>
  </si>
  <si>
    <t>FUNDACAO UNIV TOCANTINS</t>
  </si>
  <si>
    <t>PALMAS-TOCANTINS</t>
  </si>
  <si>
    <t>PRO-REITORIA PESQUISA &amp; POS-GRADUACAO 108 SUL ALAMEDA 11 LOTE 03 CX POSTAL 173, PALMAS-TOCANTINS, CEP77020-122, BRAZIL</t>
  </si>
  <si>
    <t>2358-8322</t>
  </si>
  <si>
    <t>HUMANID INOV</t>
  </si>
  <si>
    <t>Humanid. Inov.</t>
  </si>
  <si>
    <t>JF8R0</t>
  </si>
  <si>
    <t>WOS:001171848900018</t>
  </si>
  <si>
    <t>An autoethnography of automated powerlessness: lacking platform affordances in Instagram and TikTok account deletions</t>
  </si>
  <si>
    <t>algorithm bias; automated content moderation; deplatforming; Instagram; platform governance; social media moderation; social media nudity; TikTok</t>
  </si>
  <si>
    <t>RISK-SOCIETY</t>
  </si>
  <si>
    <t>Situated within the field of platform governance studies, this paper shares findings from an 'autoethnography of automated powerlessness', drawing from the researcher's disempowering experience of being a heavily moderated social media user. Using theoretical frameworks blending affordances and World Risk Society theories, this paper contextualises my experiences of moderation of my pole dance instructor, activist and blogger account @bloggeronpole from February to October 2021 within social media's broader de-platforming of nudity and sexuality, finding fallacies within platforms' own affordances, which lack mechanisms to aid or rehabilitate de-platformed accounts. With little to no information from platforms about the details of their moderation, qualitative, ethnographic and autoethnographic explorations of their governance are all users currently have to fight and understand their puritan, patriarchal censorship of nudity and sexuality, which are often conflated with risk. This study concludes with recommendations for different options for better, more equal and community focused moderation.</t>
  </si>
  <si>
    <t>[Are, Carolina] Northumbria Univ, London, England; [Are, Carolina] Northumbria Univ, Ctr Digital Citizens, Northumberland Rd, Newcastle Upon Tyne NE1 8ST, England</t>
  </si>
  <si>
    <t>Are, C (corresponding author), Northumbria Univ, Ctr Digital Citizens, Northumberland Rd, Newcastle Upon Tyne NE1 8ST, England.</t>
  </si>
  <si>
    <t>10.1177/01634437221140531</t>
  </si>
  <si>
    <t>AM2C1</t>
  </si>
  <si>
    <t>WOS:000898217200001</t>
  </si>
  <si>
    <t>Hung, YH; Miles, A; Trevino, Z; DAniello, C; Wood, H; Bishop, A; Monshad, Z</t>
  </si>
  <si>
    <t>Hung, Yi-Hsin; Miles, A'Lyric; Trevino, Zachary; DAniello, Carissa; Wood, Hannah; Bishop, Avery; Monshad, Zihan</t>
  </si>
  <si>
    <t>BIPOC Experiences of Racial Trauma on TikTok: A Qualitative Content Analysis</t>
  </si>
  <si>
    <t>Content analysis; Racial trauma; Social media; Qualitative research</t>
  </si>
  <si>
    <t>AFRICAN-AMERICAN; THERAPY; RACE</t>
  </si>
  <si>
    <t>Racial trauma has long been an issue in American society. Recent incidents of racial violence, including the attack and murder of George Floyd and the rise of anti-Asian hate have garnered significant media attention. People often use social media to express their emotions and perspectives on national events, and it has become a popular forum for posting and commenting on content related to timely social issues. In effort to understand individual perspectives, and experiences of racial trauma discussed on social media, we analyzed content labeled with the hashtag racial trauma on TikTok during significant racial incidents from March 2020 to May 2022. Results of content analysis showed six themes, (1) encountering racism, (2) traumatic experiences, (3) consequences of experiencing racial trauma, (4) expressing difficult feelings, (5) questioning and challenging oppression, denial, and privilege, and (6) a call to action: raising awareness. Findings inform clinicians' understanding of how their clients experience racial trauma. Clinical implications for incorporating a nuanced understanding of racial trauma in mental health treatment are discussed.</t>
  </si>
  <si>
    <t>[Hung, Yi-Hsin; Miles, A'Lyric; Trevino, Zachary; DAniello, Carissa; Wood, Hannah] Texas Tech Univ, Community Family &amp; Addict Sci, Lubbock, TX 79409 USA; [Bishop, Avery] Texas Tech Univ, Psychol Sci, Lubbock, TX USA; [Monshad, Zihan] Texas Tech Univ, Dept Chem &amp; Biochem, Lubbock, TX USA</t>
  </si>
  <si>
    <t>Texas Tech University System; Texas Tech University; Texas Tech University System; Texas Tech University; Texas Tech University System; Texas Tech University</t>
  </si>
  <si>
    <t>Hung, YH (corresponding author), Texas Tech Univ, Community Family &amp; Addict Sci, Lubbock, TX 79409 USA.</t>
  </si>
  <si>
    <t>yihung@ttu.edu; alymiles@ttu.edu; zachary.trevino@ttu.edu; carissa.daniello@ttu.edu; Han.Wood@ttu.edu; Avery.bishop@ttu.edu; zihan.monshad@ttu.edu</t>
  </si>
  <si>
    <t>Hung, Yi-Hsin/0000-0002-9940-2055</t>
  </si>
  <si>
    <t>10.1007/s10591-023-09669-6</t>
  </si>
  <si>
    <t>WOS:000985428700001</t>
  </si>
  <si>
    <t>Cuestas, P; Pates, G; Saez, V</t>
  </si>
  <si>
    <t>Cuestas, Paula; Pates, Giuliana; Saez, Victoria</t>
  </si>
  <si>
    <t>Booktok phenomenon and reading in pandemic: young people, screens, books and publishers</t>
  </si>
  <si>
    <t>TikTok; BookTok; pandemic; reading; publishing industry; digital technologies</t>
  </si>
  <si>
    <t>In this article, we aim to describe and analyze how young readers - and, in particular, young female readers - are using TikTok to review books and share their literary experiences with their followers. We consider reading as a sociocultural and historical practice that changes along with the times. In this context, we look at the rising link between books and screens. In regard to our methodological approach, we carried out a qualitative and site-specific investigation, conducting in-depth and biographically-oriented interviews. With this as our foundation, we then analyzed how the use of digital technologies is changing among readers. In particular, we looked at the BookTok phenomenon in Argentina during the pandemic lockdown. We conclude that BookTokers have doubled down on trends that were already rising among young readers using digital technologies. These trends are transforming both the environments these readers live in (educational or professional contexts as well as their personal relationships with other readers) and the publishing industry as a whole.</t>
  </si>
  <si>
    <t>[Cuestas, Paula] Univ Nacl La Plata, Inst Invest Humanidades &amp; Ciencias Sociales, La Plata, Argentina; [Pates, Giuliana] Univ Nacl La Plata, Inst Estudios Comunicacionales Medios Cultura &amp; P, La Plata, Argentina; [Saez, Victoria] Univ Buenos Aires, Inst Invest Gino Germani, Buenos Aires, DF, Argentina</t>
  </si>
  <si>
    <t>National University of La Plata; National University of La Plata; University of Buenos Aires</t>
  </si>
  <si>
    <t>Cuestas, P (corresponding author), Univ Nacl La Plata, Inst Invest Humanidades &amp; Ciencias Sociales, La Plata, Argentina.</t>
  </si>
  <si>
    <t>paula.cuestas90@gmail.com; giulipates@gmail.com; saezvictoria@live.com</t>
  </si>
  <si>
    <t>10.26422/aucom.2022.1101.pat</t>
  </si>
  <si>
    <t>WOS:000822796300003</t>
  </si>
  <si>
    <t>Velasco, JC; Manguera, JJC; Navalan, EJ; Limchiko, JNC; Bayot, TAMD; Mercado, MG</t>
  </si>
  <si>
    <t>Velasco, Joseph Ching; Manguera, Jhazmin Joi C.; Navalan, Eunice Julia, V; Limchiko, Julianna Nicole C.; Bayot, Trixie Anne Marie D.; Mercado, Marjorie Grace, V</t>
  </si>
  <si>
    <t>The Digital Dynamics of Political Engagement Among Filipino Youth: Examining Participation in Social Media Platforms</t>
  </si>
  <si>
    <t>Expressive engagement; follower engagement; generation Z; latent engagement; online engagements; political participation; social media,; system engagement</t>
  </si>
  <si>
    <t>Youth participation has historically played a critical role in shaping the political landscape of the Philippines. Being immersed in digital technology, Generation Z has mostly shifted their activism from the streets to the virtual realm of diverse social media platforms. Through digital interactions, they champion causes and establish political dialogue by initiating socio-political movements online. This study utilized the Social Media Political Participation Scale to put into perspective the online political behaviors of Filipinos who are part of Generation Z. Specifically, the study centers on Metro Manila, comparing their engagements across various online platforms, including Facebook, Twitter, Instagram, YouTube, and TikTok. Social media engagements were divided into four aspects: latent engagement, follower engagement, expressive engagement, and system engagement, to identify the digital activities that encourage respondents to participate. The study highlights the nuanced dynamics of digital political engagement and its role in shaping political participation. Results reveal that only Instagram and TikTok encourage respondents to participate politically on different social media platforms.</t>
  </si>
  <si>
    <t>[Velasco, Joseph Ching; Manguera, Jhazmin Joi C.; Navalan, Eunice Julia, V; Limchiko, Julianna Nicole C.; Bayot, Trixie Anne Marie D.; Mercado, Marjorie Grace, V] De La Salle Univ, Dept Polit Sci &amp; Dev Studies, Manila, Philippines</t>
  </si>
  <si>
    <t>Velasco, JC (corresponding author), De La Salle Univ, Dept Polit Sci &amp; Dev Studies, Manila, Philippines.</t>
  </si>
  <si>
    <t>joseph.velasco@dlsu.edu.ph; jhazmin_manguera@dlsu.edu.ph; julianna_limchiko@dlsu.edu.ph; trixie_bayot@dlsu.edu.ph</t>
  </si>
  <si>
    <t>Velasco, Joseph/JBS-0014-2023</t>
  </si>
  <si>
    <t>10.47836/pjssh.32.3.12</t>
  </si>
  <si>
    <t>K2J5E</t>
  </si>
  <si>
    <t>WOS:001342191500012</t>
  </si>
  <si>
    <t>Robson, S; Banerjee, S; Kaur, A</t>
  </si>
  <si>
    <t>Lee, S; Choo, H; Ismail, R</t>
  </si>
  <si>
    <t>Robson, Sebastian; Banerjee, Snehasish; Kaur, Avneet</t>
  </si>
  <si>
    <t>Brand Post Popularity on Social Media: A Systematic Literature Review</t>
  </si>
  <si>
    <t>PROCEEDINGS OF THE 2022 16TH INTERNATIONAL CONFERENCE ON UBIQUITOUS INFORMATION MANAGEMENT AND COMMUNICATION (IMCOM 2022)</t>
  </si>
  <si>
    <t>International Conference on Ubiquitous Information Management and Communication-IMCOM</t>
  </si>
  <si>
    <t>16th International Conference on Ubiquitous Information Management and Communication (IMCOM)</t>
  </si>
  <si>
    <t>JAN 03-05, 2022</t>
  </si>
  <si>
    <t>Sungkyunkwan Univ, Seoul, SOUTH KOREA</t>
  </si>
  <si>
    <t>IEEE,IEEE Syst, Man, &amp; Cybernet Soc,Univ Kuala Lumpur</t>
  </si>
  <si>
    <t>Sungkyunkwan Univ</t>
  </si>
  <si>
    <t>brand post popularity; digital branding; digital marketing; Facebook; Instagram; research agenda; social media; social media marketing; systematic review; TikTok; Twitter</t>
  </si>
  <si>
    <t>Social media has now become an indispensable marketing tool. Much research has been done to understand what makes brands' social media posts popular by attracting Likes, Comments and/or Shares. The objective of this paper is to carry out a systematic literature review on brand post popularity on social media. Through a literature search on Scopus the largest database of peer-reviewed literature, 19 relevant articles were identified. Facebook has been the most widely studied platform while only a handful of works have focused on Instagram and Twitter. Platforms such as Linkedln and TikTok have not been studied. Scholarly attention has mostly been trained on well-known and popular brands. A list of 22 antecedents of brand post popularity could be identified, some of which have often yielded contradictory findings. Several directions for future research are proposed. Consistencies in the literature are also summarized for the benefit of practitioners such as social media marketers.</t>
  </si>
  <si>
    <t>[Robson, Sebastian] Bettys &amp; Taylors Grp Ltd, Bettys &amp; Taylors Harrogate, Harrogate, England; [Banerjee, Snehasish; Kaur, Avneet] Univ York, York Management Sch, York, N Yorkshire, England</t>
  </si>
  <si>
    <t>Robson, S (corresponding author), Bettys &amp; Taylors Grp Ltd, Bettys &amp; Taylors Harrogate, Harrogate, England.</t>
  </si>
  <si>
    <t>robson_sebastian@mail.de; snehasish.banerjee@york.ac.uk; ak1601@york.ac.uk</t>
  </si>
  <si>
    <t>2644-0164</t>
  </si>
  <si>
    <t>978-1-6654-2678-7</t>
  </si>
  <si>
    <t>INT CONF UBIQUIT INF</t>
  </si>
  <si>
    <t>10.1109/IMCOM53663.2022.9721784</t>
  </si>
  <si>
    <t>BT1QW</t>
  </si>
  <si>
    <t>WOS:000800249400075</t>
  </si>
  <si>
    <t>Di Lellis, MA</t>
  </si>
  <si>
    <t>Di Lellis, Maddalena Angela</t>
  </si>
  <si>
    <t>Health education videos are often of poor quality</t>
  </si>
  <si>
    <t>AKTUELLE DERMATOLOGIE</t>
  </si>
  <si>
    <t>Social-Media-Plattformen erfreuen sich bei Patienten, die Gesundheitsaufkl &amp; auml;rung und -beratung zu u.a. der seborrhoischen Dermatitis (SD) suchen, gro ss er Beliebtheit; &amp; uuml;ber die Identit &amp; auml;t und Qualit &amp; auml;t der in sozialen Medien konsumierten Informationen &amp; uuml;ber SD ist jedoch wenig bekannt. Fakhraie et al. untersuchten Inhalt, Qualit &amp; auml;t und Popularit &amp; auml;t von Information auf YouTube, TikTok und Instagram.</t>
  </si>
  <si>
    <t>0340-2541</t>
  </si>
  <si>
    <t>1438-938X</t>
  </si>
  <si>
    <t>AKTUEL DERMATOL</t>
  </si>
  <si>
    <t>Aktuel. Dermatol.</t>
  </si>
  <si>
    <t>10.1055/a-2248-1763</t>
  </si>
  <si>
    <t>PS6D6</t>
  </si>
  <si>
    <t>WOS:001216103200002</t>
  </si>
  <si>
    <t>Shi, YJ; Wu, CY</t>
  </si>
  <si>
    <t>Shi, Yujing; Wu, Chenyang</t>
  </si>
  <si>
    <t>The influencing factor model and empirical research of TikTok charity live streaming impact users' online charitable donation</t>
  </si>
  <si>
    <t>INFORMATION-TECHNOLOGY; PERCEIVED RISK; PERCEPTIONS; ACCEPTANCE; BEHAVIOR</t>
  </si>
  <si>
    <t>The live streaming + charity model is a new model for China's philanthropy, accelerating the new development of China's philanthropy, but there is still a relative paucity of research in the academic community on how charity live streaming affects online charitable donations. In this sense, this study aims to identify the construction of a model of the factors influencing charity live streaming on online charitable donations. This study selected TikTok Live, based on the UTAUT model, combining perceived risk and perceived interactivity, recovered 607 valid questionnaires, and concluded and structural equation modeling to construct an influence factor model to analyze their correlation. The results show that users' performance expectancy, effort expectancy, perceived interactivity, facilitating conditions, and social influence are significantly positively correlated with online charitable donations, and perceived risk does not negatively affect users' intentions to make online charitable donations. Our findings can provide a basis for live-streaming platforms and relevant social organizations and government departments to develop charity communication strategies.</t>
  </si>
  <si>
    <t>[Shi, Yujing; Wu, Chenyang] Chongqing Univ, Sch Journalism &amp; Commun, Chongqing, Peoples R China</t>
  </si>
  <si>
    <t>Chongqing University</t>
  </si>
  <si>
    <t>Shi, YJ (corresponding author), Chongqing Univ, Sch Journalism &amp; Commun, Chongqing, Peoples R China.</t>
  </si>
  <si>
    <t>yujings816@163.com</t>
  </si>
  <si>
    <t>Abbas, Alhamzah/ABC-6869-2021; Wu, Chenyang/IZQ-0412-2023</t>
  </si>
  <si>
    <t>Shi, Yujing/0009-0005-3635-6556</t>
  </si>
  <si>
    <t>NOV 13</t>
  </si>
  <si>
    <t>e0294186</t>
  </si>
  <si>
    <t>10.1371/journal.pone.0294186</t>
  </si>
  <si>
    <t>CL0A1</t>
  </si>
  <si>
    <t>WOS:001125277400016</t>
  </si>
  <si>
    <t>Fiuza, A; Rodgers, RF</t>
  </si>
  <si>
    <t>Fiuza, Angelica; Rodgers, Rachel F.</t>
  </si>
  <si>
    <t>The effects of brief diet and anti-diet social media videos on body image and eating concerns among young women</t>
  </si>
  <si>
    <t>Videos; Diet; Social media; Body image; Rumination; Thin -ideal internalization</t>
  </si>
  <si>
    <t>SOCIOCULTURAL ATTITUDES; APPEARANCE COMPARISONS; THIN-IDEAL; INSTAGRAM; INTERNALIZATION; DISSATISFACTION; FITSPIRATION; VALIDATION; RUMINATION</t>
  </si>
  <si>
    <t>The effects of photo-based platforms on body image concerns are well documented, yet it is unknown whether these effects replicate across video-based platforms such as TikTok. Thus, this experimental study aimed to examine the relationship between video-based platform use and body image. Women aged 18 to 21 (n = 421) were randomly assigned to watch two brief, consecutive TikTok videos in one of three conditions: (1) diet culture, (2) anti-diet, (3) neutral. Participants allocated to the anti-diet condition reported greater increases in weight and shape satisfaction as compared to the diet culture condition, and greater increases in state body appreciation and state intuitive eating as compared to the neutral condition. In addition, those allocated to the diet culture condition reported greater increases in restriction and urges to exercise, and smaller gains in positive mood, as compared to those in the neutral condition. Social media related rumination and thin-ideal internalization potentiated these effects.</t>
  </si>
  <si>
    <t>[Fiuza, Angelica; Rodgers, Rachel F.] Northeastern Univ, Dept Appl Psychol, APPEAR, Boston, MA 02115 USA; [Rodgers, Rachel F.] CHRU Montpellier, Lapeyronie Hosp, Dept Psychiat Emergency &amp; Acute Care, Montpellier, France; [Rodgers, Rachel F.] Northeastern Univ, Dept Appl Psychol, 404 INV, Boston, MA 02115 USA</t>
  </si>
  <si>
    <t>Northeastern University; Universite de Montpellier; CHU de Montpellier; Northeastern University</t>
  </si>
  <si>
    <t>Rodgers, RF (corresponding author), Northeastern Univ, Dept Appl Psychol, 404 INV, Boston, MA 02115 USA.</t>
  </si>
  <si>
    <t>rodgers.rachel@gmail.com</t>
  </si>
  <si>
    <t>PEAK award from Northeastern University</t>
  </si>
  <si>
    <t>Funding This study was funded by a PEAK award from Northeastern University.</t>
  </si>
  <si>
    <t>10.1016/j.eatbeh.2023.101811</t>
  </si>
  <si>
    <t>T2BK8</t>
  </si>
  <si>
    <t>WOS:001076085500001</t>
  </si>
  <si>
    <t>Chakravarty, A</t>
  </si>
  <si>
    <t>Chakravarty, Amrita</t>
  </si>
  <si>
    <t>Film(i) Culture after Film: Lip-sync Media and the Expanded Archive of Hindi Cinema</t>
  </si>
  <si>
    <t>Archive; cinephilia; film culture; reception; song and dance; masala film; Dubsmash; TikTok</t>
  </si>
  <si>
    <t>STARDOM</t>
  </si>
  <si>
    <t>This article considers the remediation of Hindi cinema's filmi culture in the citational practices of digital media. Foregrounding a case study of the lip-sync video on platforms such as Dubsmash and TikTok, it traces the formation of an expanded archive of Hindi cinema, one which reveals this cinema as less a canon of films than a repertoire of gestures, expressions and style offered up for use to a non-traditional cinephiliac public. The article argues, however, that such an archival view of a historical filmi culture is possible only because of the recession of a filmi culture organised around the sign of cinema to one organised around the sociality of platforms. Among other things, it attributes this shift to the passing of the masala film. The article then pays particular attention to this form as an assemblage of detachable parts primed for circulation. It finally addresses the emergence of a new industrial reflexivity in response to the currency of filmi style in an age of platforms.</t>
  </si>
  <si>
    <t>[Chakravarty, Amrita] Yale Univ, Dept Film &amp; Media Studies, New Haven, CT 06520 USA; [Chakravarty, Amrita] Yale Univ, Dept Comparat Literature, New Haven, CT 06520 USA</t>
  </si>
  <si>
    <t>Yale University; Yale University</t>
  </si>
  <si>
    <t>Chakravarty, A (corresponding author), Yale Univ, Dept Film &amp; Media Studies, New Haven, CT 06520 USA.;Chakravarty, A (corresponding author), Yale Univ, Dept Comparat Literature, New Haven, CT 06520 USA.</t>
  </si>
  <si>
    <t>amrita.chakravarty@yale.edu</t>
  </si>
  <si>
    <t>10.1177/09749276231198043</t>
  </si>
  <si>
    <t>DO7T6</t>
  </si>
  <si>
    <t>WOS:001101891000001</t>
  </si>
  <si>
    <t>Zheng, JX; Zhang, SX</t>
  </si>
  <si>
    <t>Zheng, Jin-Xin; Zhang, Shun-Xian</t>
  </si>
  <si>
    <t>A Carbon Monoxide Poisoning Case Insight: The Convergence of Social Media and Epidemiology</t>
  </si>
  <si>
    <t>Epidemiology; Health communication; Social media; Case study; TikTok</t>
  </si>
  <si>
    <t>This study explores the role of social media in public health through a case of carbon monoxide (CO) poisoning prevented and subsequently overlooked, as influenced by digital community interaction. A TikTok influencer shared an experience with a coal stove, leading to followers advising against its use due to CO poisoning risks. This advice was heeded, yet a family member, unaware of these risks, experienced CO poisoning. This incident illuminates social media's potential in disseminating life-saving health information and influencing behavior, forming the basis of Media Epidemiology. This new field studies how digital communication impacts health-related behaviors and outcomes. Our analysis highlights social media as a tool for rapid health information dissemination and preventive action. It underscores the need for integrating digital platform dynamics into public health strategies, emphasizing education on hazards like CO poisoning. This study advocates for leveraging social media in public health, exemplifying its role in disease prevention and health promotion, and marking a significant stride in contemporary epidemiological research.</t>
  </si>
  <si>
    <t>[Zheng, Jin-Xin] Shanghai Jiao Tong Univ, Sch Med, Chinese Ctr Trop Dis Res, Sch Global Hlth, Shanghai, Peoples R China; [Zhang, Shun-Xian] Shanghai Univ Tradit Chinese Med, Longhua Hosp, Xuhui Dist Wanping Rd 725, Shanghai 200032, Peoples R China</t>
  </si>
  <si>
    <t>Shanghai Jiao Tong University; Shanghai University of Traditional Chinese Medicine</t>
  </si>
  <si>
    <t>Zhang, SX (corresponding author), Shanghai Univ Tradit Chinese Med, Longhua Hosp, Xuhui Dist Wanping Rd 725, Shanghai 200032, Peoples R China.</t>
  </si>
  <si>
    <t>zhangshunxian110@163.com</t>
  </si>
  <si>
    <t>Zheng, JinXin/KEI-7780-2024; Zhang, Shun-Xian/N-4979-2017</t>
  </si>
  <si>
    <t>Jinxin, zheng/0000-0003-1476-1903</t>
  </si>
  <si>
    <t>Shanghai Natural Science Foundation [23ZR1464000]; Medical Innovation Research Special Project of the Shanghai 2021 Science and Technology Innovation Action Plan [21Y11922500]; Three-year Action Plan for Promoting Clinical Skills and Innovation Ability of Municipal Hospitals [SHDC2022CRS039]; Talent Fund of Longhua Hospital affiliated to Shanghai University of Traditional Chinese Medicine [LH001.007]</t>
  </si>
  <si>
    <t>Shanghai Natural Science Foundation(Natural Science Foundation of Shanghai); Medical Innovation Research Special Project of the Shanghai 2021 Science and Technology Innovation Action Plan; Three-year Action Plan for Promoting Clinical Skills and Innovation Ability of Municipal Hospitals; Talent Fund of Longhua Hospital affiliated to Shanghai University of Traditional Chinese Medicine</t>
  </si>
  <si>
    <t>The author(s) disclosed receipt of the following financial support for the research, authorship, and/or publication of this article: The study was supported by the fund of Shanghai Natural Science Foundation (23ZR1464000), Medical Innovation Research Special Project of the Shanghai 2021 Science and Technology Innovation Action Plan (21Y11922500), Three-year Action Plan for Promoting Clinical Skills and Innovation Ability of Municipal Hospitals (SHDC2022CRS039), the Talent Fund of Longhua Hospital affiliated to Shanghai University of Traditional Chinese Medicine (LH001.007).</t>
  </si>
  <si>
    <t>10.1177/10755470241254833</t>
  </si>
  <si>
    <t>J7E1P</t>
  </si>
  <si>
    <t>WOS:001226512100001</t>
  </si>
  <si>
    <t>Romano, M; Perez, K; Abarca, D</t>
  </si>
  <si>
    <t>Romano, Mollie; Perez, Katherine; Abarca, Diana</t>
  </si>
  <si>
    <t>The BabyTok Project: Examining the Feasibility and Acceptability of a Light-Touch Social Media Project for Infant-Toddler Teachers</t>
  </si>
  <si>
    <t>EARLY CHILDHOOD EDUCATION JOURNAL</t>
  </si>
  <si>
    <t>Early language development; Infant toddler teachers; Professional development</t>
  </si>
  <si>
    <t>EARLY-CHILDHOOD EDUCATORS; PROFESSIONAL-DEVELOPMENT; LANGUAGE; IMPLEMENTATION; CHILDREN; CARE; INTERVENTIONS; KNOWLEDGE</t>
  </si>
  <si>
    <t>High-quality early care and education is a known protective factor for infants and toddlers who experience early childhood poverty, especially for early communication outcomes. However, the quality of care is variable in the United States, and efforts to increase the quality of interactions is impeded by cost and high rates of turnover in the field. In this paper, we explore a low-cost, light touch social media intervention that uses the TikTok platform to increase infant-toddler teachers' (ITTs) knowledge of early communication and social interactions while validating the important role that ITTs play in the lives of young children. We use a mixed method, pre-post design to explore the feasibility and acceptability of the BabyTok project from the vantage point of the ITT participants. Teachers offered positive feedback about the content, delivery of the intervention through TikTok and the impact on their feelings about their role in helping young children learn.</t>
  </si>
  <si>
    <t>[Romano, Mollie; Perez, Katherine; Abarca, Diana] Florida State Univ, Sch Commun Sci, 201 W Bloxham, St Tallahassee, FL 32301 USA; [Romano, Mollie; Perez, Katherine; Abarca, Diana] Florida State Univ, Disorders &amp; Commun &amp; Early Childhood Res &amp; Practi, 201 W Bloxham, St Tallahassee, FL 32301 USA</t>
  </si>
  <si>
    <t>State University System of Florida; Florida State University; State University System of Florida; Florida State University</t>
  </si>
  <si>
    <t>Romano, M (corresponding author), Florida State Univ, Sch Commun Sci, 201 W Bloxham, St Tallahassee, FL 32301 USA.;Romano, M (corresponding author), Florida State Univ, Disorders &amp; Commun &amp; Early Childhood Res &amp; Practi, 201 W Bloxham, St Tallahassee, FL 32301 USA.</t>
  </si>
  <si>
    <t>mollie.romano@cci.fsu.edu</t>
  </si>
  <si>
    <t>Abarca, Diana/JXM-4368-2024</t>
  </si>
  <si>
    <t>1082-3301</t>
  </si>
  <si>
    <t>1573-1707</t>
  </si>
  <si>
    <t>EARLY CHILD EDUC J</t>
  </si>
  <si>
    <t>Early Child. Educ. J.</t>
  </si>
  <si>
    <t>10.1007/s10643-022-01426-y</t>
  </si>
  <si>
    <t>FI7V0</t>
  </si>
  <si>
    <t>WOS:000886187700001</t>
  </si>
  <si>
    <t>Galea, M</t>
  </si>
  <si>
    <t>Galea, Michela</t>
  </si>
  <si>
    <t>Inspiration or infringement? Social media 'viral' trends: a case study on TikTok</t>
  </si>
  <si>
    <t>Short-form videos have recently gained popularity thanks to social media platforms like TikTok. Some of the videos created by users go 'viral' and are 'reproduced' by others as they become trends on this platform. This article examines whether viral social media trends can warrant copyright protection and whether, by recreating such trends without permission, a potential infringement takes place. The idea-expression dichotomy will form the basis of the analysis so that the question is whether the infringer merely borrows an unprotected idea or rather copies a protectable expression. Additionally, as hinted in the pending referral in Mio (C-580/23), the Court of Justice of the European Union (CJEU) is yet to determine how the assessment of similarity, when examining an alleged infringement, must be conducted-is this one of recognizability or rather overall impression? Exceptions and limitations-most pertinently, pastiche-also form part of the discussion as questions are raised on the application of this undefined concept, pending the judgment in Pelham II (C-590/23). A balancing approach shall be taken between the interests of the different stakeholders at hand, including having regard to freedom of expression and protection of IP.</t>
  </si>
  <si>
    <t>[Galea, Michela] Stockholm Univ, Dept Law, Stockholm, Sweden</t>
  </si>
  <si>
    <t>Stockholm University</t>
  </si>
  <si>
    <t>Galea, M (corresponding author), Stockholm Univ, Dept Law, Stockholm, Sweden.</t>
  </si>
  <si>
    <t>galea.michela.mg@gmail.com</t>
  </si>
  <si>
    <t>LLM programme - ENDEAVOUR II Scholarships Scheme [ESF+ 2021-2027]</t>
  </si>
  <si>
    <t>LLM programme - ENDEAVOUR II Scholarships Scheme</t>
  </si>
  <si>
    <t>The author wishes to thank Professor Dr Eleonora Rosati for her help and support throughout the LLM programme and the publication of this article. The research work disclosed in this publication was partly funded by the ENDEAVOUR II Scholarships Scheme (Malta). Project may be co-funded by the ESF+ 2021-2027.</t>
  </si>
  <si>
    <t>MAY 9</t>
  </si>
  <si>
    <t>10.1093/jiplp/jpae038</t>
  </si>
  <si>
    <t>SK2Q5</t>
  </si>
  <si>
    <t>WOS:001189261700001</t>
  </si>
  <si>
    <t>Meirbekov, A; Nyshanova, S; Meiirbekov, A; Kazykhankyzy, L; Burayeva, Z; Abzhekenova, B</t>
  </si>
  <si>
    <t>Meirbekov, Akylbek; Nyshanova, Saltanat; Meiirbekov, Assylbek; Kazykhankyzy, Lazura; Burayeva, Zhanat; Abzhekenova, Bibinur</t>
  </si>
  <si>
    <t>Digitisation of English language education: Instagram and TikTok online educational blogs and courses vs. traditional academic education. How to increase student motivation?</t>
  </si>
  <si>
    <t>Language education; Mobile language learning; Online learning; Social media; Student satisfaction assessment</t>
  </si>
  <si>
    <t>Social media applications can significantly impact English language learning in the classroom and outside of it thanks to new technologies and the widespread use of mobile devices. This paper compares the effectiveness of teaching English through Instagram and TikTok educational online blogs and online courses to traditional academic education to improve students' performance and increase their motivation to learn the language. This study's methodology relied on a quasi-experiment using online questionnaires and statistical data processing. The findings revealed that, of the three main types of videos for English language learning, students preferred authenticity-centred videos the most, with 128 participants (68.45%) preferring authenticity-centred videos, 17 participants (9.09%) preferring research-centred videos, and 42 participants (22.46%) preferring exam-centred videos. Meanwhile, the main disadvantages of using English language textbooks were their limited learning resources and rigid learning content, which did not encourage an interest in learning and knowledge expansion. The vast majority of participants also supported using Instagram and TikTok as video teaching tools in EFL classes because they could boost students' motivation and interest in learning English in the classroom, add to lesson plans, and broaden their English language proficiency. Most participants were also open to using these social media platforms as an extracurricular English learning strategy. According to the study's findings, students who took part in it support using mobile technologies in the classroom, which means that it is an effective tool for teaching and learning English. The study is important from a practical standpoint because it advances the understanding of how new image-based social media platforms enable informal language learning online. Furthermore, the findings can be applied to further research into new technologies and methods of teaching English as a foreign language.</t>
  </si>
  <si>
    <t>[Meirbekov, Akylbek] Khoja Akhmet Yassawi Int Kazakh Turkish Univ, Dept Pedag Foreign Languages, Turkestan, Kazakhstan; [Meirbekov, Akylbek] Int Univ Tourism &amp; Hospitality, Turkestan, Kazakhstan; [Nyshanova, Saltanat] Int Univ Tourism &amp; Hospitality, Dept Languages, Turkestan, Kazakhstan; [Meiirbekov, Assylbek] Khoja Akhmet Yassawi Int Kazakh Turkish Univ, Dept English Philol &amp; Translat Studies, Turkestan, Kazakhstan; [Kazykhankyzy, Lazura] Khoja Akhmet Yassawi Int Kazakh Turkish Univ, Dept Foreign Languages Teaching, Turkestan, Kazakhstan; [Burayeva, Zhanat] Khoja Akhmet Yassawi Int Kazakh Turkish Univ, Dept Pedag &amp; Psychol, Turkestan, Kazakhstan; [Abzhekenova, Bibinur] Korkyt Ata Kyzylorda Univ, Dept Pract English, Kyzylorda, Kazakhstan</t>
  </si>
  <si>
    <t>Akhmet Yassawi International Kazakh-Turkish University; Akhmet Yassawi International Kazakh-Turkish University; Akhmet Yassawi International Kazakh-Turkish University; Akhmet Yassawi International Kazakh-Turkish University</t>
  </si>
  <si>
    <t>Meirbekov, A (corresponding author), Khoja Akhmet Yassawi Int Kazakh Turkish Univ, Dept Pedag Foreign Languages, Turkestan, Kazakhstan.;Meirbekov, A (corresponding author), Int Univ Tourism &amp; Hospitality, Turkestan, Kazakhstan.</t>
  </si>
  <si>
    <t>meirb_aky@rambler.ru</t>
  </si>
  <si>
    <t>Burayeva, Zhanat/ABE-9592-2021; Kazykhankyzy, Lazura/AAK-1866-2020; Meirbekov, Akylbek/ABC-6892-2021</t>
  </si>
  <si>
    <t>Kazykhankyzy, Lazura/0000-0002-4155-6430; Meirbekov, Akylbek/0000-0002-9439-0614</t>
  </si>
  <si>
    <t>Science Committee of the Ministry of Science and Higher Education of the Republic of Kazakhstan</t>
  </si>
  <si>
    <t>Science Committee of the Ministry of Science and Higher Education of the Republic of Kazakhstan(Government of the Republic of KazakhstanMinistry of Science &amp; Higher Education of the Republic of KazakhstanScience Committee of the Ministry of Science &amp; Higher Education of the Republic of Kazakhstan)</t>
  </si>
  <si>
    <t>10.1007/s10639-023-12396-y</t>
  </si>
  <si>
    <t>CS1U7</t>
  </si>
  <si>
    <t>WOS:001127147500002</t>
  </si>
  <si>
    <t>How Popular Culture Prompts Youth Collective Political Expression and Cross-Cutting Political Talk on Social Media: A Cross-Platform Analysis</t>
  </si>
  <si>
    <t>political expression; cross-cutting political talk; youth; popular culture; social media; TikTok; YouTube; Instagram</t>
  </si>
  <si>
    <t>ONLINE; CIVILITY; CONVERSATION; DELIBERATION; DEMOCRACY</t>
  </si>
  <si>
    <t>Adopting a comparative cross-platform approach, we examine youth political expression and conversation on social media, as prompted by popular culture. Tracking a common case study-the practice of building Donald Trump's border wall within the videogame Fortnite-across three social media platforms popular with youth (YouTube, TikTok, Instagram), we ask: How do popular culture artifacts prompt youth political expression, as well as cross-cutting political talk with those holding different political views, across social media platforms? A mixed methods approach, combining quantitative and qualitative content analysis of around 6,400 comments posted on relevant artifacts, illuminates youth popular culture as a shared symbolic resource that stimulates communication within and across political differences-although, as our findings show, it is often deployed in a disparaging manner. This cross-platform analysis, grounded in contemporary youth culture and sociopolitical dynamics, enables a deeper understanding of the interplay between popular culture, cross-cutting political talk, and the role that different social media platforms play in shaping these expressive practices.</t>
  </si>
  <si>
    <t>[Literat, Ioana] Columbia Univ, Teachers Coll, New York, NY 10027 USA; [Kligler-Vilenchik, Neta] Hebrew Univ Jerusalem, Jerusalem, Israel</t>
  </si>
  <si>
    <t>Columbia University; Columbia University Teachers College; Hebrew University of Jerusalem</t>
  </si>
  <si>
    <t>Spencer Foundation [201900088]</t>
  </si>
  <si>
    <t>Spencer Foundation</t>
  </si>
  <si>
    <t>This work was supported by the Spencer Foundation (grant #201900088).</t>
  </si>
  <si>
    <t>10.1177/20563051211008821</t>
  </si>
  <si>
    <t>RM9EA</t>
  </si>
  <si>
    <t>WOS:000639957000001</t>
  </si>
  <si>
    <t>Sued, GE; Rodríguez, AR</t>
  </si>
  <si>
    <t>Elisa Sued, Gabriela; Rodriguez Rodriguez, Arturo</t>
  </si>
  <si>
    <t>Partners or workers? Mexican app deliverers on YouTube and TikTok</t>
  </si>
  <si>
    <t>apps; deliverers; Mexico; Platforms; identity; workers; partners; algorithms; YouTube; TitkTok; social data</t>
  </si>
  <si>
    <t>This article seeks to understand how app delivery workers construct their collective identity through the digital platforms of YouTube and TikTok. Said identity construction occurs in the context of the social controversy surrounding their status as workers without labor rights or as independent partners of digital platforms. To this end, we collected 977 videos and their metadata and analyzed them via cross-platform digital methods. The findings reveal that app delivery workers construct their collective identity through the interplay of two factors. The first is the identity narratives created by delivery workers as video bloggers. The second is the recognition narratives created by different associated actors, such as accountants, media, universities and research centers, and content creators. Through these interactions, the narrative of delivery workers as independent partners acquires more algorithmic strength and visibility than those that discuss their status as employees and their lack of labor rights. Audiovisual technology also works as an instrument to reach individual agency and face the precariousness of daily life.</t>
  </si>
  <si>
    <t>[Elisa Sued, Gabriela; Rodriguez Rodriguez, Arturo] Univ Nacl Autonoma Mexico, Mexico City, DF, Mexico</t>
  </si>
  <si>
    <t>Universidad Nacional Autonoma de Mexico</t>
  </si>
  <si>
    <t>Sued, GE (corresponding author), Univ Nacl Autonoma Mexico, Inst Invest Sociales, Circuito Mario Cueva 49, Mexico City 04510, DF, Mexico.</t>
  </si>
  <si>
    <t>gabriela.sued@sociales.unam.mx</t>
  </si>
  <si>
    <t>Humanities Coordination Postdoctoral Fellowship; Universidad Nacional Autonoma de Mexico</t>
  </si>
  <si>
    <t>Humanities Coordination Postdoctoral Fellowship; Universidad Nacional Autonoma de Mexico(Universidad Nacional Autonoma de Mexico)</t>
  </si>
  <si>
    <t>The author(s) disclosed receipt of the following financial support for the research, authorship, and/or publication of this article: Universidad Nacional Autonoma de Mexico; Humanities Coordination Postdoctoral Fellowship.</t>
  </si>
  <si>
    <t>10.1177/13548565231179963</t>
  </si>
  <si>
    <t>K4K4O</t>
  </si>
  <si>
    <t>WOS:001343579100033</t>
  </si>
  <si>
    <t>Zhu, XG; Cao, QQ; Liu, CN</t>
  </si>
  <si>
    <t>Zhu, Xiaogang; Cao, Qianqian; Liu, Chunnian</t>
  </si>
  <si>
    <t>Mechanism of Platform Interaction on Social Media Users' Intention to Disclose Privacy: A Case Study of Tiktok APP</t>
  </si>
  <si>
    <t>interaction; social media; privacy disclosure intention; SOR model; privacy calculus theory</t>
  </si>
  <si>
    <t>STRUCTURAL EQUATION MODELS; CALCULUS MODEL; INTERPERSONAL-INTERACTION; NETWORK SERVICES; SELF-DISCLOSURE; INFORMATION; PERSONALIZATION; ONLINE; CONSUMERS; TRUST</t>
  </si>
  <si>
    <t>Interaction is the main feature of social media, while in recent years, frequent privacy disclosure events of the social media user affect users' privacy disclosure behavior. In this paper, we explore the mechanism of interaction characteristics by social media apps on users' privacy disclosure behavior. Using SOR theoretical models and the privacy calculus theory, the effects of privacy disclosures on TikTok are examined. Structural equation modeling is used to analyze the data from 326 questionnaires. We concluded that human-computer interaction (perceived personalization, perceived control) and interpersonal interaction (perceived similarity) positively and negatively affected perceived benefits and perceived risks, respectively, and had positive effects on intention to disclose privacy through perceived benefits and perceived risks, respectively, except that perceived personalization had no effect on perceived risk and intention to disclose privacy. In addition, perceived benefits and perceived risks played an intermediary role in interactivity and privacy disclosure intention. Finally, we provided countermeasures and suggestions for social media operators and policy makers.</t>
  </si>
  <si>
    <t>[Zhu, Xiaogang; Cao, Qianqian; Liu, Chunnian] Nanchang Univ, Sch Publ Policy &amp; Adm, Nanchang 330031, Jiangxi, Peoples R China</t>
  </si>
  <si>
    <t>Nanchang University</t>
  </si>
  <si>
    <t>Liu, CN (corresponding author), Nanchang Univ, Sch Publ Policy &amp; Adm, Nanchang 330031, Jiangxi, Peoples R China.</t>
  </si>
  <si>
    <t>pan81706@163.com</t>
  </si>
  <si>
    <t>Cao, Qianqian/IAQ-5629-2023</t>
  </si>
  <si>
    <t>Cao, Qianqian/0000-0001-6755-4372</t>
  </si>
  <si>
    <t>National Natural Science Foundation of China [72064027]</t>
  </si>
  <si>
    <t>This paper is the research result of the National Natural Science Foundation of China Research on the Fluctuation mechanism and optimization of user information demand considering the effects of media and crisis type, the funder is Chunnian Liu and the project number is 72064027.</t>
  </si>
  <si>
    <t>2078-2489</t>
  </si>
  <si>
    <t>Information</t>
  </si>
  <si>
    <t>10.3390/info13100461</t>
  </si>
  <si>
    <t>5P0LF</t>
  </si>
  <si>
    <t>WOS:000872852600001</t>
  </si>
  <si>
    <t>Svensson, MS; Morcatty, TQ; Nijman, V; Shepherd, CR</t>
  </si>
  <si>
    <t>Svensson, Magdalena S.; Morcatty, Thais Q.; Nijman, Vincent; Shepherd, Chris R.</t>
  </si>
  <si>
    <t>The next exotic pet to go viral Is social media causing an increase in the demand of owning bushbabies as pets?</t>
  </si>
  <si>
    <t>HYSTRIX-ITALIAN JOURNAL OF MAMMALOGY</t>
  </si>
  <si>
    <t>galagos; Instagram; strepsirrhines; TikTok; welfare; wildlife trade</t>
  </si>
  <si>
    <t>TRADE; WILDLIFE; CONSERVATION; OWLS</t>
  </si>
  <si>
    <t>Social media is known to influence consumers' attitudes and to increase demand for wild animals as pets, when depicted online. We investigate the online presence of the nocturnal primates gala-gos, on TikTok and Instagram, and its influence on followers' attitudes and desire to keep galagos as pets. We monitored activity June - December 2020 and conducted sentiment analysis on 21976 comments. We assessed trends in Google searches and estimated the international trade of live galagos using CITES reports. Post views increased up to 472 degrees 1o within the study period. Posts were mostly from Japan, Thailand, and Russia, with comments in 43 different languages. Of the com-ments, 95 degrees 1o were positive, e.g., cute and I want one. Google searches of the term galago pet increased over time, as did the number of live galagos exported. Southeast Asia is having a boom in exotic pet trade. Viral videos of other nocturnal primates previously led to increased demand for pets, and we hope our findings provide data to guide policy and conservation interventions.</t>
  </si>
  <si>
    <t>[Svensson, Magdalena S.; Morcatty, Thais Q.; Nijman, Vincent] Oxford Brookes Univ, Oxford, England; [Shepherd, Chris R.] Monitor Conservat Res Soc, Vancouver, BC, Canada</t>
  </si>
  <si>
    <t>Oxford Brookes University</t>
  </si>
  <si>
    <t>Svensson, MS (corresponding author), Oxford Brookes Univ, Oxford, England.</t>
  </si>
  <si>
    <t>m.svensson@brookes.ac.uk</t>
  </si>
  <si>
    <t>Nijman, Vincent/AHD-8685-2022; Morcatty, Thais/AAU-7435-2020</t>
  </si>
  <si>
    <t>Morcatty, Thais/0000-0002-3095-7052</t>
  </si>
  <si>
    <t>Margot Marsh Biodiversity Foundation; Christensen Conservation Leaders Scholarship (WCS Graduate Scholarship Program); Sidney Byers Scholarship award (Wildlife Conservation Network Scholarship Program); British Federation of Women Graduates</t>
  </si>
  <si>
    <t>We thank Global Wildlife Conservation and the Primate Action Fund, support made possible by the Margot Marsh Biodiversity Foundation. TQM was also supported by the Christensen Conservation Leaders Scholarship (WCS Graduate Scholarship Program) ; Sidney Byers Scholarship award (Wildlife Conservation Network Scholarship Program) and Funds for Women Graduates (British Federation of Women Graduates) . We thank the editor and two anonymous reviewers for constructive comments and suggestions for improvement.</t>
  </si>
  <si>
    <t>ASSOC TERIOLOGICA ITALIANA</t>
  </si>
  <si>
    <t>ROMA</t>
  </si>
  <si>
    <t>C/O GIOVANNI AMORI, CNR-ISE VIALE DELL UNIVERSITA 23, ROMA, I-00185, ITALY</t>
  </si>
  <si>
    <t>0394-1914</t>
  </si>
  <si>
    <t>1825-5272</t>
  </si>
  <si>
    <t>HYSTRIX</t>
  </si>
  <si>
    <t>Hystrix</t>
  </si>
  <si>
    <t>10.4404/hystrix-00455-2021</t>
  </si>
  <si>
    <t>5Y0NO</t>
  </si>
  <si>
    <t>WOS:000878989100001</t>
  </si>
  <si>
    <t>Al-Garni, AM; Alamri, HS; Asiri, WMA; Abudasser, AM; Alawashiz, AS; Badawi, FA; Alqahtani, GA; Alnasser, SSA; Assiri, AM; Alshahrani, KTS; Asiri, OAS; Moalwi, OH; Alqahtani, MS; Alqhatani, RS</t>
  </si>
  <si>
    <t>Al-Garni, Abdulaziz M.; Alamri, Hasan S.; Asiri, Waddah M. Alalmaei; Abudasser, Abdulaziz Muflih; Alawashiz, Amal Saad; Badawi, Fatima Ahmed; Alqahtani, Ghaidaa Abdulrahman; Alnasser, Sultan Saad Ali; Assiri, Abdulwahab Mufareh; Alshahrani, Khalid Talab Salem; Asiri, Osama Ayed Saleh; Moalwi, Ohoud Hussain; Alqahtani, Manar Saeed; Alqhatani, Reema S.</t>
  </si>
  <si>
    <t>Social Media Use and Sleep Quality Among Secondary School Students in Aseer Region: A Cross-Sectional Study</t>
  </si>
  <si>
    <t>INTERNATIONAL JOURNAL OF GENERAL MEDICINE</t>
  </si>
  <si>
    <t>adolescents; mental health; Saudi Arabia; screen time; sleep quality; snapchat; social media; students; tiktok</t>
  </si>
  <si>
    <t>ADOLESCENTS; INSOMNIA</t>
  </si>
  <si>
    <t>Background: Use of different social media platforms has increased radically over the past decade, emerging as an important part of adolescents and young people's everyday life. This might exert potential adverse effects on sleep quality and daytime performance of young adults. Aim of Study: To assess the relation between use of social media platforms and sleep quality among public secondary school students. Methods: A cross-sectional study was conducted on 961 students in Aseer region, Saudi Arabia. Students were asked to fill in a structured interview questionnaire covering personal data, pattern of social media use, sleep quality using The Pittsburgh Sleep Quality Index (PSQI) and their mental health status using the depression, anxiety and stress scale (DASS-21). Results: Students' ages ranged from 15 to 20 years with a mean age of 16.7 +/- 2.1 years old. A total of 570 (59.3%) students were females. Tiktok (80%), Snapchat (77.9%), Instagram (63.8%) and YouTube (58.8%) were the most reported platforms used. Regarding their sleep quality, 34.7% of students were poor sleepers. TikTok use (OR 1.33, 95% CI 1.01-1.77), hours spent on social media (OR 1.26, 95% CI 1.16-1.37) and having moderate to severe depressive symptoms (OR 1.69, 95% CI 1.19-2.40) were significant independent predictors of poor sleep among the studied sample. Conclusion: The present study emphasized the association between prolonged use of social media and poor sleep quality among Saudi adolescents. Awareness and behavioral change strategies and activities concerning the drawbacks of poor sleep and proper use of social media are urgently called for to control mental and physical health consequences of poor sleep and social media addiction.</t>
  </si>
  <si>
    <t>[Al-Garni, Abdulaziz M.; Alamri, Hasan S.; Asiri, Waddah M. Alalmaei; Abudasser, Abdulaziz Muflih] King Khalid Univ, Coll Med, Dept Internal Med, Abha 61421, Saudi Arabia; [Alawashiz, Amal Saad; Badawi, Fatima Ahmed; Alqahtani, Ghaidaa Abdulrahman; Alnasser, Sultan Saad Ali; Assiri, Abdulwahab Mufareh; Alshahrani, Khalid Talab Salem; Asiri, Osama Ayed Saleh; Moalwi, Ohoud Hussain; Alqahtani, Manar Saeed; Alqhatani, Reema S.] King Khalid Univ, Coll Med, Abha, Saudi Arabia</t>
  </si>
  <si>
    <t>King Khalid University; King Khalid University</t>
  </si>
  <si>
    <t>Al-Garni, AM (corresponding author), King Khalid Univ, Coll Med, Dept Internal Med, Abha 61421, Saudi Arabia.</t>
  </si>
  <si>
    <t>amoalqarni@kku.edu.sa</t>
  </si>
  <si>
    <t>Al-Garni, Abdulaziz/0009-0005-1025-1828</t>
  </si>
  <si>
    <t>DOVE MEDICAL PRESS LTD</t>
  </si>
  <si>
    <t>ALBANY</t>
  </si>
  <si>
    <t>PO BOX 300-008, ALBANY, AUCKLAND 0752, NEW ZEALAND</t>
  </si>
  <si>
    <t>1178-7074</t>
  </si>
  <si>
    <t>INT J GEN MED</t>
  </si>
  <si>
    <t>Int. J. Gen. Med.</t>
  </si>
  <si>
    <t>10.2147/IJGM.S464457</t>
  </si>
  <si>
    <t>YI0Y8</t>
  </si>
  <si>
    <t>WOS:001267754900001</t>
  </si>
  <si>
    <t>Raby, ID</t>
  </si>
  <si>
    <t>Raby, Isidora D.</t>
  </si>
  <si>
    <t>Harry Potter, censorship marks in the author's name Anonymity as a claim of the work faced with collective property</t>
  </si>
  <si>
    <t>ESTUDIOS DE TEORIA LITERARIA-REVISTA DIGITAL-ARTES LETRAS HUMANIDADES</t>
  </si>
  <si>
    <t>Censorship; censor marks; performance; social denunciation; Tik-Tok</t>
  </si>
  <si>
    <t>This article examines various censorship marks that TikTok's users have made on their copies of Harry Potter to erase the name of its author. In contrast to institutional censorship, censorship found in Harry Potter arises from franchise's readers and consumers themselves, as a mechanism of political positioning and social denunciation in response to the author's latest controversies within the trans-feminist movement. Amidst these controversies, the discovered marks aim to disavow the work's authorship, thereby presenting a clear stance of rejection towards the author. Through this, readers appropriate the content and symbolically assert their ownership: it is no longer the author's creation, it now belongs to the readers. The depicted censorial marks acquire significance when examined through the videos and descriptions on TikTok, which reveal the existence of a genuine virtual interpretative community that adopts shared practices. Mere censorship is insufficient; the act of censorship must be exhibited for its purpose to be fulfilled, thus becoming an act in which the performative aspect is crucial.</t>
  </si>
  <si>
    <t>[Raby, Isidora D.] Univ Chile, Santiago, Chile</t>
  </si>
  <si>
    <t>Universidad de Chile</t>
  </si>
  <si>
    <t>Raby, ID (corresponding author), Univ Chile, Santiago, Chile.</t>
  </si>
  <si>
    <t>UNIV NAC MAR PLATA</t>
  </si>
  <si>
    <t>MAR DEL PLATA</t>
  </si>
  <si>
    <t>DIAGONAL J B ALBERDI 2695, MAR DEL PLATA, BUENOS AIRES 00000, ARGENTINA</t>
  </si>
  <si>
    <t>2313-9676</t>
  </si>
  <si>
    <t>ESTUD TEOR LIT</t>
  </si>
  <si>
    <t>Estud. Teor. Lit.</t>
  </si>
  <si>
    <t>Literary Theory &amp; Criticism</t>
  </si>
  <si>
    <t>IE9K7</t>
  </si>
  <si>
    <t>WOS:001164767000008</t>
  </si>
  <si>
    <t>De La Garza, H; Maymone, MBC; Vashi, NA</t>
  </si>
  <si>
    <t>De La Garza, Henriette; Maymone, Mayra B. C.; Vashi, Neelam A.</t>
  </si>
  <si>
    <t>Impact of Social Media on Skin Cancer Prevention</t>
  </si>
  <si>
    <t>dermatology; social media; skin cancer; sun damage; tanning; Instagram; Twitter; Facebook; YouTube; TikTok; influencers</t>
  </si>
  <si>
    <t>INFORMATION; PREVALENCE; TWITTER; YOUTUBE</t>
  </si>
  <si>
    <t>Despite the increasing prevalence of social media usage in health care contexts, its impact on skin cancer prevention and awareness has not been largely investigated. We conducted a review of literature on this topic with the objective of summarizing and analyzing the role of social media in skin cancer and sun damage awareness and to identify the uses, benefits, and limitations of different social media platforms on skin cancer prevention. In today's technological society, it is critical to understand and study the best form of communication. Specific platforms like Instagram, Twitter, Facebook, YouTube, and TikTok vary in originators of material, target demographics, messaging strategies, and reliability of information with regards to skin cancer, sun, and indoor tanning damage. Our results demonstrate that social media interventions have shown promise in skin cancer prevention and continue to escalate by the day. Dermatologists should keep pace with the latest dermatological content on social media and examine its evolution to target the right audience with the proper messages. Further research is needed to evaluate the effectiveness and true impact of social media on meaningful and lasting behavior change for skin cancer prevention.</t>
  </si>
  <si>
    <t>[De La Garza, Henriette; Vashi, Neelam A.] Boston Univ, Sch Med, Dept Dermatol, Boston, MA 02118 USA; [Maymone, Mayra B. C.] Univ Colorado, Sch Med, Dept Surg, Aurora, CO 80045 USA</t>
  </si>
  <si>
    <t>Boston University; University of Colorado System; University of Colorado Anschutz Medical Campus</t>
  </si>
  <si>
    <t>Vashi, NA (corresponding author), Boston Univ, Sch Med, Dept Dermatol, Boston, MA 02118 USA.</t>
  </si>
  <si>
    <t>hadelaga@bu.edu; mayrabcm@gmail.com; nvashi@bu.edu</t>
  </si>
  <si>
    <t>De La Garza, Henriette/0000-0002-0005-1823</t>
  </si>
  <si>
    <t>10.3390/ijerph18095002</t>
  </si>
  <si>
    <t>SB8KD</t>
  </si>
  <si>
    <t>WOS:000650235100001</t>
  </si>
  <si>
    <t>Song, SJ; Zhao, YXC; Yao, XL; Ba, ZC; Zhu, QH</t>
  </si>
  <si>
    <t>Short video apps as a health information source: an investigation of affordances, user experience and users' intention to continue the use of TikTok</t>
  </si>
  <si>
    <t>Short video apps; TikTok; Health information behavior; Affordance; User experience</t>
  </si>
  <si>
    <t>SOCIAL MEDIA; CREDIBILITY; ENGAGEMENT; YOUTUBE; COMMUNICATION; IMMERSION; PERSPECTIVE; CONSUMERS; COMMERCE; VALIDITY</t>
  </si>
  <si>
    <t>Purpose Although leveraging social media to access healthcare information is nothing new, a boom in short video apps offers new potential for disseminating health-related information. However, it is still unclear how short video apps might facilitate and benefit users' consumption of health information. Furthermore, the technology features of short video apps complicate attempts to conduct research about them; as a consequence, they have been understudied. For addressing these concerns, this study adopts an affordance perspective to investigate the relationship between affordances and user experience and to examine factors that contribute to users' intention to continue using short video apps to obtain health information. Design/methodology/approach Drawing upon affordance theory, we constructed a research model that integrates four types of affordances (livestreaming, searching, meta-voicing and recommending), three types of user experience (immersion, social presence and credibility perception), and user's intention to continue use. We employed an online survey and obtained a sample of 372 valid responses from TikTok (DouYin) users in China. The partial least squares (PLS) method was used to analyze the data. Findings The study found that the user experience, in terms of social presence, immersion and credibility perception, can significantly predict users' intention to continue using short video apps to obtain health information. Furthermore, the user experience was positively associated with the different affordances provided by the short video apps. Originality/value The findings of this study have several implications. First, the study contributes to the health information behavior literature by incorporating the aspect of user experience. Moreover, the study extends the application of affordance theory to users' health information acquisition, and it carries some practical implications on how to leverage the great potential of short video apps to serve public health communication better.</t>
  </si>
  <si>
    <t>[Song, Shijie; Zhu, Qinghua] Nanjing Univ, Sch Informat Management, Nanjing, Peoples R China; [Zhao, Yuxiang Chris; Ba, Zhichao] Nanjing Univ Sci &amp; Technol, Sch Econ &amp; Management, Nanjing, Peoples R China; [Yao, Xinlin] Nankai Univ, Business Sch, Tianjin, Peoples R China</t>
  </si>
  <si>
    <t>Nanjing University; Nanjing University of Science &amp; Technology; Nankai University</t>
  </si>
  <si>
    <t>Zhao, YXC (corresponding author), Nanjing Univ Sci &amp; Technol, Sch Econ &amp; Management, Nanjing, Peoples R China.</t>
  </si>
  <si>
    <t>Ba, Zhichao/IAR-0606-2023; Yao, Xinlin/JHV-0707-2023; Zhao, Yuxiang/AFN-0341-2022; Song, Shijie/ABE-1182-2020</t>
  </si>
  <si>
    <t>Yao, Xinlin/0000-0002-9519-3807; Song, Shijie/0000-0002-4544-2027; ba, zhi chao/0000-0001-7005-8265; Zhao, Yuxiang (Chris)/0000-0001-9281-3030</t>
  </si>
  <si>
    <t>National Natural Science Foundation of China [71774083, 72074112]</t>
  </si>
  <si>
    <t>We thank guest editors and two anonymous reviewers for the helpful comments on the manuscript. This work was jointly supported by the National Natural Science Foundation of China (Nos. 71774083 and 72074112).</t>
  </si>
  <si>
    <t>10.1108/INTR-10-2020-0593</t>
  </si>
  <si>
    <t>WX4VC</t>
  </si>
  <si>
    <t>WOS:000666587700001</t>
  </si>
  <si>
    <t>Spiller, N</t>
  </si>
  <si>
    <t>Spiller, Neil</t>
  </si>
  <si>
    <t>The Samizdats: Subversive Polemic</t>
  </si>
  <si>
    <t>ARCHITECTURAL DESIGN</t>
  </si>
  <si>
    <t>Soviet Union; Vienna University of Technology (TU Wien); Coop Himmelb(l)au; Lebbeus Woods; 'Origins' show; Architectural Association (AA) School of Architecture; London; Earth; X; Twitter; Facebook; Instagram; TikTok; Archigram; Augustan-Xenon Press; Triptych; HOUSE: J; De Stijl; Villa A(--)X; Villae (U)R; Frank Lloyd Wright: Fallingwater; Hollyhock House; Odysseus Wall Drawing; Architecture-Sculpture-Painting; Painting: Toward the Heroic; 'AEON' project; HOUSE: Xn; Cooper Union; New York; John Hejduk; Origins; 'Megas' series; Alvin Boyarsky</t>
  </si>
  <si>
    <t>WILEY PERIODICALS, INC</t>
  </si>
  <si>
    <t>ONE MONTGOMERY ST, SUITE 1200, SAN FRANCISCO, CA 94104 USA</t>
  </si>
  <si>
    <t>0003-8504</t>
  </si>
  <si>
    <t>1554-2769</t>
  </si>
  <si>
    <t>ARCHIT DESIGN</t>
  </si>
  <si>
    <t>Archit. Des.</t>
  </si>
  <si>
    <t>10.1002/ad.3043</t>
  </si>
  <si>
    <t>Architecture</t>
  </si>
  <si>
    <t>H2D8X</t>
  </si>
  <si>
    <t>WOS:001321606200013</t>
  </si>
  <si>
    <t>Yin, D; Chen, JC; Gao, Q</t>
  </si>
  <si>
    <t>Yin, Duo; Chen, Jiachun; Gao, Quan</t>
  </si>
  <si>
    <t>TikTok's Falco tinnunculus: Getting to Know Urban Wildlife through Social Media</t>
  </si>
  <si>
    <t>ANIMALS</t>
  </si>
  <si>
    <t>social media; urban wildlife; knowledge production; representation; Falco tinnunculus</t>
  </si>
  <si>
    <t>REPRESENTATIONS; CONFLICT; PORTRAYAL; GEOGRAPHY; COVERAGE</t>
  </si>
  <si>
    <t>Simple Summary Wildlife adapting to urban environments has increased encounters between people and wild animals. The rise of social media, especially short video platforms, has provided more possibilities for people to experience human-wildlife encounters in virtual forms. In this case study, by sharing the co-habitation of humans and kestrels, the video producer performs a harmonious human-wildlife relationship on social media and fosters an intimate companionship for audiences. We argue that the knowledge production of wildlife from social media is a dynamic process co-created by multiple actors' mutual connection and action. We also articulate the relationship between humans and wildlife in urban contexts; knowledge production and perception of these animals in social media demonstrate the unequal and unbalanced power relation held by different species. Wildlife residing in cities has made encounters between humans and wild animals a common phenomenon. The perspective of the conflict-laden animal-human relationship has been over-emphasized by traditional media, which neglects the peaceful and harmonious daily encounters between residents and urban wildlife. This paper addresses the lacuna in extant literature by examining the virtual encounters between urban residents and wildlife on TikTok by sharing the living habits of Falco tinnunculus. Participatory observation, semi-structured interviews, and text analysis were adopted to explore the knowledge production process of urban wildlife as well as the emotional response of audiences. We found that displaying urban wildlife in short videos is a dynamic process involving the mutual participation of wildlife and humans. Meanwhile, audiences' anthropocentric gaze of wildlife via TikTok attends to their desires for intimacy with nature and demonstrates the unequal and unbalanced power between wild animals and humans. These findings suggest that more efforts should be made to guide the public to pay attention to native urban wildlife species and to reflect upon the ethics and rationality of such unequal power relations between wild animals and humans.</t>
  </si>
  <si>
    <t>[Yin, Duo; Chen, Jiachun] Guangzhou Univ, Ctr Human Geog &amp; Urban Dev, Sch Geog &amp; Remote Sensing, Guangzhou 510006, Peoples R China; [Gao, Quan] Sun Yat sen Univ, Sch Geog &amp; Planning, Guangzhou 510006, Peoples R China; [Gao, Quan] China &amp; Southern Marine Sci &amp; Engn Guangdong Lab Z, Zhuhai 519082, Peoples R China</t>
  </si>
  <si>
    <t>Guangzhou University; Sun Yat Sen University</t>
  </si>
  <si>
    <t>Gao, Q (corresponding author), Sun Yat sen Univ, Sch Geog &amp; Planning, Guangzhou 510006, Peoples R China.;Gao, Q (corresponding author), China &amp; Southern Marine Sci &amp; Engn Guangdong Lab Z, Zhuhai 519082, Peoples R China.</t>
  </si>
  <si>
    <t>gaoq59@mail.sysu.edu.cn</t>
  </si>
  <si>
    <t>chen, Jiachun/JWP-2677-2024; Gao, Quan/HTM-4361-2023</t>
  </si>
  <si>
    <t>Gao, Quan/0000-0001-5784-6494; Chen, Jiachun/0009-0004-6791-6002</t>
  </si>
  <si>
    <t>National Natural Science Foundation of China [41971184]</t>
  </si>
  <si>
    <t>This research was funded by National Natural Science Foundation of China [grant numbers 41971184].</t>
  </si>
  <si>
    <t>2076-2615</t>
  </si>
  <si>
    <t>ANIMALS-BASEL</t>
  </si>
  <si>
    <t>Animals</t>
  </si>
  <si>
    <t>10.3390/ani13081292</t>
  </si>
  <si>
    <t>Agriculture, Dairy &amp; Animal Science; Veterinary Sciences; Zoology</t>
  </si>
  <si>
    <t>Agriculture; Veterinary Sciences; Zoology</t>
  </si>
  <si>
    <t>E8IC1</t>
  </si>
  <si>
    <t>WOS:000977904400001</t>
  </si>
  <si>
    <t>Hu, RH; Zhang, HB; Yuan, B; Zhang, KH; Xu, JY; Cui, XM; Du, T; Song, C; Zhang, S; Jiang, XH</t>
  </si>
  <si>
    <t>Hu, Ren-hao; Zhang, Hai-bin; Yuan, Biao; Zhang, Ke-hui; Xu, Jia-yi; Cui, Xi-mao; Du, Tao; Song, Chun; Zhang, Shun; Jiang, Xiao-hua</t>
  </si>
  <si>
    <t>Quality and accuracy of gastric cancer related videos in social media videos platforms</t>
  </si>
  <si>
    <t>Gastric cancer; Social media; Public health; Content analysis</t>
  </si>
  <si>
    <t>INFORMATION; STATISTICS; DISCLOSURE; DIAGNOSIS; CHINA</t>
  </si>
  <si>
    <t>Background Gastric cancer is a major public health problem worldwide. Social media has affected public's daily lives in ways no one ever thought possible. Both TikoTok and its Chinese version Douyin are the most popular short video posting platform. This study aimed to evaluate the quality, accuracy, and completeness of videos for gastric cancer on TikTok and Douyin. Methods The terms gastric cancer was searched on TikTok in both English and Japanese, and on Douyin in Chinese. The first 100 videos in three languages (website's default setting) were checked. QUality Evaluation Scoring Tool (QUEST) and DISCERN as the instrument for assessing the quality of the information in each video. Content was analysed under six categories (aetiology, anatomy, symptoms, preventions, treatments, and prognosis). The educational value and completeness were evaluated with a checklist developed by the researchers. Results A total of 78 videos in English, 63 in Japanese, and 99 in Chinese were analyzed. The types of sources were as follows: 6.4% in English, 4.8% in Japanese, and 57.6% in Chinese for health professionals; 93.6% in English, 95.2% in Japanese, and 3.0% in Chinese for private users; none in English and Japanese, but 39.4% in Chinese for other sources. In all, 20.5% in English, 17.5% in Japanese, and 93.9% in Chinese of videos had useful information about gastric cancer. Among the useful videos, the videos published in Chinese had the highest QUEST(p &lt; 0.05) and DISCERN scores(p &lt; 0.05), followed by those published in Japanese. Among the educational videos, prognosis in English (37.5%), symptoms in Japanese (54.5%), and prevention in Chinese (47.3%) were the most frequently covered topic. Conclusions TikTok in English and Japanese might not fully meet the gastric cancer information needs of public, but Douyin in Chinese was the opposite.</t>
  </si>
  <si>
    <t>[Hu, Ren-hao; Yuan, Biao; Zhang, Ke-hui; Xu, Jia-yi; Cui, Xi-mao; Du, Tao; Song, Chun; Zhang, Shun; Jiang, Xiao-hua] Tongji Univ, Shanghai East Hosp, Dept Gastrointestinal Surg, Shanghai, Peoples R China; [Zhang, Hai-bin] Tongji Univ, Shanghai East Hosp, Ctr Digest Endoscopy, Shanghai, Peoples R China</t>
  </si>
  <si>
    <t>Tongji University; Tongji University</t>
  </si>
  <si>
    <t>Zhang, S; Jiang, XH (corresponding author), Tongji Univ, Shanghai East Hosp, Dept Gastrointestinal Surg, Shanghai, Peoples R China.</t>
  </si>
  <si>
    <t>v2zs@hotmail.com; jiangxiaohuash@163.com</t>
  </si>
  <si>
    <t>Yuan, Biao/T-6413-2017; Zhao, Gang/JMC-6248-2023; Jiang, Xiaohua/CAI-9897-2022</t>
  </si>
  <si>
    <t>Key Characteristic Disease Construction Project of Pudong Health Commission of Shanghai [PWZzb2017-05]; Innovation Fund of Science and Technology Committee in Shanghai Pudong New Area [PKJ2016-Y60]; National Natural Science Foundation of China [81871953]; Jiangxi Youth Science Fund [20171BAB215043]</t>
  </si>
  <si>
    <t>Key Characteristic Disease Construction Project of Pudong Health Commission of Shanghai; Innovation Fund of Science and Technology Committee in Shanghai Pudong New Area; National Natural Science Foundation of China(National Natural Science Foundation of China (NSFC)); Jiangxi Youth Science Fund</t>
  </si>
  <si>
    <t>The study was supported by Key Characteristic Disease Construction Project of Pudong Health Commission of Shanghai (No. PWZzb2017-05), Innovation Fund of Science and Technology Committee in Shanghai Pudong New Area (Nos. PKJ2016-Y60), National Natural Science Foundation of China (Nos. 81871953) and Jiangxi Youth Science Fund (Nos. 20171BAB215043).</t>
  </si>
  <si>
    <t>10.1186/s12889-022-14417-w</t>
  </si>
  <si>
    <t>5Y3FU</t>
  </si>
  <si>
    <t>WOS:000879171800004</t>
  </si>
  <si>
    <t>Fuciu, M</t>
  </si>
  <si>
    <t>Fuciu, Mircea</t>
  </si>
  <si>
    <t>Social Media Profiling for the Development of Online Marketing Strategies</t>
  </si>
  <si>
    <t>STUDIES IN BUSINESS AND ECONOMICS</t>
  </si>
  <si>
    <t>marketing strategy; social media marketing; online; marketing profile</t>
  </si>
  <si>
    <t>EVOLUTION</t>
  </si>
  <si>
    <t>Social media has become an almost permanent presence in our lives and in the business world. In the last two decades the marketing activity has changed greatly due to the development, of social interaction platforms such as Facebook, Instagram, Twitter, or TikTok. The usage of social media marketing has created new challenges for the marketing specialists which needed to adapt and adjust their strategies to meet the direction but the business environment is going. Among the challenges that the marketing world is facing when using social media is that of profiling the consumers (current and potential) in order to achieve a successful marketing strategy and therefore lead to higher financial gains. The current paper aims to bring forward the importance of social media profiling in the marketing activity while underlining some important theoretical aspects about social media and profiling and at the same time presenting the results over short secondary data analysis that shows some general profiles for Instagram and TikTok user, with a direct link to the evolution of the revenues generated by the advertising done on the two mentioned social media platforms.</t>
  </si>
  <si>
    <t>[Fuciu, Mircea] Lucian Blaga Univ Sibiu, Sibiu, Romania</t>
  </si>
  <si>
    <t>Lucian Blaga University of Sibiu</t>
  </si>
  <si>
    <t>Fuciu, M (corresponding author), Lucian Blaga Univ Sibiu, Sibiu, Romania.</t>
  </si>
  <si>
    <t>Fuciu, Mircea/Q-5112-2018</t>
  </si>
  <si>
    <t>Fuciu, Mircea/0000-0001-9811-1179</t>
  </si>
  <si>
    <t>1842-4120</t>
  </si>
  <si>
    <t>2344-5416</t>
  </si>
  <si>
    <t>STUD BUS ECON-ROM</t>
  </si>
  <si>
    <t>Stud. Bus. Econ.</t>
  </si>
  <si>
    <t>10.2478/sbe-2022-0047</t>
  </si>
  <si>
    <t>8K4TF</t>
  </si>
  <si>
    <t>WOS:000923095600006</t>
  </si>
  <si>
    <t>Wang, J; Kim, JU; Kim, HM</t>
  </si>
  <si>
    <t>Wang, Jialin; Kim, Jong Uk; Kim, Han-Min</t>
  </si>
  <si>
    <t>Purchase intention in TikTok streaming commerce: the role of recommendation accuracy, streamer's attractiveness, and consumer-to-consumer interactions</t>
  </si>
  <si>
    <t>REVIEW OF MANAGERIAL SCIENCE</t>
  </si>
  <si>
    <t>Purchase intention; Streaming commerce; SOR theory; TikTok; Consumer-to-consumer interactions; C11; C83; M15</t>
  </si>
  <si>
    <t>TECHNOLOGY ACCEPTANCE MODEL; STIMULUS-ORGANISM-RESPONSE; SHOPPING BEHAVIOR; DECISION-MAKING; PERCEIVED VALUE; BRAND; INFORMATION; TRUST; PRICE; QUALITY</t>
  </si>
  <si>
    <t>A deeper understanding of purchase intentions within the unique context of real-time streaming platforms, on which consumers interact by exchanging opinions and recommending products, is required. Based on the stimulus-organism-response (SOR) theory, this study investigates the effect of real-time streaming on purchase intention for e-commerce products, which goes beyond traditional e-commerce platform research. The findings reveal that accuracy of product recommendation increases functional value and the streamers' attractiveness enhances social value and immersion. Additionally, consumer-to-consumer (C2C) interactions elevate both social and functional values as well as immersion. Based on SOR theory, this study empirically extends the purchase intention model tailored to the unique context of streaming commerce. We include the roles and significance of streamers' attractiveness and C2C interactions as variables to explain this context and provide a mediation mechanism for purchase intention. This study provides empirical evidence of the operational direction for the success of real-time streaming commerce platforms.</t>
  </si>
  <si>
    <t>[Wang, Jialin; Kim, Jong Uk] Sungkyunkwan Univ, Business Sch, 25-2 Sungkyunkwan Ro, Seoul 03063, South Korea; [Kim, Han-Min] Korea Univ, Business Sch, Room 320,LG POSCO Business Hall,145 Anam Ro, Seoul 02841, South Korea</t>
  </si>
  <si>
    <t>Sungkyunkwan University (SKKU); Korea University</t>
  </si>
  <si>
    <t>Kim, HM (corresponding author), Korea Univ, Business Sch, Room 320,LG POSCO Business Hall,145 Anam Ro, Seoul 02841, South Korea.</t>
  </si>
  <si>
    <t>WJL6686@outlook.com; jkim@skku.edu; hanmin8809@gmail.com</t>
  </si>
  <si>
    <t>Kim, Han-Min/0000-0002-7013-881X</t>
  </si>
  <si>
    <t>1863-6683</t>
  </si>
  <si>
    <t>1863-6691</t>
  </si>
  <si>
    <t>REV MANAG SCI</t>
  </si>
  <si>
    <t>Rev. Manag. Sci.</t>
  </si>
  <si>
    <t>2024 OCT 1</t>
  </si>
  <si>
    <t>10.1007/s11846-024-00810-9</t>
  </si>
  <si>
    <t>H5W2X</t>
  </si>
  <si>
    <t>WOS:001324137100001</t>
  </si>
  <si>
    <t>Herencia, CAB</t>
  </si>
  <si>
    <t>Ballesteros Herencia, Carlos A.</t>
  </si>
  <si>
    <t>The digital spread of the coronavirus: Measuring engagement of entertainment on the emerging social network TikTok</t>
  </si>
  <si>
    <t>social networks; engagement; commitment; pandemic; coronavirus</t>
  </si>
  <si>
    <t>EBOLA; MEDIA; CRISIS</t>
  </si>
  <si>
    <t>Introduction: The coronavirus pandemic has had a strong impact on social networks, both in its level and manners of use. International health organizations have used all the social networks to ensure that their messages reach all population profiles. Objective: To describe the breadth and dynamics of interactions on the TikTok short video social network during this crisis. This network was selected for its rapid growth during 2019 and the first quarter of 2020, especially among the youth public, factors that have led the World Health Organization, to follow the example of the Red Cross or Unicef, to open an account in this network social during the pandemic. Methodology: 28,234 videos that contained any of the 18 hashtags related to the coronavirus of the selected sample were captured and statistically analyzed. Results: The employment of the selected hashtags grew rapidly and then remained stable around 500 daily mentions. An intense engagement index was detected with an average of 27 thousand interactions with each post. Conclusions: The fast and casual consumption contents that characterize this social network could have served as an escape valve during the confinement.</t>
  </si>
  <si>
    <t>[Ballesteros Herencia, Carlos A.] Univ Valladolid, Dept Hist Moderna Contemporanea &amp; Amer, Periodismo Comunicac Audiovisual &amp; Publicidad, Valladolid, Spain</t>
  </si>
  <si>
    <t>Herencia, CAB (corresponding author), Univ Valladolid, Dept Hist Moderna Contemporanea &amp; Amer, Periodismo Comunicac Audiovisual &amp; Publicidad, Valladolid, Spain.</t>
  </si>
  <si>
    <t>cballesteros@hmca.uva.es</t>
  </si>
  <si>
    <t>Herencia, Carlos/D-9772-2016</t>
  </si>
  <si>
    <t>S171</t>
  </si>
  <si>
    <t>S185</t>
  </si>
  <si>
    <t>10.20318/recs.2020.5459</t>
  </si>
  <si>
    <t>WOS:000551629600013</t>
  </si>
  <si>
    <t>How to know who you are through your short video selfies?-Capturing personality via short video selfies</t>
  </si>
  <si>
    <t>big five personality; short video selfie; TikTok (Douyin in China); the lens model; zero-acquaintance judgment</t>
  </si>
  <si>
    <t>BIG 5; ZERO-ACQUAINTANCE; SOCIAL MEDIA; NARCISSISM; FACEBOOK; TRAITS; ACCURACY; JUDGMENTS; CONSENSUS; REFLECT</t>
  </si>
  <si>
    <t>The extant literature has accumulated enormous knowledge on personality prediction from digital records on social networking sites (e.g., photo selfies). However, little is known about how short video selfies reflect their owner's personality and how people judge others' personalities from short video selfies. Taking short video selfies is very popular today; many people are willing to share their short video selfies with others. Based on the lens model theory, it is expected that one's personality is associated with short video selfies. By analyzing 177 Chinese TikTok (Douyin in China) users' short video selfies and their Big Five personalities, it showed that specific cues in short video selfies related to agreeableness, conscientiousness, neuroticism, and openness. But only extraversion could be predicted by short video selfies accurately. This study is the first to reveal personality-related cues in short video selfies and has practical implications for both short video platforms and their users.</t>
  </si>
  <si>
    <t>[Dong, Zhiwen; Xie, Tian] Wuhan Univ, Philosophy Sch, Dept Psychol, Wuhan, Peoples R China; [Dong, Zhiwen] Peking Univ, Sch Psychol &amp; Cognit Sci, Beijing, Peoples R China; [Dong, Zhiwen] Peking Univ, Beijing Key Lab Behav &amp; Mental Hlth, Beijing, Peoples R China</t>
  </si>
  <si>
    <t>Wuhan University; Peking University; Peking University</t>
  </si>
  <si>
    <t>Xie, T (corresponding author), Wuhan Univ, Philosophy Sch, Dept Psychol, Wuhan, Peoples R China.</t>
  </si>
  <si>
    <t>Xie, Tian/F-5644-2010</t>
  </si>
  <si>
    <t>MAR 6</t>
  </si>
  <si>
    <t>10.3389/fpsyg.2023.1072344</t>
  </si>
  <si>
    <t>A2LU3</t>
  </si>
  <si>
    <t>WOS:000953506100001</t>
  </si>
  <si>
    <t>Yang, EF; Kriss, LA; Sun, YB</t>
  </si>
  <si>
    <t>Yang, Ellie Fan; Kriss, Lauren A.; Sun, Yibing</t>
  </si>
  <si>
    <t>Fun with Frustration? TikTok Influencers' Emotional Expression Predicts User Engagement with COVID-19 Vaccination Messages</t>
  </si>
  <si>
    <t>IMPACT; HUMOR; COMMUNICATION; FEAR; MOTIVATIONS; INSTAGRAM; FACEBOOK; TIME; FLOW</t>
  </si>
  <si>
    <t>This study examined what kinds of TikTok video and message features are associated with user engagement in the context of COVID-19 vaccination. Content analysis was applied to study a sample of 223 COVID-19 vaccination-related videos from creators with at least 10,000 followers. The content analysis involved coding themes, video formats, the valence of attitude toward vaccination, and emotional expressions from the influencers. A majority of videos showcased personal vaccination experiences, followed by fictitious dramas and instructional information. More fictitious dramas expressed unclear attitudes, neither explicitly supporting nor opposing the COVID-19 vaccine, compared to personal vaccination stories and instructional videos. Some imaginative and dramatic scenes, such as zombie transformation or dramatic spasms after taking the vaccines, were widely imitated across influencers, perhaps humorously, and raised concerns about diminishing positive images of vaccine uptake. Videos with simultaneous expression of humor and frustration significantly predicted engagement when the video content opposed or was uncertain about taking the vaccine, implying the effectiveness of mixed emotional attributes within a message. This study provides insight into how social context and message choices by creators interact to influence audience engagement.</t>
  </si>
  <si>
    <t>[Yang, Ellie Fan] Northwest Missouri State Univ, Sch Commun &amp; Mass Media, Maryville, MO 64468 USA; [Kriss, Lauren A.; Sun, Yibing] Univ Wisconsin Madison, Sch Journalism &amp; Mass Commun, Madison, WI USA</t>
  </si>
  <si>
    <t>Yang, EF (corresponding author), Northwest Missouri State Univ, Sch Commun &amp; Mass Media, Maryville, MO 64468 USA.</t>
  </si>
  <si>
    <t>eyang@nwmissouri.edu</t>
  </si>
  <si>
    <t>Yang, Ellie/JPW-9562-2023; YANG, Fan (Ellie)/AHI-8390-2022</t>
  </si>
  <si>
    <t>YANG, Fan (Ellie)/0000-0001-7862-1374; Kriss, Lauren/0000-0002-2764-2025</t>
  </si>
  <si>
    <t>The authors thank the Mass Communication Research Center (MCRC) led by Professor Dhavan Shah at the University of Wisconsin-Madison for supporting our data collection and feedback for this manuscript. We would also like to thank the editors and reviewers o; Mass Communication Research Center (MCRC) led by Professor Dhavan Shah at the University of Wisconsin-Madison</t>
  </si>
  <si>
    <t>The authors thank the Mass Communication Research Center (MCRC) led by Professor Dhavan Shah at the University of Wisconsin-Madison for supporting our data collection and feedback for this manuscript. We would also like to thank the editors and reviewers of Health Communication for their constructive suggestions and helpful feedback.</t>
  </si>
  <si>
    <t>OCT 14</t>
  </si>
  <si>
    <t>10.1080/10410236.2023.2259621</t>
  </si>
  <si>
    <t>J5Q9G</t>
  </si>
  <si>
    <t>WOS:001072745800001</t>
  </si>
  <si>
    <t>Sánchez-Amboage, E; Toural-Bran, C; Membiela-Pollán, M; Crespo-Pereira, V</t>
  </si>
  <si>
    <t>Sanchez-Amboage, Eva; Toural-Bran, Carlos; Membiela-Pollan, Matias; Crespo-Pereira, Veronica</t>
  </si>
  <si>
    <t>Short video content in the brand strategy. Analysis of the useof TikTok by the Prado Museum</t>
  </si>
  <si>
    <t>Tourist communication; brand strategy; short video content; TikTok; Museo Nacional del Prado</t>
  </si>
  <si>
    <t>WORD-OF-MOUTH; TOURISM</t>
  </si>
  <si>
    <t>In a society marked by the digital issue and the global pandemic by COVID-19, museums have experienced the need to join new social platforms where the youngest audiences are. This context has led to an intensification of the use of these channels, as well as a reconfiguration of communication strategies in the digital environment by museums. This research analyses how the Museo Nacional del Prado uses the TokTok platform within its brand strategy and studies its production of short video content, a characteristic format of this social network. To this end, a case study was conducted in which a structured interview with personnel from the museum's communication and social networks area was preformed, as well as a content analysis for which an ad hoc analytical guide was prepared. The results show that the narrative structure and the language used are always adapted to the public and the platform with rigour and respect, using an informal register with the aim of transmitting knowledge while still connecting more efficiently with the consumption pattern of the social network.</t>
  </si>
  <si>
    <t>[Sanchez-Amboage, Eva; Membiela-Pollan, Matias; Crespo-Pereira, Veronica] Univ A Coruna, La Coruna, Spain; [Toural-Bran, Carlos] Univ Santiago de Compostela, Santiago De Compostela, Spain</t>
  </si>
  <si>
    <t>Universidade da Coruna; Universidade de Santiago de Compostela</t>
  </si>
  <si>
    <t>Sánchez-Amboage, E (corresponding author), Univ A Coruna, La Coruna, Spain.</t>
  </si>
  <si>
    <t>eva.sanchez.amboage@udc.es; carlos.toural@usc.gal; matias.membiela@udc.es; veronica.crespo@udc.es</t>
  </si>
  <si>
    <t>Sánchez Amboage, Eva/CAG-8403-2022; Toural, Carlos/Q-9721-2018</t>
  </si>
  <si>
    <t>Crespo Pereira, Veronica/0000-0001-7373-7204</t>
  </si>
  <si>
    <t>10.14198/MEDCOM.20836</t>
  </si>
  <si>
    <t>WOS:000864460700022</t>
  </si>
  <si>
    <t>Milkaite, I; Lievens, E</t>
  </si>
  <si>
    <t>Milkaite, Ingrida; Lievens, Eva</t>
  </si>
  <si>
    <t>Child-friendly transparency of data processing in the EU: from legal requirements to platform policies</t>
  </si>
  <si>
    <t>Children; data protection; GDPR; transparency; privacy policy; Instagram; Snapchat; TikTok; co-design; co-creation; European Union</t>
  </si>
  <si>
    <t>Vast amounts of personal data of children are collected and processed in today's increasingly digital, connected society by public and private actors. Children do have a right to the protection of their personal data and, according to the General Data Protection Regulation (GDPR), even merit specific protection. Children should be clearly informed of and understand what happens with their data when it is collected, processed, stored and transferred. To that end, specific transparency standards require the provision of information in a clear and plain language that the child can easily understand. In this article, after having mapped these existing requirements, the privacy policies of Instagram, Snapchat and TikTok - services which are very popular with children - are evaluated. The findings suggest that such policies are still complex, long and primarily text based. In order to improve this, possible practical ways of enhancing transparency for children such as legal visualization, co-design, co-creation techniques and participatory design methods which focus on presenting legal information in a transparent and clear manner are explored.</t>
  </si>
  <si>
    <t>[Milkaite, Ingrida; Lievens, Eva] Univ Ghent, Res Grp Law &amp; Technol, Dept Interdisciplinary Study Law Private Law &amp; Bu, Fac Law &amp; Criminol, Voldersstr 5, B-9000 Ghent, Belgium</t>
  </si>
  <si>
    <t>Ghent University</t>
  </si>
  <si>
    <t>Milkaite, I (corresponding author), Univ Ghent, Res Grp Law &amp; Technol, Dept Interdisciplinary Study Law Private Law &amp; Bu, Fac Law &amp; Criminol, Voldersstr 5, B-9000 Ghent, Belgium.</t>
  </si>
  <si>
    <t>ingrida.milkaite@ugent.be</t>
  </si>
  <si>
    <t>Lievens, Eva/AAM-4412-2020</t>
  </si>
  <si>
    <t>Milkaite, Ingrida/0000-0002-7572-7760</t>
  </si>
  <si>
    <t>10.1080/17482798.2019.1701055</t>
  </si>
  <si>
    <t>DEC 2019</t>
  </si>
  <si>
    <t>KH6CG</t>
  </si>
  <si>
    <t>WOS:000501538600001</t>
  </si>
  <si>
    <t>Cooper, HB; Ewing, MT; Jayasinghe, L; Struweg, I; Wait, M</t>
  </si>
  <si>
    <t>Cooper, Holly B.; Ewing, Michael T.; Jayasinghe, Laknath; Struweg, Ilse; Wait, Marius</t>
  </si>
  <si>
    <t>Marketing communication education in developing countries: Post-pandemic insights from India and South Africa</t>
  </si>
  <si>
    <t>BRICS; digitalisation; student-centred learning; active learning; TikTok effect; learning agencies</t>
  </si>
  <si>
    <t>PSYCHOLOGY; CONSUMERS; IDENTITY; SPORT; BRICS</t>
  </si>
  <si>
    <t>In two developing nations, technology enhanced marketing communication education in the classroom, both during and after the COVID-19 pandemic. However, in what ways did enhancement occur, and to what ends? This research examines the reasons for and impacts of digitalisation on academic delivery of marketing communication education across two BRICS nations: South Africa and India. We use a comparative, narrative-based approach that challenges the ways that marketing communication educators often describe the significant teaching and learning agencies and incidents involving the place of technology in classroom learning. We show how the concepts of technological augmentation and paradox, the `TikTok effect, and symbiotic pedagogies explain and help present a post-pandemic theory of marketing communication education in developing nations. We highlight the active learning and student-centred learning styles as symbiotic pedagogies that were regarded as best practice. Our findings show that educators were able to skilfully move across both styles depending on student need and skills required. We discuss how educators' flexibility across contexts allowed them to maintain best practice technology-mediated teaching and learning strategies during the pandemic.</t>
  </si>
  <si>
    <t>[Cooper, Holly B.] Deakin Univ, Fac Business &amp; Law, Burwood, Vic, Australia; [Ewing, Michael T.] Southern Cross Univ, Fac Business Law &amp; Arts, Coolangatta, Qld, Australia; [Jayasinghe, Laknath] O P Jindal Global Univ Sonipat, Jindal Global Business Sch, Sonipat, India; [Ewing, Michael T.; Struweg, Ilse] Univ Johannesburg, Dept Mkt Management, Johannesburg, South Africa; [Wait, Marius] Univ Johannesburg, Coll Business &amp; Econ, Johannesburg, South Africa; [Cooper, Holly B.] Amer Univ Beirut, Suliman S Olayan Sch Business, Beirut, Lebanon</t>
  </si>
  <si>
    <t>Deakin University; Southern Cross University; O.P. Jindal Global University; University of Johannesburg; University of Johannesburg; American University of Beirut</t>
  </si>
  <si>
    <t>Cooper, HB (corresponding author), Deakin Univ, Fac Business &amp; Law, Burwood, Vic, Australia.</t>
  </si>
  <si>
    <t>h.cooper@deakin.edu.au</t>
  </si>
  <si>
    <t>Struweg, Ilse/0000-0002-1448-5286; Cooper, Holly/0000-0003-0608-5239</t>
  </si>
  <si>
    <t>10.1080/13527266.2023.2208131</t>
  </si>
  <si>
    <t>US2J8</t>
  </si>
  <si>
    <t>WOS:001249979600006</t>
  </si>
  <si>
    <t>Gomes, AB; Sultan, A</t>
  </si>
  <si>
    <t>Gomes, Andre Belchior; Sultan, Aysel</t>
  </si>
  <si>
    <t>Problematizing content moderation by social media platforms and its impact on digital harm reduction</t>
  </si>
  <si>
    <t>HARM REDUCTION JOURNAL</t>
  </si>
  <si>
    <t>Digital drug markets; Harm reduction; Illicit drugs; Instagram; Social media; TikTok</t>
  </si>
  <si>
    <t>HISTORY; DRUGS</t>
  </si>
  <si>
    <t>Recent years have marked a shift in selling and buying illicit psychoactive drugs from darknet cryptomarkets to publicly accessible social media and messaging platforms. As more users turn to procuring drugs this way, the role of digital harm reduction has become particularly urgent. However, one of the main obstacles complicating the implementation of digital harm reduction is the increasingly automated content moderation by the social media platforms. While some platforms are less restrictive about harm reduction content (e.g., TikTok), others implement higher degrees of moderation, including the removal of individual content and banning of entire profile pages (e.g., Instagram). This article discusses community guidelines of five popular social media and messaging platforms and their content moderation tools. It aims to highlight how these guidelines may be inadvertently curbing the dissemination of harm reduction and health promotion materials, and erroneously interpreting it as a promotion of drug use and sales. The discussion concludes that digital harm reduction requires transdisciplinary collaboration of professional organizations, researchers, and social media platforms to ensure reliable implementation of digital harm reduction, and help build safer digital communities.</t>
  </si>
  <si>
    <t>[Gomes, Andre Belchior] Release Legal Emergency &amp; Drugs Serv, London, England; [Sultan, Aysel] Tech Univ Munich, Munich, Germany; [Sultan, Aysel] Monash Univ, Melbourne, Australia</t>
  </si>
  <si>
    <t>Technical University of Munich; Monash University</t>
  </si>
  <si>
    <t>Sultan, A (corresponding author), Tech Univ Munich, Munich, Germany.;Sultan, A (corresponding author), Monash Univ, Melbourne, Australia.</t>
  </si>
  <si>
    <t>aysel.sultan@tum.de</t>
  </si>
  <si>
    <t>Sultan, Aysel/GVT-8740-2022</t>
  </si>
  <si>
    <t>Technische Universitt Mnchen (1025)</t>
  </si>
  <si>
    <t>All figures (screenshots) used in the article are referenced to their original sources by providing direct access links in the footnotes.</t>
  </si>
  <si>
    <t>1477-7517</t>
  </si>
  <si>
    <t>HARM REDUCT J</t>
  </si>
  <si>
    <t>Harm Reduct. J.</t>
  </si>
  <si>
    <t>NOV 9</t>
  </si>
  <si>
    <t>10.1186/s12954-024-01104-9</t>
  </si>
  <si>
    <t>L6B4A</t>
  </si>
  <si>
    <t>WOS:001351547600001</t>
  </si>
  <si>
    <t>Heiss, R; Bode, L; Adisuryo, ZM; Brito, L; Cuardra, A; Gao, P; Han, Y; Hearst, M; Huang, KX; Kinyua, A; Lin, TN; Ma, YW; Manion, TO; Roh, Y; Salazar, A; Yue, SQ; Zhang, PZ</t>
  </si>
  <si>
    <t>Heiss, Raffael; Bode, Leticia; Adisuryo, Zar Motik; Brito, Livia; Cuardra, Ana; Gao, Peng; Han, Yi; Hearst, Megan; Huang, Kexin; Kinyua, Andrea; Lin, Tianan; Ma, Yuwei; Manion, Thomas Owen; Roh, Youngjoo; Salazar, Ariana; Yue, Siqi; Zhang, Peizhen</t>
  </si>
  <si>
    <t>Debunking Mental Health Misperceptions in Short-Form Social Media Videos: An Experimental Test of Scientific Credibility Cues</t>
  </si>
  <si>
    <t>MISINFORMATION; INFORMATION</t>
  </si>
  <si>
    <t>In recent years, short-form social media videos have emerged as an important source of health-related advice. In this study, we investigate whether experts or ordinary users in such videos are more effective in debunking the common misperception that talking about suicide should be avoided. We also explore a new trend on TikTok and other platforms, in which users attempt to back up their arguments by displaying scientific articles in the background of their videos. To test the effect of source type (expert vs. ordinary user) and scientific references (present or absent), we conducted a 2 x 2 between-subject plus control group experiment (n = 956). In each condition, participants were shown a TikTok video that was approximately 30 seconds long. Our findings show that in all four treatment groups, participants reduced their misperceptions on the topic. The expert was rated as being more authoritative on the topic compared to the ordinary user. However, the expert was also rated as being less credible compared to the ordinary user. The inclusion of a scientific reference did not make a difference. Thus, both experts and ordinary users may be similarly persuasive in a short-form video environment.</t>
  </si>
  <si>
    <t>[Heiss, Raffael] Ctr Social &amp; Hlth Innovat, MCI Entrepreneurial Sch, Innsbruck, Austria; [Bode, Leticia; Adisuryo, Zar Motik; Brito, Livia; Cuardra, Ana; Gao, Peng; Han, Yi; Hearst, Megan; Huang, Kexin; Kinyua, Andrea; Lin, Tianan; Ma, Yuwei; Manion, Thomas Owen; Roh, Youngjoo; Salazar, Ariana; Yue, Siqi; Zhang, Peizhen] Georgetown Univ, Commun Culture &amp; Technol Program, Washington, DC USA; [Heiss, Raffael] Ctr Social &amp; Hlth Innovat, MCI Entrepreneurial Sch, Univ Str 15, A-6020 Innsbruck, Austria</t>
  </si>
  <si>
    <t>Georgetown University</t>
  </si>
  <si>
    <t>Heiss, R (corresponding author), Ctr Social &amp; Hlth Innovat, MCI Entrepreneurial Sch, Univ Str 15, A-6020 Innsbruck, Austria.</t>
  </si>
  <si>
    <t>raffael.heiss@mci.edu</t>
  </si>
  <si>
    <t>Huang, Kexin/AAU-2699-2021; Gao, Peng/B-4675-2012</t>
  </si>
  <si>
    <t>Heiss, Raffael/0000-0002-8744-0871</t>
  </si>
  <si>
    <t>Austrian Science Fund (FWF) [P 35052-G]; Fulbright program</t>
  </si>
  <si>
    <t>Austrian Science Fund (FWF)(Austrian Science Fund (FWF)); Fulbright program</t>
  </si>
  <si>
    <t>This research was partly supported by the Austrian Science Fund (FWF) project number P 35052-G. Raffael Heiss received funding from the Fulbright program.</t>
  </si>
  <si>
    <t>2024 FEB 23</t>
  </si>
  <si>
    <t>10.1080/10410236.2023.2301201</t>
  </si>
  <si>
    <t>IW6G1</t>
  </si>
  <si>
    <t>WOS:001169407400001</t>
  </si>
  <si>
    <t>Platform or Content Strategy? Exploring Engagement With Brand Posts on Different Social Media Platforms</t>
  </si>
  <si>
    <t>platform strategy; content strategy; social media engagement; social media platform; brand post</t>
  </si>
  <si>
    <t>FUTURE; TIKTOK</t>
  </si>
  <si>
    <t>Promoting engagement with brand posts tends to be important for brands and marketers who aim for success in social media marketing. With the variety of social media available today, it can be difficult for brand and marketing practitioners, especially small brands, to coordinate their efforts across different platforms. This study examines platform and content strategies in terms of engagement with brand posts through data mining and one-way ANOVA. The results suggest that for each brand, engagement with brand posts can be improved by choosing an appropriate platform strategy, instead of using a different content strategy across platforms. These findings contribute to a limited analysis of platform strategies for social media marketing engagement of today's brands. Exploring Different Platforms and Content Engagement on Social MediaToday, it's important to increase social media engagement. The variety of social media available makes it difficult to coordinate efforts across different platforms. This study examines platform and content strategies in terms of engagement on 9330 posts. The results suggest that engaging platforms, such as TikTok, can increase engagement more than using different content strategies across platforms.</t>
  </si>
  <si>
    <t>[Shen, Zheng] Zhejiang Sci Tech Univ, Hangzhou, Peoples R China; [Shen, Zheng] Zhejiang Sci Tech Univ, Shi Liangcai Sch Journalism &amp; Commun, Room 414,Bldg 6A,8 Taikang Rd,Donghu St, Hangzhou 311199, Peoples R China</t>
  </si>
  <si>
    <t>Shen, Z (corresponding author), Zhejiang Sci Tech Univ, Shi Liangcai Sch Journalism &amp; Commun, Room 414,Bldg 6A,8 Taikang Rd,Donghu St, Hangzhou 311199, Peoples R China.</t>
  </si>
  <si>
    <t>Zhejiang Provincial Philosophy and Social Sciences Planning Project [23NDJC151YB]; Hangzhou Philosophy and Social Sciences Planning Project [Z23JC081]; Scientific Research Fund of Zhejiang Provincial Education Department [Y202250373]; Science Foundation of Zhejiang Sci-Tech University [22252284-Y]</t>
  </si>
  <si>
    <t>Zhejiang Provincial Philosophy and Social Sciences Planning Project; Hangzhou Philosophy and Social Sciences Planning Project; Scientific Research Fund of Zhejiang Provincial Education Department; Science Foundation of Zhejiang Sci-Tech University(Zhejiang Sci-Tech University)</t>
  </si>
  <si>
    <t>The author disclosed receipt of the following financial support for the research, authorship, and/or publication of this article: This work was supported by the Zhejiang Provincial Philosophy and Social Sciences Planning Project [grant number 23NDJC151YB]; the Hangzhou Philosophy and Social Sciences Planning Project [grant number Z23JC081]; the Scientific Research Fund of Zhejiang Provincial Education Department [grant number Y202250373]; and the Science Foundation of Zhejiang Sci-Tech University [grant number 22252284-Y].</t>
  </si>
  <si>
    <t>10.1177/21582440231219096</t>
  </si>
  <si>
    <t>CZ4P7</t>
  </si>
  <si>
    <t>WOS:001129042900001</t>
  </si>
  <si>
    <t>Yi, YZ</t>
  </si>
  <si>
    <t>Yi, Yinzi</t>
  </si>
  <si>
    <t>Negotiating performance between policy and platform - heritage practice of a Chinese craftsperson on Douyin (TikTok)</t>
  </si>
  <si>
    <t>INTERNATIONAL JOURNAL OF HERITAGE STUDIES</t>
  </si>
  <si>
    <t>ICH policy; Douyin (TikTok) videos; producer agency; performance studies; social media; &gt;</t>
  </si>
  <si>
    <t>CULTURAL-HERITAGE; WORLD HERITAGE</t>
  </si>
  <si>
    <t>The pervasiveness of digital media has profoundly transformed how we preserve and promote intangible cultural heritage (ICH). With the growing popularity of Douyin, a video-focused social networking platform, ICH inheritors in China have begun to post videos that showcase their artisanship. On the one hand, the affordances of Douyin encourage its users to keep up with the latest trend, subjugating them to mimetic participation; on the other hand, heritage policies in China foster the top-down formation of nationalist identity. Therefore, how heritage practitioners negotiate between the top-down authority of policies and the horizontal mimesis of the platform is a matter of concern. This paper applies performance analysis to explore the Douyin videos of a Chinese craftsperson, Li Niangen, a municipal ICH inheritor whose Douyin videos are highly popular. ICH policies in China and the affordances of the platform may support the formation of distinct identities. However, by assuming multiple and even contrasting roles in his videos, Li is fully engaged in none of them. This paper proposes that the presentation of multiple roles copes with the conflicting logic in Chinese society. In addition, the misalignment of these roles may simultaneously utilise and unsettle the administrative and digital authorities.</t>
  </si>
  <si>
    <t>[Yi, Yinzi] Nanyang Technol Univ, Sch Art Design &amp; Media, Singapore, Singapore</t>
  </si>
  <si>
    <t>Yi, YZ (corresponding author), Nanyang Technol Univ, Sch Art Design &amp; Media, Singapore, Singapore.</t>
  </si>
  <si>
    <t>yinzi001@e.ntu.edu.sg</t>
  </si>
  <si>
    <t>Yi, Yinzi/0009-0004-7974-0200</t>
  </si>
  <si>
    <t>1352-7258</t>
  </si>
  <si>
    <t>1470-3610</t>
  </si>
  <si>
    <t>INT J HERIT STUD</t>
  </si>
  <si>
    <t>Int. J. Herit. Stud.</t>
  </si>
  <si>
    <t>10.1080/13527258.2023.2237495</t>
  </si>
  <si>
    <t>R4YE4</t>
  </si>
  <si>
    <t>WOS:001029954500001</t>
  </si>
  <si>
    <t>Haq, MD; Chiu, CM</t>
  </si>
  <si>
    <t>Haq, Muhammad Dliya 'ul; Chiu, Chao-Min</t>
  </si>
  <si>
    <t>Boosting online user engagement with short video endorsement content on TikTok via the image transfer mechanism</t>
  </si>
  <si>
    <t>ELECTRONIC COMMERCE RESEARCH AND APPLICATIONS</t>
  </si>
  <si>
    <t>Influencer image; Platform image; Product image; Online engagement intention; Online engagement behavior</t>
  </si>
  <si>
    <t>CONSUMER BRAND ENGAGEMENT; SOCIAL MEDIA; CELEBRITY ENDORSEMENTS; FORMATIVE CONSTRUCTS; SCALE DEVELOPMENT; PERCEIVED VALUE; FIRM VALUE; IMPACT; TRUST; CONGRUENCE</t>
  </si>
  <si>
    <t>In today's digital environment, influencer marketing has been established as an essential and powerful tool in promoting meaningful engagement between brands and consumers. Rooted in Social Identity Theory and Trust Transfer Theory, this study investigates how the image transfer from the influencers to the platform and product plays a critical role in boosting online user engagement with short video endorsement content. Empirically tested with 801 TikTok users, the findings reveal that the positive image of the influencer transfers to platform and product images, and show how the platform's positive image further enhances the positive image of the endorsed product. Notably, influencer popularity serves as a moderator, intensifying image transfer effects for highly popular influencers. These mechanisms, in turn, influence online engagement intentions and such behaviors as affection, conscious attention, social connection, and enthused participation. The study presents profound theoretical and practical implications, empowering marketers to optimize influencer strategies for success in the dynamic digital landscape.</t>
  </si>
  <si>
    <t>[Haq, Muhammad Dliya 'ul; Chiu, Chao-Min] Natl Sun Yat Sen Univ, Dept Informat Management, Kaohsiung 80424, Taiwan</t>
  </si>
  <si>
    <t>National Sun Yat Sen University</t>
  </si>
  <si>
    <t>Haq, MD (corresponding author), Natl Sun Yat Sen Univ, Dept Informat Management, Kaohsiung 80424, Taiwan.</t>
  </si>
  <si>
    <t>haq@g-mail.nsysu.edu.tw</t>
  </si>
  <si>
    <t>Haq, Muhammad Dliya'ul/IAM-5842-2023</t>
  </si>
  <si>
    <t>Haq, Muhammad Dliya'ul/0000-0002-0291-6712</t>
  </si>
  <si>
    <t>Sustainable Intelligent Electronic Commerce Research Center at National Sun Yat- sen University, Taiwan, ROC</t>
  </si>
  <si>
    <t>Funding: This research was partially supported by the Sustainable Intelligent Electronic Commerce Research Center at National Sun Yat- sen University, Taiwan, ROC.</t>
  </si>
  <si>
    <t>1567-4223</t>
  </si>
  <si>
    <t>1873-7846</t>
  </si>
  <si>
    <t>ELECTRON COMMER R A</t>
  </si>
  <si>
    <t>Electron. Commer. Res. Appl.</t>
  </si>
  <si>
    <t>10.1016/j.elerap.2024.101379</t>
  </si>
  <si>
    <t>Business; Computer Science, Information Systems; Computer Science, Interdisciplinary Applications</t>
  </si>
  <si>
    <t>RH7X2</t>
  </si>
  <si>
    <t>WOS:001226850400001</t>
  </si>
  <si>
    <t>Rohn, KC; Conway, PF</t>
  </si>
  <si>
    <t>Rohn, Kathy Chau; Conway, Patrick Filipe</t>
  </si>
  <si>
    <t>The 360 diary method in experiential education: using social media as a complementary method to interviews and audio diaries</t>
  </si>
  <si>
    <t>OUTDOOR; ELICITATION; IMPACT</t>
  </si>
  <si>
    <t>Although social media platforms with visual and audio storytelling features can provide rich qualitative data that offers deep insight into forms of outdoor experiential education, particularly for college-aged participants, few studies have investigated its potential in this field. This paper aims to extend understandings of social media research by drawing on a phenomenological study that employed the 360 Diary Method - an approach combining more 'traditional' qualitative approaches (interviews and audio diaries) with social media (Instagram and TikTok) - to explore the experiences of four college students who backpacked over 2,000 miles of the Appalachian Trail together. By comparing themes from multiple forms of qualitative data, findings show how Instagram and TikTok generate new understandings while texturizing what is shared verbally in audio diaries and interviews. Findings also highlight emerging theoretical and epistemological tensions when using social media in research due to its orientation towards performativity. This study concludes that in the digital age, utilising social media as a data source remains valuable but may be best employed in conjunction with other complementary qualitative methods to investigate the multi-layered nature of participant experiences in outdoor settings.</t>
  </si>
  <si>
    <t>[Rohn, Kathy Chau] Univ Connecticut, Neag Sch Educ, Dept Educ Leadership, Storrs, CT 06269 USA; [Conway, Patrick Filipe] Boston Coll, Prison Educ Program, Chestnut Hill, MA USA</t>
  </si>
  <si>
    <t>University of Connecticut; Boston College</t>
  </si>
  <si>
    <t>Rohn, KC (corresponding author), Univ Connecticut, Neag Sch Educ, Dept Educ Leadership, Storrs, CT 06269 USA.</t>
  </si>
  <si>
    <t>10.1080/1472586X.2024.2404440</t>
  </si>
  <si>
    <t>I0T1O</t>
  </si>
  <si>
    <t>WOS:001327459000001</t>
  </si>
  <si>
    <t>Parsons, D</t>
  </si>
  <si>
    <t>Parsons, Damon</t>
  </si>
  <si>
    <t>Traumatised and on TikTok: from inside the psych ward</t>
  </si>
  <si>
    <t>BJPSYCH ADVANCES</t>
  </si>
  <si>
    <t>Internet; in-patient treatment; ethics; live streaming; social media</t>
  </si>
  <si>
    <t>Faster internet speeds and ever-present mobile phones present a new challenge to psychiatric wards - the ability for patients to live stream their in-patient stays. What are the benefits and the risks to the patient streaming and the ward as a whole? This article is to help start a conversation about this unique problem and how health professionals might go about addressing it.</t>
  </si>
  <si>
    <t>[Parsons, Damon] Broadmoor Hosp, Crowthorne, England</t>
  </si>
  <si>
    <t>Parsons, D (corresponding author), Broadmoor Hosp, Crowthorne, England.</t>
  </si>
  <si>
    <t>damonparsons@nhs.net</t>
  </si>
  <si>
    <t>2056-4678</t>
  </si>
  <si>
    <t>2056-4686</t>
  </si>
  <si>
    <t>BJPSYCH ADV</t>
  </si>
  <si>
    <t>BJPsych Adv.</t>
  </si>
  <si>
    <t>PII S2056467822000871</t>
  </si>
  <si>
    <t>10.1192/bja.2022.87</t>
  </si>
  <si>
    <t>GF9B0</t>
  </si>
  <si>
    <t>WOS:000987507200001</t>
  </si>
  <si>
    <t>Simoes, RB; Baeta, AD; Costa, BF</t>
  </si>
  <si>
    <t>Simoes, Rita Basilio; Baeta, Agda Dias; Costa, Bruno Frutuoso</t>
  </si>
  <si>
    <t>Mapping Feminist Politics on Tik Tok during the COVID-19 Pandemic: A Content Analysis of the Hashtags #Feminismo and #Antifeminismo</t>
  </si>
  <si>
    <t>TikTok; feminism; popular feminism; antifeminism; misogyny</t>
  </si>
  <si>
    <t>In recent decades, marked by the supposedly universal access to different types of social media, we have seen the emergence of forms of popular feminism embedded in complex dynamics. Often cohabiting in these dynamics are ambivalent ideas and imaginaries that both reject and express feminist issues. Particularly during the COVID-19 pandemic, the use of digital technologies increased exponentially to overcome mobility constraints, popularizing connective action around feminism and, at the same time, reinforcing normative views of society. This article explores these ambivalences by focusing on TikTok discourses, whose popularity grew intensely during the pandemic. Departing from a feminist constructionist perspective and using content analysis, we examine the 100 most prominent videos on the Portuguese hashtags #feminismo (#feminism) and #antifeminismo (#antifeminism) in the period corresponding to general containment measures in the second phase of the public health crisis. The results are less than encouraging. Over half of the analysed videos contain discursive dynamics conforming to social hierarchization (53%), often reaffirming gender stereotypes. By allowing forms of popular feminism and antifeminism to permeate the shared discourses, the results suggest that the platform gives rise to ideas and discourses that reify unbalanced power relations.</t>
  </si>
  <si>
    <t>[Simoes, Rita Basilio; Baeta, Agda Dias] Univ Coimbra, Fac Arts &amp; Humanities, P-3004531 Coimbra, Portugal; [Simoes, Rita Basilio] NOVA Univ Lisbon, NOVA Inst Commun ICNOVA, P-1069061 Lisbon, Portugal; [Costa, Bruno Frutuoso] Univ Inst Lisbon ISCTE IUL, Sch Sociol &amp; Publ Policy, P-1649026 Lisbon, Portugal</t>
  </si>
  <si>
    <t>Universidade de Coimbra; Universidade Nova de Lisboa; Instituto Universitario de Lisboa</t>
  </si>
  <si>
    <t>Simoes, RB (corresponding author), Univ Coimbra, Fac Arts &amp; Humanities, P-3004531 Coimbra, Portugal.;Simoes, RB (corresponding author), NOVA Univ Lisbon, NOVA Inst Commun ICNOVA, P-1069061 Lisbon, Portugal.</t>
  </si>
  <si>
    <t>rbasilio@fl.uc.pt</t>
  </si>
  <si>
    <t>Simoes, Rita/IWM-4778-2023; Frutuoso Costa, Bruno/AAZ-8985-2021; Simoes, Rita Basilio/A-8670-2018; Dias Baeta, Agda/LLK-9528-2024</t>
  </si>
  <si>
    <t>Costa, Bruno Frutuoso/0000-0003-3023-8960; Simoes, Rita Basilio/0000-0001-6356-6042; Dias Baeta, Agda/0000-0003-3198-3348</t>
  </si>
  <si>
    <t>Faculty of Arts and Humanities of the University of Coimbra</t>
  </si>
  <si>
    <t>10.3390/journalmedia4010017</t>
  </si>
  <si>
    <t>AM3X8</t>
  </si>
  <si>
    <t>WOS:001118854600001</t>
  </si>
  <si>
    <t>Arai, K; Fujikawa, I; Nakagawa, Y; Ogawa, S</t>
  </si>
  <si>
    <t>Arai, Kohei; Fujikawa, Ikuya; Nakagawa, Yusuke; Ogawa, Sayuri</t>
  </si>
  <si>
    <t>Method for Predictive Trend Analytics with SNS Information for Marketing</t>
  </si>
  <si>
    <t>X (former tweeter); Instagram; Facebook; YouTube; TikTok; market trend; AWS; Google analytics; keyword analysis; page view analysis; access analysis; heat map analysis</t>
  </si>
  <si>
    <t>A method for predictive trend analytics with social media information is proposed for marketing. Through keyword analysis, page view analysis, access analysis, heat map analysis, Google Analytics, real time analysis, company and competitor analysis, trend analysis with the social media data derived from X (former tweeter), Instagram, Facebook, YouTube, TikTok, market trend can be predicted. The proposed method is created in a local server and is extended to AWS cloud. The proposed system, also ensure negative / positive analysis from the acquired social media information. Through some experiments, it is found that by using AI to analyze social data by category, you can visualize the degree of attention for each keyword, model relationships between information, identify trending keywords, and where the keywords are in their lifecycle. It turns out that it's possible to categorize which ones exist and predict which ones will scale up in the next six months. In addition, corporate product development and marketing personnel can identify themes, materials, benefits, etc. that have signs of becoming popular based on insights based on predictive behavioral data obtained from the proposed method and system and utilize them in new business development and new product planning.</t>
  </si>
  <si>
    <t>[Arai, Kohei] Saga Univ, Informat Sci Dept, Saga, Japan; [Fujikawa, Ikuya; Nakagawa, Yusuke; Ogawa, Sayuri] SIC Holdings Co Ltd, Hakata Ku, Fukuoka, Fukuoka, Japan</t>
  </si>
  <si>
    <t>Saga University</t>
  </si>
  <si>
    <t>Arai, K (corresponding author), Saga Univ, Informat Sci Dept, Saga, Japan.</t>
  </si>
  <si>
    <t>The authors would like to thank to Professor Dr. Hiroshi Okumura and Professor Dr. Osamu Fukuda for their valuable discussions.</t>
  </si>
  <si>
    <t>H6L8S</t>
  </si>
  <si>
    <t>WOS:001324544600001</t>
  </si>
  <si>
    <t>Ciba, D</t>
  </si>
  <si>
    <t>Ciba, Daniel</t>
  </si>
  <si>
    <t>#RecursionFTW</t>
  </si>
  <si>
    <t>RIDE-THE JOURNAL OF APPLIED THEATRE AND PERFORMANCE</t>
  </si>
  <si>
    <t>Memory; digital; performance; recursion</t>
  </si>
  <si>
    <t>REMEMORY</t>
  </si>
  <si>
    <t>This essay documents my expansions on a lesson developed in courses that juxtaposed performance and memory studies. Building on a recursive reading of Toni Morrison's literary conceptualisation of rememory, I describe the reiterative nature of memory using two digital performances - a TikTok meme featuring 50 Cent's 'Candy Shop' and a Reddit thread featuring a series of bird paintings. These performances made before the 2020 pandemic show the potentials of collectively inspired art created as virtual media.</t>
  </si>
  <si>
    <t>[Ciba, Daniel] Quintessence Theatre Grp, Philadelphia, PA 19119 USA</t>
  </si>
  <si>
    <t>Ciba, D (corresponding author), Quintessence Theatre Grp, Philadelphia, PA 19119 USA.</t>
  </si>
  <si>
    <t>danielciba01@gmail.com</t>
  </si>
  <si>
    <t>1356-9783</t>
  </si>
  <si>
    <t>1470-112X</t>
  </si>
  <si>
    <t>RIDE-J APPL THEATRE</t>
  </si>
  <si>
    <t>RIDE-J. Appl. Theatre Perform.</t>
  </si>
  <si>
    <t>10.1080/13569783.2022.2060731</t>
  </si>
  <si>
    <t>Education &amp; Educational Research; Theater</t>
  </si>
  <si>
    <t>2R5QW</t>
  </si>
  <si>
    <t>WOS:000821167700002</t>
  </si>
  <si>
    <t>Zhao, J; Zhou, J; Wu, P; Liang, K</t>
  </si>
  <si>
    <t>Zhao, Jie; Zhou, Jie; Wu, Peng; Liang, Kun</t>
  </si>
  <si>
    <t>Boosting e-commerce sales with live streaming: the power of barrages</t>
  </si>
  <si>
    <t>E-commerce; Live streaming; Barrage; Online product sales</t>
  </si>
  <si>
    <t>ONLINE CONSUMER REVIEWS; WORD-OF-MOUTH; INFORMATION OVERLOAD; PURCHASE INTENTION; MODERATING ROLE; COMMUNICATION; HELPFULNESS; IMPACT; TRUST; USAGE</t>
  </si>
  <si>
    <t>Real-time barrage during e-commerce live streaming introduces a new way to predict online product sales. The primary objective of this research is to quantitatively assess how the count and length of barrages affect onine product sales during e-commerce live streams. By focusing on TikTok as a case study, this study aims to uncover the effect of the count and length of barrages on sales performance, thereby providing strategic insights for optimizing user engagement and improving sales outcomes in e-commerce live streaming. Particularly, we focus on barrage count and length while incorporating several control variables like the number of live-streaming likes and new followers. Based on the Elaboration Likelihood Model (ELM), we presented three models and employed Python to collect barrage data from TikTok and perform statistical analysis, regression analysis, and robustness test. The results demonstrate an inverted U-shaped effect of barrage count and length on online product sales. Furthermore, we discovered that the inverted U-shaped curve reaches its turning point with increased barrage count and length. These findings offer fresh insights into e-commerce live streaming, upon which we provide further suggestions for advancing e-commerce live streaming.</t>
  </si>
  <si>
    <t>[Zhao, Jie; Zhou, Jie; Wu, Peng; Liang, Kun] Anhui Univ, Dept Ebusiness, Hefei, Peoples R China</t>
  </si>
  <si>
    <t>Anhui University</t>
  </si>
  <si>
    <t>Zhao, J (corresponding author), Anhui Univ, Dept Ebusiness, Hefei, Peoples R China.</t>
  </si>
  <si>
    <t>zhaojie@ahu.edu.cn</t>
  </si>
  <si>
    <t>We would like to thank the editor and anonymous reviewers for their suggestions and comments to improve the quality of the paper.</t>
  </si>
  <si>
    <t>10.1007/s10660-024-09913-7</t>
  </si>
  <si>
    <t>J0N3D</t>
  </si>
  <si>
    <t>WOS:001334121400001</t>
  </si>
  <si>
    <t>Nash, K</t>
  </si>
  <si>
    <t>Nash, Kyle</t>
  </si>
  <si>
    <t>Exploring the Impact of Self-Concept and IT Identity on Social Media Influencers' Behavior: A Focus on Young Adult Technology Features Utilization</t>
  </si>
  <si>
    <t>Social media influencer; uTAUT; IT identity; self-concept; TikTok</t>
  </si>
  <si>
    <t>STRUCTURAL EQUATION MODELS; INFORMATION-TECHNOLOGY; USER ACCEPTANCE; UNIFIED THEORY; PLS-SEM; ADOPTION; IDENTIFICATION; DETERMINANTS; CONSTRUCTS; INTENTIONS</t>
  </si>
  <si>
    <t>This research investigates the inspiration of self-concept and Information Technology (IT) identity on the behavior of Social Media Influencers (SMI), specifically regarding their utilization of technology features. With the advent of social media, individuals have been presented with a unique opportunity to showcase their creativity and connect with a broader audience, known as followers. Drawing upon the unified theory of acceptance and use of technology (UTAUT), this study examines the relationship between SMIs behavior in utilizing technology features, self-concept, and IT identity within the context of social media platform usage. The research methodology employed in this study is partial least squares (PLS) regression, providing a comprehensive understanding of how individuals' self-concept shapes their IT identity concerning the usage of social media platform features. The findings of this study have significant implications for businesses seeking to engage with SMIs and individuals aiming to establish their presence on social media. The research highlights TikTok's potential as a platform for self-expression and personal brand development, underscoring the importance of self-concept and IT identity in the realm of SMIs.</t>
  </si>
  <si>
    <t>[Nash, Kyle] Minnesota State Univ, Coll Business, Dept Management, Mankato, MN USA; [Nash, Kyle] Minnesota State Univ, Coll Business, Dept Management, 120 Morris Hall, Mankato, MN 56001 USA</t>
  </si>
  <si>
    <t>Minnesota State Colleges &amp; Universities; Minnesota State University Mankato; Minnesota State Colleges &amp; Universities; Minnesota State University Mankato</t>
  </si>
  <si>
    <t>Nash, K (corresponding author), Minnesota State Univ, Coll Business, Dept Management, 120 Morris Hall, Mankato, MN 56001 USA.</t>
  </si>
  <si>
    <t>kyle.nash@mnsu.edu</t>
  </si>
  <si>
    <t>Nash, Kyle/0000-0003-2637-445X</t>
  </si>
  <si>
    <t>10.1080/10447318.2023.2271235</t>
  </si>
  <si>
    <t>M0R0L</t>
  </si>
  <si>
    <t>WOS:001087646100001</t>
  </si>
  <si>
    <t>Wang, MH; Yao, N; Wang, JM; Chen, WJ; Ouyang, YB; Xie, C</t>
  </si>
  <si>
    <t>Wang, Menghui; Yao, Nan; Wang, Jianming; Chen, Wenjuan; Ouyang, Yaobin; Xie, Chuan</t>
  </si>
  <si>
    <t>Bilibili, TikTok, and YouTube as sources of information on gastric cancer: assessment and analysis of the content and quality</t>
  </si>
  <si>
    <t>Gastric cancer; Quality; Online video; The public; Social media</t>
  </si>
  <si>
    <t>BackgroundGastric cancer has attracted widespread attention on social media due to its high incidence and severity. The Bilibili, TikTok, and YouTube video-sharing platforms have received considerable interest among general health consumers. Nevertheless, it remains unclear whether the information in videos on these platforms is of satisfactory content and quality.MethodsA total of 300 eligible videos related to gastric cancer were screened from three video-sharing platforms, Bilibili, TikTok, and YouTube, for assessment and analysis. First, the basic information presented in the videos was recorded. Next, we identified the source and content type of each video. Then, the Global Quality Scale (GQS), Journal of the American Medical Association (JAMA), and Modified DISCERN were used to assess the educational content and quality of each video. A comparative analysis was undertaken of the videos procured from these three sources.ResultsWe identified six categories of uploaders of the 300 videos: 159 videos (53%) were uploaded by health professionals, 21 videos (7%) by users in science communications, 29 videos (9.67%) by general users, 27 videos (9%) from news agencies, 63 videos (12%) by nonprofit organizations, and one video (0.33%) by a for-profit organization. In terms of the content types of the 300 videos, we identified five distinct categories. There were 48 videos (16%) on early signals, 12 videos (4%) on late symptoms, 40 videos (13.33%) on etiologies and causations, 160 videos (53.33%) on scientific introductions, and 40 videos (13.33%) on treatment methods. The overall quality of the videos was evaluated by the GQS, JAMA, and Modified DISCERN and was found to be medium, with scores of 2.6/5, 2.41/4, and 2.71/5 points, respectively.ConclusionsThis innovative study demonstrates that videos on social media platforms can help the public learn about early signals, late symptoms, treatment methods, etiologies and causations, and scientific introductions of gastric cancer. However, both the content and quality of uploaded recordings are inadequate currently. More efforts should be made to enhance the content and quality of videos on gastric cancer and to increase public awareness.</t>
  </si>
  <si>
    <t>[Wang, Menghui; Yao, Nan; Xie, Chuan] Nanchang Univ, Affiliated Hosp 1, Dept Gastroenterol, 17 Yongwaizheng St, Nanchang 330006, Jiangxi, Peoples R China; [Wang, Menghui; Wang, Jianming] Nanchang Univ, Huan Kui Coll, Nanchang 330006, Jiangxi, Peoples R China; [Yao, Nan] Nanchang Univ, Queen Mary Coll, Nanchang 330006, Jiangxi, Peoples R China; [Chen, Wenjuan] Nanchang Univ, Publ Hlth Coll, Nanchang 330006, Jiangxi, Peoples R China; [Ouyang, Yaobin] Mayo Clin, Dept Oncol, Rochester, MN 55905 USA</t>
  </si>
  <si>
    <t>Nanchang University; Nanchang University; Nanchang University; Nanchang University; Mayo Clinic</t>
  </si>
  <si>
    <t>Xie, C (corresponding author), Nanchang Univ, Affiliated Hosp 1, Dept Gastroenterol, 17 Yongwaizheng St, Nanchang 330006, Jiangxi, Peoples R China.</t>
  </si>
  <si>
    <t>xcsghhz@ncu.edu.cn</t>
  </si>
  <si>
    <t>Wang, Jianming/HGA-5239-2022; XIE, CHUAN/GRX-3320-2022</t>
  </si>
  <si>
    <t>National Natural Science Foundation of China</t>
  </si>
  <si>
    <t>10.1186/s12889-023-17323-x</t>
  </si>
  <si>
    <t>DX5J7</t>
  </si>
  <si>
    <t>WOS:001135394000055</t>
  </si>
  <si>
    <t>Volkova, I; Han, J; Algavi, L; Lazutova, N</t>
  </si>
  <si>
    <t>Volkova, Irina; Han, Jin; Algavi, Leila; Lazutova, Natalia</t>
  </si>
  <si>
    <t>The Impact of Cultural Factors on Chinese Teenagers' Self-presentation in Douyin's Videos</t>
  </si>
  <si>
    <t>self -presentation; cultural factors; short video; TikTok; Douyin.</t>
  </si>
  <si>
    <t>MOTIVATION</t>
  </si>
  <si>
    <t>Modern mobile technologies that allow the quick creation of short videos provide users with ample opportunities to present their information in public space. Teenagers have become the most active users of new forms of creativity, so their self-presentations on video platforms deserve attention. This study uses content analysis to examine the features of Chinese adolescents' selfpresentation on Douyin, the Chinese TikTok counterpart, and the cultural factors that determine these features. We discovered that teenagers' self-presentation is characterized, firstly, by the creation of a virtual identity based on the real one, secondly, by freedom in the choice of role behavior, and thirdly, by the idealization of their image and various means of its formation. In addition to the impact of social, commercial, and network values, we also found the influence of traditional Chinese culture. Cultural stereotypes formed by upbringing are reflected in the forms of self-presentation (from external style to way of thinking) by the modern younger generation on social networks. We noted the role of celebrity culture in the daily lives of teenagers. In the future, studying the role of Chinese adolescents in the social information system, especially at the stage of changes in their self-perception and self-presentation, seems relevant.</t>
  </si>
  <si>
    <t>[Volkova, Irina; Han, Jin; Algavi, Leila] Peoples Friendship Univ Russia, RUDN Univ, Moscow, Russia; [Lazutova, Natalia] Moscow MV Lomonosov State Univ, Moscow, Russia</t>
  </si>
  <si>
    <t>Peoples Friendship University of Russia; Lomonosov Moscow State University</t>
  </si>
  <si>
    <t>Volkova, I (corresponding author), Peoples Friendship Univ Russia, RUDN Univ, Moscow, Russia.</t>
  </si>
  <si>
    <t>irma-irma@mail.ru</t>
  </si>
  <si>
    <t>Volkova, Irina/AAH-4434-2019; Algavi, Leila/U-5175-2019</t>
  </si>
  <si>
    <t>Algavi, Leila/0000-0001-5335-8506</t>
  </si>
  <si>
    <t>10.13187/me.2024.1.164</t>
  </si>
  <si>
    <t>MX8X2</t>
  </si>
  <si>
    <t>WOS:001197037900011</t>
  </si>
  <si>
    <t>Sitaraman, G</t>
  </si>
  <si>
    <t>Sitaraman, Ganesh</t>
  </si>
  <si>
    <t>The Regulation of Foreign Platforms</t>
  </si>
  <si>
    <t>STANFORD LAW REVIEW</t>
  </si>
  <si>
    <t>LAW; MONITOR</t>
  </si>
  <si>
    <t>In August 2020, the Trump Administration issued twin executive orders banning tech platforms TikTok and WeChat from the United States. These were not the first actions taken by the Trump Administration against Chinese tech platforms. But more than any other, the ban on TikTok sparked immediate outrage, confusion, and criticism. This Article offers a new framework for thinking about national security restrictions on foreign tech platforms. A growing body of scholarship draws on principles from regulated industries, infrastructure industries, and public utilities to show how the regulation of tech platforms is not only viable but also has significant precedent and pedigree. Firms in infrastructure sectors banking, communications, transportation, and energy have long been subject to distinct and comprehensive regulatory regimes because they raise political-economy concerns distinct from those of ordinary tradable goods. In many of these sectors, there is also a long history of legal restrictions on the foreign ownership of, control of, and influence over platforms. This may be surprising given the contours of the contemporary tech-platform debate. Tech neoliberals object to placing any restrictions on foreign tech platforms because regulations would threaten the open internet. National security technocrats advocate for a case-by-case assessment of dangers, narrowly tailored mitigation measures, and audits to ensure compliance. Both of these dominant paradigms suffer from a variety of conceptual and practical problems, and neither takes foreign tech platforms seriously as platforms, akin to platforms in other sectors. This Article recovers the history of restrictions on foreign platforms in traditional regulated industries, critiques the dominant paradigms in the debate over foreign tech platforms, and offers an alternative: the platform-utilities paradigm. The platform-utilities approach recognizes that the regulation of platforms is important and legitimate given their distinctive political economy. Taking lessons and strategies from the history of platform restrictions, it suggests focusing on sectors before specific firms and applying structural separations rather than complex formulas for preventing national security harms. The platform-utilities approach would also require efforts at international interconnection and domestic public investments. The Article concludes by revisiting the case of TikTok with these lessons in mind.</t>
  </si>
  <si>
    <t>[Sitaraman, Ganesh] Vanderbilt Law Sch, Law, Nashville, TN 37203 USA; [Sitaraman, Ganesh] Vanderbilt Law Sch, Program Law &amp; Govt, Nashville, TN 37203 USA</t>
  </si>
  <si>
    <t>Vanderbilt University; Vanderbilt University</t>
  </si>
  <si>
    <t>Sitaraman, G (corresponding author), Vanderbilt Law Sch, Law, Nashville, TN 37203 USA.;Sitaraman, G (corresponding author), Vanderbilt Law Sch, Program Law &amp; Govt, Nashville, TN 37203 USA.</t>
  </si>
  <si>
    <t>STANFORD UNIV, STANFORD LAW SCHOOL</t>
  </si>
  <si>
    <t>STANFORD</t>
  </si>
  <si>
    <t>STANFORD JOURNAL INT LAW, 559 NATHAN ABBOTT WAY, STANFORD, CA 94305-8610 USA</t>
  </si>
  <si>
    <t>0038-9765</t>
  </si>
  <si>
    <t>STANFORD LAW REV</t>
  </si>
  <si>
    <t>Stanford Law Rev.</t>
  </si>
  <si>
    <t>3A2WN</t>
  </si>
  <si>
    <t>WOS:000827125000003</t>
  </si>
  <si>
    <t>Abramson, M; Feiertag, N; Javidi, D; Babar, M; Loeb, S; Watts, K</t>
  </si>
  <si>
    <t>Abramson, Max; Feiertag, Nathan; Javidi, Darius; Babar, Mustufa; Loeb, Stacy; Watts, Kara</t>
  </si>
  <si>
    <t>Accuracy of prostate cancer screening recommendations for high-risk populations on YouTube and TikTok</t>
  </si>
  <si>
    <t>BJUI COMPASS</t>
  </si>
  <si>
    <t>high-risk populations; misinformation; patient education; prostate cancer screening; racial disparities; social media; TikTok; YouTube</t>
  </si>
  <si>
    <t>SOCIAL MEDIA; INFORMATION; EPIDEMIOLOGY; BENEFITS; QUALITY</t>
  </si>
  <si>
    <t>Objectives: This study aimed to evaluate content quality and racial/ethnic representation, particularly of high-risk cohorts, of prostate cancer screening videos on YouTube (YT) and TikTok (TK).Materials and methods: The top 50 videos populated for the search term 'prostate cancer screening' on YT and TK that met inclusion criteria were retrieved in a cache-cleared browser. Three reviewers analysed all videos using validated criteria for the quality of consumer health information (DISCERN and Patient Education Materials Assessment Tool [PEMAT]). High quality was defined as follows: DISCERN &gt;= 4, PEMAT understandability &gt;= 75% and PEMAT actionability &gt;= 75%. A 5-point Likert scale was used to demonstrate the level of misinformation compared to American Urological Association and National Comprehensive Cancer Network guidelines. Perceived race and ethnicity of people in the videos were assessed by consensus approach.Results: TK videos were shorter (median 3.7 vs. 0.5 min, p &lt; 0.001) and had more views per month (5437.5 vs. 19.3, p = 0.03) than YT videos. Perceived Black and Hispanic representation was present in 10% and 6% of YT videos and 20% and 12% of TK videos, respectively. High-risk racial/ethnic groups were explicitly discussed in 46% of YT videos and 8% of TK videos. A total of 98% of YT videos and 100% of TK videos had low- to moderate-quality consumer health information, and 88% of YT videos and 100% of TK videos had moderate to high levels of misinformation based on screening guidelines.Conclusions: YT and TK videos about prostate cancer screening are widely viewed but do not provide quality consumer health information. Black and Hispanic men remain under-represented on both platforms, and high-risk racial groups were not discussed in most videos despite the importance for screening criteria. The low understandability and actionability, significant misinformation and lack of diversity in online videos support the need for higher quality videos with adequate attention to high-risk ethnic cohorts.</t>
  </si>
  <si>
    <t>[Abramson, Max; Feiertag, Nathan; Javidi, Darius; Babar, Mustufa; Watts, Kara] Albert Einstein Coll Med, Bronx, Bronx, NY USA; [Loeb, Stacy] New York Univ Langone Hlth, Dept Urol, New York, NY USA; [Loeb, Stacy] New York Univ Langone Hlth, Dept Populat Hlth, New York, NY USA; [Loeb, Stacy] Manhattan Vet Affairs Med Ctr, New York, NY USA; [Watts, Kara] Albert Einstein Coll Med, Montefiore Med Ctr, Dept Urol, 1250 Waters Pl, Bronx, NY 10461 USA</t>
  </si>
  <si>
    <t>Yeshiva University; Montefiore Medical Center; Albert Einstein College of Medicine; New York University; New York University; Montefiore Medical Center; Albert Einstein College of Medicine; Yeshiva University</t>
  </si>
  <si>
    <t>Watts, K (corresponding author), Albert Einstein Coll Med, Montefiore Med Ctr, Dept Urol, 1250 Waters Pl, Bronx, NY 10461 USA.</t>
  </si>
  <si>
    <t>Loeb, Stacy/0000-0003-3933-9207; Abramson, Max/0000-0002-7801-5400; Babar, Mustufa/0000-0001-8490-2260</t>
  </si>
  <si>
    <t>Department of Defense Health Disparity Research Award</t>
  </si>
  <si>
    <t>Department of Defense Health Disparity Research Award(United States Department of Defense)</t>
  </si>
  <si>
    <t>2688-4526</t>
  </si>
  <si>
    <t>BJUI Compass</t>
  </si>
  <si>
    <t>10.1002/bco2.200</t>
  </si>
  <si>
    <t>FI9L0</t>
  </si>
  <si>
    <t>WOS:001145248200006</t>
  </si>
  <si>
    <t>Mendes, L; Leonido, L; Morgado, E</t>
  </si>
  <si>
    <t>Mendes, Liliana; Leonido, Levi; Morgado, Elsa</t>
  </si>
  <si>
    <t>Correlation between Suicidal Ideation and Addiction to Various Social Media Platforms in a Sample of Young Adults: The Benefits of Physical Activity</t>
  </si>
  <si>
    <t>young adults; social media addiction; suicidal ideation; physical activity</t>
  </si>
  <si>
    <t>PROBLEMATIC INTERNET USE</t>
  </si>
  <si>
    <t>The rise in suicide death rates has become a major public health concern, which has led to increased addiction to internet and social media platforms. Despite the limited research available on the relationship between suicidal ideation and addiction to social media such as Instagram and TikTok, this study aims to examine this connection. The study design is cross-sectional, quantitative, comparative, and correlational, with a quasi-experimental approach. The sample includes 315 young adults aged 20 to 30 who were surveyed through the administration of the Suicidal Ideation Questionnaire (SIQ) and the Social Media Disorder Scale-Short Form (SMDS-SF) surveys. The results showed differences in addiction levels based on the type of social media, specifically between TikTok and other social media platforms. The study found that female participants who engage in physical activity (PA) four times a week had lower levels of suicidal ideation than those who did not; there were no differences compared to male participants. This suggests that PA may be a potential strategy for preventing and reducing suicide-related phenomena. The results also indicate that addiction to social media was a statistically significant predictor of suicidal ideation, after controlling for gender and PA.</t>
  </si>
  <si>
    <t>[Mendes, Liliana] Univ Coimbra, Coimbra Inst Clin &amp; Biomed Res, Fac Med, P-3000548 Coimbra, Portugal; [Leonido, Levi] Portuguese Catholic Univ, Ctr Res Arts Sci &amp; Technol, P-4169005 Porto, Portugal; [Leonido, Levi] Univ Tras os Montes &amp; Alto Douro, Sch Human &amp; Social Sci, P-5000801 Vila Real, Portugal; [Morgado, Elsa] Inst Politecn Braganca, Res Ctr Basic Educ, P-5300253 Braganca, Portugal</t>
  </si>
  <si>
    <t>Universidade de Coimbra; Universidade Catolica Portuguesa; University of Tras-os-Montes &amp; Alto Douro; Instituto Politecnico de Braganca</t>
  </si>
  <si>
    <t>Mendes, L (corresponding author), Univ Coimbra, Coimbra Inst Clin &amp; Biomed Res, Fac Med, P-3000548 Coimbra, Portugal.</t>
  </si>
  <si>
    <t>liliana.mendes@icnas.uc.pt</t>
  </si>
  <si>
    <t>Mendes, Liliana/JEO-8454-2023; Leonido, Levi/AAF-8585-2019; Gabriel Morgado, Elsa/HSF-8404-2023</t>
  </si>
  <si>
    <t>Leonido, Levi/0000-0001-6603-034X; Mendes, Liliana/0000-0002-7938-6166; Gabriel Morgado, Elsa/0000-0002-3653-7876</t>
  </si>
  <si>
    <t>10.3390/soc13040082</t>
  </si>
  <si>
    <t>F6AG7</t>
  </si>
  <si>
    <t>WOS:000983145700001</t>
  </si>
  <si>
    <t>Habibi, SA; Salim, L</t>
  </si>
  <si>
    <t>Habibi, Sarah A.; Salim, Lidya</t>
  </si>
  <si>
    <t>Static vs. dynamic methods of delivery for science communication: A critical analysis of user engagement with science on social media</t>
  </si>
  <si>
    <t>Science communication has been increasingly viewed as a necessity and obligation of scientists in recent years. The rise of Web 2.0 technologies, such as social media, has made communication of science to the public more accessible as a whole. While one of the primary goals of science communication is to increase public engagement, there is very little research to show the type of communication that fosters the highest levels of engagement. Here we evaluate two social medial platforms, Instagram and TikTok, and assess the type of educational science content (ESC) that promotes user awareness and overall engagement. Specifically, we measured the level of engagement between static and dynamic posts on Instagram, and lecture-style and experimental videos on TikTok. User engagement is measured through the analysis of relative number of likes, comments, shares, saves, and views of each post in the various categories. We found that users interact with ESC significantly more (p&lt;0.05) when the content is presented in dynamic ways with a component of experimentation. Together, we took the findings of this study and provided a series of suggestions for conducting science communication on social media, and the type of ESC that should be used to promote better user outcomes.</t>
  </si>
  <si>
    <t>[Habibi, Sarah A.] Ontario Tech Univ, Fac Sci, Oshawa, ON, Canada; [Salim, Lidya] Ontario Tech Univ, Fac Sci, Appl Biosci Grad Program, Oshawa, ON, Canada</t>
  </si>
  <si>
    <t>Habibi, SA (corresponding author), Ontario Tech Univ, Fac Sci, Oshawa, ON, Canada.</t>
  </si>
  <si>
    <t>Habibi.Sarah11@gmail.com</t>
  </si>
  <si>
    <t>Habibi, Sarah/0000-0002-4888-7830</t>
  </si>
  <si>
    <t>MAR 31</t>
  </si>
  <si>
    <t>e0248507</t>
  </si>
  <si>
    <t>10.1371/journal.pone.0248507</t>
  </si>
  <si>
    <t>RH6VV</t>
  </si>
  <si>
    <t>WOS:000636354600039</t>
  </si>
  <si>
    <t>Kiliç, I; Polat, S</t>
  </si>
  <si>
    <t>Kilic, Ilker; Polat, Sevval</t>
  </si>
  <si>
    <t>Monkey see, monkey do! de-influencing travel</t>
  </si>
  <si>
    <t>De-influencing travel; de-influencing; social media; sustainable tourism</t>
  </si>
  <si>
    <t>TOURISM; TOOLS</t>
  </si>
  <si>
    <t>The concept of 'de-influencing', which has emerged as a new movement aiming not to consume in the consumer society, is gaining more popularity on social media. However, the concept of 'de-influencing' has not been fully understood. This has made it a necessity to define the 'de-influencing' concept. In addition, the conceptualisation and determination of the categories of 'de-influencing travel', which aims to reduce consumption in the context of tourist products, will be an important milestone in understanding and implementing the concept. Accordingly, to understand and define what the concepts of 'de-influencing' are, 10,365 contents shared by 26 de-influencers on Tiktok, which is the platform where the concept emerged first, was examined in the study. The posts tagged as de-influencing travel' and 'de-influencing' on Tiktok, Instagram, Youtube, Facebook and Reddit, which are the most commonly used social media platforms, were searched and out of 12,283 content, 1152 posts related to tourism were subjected to content analysis. With the content analysis, 10 categories related to de-influencing travel were obtained: hype, inappropriate, show alternative, unreliable influencer content, overprice, over-consumerism, sustainability, impulsive purchasing, saving money and complaining. The research findings provide original suggestions to tourism enterprises, researchers and social media phenomena.</t>
  </si>
  <si>
    <t>[Kilic, Ilker; Polat, Sevval] Eskisehir Osmangazi Univ, Tourism Fac, Eskisehir, Turkiye</t>
  </si>
  <si>
    <t>Eskisehir Osmangazi University</t>
  </si>
  <si>
    <t>Kiliç, I (corresponding author), Eskisehir Osmangazi Univ, Tourism Fac, Eskisehir, Turkiye.</t>
  </si>
  <si>
    <t>ilker.kilic@ogu.edu.tr</t>
  </si>
  <si>
    <t>10.1080/13683500.2024.2404998</t>
  </si>
  <si>
    <t>G2H4B</t>
  </si>
  <si>
    <t>WOS:001314897800001</t>
  </si>
  <si>
    <t>Vizcaíno-Verdú, A; de-Casas-Moreno, P; Tirocchi, S</t>
  </si>
  <si>
    <t>Vizcaino-Verdu, Arantxa; de-Casas-Moreno, Patricia; Tirocchi, Simona</t>
  </si>
  <si>
    <t>Online prosumer convergence: Listening, creating and sharing music on YouTube and TikTok</t>
  </si>
  <si>
    <t>Social media; music video; platformization; user-generated content; musicking; questionnaire; prosumer</t>
  </si>
  <si>
    <t>ENGAGEMENT; COMMUNICATION; QUESTIONNAIRE; PERFORMANCE</t>
  </si>
  <si>
    <t>Social media and prosumers have encouraged participatory creativity in the era of platformization. In this context, successful platforms such as YouTube and TikTok have facilitated users interact with music content in a wide variety of meaningful and evocative videos. In the light of research on the cultural prosumption of Internet content, as well as the global exchange of musical data, which is leading an emerging and innovative digital convergence, this study analyses the intersection between digital music and users through the Music Prosumer Questionnaire (MuPQ). This tool consists of three dimensions and 21 items based on (a) music preferences, (b) use of social media, and (c) music engagement. For this purpose, we collected the response of 698 users from Spain and Italy. The results showed that digital and visual music is essential to users' life as a means of expression and relationship with other people. In particular, in their role as music curator, are more interested in music watching than in blind listening, which is related to mainstream music viewing dynamics. These findings provide new insights for understanding how music evolves according to the relationship between users and social media beyond technological progress.</t>
  </si>
  <si>
    <t>[Vizcaino-Verdu, Arantxa] Univ Huelva, Huelva, Spain; [de-Casas-Moreno, Patricia] Univ Extremadura, Badajoz, Spain; [Tirocchi, Simona] Univ di Torino, Turin, Italy</t>
  </si>
  <si>
    <t>de-Casas-Moreno, P (corresponding author), Univ Extremadura, Badajoz, Spain.</t>
  </si>
  <si>
    <t>arantxa.vizcaino@dedu.uhu.es; arantxa.vizcaino@dedu.uhu.es; simona.tirocchi@unito.it</t>
  </si>
  <si>
    <t>Vizcaíno-Verdú, Arantxa/AGW-9688-2022; Vizcaino-Verdu, Arantxa/Q-4126-2018; de-Casas-Moreno, Patricia/A-6326-2016</t>
  </si>
  <si>
    <t>Vizcaino-Verdu, Arantxa/0000-0001-9399-2077; de-Casas-Moreno, Patricia/0000-0003-1205-8106; TIROCCHI, SIMONA/0000-0001-5052-4863</t>
  </si>
  <si>
    <t>Spanish Ministry of Science, Innovation and Universities [RTI2018-093303-B-I00]; European Regional Development Fund (ERDF); Andalusian Regional Government [P18-RT-756]</t>
  </si>
  <si>
    <t>Spanish Ministry of Science, Innovation and Universities(Spanish Government); European Regional Development Fund (ERDF)(European Union (EU)); Andalusian Regional Government</t>
  </si>
  <si>
    <t>This work was supported by `Alfamed' (Euro-American Research Network), under Grant R+D+I Project (2019-2021), entitled Youtubers and Intagrammers: Media competition in emerging prosumers, with code RTI2018-093303-B-I00, financed by the Spanish Ministry of Science, Innovation and Universities and the European Regional Development Fund (ERDF), and the R+D-i Project (2020-2022), entitled Instagrammers and youtubers for the transmedia empowerment of Andalusian citizens. The media competence of instatubers, with code P18-RT-756, financed by the Andalusian Regional Government in the 2018 call (Andalusian Research, Development and Innovation Plan, 2020) and the European Regional Development Fund (ERDF).</t>
  </si>
  <si>
    <t>10.15581/003.36.1.151-166</t>
  </si>
  <si>
    <t>8Z4NV</t>
  </si>
  <si>
    <t>WOS:000933357900010</t>
  </si>
  <si>
    <t>[Arai, Kohei] Saga Univ, Dept Informat Sci, Saga, Japan; [Fujikawa, Ikuya; Nakagawa, Yusuke; Ogawa, Sayuri] SIC Holdings Co Ltd, Hakata Ku, Fukuoka, Fukuoka, Japan</t>
  </si>
  <si>
    <t>Arai, K (corresponding author), Saga Univ, Dept Informat Sci, Saga, Japan.</t>
  </si>
  <si>
    <t>WOS:001317434000043</t>
  </si>
  <si>
    <t>O'Donnell, N; Jerin, SI; Mu, D</t>
  </si>
  <si>
    <t>O'Donnell, Nicole; Jerin, Sultana Ismet; Mu, Di</t>
  </si>
  <si>
    <t>Using TikTok to Educate, Influence, or Inspire? A Content Analysis of Health-Related EduTok Videos</t>
  </si>
  <si>
    <t>BELIEF MODEL; SELF-EFFICACY; SOCIAL MEDIA; INFORMATION; MISINFORMATION</t>
  </si>
  <si>
    <t>This study explores how people engage with educational and motivational content on TikTok. We conducted a mixed-methods content analysis of N = 400 health videos from the prosocial EduTok campaign. Two theories guided our analysis of content: the motivational theory of role modeling and the health belief model. Our results revealed that audiences most frequently engaged with educational videos related to diet, exercise, and sexual health. Role model appeals were prominently featured and highly engaged with. However, these videos often framed health promotion through an ideal lens, without including information needed for behavior change attainability. The prevalence of constructs from the health belief model in videos varied. Videos emphasizing prevention, cues to action, and behavior antecedents including perceived benefits and severity attracted more views and engagement than videos that did not include these concepts. We further observed a trend in which content creators used severity in a sensational manner to elicit shock and outrage, which in turn boosted content virality. When included, videos featuring efficacy appeals garnered higher engagement. However, these appeals were less common and had limited reach. Overall, our findings provide implications for using role modeling and theory-driven appeals in social media eHealth communication.</t>
  </si>
  <si>
    <t>[O'Donnell, Nicole; Jerin, Sultana Ismet; Mu, Di] Washington State Univ, Edward R Murrow Coll Commun, Pullman, WA 99163 USA</t>
  </si>
  <si>
    <t>Washington State University</t>
  </si>
  <si>
    <t>O'Donnell, N (corresponding author), Washington State Univ, Edward R Murrow Coll Commun, Pullman, WA 99163 USA.</t>
  </si>
  <si>
    <t>nicole.odonnell@wsu.edu</t>
  </si>
  <si>
    <t>O'Donnell, Nicole/GQP-8130-2022</t>
  </si>
  <si>
    <t>O'Donnell, Nicole/0000-0002-2957-1742; Jerin, Sultana Ismet/0000-0002-6977-0367; Mu, Di/0009-0001-2386-8107; Mu, Dezhi/0000-0002-2599-7041</t>
  </si>
  <si>
    <t>10.1080/10810730.2023.2234866</t>
  </si>
  <si>
    <t>N1GJ8</t>
  </si>
  <si>
    <t>WOS:001024159200001</t>
  </si>
  <si>
    <t>Lewis, J; Melendez-Torres, GJ</t>
  </si>
  <si>
    <t>Lewis, Joseph; Melendez-Torres, G. J.</t>
  </si>
  <si>
    <t>Prep-Tok: a queer critical discourse analysis of TikToks regarding HIV-related pre-exposure prophylaxis</t>
  </si>
  <si>
    <t>PrEP; HIV; homophobia; TikTok; discourse</t>
  </si>
  <si>
    <t>SEX; PREVENTION; BARRIERS; MEN; BELIEFS; HEALTH</t>
  </si>
  <si>
    <t>Human immunodeficiency virus (HIV) continues to present a public health problem, and pre-exposure prophylaxis (PrEP) offers a promising preventative intervention; however, its uptake remains low, so investigating determinants of use is essential. This article applies queer critical discourse analysis to a corpus of 121 TikToks sampled via the TikTok algorithm, coded and refined into three overarching content categories: 'what makes a PrEP user?', 'what is PrEP as a drug?', and 'sexual health and HIV'. Examples from within these categories reveal four underlying discursive themes: (1) stigmatisation of HIV as a 'gay disease' with a poor prognosis; (2) stigmatisation of gay men as unsafe, high-risk and untrustworthy; (3) stigmatisation of PrEP as increasing 'unsafe' sexual practices; (4) poor healthcare and education gay men and other beneficiaries of PrEP. These themes are influenced by a broad spectrum of homophobic and heteronormative discourses available with specific examples reflecting parts of this spectrum from predominantly perpetuating to occasionally challenging. The findings report complementary evidence obtained from other media platforms yet offer a unique take while suggesting useful avenues for future public health messaging relating to PrEP which may be used to inform the next steps against HIV.</t>
  </si>
  <si>
    <t>[Lewis, Joseph; Melendez-Torres, G. J.] Univ Exeter, Fac Hlth &amp; Life Sci, Exeter, England</t>
  </si>
  <si>
    <t>Lewis, J (corresponding author), Univ Exeter, Fac Hlth &amp; Life Sci, Exeter, England.</t>
  </si>
  <si>
    <t>jrl221@exeter.ac.uk</t>
  </si>
  <si>
    <t>Melendez-Torres, G.J./0000-0002-9823-4790; Lewis, Joseph/0000-0003-3591-5449</t>
  </si>
  <si>
    <t>10.1080/13691058.2023.2224414</t>
  </si>
  <si>
    <t>MM5S1</t>
  </si>
  <si>
    <t>WOS:001024160200001</t>
  </si>
  <si>
    <t>Li, B; Chen, S; Zhou, Q</t>
  </si>
  <si>
    <t>Li, Bin; Chen, Shuang; Zhou, Qi</t>
  </si>
  <si>
    <t>Empathy with influencers? The impact of the sensory advertising experience on user behavioral responses</t>
  </si>
  <si>
    <t>Sensory advertising experience; TikTok (Douyin); Empathy; Altruistic motive; Reciprocity norm; Influencer effort</t>
  </si>
  <si>
    <t>SOCIAL-EXCHANGE THEORY; BRAND EXPERIENCE; PERCEIVED EFFORT; MEDIATING ROLE; CREDIBILITY; IDENTIFICATION; SATISFACTION; INTENTIONS; FOLLOWERS; VARIANCE</t>
  </si>
  <si>
    <t>Short-form video influencer advertising offers new opportunities for user sensory experience to promote advertising effectiveness and induce positive user responses. This unique means of influencer-generated adver-tising via short-form videos has not yet been investigated. This study builds on the reciprocity norm of social exchange theory to investigate relationships among ad sensory stimuli (i.e., the sensory advertising experience), the efficacy of influencer advertising (i.e., empathy and altruistic motive), and user behavioral responses (i.e., ad avoidance intention, ad engagement, and purchase intention). It also seeks to shed light on the critical role of perceived influencer effort in these relationships. An empirical study using data from TikTok (Douyin) users and results indicate that sensory advertising experience positively affects user behavioral responses through the serial mediation of empathy and altruistic motive. Additionally, perceived influencer effort is found to be a crucial moderator of the effect of sensory advertising experience on user empathy, which further influences user behavioral responses. The findings provide insight into the persuasion effect and mechanism of short-form video influencer advertising and offer suggestions for advertising campaign designers.</t>
  </si>
  <si>
    <t>[Li, Bin; Chen, Shuang] Tsinghua Univ, Sch Journalism &amp; Commun, Beijing, Peoples R China; [Zhou, Qi] Huazhong Univ Sci &amp; Technol, Sch Journalism &amp; Informat Commun, 1037 Luoyu Rd, Wuhan 430074, Peoples R China</t>
  </si>
  <si>
    <t>Tsinghua University; Huazhong University of Science &amp; Technology</t>
  </si>
  <si>
    <t>Zhou, Q (corresponding author), Huazhong Univ Sci &amp; Technol, Sch Journalism &amp; Informat Commun, 1037 Luoyu Rd, Wuhan 430074, Peoples R China.</t>
  </si>
  <si>
    <t>jennyzq1020@gmail.com</t>
  </si>
  <si>
    <t>chen, shuang/AAC-8356-2021</t>
  </si>
  <si>
    <t>Chen, Shuang/0000-0002-3898-6069; Li, Bin/0000-0003-3303-7304; Qi, Zhou/0000-0002-6025-0621</t>
  </si>
  <si>
    <t>Science Foundation of Ministry of Ed- ucation of China [22YJCZH264]; Postdoctoral Science Foundation of China [2021M701324]; Ministry-School Cooperation Foundation of Huazhong University of Science and Technology [2021F02]</t>
  </si>
  <si>
    <t>Science Foundation of Ministry of Ed- ucation of China(Ministry of Education, China); Postdoctoral Science Foundation of China(China Postdoctoral Science Foundation); Ministry-School Cooperation Foundation of Huazhong University of Science and Technology</t>
  </si>
  <si>
    <t>This work was supported by Science Foundation of Ministry of Ed- ucation of China (Grant number: 22YJCZH264) , Postdoctoral Science Foundation of China (Grant number: 2021M701324) , and Ministry-School Cooperation Foundation of Huazhong University of Science and Technology (Grant number: 2021F02) . The authors would like to thank the editor and anonymous reviewers for their insightful comments and suggestions on the article.</t>
  </si>
  <si>
    <t>10.1016/j.jretconser.2023.103286</t>
  </si>
  <si>
    <t>9W1ZT</t>
  </si>
  <si>
    <t>WOS:000948879900001</t>
  </si>
  <si>
    <t>Harriger, JA; Thompson, JK; Tiggemann, M</t>
  </si>
  <si>
    <t>Harriger, Jennifer A.; Thompson, J. Kevin; Tiggemann, Marika</t>
  </si>
  <si>
    <t>TikTok, TikTok, the time is now: Future directions in social media and body image</t>
  </si>
  <si>
    <t>Body image; Social media; Social networking; SNS</t>
  </si>
  <si>
    <t>This article synthesizes practical strategies and future directions proposed by contributors to the special issue in Body Image on social media and body image. It also moves beyond the contributions of the special issue in an effort to provide additional guidance to researchers, clinicians, educators, and policymakers. First, we recommend that research on social media and body image extend beyond convenience sampling of young, White women and include children and older adults, boys and men, and underrepresented groups. Second, we urge researchers to move away from simplistic measures of social media and to utilize mixed-methods approaches. Third, we advocate for the development of new theories that can be tested long-itudinally and that capture the unique influences of social media, rather than relying solely on existing models that were developed for traditional media. Fourth, we provide recommendations regarding practical strategies, such as the inclusion of media literacy campaigns, increased research on the role of reality check disclaimers, and further examination regarding the role of body positivity in prevention and intervention efforts. Finally, we end with recommendations regarding advocacy, such as using social media to harness positive efforts and partnering with social media companies regarding their use of algorithms. (c) 2023 Elsevier Ltd. All rights reserved.</t>
  </si>
  <si>
    <t>[Harriger, Jennifer A.] Pepperdine Univ, Social Sci Div, Malibu, CA 90263 USA; [Thompson, J. Kevin] Univ S Florida, Dept Psychol, Tampa, FL USA; [Tiggemann, Marika] Flinders Univ S Australia, Coll Educ Psychol &amp; Social Work, Bedford Pk, SA, Australia</t>
  </si>
  <si>
    <t>Pepperdine University; State University System of Florida; University of South Florida; Flinders University South Australia</t>
  </si>
  <si>
    <t>10.1016/j.bodyim.2023.01.005</t>
  </si>
  <si>
    <t>8V9CJ</t>
  </si>
  <si>
    <t>WOS:000930922500001</t>
  </si>
  <si>
    <t>Zhang, H; Zheng, ST; Zhu, PF</t>
  </si>
  <si>
    <t>Zhang, Hao; Zheng, Sinta; Zhu, Peifeng</t>
  </si>
  <si>
    <t>Why are Indonesian consumers buying on live streaming platforms? Research on consumer perceived value theory</t>
  </si>
  <si>
    <t>Indonesian consumers; Social commerce; Live streaming; Consumer perceived value; Consumer trust; Consumer buying intentions</t>
  </si>
  <si>
    <t>Along with the economic and technological development in Indonesia, one of the innovations is in the field of social media commerce and it has managed to attract the attention of Indonesian consumers. Different from other social media, TikTok offers a new feature, namely TikTok Live, participants can use this social media for their entertainment as well as a buying and selling platform. At the same time, live streaming also faces several factors where consumers are not yet sure about buying it. However, the marketing strategy has recently become a hot topic of discussion. Therefore, this empirical research aimed to investigate why Indonesian consumers buy on live streaming using perceived trust as a mediating variable, such as trust in the products and trust in the sellers. The factors used to analyse the influence on consumers' purchase intention include utilitarian value, hedonic value and social value. This study collected data in a questionnaire created in Google Forms and performed data analysis using SPSS 26 and SPSS Amos software, using structural equation models to analyse validation and theoretical hypotheses. The results of this analysis are expected to provide knowledge to social commerce providers, especially in the area of live streaming. This study shows that perceived values such as utilitarian, hedonic and social values have a significant positive impact on purchase intention. Utilitarian value and social value both have a significant and positive influence on both consumer trust in the products and consumer trust in the platform, but not on hedonic value, where hedonic value only has a significant positive influence on trust in the platform, but an insignificant effect on trust in the product. Even though hedonic value has no influence on the product, sellers still need to provide a more pleasant atmosphere to attract the attention of users or consumers. And for further research, this study hopes to uncover additional elements that influence consumer behaviour on the TikTok live streaming platform.</t>
  </si>
  <si>
    <t>[Zhang, Hao; Zheng, Sinta] Nanjing Univ Aeronaut &amp; Astronaut, Coll Econ &amp; Management, Nanjing 211106, Peoples R China; [Zhu, Peifeng] Nanjing Univ Chinese Med, Sch Hlth Econ &amp; Management, Nanjing 210023, Peoples R China</t>
  </si>
  <si>
    <t>Nanjing University of Aeronautics &amp; Astronautics; Nanjing University of Chinese Medicine</t>
  </si>
  <si>
    <t>Zhu, PF (corresponding author), Nanjing Univ Chinese Med, Sch Hlth Econ &amp; Management, Nanjing 210023, Peoples R China.</t>
  </si>
  <si>
    <t>Zhanghao0216@nuaa.edu.cn; Sintazheng19@gmail.com; 280702@njucm.edu.cn</t>
  </si>
  <si>
    <t>Humanities and Social Sciences project of the Ministry of Education [21YJA630088]</t>
  </si>
  <si>
    <t>Humanities and Social Sciences project of the Ministry of Education</t>
  </si>
  <si>
    <t>This work was supported by the Humanities and Social Sciences project of the Ministry of Education (granted numbers 21YJA630088) .</t>
  </si>
  <si>
    <t>JUL 15</t>
  </si>
  <si>
    <t>e33518</t>
  </si>
  <si>
    <t>10.1016/j.heliyon.2024.e33518</t>
  </si>
  <si>
    <t>XL5G4</t>
  </si>
  <si>
    <t>WOS:001261846400001</t>
  </si>
  <si>
    <t>Van de Wiele, E</t>
  </si>
  <si>
    <t>Van de Wiele, Eva</t>
  </si>
  <si>
    <t>Seducing with panels: Changing boundaries between advertising and children's comics.</t>
  </si>
  <si>
    <t>H-ERMES-JOURNAL OF COMMUNICATION</t>
  </si>
  <si>
    <t>advertising; Italy; consumption; children; Corriere dei Piccoli; Internazionale Kids; Instagram; TikTok; Sio; Pera Toons</t>
  </si>
  <si>
    <t>This article aims to investigate how advertising in Italy and in children's comics has evolved. In postmodern times when goods have become messages (Klein, 2001), comics' characters are progressively morphing into products. The intensification of the relationship between cultural and economic production (Jameson, 1998) led to different outcomes. On the part of the industry, similar appropriations - although they may seem either innovative or antiquated operations testify to the persistent idea of a deep-rooted link between childhood and the medium itself (one of the childhood geographies studied by Ahmed 2020). These appropriations also show a relationship that has been established in comics since its origins: the bond between children and consumption in the comics published in Corriere dei Piccoli. This paper discusses the survival of paper comics for educational purposes as well as its strategies to retain the reader ( International Kids). These are contrasted with pure entertainment comics which present various hybrid forms on social media such as Instagram and TikTok. Finally, the boundaries between the cartoonist-marketeer and international companies that create or deny the use of testimonials in advertising are also changing. The hybrid forms of comics activate the multimedia skills of the child consumer.</t>
  </si>
  <si>
    <t>Van de Wiele, Eva/AHB-2980-2022</t>
  </si>
  <si>
    <t>UNIV STUDI SALENTO</t>
  </si>
  <si>
    <t>LECCE</t>
  </si>
  <si>
    <t>EDIFICIO STUDIUM 2000, VIA DI VALESIO, LECCE, 73100, ITALY</t>
  </si>
  <si>
    <t>2284-0753</t>
  </si>
  <si>
    <t>H-ERMES</t>
  </si>
  <si>
    <t>H-ermes</t>
  </si>
  <si>
    <t>10.1285/i22840753n18p265</t>
  </si>
  <si>
    <t>PC1EW</t>
  </si>
  <si>
    <t>WOS:000596752900014</t>
  </si>
  <si>
    <t>Wang, N</t>
  </si>
  <si>
    <t>Wang, Ning</t>
  </si>
  <si>
    <t>LE LANGAGE CRYPTÉ SUR LES RÉSEAUX SOCIAUX CHINOIS</t>
  </si>
  <si>
    <t>LINGUISTIQUE</t>
  </si>
  <si>
    <t>In recent years, social networks have become increasingly popular, and young internet users have created a cryptic language that distinguishes itselffrom everyday language. This new linguistic system is a form of cryptic jargon that typically refers to language created and used by a given group to facilitate communication among themselves and prevent others from easily decrypting it. In this article, I aim to shed new light on this phenomenon through a new lexical corpus derived from the Chinese online platform TikTok. Several characteristics have been identified.</t>
  </si>
  <si>
    <t>[Wang, Ning] Univ Langues Etrangeres Beijing BFSU, Beijing, Peoples R China</t>
  </si>
  <si>
    <t>Wang, N (corresponding author), Univ Langues Etrangeres Beijing BFSU, Beijing, Peoples R China.</t>
  </si>
  <si>
    <t>wangning0531@126.com</t>
  </si>
  <si>
    <t>WANG, Ning/JRW-3437-2023</t>
  </si>
  <si>
    <t>PRESSES UNIV FRANCE</t>
  </si>
  <si>
    <t>PARIS CEDEX 14</t>
  </si>
  <si>
    <t>6 AVENUE REILLE, 75685 PARIS CEDEX 14, FRANCE</t>
  </si>
  <si>
    <t>0075-966X</t>
  </si>
  <si>
    <t>2101-0234</t>
  </si>
  <si>
    <t>Linguistique</t>
  </si>
  <si>
    <t>10.3917/ling.601.0183</t>
  </si>
  <si>
    <t>UW7C4</t>
  </si>
  <si>
    <t>WOS:001251156900001</t>
  </si>
  <si>
    <t>Yu, HQ; Xu, J; Sun, P</t>
  </si>
  <si>
    <t>Yu, Haiqing; Xu, Jian; Sun, Ping</t>
  </si>
  <si>
    <t>Introduction: Platformization of entrepreneurial labor via Chinese digital networks</t>
  </si>
  <si>
    <t>Entrepreneurial labor; Chinese platforms; digital networks; pjatformization; class; power; gender</t>
  </si>
  <si>
    <t>The special issue, Chinese Platforms and Entrepreneurial Labour, examines entrepreneurial labor and its relationship with the platformization of Chinese society and economy. The introduction to the special issue sums up three key issues pertinent to the broad field of platform entrepreneurial labor: class, power, and gender. It also contextualizes the platforms-Kuaishou, Xiaohongshu, Bilibili, and TikTok-that are discussed in five articles by authors from China, India, Japan, Australia, and UK.</t>
  </si>
  <si>
    <t>[Yu, Haiqing] RMIT Univ, La Trobe St, Melbourne, Vic 3001, Australia; [Xu, Jian] Deakin Univ, 221 Burwood Hwy, Burwood, Vic 3125, Australia; [Sun, Ping] Chinese Acad Social Sci, 9 Panjiayuan Dongli, Beijing 100023, Peoples R China</t>
  </si>
  <si>
    <t>Royal Melbourne Institute of Technology (RMIT); Deakin University; Chinese Academy of Social Sciences</t>
  </si>
  <si>
    <t>Yu, HQ (corresponding author), RMIT Univ, La Trobe St, Melbourne, Vic 3001, Australia.;Xu, J (corresponding author), Deakin Univ, 221 Burwood Hwy, Burwood, Vic 3125, Australia.;Sun, P (corresponding author), Chinese Acad Social Sci, 9 Panjiayuan Dongli, Beijing 100023, Peoples R China.</t>
  </si>
  <si>
    <t>haiqing.yu@rmit.edu.au; j.xu@deakin.edu.au; sophiesunping@gmail.com</t>
  </si>
  <si>
    <t>Xu, Jian/0000-0003-2798-0996; Yu, Haiqing/0000-0001-8368-4214</t>
  </si>
  <si>
    <t>10.1177/20594364221123841</t>
  </si>
  <si>
    <t>WOS:000851580400001</t>
  </si>
  <si>
    <t>Jiang, Q; Ma, LY</t>
  </si>
  <si>
    <t>Jiang, Qian; Ma, Liangying</t>
  </si>
  <si>
    <t>Swiping More, Thinking Less: Using TikTok Hinders Analytic Thinking</t>
  </si>
  <si>
    <t>CYBERPSYCHOLOGY-JOURNAL OF PSYCHOSOCIAL RESEARCH ON CYBERSPACE</t>
  </si>
  <si>
    <t>dual-process theory; short video applications; swipe; analytic thinking; positive affect</t>
  </si>
  <si>
    <t>COGNITIVE REFLECTION; CONSEQUENCES; METAANALYSIS; PHONES; SELF</t>
  </si>
  <si>
    <t>The rapid rise and widespread use of short video applications (SVA) have significantly reshaped our understanding of social media, technology, and human social behavior. Particularly among young users, frequent social media usage and continuous swiping through endless video feeds have become pervasive phenomena. Using dual -process theory, this experimental study explored the psychological consequences of using SVA from two studies. Our findings contributed to the understanding of the cognitive implications of SVA use in young adults in the following ways. Watching short videos predicted less analytic thinking that could go beyond initially flawed intuitions in reasoning (Study 1). Additionally, the process of swiping through the short video feeds, rather than the video content itself, negatively influenced users' propensity to think analytically; and the decreased positive affect mediated the effect of TikTok usage on analytic thinking (Study 2). These results showed that users should be aware that the common daily leisure activity of using short video applications increases one's inherent tendency to fast and automatic thinking processing, which can impair their judgment and decision -making in other tasks, such as information discernment. This study indicated the negative implications of artificial intelligence agencies for young adults' thinking processing in psychological and social domains.</t>
  </si>
  <si>
    <t>[Jiang, Qian; Ma, Liangying] Peking Univ, Dept Sociol, Beijing, Peoples R China</t>
  </si>
  <si>
    <t>Ma, LY (corresponding author), Peking Univ, 5 Yiheyuan Rd, Beijing, Peoples R China.</t>
  </si>
  <si>
    <t>maly@stu.pku.edu.cn</t>
  </si>
  <si>
    <t>Ma, Liangying/0000-0002-9852-2215; Jiang, Qian/0000-0002-3596-6185</t>
  </si>
  <si>
    <t>Major Project of Key Research Institute of Humanities and Social Sciences of Chinese Ministry of Education [22JJD190013]</t>
  </si>
  <si>
    <t>Major Project of Key Research Institute of Humanities and Social Sciences of Chinese Ministry of Education</t>
  </si>
  <si>
    <t>This study was supported by Major Project of Key Research Institute of Humanities and Social Sciences of Chinese Ministry of Education (Grant No.22JJD190013) . The manuscript benefited greatly from the constructive feedback of the editor and anonymous reviewers. We are grateful to Wen Fang for his extraordinary mentorship, and we would also like to thank Enying Zheng for her insightful suggestions and proofreading.</t>
  </si>
  <si>
    <t>MASARYKOVA UNIV, FAC SOCIAL STUDIES</t>
  </si>
  <si>
    <t>BRNO</t>
  </si>
  <si>
    <t>JOSTOVA 10, BRNO, 602 00, CZECH REPUBLIC</t>
  </si>
  <si>
    <t>1802-7962</t>
  </si>
  <si>
    <t>CYBERPSYCHOLOGY</t>
  </si>
  <si>
    <t>Cyberpsychology</t>
  </si>
  <si>
    <t>10.5817/CP2024-3-1</t>
  </si>
  <si>
    <t>ZC6E0</t>
  </si>
  <si>
    <t>WOS:001273122600005</t>
  </si>
  <si>
    <t>Ren, QM</t>
  </si>
  <si>
    <t>Ren, Qumo</t>
  </si>
  <si>
    <t>Analyzing the Communication of Poverty Governance: A Study of Multimodal News Framing and Engagement on Chinese TikTok</t>
  </si>
  <si>
    <t>News framing; mobile short-video journalism; SGDs communication; poverty relief; Douyin</t>
  </si>
  <si>
    <t>CONSTRUCTIVE NEWS; JOURNALISM; TEXT; PICTURE; NEWSPAPERS; COVERAGE; POLITICS; STYLE</t>
  </si>
  <si>
    <t>Poverty communication is a critical yet challenging aspect of promoting sustainable development goals (SDGs) globally. This study explores poverty-related news narratives on Douyin (China's TikTok) and examines their impact on user engagement (likes, shares, and comments). The primary objective is to refine communication strategies aimed at alleviating poverty. Drawing primarily on the news framing theory, this study analyzes 400 short-video news from Douyin in 2020 through regression analysis, complemented by insights from Chinese mobile news practitioners. Findings suggest that episodic-gain coverage, which emphasizes real-life scenarios and individual determination, effectively engages users. Visual framing devices, including action-driven and speech-driven opening scenes, captivate viewers and mobilize social support. Additionally, this study reveals that storytelling redundancy enhances news engagement by improving perceptual fluency in short videos. Moreover, tailored rhetorical strategies for short videos, such as subjective expressions and question-based headlines, further evoke the exchange of users' social values. In conclusion, Douyin plays a central role in the ongoing process of media convergence in China. The study explores how platforms such as Douyin can promote SDGs, encourage public participation in addressing poverty and social care, and provide valuable insights for news content creators seeking to enhance storytelling and engagement in mobile media.</t>
  </si>
  <si>
    <t>[Ren, Qumo] Guizhou Univ Finance &amp; Econ, Sch Literature, Guiyang, Guizhou, Peoples R China</t>
  </si>
  <si>
    <t>Guizhou University of Finance &amp; Economics</t>
  </si>
  <si>
    <t>Ren, QM (corresponding author), Guizhou Univ Finance &amp; Econ, Sch Literature, Guiyang, Guizhou, Peoples R China.</t>
  </si>
  <si>
    <t>qumo.ren@mail.gufe.edu.cn</t>
  </si>
  <si>
    <t>ren, qumo/KXQ-4617-2024</t>
  </si>
  <si>
    <t>Scientific Research startup Project for talent introduction of Guizhou University of Finance and economics [2023YJ09]</t>
  </si>
  <si>
    <t>Scientific Research startup Project for talent introduction of Guizhou University of Finance and economics</t>
  </si>
  <si>
    <t>This this research was funded by the scientific Research startup Project for talent introduction of Guizhou University of Finance and economics, Project No. 2023YJ09</t>
  </si>
  <si>
    <t>2024 JUL 6</t>
  </si>
  <si>
    <t>10.1080/21670811.2024.2377072</t>
  </si>
  <si>
    <t>YV8Y8</t>
  </si>
  <si>
    <t>WOS:001271363900001</t>
  </si>
  <si>
    <t>Metastasio, R; Bocci, E; Passafaro, P; Carnovale, F; Zenone, V</t>
  </si>
  <si>
    <t>Metastasio, Renata; Bocci, Elena; Passafaro, Paola; Carnovale, Francesco; Zenone, Valeria</t>
  </si>
  <si>
    <t>The Social Representation of Sustainable Mobility: An Exploratory Investigation on Social Media Networks</t>
  </si>
  <si>
    <t>sustainable mobility; social representations; social media; social networks; Facebook; TikTok</t>
  </si>
  <si>
    <t>TRAVEL MODE CHOICE; CLIMATE-CHANGE; ENVIRONMENTAL CONCERN; MASS-MEDIA; TRANSPORT; PEOPLE; ATTITUDES; DESTINATION; DISCOURSE; BEHAVIOR</t>
  </si>
  <si>
    <t>This paper analyzes the social representation (SR) of sustainable mobility as it emerges from social media networks. The role of social media (SM) as contexts of creation, negotiation, and diffusion of a mobility culture worldwide is discussed, together with the results of an empirical investigation that explored the contents and structure of the discourse on sustainable mobility as it emerges from the posts published (in English) on two highly used social media (Facebook and TikTok) platforms during the years 2022 and 2023. First of all, the results confirm the relevance of social media as an indicator of ongoing trends in the evolution of mobility culture and the usefulness of S. Moscovici's theory of social representations as a theoretical framework for analyzing such trends. In particular, several new trends in the SRs of sustainable mobility were identified. These include, for example, the decline in skeptical views and the rise of more optimistic ones, regarding the feasibility of changing people's mobility styles worldwide. Such views appear to be fostered by the positive perception of new technological innovations (electric vehicles), as well as by their endorsement by both the business sector and governmental institutions. Practical implications and theoretical indications for future research are also outlined.</t>
  </si>
  <si>
    <t>[Metastasio, Renata; Bocci, Elena; Passafaro, Paola; Carnovale, Francesco; Zenone, Valeria] Sapienza Univ Rome, Dept Dev &amp; Social Psychol, I-00185 Rome, Italy</t>
  </si>
  <si>
    <t>Passafaro, P (corresponding author), Sapienza Univ Rome, Dept Dev &amp; Social Psychol, I-00185 Rome, Italy.</t>
  </si>
  <si>
    <t>renata.metastasio@uniroma1.it; elena.bocci@uniroma1.it; paola.passafaro@uniroma1.it; zenone.2023495@studenti.uniroma1.it</t>
  </si>
  <si>
    <t>Passafaro, Paola/B-3595-2010; Bocci, Elena/T-4749-2017</t>
  </si>
  <si>
    <t>PASSAFARO, Paola/0000-0002-2772-2674</t>
  </si>
  <si>
    <t>10.3390/su16072833</t>
  </si>
  <si>
    <t>NN4W3</t>
  </si>
  <si>
    <t>WOS:001201126800001</t>
  </si>
  <si>
    <t>Abril, NGP</t>
  </si>
  <si>
    <t>Abril, Neyla Graciela Pardo</t>
  </si>
  <si>
    <t>A semiotic-discursive insight into short videos on memory and peace A case on social media</t>
  </si>
  <si>
    <t>CHINESE SEMIOTIC STUDIES</t>
  </si>
  <si>
    <t>discourse; gender-motivated violence; MMCDA; social networks; Truth Commission</t>
  </si>
  <si>
    <t>MULTIMODALITY</t>
  </si>
  <si>
    <t>This paper explores how short web videos uploaded to the Truth Commission's TikTok official profile are formulated. The Truth Commission (Comision de la Verdad) is a Colombian state entity created to clarify patterns and causes of Colombia's internal armed conflict and recognize victims' and society's right to the truth. The Commission's aim is to avoid repetition of violence through an ample and plural participation process to construct a stable and lasting peace. To explore the debate and the importance of recognizing crimes against humanity committed in the context of the armed conflict in Colombia - specifically, sexual violations against ethnically and territorially defined women - two videos were selected under thematic, territorial, ethnic, and gender-unity criteria from among 60 short videos published on TikTok between February 2020 and March 2021. The nuclear axis of the videos corresponds to the semiotic theory at the core of the multimodal and multimedia critical discourse analysis (MMCDA). The digital discourse is multimodal, as its design, production, and distribution process draws from various and coexisting sign systems: visual-graphic (image-color), visual-verbal-graphic, verbal-sound, and sound-musical. These devices are proposed as memory devices  that allow viewers to witness human rights violation events in the context of Colombia's current armed conflict.</t>
  </si>
  <si>
    <t>[Abril, Neyla Graciela Pardo] Univ Nacl Colombia, Inst Estudios Comun &amp; Cultura IECO, Bogota, Colombia; [Abril, Neyla Graciela Pardo] Univ Nacl Colombia, Linguist Dept, Bogota, Colombia</t>
  </si>
  <si>
    <t>Universidad Nacional de Colombia; Universidad Nacional de Colombia</t>
  </si>
  <si>
    <t>Abril, NGP (corresponding author), Univ Nacl Colombia, Inst Estudios Comun &amp; Cultura IECO, Bogota, Colombia.;Abril, NGP (corresponding author), Univ Nacl Colombia, Linguist Dept, Bogota, Colombia.</t>
  </si>
  <si>
    <t>ngpardoa@unal.edu.co</t>
  </si>
  <si>
    <t>DE GRUYTER MOUTON</t>
  </si>
  <si>
    <t>GENTHINER STRASSE 13, 10785 BERLIN, GERMANY</t>
  </si>
  <si>
    <t>2198-9605</t>
  </si>
  <si>
    <t>2198-9613</t>
  </si>
  <si>
    <t>CHIN SEMIOT STUD</t>
  </si>
  <si>
    <t>Chin. Semiot. Stud.</t>
  </si>
  <si>
    <t>FEB 23</t>
  </si>
  <si>
    <t>10.1515/css-2022-2100</t>
  </si>
  <si>
    <t>9W3TO</t>
  </si>
  <si>
    <t>WOS:000949002800010</t>
  </si>
  <si>
    <t>Flatman, D; Flatman, F</t>
  </si>
  <si>
    <t>Flatman, David; Flatman, Freya</t>
  </si>
  <si>
    <t>'Managing' tech and a growing family</t>
  </si>
  <si>
    <t>FAMILIES RELATIONSHIPS AND SOCIETIES</t>
  </si>
  <si>
    <t>social media; screens; TikTok; parental control; maintaining family relationships</t>
  </si>
  <si>
    <t>David and Freya Flatman have four daughters - 14, 11 and 2 years old and a 6-month-old baby - and live in the UK. Their older two daughters are from David's first marriage and the younger two are from his marriage to Freya. For part of the week, the two older girls live with David and Freya and their younger sisters. In the interview, David reflects on how his older daughters use tech, with contributions from Freya and prompted by questions from the interviewer.</t>
  </si>
  <si>
    <t>dlflatman@gmail.com; freyacm@gmail.com</t>
  </si>
  <si>
    <t>POLICY PRESS</t>
  </si>
  <si>
    <t>UNIV BRISTOL, 1-9 OLD PARK HILL, BRISTOL BS2 8BB, ENGLAND</t>
  </si>
  <si>
    <t>2046-7435</t>
  </si>
  <si>
    <t>2046-7443</t>
  </si>
  <si>
    <t>FAM RELATSH SOC</t>
  </si>
  <si>
    <t>Fam. Relatsh. Soc.</t>
  </si>
  <si>
    <t>10.1332/20467435Y2024D000000025</t>
  </si>
  <si>
    <t>UM6U7</t>
  </si>
  <si>
    <t>WOS:001220160600001</t>
  </si>
  <si>
    <t>Yang, GX; Zhang, YJ; Liu, HJ</t>
  </si>
  <si>
    <t>Yang, Guangxin; Zhang, Yingjie; Liu, Hongju</t>
  </si>
  <si>
    <t>Frontiers: Pirating Foes or Creative Friends? Effects of User-Generated Condensed Clips on Demand for Streaming Services</t>
  </si>
  <si>
    <t>MARKETING SCIENCE</t>
  </si>
  <si>
    <t>condensed clips; TikTok; streaming services; difference-in-differences; enhanced visibility</t>
  </si>
  <si>
    <t>WORD-OF-MOUTH; DYNAMICS; PIRACY; IMPACT; SALES; MEDIA; PAID</t>
  </si>
  <si>
    <t>Short -form video -sharing platforms have seen phenomenal growth in recent years. One type of video that often goes viral on such platforms is the condensed clips derived from existing full-length video content. The traditional entertainment industry has strongly criticized this new form of user -generated derivative content owing to the potential for infringement on copyright owners' exclusive rights and de facto theft of viewers from original works. However, little is known of the actual impact of condensed clips on the demand for corresponding original works. In this study, we seek to identify such impact with the help of an exogenous boycott event in April 2021 that forced Chinese TikTok to remove condensed clips more proactively. Our results indicate that their removal had reduced the demand for corresponding full-length original works on a major video streaming platform by approximately 3%. In other words, condensed clips serve as friends, rather than foes, of streaming services. Further analyses suggested that positive spillover effects resulted from the fact that condensed clips could enhance the visibility of original works, and such effects were stronger if the original work was of higher quality or had a more fascinating storyline. Our results offer rich managerial and policy insights.</t>
  </si>
  <si>
    <t>[Yang, Guangxin; Zhang, Yingjie; Liu, Hongju] Peking Univ, Guanghua Sch Management, Beijing 100871, Peoples R China</t>
  </si>
  <si>
    <t>Zhang, YJ (corresponding author), Peking Univ, Guanghua Sch Management, Beijing 100871, Peoples R China.</t>
  </si>
  <si>
    <t>ygx@stu.pku.edu.cn; yingjiezhang@gsm.pku.edu.cn; hliu@gsm.pku.edu.cn</t>
  </si>
  <si>
    <t>Zhang, Yingjie/AAG-3085-2021</t>
  </si>
  <si>
    <t>Yang, Guangxin/0000-0002-6930-8658; Zhang, Yingjie/0000-0003-0745-2563</t>
  </si>
  <si>
    <t>National Natural Science Foundation of China [72131001, 72272003]</t>
  </si>
  <si>
    <t>Funding: This work was supported by the National Natural Science Foundation of China [Grants 72131001 and 72272003] . G. Yang also thanks the Credamo Scholarships for financial support.</t>
  </si>
  <si>
    <t>INFORMS</t>
  </si>
  <si>
    <t>CATONSVILLE</t>
  </si>
  <si>
    <t>5521 RESEARCH PARK DR, SUITE 200, CATONSVILLE, MD 21228 USA</t>
  </si>
  <si>
    <t>0732-2399</t>
  </si>
  <si>
    <t>1526-548X</t>
  </si>
  <si>
    <t>MARKET SCI</t>
  </si>
  <si>
    <t>Mark. Sci.</t>
  </si>
  <si>
    <t>MAY-JUN</t>
  </si>
  <si>
    <t>10.1287/mksc.2023.0031</t>
  </si>
  <si>
    <t>SL3I6</t>
  </si>
  <si>
    <t>WOS:001188309200001</t>
  </si>
  <si>
    <t>Ruangkanjanases, A; Sivarak, O; Jong, D; Zhou, YJ</t>
  </si>
  <si>
    <t>Ruangkanjanases, Athapol; Sivarak, Ornlatcha; Jong, Din; Zhou, Yajun</t>
  </si>
  <si>
    <t>The effect of self-disclosure on mass trust through TikTok: An empirical study of short video streaming application users</t>
  </si>
  <si>
    <t>self-disclosure; mass trust; perceived similarity; trust disposition; short video application; social media</t>
  </si>
  <si>
    <t>COMPUTER-MEDIATED COMMUNICATION; SOCIAL MEDIA; ONLINE; BEHAVIOR; PRIVACY; NARCISSISM; ADOLESCENTS; SIMILARITY; INTENTION; COMMERCE</t>
  </si>
  <si>
    <t>In the short video application scenario, self-disclosure helps to establish and maintain relationships with others, and is important for the formation of mass trust. To this end, this study investigates the impact of self-disclosure on mass trust in the context of short video applications based on social exchange theory, and introduces perceived similarity to explain the specific impact mechanism while focusing on the boundary conditions of trust disposition in it. This study takes TikTok as the research object and analyzes the data obtained from the questionnaire survey. The empirical test results show that self-disclosure not only affects mass trust directly, but also indirectly through perceived similarity. In addition, a moderating effect of trust disposition on perceived similarity was found to affect mass trust. The findings of this paper contribute to an in-depth understanding of the potential intermediate mechanisms and boundary conditions of self-disclosure on mass trust, reveal the theoretical relationship between self-disclosure and mass trust, bridge the gap between previous mechanisms of mass trust influence from the perspective of empirical research, and effectively guide the management practice of short video applications.</t>
  </si>
  <si>
    <t>[Ruangkanjanases, Athapol] Chulalongkorn Univ, Chulalongkorn Business Sch, Bangkok, Thailand; [Sivarak, Ornlatcha] Mahidol Univ Int Coll, Nakhon Pathom, Thailand; [Jong, Din] Chung Hwa Univ Med Technol, Digital Design &amp; Informat Management, Tainan, Taiwan; [Zhou, Yajun] Nanchang Inst Technol, Coll Finance &amp; Econ, Nanchang, Peoples R China</t>
  </si>
  <si>
    <t>Chulalongkorn University; Mahidol University; Chung Hua University; Nanchang Institute Technology</t>
  </si>
  <si>
    <t>Sivarak, O (corresponding author), Mahidol Univ Int Coll, Nakhon Pathom, Thailand.;Jong, D (corresponding author), Chung Hwa Univ Med Technol, Digital Design &amp; Informat Management, Tainan, Taiwan.</t>
  </si>
  <si>
    <t>ornlatcha.siv@mahidol.ac.th; hi1212@gmail.com</t>
  </si>
  <si>
    <t>Zhou, Yajun/X-3727-2019; Jong, Din/IWD-9715-2023; Ruangkanjanases, Athapol/LQJ-0720-2024</t>
  </si>
  <si>
    <t>Ruangkanjanases, Athapol/0000-0001-6766-5785</t>
  </si>
  <si>
    <t>10.3389/fpsyg.2022.968558</t>
  </si>
  <si>
    <t>4G4SK</t>
  </si>
  <si>
    <t>WOS:000849188200001</t>
  </si>
  <si>
    <t>Kuhn, NS</t>
  </si>
  <si>
    <t>Kuhn, Nicole S.</t>
  </si>
  <si>
    <t>American Indian and Alaska Native Youth's Experiences with COVID-19 Health Communication on TikTok</t>
  </si>
  <si>
    <t>American Indian Alaska Native (AIAN); Indigenous; COVID-19; health communication; social media; TikTok; youth; co-design</t>
  </si>
  <si>
    <t>American Indian and Alaska Native (AIAN) communities are disproportionately experiencing the life-threatening and negative health impacts of the coronavirus disease 2019 (COVID-19) pandemic. As youth represent a large percentage of the AIAN population, we must consider how we can effectively reach them with essential health communication during a time when social distancing has caused significant disruption to their lives, including with their schooling, access to healthcare and community connections. We know that a high percentage of AIAN youth are regularly using social media and accessing health information through these platforms, yet we know relatively little about the health communication that has been created for their benefit along with their experiences accessing and engaging with it. Through an approach rooted in Indigenous research methodologies and ethics, I will consider how AIAN communities are leveraging social media for COVID-19 health communication. Additionally, through co-design sessions centered on Indigenous values, I will examine how AIAN youth are engaging with and experiencing this critical health information. With a focus on strength, resilience, and Indigenous lived experiences, I will seek to support the development of effective Indigenous COVID-19 health communication on social media that provides immediate and future benefits to Indigenous communities and youth.</t>
  </si>
  <si>
    <t>[Kuhn, Nicole S.] Univ Washington, Informat Sch, Seattle, WA 98195 USA</t>
  </si>
  <si>
    <t>Kuhn, NS (corresponding author), Univ Washington, Informat Sch, Seattle, WA 98195 USA.</t>
  </si>
  <si>
    <t>nskuhn06@uw.edu</t>
  </si>
  <si>
    <t>National Science Foundation Graduate Research Fellowship [DGE-1762114]</t>
  </si>
  <si>
    <t>National Science Foundation Graduate Research Fellowship(National Science Foundation (NSF))</t>
  </si>
  <si>
    <t>This material is based upon work supported by the National Science Foundation Graduate Research Fellowship under Grant No. DGE-1762114. Any opinion, findings, and conclusions or recommendations expressed in this material are those of the authors(s) and do not necessarily reflect the views of the National Science Foundation.</t>
  </si>
  <si>
    <t>10.1145/3501712.3538833</t>
  </si>
  <si>
    <t>WOS:001103410100080</t>
  </si>
  <si>
    <t>Zhang, JW; Chan, CS</t>
  </si>
  <si>
    <t>Zhang, Junwei; Chan, Chung-Shing</t>
  </si>
  <si>
    <t>Surviving from the craze: Short video marketing on digital footprint in Yongxing Square in Xi'an</t>
  </si>
  <si>
    <t>Digital footprint; digital marketing; short video marketing; social media; tourism flow; Yongxing Square</t>
  </si>
  <si>
    <t>SOCIAL-MEDIA; TOURISM; DESTINATION; TRAVEL; MANAGEMENT; FACEBOOK; BRANDS; CHINA</t>
  </si>
  <si>
    <t>The popularity of short videos in recent years has provided a new path for destination image construction and marketing, which is highly sought after by local governments and destination marketing organizations. However, as a relatively novel product, the effectiveness of short video marketing for destinations is under-researched. This article aims to study the changes in the tourism spatial structure of destinations promoted by visitor-initiated TikTok videos in the case of Yongxing Square in Xi'an, China. The tourist flow indicated the life cycle of short videos and the visitor psychology behind this phenomenon. Social network analysis and text analysis were used to investigate a series of travelogues containing online short video content from 2017 to 2019, following the trend of TikTok heat at the site. The results show that the status of Yongxing Square went through a life cycle of initial, development, cooling-off, and consolidation. During this period, the video-induced trend appeared to transform the site between a video-gimmick and its basic function as a food court for visitors. The analytical findings bridge the knowledge gap about the actual practice and effect of short videos in a tourist attraction.</t>
  </si>
  <si>
    <t>[Zhang, Junwei; Chan, Chung-Shing] Chinese Univ Hong Kong, Hong Kong, Peoples R China; [Chan, Chung-Shing] Chinese Univ HongKong, Ctr Environm Policy &amp; Resource Management CEPRM, Dept Geog &amp; Resource Management, Sha Tin, Room 244,Sino Bldg, Hong Kong, Peoples R China</t>
  </si>
  <si>
    <t>Chan, CS (corresponding author), Chinese Univ HongKong, Ctr Environm Policy &amp; Resource Management CEPRM, Dept Geog &amp; Resource Management, Sha Tin, Room 244,Sino Bldg, Hong Kong, Peoples R China.</t>
  </si>
  <si>
    <t>ccs_johnson@cuhk.edu.hk</t>
  </si>
  <si>
    <t>Chan, Chung Shing/W-4838-2018</t>
  </si>
  <si>
    <t>Chan, Chung Shing/0000-0002-3847-3781</t>
  </si>
  <si>
    <t>10.1177/13567667231221815</t>
  </si>
  <si>
    <t>ED6V9</t>
  </si>
  <si>
    <t>WOS:001137028600001</t>
  </si>
  <si>
    <t>Liu, QQ; Yu, SK; Yang, YT</t>
  </si>
  <si>
    <t>Liu, Quanquan; Yu, Sae-Kyung; Yang, Yating</t>
  </si>
  <si>
    <t>The effects of sponsorship disclosure in short-form video: A moderated mediation model of sponsorship literacy and perceived features of sponsored short-form video</t>
  </si>
  <si>
    <t>Short-form video; Persuasion knowledge; Sponsorship disclosure; Sponsorship literacy; Features of sponsored short-form video; TikTok</t>
  </si>
  <si>
    <t>PERSUASION KNOWLEDGE; ADVERTISING LITERACY; RELEVANCE; INTENTION</t>
  </si>
  <si>
    <t>The increasing prevalence of sponsorship marketing in short-form videos has underscored the need to enhance sponsorship transparency. Researchers have identified disclosure as an effective way to inform viewers of the sponsoring truth. As one of the first to investigate the effects of short-form video sponsorship disclosure, this study conducted an online experiment with 601 Chinese TikTok users. Results indicate that disclosing sponsorship distinctly and last 6 s by prefacing a sponsored short-form video increased viewers' sponsorship literacy and their favorable attitudes toward the brand and video. The effect of disclosure on their demand for the sponsored products is improved by understanding the persuasion intent. During this process, viewers' perceptions of the relevant video's social interaction, informativeness, and relevance strengthened the mediation effect of sponsorship recognition on attitudes about the brand and short-form video. These findings contribute to the literature on sponsorship disclosure by drawing on the persuasion knowledge model and short-form video research, updating understanding of sponsorship literacy over social media, reinforcing the necessity of implementing regulations ensuring transparency in short-form video marketing, and providing practitioners with a new insight on the benefits of disclosing the sponsored fact in influencer marketing.</t>
  </si>
  <si>
    <t>[Liu, Quanquan; Yu, Sae-Kyung; Yang, Yating] Ewha Womans Univ, Dept Commun &amp; Media, Seoul, South Korea; [Liu, Quanquan] Coll Arts &amp; Sci Kunming, Foreign Languages Sch, Kunming, Peoples R China</t>
  </si>
  <si>
    <t>Ewha Womans University</t>
  </si>
  <si>
    <t>Yu, SK (corresponding author), Ewha Womans Univ, Dept Commun &amp; Media, Seoul, South Korea.</t>
  </si>
  <si>
    <t>ranee830@foxmail.com; sgyu@ewha.ac.kr; yangyating1957@gmail.com</t>
  </si>
  <si>
    <t>YU, Sae Kyung/0009-0000-0687-1534</t>
  </si>
  <si>
    <t>10.1016/j.chb.2023.107969</t>
  </si>
  <si>
    <t>W9PP8</t>
  </si>
  <si>
    <t>WOS:001094881600001</t>
  </si>
  <si>
    <t>Iinuma, Y; Satoh, S</t>
  </si>
  <si>
    <t>Iinuma, Yuko; Satoh, Shin'ichi</t>
  </si>
  <si>
    <t>Video Action Retrieval Using Action Recognition Model</t>
  </si>
  <si>
    <t>PROCEEDINGS OF THE 2021 INTERNATIONAL CONFERENCE ON MULTIMEDIA RETRIEVAL (ICMR '21)</t>
  </si>
  <si>
    <t>11th International Conference on Multimedia Retrieval (ICMR)</t>
  </si>
  <si>
    <t>NOV 16-19, 2021</t>
  </si>
  <si>
    <t>video retrieval; action recognition; person re-identification</t>
  </si>
  <si>
    <t>In addition to video sharing services such as YouTube, the spread of video-based social networking services such as TikTok and Instagram have led to the accumulation of vast amounts of video data. In this situation, it has become important to develop a technology to efficiently retrieve necessary information from the accumulated video data. In this paper, we propose a method to retrieve similar videos by focusing on people and their actions in the videos. We apply this method to various datasets and TV videos to demonstrate its usefulness.</t>
  </si>
  <si>
    <t>[Iinuma, Yuko] Univ Tokyo, Bunkyo Ku, Tokyo, Japan; [Satoh, Shin'ichi] Natl Inst Informat, Chiyoda Ku, Tokyo, Japan</t>
  </si>
  <si>
    <t>University of Tokyo; Research Organization of Information &amp; Systems (ROIS); National Institute of Informatics (NII) - Japan</t>
  </si>
  <si>
    <t>Iinuma, Y (corresponding author), Univ Tokyo, Bunkyo Ku, Tokyo, Japan.</t>
  </si>
  <si>
    <t>iinuma0710@gmail.com; satoh@nii.ac.jp</t>
  </si>
  <si>
    <t>1515 BROADWAY, NEW YORK, NY 10036-9998 USA</t>
  </si>
  <si>
    <t>978-1-4503-8463-6</t>
  </si>
  <si>
    <t>10.1145/3460426.3463579</t>
  </si>
  <si>
    <t>BS4WT</t>
  </si>
  <si>
    <t>WOS:000723651900077</t>
  </si>
  <si>
    <t>Di Michele, D; Guizzo, F; Canale, N; Fasoli, F; Carotta, F; Pollini, A; Cadinu, M</t>
  </si>
  <si>
    <t>Di Michele, Daniela; Guizzo, Francesca; Canale, Natale; Fasoli, Fabio; Carotta, Francesca; Pollini, Arianna; Cadinu, Mara</t>
  </si>
  <si>
    <t>#SexyBodyPositive: When Sexualization Does Not Undermine Young Women's Body Image</t>
  </si>
  <si>
    <t>body positivity; beauty ideals; sexualization; Instagram; TikTok; body satisfaction; appearance social comparison; problematic social networking site use; body image; experimental study</t>
  </si>
  <si>
    <t>IDEALIZED MEDIA IMAGES; SOCIAL MEDIA; SELF-OBJECTIFICATION; APPEARANCE COMPARISONS; FITSPIRATION IMAGERY; COSMETIC SURGERY; ITALIAN VERSION; INSTAGRAM USE; DISSATISFACTION; SATISFACTION</t>
  </si>
  <si>
    <t>Research suggests that exposure to social networking sites portraying a thin and often sexualized beauty ideal reduces young women's body satisfaction, while exposure to body-positive content improves it. However, it is unclear whether sexualization could impair the beneficial effects of body-positivity messages. Young Italian women were exposed to one of three experimental conditions showing sexualized beauty ideals, sexualized body positivity, or non-sexualized body positivity that appeared either on Instagram (Study 1, N = 356) or TikTok (Study 2, N = 316). Across the two studies, results showed that, regardless of sexualization, exposure to body positivity increased body satisfaction and positive mood compared with pre-exposure measures, while exposure to sexualized beauty ideals reduced it. Participants in the sexualized beauty ideal condition also engaged in upward appearance social comparison whereas body positivity elicited downward comparison. Problematic social networking sites' use moderated the effects of condition on body satisfaction, appearance social comparison, and positive mood, while downward comparison mediated the relation between condition and body satisfaction and positive mood. Our results highlight both beneficial and critical aspects of body positivity that should be taken into consideration when designing body image interventions and policymaking.</t>
  </si>
  <si>
    <t>[Di Michele, Daniela; Canale, Natale; Carotta, Francesca; Pollini, Arianna; Cadinu, Mara] Univ Padua, Dept Dev &amp; Socializat Psychol, Via Venezia 8, I-35131 Padua, Italy; [Guizzo, Francesca; Fasoli, Fabio] Univ Surrey, Sch Psychol, Stag Hill Campus, Guildford GU2 7HX, England</t>
  </si>
  <si>
    <t>University of Padua; University of Surrey</t>
  </si>
  <si>
    <t>Guizzo, F (corresponding author), Univ Surrey, Sch Psychol, Stag Hill Campus, Guildford GU2 7HX, England.</t>
  </si>
  <si>
    <t>f.guizzo@surrey.ac.uk</t>
  </si>
  <si>
    <t>Fasoli, Fabio/K-9215-2019; Guizzo, Francesca/ADM-8633-2022</t>
  </si>
  <si>
    <t>Fasoli, Fabio/0000-0002-8043-1630; DI MICHELE, DANIELA/0000-0002-5613-3369; Guizzo, Francesca/0000-0002-0754-3337</t>
  </si>
  <si>
    <t>10.3390/ijerph20020991</t>
  </si>
  <si>
    <t>7Y8AU</t>
  </si>
  <si>
    <t>WOS:000915095700001</t>
  </si>
  <si>
    <t>Bauman, JR</t>
  </si>
  <si>
    <t>Bauman, Julia R.</t>
  </si>
  <si>
    <t>Maximize your research impact with storytelling</t>
  </si>
  <si>
    <t>NATURE REVIEWS CANCER</t>
  </si>
  <si>
    <t>An often undervalued skill in science, storytelling is a powerful tool for communicating research to diverse audiences. As scientists, we ought to focus on crafting the narrative of our work: it can effectively convey knowledge to the research community, disseminate findings to lay audiences and help us clarify our own thinking about projects. Although sometimes overlooked, storytelling is a powerful tool for communicating scientific research. In this World View, Julia Bauman outlines what is needed to convey a strong scientific narrative, gleaned from her experience making 60-second TikTok videos summarizing published research papers.</t>
  </si>
  <si>
    <t>[Bauman, Julia R.] Stanford Univ, Dept Genet, Stanford, CA 94305 USA</t>
  </si>
  <si>
    <t>Bauman, JR (corresponding author), Stanford Univ, Dept Genet, Stanford, CA 94305 USA.</t>
  </si>
  <si>
    <t>jrbauman@stanford.edu</t>
  </si>
  <si>
    <t>Bauman, Julia/0000-0001-9488-529X</t>
  </si>
  <si>
    <t>1474-175X</t>
  </si>
  <si>
    <t>1474-1768</t>
  </si>
  <si>
    <t>NAT REV CANCER</t>
  </si>
  <si>
    <t>Nat. Rev. Cancer</t>
  </si>
  <si>
    <t>10.1038/s41568-023-00616-z</t>
  </si>
  <si>
    <t>EY4V9</t>
  </si>
  <si>
    <t>WOS:001142492700002</t>
  </si>
  <si>
    <t>Jia, LR; Ruan, L</t>
  </si>
  <si>
    <t>Jia, Lianrui; Ruan, Lotus</t>
  </si>
  <si>
    <t>Going global: Comparing Chinese mobile applications' data and user privacy governance at home and abroad</t>
  </si>
  <si>
    <t>Data protection; China; Mobile apps; Globalisation</t>
  </si>
  <si>
    <t>POLITICAL-ECONOMY; SOCIAL MEDIA; INTERNET; POLICY</t>
  </si>
  <si>
    <t>We examine and compare data and privacy governance by four China-based mobile applications and their international versions: Baidu, Toutiao and its international version TopBuzz, Douyin and its international version TikTok, and WeChat. Together, these four applications represent popular Chinese apps branching into diverse overseas markets such as Europe, Brazil, North America, and Southeast Asia. We first present an overview of the ownership, functions, business models and strategies of the reviewed apps. To study the app's interface design, we employ the walkthrough method to examine privacy features during the account registration and deletion stages in app usage. Lastly, we conducted content analysis of the terms of service and privacy policies to establish the app's data collection, storage, transfer, use, and disclosure measures. Our analysis showed variations across apps and within the Chinese and international-facing versions in their data and privacy governance in app design and policies. Baidu has the most unsatisfactory data and privacy protection measures, while ByteDance's TikTok/Douyin and TopBuzz/Toutiao offer more comprehensive user protection from different jurisdictions. Moreover, this paper highlights the role of platform owners (e.g., Google and Apple) in gatekeeping mobile app privacy standards and the role of the state in imposing a data protection framework on overseas versions of China-based mobile apps.</t>
  </si>
  <si>
    <t>[Jia, Lianrui] Univ Toronto, Toronto, ON, Canada; [Ruan, Lotus] Univ Toronto, Citizen Lab, Toronto, ON, Canada</t>
  </si>
  <si>
    <t>Jia, LR (corresponding author), Univ Toronto, Toronto, ON, Canada.</t>
  </si>
  <si>
    <t>lianrui.jia@gmail.com; lotusruan@citizenlab.ca</t>
  </si>
  <si>
    <t>Jia, Lianrui/AAQ-4287-2021</t>
  </si>
  <si>
    <t>Jia, Lianrui/0000-0003-2982-6490</t>
  </si>
  <si>
    <t>10.14763/2020.3.1502</t>
  </si>
  <si>
    <t>OF3LV</t>
  </si>
  <si>
    <t>WOS:000581114700012</t>
  </si>
  <si>
    <t>2023 SEP 11</t>
  </si>
  <si>
    <t>10.1038/s41568-023-00616</t>
  </si>
  <si>
    <t>R7VC9</t>
  </si>
  <si>
    <t>WOS:001066386500001</t>
  </si>
  <si>
    <t>Sun, JL; Su, T; Sun, J; Li, JW; Wang, MF; Pu, GG</t>
  </si>
  <si>
    <t>D'Amorim, M</t>
  </si>
  <si>
    <t>Sun, Jingling; Su, Ting; Sun, Jun; Li, Jianwen; Wang, Mengfei; Pu, Geguang</t>
  </si>
  <si>
    <t>Property-Based Testing for Validating User Privacy-Related Functionalities in Social Media Apps</t>
  </si>
  <si>
    <t>COMPANION PROCEEDINGS OF THE 32ND ACM INTERNATIONAL CONFERENCE ON THE FOUNDATIONS OF SOFTWARE ENGINEERING, FSE COMPANION 2024</t>
  </si>
  <si>
    <t>32nd ACM International Conference on the Foundations of Software Engineering (FSE)</t>
  </si>
  <si>
    <t>JUL 15-19, 2024</t>
  </si>
  <si>
    <t>Porto de Galinhas, BRAZIL</t>
  </si>
  <si>
    <t>Assoc Comp Machinery,ACM SIGSOFT,Huawei,Technol Innovat Inst,Google,JetBrains,Uber</t>
  </si>
  <si>
    <t>Property-based testing; Android app testing; Non-crashing bugs</t>
  </si>
  <si>
    <t>CHECKING</t>
  </si>
  <si>
    <t>Social media apps implement many user privacy-related functionalities. For example, TikTok allows users to upload videos that record their daily activities and specify which users can view these videos. Ensuring the correctness of these functionalities is thus crucial. Otherwise, it may threaten the users' privacy or disrupt user experience. Due to the lack of appropriate automated testing techniques, manual testing remains the primary practice for validating these functionalities, which is cumbersome, error-prone, and inadequate. To this end, we adapt property-based testing to validate such functionalities against the properties described by the given privacy specifications. Our key idea is that privacy specifications can be transformed into the Buchi automata, which can (1) determine whether the app has reached unexpected states, and (2) guide the testing process. To support the application of our approach, we implemented an automated GUI testing tool, PDTDROID, which can detect the app behaviors that are inconsistent with the privacy specifications. Our evaluation on TikTok, involving 125 real privacy specifications, shows that PDTDROID can efficiently validate privacy-related functionality and reduce manual effort by an average of 95.2% before each app release. Our further experiments on six popular social media apps show the generability and applicability of PDTDROID. PDTDROID has found 22 previously unknown inconsistencies issues in these extensively tested apps (including four user privacy leakage bugs, nine user privacy-related functional bugs, and nine specification issues).</t>
  </si>
  <si>
    <t>[Sun, Jingling] Univ Elect Sci &amp; Technol China, Chengdu, Peoples R China; [Su, Ting; Li, Jianwen; Pu, Geguang] East China Normal Univ, Shanghai, Peoples R China; [Sun, Jun] Singapore Management Univ, Singapore, Singapore; [Wang, Mengfei] ByteDance, Beijing, Peoples R China</t>
  </si>
  <si>
    <t>University of Electronic Science &amp; Technology of China; East China Normal University; Singapore Management University</t>
  </si>
  <si>
    <t>Su, T; Pu, GG (corresponding author), East China Normal Univ, Shanghai, Peoples R China.</t>
  </si>
  <si>
    <t>jingling.sun910@gmail.com; tsu@sei.ecnu.edu.cn; sunjunhqq@gmail.com; jwli@sei.ecnu.edu.cn; wangmengfei.pete@bytedance.com; ggpu@sei.ecnu.edu.cn</t>
  </si>
  <si>
    <t>yilin, sun/GYR-2603-2022; Li, Jianwen/ABE-3361-2021</t>
  </si>
  <si>
    <t>Sun, Jun/0000-0002-3545-1392</t>
  </si>
  <si>
    <t>National Key Research and Development Program [2022YFB3104002, 2020AAA0107800]; NSFC [62072178]; Shanghai Collaborative Innovation Center of Trusted Industry Internet Software; Digital Silk Road Shanghai International Joint Lab of Trustworthy Intelligent Software [22510750100]; Ministry of Education, Singapore under its Academic Research Fund Tier 3 [MOET32020-0004]; Intelligent Terminal Key Laboratory of SiChuan Province [SCITLAB-30009]; ByteDance Research Fund</t>
  </si>
  <si>
    <t>National Key Research and Development Program(National Key Research &amp; Development Program of China); NSFC(National Natural Science Foundation of China (NSFC)); Shanghai Collaborative Innovation Center of Trusted Industry Internet Software; Digital Silk Road Shanghai International Joint Lab of Trustworthy Intelligent Software; Ministry of Education, Singapore under its Academic Research Fund Tier 3; Intelligent Terminal Key Laboratory of SiChuan Province; ByteDance Research Fund</t>
  </si>
  <si>
    <t>We thank the anonymous FSE reviewers for their valuable feedback and the members (Ping Yang, Zhao Zhang, Chao Peng, Jian Yan) from ByteDance's Software Engineering and Security lab for the discussions/feedback on our work. This work was partially supported by National Key Research and Development Program (Grant 2022YFB3104002, 2020AAA0107800), NSFC Project (No.62072178), Shanghai Collaborative Innovation Center of Trusted Industry Internet Software, ByteDance Research Fund, Digital Silk Road Shanghai International Joint Lab of Trustworthy Intelligent Software (No.22510750100), the Ministry of Education, Singapore under its Academic Research Fund Tier 3 (Award ID: MOET32020-0004), and Grant SCITLAB-30009 of Intelligent Terminal Key Laboratory of SiChuan Province.</t>
  </si>
  <si>
    <t>979-8-4007-0658-5</t>
  </si>
  <si>
    <t>10.1145/3663529.3663863</t>
  </si>
  <si>
    <t>Computer Science, Software Engineering; Computer Science, Theory &amp; Methods</t>
  </si>
  <si>
    <t>BX2ZT</t>
  </si>
  <si>
    <t>WOS:001273423600044</t>
  </si>
  <si>
    <t>Rossi, NA; Vories, BA; Razmi, SE; Momin, NA; Burgess, ZS; Pine, HS; Shabani, S; Sultana, R; Mckinnon, BJ</t>
  </si>
  <si>
    <t>Rossi, Nicholas A.; Vories, Bridget A.; Razmi, Samuel E.; Momin, Nishat A.; Burgess, Zachary S.; Pine, Harold S.; Shabani, Sepehr; Sultana, Rizwana; Mckinnon, Brian J.</t>
  </si>
  <si>
    <t>Beyond Hypoglossal Hype: Social Media Perspectives on the Inspire Upper Airway Stimulation System</t>
  </si>
  <si>
    <t>sleep apnea; obstructive; electric stimulation therapy; social media; health communication; patient education as topic; telemedicine; implantable neurostimulators; hypoglossal nerve</t>
  </si>
  <si>
    <t>BENEFITS</t>
  </si>
  <si>
    <t>In the landscape of sleep surgery, the Inspire (R) Upper Airway Stimulation (UAS) device has gained prominence as an increasingly popular treatment option for obstructive sleep apnea, prompting significant discourse across social media platforms. This study explores the social media narrative of the UAS device, particularly the nature of multimedia content, author demographics, and audience engagement on Instagram, Facebook, and TikTok. Our analysis encompassed 423 public posts, revealing images (67.4%) and videos (28.1%) as the dominant content types, with over a third of posts authored by physicians. A notable 40% of posts were advertisements, whereas patient experiences comprised 34.5%. TikTok, although presenting a smaller sample size, showed a substantially higher engagement rate, with posts averaging 152.9 likes, compared with Instagram and Facebook at 32.7 and 41.2 likes, respectively. The findings underscore the need for otolaryngologists and healthcare professionals to provide clear, evidence-based information on digital platforms. Given social media's expanding role in healthcare, medical professionals must foster digital literacy and safeguard the accuracy of health information online. In this study, we concluded that maintaining an evidence-based, transparent digital dialogue for medical innovations such as the UAS device necessitates collaborative efforts among physicians, health institutions, and technology companies.</t>
  </si>
  <si>
    <t>[Rossi, Nicholas A.; Momin, Nishat A.; Burgess, Zachary S.; Pine, Harold S.; Shabani, Sepehr; Mckinnon, Brian J.] Univ Texas Med Branch, Dept Otolaryngol, Galveston, TX 77555 USA; [Vories, Bridget A.] Univ Texas Med Branch, Sch Med, Galveston, TX 77555 USA; [Razmi, Samuel E.] Texas A&amp;M Coll Med, Sch Med, EnMed Initiat, Houston, TX 77030 USA; [Sultana, Rizwana] Univ Texas Med Branch, Dept Internal Med, Div Pulm Crit Care &amp; Sleep Med, Galveston, TX 77555 USA</t>
  </si>
  <si>
    <t>University of Texas System; University of Texas Medical Branch Galveston; University of Texas System; University of Texas Medical Branch Galveston; Texas A&amp;M University System; Texas A&amp;M University College Station; Texas A&amp;M Health Science Center; University of Texas System; University of Texas Medical Branch Galveston</t>
  </si>
  <si>
    <t>Rossi, NA (corresponding author), Univ Texas Med Branch, Dept Otolaryngol, Galveston, TX 77555 USA.</t>
  </si>
  <si>
    <t>narossi@utmb.edu; bavories@utmb.edu; samrazmi@tamu.edu; namomin@utmb.edu; zsburges@utmb.edu; hspine@utmb.edu; seshaban@utmb.edu; risultan@utmb.edu; brmckinn@utmb.edu</t>
  </si>
  <si>
    <t>Shabani, Sepehr/0000-0002-5938-0728; Rossi, Nicholas/0000-0002-7105-2196; Razmi, Samuel/0000-0002-1873-098X</t>
  </si>
  <si>
    <t>Department of Otolaryngology at the University of Texas Medical Branch for the execution</t>
  </si>
  <si>
    <t>The authors acknowledge the support of the Department of Otolaryngology at the University of Texas Medical Branch for the execution and publication of this research.</t>
  </si>
  <si>
    <t>10.3390/healthcare11233082</t>
  </si>
  <si>
    <t>AB4Z5</t>
  </si>
  <si>
    <t>WOS:001115995800001</t>
  </si>
  <si>
    <t>Wada, N; Takagi, H; Tekeuchi, K; Morishita, S; Makino, S; Ohtani, M; Kobayashi, S; Hori, JI; Kitta, T; Kakizaki, H</t>
  </si>
  <si>
    <t>Wada, Naoki; Takagi, Haruka; Tekeuchi, Keigo; Morishita, Shun; Makino, Shogo; Ohtani, Miyu; Kobayashi, Shin; Hori, Jun-ichi; Kitta, Takeya; Kakizaki, Hidehiro</t>
  </si>
  <si>
    <t>Internet research of utilization of social media in patients with urological disease and their families in Japan</t>
  </si>
  <si>
    <t>INTERNATIONAL JOURNAL OF UROLOGY</t>
  </si>
  <si>
    <t>internet; social media; urology</t>
  </si>
  <si>
    <t>Objectives: To survey the utilization of social media (SoMe) in patients with urological disease and their families.Methods: Among the panel members registered in NEO Marketing Inc. (Tokyo, Japan), 300 people who or whose families were visiting the urological department regularly were included. Study subjects were randomly chosen and surveyed using the questionnaire over the internet.Results: This study included 203 (68%) males and 97 (32%) females. The mean age was 62 (21-85) in males and 49 (22-75) in females. One hundred and ten subjects (37%) had no account for any SoMe. The account holders of YouTube, Twitter, Facebook, Instagram, and TikTok were 119 (40%), 117 (39%), 101 (34%), 90 (30%), and 33 (11%), respectively. The proportions of account holders were different depending on gender, age, and platforms. Frequent viewers on YouTube, Twitter, Facebook, Instagram, and TikTok were 100 (84%), 89 (76%), 63 (62%), 66 (73%), and 24 (73%), respectively. Of 190 who had accounts for any SoMes, 64 (34%) found any information about urological diseases of themselves or their families. Among the all subjects, 162 (54%) thought that they would like to view the medical contents on SoMes submitted by medical societies.Conclusions: Patients with urological disease and their families in Japan occasionally utilize SoMe to obtain information on their diseases and prefer professional medical information on SoMe. The gender and age of SoMe users and the optimal platform should be considered when posting medical information on SoMe.</t>
  </si>
  <si>
    <t>[Wada, Naoki; Takagi, Haruka; Tekeuchi, Keigo; Morishita, Shun; Makino, Shogo; Ohtani, Miyu; Kobayashi, Shin; Hori, Jun-ichi; Kitta, Takeya; Kakizaki, Hidehiro] Asahikawa Med Univ, Dept Renal &amp; Urol Surg, Asahikawa, Japan; [Wada, Naoki] Asahikawa Med Univ, Dept Renal &amp; Urol Surg, 2-1-1-1 Midorigaoka Higashi, Asahikawa 0788510, Japan</t>
  </si>
  <si>
    <t>Asahikawa Medical College; Asahikawa Medical College</t>
  </si>
  <si>
    <t>Wada, N (corresponding author), Asahikawa Med Univ, Dept Renal &amp; Urol Surg, 2-1-1-1 Midorigaoka Higashi, Asahikawa 0788510, Japan.</t>
  </si>
  <si>
    <t>nwada@asahikawa-med.ac.jp</t>
  </si>
  <si>
    <t>The authors would like to thank NEO Marketing Inc. for the internet survey.; NEO Marketing Inc.</t>
  </si>
  <si>
    <t>The authors would like to thank NEO Marketing Inc. for the internet survey.</t>
  </si>
  <si>
    <t>0919-8172</t>
  </si>
  <si>
    <t>1442-2042</t>
  </si>
  <si>
    <t>INT J UROL</t>
  </si>
  <si>
    <t>Int. J. Urol.</t>
  </si>
  <si>
    <t>10.1111/iju.15290</t>
  </si>
  <si>
    <t>R5CF3</t>
  </si>
  <si>
    <t>WOS:001064520700001</t>
  </si>
  <si>
    <t>Laghmiche, L; Dupire, G; Franck, D</t>
  </si>
  <si>
    <t>Laghmiche, Leila; Dupire, Gwendy; Franck, Diane</t>
  </si>
  <si>
    <t>A New Spectrum of Self-Injuries: TikTok-Linked Lesions</t>
  </si>
  <si>
    <t>general dermatology; pediatric hand surgery; pediatric dermatology; burn injury; plastic and reconstructive surgery</t>
  </si>
  <si>
    <t>The end of childhood and adolescence are two critical periods. Patients' immaturity in making decisions can lead to irreversible health consequences. The use of social media exposing children to a wide variety of content may result in dangerous behavior. This has been seen with the emergence of many challenges such as the Eraser Challenge, Salt Ice Challenge, and Benadryl Challenge. Here, we describe two cases of dermatologic lesions linked to social media challenges.</t>
  </si>
  <si>
    <t>[Laghmiche, Leila] Univ Libre Bruxelles, Surg, Brussels, Belgium; [Dupire, Gwendy] Hop Univ Bruxelles, Dermatol, Brussels, Belgium; [Franck, Diane] Hop Univ Bruxelles, Plast &amp; Reconstruct Surg, Brussels, Belgium</t>
  </si>
  <si>
    <t>Universite Libre de Bruxelles</t>
  </si>
  <si>
    <t>Laghmiche, L (corresponding author), Univ Libre Bruxelles, Surg, Brussels, Belgium.</t>
  </si>
  <si>
    <t>leila.lgh@hotmail.fr</t>
  </si>
  <si>
    <t>e58226</t>
  </si>
  <si>
    <t>10.7759/cureus.58226</t>
  </si>
  <si>
    <t>QP9K9</t>
  </si>
  <si>
    <t>WOS:001222189900021</t>
  </si>
  <si>
    <t>Nicely, A</t>
  </si>
  <si>
    <t>Nicely, Annmarie</t>
  </si>
  <si>
    <t>Good news urban tourism researchers! 19 ways to enhance the usefulness of your observational video analysis research</t>
  </si>
  <si>
    <t>INTERNATIONAL JOURNAL OF TOURISM CITIES</t>
  </si>
  <si>
    <t>Observational research; YouTube; TikTok; Instagram; Facebook; Videos; Research methods</t>
  </si>
  <si>
    <t>YOUTUBE VIDEOS; NETNOGRAPHY</t>
  </si>
  <si>
    <t>Purpose-The present article encourages urban tourism researchers use pre-recorded (like YouTube, TikTok and security camera footage) and self-recorded video data in research. The author highlighted the benefits of doing so for urban tourism scholars, as well as ways in which these investigators can use the observational video analysis technique to produce convincing findings and advance their field. Design/methodology/approach-To accomplish the purpose, the author reviewed 25 scholarly articles on the topic from several fields. Findings-One benefit of observational video analysis research (OVAR), the author highlighted, was the ability of scholars in different locations to simultaneously observe interactions, the focus of the study, in their natural setting and discuss them. This practice is not possible with traditional ethnographic research. Also, one way the author mentioned researchers can accomplish rigor in their OVAR project is through multimodal transcription. With multimodal transcription, verbal and non-verbal happenings in videos are transliterated and later analyzed. Research limitations/implications-It is hoped because of the present article, increased use of the technique in urban tourism research will be seen. Originality/value-The present article is the first, to the best of the author's knowledge, to detail how rigor can be accomplished in OVAR in urban tourism.</t>
  </si>
  <si>
    <t>[Nicely, Annmarie] Purdue Univ, White Lodging JW Marriott Jr Sch Hospitality &amp; Tou, W Lafayette, IN 47907 USA</t>
  </si>
  <si>
    <t>Nicely, A (corresponding author), Purdue Univ, White Lodging JW Marriott Jr Sch Hospitality &amp; Tou, W Lafayette, IN 47907 USA.</t>
  </si>
  <si>
    <t>ajnicely@purdue.edu</t>
  </si>
  <si>
    <t>Special thanks to Michael Luongo, graduate student with the White Lodging-J.W. Marriott, Jr. School of Hospitality and Tourism Management at Purdue University, for his assistance with this paper. Michael sourced articles and reviewed early iterations of this paper.</t>
  </si>
  <si>
    <t>2056-5607</t>
  </si>
  <si>
    <t>2056-5615</t>
  </si>
  <si>
    <t>INT J TOUR CITIES</t>
  </si>
  <si>
    <t>Int. J. Tour. Cities</t>
  </si>
  <si>
    <t>10.1108/IJTC-08-2023-0162</t>
  </si>
  <si>
    <t>F4K6S</t>
  </si>
  <si>
    <t>WOS:001267500500001</t>
  </si>
  <si>
    <t>Vogel, EA; Ranker, LR; Harrell, PT; Hart, JL; Kong, GC; Mcintosh, S; Meissner, HI; Ozga, JE; Romer, D; Stanton, CA</t>
  </si>
  <si>
    <t>Vogel, Erin A.; Ranker, Lynsie R.; Harrell, Paul T.; Hart, Joy L.; Kong, Grace; Mcintosh, Scott; Meissner, Helen I.; Ozga, Jenny E.; Romer, Dan; Stanton, Cassandra A.</t>
  </si>
  <si>
    <t>Characteristics of Adolescents' and Young Adults' Exposure to and Engagement with Nicotine and Tobacco Product Content on Social Media</t>
  </si>
  <si>
    <t>HIGH-SCHOOL-STUDENTS; MIDDLE</t>
  </si>
  <si>
    <t>To inform policy and messaging, this study examined characteristics of adolescents' and young adults' (AYAs') exposure to and engagement with nicotine and tobacco product (NTP) social media (SM) content. In this cross-sectional survey study, AYAs aged 13-26 (N=1,163) reported current NTP use, SM use frequency, and exposure to and engagement with SM content promoting and opposing NTP use (i.e. frequency, source[s], format[s], platform[s]). Participants who used NTPs (vs. did not use) were more likely to report having seen NTP content (p-values&lt;.001). Prevalent sources were companies/brands (46.6%) and influencers (44.4%); prevalent formats were video (65.4%) and image (50.7%). Exposure to content promoting NTP use was prevalent on several popular platforms (e.g. TikTok, Instagram, Snapchat); exposure to content opposing NTP use was most prevalent on YouTube (75.8%). Among those reporting content engagement (i.e. liking, commenting on, or sharing NTP content; 34.6%), 57.2% engaged with influencer content. Participants reported engaging with content promoting and opposing NTP use on popular platforms (e.g. TikTok, Instagram, YouTube). Participants with (versus without) current NTP use were significantly more likely to use most SM platforms and to report NTP content exposure and engagement (p-values&lt;.05). Results suggest that NTP education messaging and enforcement of platforms' content restrictions are needed.</t>
  </si>
  <si>
    <t>[Vogel, Erin A.] Univ Oklahoma Hlth Sci Ctr, TSET Hlth Promot Res Ctr, 655 Res Pkwy,Suite 400, Oklahoma City, OK 73104 USA; [Ranker, Lynsie R.] Boston Univ Sch Publ Hlth, Dept Community Hlth Sci, Boston, MA USA; [Harrell, Paul T.] Eastern Virginia Med Sch, Dept Pediat, Div Community Hlth &amp; Res, Norfolk, VA USA; [Hart, Joy L.] Univ Louisville, Coll Arts &amp; Sci, Dept Commun, Louisville, KY USA; [Hart, Joy L.] Univ Louisville, Christina Lee Brown Envirome Inst, Sch Med, Louisville, KY USA; [Kong, Grace] Yale Sch Med, Dept Psychiat, New Haven, CT USA; [Mcintosh, Scott] Univ Rochester Med Ctr, Dept Publ Hlth Sci, Div Social &amp; Behav Sci, Rochester, NY USA; [Meissner, Helen I.] NIH, Off Dis Prevent, Bethesda, MD USA; [Ozga, Jenny E.; Stanton, Cassandra A.] Westat Corp, Behav Hlth &amp; Hlth Policy, Rockville, MD USA; [Romer, Dan] Univ Penn Annenberg Sch Commun, Annenberg Sch Commun, Philadelphia, PA USA</t>
  </si>
  <si>
    <t>University of Oklahoma System; University of Oklahoma Health Sciences Center; Boston University; Eastern Virginia Medical School; University of Louisville; University of Louisville; Yale University; University of Rochester; National Institutes of Health (NIH) - USA; Westat; University of Pennsylvania</t>
  </si>
  <si>
    <t>Vogel, EA (corresponding author), Univ Oklahoma Hlth Sci Ctr, TSET Hlth Promot Res Ctr, 655 Res Pkwy,Suite 400, Oklahoma City, OK 73104 USA.</t>
  </si>
  <si>
    <t>erin-vogel@ouhsc.edu</t>
  </si>
  <si>
    <t>Harrell, Paul/AFM-1908-2022</t>
  </si>
  <si>
    <t>Harrell, Paul/0000-0001-6588-7878</t>
  </si>
  <si>
    <t>American Heart Association [U54DA046060-01]; Center for Coordination of Analytics, Science, Enhancement and Logistics (CASEL) in Tobacco Regulatory Science; National Institute of Drug Abuse [NIDA]; Food and Drug Administration's Center for Tobacco Products; NIDA; National Heart, Lung, and Blood Institute (NHLBI) [U54 DA036151, R01 DA049878]; FDA CTP [20YVNR35500014]; American Heart Association; National Cancer Institute (NCI) [U54CA228110]; FDA [P30CA225520]; NCI [R22-03]; Oklahoma Tobacco Settlement Endowment Trust</t>
  </si>
  <si>
    <t>American Heart Association(American Heart Association); Center for Coordination of Analytics, Science, Enhancement and Logistics (CASEL) in Tobacco Regulatory Science; National Institute of Drug Abuse [NIDA](United States Department of Health &amp; Human ServicesNational Institutes of Health (NIH) - USANIH National Institute on Drug Abuse (NIDA)); Food and Drug Administration's Center for Tobacco Products; NIDA(United States Department of Health &amp; Human ServicesNational Institutes of Health (NIH) - USANIH National Institute on Drug Abuse (NIDA)); National Heart, Lung, and Blood Institute (NHLBI)(United States Department of Health &amp; Human ServicesNational Institutes of Health (NIH) - USANIH National Heart Lung &amp; Blood Institute (NHLBI)); FDA CTP; American Heart Association(American Heart Association); National Cancer Institute (NCI)(United States Department of Health &amp; Human ServicesNational Institutes of Health (NIH) - USANIH National Cancer Institute (NCI)); FDA(United States Department of Health &amp; Human ServicesUS Food &amp; Drug Administration (FDA)); NCI(United States Department of Health &amp; Human ServicesNational Institutes of Health (NIH) - USANIH National Cancer Institute (NCI)); Oklahoma Tobacco Settlement Endowment Trust</t>
  </si>
  <si>
    <t>This study is a cross-institution collaborative project from the Marketing Influences Special Interest Group supported, in part, by the Center for Coordination of Analytics, Science, Enhancement and Logistics (CASEL) in Tobacco Regulatory Science U54DA046060-01 (National Institute of Drug Abuse [NIDA] and the Food and Drug Administration's Center for Tobacco Products [FDA CTP]). Additional support was provided by NIDA (K01 DA055073); the National Heart, Lung, and Blood Institute (NHLBI) and the FDA CTP (U54HL120163); the American Heart Association (20YVNR35500014); NIDA and the FDA CTP (U54 DA036151, R01 DA049878); the National Cancer Institute (NCI) and FDA (U54CA228110); NCI (P30CA225520) and the Oklahoma Tobacco Settlement Endowment Trust (R22-03).</t>
  </si>
  <si>
    <t>10.1080/10810730.2024.2355291</t>
  </si>
  <si>
    <t>TU7O1</t>
  </si>
  <si>
    <t>WOS:001229166700001</t>
  </si>
  <si>
    <t>Moreno, CB; Carretero, MRM; de Santiago, BSR; Rumayor, LR</t>
  </si>
  <si>
    <t>Moreno, Carlos Barroso; Carretero, Ma Rosario Mendoza; de Santiago, Belen Saenz-Rico; Rumayor, Laura Rayon</t>
  </si>
  <si>
    <t>Gamification-Education: the power of data. Teachers in social networks</t>
  </si>
  <si>
    <t>RIED-REVISTA IBEROAMERICANA DE EDUCACION A DISTANCIA</t>
  </si>
  <si>
    <t>social network; education; teaching staff; big data; gamification</t>
  </si>
  <si>
    <t>BIG DATA; INSTAGRAM; BUSINESS</t>
  </si>
  <si>
    <t>Social networks are spaces for teachers to exchange content on new methodological approaches to gamification, raising questions about the integration of gamification in current and future digital trends. The present research aims to determine the behaviour of posts with gamification content on the social networks Twitter, Instagram and TikTok. Web scraping techniques for Instagram and TikTok, together with the Twitter API, collect 189,414 posts with the keywords gamification and education in Spanish and English during the year 2022. These large volumes of data are made available to stakeholders through Microsoft Power Business Intelligence. Using deliberative sampling, an in-depth analysis of the 100 most viral posts on each social network was conducted to respond to the research objective. The results highlight the presence of teachers on social networks, predominantly on Instagram for the Primary Education stage, and the influence of gender on the posts. The male gender has a greater number of followers and posts, but the female gender has followers with a greater number of likes. Commercial interests in the gamification theme are accentuated in digital trends, although they are lower in comparison to sharing non-profit resources. It is concluded that teaching staff who use social networks become emerging agents in the design of materials and, therefore, mediators between the curriculum and practice.</t>
  </si>
  <si>
    <t>[Moreno, Carlos Barroso; Carretero, Ma Rosario Mendoza; de Santiago, Belen Saenz-Rico; Rumayor, Laura Rayon] Univ Complutense Madrid, Madrid, Spain</t>
  </si>
  <si>
    <t>Moreno, CB (corresponding author), Univ Complutense Madrid, Madrid, Spain.</t>
  </si>
  <si>
    <t>Barroso-Moreno, Carlos/HCH-6458-2022; Rayon-Rumayor, Laura/ABG-4568-2020; Mendoza Carretero, María del Rosario/IUM-3844-2023; Saenz-Rico de Santiago, Belen/AAA-4413-2019</t>
  </si>
  <si>
    <t>Community of Madrid</t>
  </si>
  <si>
    <t>Community of Madrid(Comunidad de Madrid)</t>
  </si>
  <si>
    <t>This action has been financed by the Community of Madrid through the Multiannual Agreement with the Complutense University of Madrid in its Excellence Programme for university teaching staff, within the framework of the V PRICIT (Regional Plan for Scientific Research and Technological Innovation) .</t>
  </si>
  <si>
    <t>ASOCIACION IBEROAMERICANA EDUCACION SUPERIOR &amp; DISTANCIA - AIESAD</t>
  </si>
  <si>
    <t>UNED, FAC EDUC, C/ JUAN DEL ROSAI, 14, MADRID, 28040, SPAIN</t>
  </si>
  <si>
    <t>1138-2783</t>
  </si>
  <si>
    <t>1390-3306</t>
  </si>
  <si>
    <t>RIED-REV IBEROAM EDU</t>
  </si>
  <si>
    <t>RIED-Rev. Iberoam. Educ. Distancia</t>
  </si>
  <si>
    <t>10.5944/ried.27.1.37648</t>
  </si>
  <si>
    <t>EE4Q1</t>
  </si>
  <si>
    <t>WOS:001137233600010</t>
  </si>
  <si>
    <t>Liu, XY; Kong, QZ; Song, YH; Ding, RH; Sun, LF; Xu, LQ; Li, YY; Zuo, XL; Li, YQ</t>
  </si>
  <si>
    <t>Liu, Xuyan; Kong, Qingzhou; Song, Yihao; Ding, Ruihao; Sun, Longfei; Xu, Leiqi; Li, Yueyue; Zuo, Xiuli; Li, Yanqing</t>
  </si>
  <si>
    <t>TikTok and Bilibili as health information sources on gastroesophageal reflux disease: an assessment of content and its quality</t>
  </si>
  <si>
    <t>DISEASES OF THE ESOPHAGUS</t>
  </si>
  <si>
    <t>acid reflux; gastroesophageal reflux (GERD); esophageal reflux; medical informatics</t>
  </si>
  <si>
    <t>PREVALENCE</t>
  </si>
  <si>
    <t>Gastroesophageal reflux disease (GERD) is a global chronic disease. Short video platforms make it easy for patients with GERD to obtain medical information. However, the quality of information from these videos remains uncertain. This study aimed to systematically assess videos related to GERD on TikTok and Bilibili. We conducted a search and gathered 241 Chinese videos related to GERD and recorded the essential information. Two independent evaluators assessed each video based on the completeness of six components of the GERD guidelines, and assessed the quality and reliability of the information in the videos using recognition tools. Finally, videos from different sources were compared. The uploaders of most videos were medical professionals (86.7%, n = 209). The content was mainly about symptoms and treatment. The quality of the videos information varied depending on the sources. Among videos posted on Bilibili, those posted by medical professionals had a lower content score for definition (P &lt; 0.001). Videos produced by non-gastroenterologists had the highest mean modified DISCERN. (The DISCERN scoring tool was initially created for assessing written publications, but nowadays, it is frequently leveraged for appraising various health-related videos. Details can be found in the text) quality of the videos information was acceptable; however, the content varied significantly depending on the type of source used. Videos with broad content should be carefully screened to meet more needs.</t>
  </si>
  <si>
    <t>[Liu, Xuyan; Kong, Qingzhou; Song, Yihao; Ding, Ruihao; Sun, Longfei; Xu, Leiqi; Li, Yueyue; Zuo, Xiuli; Li, Yanqing] Shandong Univ, Qilu Hosp, Dept Gastroenterol, Jinan 250012, Shandong, Peoples R China; [Liu, Xuyan; Kong, Qingzhou; Song, Yihao; Ding, Ruihao; Sun, Longfei; Xu, Leiqi; Li, Yueyue; Zuo, Xiuli; Li, Yanqing] Shandong Univ, Qilu Hosp, Lab Translat Gastroenterol, Jinan 250012, Shandong, Peoples R China; [Liu, Xuyan; Kong, Qingzhou; Song, Yihao; Ding, Ruihao; Sun, Longfei; Xu, Leiqi; Li, Yueyue; Zuo, Xiuli; Li, Yanqing] Shandong Univ, Qilu Hosp, Shandong Prov Clin Res Ctr Digest Dis, Jinan 250012, Shandong, Peoples R China</t>
  </si>
  <si>
    <t>Shandong University; Shandong University; Shandong University</t>
  </si>
  <si>
    <t>Li, YY (corresponding author), Shandong Univ, Qilu Hosp, Dept Gastroenterol, Jinan 250012, Shandong, Peoples R China.</t>
  </si>
  <si>
    <t>201900412093@mail.sdu.edu.cn; 202135714@mail.sdu.edu.cn; 15098739370@163.com; 2498367256@qq.com; 201900412081@mail.sdu.edu.cn; xuleiqi1992@126.com; lyynqj@126.com; zuoxiuli@sdu.edu.cn; liyanqing@sdu.edu.cn</t>
  </si>
  <si>
    <t>Kong, Qing-Zhou/LRU-9931-2024; li, yue/HSF-7296-2023</t>
  </si>
  <si>
    <t>Li, Yue-Yue/0000-0001-7042-9695</t>
  </si>
  <si>
    <t>Youth Fund from Natural Science Foundation of Shandong Province [ZR2020QH030]</t>
  </si>
  <si>
    <t>Youth Fund from Natural Science Foundation of Shandong Province</t>
  </si>
  <si>
    <t>This study was supported by the Youth Fund from Natural Science Foundation of Shandong Province (Grant No. ZR2020QH030).</t>
  </si>
  <si>
    <t>1120-8694</t>
  </si>
  <si>
    <t>1442-2050</t>
  </si>
  <si>
    <t>DIS ESOPHAGUS</t>
  </si>
  <si>
    <t>Dis. Esophagus</t>
  </si>
  <si>
    <t>2024 OCT 7</t>
  </si>
  <si>
    <t>10.1093/dote/doae081</t>
  </si>
  <si>
    <t>I4U4F</t>
  </si>
  <si>
    <t>WOS:001330221200001</t>
  </si>
  <si>
    <t>Garrett, C; Qiao, S; Li, XM</t>
  </si>
  <si>
    <t>Garrett, Camryn; Qiao, Shan; Li, Xiaoming</t>
  </si>
  <si>
    <t>The Role of Social Media in Knowledge, Perceptions, and Self-Reported Adherence Toward COVID-19 Prevention Guidelines: Cross-Sectional Study</t>
  </si>
  <si>
    <t>COVID-19; digital media; social media; TikTok; Instagram; Twitter; Facebook; prevention guidelines</t>
  </si>
  <si>
    <t>Background: Throughout the COVID-19 pandemic, social media has served as a channel of communication, a venue for entertainment, and a mechanism for information dissemination. Objective: This study aims to assess the associations between social media use patterns; demographics; and knowledge, perceptions, and self-reported adherence toward COVID-19 prevention guidelines, due to growing and evolving social media use. Methods: Quota-sampled data were collected through a web-based survey of US adults through the Qualtrics platform, from March 15, 2022, to March 23, 2022, to assess covariates (eg, demographics, vaccination, and political affiliation), frequency of social media use, social media sources of COVID-19 information, as well as knowledge, perceptions, and self-reported adherence toward COVID-19 prevention guidelines. Three linear regression models were used for data analysis. Results: A total of 1043 participants responded to the survey, with an average age of 45.3 years, among which 49.61% (n=515) of participants were men, 66.79% (n=696) were White, 11.61% (n=121) were Black or African American, 13.15% (n=137) were Hispanic or Latino, 37.71% (n=382) were Democrat, 30.21% (n=306) were Republican, and 25% (n=260) were not vaccinated. After controlling for covariates, users of TikTok (beta=-.29, 95% CI -0.58 to -0.004; P=.047) were associated with lower knowledge of COVID-19 guidelines, users of Instagram (beta=-.40, 95% CI -0.68 to -0.12; P=.005) and Twitter (beta=-.33, 95% CI -0.58 to -0.08; P=.01) were associated with perceiving guidelines as strict, and users of Facebook (beta=-.23, 95% CI -0.42 to -0.043; P=.02) and TikTok (beta=-.25, 95% CI -0.5 to -0.009; P=.04) were associated with lower adherence to the guidelines (R2 0.06-0.23). Conclusions: These results allude to the complex interactions between online and physical environments. Future interventions should be tailored to subpopulations based on their demographics and social media site use. Efforts to mitigate misinformation and implement digital public health policy must account for the impact of the digital landscape on knowledge, perceptions, and level of adherence toward prevention guidelines for effective pandemic control.</t>
  </si>
  <si>
    <t>[Garrett, Camryn; Qiao, Shan; Li, Xiaoming] Univ South Carolina, Arnold Sch Publ Hlth, Dept Hlth Promot Educ &amp; Behav, Discovery Bldg 1,915 Greene St, Columbia, SC 29208 USA</t>
  </si>
  <si>
    <t>Garrett, C (corresponding author), Univ South Carolina, Arnold Sch Publ Hlth, Dept Hlth Promot Educ &amp; Behav, Discovery Bldg 1,915 Greene St, Columbia, SC 29208 USA.</t>
  </si>
  <si>
    <t>camrynmg@email.sc.edu</t>
  </si>
  <si>
    <t>Li, Xiaoming/AAF-1362-2019</t>
  </si>
  <si>
    <t>Li, Xiaoming/0000-0002-5555-9034; Qiao, Shan/0000-0003-1834-1834; Garrett, Camryn/0000-0003-2569-0418</t>
  </si>
  <si>
    <t>College of Information and Communication Sciences at the University of South Carolina - National Institute of Health [R01AI174892, R01AI127203-5S1]</t>
  </si>
  <si>
    <t>College of Information and Communication Sciences at the University of South Carolina - National Institute of Health</t>
  </si>
  <si>
    <t>Acknowledgments The authors would like to acknowledge the efforts of Jacob Long from the College of Information and Communication Sciences at the University of South Carolina for his support in survey development and data analysis. This work was funded by the National Institute of Health grants R01AI174892 and R01AI127203-5S1.</t>
  </si>
  <si>
    <t>e44395</t>
  </si>
  <si>
    <t>10.2196/44395</t>
  </si>
  <si>
    <t>LY8K8</t>
  </si>
  <si>
    <t>WOS:001190463000001</t>
  </si>
  <si>
    <t>Gamir-Ríos, J; Sánchez-Castillo, S</t>
  </si>
  <si>
    <t>Gamir-Rios, Jose; Sanchez-Castillo, Sebastian</t>
  </si>
  <si>
    <t>The political irruption of short video: Is TikTok a new window for Spanish parties?</t>
  </si>
  <si>
    <t>Political communication; social networks; social media; short videos; TikTok; Spain; political parties</t>
  </si>
  <si>
    <t>SOCIAL MEDIA; GENERAL-ELECTIONS; TWITTER; COMMUNICATION; CAMPAIGN; OLD</t>
  </si>
  <si>
    <t>The preference for online social interaction has been seen as an antecedent for problematic use of the Internet and social networks, which is associated with problems of social anxiety and a lack of social skills. Based on a survey with a representative sample of 524 students in Compulsory Secondary Education (aged 12-14) in the Autonomous Region of Madrid (Spain), the role of motives of use as a factor that explains the problematic use of the Internet has been analysed as a mediating component between such problematic use and the preference for online social interaction. The results show that only when social networks are used to expand relationships and as a form of self-expression are there negative consequences for the individual, but not when such networks are used to maintain close relationships. Finally, is has been observed that such motives, which moderately predict problematic use, only slightly explain in part the relationship between the preference for online social interaction and problematic use. Therefore, further research is needed to investigate other motives for use that mediate this association, as well as the connection between the motive to expand social relationships together with self-expression, and other preexisting personality factors that might lead to problematic use of the Internet and social networks.</t>
  </si>
  <si>
    <t>[Gamir-Rios, Jose; Sanchez-Castillo, Sebastian] Univ Valencia, Valencia, Spain</t>
  </si>
  <si>
    <t>Gamir-Ríos, J (corresponding author), Univ Valencia, Valencia, Spain.</t>
  </si>
  <si>
    <t>jose.gamir@uv.es; sebastian.sanchez@uv.es</t>
  </si>
  <si>
    <t>Gamir-Ríos, José/AGF-2889-2022; Sanchez-Castillo, Sebastian/D-2568-2011</t>
  </si>
  <si>
    <t>Sanchez-Castillo, Sebastian/0000-0003-3751-6425; Gamir-Rios, Jose/0000-0001-5379-6573</t>
  </si>
  <si>
    <t>10.15581/003.35.2.37-52</t>
  </si>
  <si>
    <t>0F9GN</t>
  </si>
  <si>
    <t>WOS:000777663900003</t>
  </si>
  <si>
    <t>Hillyard, N</t>
  </si>
  <si>
    <t>Hillyard, Neil</t>
  </si>
  <si>
    <t>Orthondontic marketing. The issue of information vs. trust; supporting future patients in their choices when accessing online information</t>
  </si>
  <si>
    <t>SEMINARS IN ORTHODONTICS</t>
  </si>
  <si>
    <t>Competition is fierce in the orthodontic arena, and clinicians must stand out from the crowd to get reliable, per-sonalised information over to potential customers. Considering the number of promotional messages issued by brands and social media personalities alike, how can the orthodontic community ensure patients receive the best advice? Should professionals jump on the TikTok bandwagon and brush up on their online marketing expertise? Or is there another way? This article is an opinion piece by an Orthodontic Marketing Consultant with over 10 years of experience in the field.</t>
  </si>
  <si>
    <t>[Hillyard, Neil] Hillyard MacDonald, Bromley, England</t>
  </si>
  <si>
    <t>Hillyard, N (corresponding author), Hillyard MacDonald, Bromley, England.</t>
  </si>
  <si>
    <t>neil@hillyardmacdonald.co.uk</t>
  </si>
  <si>
    <t>1073-8746</t>
  </si>
  <si>
    <t>1558-4631</t>
  </si>
  <si>
    <t>SEMIN ORTHOD</t>
  </si>
  <si>
    <t>Semin. Orthod.</t>
  </si>
  <si>
    <t>10.1053/j.sodo.2023.11.003</t>
  </si>
  <si>
    <t>ES0M6</t>
  </si>
  <si>
    <t>WOS:001140794200001</t>
  </si>
  <si>
    <t>Wang, MY; Kaltheuner, F; Klasing, A</t>
  </si>
  <si>
    <t>Wang, Maya; Kaltheuner, Frederike; Klasing, Amanda</t>
  </si>
  <si>
    <t>The future of technology: Lessons from China</t>
  </si>
  <si>
    <t>BULLETIN OF THE ATOMIC SCIENTISTS</t>
  </si>
  <si>
    <t>Technology; authoritarianism; AI; TikTok; democracy; China</t>
  </si>
  <si>
    <t>As the competition between the US and China heats up in the realm of technology, the US media has been increasingly portraying it as a simplistic battle between democracy and authoritarianism. This article, however, argues that the reality is that people everywhere-including in China and the United States-are all living in an increasingly digital world where surveillance has become ubiquitous, and accountability for human rights abuses more challenging. It presents five solutions which the United States needs to take to address these challenges, and make for a more fair and equitable future.</t>
  </si>
  <si>
    <t>wangm@hrw.org</t>
  </si>
  <si>
    <t>0096-3402</t>
  </si>
  <si>
    <t>1938-3282</t>
  </si>
  <si>
    <t>B ATOM SCI</t>
  </si>
  <si>
    <t>Bull. Atom. Scient.</t>
  </si>
  <si>
    <t>10.1080/00963402.2023.2199595</t>
  </si>
  <si>
    <t>International Relations; Social Issues</t>
  </si>
  <si>
    <t>F7UB4</t>
  </si>
  <si>
    <t>WOS:000984349200008</t>
  </si>
  <si>
    <t>Chen, Q; Min, C; Zhang, W; Ma, XY; Evans, R</t>
  </si>
  <si>
    <t>Chen, Qiang; Min, Chen; Zhang, Wei; Ma, Xiaoyue; Evans, Richard</t>
  </si>
  <si>
    <t>Factors Driving Citizen Engagement With Government TikTok Accounts During the COVID-19 Pandemic: Model Development and Analysis</t>
  </si>
  <si>
    <t>government social media; citizen engagement; public health crisis; TikTok; emotion valence; dialogic loop; COVID-19</t>
  </si>
  <si>
    <t>SOCIAL MEDIA; TWITTER; STRATEGIES; CORPORATE; FEATURES; CRISIS</t>
  </si>
  <si>
    <t>Background: During the COVID-19 pandemic, growth in citizen engagement with social media platforms has enabled public health departments to accelerate and improve health information dissemination, developing transparency and trust between governments and citizens. In light of these benefits, it is imperative to learn the antecedents and underlying mechanisms for this to maintain and enhance engagement. Objective: The aim of this study is to determine the factors and influencing mechanisms related to citizen engagement with the TikTok account of the National Health Commission of China during the COVID-19 pandemic. Methods: Using a web crawler, 355 short videos were collected from the Healthy China account on TikTok (with more than 3 million followers throughout China), covering the period from January 21, 2020, to April 25, 2020. The title and video length, as well as the number of likes, shares, and comments were collected for each video. After classifying them using content analysis, a series of negative binomial regression analyses were completed. Results: Among the 355 videos, 154 (43.4%) related to guidance for clinicians, patients, and ordinary citizens, followed by information concerning the government's handling of the pandemic (n=100, 28.2%), the latest news about COVID-19 (n=61, 17.2%), and appreciation toward frontline emergency services (n=40, 11.3%). Video length, titles, dialogic loop, and content type all influenced the level of citizen engagement. Specifically, video length was negatively associated with the number of likes (incidence rate ratio [IRR]=0.19, P&lt;.001) and comments (IRR=0.39, P&lt;.001). Title length was positively related to the number of shares (IRR=24.25, P=.01), likes (IRR=8.50, P=.03), and comments (IRR=7.85, P=.02). Dialogic loop negatively predicted the number of shares (IRR=0.56, P=.03). In comparison to appreciative information, information about the government's handling of the situation (IRR=5.16, P&lt;.001) and guidelines information (IRR=7.31, P&lt;.001) were positively correlated with the number of shares, while the latest news was negatively related to the number of likes received (IRR=0.46, P=.004). More importantly, the relationship between predictors and citizen engagement was moderated by the emotional valence of video titles. Longer videos with positive titles received a higher number of likes (IRR=21.72, P=.04) and comments (IRR=10.14, P=.047). Furthermore, for short videos related to government handling of the pandemic (IRR=14.48, P=.04) and guidance for stakeholders (IRR=7.59, P=.04), positive titles received a greater number of shares. Videos related to the latest news (IRR=66.69, P=.04) received more likes if the video title displayed higher levels of positive emotion. Conclusions: During the COVID-19 pandemic, videos were frequently published on government social media platforms. Video length, title, dialogic loop, and content type significantly influenced the level of citizen engagement. These relationships were moderated by the emotional valence of the video's title. Our findings have implications for maintaining and enhancing citizen engagement via government social media.</t>
  </si>
  <si>
    <t>[Chen, Qiang; Ma, Xiaoyue] Xi An Jiao Tong Univ, Sch Journalism &amp; New Media, Xian, Peoples R China; [Min, Chen] City Univ Hong Kong, Dept Media &amp; Commun, Hong Kong, Peoples R China; [Min, Chen] Huazhong Univ Sci &amp; Technol, Coll Publ Adm, Wuhan, Peoples R China; [Zhang, Wei] Huazhong Univ Sci &amp; Technol, Sch Med &amp; Hlth Management, 13 Hangkong Rd, Wuhan 430074, Peoples R China; [Evans, Richard] Brunel Univ London, Coll Engn Design &amp; Phys Sci, London, England</t>
  </si>
  <si>
    <t>Xi'an Jiaotong University; City University of Hong Kong; Huazhong University of Science &amp; Technology; Huazhong University of Science &amp; Technology; Brunel University</t>
  </si>
  <si>
    <t>Zhang, W (corresponding author), Huazhong Univ Sci &amp; Technol, Sch Med &amp; Hlth Management, 13 Hangkong Rd, Wuhan 430074, Peoples R China.</t>
  </si>
  <si>
    <t>weizhanghust@hust.edu.cn</t>
  </si>
  <si>
    <t>Zhang, Wei/AAS-6646-2021; Ma, Xiaoyue/S-4047-2019</t>
  </si>
  <si>
    <t>Zhang, Wei/0000-0003-0178-0750; Evans, Richard/0000-0001-6367-0560; Chen, Qiang/0000-0001-8123-077X; Min, Chen/0000-0001-8770-3398</t>
  </si>
  <si>
    <t>National Social Science Foundation of China [17CXW026]</t>
  </si>
  <si>
    <t>National Social Science Foundation of China(National Office of Philosophy and Social Sciences)</t>
  </si>
  <si>
    <t>This work was supported by the National Social Science Foundation of China (grant number 17CXW026).</t>
  </si>
  <si>
    <t>FEB 4</t>
  </si>
  <si>
    <t>e21463</t>
  </si>
  <si>
    <t>10.2196/21463</t>
  </si>
  <si>
    <t>QC1UM</t>
  </si>
  <si>
    <t>WOS:000614620500003</t>
  </si>
  <si>
    <t>Berg, JM; Raj, M; Seamans, R</t>
  </si>
  <si>
    <t>Berg, Justin M.; Raj, Manav; Seamans, Robert</t>
  </si>
  <si>
    <t>CAPTURING VALUE FROM ARTIFICIAL INTELLIGENCE</t>
  </si>
  <si>
    <t>ACADEMY OF MANAGEMENT DISCOVERIES</t>
  </si>
  <si>
    <t>ORGANIZATIONS; INNOVATION; COMPUTER</t>
  </si>
  <si>
    <t>In this Academy of Management Discoveries Guidepost essay, we document outstanding questions regarding how organizations can capture value from artificial intelligence (AI) tools and outline pathways for future exploratory management and organizational research on AI. Specifically, we emphasize the importance of understanding how advances in AI technologies may reshape how organizations develop and use complementary assets. We highlight this point using the recent case of ChatGPT, an AI-enabled language modeler released in November 2022 that has grown in popularity more quickly than any other consumer application, including TikTok and Instagram.</t>
  </si>
  <si>
    <t>[Berg, Justin M.] Stanford Univ, Stanford, CA USA; [Raj, Manav] Univ Penn, Wharton Sch, Philadelphia, PA 19104 USA; [Seamans, Robert] NYU, Stern Sch Business, Dept Management &amp; Org, New York, NY 10003 USA; [Seamans, Robert] NYU, Ctr Future Management, New York, NY 10003 USA</t>
  </si>
  <si>
    <t>Stanford University; University of Pennsylvania; New York University; New York University</t>
  </si>
  <si>
    <t>Berg, JM (corresponding author), Stanford Univ, Stanford, CA USA.</t>
  </si>
  <si>
    <t>jmberg@stanford.edu; manavraj@wharton.upenn.edu; rseamans@stern.nyu.edu</t>
  </si>
  <si>
    <t>ACAD MANAGEMENT</t>
  </si>
  <si>
    <t>BRIARCLIFF MANOR</t>
  </si>
  <si>
    <t>PACE UNIV, PO BOX 3020, 235 ELM RD, BRIARCLIFF MANOR, NY 10510-8020 USA</t>
  </si>
  <si>
    <t>2168-1007</t>
  </si>
  <si>
    <t>ACAD MANAG DISCOV</t>
  </si>
  <si>
    <t>Acad. Manag. Discov.</t>
  </si>
  <si>
    <t>10.5465/amd.2023.0106</t>
  </si>
  <si>
    <t>IF2V7</t>
  </si>
  <si>
    <t>WOS:001164857000002</t>
  </si>
  <si>
    <t>Xiao, L; Li, XF; Zhang, YC</t>
  </si>
  <si>
    <t>Xiao, Lin; Li, Xiaofeng; Zhang, Yucheng</t>
  </si>
  <si>
    <t>Exploring the factors influencing consumer engagement behavior regarding short-form video advertising: A big data perspective</t>
  </si>
  <si>
    <t>Short -form video advertisements; Consumer engagement behavior; Product -type; Text analysis; TikTok</t>
  </si>
  <si>
    <t>SOCIAL-MEDIA ENGAGEMENT; SIGNALING THEORY; ENGAGING CUSTOMERS; ONLINE; PRODUCT; INFORMATION; EXPERIENCE; SEARCH; REPUTATION; COMMERCE</t>
  </si>
  <si>
    <t>Short-form video has attracted users' attention and been widely adopted for entertainment. Recently, short-form video has also been used for advertising. However, how short-form video for advertisement influences consumer engagement behavior remains unclear. This study aims to explore key features of short-form video advertise-ments that influence consumer engagement behavior. Through analyzing data obtained from social media platform TikTok, we discovered that four key features of short-form video-performance expectancy, enter-tainment, tie strength, and sales approach-are significantly related to consumer engagement behavior. In addition, the results showed that product type moderated the relationship of these effects on consumer engagement behavior. This study is one of the first to investigate the influence of short-form video advertisement features on consumer engagement behavior; thus, it contributes to the social media advertisement literature. It extends consumer engagement behavior research by applying a combination of uses and gratifications theory and signal theory. It also highlights the significance of product type in advertising literature. The use of big data and text analysis contributes from a methodological perspective to social media research. This study also provides practical and managerial implications for sellers and marketers on how to attract consumers to engage in videos and how to make data-driven decisions.</t>
  </si>
  <si>
    <t>[Xiao, Lin; Li, Xiaofeng] Nanjing Univ Aeronaut &amp; Astronaut, Coll Econ &amp; Management, Nanjing 211106, Peoples R China; [Zhang, Yucheng] Hebei Univ Technol, Sch Econ &amp; Management, Tianjin 300401, Peoples R China</t>
  </si>
  <si>
    <t>Nanjing University of Aeronautics &amp; Astronautics; Hebei University of Technology</t>
  </si>
  <si>
    <t>Zhang, YC (corresponding author), Hebei Univ Technol, Sch Econ &amp; Management, Tianjin 300401, Peoples R China.</t>
  </si>
  <si>
    <t>yucheng.eason.zhang@gmail.com</t>
  </si>
  <si>
    <t>li, xiaofeng/GXF-9442-2022</t>
  </si>
  <si>
    <t>Young Scientists Fund from Ministry of Education in China Project of Humanities and Social Sciences [20YJC630163]</t>
  </si>
  <si>
    <t>Young Scientists Fund from Ministry of Education in China Project of Humanities and Social Sciences</t>
  </si>
  <si>
    <t>Acknowledgements This work was partially supported by Young Scientists Fund from Ministry of Education in China Project of Humanities and Social Sciences [grant number 20YJC630163] .</t>
  </si>
  <si>
    <t>10.1016/j.jretconser.2022.103170</t>
  </si>
  <si>
    <t>9A6EB</t>
  </si>
  <si>
    <t>WOS:000934148200003</t>
  </si>
  <si>
    <t>Vizcaíno-Verdú, A; Aguaded, I; Ortega-Tudela, JM</t>
  </si>
  <si>
    <t>Vizcaino-Verdu, Arantxa; Aguaded, Ignacio; Ortega-Tudela, Juana M.</t>
  </si>
  <si>
    <t>No moral integrity: Influencer sharenting and parental protective perception</t>
  </si>
  <si>
    <t>sharenting; social media; parental mediation; digital children rights; micro-microcelebrity; online childhood</t>
  </si>
  <si>
    <t>TIME; CHILDHOODS; CHILDREN</t>
  </si>
  <si>
    <t>Sharenting has been analyzed from different perspectives, introducing insights into the risks and opportunities of presenting children's lives on social media. Researchers have addressed how this phenomenon impacts the lives of influencers, children, youth, and parents who engage in sharenting on YouTube, Instagram, and TikTok. From the perspective of sharenters, there is a common assumption that sharenting is not problematic, as they control and ensure the safety of children. However, some studies highlight the threats and consequences of this practice to the integrity of minors on the internet. In this paper, we analyze the perception of parents who are unfamiliar with the phenomenon of influencer sharenting on YouTube, Instagram, and TikTok, to understand their ethical concerns as seen from outside the communities of celebrity practices and their followers. Through a survey of 350 Ibero-American parents, we explored their opinions of this phenomenon, the reasons why they think influencers share their children's lives, the potential risks, and whether there is a correlation between their use of social media and sharenting. Parents argued that there was a lack of moral integrity among influencers, and emphasized the importance of protecting children to avoid transforming them into promotional assets. We conclude that beyond the privacy policies of these platforms, further research should address how the unique affordances of these platforms impact children's safety on the internet.</t>
  </si>
  <si>
    <t>[Vizcaino-Verdu, Arantxa] Univ Int Rioja, La Rioja, Spain; [Aguaded, Ignacio] Univ Huelva, Huelva, Spain; [Ortega-Tudela, Juana M.] Univ Jaen, Jaen, Spain</t>
  </si>
  <si>
    <t>Universidad Internacional de La Rioja (UNIR); Universidad de Huelva; Universidad de Jaen</t>
  </si>
  <si>
    <t>Vizcaíno-Verdú, A (corresponding author), Univ Int Rioja, La Rioja, Spain.</t>
  </si>
  <si>
    <t>arantxa.vizcaino@unir.net; aguaded@uhu.es; jmortega@ujaen.es</t>
  </si>
  <si>
    <t>Aguaded, Ignacio/R-4281-2016; Vizcaíno-Verdú, Arantxa/AGW-9688-2022; Ortega Tudela, Juana Maria/O-6596-2017; Vizcaino-Verdu, Arantxa/Q-4126-2018</t>
  </si>
  <si>
    <t>Ortega Tudela, Juana Maria/0000-0003-3649-3524; Vizcaino-Verdu, Arantxa/0000-0001-9399-2077</t>
  </si>
  <si>
    <t>10.5565/rev/analisi.3611</t>
  </si>
  <si>
    <t>WOS:001141862900003</t>
  </si>
  <si>
    <t>Winzer, E; Naderer, B; Klein, S; Lercher, L; Wakolbinger, M</t>
  </si>
  <si>
    <t>Winzer, Eva; Naderer, Brigitte; Klein, Simeon; Lercher, Leah; Wakolbinger, Maria</t>
  </si>
  <si>
    <t>Promotion of Food and Beverages by German-Speaking Influencers Popular with Adolescents on TikTok, YouTube and Instagram</t>
  </si>
  <si>
    <t>food cues; influencer food marketing; nutritionally poor food; adolescents</t>
  </si>
  <si>
    <t>CHILDREN; PRODUCTS</t>
  </si>
  <si>
    <t>The promotion of nutritionally poor food and beverages (F&amp;B) has a proven effect on children's eating preferences and, therefore, plays a significant role in today's childhood obesity epidemic. This study's objective was to assess the prevalence (exposure) and context (power) of the F&amp;B cues in influencer content across three platforms: TikTok, YouTube, and Instagram. The selected influencers were popular with adolescents, with a combined total of more than 34 million followers/subscribers. We employed the YouTube Influencer Marketing Protocol from the World Health Organization (WHO) as our basis for coding. We analysed a total of 360 videos/posts and, of these, 24% contained F&amp;B cues, which is equivalent to 18.1 F&amp;B cues/hour. In total, 77% of the cues were not permitted for children's advertising, according to WHO criteria, and this was stable across all platforms, with chocolate and sugary confectionery (23%) as the most frequently featured products. Not-permitted F&amp;B had a four-times higher chance of being branded, a five-times higher chance of being described positively, and received significantly more 'likes'. In 62% of the analysed presentations, the branded product was mentioned, yet only 6% of the content was labelled as advertising. The present analysis delivers further grounds for discussion for policies and regulations of influencer marketing.</t>
  </si>
  <si>
    <t>[Winzer, Eva; Klein, Simeon; Lercher, Leah; Wakolbinger, Maria] Med Univ Vienna, Ctr Publ Hlth, Dept Social &amp; Prevent Med, A-1090 Vienna, Austria; [Naderer, Brigitte] Ludwig Maximilians Univ Munchen, Dept Media &amp; Commun, D-80539 Munich, Germany</t>
  </si>
  <si>
    <t>Medical University of Vienna; University of Munich</t>
  </si>
  <si>
    <t>Winzer, E (corresponding author), Med Univ Vienna, Ctr Publ Hlth, Dept Social &amp; Prevent Med, A-1090 Vienna, Austria.</t>
  </si>
  <si>
    <t>eva.winzer@meduniwien.ac.at</t>
  </si>
  <si>
    <t>Winzer, Eva/ACA-6365-2022; Naderer, Brigitte/AAL-5842-2021</t>
  </si>
  <si>
    <t>Wakolbinger, Maria/0000-0002-1991-6700; Naderer, Brigitte/0000-0002-7256-7941; Winzer, Eva/0000-0002-5547-8517</t>
  </si>
  <si>
    <t>10.3390/ijerph191710911</t>
  </si>
  <si>
    <t>4J2BN</t>
  </si>
  <si>
    <t>WOS:000851074200001</t>
  </si>
  <si>
    <t>Anagnostou, M; Doberstein, B</t>
  </si>
  <si>
    <t>Anagnostou, Michelle; Doberstein, Brent</t>
  </si>
  <si>
    <t>Exotic pet trade in Canada: The influence of social media on public sentiment and behaviour</t>
  </si>
  <si>
    <t>JOURNAL FOR NATURE CONSERVATION</t>
  </si>
  <si>
    <t>Animal welfare; Conservation psychology; Exotic pets; Sentiment analysis; Social media; Wildlife trade</t>
  </si>
  <si>
    <t>ANIMAL-WELFARE; ATTITUDES; WILDLIFE; CONSERVATION</t>
  </si>
  <si>
    <t>The live trade in wild animals can increase the risk of escape of exotic animals, introduce invasive species, spread zoonotic diseases, over-exploit wild populations, and harm animal welfare. Trade in exotic pets is a particularly understudied issue in Canada. While Canadians generally have pro-environmental attitudes, it is unclear whether this extends to the trade in exotic animals. With most Canadians on social media, we aimed to use Natural Language Processing of social data to examine public sentiment towards exotic pet trade in Canada. We analysed 9,274 posts on Twitter (now 'X') about exotic pets between 2012 and 2022, and 150,236 comments from 2568 TikTok videos showing exotic pets from 50 unique Canadian accounts. We found that social media users demonstrate markedly positive attitudes towards the live trade in reptiles and amphibians, mammals, birds, and arachnids and insects, even on TikTok videos showing poor animal care and questionable legality. We propose a conceptual framework for how exotic pet influencers directly and indirectly contribute to increased demand for exotic pets through opinion leadership, sharing information on where to buy exotic pets, and normalising exotic pet ownership. We suggest that it is important to raise public awareness among social media users about the challenges associated with wildlife trade, including animal welfare considerations, and the links between exotic pet trade and conservation.</t>
  </si>
  <si>
    <t>[Anagnostou, Michelle; Doberstein, Brent] Univ Waterloo, CT2 7NR Waterloo, ON, Canada; [Anagnostou, Michelle] Univ Waterloo, Fac Environm, Geog &amp; Environm Management, Waterloo, ON, Canada</t>
  </si>
  <si>
    <t>University of Waterloo; University of Waterloo</t>
  </si>
  <si>
    <t>Anagnostou, M (corresponding author), Univ Waterloo, Fac Environm, Geog &amp; Environm Management, Waterloo, ON, Canada.</t>
  </si>
  <si>
    <t>managnos@uwaterloo.ca</t>
  </si>
  <si>
    <t>Anagnostou, Michelle/ABB-8624-2021</t>
  </si>
  <si>
    <t>ELSEVIER GMBH</t>
  </si>
  <si>
    <t>MUNICH</t>
  </si>
  <si>
    <t>HACKERBRUCKE 6, 80335 MUNICH, GERMANY</t>
  </si>
  <si>
    <t>1617-1381</t>
  </si>
  <si>
    <t>1618-1093</t>
  </si>
  <si>
    <t>J NAT CONSERV</t>
  </si>
  <si>
    <t>J. Nat. Conserv.</t>
  </si>
  <si>
    <t>10.1016/j.jnc.2023.126522</t>
  </si>
  <si>
    <t>DQ2S6</t>
  </si>
  <si>
    <t>WOS:001133464200001</t>
  </si>
  <si>
    <t>Giedinghagen, A</t>
  </si>
  <si>
    <t>Giedinghagen, Andrea</t>
  </si>
  <si>
    <t>The tic in TikTok and (where) all systems go: Mass social media induced illness and Munchausen's by internet as explanatory models for social media associated abnormal illness behavior</t>
  </si>
  <si>
    <t>Factitious disorder; internet; conversion disorder; social media; dissociative identity disorder; TikTok; Munchausen's by internet; mass social media induced illness</t>
  </si>
  <si>
    <t>FACTITIOUS DISORDER; COMMUNICATION; DISCLOSURE; NETWORK</t>
  </si>
  <si>
    <t>This paper explores the recent phenomenon of adolescents presenting en masse (both online and in clinical settings) with symptoms seemingly acquired from viewing illness-related content posted by social media influencers. The most frequently reproduced illnesses have included Dissociative Identity Disorder (DID) and Tourette Syndrome. It discusses evidence that the recent spate of new-onset, severe tics are a form of Mass Psychogenic Illness facilitated by social media networks (a phenomenon labeled Mass Social Media Induced Illness). It then suggests that many of those self-diagnosed with DID may be manifesting a similar, technologically-facilitated conversion phenomenon. It then explores another explanatory model: that these simulacra of DID and Tourette Syndrome may also arise via a mechanism more closely resembling social media facilitated Factitious Disorder. Similar presentations, of individuals falsifying cancer, have previously been labeled Munchausen's by Internet. It then proposes an overarching construct, Social Media Associated Abnormal Illness Behavior (SMAAIB), that is agnostic regarding phenomenology. Within this framework, it explores the ways in which de-commodifying attention, connection and care (measured once in appointments and admissions, now in 'likes' and 'shares') and obtaining a full picture of the patient's psychological, sociological and cultural grounding can offer deeper understanding and ultimately a path to wellness.</t>
  </si>
  <si>
    <t>[Giedinghagen, Andrea] Washington Univ, Sch Med, Dept Psychiat, Div Child &amp; Adolescent Psychiat, 660S Euclid Ave Campus, St Louis, MO 63110 USA</t>
  </si>
  <si>
    <t>Washington University (WUSTL)</t>
  </si>
  <si>
    <t>Giedinghagen, A (corresponding author), Washington Univ, Sch Med, Dept Psychiat, Div Child &amp; Adolescent Psychiat, 660S Euclid Ave Campus, St Louis, MO 63110 USA.</t>
  </si>
  <si>
    <t>giedinghagena@wustl.edu</t>
  </si>
  <si>
    <t>Giedinghagen, Andrea/0000-0001-6893-6364</t>
  </si>
  <si>
    <t>10.1177/13591045221098522</t>
  </si>
  <si>
    <t>WOS:000798387200001</t>
  </si>
  <si>
    <t>Larsson, G; Willander, E</t>
  </si>
  <si>
    <t>Larsson, Goran; Willander, Erika</t>
  </si>
  <si>
    <t>Muslims and social media: A scoping review</t>
  </si>
  <si>
    <t>Muslims; social media; scoping review; Facebook; Twitter (tweets); YouTube; Instagram; TikTok; Snapchat and Telegram; Islamic Online Environment</t>
  </si>
  <si>
    <t>RELIGION</t>
  </si>
  <si>
    <t>As Muslim individuals, communities, and institutions have been transformed by the digital revolution, a literature has developed that seeks to contribute knowledge about these changes. Pioneering studies in this field suggest that this literature has a focus on digital documents. This scoping literature review aims to find out whether this focus is still valid. Therefore, we examine all studies on Muslims and social media that can be retrieved from the databases Scopus, Web of Science, Index Islamicus and Atla Religion Database between 2010 and 2022, using the following keywords: Facebook; Twitter (tweets); YouTube; Instagram; TikTok; Snapchat; and Telegram (n = 359). Our findings show that interest in studying Muslims on social media has grown significantly in recent decades and that most studies have focused on non-conflictual use of social media. Most of the studies are corpus studies, i.e. big data, data scraping, or descriptive analysis of websites, Twitter accounts, or Facebook pages (82 percent). Thus, this literature review shows that the study of Islam, Muslims, and Islamic online environments is flourishing in various fields of scholarship. However, the strong focus on descriptive documentary studies should be complemented by more studies that collect new empirical data through interviews, surveys, and mixed methods. It is only by engaging with the users of these services that we can answer when, what, and why individuals do or do not do something on social media.</t>
  </si>
  <si>
    <t>[Larsson, Goran] Univ Gothenburg, Dept Literature Hist Ideas &amp; Relig, Gothenburg, Sweden; [Willander, Erika] Umea Univ, Dept Sociol, Umea, Sweden</t>
  </si>
  <si>
    <t>University of Gothenburg; Umea University</t>
  </si>
  <si>
    <t>Larsson, G (corresponding author), Univ Gothenburg, Dept Literature Hist Ideas &amp; Relig, Gothenburg, Sweden.</t>
  </si>
  <si>
    <t>goran.larsson@lir.gu.se; Erika.willander@umu.se</t>
  </si>
  <si>
    <t>Forte, Sweden, CHANSE ERA-NET [101004509]</t>
  </si>
  <si>
    <t>Forte, Sweden, CHANSE ERA-NET</t>
  </si>
  <si>
    <t>This work was supported by Forte, Sweden, CHANSE ERA-NET [grant number 101004509].</t>
  </si>
  <si>
    <t>10.1080/1369118X.2024.2379835</t>
  </si>
  <si>
    <t>ZN7O9</t>
  </si>
  <si>
    <t>WOS:001276046000001</t>
  </si>
  <si>
    <t>Durovic, M; Poon, J</t>
  </si>
  <si>
    <t>Durovic, M.; Poon, J.</t>
  </si>
  <si>
    <t>Consumer Vulnerability, Digital Fairness, and the European Rules on Unfair Contract Terms: What Can Be Learnt from the Case Law Against TikTok and Meta?</t>
  </si>
  <si>
    <t>Contracts terms; Digital market; European Union; consumer</t>
  </si>
  <si>
    <t>Directive 1993/13/EEC on unfair contract terms (UCTD) is one of the oldest pieces of European consumer legislation, formulated before the development of the Internet as the leading marketplace, and still in force, with no major changes since its adoption. As the most significant piece of consumer legislation not substantially amended following the consumer law Fitness Check that resulted in the adoption of Directive 2019/2161/EU, it is questionable whether the UCTD remains fit for purpose in regulating the terms and conditions in the user agreements and policies of social media platforms to address the existence of the social platform related digital vulnerabilities of consumers. This paper assesses the potential and limits of data-based reforms to the UCTD, in procedural notification requirements and substantive unfair terms controls, before demonstrating how the UCTD could be brought up-to-date while preserving commercial certainty and avoiding dramatic changes. This could be done simply by mandating measures that are already being taken, either by social media platforms themselves or by other major tech companies, and by elaborating existing requirements with standards that are analogous to other already-existing consumer rights. The assessment of the real unfair-terms problems highlighted by regulatory actions around the world against two major traders, TikTok and Meta (including Facebook and WhatsApp), may illustrate well the inadequacies in the minimum protections currently afforded by the UCTD.</t>
  </si>
  <si>
    <t>[Durovic, M.; Poon, J.] Kings Coll London, London, England</t>
  </si>
  <si>
    <t>University of London; King's College London</t>
  </si>
  <si>
    <t>Durovic, M (corresponding author), Kings Coll London, London, England.</t>
  </si>
  <si>
    <t>Mateja.durovic@kcl.ac.uk; Joseph.poon@kcl.ac.uk</t>
  </si>
  <si>
    <t>Durovic, Mateja/JMQ-6950-2023</t>
  </si>
  <si>
    <t>Durovic, Mateja/0000-0002-9073-0685</t>
  </si>
  <si>
    <t>10.1007/s10603-023-09546-7</t>
  </si>
  <si>
    <t>CR1M4</t>
  </si>
  <si>
    <t>WOS:001046622000001</t>
  </si>
  <si>
    <t>Wedel, L; Ohme, J; Araujo, T</t>
  </si>
  <si>
    <t>Wedel, Lion; Ohme, Jakob; Araujo, Theo</t>
  </si>
  <si>
    <t>Augmenting Data Download Packages - Integrating Data Donations, Video Metadata, and the Multimodal Nature of Audio-visual Content</t>
  </si>
  <si>
    <t>METHODS DATA ANALYSES</t>
  </si>
  <si>
    <t>data download packages; augmentation; multimodality; TikTok; vertical videos; classification</t>
  </si>
  <si>
    <t>This research explores the potential of augmented Data Download Packages (aDDPs) as a novel approach to analyze digital trace data, using TikTok as a use case to demonstrate the broader applicability of the method. The study demonstrates how these data packages can be used in social science research to understand better user behavior, content consumption patterns, and the relationship between self-reported preferences and actual digital behavior. We introduce the concept of aDDPs, which extend the conventional Data Download Packages (DDPs) by augmenting the collected data with survey data, metadata, content data, and multimodal content embeddings, among other possibilities- rendering aDDPs an unprecedentedly rich data source for social science research. This work provides an overview and guidance on collecting, augmenting DDPs, and analyzing the resulting aDDPs. In a pilot study on 18 aDDPs, we use the combination of data components in aDDPs to facilitate research on user engagement behavior and content classification. We showcase the potential of the information breadth and depth that aDDPs depict by exploiting the combination of multimodal content embeddings, the users' watch history, and survey data. To do so, we train and compare uni- and multimodal classifiers, classify the 18 aDDPs' videos, and investigate the extent to which user engagement behavior impacts future content suggestions. Furthermore, we compare the users retrieved content with the users' self-reported content consumption.</t>
  </si>
  <si>
    <t>[Wedel, Lion; Ohme, Jakob] Weizenbaum Inst Networked Soc, Berlin, Germany; [Araujo, Theo] Amsterdam Sch Commun Res, Amsterdam, Netherlands</t>
  </si>
  <si>
    <t>University of Amsterdam</t>
  </si>
  <si>
    <t>Wedel, L (corresponding author), Weizenbaum Inst Networked Soc, Berlin, Germany.</t>
  </si>
  <si>
    <t>lion.wedel@weizenbaum-institut.de</t>
  </si>
  <si>
    <t>Ohme, Jakob/GLS-1185-2022; Wedel, Lion/KXR-3746-2024; Araujo, Theo/AFF-4595-2022</t>
  </si>
  <si>
    <t>Araujo, Theo/0000-0002-4633-9339</t>
  </si>
  <si>
    <t>GESIS LEIBNIZ INST SOCIAL SCIENCES</t>
  </si>
  <si>
    <t>COLOGNE</t>
  </si>
  <si>
    <t>UNTER SACHSENHAUSEN 6-8, COLOGNE, D-50667, GERMANY</t>
  </si>
  <si>
    <t>1864-6956</t>
  </si>
  <si>
    <t>2190-4936</t>
  </si>
  <si>
    <t>METHODS DATA ANAL</t>
  </si>
  <si>
    <t>Methods Data Anal.</t>
  </si>
  <si>
    <t>2024 OCT 15</t>
  </si>
  <si>
    <t>10.12758/mda.2024.08</t>
  </si>
  <si>
    <t>Social Sciences, Mathematical Methods</t>
  </si>
  <si>
    <t>Mathematical Methods In Social Sciences</t>
  </si>
  <si>
    <t>K0Y8T</t>
  </si>
  <si>
    <t>WOS:001341237700001</t>
  </si>
  <si>
    <t>Ramallal, PM; Belda, JPM</t>
  </si>
  <si>
    <t>Martin Ramallal, P.; Micaletto Belda, J. P.</t>
  </si>
  <si>
    <t>Tiktok, gen z symbiotic network for augmented reality and immersive advergaming</t>
  </si>
  <si>
    <t>expanded advertising; augmented reality; transmedia; advertainment; advergaming</t>
  </si>
  <si>
    <t>The incessant changes in the modes of interrelation arising from ICT (Information and Communication Technologies) bring avant-garde ways of communicating, especially among the new generations. Social networks seem to have become the agora of postmodernity and any discourse that aspires to consolidate itself must adapt to them. Mixed realities (MRe), exemplified by virtual reality (VR) and augmented reality (AR) do not escape this axiomatic truth. The main networks natively integrate AR filters as layers of enriched information. Advertisers, eager to reach an elusive audience, have realized its storytelling potential. The objective is to test the compatibility of AR as a resource for advertising campaigns in RRSS supported by advergames with a transmedia strategy. The methodology is based on a triangulation whose vertices comprise a case study, a discourse analysis and a focus group (FG). The results derive from the analysis of two emblematic actions embedded in TikTok, a social network of exponential growth among the generation z. The campaigns under review are WeStart by Ma French Bank's and You're On by Ray Ban's. A series of reflections are brought to discussion regarding the advantages and peculiarities of integrating these strategies as an advertising story. As general conclusions, generation z seems to be called to adopt immersion as something proper to their social modes and cybercultural iconography, including this premise to transmedia advertising. In addition, AR advergames in social media find in transmedia a catalyst to reach their maximum performance.</t>
  </si>
  <si>
    <t>[Martin Ramallal, P.] Univ Pablo Olavide, Ctr Univ San Isidoro, Realidad Aumentada Diseno Web Diseno Graf &amp; Tipog, Seville, Spain; [Micaletto Belda, J. P.] Univ Pablo Olavide, Ctr Univ San Isidoro, Asignaturas Fundamentos Comunicac Persuas Mkt Teo, Seville, Spain</t>
  </si>
  <si>
    <t>Universidad Pablo de Olavide; Universidad Pablo de Olavide</t>
  </si>
  <si>
    <t>Ramallal, PM (corresponding author), Univ Pablo Olavide, Ctr Univ San Isidoro, Realidad Aumentada Diseno Web Diseno Graf &amp; Tipog, Seville, Spain.</t>
  </si>
  <si>
    <t>pmartin@centrosanisidoro.es; jmicaletto@centrosanisidoro.es</t>
  </si>
  <si>
    <t>Micaletto-Belda, Juan Pablo/0000-0002-5424-6968; Martin Ramallal, Pablo/0000-0003-3055-7312</t>
  </si>
  <si>
    <t>10.26441/RC20.2-2021-A12</t>
  </si>
  <si>
    <t>ZA5PL</t>
  </si>
  <si>
    <t>WOS:000756215400014</t>
  </si>
  <si>
    <t>Onuoha, AC; Matsuzaka, S; Stanton, AG; Volpe, VV; Avery, LR</t>
  </si>
  <si>
    <t>Onuoha, Alexandria C.; Matsuzaka, Sara; Stanton, Alexis G.; Volpe, Vanessa V.; Avery, Lanice R.</t>
  </si>
  <si>
    <t>Young Black American Women's Social Media Use and Online Victimization</t>
  </si>
  <si>
    <t>Black women; social media use; online victimization</t>
  </si>
  <si>
    <t>MENTAL-HEALTH; VALIDATION</t>
  </si>
  <si>
    <t>Despite young Black women's high rates of social media use and risks for victimization at the nexus of sexism and racism, the relationship between these variables remains under researched in this segment. We surveyed 354 Black American women aged 18-30 to explore the associations between two aspects of social media use-time spent daily on social media platforms (i.e., Facebook, Instagram, Snapchat, TikTok, Tumblr, Twitter, and YouTube) and type of social media engagement (i.e., active social use, active non-social use, and passive use)-with four different types of online victimization (i.e., general online victimization [GOV], online sexual victimization [OSV], online individual racial victimization [OIRV], and online vicarious racial victimization [OVRV]). Results indicate that more time spent daily on Tumblr was significantly associated with more experiences of GOV, OSV, and OIRV. More time spent daily on Instagram was significantly associated with more experiences of OVRV, while more time spent daily on Facebook was significantly associated with fewer experiences of OVRV. Active non-social use was significantly associated with more experiences of GOV and OIRV. Snapchat, TikTok, Twitter, and YouTube use, active social use, and passive use were not significantly associated with any categories of online victimization. We provide implications for researchers as well as mental and behavioral health practitioners seeking to enhance Black women's safety and well-being on social media platforms.</t>
  </si>
  <si>
    <t>[Onuoha, Alexandria C.] Suffolk Univ, Boston, MA USA; [Matsuzaka, Sara] Montclair State Univ, Dept Social Work &amp; Child Advocacy, Montclair, NJ USA; [Stanton, Alexis G.] Univ Virginia, Community Psychol Program, Charlottesville, VA USA; [Avery, Lanice R.] Univ Virginia, Psychol &amp; Women Gender &amp; Sexual Studies, Charlottesville, VA USA; [Volpe, Vanessa V.] North Carolina State Univ, Psychol, Raleigh, NC USA</t>
  </si>
  <si>
    <t>Suffolk University; Montclair State University; University of Virginia; University of Virginia; North Carolina State University</t>
  </si>
  <si>
    <t>Onuoha, AC (corresponding author), Suffolk Univ, Psychol Dept, 73 Tremont St, Boston, MA 02108 USA.</t>
  </si>
  <si>
    <t>aonuoha@su.suffolk.edu</t>
  </si>
  <si>
    <t>Onuoha, Alexandria/0000-0002-8386-2014</t>
  </si>
  <si>
    <t>10.1177/20563051241277607</t>
  </si>
  <si>
    <t>H6X3O</t>
  </si>
  <si>
    <t>WOS:001324847200001</t>
  </si>
  <si>
    <t>Cohen, B; McCulloh, I</t>
  </si>
  <si>
    <t>Prakash, BA; Wang, D; Weninger, T</t>
  </si>
  <si>
    <t>Cohen, Ben; McCulloh, Ian</t>
  </si>
  <si>
    <t>Fragile Minds: Exploring the Link Between Social Media and Young Adult Mental Health</t>
  </si>
  <si>
    <t>PROCEEDINGS OF THE 2023 IEEE/ACM INTERNATIONAL CONFERENCE ON ADVANCES IN SOCIAL NETWORKS ANALYSIS AND MINING, ASONAM 2023</t>
  </si>
  <si>
    <t>15th IEEE/ACM Annual International Conference on Advances in Social Networks Analysis and Mining (ASONAM)</t>
  </si>
  <si>
    <t>NOV 06-09, 2023</t>
  </si>
  <si>
    <t>Kusadasi, TURKEY</t>
  </si>
  <si>
    <t>IEEE,Assoc Comp Machinery,IEEE Comp Soc,ACM SIGKDD,IEEE ICDE,Springer,Istanbul Medipol Univ</t>
  </si>
  <si>
    <t>social media; mental health; TikTok; Instagram; YouTube; loneliness; personality</t>
  </si>
  <si>
    <t>SLEEP QUALITY; VALIDITY</t>
  </si>
  <si>
    <t>The well documented mental health crisis among preteens and teenagers worldwide is often believed to be inter-twined with the increasing ubiquity of social media services, a belief borne out by numerous findings in the literature. However, the literature has not kept pace with recent developments in the social-media sphere, such as the rise of TikTok and the decision by Instagram to pivot to video. This paper aims to help alleviate this deficiency, examining whether a correlation exists between college students' social media usage and mental health concerns. Using a random sample of 254 undergraduate college students at a mid-Atlantic university, we find (as evidenced by Spearman's rank correlation coefficients) that while there is a correlation between fear of missing out (FoMO) and social media use, the correlation is not strong, suggesting that social media use alone cannot explain observed mental health outcomes. We support previous literature regarding correlations between personality and social media use and extend it with additional measures of use to include FoMO and loneliness. We find that loneliness is weekly and inversely correlated with Instagram and Snapchat use and personality traits moderate use. We speculate that the shift in social media from peer-to-peer text to short video may be driving divergence from previous findings in the literature, lessening risk, but suggesting that additional research is needed to confirm our conclusions.</t>
  </si>
  <si>
    <t>[Cohen, Ben] Johns Hopkins Univ, Whiting Sch Engn, Baltimore, MD 21205 USA; [McCulloh, Ian] Johns Hopkins Univ, Brain Rise Fdn, Orlando, FL USA</t>
  </si>
  <si>
    <t>Johns Hopkins University; Johns Hopkins University</t>
  </si>
  <si>
    <t>Cohen, B (corresponding author), Johns Hopkins Univ, Whiting Sch Engn, Baltimore, MD 21205 USA.</t>
  </si>
  <si>
    <t>bcohen49@jhu.edu</t>
  </si>
  <si>
    <t>McCulloh, Ian/0000-0003-2916-3914; Cohen, Ben/0000-0002-3071-1896</t>
  </si>
  <si>
    <t>979-8-4007-0409-3</t>
  </si>
  <si>
    <t>10.1145/3625007.3627490</t>
  </si>
  <si>
    <t>BW7KE</t>
  </si>
  <si>
    <t>WOS:001191293500077</t>
  </si>
  <si>
    <t>Hunt, MG; Xu, E; Fogelson, A; Rubens, J</t>
  </si>
  <si>
    <t>Hunt, Melissa G.; Xu, Elisa; Fogelson, Alissa; Rubens, Julia</t>
  </si>
  <si>
    <t>FOLLOW FRIENDS ONE HOUR A DAY: LIMITING TIME ON SOCIAL MEDIA AND MUTING STRANGERS IMPROVES WELL-BEING</t>
  </si>
  <si>
    <t>JOURNAL OF SOCIAL AND CLINICAL PSYCHOLOGY</t>
  </si>
  <si>
    <t>social media; depression; Instagram; well-being; fear of missing out; social comparison</t>
  </si>
  <si>
    <t>DEPRESSIVE SYMPTOMS; FACEBOOK USAGE; INSTAGRAM USE; SCALE; INTERVENTION; ASSOCIATIONS; LONELINESS; VALIDITY; IMAGES; FOMO</t>
  </si>
  <si>
    <t>Introduction: Social media use is ubiquitous among young adults, and empirical research is increasingly suggesting that how it is used and how much time is spent using it have significant implications for psychological well-being and mental health. Most recent studies find that limiting but not eliminating social media has beneficial effects. Correlational findings suggest that following actual friends is beneficial, while following strangers can be harmful. Method: This study sought to test the impact of limiting time spent on social media as well as muting strangers on Instagram and eliminating TikTok use in an experimental paradigm. Results: Replicating prior studies, we found that limiting social media use to 60 minutes per day (versus unlimited use) led to reductions in depression, F(1,96) = 5.84, p =.018, for the most depressed participants. Moreover, limiting stranger content (by muting strangers on Instagram and eliminating TikTok use), in addition to limiting time, led to significant reductions in fear of missing out, F(2,138) = 4.806, p =.01, for the most depressed participants and to significant reductions in social comparison, F(2,138) = 4.367, p =.015. Discussion: In conclusion, it is not just how much time one spends on social media that matters to well-being, but how one uses that time and who one is interacting with.</t>
  </si>
  <si>
    <t>[Hunt, Melissa G.; Xu, Elisa; Fogelson, Alissa; Rubens, Julia] Univ Penn, Philadelphia, PA USA</t>
  </si>
  <si>
    <t>Hunt, MG (corresponding author), Univ Penn, Dept Psychol, 425 S Univ Ave, Philadelphia, PA 19104 USA.</t>
  </si>
  <si>
    <t>mhunt@psych.upenn.edu</t>
  </si>
  <si>
    <t>GUILFORD PUBLICATIONS INC</t>
  </si>
  <si>
    <t>370 SEVENTH AVE, SUITE 1200, NEW YORK, NY 10001-1020 USA</t>
  </si>
  <si>
    <t>0736-7236</t>
  </si>
  <si>
    <t>J SOC CLIN PSYCHOL</t>
  </si>
  <si>
    <t>J. Soc. Clin. Psychol.</t>
  </si>
  <si>
    <t>10.1521/jscp.2023.42.3.187</t>
  </si>
  <si>
    <t>Psychology, Clinical; Psychology, Social</t>
  </si>
  <si>
    <t>I6UQ9</t>
  </si>
  <si>
    <t>WOS:001004120300001</t>
  </si>
  <si>
    <t>Chen, XL; Qu, QX; Wei, CX; Chen, SD</t>
  </si>
  <si>
    <t>Chen, Xiaolin; Qu, Qixing; Wei, Chengxi; Chen, Shudong</t>
  </si>
  <si>
    <t>Cross-Domain Transfer Learning Prediction of COVID-19 Popular Topics Based on Knowledge Graph</t>
  </si>
  <si>
    <t>FUTURE INTERNET</t>
  </si>
  <si>
    <t>transfer learning; cross-domain prediction; COVID-19; popular topics; knowledge graph</t>
  </si>
  <si>
    <t>MODELS</t>
  </si>
  <si>
    <t>The significance of research on public opinion monitoring of social network emergencies is becoming increasingly important. As a platform for users to communicate and share information online, social networks are often the source of public opinion about emergencies. Considering the relevance and transmissibility of the same event in different social networks, this paper takes the COVID-19 outbreak as the background and selects the platforms Weibo and TikTok as the research objects. In this paper, first, we use the transfer learning model to apply the knowledge obtained in the source domain of Weibo to the target domain of TikTok. From the perspective of text information, we propose an improved TC-LDA model to measure the similarity between the two domains, including temporal similarity and conceptual similarity, which effectively improves the learning effect of instance transfer and makes up for the problem of insufficient sample data in the target domain. Then, based on the results of transfer learning, we use the improved single-pass incremental clustering algorithm to discover and filter popular topics in streaming data of social networks. Finally, we build a topic knowledge graph using the Neo4j graph database and conduct experiments to predict the evolution of popular topics in new emergencies. Our research results can provide a reference for public opinion monitoring and early warning of emergencies in government departments.</t>
  </si>
  <si>
    <t>[Chen, Xiaolin; Chen, Shudong] Chinese Acad Sci, Inst Microelect, Beijing 100029, Peoples R China; [Qu, Qixing] Univ Int Business &amp; Econ, Sch Informat, 10 Huixin East St, Beijing 100029, Peoples R China; [Wei, Chengxi] Guangxi Univ Nationalities, Xiangsihu Coll, Nanning 530031, Peoples R China; [Chen, Shudong] Univ Chinese Acad Sci, Sch Microelect, Beijing 100049, Peoples R China</t>
  </si>
  <si>
    <t>Chinese Academy of Sciences; Institute of Microelectronics, CAS; University of International Business &amp; Economics; Guangxi Minzu University; Chinese Academy of Sciences; University of Chinese Academy of Sciences, CAS</t>
  </si>
  <si>
    <t>Qu, QX (corresponding author), Univ Int Business &amp; Econ, Sch Informat, 10 Huixin East St, Beijing 100029, Peoples R China.</t>
  </si>
  <si>
    <t>chenxiaolin@ime.ac.cn; qqxing@uibe.edu.cn; cxwei0815@gmail.com; chenshudong@ime.ac.cn</t>
  </si>
  <si>
    <t>qu, qixing/0000-0002-6565-9792; Chen, Xiaolin/0000-0002-8790-4891</t>
  </si>
  <si>
    <t>National Natural Science Foundation of China [71801047]; Beijing Philosophy and Social Sciences Planning Project [17GLC052]; Fundamental Research Funds for the Central Universities in UIBE [CXTD12-04]; Foundation of Key Laboratory of Trustworthy Distributed Computing and Service (BUPT), Ministry of Education; UIBE Distinguished Young Scholars Project of UIBE</t>
  </si>
  <si>
    <t>National Natural Science Foundation of China(National Natural Science Foundation of China (NSFC)); Beijing Philosophy and Social Sciences Planning Project; Fundamental Research Funds for the Central Universities in UIBE; Foundation of Key Laboratory of Trustworthy Distributed Computing and Service (BUPT), Ministry of Education; UIBE Distinguished Young Scholars Project of UIBE</t>
  </si>
  <si>
    <t>This research was funded by the National Natural Science Foundation of China (No. 71801047); Beijing Philosophy and Social Sciences Planning Project (No. 17GLC052); Fundamental Research Funds for the Central Universities in UIBE (CXTD12-04); The Foundation of Key Laboratory of Trustworthy Distributed Computing and Service (BUPT), Ministry of Education; UIBE Distinguished Young Scholars Project of UIBE.</t>
  </si>
  <si>
    <t>1999-5903</t>
  </si>
  <si>
    <t>Future Internet</t>
  </si>
  <si>
    <t>10.3390/fi14040103</t>
  </si>
  <si>
    <t>0R0AA</t>
  </si>
  <si>
    <t>WOS:000785268400001</t>
  </si>
  <si>
    <t>Zhang, C; Zheng, HMX; Wang, Q</t>
  </si>
  <si>
    <t>Zhang, Cevin; Zheng, Hemingxi; Wang, Qing</t>
  </si>
  <si>
    <t>Driving Factors and Moderating Effects Behind Citizen Engagement With Mobile Short-Form Videos</t>
  </si>
  <si>
    <t>IEEE ACCESS</t>
  </si>
  <si>
    <t>Videos; Social networking (online); Entertainment industry; Media; Licenses; User experience; Urban areas; Consumer behavior; entertainment industry; mobile applications; user experience</t>
  </si>
  <si>
    <t>MUSIC; MEDIA; FACEBOOK; STRATEGY; TIKTOK; SHARE</t>
  </si>
  <si>
    <t>Mobile short-form video entertainment enables mainstream public sites to expedite the dissemination of essential information, increase transparency, and maintain trust among decision-making bodies. In view of these benefits, it is necessary to understand the mechanism of citizen engagement with short-form videos using social media almetrics. The purpose of this study is to delineate the driving factors and moderating effects of large-scale interactive participation in TikTok's public accounts committed to sustainable poverty alleviation, a grand challenge that spreads quickly on the official agenda. Specifically, this study estimates negative binomial models based on the complete set of videos, released between 2018 August (the earliest publication date available) and September 2021, in poverty-striken provinces. The results show that appropriate combinations of common themes, music genres, and sentiment can strengthen the involvement and awareness of short-form video entertainment. It serves as convincing proof that 1) content related to human resource development and public policies stimulated the highest level of citizen engagement, and it exceeded all other categories by a large margin; 2) sentiment's moderating roles could be partially confirmed across the common themes and music genres; and 3) while being moderated, popular and epic music could either arise or weaken citizen engagement under the topical series, but the benefits of containing these genres were not limited to performance.</t>
  </si>
  <si>
    <t>[Zhang, Cevin; Wang, Qing] Beijing Technol &amp; Business Univ, Sch Media &amp; Design, Beijing 102488, Peoples R China; [Zhang, Cevin] Kungliga Tekniska Hogskolan, Avdelningen Halsoinformat &amp; Logist, S-14156 Stockholm, Sweden; [Zheng, Hemingxi] City Univ Macau, Sch Humanities &amp; Social Sci, Macau, Macao, Peoples R China</t>
  </si>
  <si>
    <t>Beijing Technology &amp; Business University; Royal Institute of Technology; City University of Macau</t>
  </si>
  <si>
    <t>Wang, Q (corresponding author), Beijing Technol &amp; Business Univ, Sch Media &amp; Design, Beijing 102488, Peoples R China.</t>
  </si>
  <si>
    <t>susana_wang@sina.com</t>
  </si>
  <si>
    <t>Zheng, Hemingxi/LNR-6998-2024; Zhang, Cevin/GRE-8121-2022</t>
  </si>
  <si>
    <t>Zheng, Hemingxi/0000-0002-0446-0093</t>
  </si>
  <si>
    <t>Kungliga Tekniska Hogskolan (KTH)-China Scholarship Council (CSC) [201600160048]; Chinese Ministry of Education [19YJAZH092]</t>
  </si>
  <si>
    <t>Kungliga Tekniska Hogskolan (KTH)-China Scholarship Council (CSC); Chinese Ministry of Education(Ministry of Education, China)</t>
  </si>
  <si>
    <t>This work was supported in part by Kungliga Tekniska Hogskolan (KTH)-China Scholarship Council (CSC) under Grant 201600160048, and in part by the Chinese Ministry of Education under Grant 19YJAZH092.</t>
  </si>
  <si>
    <t>IEEE-INST ELECTRICAL ELECTRONICS ENGINEERS INC</t>
  </si>
  <si>
    <t>445 HOES LANE, PISCATAWAY, NJ 08855-4141 USA</t>
  </si>
  <si>
    <t>2169-3536</t>
  </si>
  <si>
    <t>IEEE Access</t>
  </si>
  <si>
    <t>10.1109/ACCESS.2022.3167687</t>
  </si>
  <si>
    <t>Computer Science, Information Systems; Engineering, Electrical &amp; Electronic; Telecommunications</t>
  </si>
  <si>
    <t>Computer Science; Engineering; Telecommunications</t>
  </si>
  <si>
    <t>0W3XT</t>
  </si>
  <si>
    <t>WOS:000788964600001</t>
  </si>
  <si>
    <t>Ringrose, J; Milne, B; Horeck, T; Mendes, K</t>
  </si>
  <si>
    <t>Ringrose, Jessica; Milne, Betsy; Horeck, Tanya; Mendes, Kaitlynn</t>
  </si>
  <si>
    <t>Postdigital Bodies: Young People's Experiences of Algorithmic, Tech-Facilitated Body Shaming and Image-Based Sexual Abuse during and after the COVID-19 Pandemic in England</t>
  </si>
  <si>
    <t>YOUTH</t>
  </si>
  <si>
    <t>social media; TikTok; Instagram; gender; algorithms; masculinities; femininities; LGBTQ plus</t>
  </si>
  <si>
    <t>SOCIAL MEDIA; GIRL; GENDER</t>
  </si>
  <si>
    <t>In this paper, we draw upon a study exploring how COVID-19 and social isolation impacted young people's (aged 13-18) experiences of online sexual and gendered risks and harms in England during nationwide lockdowns and upon their return to school. We explore the complexities, tensions and ambiguities in youth navigating algorithmised feeds on social media apps such as TikTok and content featuring idealised cis-gendered, heterosexualised feminine and masculine embodiment. Young people repeatedly witness hateful and abusive comments that are algorithmically boosted. We argue that this toxic content normalises online hate in the form of body shaming and sexual shaming, developing the concept of the postdigital to analyse the offline, affective, embodied and material dimensions of online harm, harassment and abuse. We also explore young people's direct experiences of receiving harmful comments, including girls' and gender and sexuality-diverse youth's experiences of body and sexual shaming, as well as boys' experiences of fat shaming; which, in many instances, we argue must be classified as forms of image-based abuse. Using our postdigital lens, we argue that the ways heteronormative, cis-gendered masculine and feminine embodiment are policed online shapes behaviour and norms in young people's everyday lives, including in and around school, and that better understanding and support around these issues is urgently needed.</t>
  </si>
  <si>
    <t>[Ringrose, Jessica] UCLs Fac Educ &amp; Soc, IOE, London WC1H 0AL, England; [Milne, Betsy] UCL, Ctr Multidisciplinary &amp; Intercultural Inquiry, London WC1H 0AL, England; [Horeck, Tanya] Anglia Ruskin Univ, Fac Arts Humanities &amp; Social Sci, Cambridge CB1 1PT, England; [Mendes, Kaitlynn] Western Univ, Dept Sociol, London, ON N6A 3K7, Canada</t>
  </si>
  <si>
    <t>University of London; University College London; University of London; University College London; Anglia Ruskin University; Western University (University of Western Ontario)</t>
  </si>
  <si>
    <t>Ringrose, J (corresponding author), UCLs Fac Educ &amp; Soc, IOE, London WC1H 0AL, England.</t>
  </si>
  <si>
    <t>j.ringrose@ucl.ac.uk; elizabeth.milne.22@ucl.ac.uk; tanya.horeck@aru.ac.uk; kaitlynn.mendes@uwo.ca</t>
  </si>
  <si>
    <t>Horeck, Tanya/ABD-2253-2021; Ringrose, Jessica/F-6857-2019</t>
  </si>
  <si>
    <t>Horeck, Tanya/0000-0001-9147-7469; Ringrose, Jessica/0000-0002-5647-290X</t>
  </si>
  <si>
    <t>Combatting gendered, sexual risks and harms online during COVID-19: Developing resources for young people, parents and schools [AHRC AH/W000423/1]; Combatting gendered, sexual risks and harms online during COVID-19</t>
  </si>
  <si>
    <t>Combatting gendered, sexual risks and harms online during COVID-19: Developing resources for young people, parents and schools; Combatting gendered, sexual risks and harms online during COVID-19</t>
  </si>
  <si>
    <t>Financial support for the conduct of this research was provided by the following research grant: Combatting gendered, sexual risks and harms online during COVID-19: Developing resources for young people, parents and schools. UKRI COVID-19 Rapid Response Calls. Reference AHRC AH/W000423/1.</t>
  </si>
  <si>
    <t>2673-995X</t>
  </si>
  <si>
    <t>YOUTH-BASEL</t>
  </si>
  <si>
    <t>Youth</t>
  </si>
  <si>
    <t>10.3390/youth4030066</t>
  </si>
  <si>
    <t>Family Studies; Social Sciences, Interdisciplinary</t>
  </si>
  <si>
    <t>Family Studies; Social Sciences - Other Topics</t>
  </si>
  <si>
    <t>J6R0M</t>
  </si>
  <si>
    <t>WOS:001338306900001</t>
  </si>
  <si>
    <t>Li, XH; Qiu, ZP; Jiang, JC; Zhang, Y; Xing, CX; Wu, XA</t>
  </si>
  <si>
    <t>Li, Xinhang; Qiu, Zhaopeng; Jiang, Jiacheng; Zhang, Yong; Xing, Chunxiao; Wu, Xian</t>
  </si>
  <si>
    <t>Conditional Cross-Platform User Engagement Prediction</t>
  </si>
  <si>
    <t>ACM TRANSACTIONS ON INFORMATION SYSTEMS</t>
  </si>
  <si>
    <t>Conditional user engagement prediction; cross-platform recommendation; feature disentanglement</t>
  </si>
  <si>
    <t>The bursting of media sharing platforms like TikTok, YouTube, and Kwai enables normal users to create and share content with worldwide audiences. The most popular YouTuber can attract up to 100 million followers. Since there are multiple popular platforms, it's quite common that a YouTuber publishes the same media to multiple platforms, or replicates all media from one platform to another. However, the users of different platforms have different tastes. The media that is popular on one platform may not be a great vogue on other platforms. Observing such cross-platform variance, we propose a new task: estimating the user engagement score of a media on one platform given its popularity on other platforms. This task can benefit both the YouTubers and the platform. On one hand, YouTubers can use the predicted engagement to guide the media reworking; on the other hand, the platform can use the predicted engagement to establish promotion and advertising plans. Therefore, this task is of great practical value. To tackle this task, we propose a disentangled neural network that can separate the general media adorability from platform inclinations. In this manner, by substituting the inclination from the source platform to the target platform, we are able to predict the user engagement in the target platform. To validate the proposed model, we manage to build a dataset of micro-videos which are published on four platforms TikTok, Kwai, Bilibili, and WESEE. The experimental results prove the effectiveness of the proposed model.</t>
  </si>
  <si>
    <t>[Li, Xinhang; Zhang, Yong; Xing, Chunxiao] Tsinghua Univ, Beijing, Peoples R China; [Qiu, Zhaopeng; Jiang, Jiacheng; Wu, Xian] Tencent Jarvis Lab, Shenzhen, Peoples R China</t>
  </si>
  <si>
    <t>Li, XH (corresponding author), Tsinghua Univ, Beijing, Peoples R China.</t>
  </si>
  <si>
    <t>xh-li20@mails.tsinghua.edu.cn; zhaopengqiu@tencent.com; acejcjiang@tencent.com; zhangyong05@tsinghua.edu.cn; xingcx@tsinghua.edu.cn; kevinxwu@tencent.com</t>
  </si>
  <si>
    <t>Wu, Xian/JRW-5738-2023</t>
  </si>
  <si>
    <t>Li, Xinhang/0000-0001-8294-0589; Zhang, Yong/0000-0001-8803-2055; Wu, Xian/0000-0003-1118-9710; Qiu, Zhaopeng/0000-0001-8622-2402</t>
  </si>
  <si>
    <t>1046-8188</t>
  </si>
  <si>
    <t>1558-2868</t>
  </si>
  <si>
    <t>ACM T INFORM SYST</t>
  </si>
  <si>
    <t>ACM Trans. Inf. Syst.</t>
  </si>
  <si>
    <t>10.1145/3589226</t>
  </si>
  <si>
    <t>W4XH6</t>
  </si>
  <si>
    <t>WOS:001091665500006</t>
  </si>
  <si>
    <t>Aljefree, NM; Alhothali, GT</t>
  </si>
  <si>
    <t>Aljefree, Najlaa M.; Alhothali, Ghada Talat</t>
  </si>
  <si>
    <t>Exposure to Food Marketing via Social Media and Obesity among University Students in Saudi Arabia</t>
  </si>
  <si>
    <t>obesity; food marketing exposure; social media platforms; food ads; unhealthy food; young adults</t>
  </si>
  <si>
    <t>PUTATIVE CONTRIBUTORS; OVERWEIGHT; ADOLESCENTS; ASSOCIATION; TRANSLATION; TELEVISION; CHILDREN; IMPACT; BMI</t>
  </si>
  <si>
    <t>This study investigated the associations between obesity and unhealthy food/drink intake with both the frequency of social media platform usage and food/drink marketing exposure on social media. Data were obtained from 316 university students aged 18-29 years at two universities in Jeddah, Saudi Arabia. These participants completed online questionnaires with sections on demographics, anthropometric measurements, social media platform usage, food marketing exposure via social media, and unhealthy food consumption. All of the participants, 20.3% and 13.6% were overweight and obese, respectively. Snapchat was the most popular application (85.8%), followed by Instagram (75%), YouTube (61%), Twitter (51%), and TikTok (50%). The obese participants were more likely to purchase foods/drinks after watching relevant social media advertisements than their non-obese counterparts (p &lt; 0.04). Moreover, those who purchased foods/drinks more frequently after watching such advertisements consumed higher amounts of potato chips (p &lt; 0.01) and fast foods (p &lt; 0.03). Finally, those who used Snapchat, TikTok, and Instagram tended to have higher consumption rates for potato chips (p &lt; 0.02), fast foods (p &lt; 0.01), sweets (p &lt; 0.02), and sugary drinks (p &lt; 0.04). Public health policymakers in Saudi Arabia should consider regulating unhealthy food and drink advertisements on social media platforms, especially those targeted at younger generations.</t>
  </si>
  <si>
    <t>[Aljefree, Najlaa M.] King Abdulaziz Univ, Fac Human Sci &amp; Design, Food &amp; Nutr Dept, Bldg 43,Room 237,Level 2, Jeddah 3270, Saudi Arabia; [Alhothali, Ghada Talat] Univ Jeddah, Coll Business, Mkt Dept, Bldg 17,Level 4,Room 4036, Jeddah 3795, Saudi Arabia</t>
  </si>
  <si>
    <t>King Abdulaziz University; University of Jeddah</t>
  </si>
  <si>
    <t>Aljefree, NM (corresponding author), King Abdulaziz Univ, Fac Human Sci &amp; Design, Food &amp; Nutr Dept, Bldg 43,Room 237,Level 2, Jeddah 3270, Saudi Arabia.</t>
  </si>
  <si>
    <t>naljefree@kau.edu.sa; galhothali@uj.edu.sa</t>
  </si>
  <si>
    <t>Alhothali, Ghada/HSF-5082-2023; AlJefree, Najlaa/AAY-1883-2020</t>
  </si>
  <si>
    <t>Aljefree, Najlaa/0000-0001-9598-7140; Alhothali, Ghada/0000-0002-6264-2223</t>
  </si>
  <si>
    <t>10.3390/ijerph19105851</t>
  </si>
  <si>
    <t>1R6DJ</t>
  </si>
  <si>
    <t>WOS:000803458300001</t>
  </si>
  <si>
    <t>Morse, E; Odigie, E; Gillespie, H; Rameau, A</t>
  </si>
  <si>
    <t>Morse, Elliot; Odigie, Eseosa; Gillespie, Helen; Rameau, Anais</t>
  </si>
  <si>
    <t>The Readability of Patient-Facing Social Media Posts on Common Otolaryngologic Diagnoses</t>
  </si>
  <si>
    <t>Facebook; health literacy; Instagram; patient education; practice promotion; readability; social media; TikTok; Twitter</t>
  </si>
  <si>
    <t>RESOURCES; LITERACY</t>
  </si>
  <si>
    <t>ObjectiveTo assess the readability of patient-facing educational information about the most common otolaryngology diagnoses on popular social media platforms.Study DesignCross-sectional study.SettingSocial media platforms.MethodsThe top 5 otolaryngologic diagnoses were identified from the National Ambulatory Medical Care Survey Database. Facebook, Twitter, TikTok, and Instagram were searched using these terms, and the top 25 patient-facing posts from unique accounts for each search term and poster type (otolaryngologist, other medical professional, layperson) were identified. Captions, text, and audio from images and video, and linked articles were extracted. The readability of each post element was calculated with multiple readability formulae. Readability was summarized and was compared between poster types, platforms, and search terms via Kruskal-Wallis testing.ResultsMedian readability, by grade level, by grade level, was greater than 10 for captions, 5 for image-associated text, and 9 for linked articles. Captions and images in posts by laypeople were significantly more readable than captions by otolaryngologists or other medical professionals, but there was no difference for linked articles. All post components were more readable in posts about cerumen than those about other search terms.ConclusionsWhen examining the readability of posts on social media regarding the most common otolaryngology diagnoses, we found that many posts are less readable than recommended for patients, and found that posts by laypeople were significantly more readable than those by medical professionals. Medical professionals should work to make educational social media posts more readable to facilitate patient comprehension.</t>
  </si>
  <si>
    <t>[Morse, Elliot; Odigie, Eseosa; Gillespie, Helen; Rameau, Anais] Weill Cornell Med, Dept Otolaryngol Head &amp; Neck Surg, New York, NY USA; [Odigie, Eseosa; Gillespie, Helen; Rameau, Anais] Weill Cornell Med, Sean Parker Inst Voice, New York, NY USA; [Rameau, Anais] Weill Cornell Med, Sean Parker Inst Voice, Dept Otolaryngol Head &amp; Neck Surg, 240 East 59th St, New York, NY 10022 USA</t>
  </si>
  <si>
    <t>Cornell University; Weill Cornell Medicine; Cornell University; Weill Cornell Medicine; Cornell University; Weill Cornell Medicine</t>
  </si>
  <si>
    <t>Rameau, A (corresponding author), Weill Cornell Med, Sean Parker Inst Voice, Dept Otolaryngol Head &amp; Neck Surg, 240 East 59th St, New York, NY 10022 USA.</t>
  </si>
  <si>
    <t>anr2783@med.cornell.edu</t>
  </si>
  <si>
    <t>National Institute on Aging [K76 AG079040]; NIH Common Fund [OT2 OD032720]</t>
  </si>
  <si>
    <t>National Institute on Aging(United States Department of Health &amp; Human ServicesNational Institutes of Health (NIH) - USANIH National Institute on Aging (NIA)); NIH Common Fund(United States Department of Health &amp; Human ServicesNational Institutes of Health (NIH) - USANIH Office of the Director)</t>
  </si>
  <si>
    <t>Anais Rameau was supported by a Paul B.Beeson Emerging Leaders Career Development Award in Aging (K76 AG079040) from the National Institute on Aging and by the Bridge2AI award (OT2 OD032720) from the NIH Common Fund.</t>
  </si>
  <si>
    <t>10.1002/ohn.584</t>
  </si>
  <si>
    <t>LV7A4</t>
  </si>
  <si>
    <t>WOS:001109982300001</t>
  </si>
  <si>
    <t>Rodríguez, NKP; Castañeda, NC; Ruiz, JDC</t>
  </si>
  <si>
    <t>Rodriguez, Nidia Katherin Pineda; Castaneda, Nathalia Cardozo; Ruiz, Juan David Cardenas</t>
  </si>
  <si>
    <t>Interparty consultations in the 2022 elections: An approach to the use of negative campaign elements.</t>
  </si>
  <si>
    <t>REFLEXION POLITICA</t>
  </si>
  <si>
    <t>Negative campaign; presidency; attack; tone; framing; agenda setting</t>
  </si>
  <si>
    <t>This research tries to study if the Twitter and TikTok post of the candidates of the coalitions gave preponderance to issues with a negative approach during their electoral campaign period; and if their publications were given in the framework of a negative campaign. The research, with a quantitative methodology, shows that most of the publications originally do not have a negative orientation, but that those who truly generate a conflict in social networks are the users who take the candidates publications and interpret the in the wrong ways.</t>
  </si>
  <si>
    <t>[Rodriguez, Nidia Katherin Pineda; Castaneda, Nathalia Cardozo; Ruiz, Juan David Cardenas] Univ Sabana, Cundinamarca, Colombia</t>
  </si>
  <si>
    <t>Universidad de La Sabana</t>
  </si>
  <si>
    <t>Rodríguez, NKP (corresponding author), Univ Sabana, Cundinamarca, Colombia.</t>
  </si>
  <si>
    <t>nidia.pineda1@unisabana.edu.co; nathaliacardozo132002@gmail.com; juancar@unisabana.edu.co</t>
  </si>
  <si>
    <t>UNIV AUTONOMA BUCARAMANGA, INST ESTUDIOS POLITICOS</t>
  </si>
  <si>
    <t>BUCARAMANGA</t>
  </si>
  <si>
    <t>CALLE 48 NO 39-234, BUCARAMANGA, 00000, COLOMBIA</t>
  </si>
  <si>
    <t>0124-0781</t>
  </si>
  <si>
    <t>REFLEX POLITICA</t>
  </si>
  <si>
    <t>Reflex. Politica</t>
  </si>
  <si>
    <t>10.29375/01240781.4544</t>
  </si>
  <si>
    <t>O1WP5</t>
  </si>
  <si>
    <t>WOS:001041796000002</t>
  </si>
  <si>
    <t>Kelm, RC; Ibrahim, O</t>
  </si>
  <si>
    <t>Kelm, Ryan C.; Ibrahim, Omer</t>
  </si>
  <si>
    <t>Modernizing marketing strategies for social media and millennials in dermatology</t>
  </si>
  <si>
    <t>CLINICS IN DERMATOLOGY</t>
  </si>
  <si>
    <t>Social media platforms are changing the way health care professionals interact with patients, especially the younger, millennial population. This new mode of communication provides unique marketing opportunities to reach younger generations, primarily via Facebook, Instagram, YouTube, Snapchat, and TikTok. These platforms have already become primary mechanisms by which entertainment, news, and information are consumed, shared, and disseminated in this age group. It is important to understand these evolving dynamics to take full advantage of the opportunities that these platforms confer for creating and executing marketing strategy for dermatologists and clinics. (c) 2023 Elsevier Inc. All rights reserved.</t>
  </si>
  <si>
    <t>[Kelm, Ryan C.] Rush Univ, Med Ctr, Dept Dermatol, Chicago, IL USA; [Ibrahim, Omer] Chicago Cosmet Surg &amp; Dermatol, Chicago, IL 60654 USA</t>
  </si>
  <si>
    <t>Ibrahim, O (corresponding author), Chicago Cosmet Surg &amp; Dermatol, Chicago, IL 60654 USA.</t>
  </si>
  <si>
    <t>oibrahim@chicagodermatology.com</t>
  </si>
  <si>
    <t>0738-081X</t>
  </si>
  <si>
    <t>1879-1131</t>
  </si>
  <si>
    <t>CLIN DERMATOL</t>
  </si>
  <si>
    <t>Clin. Dermatol.</t>
  </si>
  <si>
    <t>10.1016/j.clindermatol.2023.06.007</t>
  </si>
  <si>
    <t>W0OU3</t>
  </si>
  <si>
    <t>WOS:001088719200001</t>
  </si>
  <si>
    <t>Vujosevic, V</t>
  </si>
  <si>
    <t>Vujosevic, Vladimir</t>
  </si>
  <si>
    <t>CORECORE : HYPER-ROMANTICISM AND THE POST- PANDEMIC I NTERNET A ESTHETIC</t>
  </si>
  <si>
    <t>FOLIA LINGUISTICA ET LITTERARIA</t>
  </si>
  <si>
    <t>internet aesthetic; TikTok; Romanticism; Sublime; Frankenstein; fragment</t>
  </si>
  <si>
    <t>It seems that the internet aesthetic has undergone a peculiar change since the outbreak of the 2020 pandemic. This transformation has been driven by the growing popularity of social media platforms that rely almost exclusively on video content. After the long-awaited death of postmodernism, there is now a noticeable inclination to excessively reuse certain cultural forms whose origin can be traced back to the Romantic era. This essay explores how Romantic aesthetic practices have unexpectedly reemerged in new digital media, especially in the last three years.</t>
  </si>
  <si>
    <t>[Vujosevic, Vladimir] Univ Donja Gorica, Donja Gorica, Montenegro</t>
  </si>
  <si>
    <t>University of Donja Gorica</t>
  </si>
  <si>
    <t>Vujosevic, V (corresponding author), Univ Donja Gorica, Donja Gorica, Montenegro.</t>
  </si>
  <si>
    <t>Vladimir.Vujosevic@udg.edu.me</t>
  </si>
  <si>
    <t>Vujosevic, Vladimir/0000-0003-0078-5103</t>
  </si>
  <si>
    <t>UNIV MONTENEGRO, INST LANGUAGE &amp; LITERATURE, FAC PHILOSOPHY-NIKSIC</t>
  </si>
  <si>
    <t>NIKSIC</t>
  </si>
  <si>
    <t>DANILA BOJOVICA BB, NIKSIC, CRNA GORA 81400, MONTENEGRO</t>
  </si>
  <si>
    <t>1800-8542</t>
  </si>
  <si>
    <t>FOLIA LINGUIST LITT</t>
  </si>
  <si>
    <t>Folia Linguist. Litt.</t>
  </si>
  <si>
    <t>10.31902/fll.48.2024.7</t>
  </si>
  <si>
    <t>L9S9Z</t>
  </si>
  <si>
    <t>WOS:001354060800006</t>
  </si>
  <si>
    <t>Marwick, A</t>
  </si>
  <si>
    <t>Marwick, Alice</t>
  </si>
  <si>
    <t>Privacy Without Power: What Privacy Research Can Learn from Surveillance Studies</t>
  </si>
  <si>
    <t>SURVEILLANCE &amp; SOCIETY</t>
  </si>
  <si>
    <t>While privacy and surveillance are inextricably intertwined, they often co-exist uneasily in scholarship. This essay argues that while surveillance studies centers questions of marginalization and collective responsibilization, the same is true only for a subset of privacy scholarship. By conducting a close reading of the proceedings of three different privacy conferences, I show how issues of power are de-emphasized or made invisible in much research on privacy. I then consider the popular social video sharing app TikTok to illustrate how concepts taken from surveillance studies might better illuminate its privacy issues.</t>
  </si>
  <si>
    <t>[Marwick, Alice] Univ N Carolina, Chapel Hill, NC 27599 USA</t>
  </si>
  <si>
    <t>Marwick, A (corresponding author), Univ N Carolina, Chapel Hill, NC 27599 USA.</t>
  </si>
  <si>
    <t>amarwick@unc.edu</t>
  </si>
  <si>
    <t>Marwick, Alice/HPF-1916-2023</t>
  </si>
  <si>
    <t>SURVEILLANCE STUDIES NETWORK</t>
  </si>
  <si>
    <t>NEWCASTLE UPON TYNE</t>
  </si>
  <si>
    <t>UNIV NEWCASTLE UPON TYNE, GLOBAL URBAN RESEARCH UNIT, NEWCASTLE UPON TYNE, NE1 7RU, ENGLAND</t>
  </si>
  <si>
    <t>1477-7487</t>
  </si>
  <si>
    <t>SURVEILL SOC</t>
  </si>
  <si>
    <t>Surveill. Soc.</t>
  </si>
  <si>
    <t>7E5KB</t>
  </si>
  <si>
    <t>WOS:000901205600010</t>
  </si>
  <si>
    <t>Tran, D</t>
  </si>
  <si>
    <t>Tran, Dalena</t>
  </si>
  <si>
    <t>Images of Former Futures and Reformations</t>
  </si>
  <si>
    <t>Computational photography; Google; AI; Pixel camera; Machine-learning models; Instagram; Facebook; Twitter; Zoom; TikTok; YouTube; Mark Nunes; 'crisis of control'; Rosa Menkman; Vision AI; Nicolas Kayser- Bril; AlgorithmWatch; Incomplete video project; generative adversarial networks (GANS); Ash Koosha</t>
  </si>
  <si>
    <t>Dalena Tran is the creator of the audiovisual work Incomplete, which explores open-source imaging software and is set to music by Ash Koosha. The work is a polemic about the strange possibilities and alternatives for developing what look like photographic objects that are constructed by the computer, but have a sense of otherworldly form, and questions the nature of racially biased stereotyping in digital observation systems.</t>
  </si>
  <si>
    <t>10.1002/ad.2797</t>
  </si>
  <si>
    <t>ZJ7MY</t>
  </si>
  <si>
    <t>WOS:000762488500012</t>
  </si>
  <si>
    <t>Hou, R; Cui, ZB; Zhao, Y</t>
  </si>
  <si>
    <t>Hou, Rui; Cui, Zibin; Zhao, You</t>
  </si>
  <si>
    <t>Pricing leadership decisions of competing firms with consumer learning</t>
  </si>
  <si>
    <t>MANAGERIAL AND DECISION ECONOMICS</t>
  </si>
  <si>
    <t>ONLINE PRODUCT REVIEWS; 2-ECHELON SUPPLY CHAIN; STRATEGIES; MODEL</t>
  </si>
  <si>
    <t>We consider two competing firms that sell two quality-differentiated products over two periods, in which the high- or low-quality firms have the option to act as a pricing leader or follower in the first or second periods. Two groups of consumers make their purchase decisions in the first or second periods, with the former consumers using the experience available to the latter from online communities (e.g., TikTok). Our analysis indicates that competition intensity and consumers' reviews are two interacting forces that steer the equilibrium decisions of the two competing firms.</t>
  </si>
  <si>
    <t>[Hou, Rui; Cui, Zibin; Zhao, You] Guangdong Univ Technol, Sch Management, Guangzhou 510520, Guangdong, Peoples R China</t>
  </si>
  <si>
    <t>Guangdong University of Technology</t>
  </si>
  <si>
    <t>Zhao, Y (corresponding author), Guangdong Univ Technol, Sch Management, Guangzhou 510520, Guangdong, Peoples R China.</t>
  </si>
  <si>
    <t>zhaoyou728@outlook.com</t>
  </si>
  <si>
    <t>Zhao, You/0000-0001-9620-9682</t>
  </si>
  <si>
    <t>National Natural Science Foundation of China [72072041]; Chinese National Funding of Social Science [19BGL094]; Guangzhou Data and Law Research Center</t>
  </si>
  <si>
    <t>National Natural Science Foundation of China(National Natural Science Foundation of China (NSFC)); Chinese National Funding of Social Science; Guangzhou Data and Law Research Center</t>
  </si>
  <si>
    <t>We thank the editor in chief (Prof. Antony Dnes) and the anonymous referees for their constructive and insightful comments, which help us significantly improve the quality of our paper. This work was supported by the National Natural Science Foundation of China (grant 72072041), the Chinese National Funding of Social Science (19BGL094), and the Guangzhou Data and Law Research Center.</t>
  </si>
  <si>
    <t>JOHN WILEY &amp; SONS LTD</t>
  </si>
  <si>
    <t>CHICHESTER</t>
  </si>
  <si>
    <t>THE ATRIUM, SOUTHERN GATE, CHICHESTER PO19 8SQ, W SUSSEX, ENGLAND</t>
  </si>
  <si>
    <t>0143-6570</t>
  </si>
  <si>
    <t>1099-1468</t>
  </si>
  <si>
    <t>MANAG DECIS ECON</t>
  </si>
  <si>
    <t>Manag. Decis. Econ.</t>
  </si>
  <si>
    <t>10.1002/mde.3528</t>
  </si>
  <si>
    <t>3P0GH</t>
  </si>
  <si>
    <t>WOS:000740868400001</t>
  </si>
  <si>
    <t>Deng, DS; Seo, S; Li, ZM; Austin, EW</t>
  </si>
  <si>
    <t>Deng, Demi Shenrui; Seo, Soobin; Li, Zhenmin; Austin, Erica Weintraub</t>
  </si>
  <si>
    <t>What people TikTok (Douyin) about influencer-endorsed short videos on wine? An exploration of gender and generational differences</t>
  </si>
  <si>
    <t>JOURNAL OF HOSPITALITY AND TOURISM TECHNOLOGY</t>
  </si>
  <si>
    <t>Gender; Wine; Influencer marketing; TikTok; Douyin; Gen Z Gen Y; Short video; ??? ????; ??; ???; ??; Z??; Y??</t>
  </si>
  <si>
    <t>ATTRIBUTES; INTENTION</t>
  </si>
  <si>
    <t>Purpose This study aims to understand social media users' responses to the influencer-endorsed wine short videos on the most popular platform - Douyin, relying on message interpretation process (MIP) framework and identify segmentation differences from gender and the generational cohorts (Gen Z and Gen Y). Design/methodology/approach Topic modeling, content analysis and quantitative analysis were used to decipher the user-generated content (UGC) data retrieved from 81 wine videos posted by the top 30 social media influencers (SMI) who focused on wine products and consumption experience messages. Findings The results demonstrate social media users are most inclined to respond to product-related topics, followed by the influencer, emotional, alcohol drinking intent, behavioral and skepticism. Meanwhile, the findings also revealed that the female group was more likely to engage in influencer topics, whereas the male group contributed more to product subjects. Gen Z cohort involved more themes about alcohol drinking intent, whereas Gen Y contributed more to skepticism. Practical implications The findings provide hospitality and wine practitioners, SMI and brand sponsors valuable information to use this advanced tactic among various social networking services. Originality/value This study is the first to grasp the Douyin users' perceptions of this newly emerged influencer marketing strategy via UGC data. Originality is established by investigating gender and generational cohorts' differences underlined by MIP.</t>
  </si>
  <si>
    <t>[Deng, Demi Shenrui] Washington State Univ, Carson Coll Business, Sch Hospitality Business Management, Pullman, WA 99164 USA; [Seo, Soobin] Washington State Univ, Carson Coll Business, Sch Hospitality Business Management, Everett, WA USA; [Li, Zhenmin] Hefei Univ Technol, Sch Microelect, Hefei, Peoples R China; [Austin, Erica Weintraub] Washington State Univ, Edward R Murrow Coll Commun, Murrow Ctr Media &amp; Hlth Promot Res, Pullman, WA 99164 USA</t>
  </si>
  <si>
    <t>Washington State University; Washington State University; Hefei University of Technology; Washington State University</t>
  </si>
  <si>
    <t>Deng, DS (corresponding author), Washington State Univ, Carson Coll Business, Sch Hospitality Business Management, Pullman, WA 99164 USA.</t>
  </si>
  <si>
    <t>demi.deng@wsu.edu</t>
  </si>
  <si>
    <t>Seo, Soobin/ITV-4708-2023; Austin, Erica/AAZ-5343-2021</t>
  </si>
  <si>
    <t>Deng, Shenrui/0000-0001-9132-3689</t>
  </si>
  <si>
    <t>1757-9880</t>
  </si>
  <si>
    <t>1757-9899</t>
  </si>
  <si>
    <t>J HOSP TOUR TECHNOL</t>
  </si>
  <si>
    <t>J. Hosp. Tour. Technol.</t>
  </si>
  <si>
    <t>JUL 12</t>
  </si>
  <si>
    <t>10.1108/JHTT-05-2021-0143</t>
  </si>
  <si>
    <t>2S7OP</t>
  </si>
  <si>
    <t>WOS:000788673100001</t>
  </si>
  <si>
    <t>Zhang, HD; Ban, YX; Zhang, XG; Guo, ZM; Xu, ZM; Meng, SB; Li, JL; Wang, Y</t>
  </si>
  <si>
    <t>Zhang, Haodan; Ban, Yixuan; Zhang, Xinggong; Guo, Zongming; Xu, Zhimin; Meng, Shengbin; Li, Junlin; Wang, Yue</t>
  </si>
  <si>
    <t>APL: Adaptive Preloading of Short Video with Lyapunov Optimization</t>
  </si>
  <si>
    <t>2020 IEEE INTERNATIONAL CONFERENCE ON VISUAL COMMUNICATIONS AND IMAGE PROCESSING (VCIP)</t>
  </si>
  <si>
    <t>IEEE International Conference on Visual Communications and Image Processing</t>
  </si>
  <si>
    <t>IEEE International Conference on Visual Communications and Image Processing (VCIP)</t>
  </si>
  <si>
    <t>DEC 01-04, 2020</t>
  </si>
  <si>
    <t>IEEE,Tencent Media Lab,Hong Kong Inst Engineers,Asia Pacific Signal &amp; Informat Proc Assoc,IEEE Hong Kong Sect,IEEE Circuits &amp; Syst Soc,Univ Macau</t>
  </si>
  <si>
    <t>short video preload; adaptive streaming; Lyapunov optimization</t>
  </si>
  <si>
    <t>Short video applications, like TikTok, have attracted many users across the world. It can feed short videos based on users' preferences and allow users to slide the boring content anywhere and anytime. To reduce the loading time and keep playback smoothness, most of the short video apps will preload the recommended short videos in advance. However, these apps preload short videos in fixed size and fixed order, which can lead to huge playback stall and huge bandwidth waste. To deal with these problems, we present an Adaptive Preloading mechanism for short videos based on Lyapunov Optimization, also called APL, to achieve near-optimal playback experience, i.e., maximizing playback smoothness and minimizing bandwidth waste considering users' sliding behaviors. Specifically, we make three technical contributions: (1) We design a novel short video streaming framework which can dynamically preload the recommended short videos before the current video is downloaded completely. (2) We formulate the preloading problem into a playback experience optimization problem to maximize the playback smoothness and minimize the bandwidth waste. (3) We transform the playback experience optimization problem during the whole viewing process into a single-step greedy algorithm based on the Lyapunov optimization theory to make the online decisions during playback. Through extensive experiments based on the real datasets that generously provided by TikTok, we demonstrate that APL can reduce the stall ratio by 81%/12% and bandwidth waste by 11%/31% compared with no-preloading/fixed-preloading mechanism.</t>
  </si>
  <si>
    <t>[Zhang, Haodan; Ban, Yixuan; Zhang, Xinggong; Guo, Zongming] Peking Univ, Wangxuan Inst Comp Technol, Beijing, Peoples R China; [Xu, Zhimin; Meng, Shengbin; Li, Junlin; Wang, Yue] Beijing Bytedance Technol Co Ltd, Beijing, Peoples R China</t>
  </si>
  <si>
    <t>Zhang, XG (corresponding author), Peking Univ, Wangxuan Inst Comp Technol, Beijing, Peoples R China.</t>
  </si>
  <si>
    <t>pkuzhd@pku.edu.cn; banyixuan@pku.edu.cn; zhangxg@pku.edu.cn; guozongming@pku.edu.cn</t>
  </si>
  <si>
    <t>Zhang, Xinggong/U-3544-2019</t>
  </si>
  <si>
    <t>National Key RD program of China [2019YFB1802700, 2019YFF0302903, CT20200414000744]</t>
  </si>
  <si>
    <t>National Key RD program of China</t>
  </si>
  <si>
    <t>This work was supported by the National Key RD program of China (2019YFB1802700, 2019YFF0302903), Toutiao Research Funding(CT20200414000744).</t>
  </si>
  <si>
    <t>2642-9357</t>
  </si>
  <si>
    <t>978-1-7281-8068-7</t>
  </si>
  <si>
    <t>IEEE I C VI COM I PR</t>
  </si>
  <si>
    <t>10.1109/vcip49819.2020.9301886</t>
  </si>
  <si>
    <t>Computer Science, Artificial Intelligence; Computer Science, Information Systems; Imaging Science &amp; Photographic Technology; Telecommunications</t>
  </si>
  <si>
    <t>Computer Science; Imaging Science &amp; Photographic Technology; Telecommunications</t>
  </si>
  <si>
    <t>BS4FS</t>
  </si>
  <si>
    <t>WOS:000718911500004</t>
  </si>
  <si>
    <t>Bozdag, Ç</t>
  </si>
  <si>
    <t>Bozdag, Cigdem</t>
  </si>
  <si>
    <t>Inclusive Media Education in the Diverse Classroom: A Participatory Action Research in Germany</t>
  </si>
  <si>
    <t>diversity; inclusion; influencers; Instagram; media education; media literacy; migrants; social media; TikTok; youth</t>
  </si>
  <si>
    <t>Media literacy has become a key concept for understanding how different citizens develop the capacity to participate in the mediatized society. One key question here is how media literacy education can support people of diverse backgrounds to have equal chances of benefiting from the media. Furthermore, as many schools are characterized by superdiversity, especially in bigger cities (Crul et al., 2013), there is also a need for research on media education and diversity. This article presents the findings of the research project INCLUDED, a participatory action research about media education in a secondary school in Germany. The project aims to analyse the everyday media use of young people with diverse cultural backgrounds living in a socio-economically disadvantaged neighbourhood and co-develop teaching modules on media literacy education integrating an intercultural perspective. The fieldwork of the project (January 2020-April 2021) included participatory observations (online and offline), teacher interviews, and focus groups with the students (13-15 years). The article will particularly focus on one teaching module that focused on TikTok and Instagram influencers. The students' presentations in the classroom demonstrated how the diverse cultural backgrounds of the students also shaped the content that they consumed on social media. Analysing this teaching module as an example, this article discusses the benefits and challenges of designing a more inclusive and participatory approach to media education in the context of culturally diverse schools as an alternative to culture-blindness and over-emphasis of cultural differences.</t>
  </si>
  <si>
    <t>[Bozdag, Cigdem] Univ Bremen, Fac Pedag &amp; Educ Sci, Bremen, Germany; [Bozdag, Cigdem] Univ Groningen, Res Ctr Media &amp; Journalism Studies, Groningen, Netherlands</t>
  </si>
  <si>
    <t>University of Bremen; University of Groningen</t>
  </si>
  <si>
    <t>Bozdag, Ç (corresponding author), Univ Bremen, Fac Pedag &amp; Educ Sci, Bremen, Germany.;Bozdag, Ç (corresponding author), Univ Groningen, Res Ctr Media &amp; Journalism Studies, Groningen, Netherlands.</t>
  </si>
  <si>
    <t>c.bozdag@rug.nl</t>
  </si>
  <si>
    <t>Bozdag, Cigdem/KHD-8637-2024</t>
  </si>
  <si>
    <t>Bozdag, Cigdem/0000-0002-4514-6340</t>
  </si>
  <si>
    <t>Marie Sklodowska Curie Actions of the European Commission</t>
  </si>
  <si>
    <t>The presented project is funded by the Marie Sklodowska Curie Actions of the European Commission.</t>
  </si>
  <si>
    <t>10.17645/mac.v10i4.5640</t>
  </si>
  <si>
    <t>CF3R1</t>
  </si>
  <si>
    <t>WOS:001123801600007</t>
  </si>
  <si>
    <t>Huttayavilaiphan, R</t>
  </si>
  <si>
    <t>Huttayavilaiphan, Rutthaphak</t>
  </si>
  <si>
    <t>From local flavor to global fandom: an exploration of the cultural presentation and attitudes towards using English by Thai content creators on the TikTok platform</t>
  </si>
  <si>
    <t>TikTok; content creators; cultural content; cultural presentation strategy; attitude towards English</t>
  </si>
  <si>
    <t>This study explores the cultural presentation and attitudes towards using English among Thai TikTokers, focusing on how they create and present cultural content. Utilizing detailed content analysis of video titles, descriptions, and comments, alongside semi-structured interviews with 20 selected TikTokers, the research reveals the diverse motivations and challenges faced by these creators. The findings highlight a wide range of cultural content, including ethnic, lifestyle, national, subcultures, and youth cultures, which serve to engage audiences and promote cultural exchange. The study also identifies the overlapping nature of cultural presentation strategies, such as visual storytelling, educational content, user engagement, and the strategic use of hashtags and multilingual content. These strategies are designed to increase the visibility and impact of their content, enhancing a sense of global community and cultural understanding. The study categorizes attitudes towards using English into positive, negative, and mixed. While some TikTokers embrace English to broaden their international reach and facilitate intercultural communication, others express concerns about language proficiency, such as accents and grammatical accuracy, which may lead to negative feedback. This complexity underscores the challenges of multilingual content creation, balancing cultural authenticity with global engagement. By linking these findings with existing theories and studies, the research offers a comprehensive understanding of digital cultural representation on social media platforms. The insights contribute to the broader field of social media studies, providing implications for future research on content strategies, cultural communication, and the role of language in digital media.</t>
  </si>
  <si>
    <t>[Huttayavilaiphan, Rutthaphak] Univ Phayao, Sch Liberal Arts, Dept English, Phayao, Thailand</t>
  </si>
  <si>
    <t>University of Phayao</t>
  </si>
  <si>
    <t>Huttayavilaiphan, R (corresponding author), Univ Phayao, Sch Liberal Arts, Dept English, Phayao, Thailand.</t>
  </si>
  <si>
    <t>rutthaphak.hu@up.ac.th</t>
  </si>
  <si>
    <t>Unit of Excellence (UoE) Academic Year 2024 by University of Phayao, Thailand</t>
  </si>
  <si>
    <t>The author declares financial support was received for the research, authorship, and/or publication of this article. This study received financial support from the Unit of Excellence (UoE) Academic Year 2024 by University of Phayao, Thailand.</t>
  </si>
  <si>
    <t>10.3389/fcomm.2024.1453316</t>
  </si>
  <si>
    <t>J7U2H</t>
  </si>
  <si>
    <t>WOS:001339068200001</t>
  </si>
  <si>
    <t>Brand, C; Fochesatto, CF; Gaya, AR; Schuch, FB; López-Gil, JF</t>
  </si>
  <si>
    <t>Brand, Caroline; Fochesatto, Camila Felin; Gaya, Anelise Reis; Schuch, Felipe Barreto; Lopez-Gil, Jose Francisco</t>
  </si>
  <si>
    <t>Scrolling through adolescence: unveiling the relationship of the use of social networks and its addictive behavior with psychosocial health</t>
  </si>
  <si>
    <t>CHILD AND ADOLESCENT PSYCHIATRY AND MENTAL HEALTH</t>
  </si>
  <si>
    <t>Psychosocial health; Mental health; Screen time; Youth; Teenagers; Mobile phones</t>
  </si>
  <si>
    <t>MEDIA USE; DIGITAL MEDIA; FACEBOOK; CHILDREN</t>
  </si>
  <si>
    <t>BackgroundUnderstanding the relationship of social network use and addictive behaviors with adolescent psychosocial health is crucial in today's digital age.AimTo verify the associations between social network use, messaging applications, and the addictive behaviors to social network with psychosocial health in Spanish adolescents.MethodsA cross-sectional study was developed with 632 adolescents, aged 12 to 17 years from the Region of Murcia, Spain. The assessment of social network use (Facebook, Twitter, Instagram, Snapchat, and TikTok) involved evaluating the frequency of use of each social network individually using a single-item scale with five response options. WhatsApp use (i.e., a messaging application) was evaluated in the same manner. The Short Social Networks Addiction Scale-6 Symptoms was employed to assess potential addictive behaviors to social network use. The psychosocial health was assessed using the Strengths and Difficulties Questionnaire. Generalized linear regression models were conducted, and predictive probabilities of having psychosocial health problems were calculated.ResultsThe predicted probability of presenting psychosocial health problems in the medium users and high users of social networks was 19.3% (95% confidence interval [CI] 13.0 to 27.7), and 16.2% (95% CI 10.2 to 24.6) higher compared to low users, respectively. High usage of Instagram, TikTok, Snapchat, and Facebook was associated with increased probabilities of psychosocial health problems, with Facebook showing the highest probabilities, at 31.3% (95% CI 14.8 to 54.2) for medium users and 51.9% (95% CI 26.5 to 76.3) for high users. Additionally, adolescents with addictive behaviors to social network use had from 19.0 to 25.2% probabilities of experiencing psychosocial health problems. Finally, the highest probabilities of having psychosocial health problems were identified in adolescents with high addictive behaviors when using social networks (28.9%; 95% CI 19.3 to 40.8%) and the lowest in those with low addictive behaviors (6.8%; 95% CI 3.3 to 13.6%).ConclusionAdolescents who use social networks more frequently and exhibit more addictive behaviors related to their use are more likely to experience psychosocial health problems compared to those who do not. Facebook showed the strongest association, followed by Snapchat, Instagram, and TikTok. Our data also revealed that adolescents exhibit various signs of addictive behaviors to social network use.</t>
  </si>
  <si>
    <t>[Brand, Caroline] Pontificia Univ Catolica Valparaiso, Phys Educ Sch, IRyS Grp, Ave Bosque 1290, Valparaiso, Chile; [Fochesatto, Camila Felin; Gaya, Anelise Reis] Univ Fed Rio Grande do Sul, Sch Phys Educ Physiotherapy &amp; Dance, Felizardo St,750, Porto Alegre, RS, Brazil; [Schuch, Felipe Barreto] Univ Fed Santa Maria, Dept Sports Methods &amp; Tech, Santa Maria, Brazil; [Schuch, Felipe Barreto] Univ Fed Rio de Janeiro, Inst Psychiat, Rio De Janeiro, Brazil; [Schuch, Felipe Barreto] Univ Autonoma Chile, Fac Hlth Sci, Providencia, Chile; [Lopez-Gil, Jose Francisco] Univ Amer, One Hlth Res Grp, Quito, Ecuador</t>
  </si>
  <si>
    <t>Pontificia Universidad Catolica de Valparaiso; Universidade Federal do Rio Grande do Sul; Universidade Federal de Santa Maria (UFSM); Universidade Federal do Rio de Janeiro; Universidad Autonoma de Chile; Universidad de Las Americas - Ecuador</t>
  </si>
  <si>
    <t>López-Gil, JF (corresponding author), Univ Amer, One Hlth Res Grp, Quito, Ecuador.</t>
  </si>
  <si>
    <t>de Investigación y Vinculación, Dirección General/AAN-5618-2020; Brand, Caroline/ABH-5856-2020; Schuch, Felipe/AAF-5028-2019</t>
  </si>
  <si>
    <t>1753-2000</t>
  </si>
  <si>
    <t>CHILD ADOL PSYCH MEN</t>
  </si>
  <si>
    <t>Child Adolesc. Psychiatry Ment. Health</t>
  </si>
  <si>
    <t>10.1186/s13034-024-00805-0</t>
  </si>
  <si>
    <t>Pediatrics; Psychiatry</t>
  </si>
  <si>
    <t>E5U0L</t>
  </si>
  <si>
    <t>WOS:001303639700002</t>
  </si>
  <si>
    <t>Jin, HL; Chen, TT; Shi, HX</t>
  </si>
  <si>
    <t>Jin, Huilan; Chen, Tingting; Shi, Hanxiao</t>
  </si>
  <si>
    <t>Beyond the Fitness: A Big Data Analysis of Home Exercisers Demand</t>
  </si>
  <si>
    <t>health communication; uses and gratifications; short video; fitness; Tiktok</t>
  </si>
  <si>
    <t>HEALTH COMMUNICATION; INTERNET; MEDIA</t>
  </si>
  <si>
    <t>As a new method for health knowledge dissemination, the short video has promoted the development of health communication greatly. In the context of the post-epidemic era, we selected the short home fitness video a kind of short video to guide users to do exercise at home and impart health knowledge to users as the research object, to provide suggestions on how to make better use of short videos for health communication. Liu Genghong is a home fitness coach who has gained 60 million fans in 3 months by teaching in-door aerobics originated by himself, and short home fitness videos he released are representative. We selected short home fitness videos published by Liu Genghong on Tiktok as the research sample, and obtained relevant data through crawler code. We applied a uses and gratifications approach, which is a theory about analyzing the motivation of users, to use media to analyze the collected data. The analysis result indicated that users watch the home fitness video mainly because of health cognition, personal relations, idolatry and entertainment. This study enriches the related research on health communication and shows theoretical and practical significance. A big data analysis of home exercisers demand through short videoShort video is a new method for spreading health knowledge, and the home fitness video belongs to the health knowledge videos. We selected short home fitness videos on Tiktok released by Liu Genghong, a popular Chinese home fitness coach. The purpose of our study is to understand the motivation of users who watch Liu's short home fitness videos, so as to make better suggestions on how to use short videos for health communication. We collected users data who made comments on Liu's videos and their comments by program. We applied uses and gratifications approach which is a theory about analyzing the motivation of users to use media to analyze the collected data. The analysis result indicated that users watch the home fitness video mainly because of health cognition, personal relations, idolatry and entertainment. There are two limitations in our research. One limitation in this study is that the obtained data were limited. We only collected the comments before and during the period that Liu Genghong became popular, and payed little attention to the subsequent development. Furthermore, we collected comments published by users on public platforms. Whether users' comments published on the public platform are completely motivated by themselves and are not interfered by other factors is still a question.</t>
  </si>
  <si>
    <t>[Jin, Huilan] Zhejiang Gongshang Univ, Hangzhou Coll Commerce, Hangzhou, Peoples R China; [Chen, Tingting; Shi, Hanxiao] Zhejiang Gongshang Univ, Hangzhou, Peoples R China</t>
  </si>
  <si>
    <t>Zhejiang Gongshang University; Zhejiang Gongshang University</t>
  </si>
  <si>
    <t>Shi, HX (corresponding author), Zhejiang Gongshang Univ, Sch Management &amp; E Business, 18 Xuezheng Str, Hangzhou 310018, Peoples R China.</t>
  </si>
  <si>
    <t>2694383@qq.com</t>
  </si>
  <si>
    <t>10.1177/21582440241274533</t>
  </si>
  <si>
    <t>F8S0A</t>
  </si>
  <si>
    <t>WOS:001312435200001</t>
  </si>
  <si>
    <t>Angotti, AL; Fields, M</t>
  </si>
  <si>
    <t>Angotti, Angela L.; Fields, Michele</t>
  </si>
  <si>
    <t>Nutraceuticals and Social Media: FDA and FTC Like and Subscribe to the Next Big Trend in Litigation</t>
  </si>
  <si>
    <t>FOOD AND DRUG LAW JOURNAL</t>
  </si>
  <si>
    <t>COLLAGEN PEPTIDES</t>
  </si>
  <si>
    <t>The Article discusses growth of the nutraceutical industry and social media as well as the risks and rewards when using influencers on Instagram, TikTok, YouTube, and other social media sites to promote nutraceutical products. The Article discusses the U.S. Food and Drug Administration's (FDA's) and the Federal Trade Commission's (FTC's) enforcement priorities on mental health claims in dietary supplements; recent actions against companies for deceptive influencer endorsements and testimonials regarding nutraceuticals; as well as state-level consumer protection claims, including an example from a recent case in Texas.</t>
  </si>
  <si>
    <t>[Angotti, Angela L.] Bowman &amp; Brooke, Minneapolis, MN 55402 USA</t>
  </si>
  <si>
    <t>Angotti, AL (corresponding author), Bowman &amp; Brooke, Minneapolis, MN 55402 USA.</t>
  </si>
  <si>
    <t>FOOD DRUG LAW INST</t>
  </si>
  <si>
    <t>1000 VERMONT AVE NW, SUITE 1200, WASHINGTON, DC 20005-4903 USA</t>
  </si>
  <si>
    <t>1064-590X</t>
  </si>
  <si>
    <t>FOOD DRUG LAW J</t>
  </si>
  <si>
    <t>Food Drug Law J.</t>
  </si>
  <si>
    <t>Food Science &amp; Technology; Law; Nutrition &amp; Dietetics; Pharmacology &amp; Pharmacy</t>
  </si>
  <si>
    <t>Food Science &amp; Technology; Government &amp; Law; Nutrition &amp; Dietetics; Pharmacology &amp; Pharmacy</t>
  </si>
  <si>
    <t>MQ9V5</t>
  </si>
  <si>
    <t>WOS:001195222600003</t>
  </si>
  <si>
    <t>Zhao, YQ</t>
  </si>
  <si>
    <t>Zhao, Yuqi</t>
  </si>
  <si>
    <t>On the improvement, innovation and inheritance of stage makeup styling in opera under the background of big data</t>
  </si>
  <si>
    <t>APPLIED MATHEMATICS AND NONLINEAR SCIENCES</t>
  </si>
  <si>
    <t>Big data background; On opera stage; Makeup modeling; Innovation diffusion model; Iterative diffusion model</t>
  </si>
  <si>
    <t>Character styling design can clearly show the background of story characters and the characteristics of the times in the performance of stage plays. Integrating traditional culture with the art of stage plays is important for developing theatrical communication. In this paper, we analyze the factors that impact theatrical communication in the context of big data. Based on the original innovation diffusion model, it analyzes the limitations of its application, analyzes the innovation characteristics of theatrical stage makeup modeling from a qualitative perspective, finds that its diffusion characteristics do not conform to the prerequisite assumptions of the original innovation diffusion model, and confirms the improvement direction of the innovation diffusion model. Based on the analysis of audience data by the full data analysis method, the main influencing factors affecting the diffusion of opera heritage are identified, and their practical significance in the improved model is analyzed. The original innovation diffusion model is improved quantitatively, and an iterative diffusion model is established. Empirical analysis of the iterative diffusion model was conducted using the actual diffusion data of opera stage makeup styling. The research results show that the initial diffusion rates of the products are, in descending order, Cheese Superman, TikTok, Watermelon Video, and Punchbowl. Among them, the cumulative diffusion of TikTok is the highest at 14, and the diffusion rate of Watermelon Video is 0.68. It indicates that the above products effectively spread opera culture and highlight the charm of opera stage makeup styling.</t>
  </si>
  <si>
    <t>[Zhao, Yuqi] Intro Henan Univ, Acad Mus, Kaifeng 475000, Henan, Peoples R China</t>
  </si>
  <si>
    <t>Zhao, YQ (corresponding author), Intro Henan Univ, Acad Mus, Kaifeng 475000, Henan, Peoples R China.</t>
  </si>
  <si>
    <t>vivizhaoqiqi@163.com</t>
  </si>
  <si>
    <t>Zhao, Amber/IQS-0792-2023</t>
  </si>
  <si>
    <t>WALTER DE GRUYTER GMBH</t>
  </si>
  <si>
    <t>GENTHINER STRASSE 13, D-10785 BERLIN, GERMANY</t>
  </si>
  <si>
    <t>2444-8656</t>
  </si>
  <si>
    <t>APPL MATH NONLIN SCI</t>
  </si>
  <si>
    <t>Appl. Math. Nonlinear Sci.</t>
  </si>
  <si>
    <t>2023 APR 28</t>
  </si>
  <si>
    <t>10.2478/amns.2023.1.00066</t>
  </si>
  <si>
    <t>Mathematics, Applied</t>
  </si>
  <si>
    <t>Mathematics</t>
  </si>
  <si>
    <t>F1QB4</t>
  </si>
  <si>
    <t>WOS:000980151500001</t>
  </si>
  <si>
    <t>Jaramillo-Dent, D</t>
  </si>
  <si>
    <t>Jaramillo-Dent, Daniela</t>
  </si>
  <si>
    <t>My Way or No Way : Political Polarization and Disagreement Among Immigrant Influencers and Their Followers</t>
  </si>
  <si>
    <t>debate; immigration; influencers; Instagram; platforms; political polarization; social media; TikTok; United States of America</t>
  </si>
  <si>
    <t>ONLINE; FACEBOOK</t>
  </si>
  <si>
    <t>This article explores the online discussions between Carlos , Lizzy, two Latin American immigrant influencers in the United States with profiles on TikTok and Instagram. The dataset comprises a 90-minute live debate between them, that took place on September 25th, 2021, broadcast on Instagram and available on one of the profiles, as well as 1200 com-ments by 933 different viewers, received during the broadcast. The analysis relies on previous research on polarization, deliberation , disagreement on social media platforms and it provides insights regarding the political and ideological diversity that exists among immigrant influencers and their followers. It focuses on the discursive strategies deployed by these content creators to discuss issues related to immigration reform and activism from two distinct political stances. It also provides a glimpse into topics of interest for the immigrant community as reflected by these content creators and commenting followers. The findings reflect the value of the ongoing relationship between content creators and their fol-lowers in the personal support and acceptance Carlos receives. In contrast, Lizzy is largely rejected and attacked, but a few of her arguments resonate with viewers. Comments about the debate itself are mostly negative due to the perceived low quality of the arguments, the mocking attitude of both debaters, and the need for a moderator to control the times. Comments that are critical of the debate often describe expectations of a more civil discussion and pathways to improve future debates.</t>
  </si>
  <si>
    <t>[Jaramillo-Dent, Daniela] Univ Zurich, Dept Commun &amp; Media Res, Media Change &amp; Innovat Div, Zurich, Switzerland</t>
  </si>
  <si>
    <t>Jaramillo-Dent, D (corresponding author), Univ Zurich, Dept Commun &amp; Media Res, Media Change &amp; Innovat Div, Zurich, Switzerland.</t>
  </si>
  <si>
    <t>d.jaramillo@ikmz.uzh.ch</t>
  </si>
  <si>
    <t>JARAMILLO-DENT, Daniela/0000-0001-8372-0107</t>
  </si>
  <si>
    <t>10.17645/pag.v11i2.6375</t>
  </si>
  <si>
    <t>WOS:000995613200009</t>
  </si>
  <si>
    <t>Spisak, S</t>
  </si>
  <si>
    <t>Spisak, Sanna</t>
  </si>
  <si>
    <t>'It's a generational thing, really'. Understandings of sexual rights in a digital age</t>
  </si>
  <si>
    <t>SEXUALITIES</t>
  </si>
  <si>
    <t>Sexual rights; sex education; generational sexualities; mediated sexualities; sexual digital divide; social imaginaries</t>
  </si>
  <si>
    <t>ETHICS; ADULTS</t>
  </si>
  <si>
    <t>Deriving from a large-scale research project on intimacy in data-driven culture in Finland, I build on a sub-study examining Finland's presumed sexual digital divide between generations. I analysed in-depth, semi-structured research discussions with six social media users who actively participated in the online discussion following the posting of a video on TikTok by the National Board of Investigation on the potential risks and dangers of sending nude images online. I wanted to know why this particular 'awareness-raising video' gained so much negative feedback from its young audiences on TikTok and other social media platforms. By using the idea of 'generational sexualities', I focus on the shared social imaginary the research participants seem to have on the sexual and digital divide between generations. As a result of my analysis, I propose that the idea of a generational gap regarding the digital modes of sexual engagement is a culturally and socially shared narrative contributing to a disconnective effect between the generations in sexual matters. Furthermore, the analysis of my research materials reveals that young people's 'full sexual rights' operate as a specific generational narrative that organises and structures my research participants' perspectives of what is inclusive and socially just sexual education. The educational efforts must go beyond risk and harm as 'no-sexting' educational materials may contribute to sexual discrimination and marginalisation, increase social inequality and negatively impact young people's sexual wellbeing.</t>
  </si>
  <si>
    <t>[Spisak, Sanna] Univ Turku, Turku, Finland; [Spisak, Sanna] Univ Turku, Dept Media Studies, Mediatutkimus, Turku 20014, Finland</t>
  </si>
  <si>
    <t>University of Turku; University of Turku</t>
  </si>
  <si>
    <t>Spisak, S (corresponding author), Univ Turku, Dept Media Studies, Mediatutkimus, Turku 20014, Finland.</t>
  </si>
  <si>
    <t>sanna.spisak@utu.fi</t>
  </si>
  <si>
    <t>Spišák, Sanna/ABE-3422-2021</t>
  </si>
  <si>
    <t>Spisak, Sanna/0000-0002-4768-9752</t>
  </si>
  <si>
    <t>The Strategic Research Council at the Academy of Finland [327391, 352520]</t>
  </si>
  <si>
    <t>The Strategic Research Council at the Academy of Finland</t>
  </si>
  <si>
    <t>The author(s) disclosed receipt of the following financial support for the research, authorship, and/or publication of this article: This work was supported by the The Strategic Research Council at the Academy of Finland (327391; 352520).</t>
  </si>
  <si>
    <t>1363-4607</t>
  </si>
  <si>
    <t>1461-7382</t>
  </si>
  <si>
    <t>Sexualities</t>
  </si>
  <si>
    <t>10.1177/13634607231160058</t>
  </si>
  <si>
    <t>L0J2Z</t>
  </si>
  <si>
    <t>WOS:000942927300001</t>
  </si>
  <si>
    <t>Frazao, P</t>
  </si>
  <si>
    <t>Frazao, Pedro</t>
  </si>
  <si>
    <t>Scream queens: Teen serial killers, Tiktok deaths and Taylor Swift's soundtrack</t>
  </si>
  <si>
    <t>CADERNOS DE LETRAS DA UFF</t>
  </si>
  <si>
    <t>Pop culture; Psycho among Serial killer; among many Scream Queens; Contemporary narrative</t>
  </si>
  <si>
    <t>This paper discusses the relevance of serial killers and psychopaths in contemporary narratives, presenting some narrative strategies that have been used to maintain popular interest in these stories. It will present a concise history of this genre and how Ryan Murphy's TV series Scream Queens offered some guidelines for regenerating serial killer and psychopath stories, for instance, by rethinking the moral values that identify the final girls and their antagonists. This paper also analyzes extracts from the TV series, its reference to other slashers and American horror movies. .</t>
  </si>
  <si>
    <t>UNIV FED FLUMINENSE, DEPT HISTORIA</t>
  </si>
  <si>
    <t>NITEROI RJ</t>
  </si>
  <si>
    <t>CAMPUS DO GRAGOATA, BLOCO O, SALA 513, NITEROI RJ, 24210-350, BRAZIL</t>
  </si>
  <si>
    <t>1413-053X</t>
  </si>
  <si>
    <t>2447-4207</t>
  </si>
  <si>
    <t>CAD LET UFF</t>
  </si>
  <si>
    <t>Cad. Let. UFF</t>
  </si>
  <si>
    <t>10.22409/cadletrasuff.v35i68.61444</t>
  </si>
  <si>
    <t>F1R3O</t>
  </si>
  <si>
    <t>WOS:001307655000008</t>
  </si>
  <si>
    <t>Rupapara, V; Thipparthy, KR; Gunda, NK; Narra, M; Gandhi, S</t>
  </si>
  <si>
    <t>Rupapara, Vaibhav; Thipparthy, Kaushika Reddy; Gunda, Naresh Kumar; Narra, Manideep; Gandhi, Swapnil</t>
  </si>
  <si>
    <t>Improving video ranking on social video platforms</t>
  </si>
  <si>
    <t>2020 7TH IEEE INTERNATIONAL CONFERENCE ON SMART STRUCTURES AND SYSTEMS (ICSSS 2020)</t>
  </si>
  <si>
    <t>7th IEEE International Conference on Smart Structures and Systems (ICSSS)</t>
  </si>
  <si>
    <t>JUL 23-24, 2020</t>
  </si>
  <si>
    <t>Saveetha Engn Coll, Chennai, INDIA</t>
  </si>
  <si>
    <t>Saveetha Engn Coll, Dept Elect &amp; Commun Engn,Saveetha Engn Coll, IEEE Student Branch,IEEE</t>
  </si>
  <si>
    <t>Saveetha Engn Coll</t>
  </si>
  <si>
    <t>Hashtag retrieval; Web Intelligent; pattern mining; scalability; Data mining; Web mining Keyword retrieval; social media mining; crawling</t>
  </si>
  <si>
    <t>HASHTAGS</t>
  </si>
  <si>
    <t>With the emerging growth of the internet, various social video platforms are coming into existence. There are some old video platforms like YouTube and other platforms that are trending like TikTok (previously known as musical.ly), Likee app, Instagram, etc. Entering the right keywords is a challenge for the user while uploading videos. Using the right and suitable keywords can get more views on the video. Our paper mentions the algorithm that pulls accurate keywords from the video title or any search string, improving the ranking on video platforms.</t>
  </si>
  <si>
    <t>[Rupapara, Vaibhav; Thipparthy, Kaushika Reddy] Teladoc Hlth, Harrison, NY 10577 USA; [Gunda, Naresh Kumar] Dynatrace, Waltham, MA USA; [Narra, Manideep] Indiana Inst Technol, Ft Wayne, IN USA; [Gandhi, Swapnil] Mileset Softwares, Mumbai, Maharashtra, India</t>
  </si>
  <si>
    <t>Rupapara, V (corresponding author), Teladoc Hlth, Harrison, NY 10577 USA.</t>
  </si>
  <si>
    <t>vaibhav.rupapara.sept@gmail.com</t>
  </si>
  <si>
    <t>Narra, Manideep/ADE-1839-2022; /AAE-3416-2021</t>
  </si>
  <si>
    <t>Narra, Manideep/0000-0001-7766-1710; /0000-0002-7889-4521</t>
  </si>
  <si>
    <t>978-1-7281-7223-1</t>
  </si>
  <si>
    <t>10.1109/icsss49621.2020.9202153</t>
  </si>
  <si>
    <t>Automation &amp; Control Systems; Computer Science, Artificial Intelligence; Operations Research &amp; Management Science</t>
  </si>
  <si>
    <t>Automation &amp; Control Systems; Computer Science; Operations Research &amp; Management Science</t>
  </si>
  <si>
    <t>BR4CN</t>
  </si>
  <si>
    <t>WOS:000650987700035</t>
  </si>
  <si>
    <t>Jones, CN; Rudaizky, D; Mahalingham, T; Clarke, PJF</t>
  </si>
  <si>
    <t>Jones, Chloe N.; Rudaizky, Daniel; Mahalingham, Tamsin; Clarke, Patrick J. F.</t>
  </si>
  <si>
    <t>Investigating the links between objective social media use, attentional control, and psychological distress</t>
  </si>
  <si>
    <t>SOCIAL SCIENCE &amp; MEDICINE</t>
  </si>
  <si>
    <t>ANXIETY; FACEBOOK; DEPRESSION; ASSOCIATION; RESPONSES; FEATURES; IMPACT; SCALE</t>
  </si>
  <si>
    <t>Social media use (SMU) has been associated with negative mental health outcomes and has been implicated in inhibitory attentional control deficits. However, findings have been inconsistent, in part due to methodological limitations in past studies (e.g., over-reliance on self-report SMU and attentional control measures). Therefore, the aim of the present study was to examine the associations between SMU, psychological distress (including depression, anxiety, and stress), and inhibitory attentional control, using objective measures of SMU and inhibitory attentional control. Participants (N = 425) completed the DASS-21 and an antisaccade task, and SMU data was accessed via mobile phones, as minutes/week spent using TikTok, Instagram, Snapchat, Facebook, and Twitter/X. Bivariate correlations were examined, and a moderation analysis was conducted to determine whether attentional control moderated the association between SMU and psychological distress. Our findings revealed that SMU was positively associated with attentional control and anxiety, while TikTok use was positively associated with attentional control, and Facebook use with psychological distress. However, the observed associations were very small, suggesting that the links between SMU and both psychological distress and attentional control may be over-stated, particularly in studies that have utilised self-report SMU measures. No moderating effect of attentional control on the relationship between SMU and psychological distress was observed. These findings highlight the importance of utilising objective SMU and cognitive measures when examining the links between SMU, mental health, and cognitive processes (like attentional control), and to corroborate findings based on associations with self-report SMU indicators.</t>
  </si>
  <si>
    <t>[Jones, Chloe N.; Rudaizky, Daniel; Mahalingham, Tamsin; Clarke, Patrick J. F.] Curtin Univ, Fac Hlth Sci, Sch Populat Hlth, Cognit &amp; Emot Res Grp, Perth, WA, Australia</t>
  </si>
  <si>
    <t>Jones, CN (corresponding author), Curtin Univ, Fac Hlth Sci, Sch Populat Hlth, Cognit &amp; Emot Res Grp, Perth, WA, Australia.</t>
  </si>
  <si>
    <t>chloe.n.jones@postgrad.curtin.edu.au; daniel.rudaizky@curtin.edu.au; tamsin.mahalingham@curtin.edu.au; patrick.clarke@curtin.edu.au</t>
  </si>
  <si>
    <t>Clarke, Patrick/H-8998-2014</t>
  </si>
  <si>
    <t>Clarke, Patrick/0000-0003-0303-4479</t>
  </si>
  <si>
    <t>0277-9536</t>
  </si>
  <si>
    <t>1873-5347</t>
  </si>
  <si>
    <t>SOC SCI MED</t>
  </si>
  <si>
    <t>Soc. Sci. Med.</t>
  </si>
  <si>
    <t>10.1016/j.socscimed.2024.117400</t>
  </si>
  <si>
    <t>J2D7E</t>
  </si>
  <si>
    <t>WOS:001335230900001</t>
  </si>
  <si>
    <t>Shiplo, S; Sivajohan, B; Selk, A</t>
  </si>
  <si>
    <t>Shiplo, Samantha; Sivajohan, Brintha; Selk, Amanda</t>
  </si>
  <si>
    <t>A Comparison of Lichen Sclerosus and Vulvodynia Content Across Social Media Platforms: What Is Trending Over Time</t>
  </si>
  <si>
    <t>JOURNAL OF LOWER GENITAL TRACT DISEASE</t>
  </si>
  <si>
    <t>gynecology; vulvar diseases; vulvovaginal disease; social media; Internet; patient education</t>
  </si>
  <si>
    <t>PREVALENCE; INSTAGRAM</t>
  </si>
  <si>
    <t>Objectives: Vulvovaginal diseases are common gynecologic complaints and patients often turn to social media (SM) for medical information. The objective of this study is to examine vulvovaginal content on SM and how it has changed over time.Materials and Methods: Four SM platforms were searched (i.e., Facebook, Instagram, Twitter, and YouTube) at 2 time points from March 30 to May 7, 2021, and again from November 24 to December 10, 2022. Newer SM platforms became popular during this time interval and thus TikTok and Reddit were included in the search in 2022. This study focused on 2 common vulvovaginal conditions: lichen sclerosus and vulvodynia. The SM platforms were searched for content on these conditions and the type of content, language, and country of origin were assessed.Results: A total of 1228 SM accounts, posts, and pages were assessed. Lichen sclerosus content on SM was mostly informational (32.6%), whereas vulvodynia content was mostly personal experience (30.5%). Patient support groups were significantly more popular in 2021 compared with 2022 and professional groups were more common in 2022 compared with 2021 (p &lt; .001). Overall, Facebook and Instagram consisted mostly of patient support groups, YouTube had both informational and professional videos, TikTok had mostly personal experiences and healthcare professional videos, and Reddit was mostly discussions about patient personal experiences.Conclusions: The current study highlights the content and quantifies user engagement of lichen sclerosus and vulvodynia on SM.</t>
  </si>
  <si>
    <t>[Shiplo, Samantha] McMaster Univ, Dept Obstet &amp; Gynecol, Hamilton, ON, Canada; [Sivajohan, Brintha] Western Univ, Schulich Sch Med, London, ON, Canada; [Selk, Amanda] Womens Coll Hosp, Dept Gynecol, Toronto, ON, Canada; [Selk, Amanda] Univ Toronto, Dept Obstet &amp; Gynecol, Toronto, ON, Canada; [Shiplo, Samantha] McMaster Univ, 1280 Main St, Hamilton, ON L8S 4L8, Canada</t>
  </si>
  <si>
    <t>McMaster University; Western University (University of Western Ontario); University of Toronto; Womens College Hospital; University of Toronto; McMaster University</t>
  </si>
  <si>
    <t>Shiplo, S (corresponding author), McMaster Univ, 1280 Main St, Hamilton, ON L8S 4L8, Canada.</t>
  </si>
  <si>
    <t>Samantha.shiplo@medportal.ca; bsivajohan2023@meds.uwo.ca; amandaselk@gmail.com</t>
  </si>
  <si>
    <t>Selk, Amanda/J-1988-2019</t>
  </si>
  <si>
    <t>1089-2591</t>
  </si>
  <si>
    <t>1526-0976</t>
  </si>
  <si>
    <t>J LOW GENIT TRACT DI</t>
  </si>
  <si>
    <t>J. Low. Genit. Tract. Dis.</t>
  </si>
  <si>
    <t>10.1097/LGT.0000000000000782</t>
  </si>
  <si>
    <t>CV7Z1</t>
  </si>
  <si>
    <t>WOS:001128089100003</t>
  </si>
  <si>
    <t>Poole, K</t>
  </si>
  <si>
    <t>Poole, Kaitlyn</t>
  </si>
  <si>
    <t>Tapestry of Tales: Women's Collative Writings as Legal Storytelling</t>
  </si>
  <si>
    <t>LAW &amp; LITERATURE</t>
  </si>
  <si>
    <t>biography; feminist; narrative; legal storytelling; literature; women's writing; social media</t>
  </si>
  <si>
    <t>This article presents an exploration of the storytelling as a feminist practice generating a counternarrative to law, with particular focus on narrative forms that center the collation of women's stories, examining the practice from the 1400s to contemporary microbiographies on TikTok. I focus on the literary mode of biographical collection. In doing so, I assert that it is the weaving and compounding of multitudes of stories that give rise to the challenging of law's normative, masculinized narratives. Seemingly inconsequential, isolated biographical narratives are given larger social meaning when read together.</t>
  </si>
  <si>
    <t>[Poole, Kaitlyn] Western Sydney Univ, Penrith, Australia</t>
  </si>
  <si>
    <t>Poole, K (corresponding author), Western Sydney Univ, Penrith, Australia.</t>
  </si>
  <si>
    <t>1535-685X</t>
  </si>
  <si>
    <t>1541-2601</t>
  </si>
  <si>
    <t>LAW LIT</t>
  </si>
  <si>
    <t>Law Lit.</t>
  </si>
  <si>
    <t>2024 AUG 27</t>
  </si>
  <si>
    <t>10.1080/1535685X.2024.2398316</t>
  </si>
  <si>
    <t>H1O4C</t>
  </si>
  <si>
    <t>WOS:001321199900001</t>
  </si>
  <si>
    <t>Kojoue, L</t>
  </si>
  <si>
    <t>Kojoue, Larissa</t>
  </si>
  <si>
    <t>Emerging from the shadows,defying fear: opportunities and challenges of digital technologies for sexual and gender minorities in cameroon</t>
  </si>
  <si>
    <t>CANADIAN JOURNAL OF AFRICAN STUDIES</t>
  </si>
  <si>
    <t>Internet; espace public; queer; homosexualite; citoyennete; reseaux sociaux; Cameroun; public space; homosexuality; citizenship; social networks; Cameroon</t>
  </si>
  <si>
    <t>Cet article analyse la portee politique des differents usages des technologies numeriques que les minorites sexuelles exploitent a des fins de visibilite au Cameroun. Il s'appuie sur une enquete de terrain menee a Yaounde et a Douala, entre 2017 et 2018, ainsi que sur une veille ethnographique numerique realisee sur Instagram, Facebook, Twitter et TikTok. Dans un contexte hostile aux pratiques sexuelles entre personnes de meme sexe, de plus en plus de voix s'elevent sur les reseaux sociaux pour affirmer publiquement leur homosexualite et ou leur trans identite. Les couts de cette visibilite sont pourtant considerables. Les reseaux sociaux sont-ils en mesure d'influencer les perceptions, les attitudes et les politiques vis-a-vis des minorites sexuelles et de genre au Cameroun? This article analyses the political significance of the diversity of digital practices that sexual minorities exploit for visibility in Cameroon. It is based on a field survey conducted in Yaounde and Douala, between 2017 and 2018, as well as on a digital ethnographic survey conducted on Instagram, Facebook, Twitter and TikTok between 2021 and 2022. In such a hostile context to same-sex sexual practices, more and more voices are being publicly raised on social media to affirm their homosexuality and or trans identity (queerness). However, the costs of this visibility are considerable. Are social media able to influence perceptions, attitudes and policies towards sexual and gender minorities in Cameroon?</t>
  </si>
  <si>
    <t>[Kojoue, Larissa] Univ Paris, Ctr Populat &amp; Dev, Campus St Germain Pres, Paris, France</t>
  </si>
  <si>
    <t>Institut de Recherche pour le Developpement (IRD); Universite Paris Cite</t>
  </si>
  <si>
    <t>Kojoue, L (corresponding author), Univ Paris, Ctr Populat &amp; Dev, Campus St Germain Pres, Paris, France.</t>
  </si>
  <si>
    <t>larissa.kojoue@gmail.com</t>
  </si>
  <si>
    <t>0008-3968</t>
  </si>
  <si>
    <t>1923-3051</t>
  </si>
  <si>
    <t>CAN J AFR STUDIES</t>
  </si>
  <si>
    <t>Can. J. Afr. Stud.</t>
  </si>
  <si>
    <t>10.1080/00083968.2023.2213352</t>
  </si>
  <si>
    <t>LI3T8</t>
  </si>
  <si>
    <t>WOS:001080594900001</t>
  </si>
  <si>
    <t>Bumpus, S</t>
  </si>
  <si>
    <t>Bumpus, Serena</t>
  </si>
  <si>
    <t>When TikTok Is Not Enough: Engaging Nurses at All Levels in the Advocacy Process</t>
  </si>
  <si>
    <t>NURSE LEADER</t>
  </si>
  <si>
    <t>Nurses took to social media at the height of the pandemic. They leveraged the popular app TikTok to share their experiences with the pandemic, educate the public, combat misinformation, and used it as a tool to advocate for the nursing profession. Although many nurses leveraged this platform to educate, others used it as a platform to challenge the system and highlighted the great divide within the nursing profession. With 4.2 million nurses in the United States, it is estimated less than 10% are members of professional organizations. These professional organizations are the primary groups advocating on behalf of the profession. How are we developing legislative agenda's that meet the need of the profession if less than 10% of nurses are engaging and speaking up? There are multiple ways nurse leaders can engage frontline staff in the advocacy process. Levels of engagement can range from within the organization to local, state, national, and global efforts. The opportunities to engage are endless. We are 4 million strong, yet we struggle to have an aligned collective voice. Our divide begins with unions versus non unions, mandated staffing ratios versus other staffing models, associate degree versus bachelor's degree, and so on. How do we ever expect to be heard if we are not aligning our voices and coming to consensus on what is best for the profession as a whole? Social media is not getting us in front of the right people. As leaders, we must role model what advocacy looks like and provide avenues for our nurses to engage in this process.</t>
  </si>
  <si>
    <t>[Bumpus, Serena] Ascens Hlth, Clin Surveillance, Nursing Ctr Excellence, St Louis, MO 63134 USA</t>
  </si>
  <si>
    <t>Bumpus, S (corresponding author), Ascens Hlth, Clin Surveillance, Nursing Ctr Excellence, St Louis, MO 63134 USA.</t>
  </si>
  <si>
    <t>srbumpus@gmail.com</t>
  </si>
  <si>
    <t>Bumpus, Serena/0000-0002-0806-7862</t>
  </si>
  <si>
    <t>1541-4612</t>
  </si>
  <si>
    <t>1541-4620</t>
  </si>
  <si>
    <t>NURSE LEAD</t>
  </si>
  <si>
    <t>Nurse Lead.</t>
  </si>
  <si>
    <t>10.1016/j.mnl.2022.02.009</t>
  </si>
  <si>
    <t>3L6XA</t>
  </si>
  <si>
    <t>WOS:000834902900013</t>
  </si>
  <si>
    <t>Scharlach, R; Hallinan, B</t>
  </si>
  <si>
    <t>Scharlach, Rebecca; Hallinan, Blake</t>
  </si>
  <si>
    <t>The value affordances of social media engagement features</t>
  </si>
  <si>
    <t>affordances; social media engagement; Instagram; TikTok; platform values; YouTube</t>
  </si>
  <si>
    <t>Social media engagement is ubiquitous but contested, simultaneously framed as an everyday form of support and an urgent societal risk. To make sense of these competing claims, we introduce the concept of value affordances, defined as the set of ethical, aesthetic, and relational principles that emerge from the interaction between different stakeholders and technological infrastructures. We develop a novel method involving focus groups and value cards to study the value affordances of engagement features and explore how international students attribute values to the Like, Comment, and Share buttons of TikTok, Instagram, and YouTube. Across platforms, participants agree that engagement features promote expression, care, and community and hinder privacy, mindfulness, peace, and safety. We discuss how our participants navigate value tradeoffs, emphasizing individual agency over structural factors when evaluating the design of platforms, using social media creatively, and assigning responsibility for harm to other users. Is the design of social media helping us connect with friends or destroying democracy? We spoke with groups of international students to understand how they think about the design of social media platforms. We asked them which values they think Like, Comment, and Share buttons promote and which values these engagement features hinder. Although we spoke with people from many different parts of the world, they agreed that social media engagement features promote expression, care, and community and hinder privacy, mindfulness, peace, and safety. Based on their answers, we developed the concept of value affordances to refer to how interactions with technology express ideas about what is important or good. Finally, we discuss how people manage tradeoffs between different values by emphasizing personal responsibility, using social media creatively, and blaming other users for negative consequences.</t>
  </si>
  <si>
    <t>[Scharlach, Rebecca; Hallinan, Blake] Hebrew Univ Jerusalem, Dept Commun &amp; Journalism, Jerusalem, Israel</t>
  </si>
  <si>
    <t>Scharlach, R (corresponding author), Hebrew Univ Jerusalem, Dept Commun &amp; Journalism, Jerusalem, Israel.</t>
  </si>
  <si>
    <t>Scharlach, Rebecca/0000-0003-3033-5795; Hallinan, Blake/0000-0002-4696-8290</t>
  </si>
  <si>
    <t>European Research Council (ERC) under the European Union [819004]; European Research Council (ERC) [819004] Funding Source: European Research Council (ERC)</t>
  </si>
  <si>
    <t>European Research Council (ERC) under the European Union(European Research Council (ERC)); European Research Council (ERC)(European Research Council (ERC))</t>
  </si>
  <si>
    <t>This project has received funding from the European Research Council (ERC) under the European Union'sHorizon 2020 research and innovation program [GrantAgreement No. 819004]</t>
  </si>
  <si>
    <t>SEP 10</t>
  </si>
  <si>
    <t>zmad040</t>
  </si>
  <si>
    <t>10.1093/jcmc/zmad040</t>
  </si>
  <si>
    <t>U8YX9</t>
  </si>
  <si>
    <t>WOS:001087612400001</t>
  </si>
  <si>
    <t>Wang, C; Zhang, Y; Lin, ZQ</t>
  </si>
  <si>
    <t>Wang, Chao; Zhang, Yue; Lin, Zhiqiang</t>
  </si>
  <si>
    <t>Uncovering and Exploiting Hidden APIs in Mobile Super Apps</t>
  </si>
  <si>
    <t>PROCEEDINGS OF THE 2023 ACM SIGSAC CONFERENCE ON COMPUTER AND COMMUNICATIONS SECURITY, CCS 2023</t>
  </si>
  <si>
    <t>30th ACM SIGSAC Conference on Computer and Communications Security (ACM CCS)</t>
  </si>
  <si>
    <t>NOV 26-30, 2023</t>
  </si>
  <si>
    <t>Assoc Comp Machinery,ACM SIGSAC,Huawei,Natl Sci Fdn,Technol Innovat Inst,Twenty Second Century Dora Technol,Ant Res,IBM,TikTok,Abelian,Input Outut</t>
  </si>
  <si>
    <t>Hidden APIs; Superapp Security; Miniapp Security</t>
  </si>
  <si>
    <t>Mobile applications, particularly those from social media platforms such as WeChat and TikTok, are evolving into super apps that offer a wide range of services such as instant messaging and media sharing, e-commerce, e-learning, and e-government. These super apps often provide APIs for developers to create miniapps that run within the super app. These APIs should have been thoroughly scrutinized for security. Unfortunately, we find that many of them are undocumented and unsecured, potentially allowing miniapps to bypass restrictions and gain higher privileged access. To systematically identify these hidden APIs before they are exploited by attackers, we have developed a tool APIScope with both static analysis and dynamic analysis, where static analysis is used to recognize hidden undocumented APIs, and dynamic analysis is used to confirm whether the identified APIs can be invoked by an unprivileged 3rd-party miniapps. We have applied APIScope to five popular super apps (i.e., WeChat, WeCom, Baidu, QQ, and Tiktok) and found that all of them contain hidden APIs, many of which can be exploited due to missing security checks. We have also quantified the hidden APIs that may have security implications by verifying if they have access to resources protected by Android permissions. Furthermore, we demonstrate the potential security hazards by presenting various attack scenarios, including unauthorized access to any web pages, downloading and installing malicious software, and stealing sensitive information. We have reported our findings to the relevant vendors, some of whom have patched the vulnerabilities and rewarded us with bug bounties.</t>
  </si>
  <si>
    <t>[Wang, Chao; Zhang, Yue; Lin, Zhiqiang] Ohio State Univ, Columbus, OH 43210 USA</t>
  </si>
  <si>
    <t>Wang, C (corresponding author), Ohio State Univ, Columbus, OH 43210 USA.</t>
  </si>
  <si>
    <t>Lin, Zhiqiang/ABC-7029-2020</t>
  </si>
  <si>
    <t>NSF [2330264]</t>
  </si>
  <si>
    <t>We thank the anonymous reviewers for their insightful feedback. This research was supported in part by NSF award 2330264. Any opinions, findings, and conclusions in this paper are those of the authors only and do not necessarily reflect the views of NSF.</t>
  </si>
  <si>
    <t>979-8-4007-0050-7</t>
  </si>
  <si>
    <t>10.1145/3576915.3616676</t>
  </si>
  <si>
    <t>Computer Science, Artificial Intelligence; Computer Science, Interdisciplinary Applications; Telecommunications</t>
  </si>
  <si>
    <t>BW2TJ</t>
  </si>
  <si>
    <t>WOS:001124987202032</t>
  </si>
  <si>
    <t>Dianati, S; Spinelli, F; Sanhueza, AG</t>
  </si>
  <si>
    <t>Dianati, Seb; Spinelli, Franciele; Sanhueza, Alicia Gazmuri</t>
  </si>
  <si>
    <t>The academic TikTok: Academics' perceptions and uses of Microsoft Flip as a vlogging platform</t>
  </si>
  <si>
    <t>AUSTRALASIAN JOURNAL OF EDUCATIONAL TECHNOLOGY</t>
  </si>
  <si>
    <t>Keywords : vlogging; Microsoft Flip; authentic assessment; identity-verified assessment; peer-to-peer engagement; constructivist theory; TikTok</t>
  </si>
  <si>
    <t>DESIGN; VIDEO</t>
  </si>
  <si>
    <t>Vlogs, asynchronous video blogs where individuals film themselves to share personal experiences, have been widely used in educational settings. This study explores the integration of Microsoft Flip (Flip), a vlogging platform, in higher education, focusing on its use by academics during a 3-year pilot preceding institution-wide adoption. Grounded in Driscoll and Burner's (2005) constructivist theory, this research involved interviews with 10 academics from an Australian university, examining their experiences, challenges and recommendations for using Flip. The findings reveal that Flip facilitates innovative activity design, promoting user-friendliness, interaction and self-directed learning. However, privacy concerns, technical difficulties and engagement shortfalls were identified consistent with broader educational technology adoption issues. To minimise these challenges, academics suggested setting clear guidelines on how to use Flip to enhance learning and offered suggestions on how to organise the activities effectively. This research offers insights for academics and learning designers considering Flip in the tertiary educational context, highlighting its potential as a tool for enhancing learning experiences. Implications for practice or policy: center dot Implement scaffolded teaching in higher education, emphasising peer interaction, sequential assessments, and clear instructions to boost student learning outcomes. center dot Provide academics with targeted resources and training to effectively integrate vlogs in teaching, addressing technological barriers. center dot Use vlogging for summative assessments to ensure authentic uptake which also mitigates challenges within identity verification and artificial intelligence misuse in higher education.</t>
  </si>
  <si>
    <t>[Dianati, Seb] Charles Darwin Univ, Educ Strategy, Darwin, Australia; [Spinelli, Franciele; Sanhueza, Alicia Gazmuri] Univ Queensland, Sch Languages &amp; Cultures, Brisbane, Australia</t>
  </si>
  <si>
    <t>Charles Darwin University; University of Queensland</t>
  </si>
  <si>
    <t>Dianati, S (corresponding author), Charles Darwin Univ, Educ Strategy, Darwin, Australia.</t>
  </si>
  <si>
    <t>seb.dianati@cdu.edu.au</t>
  </si>
  <si>
    <t>DIANATI, Seb/0000-0002-1428-2921; Spinelli, Franciele/0000-0002-4923-329X</t>
  </si>
  <si>
    <t>We would like to thank all the academics who voluntarily shared their experiences and perceptions of using Flip.</t>
  </si>
  <si>
    <t>AUSTRALASIAN SOC COMPUTERS LEARNING TERTIARY EDUCATION-ASCILITE</t>
  </si>
  <si>
    <t>TUGUN</t>
  </si>
  <si>
    <t>UNIT 5, 202 COODE ST, PO BOX 350, TUGUN, 4224, AUSTRALIA</t>
  </si>
  <si>
    <t>1449-3098</t>
  </si>
  <si>
    <t>1449-5554</t>
  </si>
  <si>
    <t>AUSTRALAS J EDUC TEC</t>
  </si>
  <si>
    <t>Australas. J. Educ. Technol.</t>
  </si>
  <si>
    <t>10.14742/ajet.8953</t>
  </si>
  <si>
    <t>F4A2Z</t>
  </si>
  <si>
    <t>WOS:001309257300007</t>
  </si>
  <si>
    <t>Russell, I</t>
  </si>
  <si>
    <t>Russell, Ian</t>
  </si>
  <si>
    <t>Debate: More, not less social media content moderation? How to better protect youth mental health online</t>
  </si>
  <si>
    <t>CHILD AND ADOLESCENT MENTAL HEALTH</t>
  </si>
  <si>
    <t>Mental health; social media; internet usage; suicide; self-harm</t>
  </si>
  <si>
    <t>Background: This article challenges Zhang et al.'s claims that social media content moderation is proving detrimental to youth mental health and asserts that greater emphasis on the systemic risks posed by social media platforms is required. Method This commentary draws on my lived experience as a bereaved parent, empiricial evidence and ongoing public policy and regulatory debates. Conclusions: Greater attention should be paid to the effects of algorithmic recommendation systems, which can result in teenagers becoming rapidly exposed to large amounts of harmful content on social media sites such as Instagram, Pinterest and TikTok.</t>
  </si>
  <si>
    <t>[Russell, Ian] Molly Rose Fdn, London, England; [Russell, Ian] Molly Rose Fdn, Delta House, Phoenix Business Ctr, Rosslyn Crescent, London HA1 2SP, England</t>
  </si>
  <si>
    <t>Russell, I (corresponding author), Molly Rose Fdn, Delta House, Phoenix Business Ctr, Rosslyn Crescent, London HA1 2SP, England.</t>
  </si>
  <si>
    <t>hello@mollyrosefoundation.org</t>
  </si>
  <si>
    <t>1475-357X</t>
  </si>
  <si>
    <t>1475-3588</t>
  </si>
  <si>
    <t>CHILD ADOL MENT H-UK</t>
  </si>
  <si>
    <t>Child Adolesc. Ment. Health</t>
  </si>
  <si>
    <t>10.1111/camh.12717</t>
  </si>
  <si>
    <t>Psychology, Clinical; Pediatrics; Psychiatry</t>
  </si>
  <si>
    <t>D0P4O</t>
  </si>
  <si>
    <t>WOS:001220152800001</t>
  </si>
  <si>
    <t>Feijoo, B; Cambronero-Saiz, B; Miguel-San-Emeterio, B</t>
  </si>
  <si>
    <t>Feijoo, Beatriz; Cambronero-Saiz, Belen; Miguel-San-Emeterio, Begona</t>
  </si>
  <si>
    <t>Body perception and frequency of exposure to advertising on social networks among adolescents</t>
  </si>
  <si>
    <t>Adolescents; Teenagers; Young people; Childhood; Social media; Social networks; YouTube; Instagram; TikTok; Perception; Personal satisfaction; Self-esteem; Well-being; Physical appearance; Body; Gender; Advertising; Influencers; Diet; Health</t>
  </si>
  <si>
    <t>UNHEALTHY FOOD; INSTAGRAM; METAANALYSIS; CHILDREN; BRANDS</t>
  </si>
  <si>
    <t>The marketing actions of influencers promoting unhealthy targeted products can aggravate the problem of childhood obesity and thus generate self-esteem problems. The influence of exposure to this type of sponsored content can also have an effect on the emotional well-being of adolescents. This is the context of this study, which seeks to analyze the relationship between exposure to food or body care advertising on social networks (YouTube, Instagram, and TikTok) of adolescents and their perception of their physical appearance. Online surveys were distributed between April and June 2022 to 1,055 adolescents aged 11-17 years and residing in Spain. The main results show that 16- and 17-year-olds have a heavier figure as an ideal reference, but they are also the group that presents the thinnest evaluation of their current figure. Their level of satisfaction is the lowest compared with the rest of the age groups, and they attach greater importance to the social role of a good physical appearance. Thus, exposure to advertising by influencers on social networks is directly related to lower satisfaction with their bodies. This assessment is based not so much on individual reasons related to health or personal well-being, but rather on fundamentally social reasons, and considers that physical appearance is a determining factor for social success. Therefore, it is advisable to study in more detail the beliefs that directly affect adolescents' self-esteem to improve their critical competence in the face of this idealized content.</t>
  </si>
  <si>
    <t>[Feijoo, Beatriz; Cambronero-Saiz, Belen; Miguel-San-Emeterio, Begona] Univ Int La Rioja, Fac Empresa &amp; Comunicac, Ave Paz 137, Logrono 26006, Spain</t>
  </si>
  <si>
    <t>Feijoo, B (corresponding author), Univ Int La Rioja, Fac Empresa &amp; Comunicac, Ave Paz 137, Logrono 26006, Spain.</t>
  </si>
  <si>
    <t>beatriz.feijoo@unir.net; belen.cambronero@unir.net; begona.miguel@unir.net</t>
  </si>
  <si>
    <t>Cambronero-Saiz, Belén/AAK-6883-2020; Miguel San Emeterio, Begona/W-5000-2018; Feijoo Fernandez, Beatriz/B-3909-2017</t>
  </si>
  <si>
    <t>Miguel San Emeterio, Begona/0000-0003-0272-7476; Feijoo Fernandez, Beatriz/0000-0001-5287-3813; Cambronero Saiz, Belen/0000-0001-5273-9534</t>
  </si>
  <si>
    <t>Mapfre Foundation</t>
  </si>
  <si>
    <t>This study is conducted within the Digital_Fit research project: Body and diet as sales arguments on social networks: Impact of brand content published by influencers on the beliefs of minors on physical appearance and healthy eating habits, funded by the Mapfre Foundation.</t>
  </si>
  <si>
    <t>e320318</t>
  </si>
  <si>
    <t>10.3145/epi.2023.may.18</t>
  </si>
  <si>
    <t>WOS:001074871700020</t>
  </si>
  <si>
    <t>Lin, HZ; Wen, HY; Ma, ZK</t>
  </si>
  <si>
    <t>Lin, Hanzheng; Wen, Hongyan; Ma, Zhuokai</t>
  </si>
  <si>
    <t>A study on the construction of destination image for China's county-level integrated media centers: a case study of four counties in Fuzhou</t>
  </si>
  <si>
    <t>short videos; destination images; TikTok platform; governmental new media; visual symbol</t>
  </si>
  <si>
    <t>SOCIAL MEDIA; TOURISM; DMO</t>
  </si>
  <si>
    <t>With the growing significance of social media in disseminating destination images, short videos have emerged as the primary channel through which tourists acquire destination information. In China, local governments at all administrative levels have begun to explore how to portray a more accurate and diverse destination image through short video platforms, which has become a pressing issue today. This study utilizes a combination of manual analysis (subject terms classification) and computer-assisted techniques (key-frame extraction and text mining) to examine the short videos posted on the TikTok (Douyin) platform by the integrated media centers of Minhou County, Yongtai County, Minqing County, and Lianjiang County in Fuzhou City, China. The objective is to explore the shared characteristics and variations in the dimensional aspects of destination images. The findings reveal that the short video contents released by the governmental new media accounts in these four counties primarily highlight three dimensions: stakeholders, urban infrastructures, and regional landscapes. These dimensions are evident in both descriptive texts and visual symbols. However, in terms of the presented destination image, a notable degree of homogeneity is observed, and there is a lack of emphasis on uncovering and presenting the cultural dimensions, thus failing to reflect the distinctive local characteristics fully. Consequently, it is essential for local integrated media centers to thoroughly explore the cultural uniqueness of their respective regions and enhance the development of thematic dimensions in creating short video content. This approach will effectively strengthen tourists' association with and perception of destination images.</t>
  </si>
  <si>
    <t>[Lin, Hanzheng; Ma, Zhuokai] Commun Univ China, Beijing, Peoples R China; [Wen, Hongyan] South China Univ Technol, Guangzhou, Peoples R China</t>
  </si>
  <si>
    <t>Communication University of China; South China University of Technology</t>
  </si>
  <si>
    <t>Lin, HZ (corresponding author), Commun Univ China, Beijing, Peoples R China.</t>
  </si>
  <si>
    <t>lin.hanzheng@outlook.com</t>
  </si>
  <si>
    <t>wen, Hongyan/HTR-6460-2023</t>
  </si>
  <si>
    <t>Hongyan, Wen/0009-0008-9795-6602; Lin, Hanzheng/0000-0002-1443-1085</t>
  </si>
  <si>
    <t>10.3389/fcomm.2024.1346212</t>
  </si>
  <si>
    <t>TB1V6</t>
  </si>
  <si>
    <t>WOS:001238715700001</t>
  </si>
  <si>
    <t>Bai, KG; Tan, KH</t>
  </si>
  <si>
    <t>Bai, Kaige; Tan, Kim Hua</t>
  </si>
  <si>
    <t>The Influence of Online Social and Physical Presence on User Consumption Decisions in TikTok Livestreaming: A Scoping Review</t>
  </si>
  <si>
    <t>livestreaming; physical presence; scoping review; social presence; user consumption decision</t>
  </si>
  <si>
    <t>VIRTUAL ENVIRONMENTS; FLOW</t>
  </si>
  <si>
    <t>This scoping review aimed to clarify and redefine the concepts of social and physical presence in the context of online livestreaming environments. Physical presence involves technical elements and nonhuman-to-human interaction, factors that inevitably influence social presence, which has human-to-human interactions at its core. Considering one type of presence to the exclusion of the other may not provide sufficiently informed decisions for user consumption. However, most previous studies have only studied either physical or social presence factors; few have systematically examined both to explain their influence. This review examined how the factors under these two presence influenced users' consumption decision-making process in TikTok live-stream retail purchases by synthesizing 60 studies conducted from 2019 to 2023 using Arksey and O'Malley's 5-step framework. Evidence of the specific attributes by which presence affects users' consumption decisions was elicited and reorganized. Using the preferred reporting items for systematic reviews and meta-analyses (PRISMA) framework for scoping review and guided by the joanna briggs institute (JBI) methodological guidelines, the results reveal that out of the 60 studies, 36 were influenced by social presence and 24 by physical presence. When livestreaming online, social presence tends to include the user and anchor perspectives, which prompts users to make consumption decisions. However, online physical presence includes products, technology, and scenes as its main dimensions, and users make consumption decisions through perceptual control. This review clarifies new media livestreaming communication and the key factors influencing users' consumption decision-making systems. It also suggests that integrating online social and physical presence in future research will yield a better understanding of livestreaming purchase decisions.</t>
  </si>
  <si>
    <t>[Bai, Kaige; Tan, Kim Hua] Taylors Univ, Fac Social Sci &amp; Leisure Management, Sch Media &amp; Commun, Subang Jaya 47500, Selangor, Malaysia</t>
  </si>
  <si>
    <t>Taylor's University</t>
  </si>
  <si>
    <t>Tan, KH (corresponding author), Taylors Univ, Fac Social Sci &amp; Leisure Management, Sch Media &amp; Commun, Subang Jaya 47500, Selangor, Malaysia.</t>
  </si>
  <si>
    <t>KimHua.Tan@taylors.edu.my</t>
  </si>
  <si>
    <t>10.1089/cyber.2023.0526</t>
  </si>
  <si>
    <t>YY7X5</t>
  </si>
  <si>
    <t>WOS:001224826600001</t>
  </si>
  <si>
    <t>Gurtala, JC; Fardouly, J</t>
  </si>
  <si>
    <t>Gurtala, Jade C.; Fardouly, Jasmine</t>
  </si>
  <si>
    <t>Does medium matter? Investigating the impact of viewing ideal image or short-form video content on young women's body image, mood, and self-objectification</t>
  </si>
  <si>
    <t>Social media; Body image; Self-objectification; Thin ideal; Video; TikTok</t>
  </si>
  <si>
    <t>SOCIAL MEDIA; FITSPIRATION IMAGERY; MUSIC VIDEOS; INSTAGRAM; APPEARANCE; THIN; DISSATISFACTION; EXERCISE; WORLD; CAPTIONS</t>
  </si>
  <si>
    <t>There is a rising prevalence of short-form videos on social media, particularly since the advent of TikTok. Viewing appearance-ideal images has harmful effects on young women's body image. However, the impacts of viewing appearance-ideal short-form videos on body image are largely unknown. This study investigated the impact of viewing appearance-ideal short-form social media video content on young women's (Mage = 19.19, SD = 1.80) state appearance satisfaction, negative mood, self-objectification, and related constructs, compared to viewing appearance-ideal image content and appearance-neutral content. Young women (N = 211) were shown either: (1) appearance-ideal images, (2) appearance-ideal videos, (3) appearanceneutral images, or (4) appearance-neutral videos. Viewing appearance-ideal content regardless of the medium led to decreased appearance satisfaction, and increased negative mood, and self-objectification, and more state internalisation of appearance ideals compared to viewing appearance-neutral content. Further, if women perceived the appearance-ideal content they viewed to be unedited or unenhanced, they reported less appearance satisfaction after viewing video than image content. Thus, the impact of viewing ideal video and image content taken from social media may have similar effects on young women. However, when ideal content is low in perceived enhancement, viewing videos may be more harmful for appearance satisfaction than viewing images.&amp; COPY; 2023 The Authors. Published by Elsevier Ltd. This is an open access article under the CC BY license(http:// creativecommons.org/licenses/by/4.0/).</t>
  </si>
  <si>
    <t>[Gurtala, Jade C.; Fardouly, Jasmine] UNSW Sydney, Sch Psychol, Sydney, NSW 2052, Australia</t>
  </si>
  <si>
    <t>Fardouly, J (corresponding author), UNSW Sydney, Sch Psychol, Sydney, NSW 2052, Australia.</t>
  </si>
  <si>
    <t>j.fardouly@unsw.edu.au</t>
  </si>
  <si>
    <t>Fardouly, Jasmine/F-5430-2014</t>
  </si>
  <si>
    <t>Fardouly, Jasmine/0000-0001-5648-6757</t>
  </si>
  <si>
    <t>10.1016/j.bodyim.2023.06.005</t>
  </si>
  <si>
    <t>N0CN6</t>
  </si>
  <si>
    <t>WOS:001033801600001</t>
  </si>
  <si>
    <t>Rossi, NA; George, SS; Patel, KP; Reddy, DN; Ohlstein, JF; McKinnon, BJ; Siddiqui, FN; Lees, KA</t>
  </si>
  <si>
    <t>Rossi, Nicholas A.; George, Sachin S.; Patel, Kirav P.; Reddy, Devin N.; Ohlstein, Jason F.; McKinnon, Brian J.; Siddiqui, Farrah N.; Lees, Katherine A.</t>
  </si>
  <si>
    <t>Qualitative analysis of sinus surgery posts on popular social media platforms</t>
  </si>
  <si>
    <t>AMERICAN JOURNAL OF OTOLARYNGOLOGY</t>
  </si>
  <si>
    <t>Social media; Communications media; Perception; Otolaryngologists; Information seeking behavior</t>
  </si>
  <si>
    <t>INFORMATION; MANAGEMENT; BENEFITS</t>
  </si>
  <si>
    <t>Introduction: Social media platforms are constantly evolving and expanding to new populations, exposing their users to various topics and serving as an informal educational resource. Medical ideas and topics are freely discussed online, making understanding of what is present on these platforms of particular importance to the practicing medical professional. In the field of otolaryngology, the public social media portrayal of sinus surgery has not been previously reported. Methods: Social media posts using keywords related to sinus surgery on Facebook, Instagram, and TikTok were qualitatively analyzed and categorized based on media type, author, subject, timing, depiction, and popularity.Results: The total number of posts included in final analysis was 1798, with a majority stemming from Instagram (68.5%), then Facebook (20.2%) and finally TikTok (11.3%). The most common type of media analyzed was images (69.0%) and patients were more often authors of posts (45.1%) as compared to physicians (34.8%). The subjects of the posts were nearly equally reassurance regarding surgery (41.3%) and educational or informational posts (38.8%) and were most commonly timed in the postoperative period (41.3%). Sinus surgery was depicted in a positive fashion most frequently (56.6%), notably compared against the negative portrayal at 3.2%. Negative posts most commonly cited postoperative pain or bleeding.Conclusions: Most social media posts analyzed in this multi-platform study depicted sinus surgery in a positive fashion. Patients tended to post in the postoperative or perioperative period, whereas physicians tender to post intraoperative educational posts. Negative posts were most commonly centered around postoperative pain. Cautious interpretation of these results could be used for improving patient care and outreach in the digital age.</t>
  </si>
  <si>
    <t>[Rossi, Nicholas A.; McKinnon, Brian J.; Siddiqui, Farrah N.; Lees, Katherine A.] Univ Texas Med Branch, Dept Otolaryngol Head &amp; Neck Surg, Galveston, TX 77550 USA; [George, Sachin S.; Patel, Kirav P.; Reddy, Devin N.] Univ Texas Med Branch, Sch Med, Galveston, TX 77550 USA; [Ohlstein, Jason F.] St Lukes Univ Hlth Network, Dept Otolaryngol, Bethlehem, PA USA</t>
  </si>
  <si>
    <t>University of Texas System; University of Texas Medical Branch Galveston; University of Texas System; University of Texas Medical Branch Galveston</t>
  </si>
  <si>
    <t>0196-0709</t>
  </si>
  <si>
    <t>1532-818X</t>
  </si>
  <si>
    <t>AM J OTOLARYNG</t>
  </si>
  <si>
    <t>Am. J. Otolaryngol.</t>
  </si>
  <si>
    <t>10.1016/j.amjoto.2022.103388</t>
  </si>
  <si>
    <t>0W3CL</t>
  </si>
  <si>
    <t>WOS:000788909200020</t>
  </si>
  <si>
    <t>Rogers, R</t>
  </si>
  <si>
    <t>Rogers, Richard</t>
  </si>
  <si>
    <t>Marginalizing the Mainstream: How Social Media Privilege Political Information</t>
  </si>
  <si>
    <t>FRONTIERS IN BIG DATA</t>
  </si>
  <si>
    <t>misinformation; fake news; social media; data journalism; web epistemology</t>
  </si>
  <si>
    <t>The following reports on research undertaken concerning the misinformation problem on social media during the run-up to the U.S. presidential elections in 2020. Employing techniques borrowed from data journalism, it develops a form of cross-platform analysis that is attuned to both commensurability as well as platform specificity. It analyses the most engaged-with or top-ranked political content on seven online platforms: TikTok, 4chan, Reddit, Twitter, Facebook, Instagram and Google Web Search. Discussing the extent to which social media platforms marginalize mainstream media and mainstream the fringe, the analyses found that TikTok parodies mainstream media, 4chan and Reddit dismiss it and direct users to alternative influencer networks and extreme YouTube content. Twitter prefers the hyperpartisan over it. Facebook's fake news problem also concerns declining amounts of mainstream media referenced. Instagram has influencers (rather than, say, experts) dominating user engagement. By comparison, Google Web Search buoys the liberal mainstream (and sinks conservative sites), but generally gives special interest sources, as they were termed in the study, the privilege to provide information rather than official sources. The piece concludes with a discussion of source and platform criticism, concerning how online platforms are seeking to filter the content that is posted or found there through increasing editorial intervention. These editorial epistemologies, applied especially around COVID-19 keywords, are part of an expansion of so-called content moderation to what I call serious queries, or keywords that return official information. Other epistemological strategies for editorially moderating the misinformation problem are also treated.</t>
  </si>
  <si>
    <t>[Rogers, Richard] Univ Amsterdam, Media Studies, Amsterdam, Netherlands</t>
  </si>
  <si>
    <t>Rogers, R (corresponding author), Univ Amsterdam, Media Studies, Amsterdam, Netherlands.</t>
  </si>
  <si>
    <t>rogers@uva.nl</t>
  </si>
  <si>
    <t>European Union [732942]</t>
  </si>
  <si>
    <t>European Union(European Union (EU))</t>
  </si>
  <si>
    <t>The research has received funding from the European Union's Horizon 2020 research and innovation program under grant agreement No. 732942, project ODYCCEUS.</t>
  </si>
  <si>
    <t>2624-909X</t>
  </si>
  <si>
    <t>FRONT BIG DATA</t>
  </si>
  <si>
    <t>Front. Big Data</t>
  </si>
  <si>
    <t>JUL 6</t>
  </si>
  <si>
    <t>10.3389/fdata.2021.689036</t>
  </si>
  <si>
    <t>Computer Science, Information Systems; Computer Science, Interdisciplinary Applications; Multidisciplinary Sciences</t>
  </si>
  <si>
    <t>Computer Science; Science &amp; Technology - Other Topics</t>
  </si>
  <si>
    <t>TP3KH</t>
  </si>
  <si>
    <t>WOS:000677491800001</t>
  </si>
  <si>
    <t>Akhund, TMNU; Ajabani, D; Shaikh, ZA; Elrashidi, A; Nureldeen, WA; Bhatti, MI; Sarker, MM</t>
  </si>
  <si>
    <t>Akhund, Tajim Md. Niamat Ullah; Ajabani, Deep; Shaikh, Zaffar Ahmed; Elrashidi, Ali; Nureldeen, Waleed A.; Bhatti, Muhammad Ishaq; Sarker, M. Mesbahuddin</t>
  </si>
  <si>
    <t>A comprehensive exploration of human communal media interaction and its evolving impact on psychological health across demographics and time</t>
  </si>
  <si>
    <t>PEERJ COMPUTER SCIENCE</t>
  </si>
  <si>
    <t>Human communal media interaction; Systematic review; Time trends; Psycho-; logical health; Communal media survey; Communal media interaction; Psychological health; Demographics; Evolving impact; Human interaction</t>
  </si>
  <si>
    <t>SOCIAL MEDIA; MENTAL-HEALTH; SMARTPHONES; ASSOCIATION; ADOLESCENTS; CONNECTION; NETWORKING; FACEBOOK; SLEEP</t>
  </si>
  <si>
    <t>This work presents a comprehensive literature review and real-world survey analysis examining the intricate relationship between communal media and psychological concerns within human-computer interaction (HCI). By systematically categorizing research from 1995 to 2023, we observe a significant increase in studies, reflecting the growing recognition of communal media's impact on psychological well-being. Our review delves into various HCI aspects, including demographic effects, emotional sentiment analysis, online social networking, and communal media use intensity. A real-world survey focusing on TikTok users reveals diverse user perspectives on safety, privacy, and the platform's impact on creativity and mental health. The data highlights a demographic predominance of young adults aged 16-24, with creativity, leisure, and content discovery being primary engagement motivators. Positive impacts such as creative inspiration and distraction from worries are contrasted with concerns over privacy invasion, harm to underaged users, and addiction. Correlation analysis underscores the complex interplay between user experiences and perceptions. Future research should prioritize enhancing privacy and safety measures, educational campaigns, and in-depth studies on the long-term psychological impacts of TikTok usage. Additionally, exploring platform modifications and conducting longitudinal and cross-platform studies will help create a safer and more engaging social media environment. This work contributes significantly to the expanding HCI body of knowledge, providing a robust foundation for future research to inform policies and interventions promoting positive psychological outcomes in the digital age.</t>
  </si>
  <si>
    <t>[Akhund, Tajim Md. Niamat Ullah] Daffodil Int Univ, Dept CSE, Dhaka, Bangladesh; [Akhund, Tajim Md. Niamat Ullah] Saga Univ, Grad Sch Sci &amp; Engn, Saga, Japan; [Ajabani, Deep] Source InfoTech Inc, Loganville, GA 75320 USA; [Shaikh, Zaffar Ahmed] Benazir Bhutto Shaheed Univ Lyari, Dept Comp Sci &amp; Informat Technol, Karachi, Sindh, Pakistan; [Shaikh, Zaffar Ahmed] Ecole Polytech Fed Lausanne, Sch Engn, Lausanne, Switzerland; [Elrashidi, Ali] Univ Business &amp; Technol, Elect Engn Dept, Jeddah, Saudi Arabia; [Nureldeen, Waleed A.] Univ Business &amp; Technol, UBT Acad, Jeddah, Saudi Arabia; [Bhatti, Muhammad Ishaq] La Trobe Univ, Dept Econ Finance &amp; Mkt, Melbourne, NSW, Australia; [Sarker, M. Mesbahuddin] Jahangirnagar Univ, Inst Informat Technol, Dhaka, Bangladesh</t>
  </si>
  <si>
    <t>Daffodil International University; Saga University; Swiss Federal Institutes of Technology Domain; Ecole Polytechnique Federale de Lausanne; University of Business &amp; Technology; University of Business &amp; Technology; La Trobe University; Jahangirnagar University</t>
  </si>
  <si>
    <t>Shaikh, ZA (corresponding author), Benazir Bhutto Shaheed Univ Lyari, Dept Comp Sci &amp; Informat Technol, Karachi, Sindh, Pakistan.;Shaikh, ZA (corresponding author), Ecole Polytech Fed Lausanne, Sch Engn, Lausanne, Switzerland.;Elrashidi, A (corresponding author), Univ Business &amp; Technol, Elect Engn Dept, Jeddah, Saudi Arabia.</t>
  </si>
  <si>
    <t>zashaikh@bbsul.edu.pk; a.elrashidi@ubt.edu.sa</t>
  </si>
  <si>
    <t>Elrashidi, Ali/L-9083-2018; Shaikh, Zaffar Ahmed/D-3954-2012; Akhund, Tajim Md Niamat Ullah/AIA-2907-2022</t>
  </si>
  <si>
    <t>PEERJ INC</t>
  </si>
  <si>
    <t>341-345 OLD ST, THIRD FLR, LONDON, EC1V 9LL, ENGLAND</t>
  </si>
  <si>
    <t>2376-5992</t>
  </si>
  <si>
    <t>PEERJ COMPUT SCI</t>
  </si>
  <si>
    <t>PeerJ Comput. Sci.</t>
  </si>
  <si>
    <t>OCT 24</t>
  </si>
  <si>
    <t>e2398</t>
  </si>
  <si>
    <t>10.7717/peerj-cs.2398</t>
  </si>
  <si>
    <t>L3E0Q</t>
  </si>
  <si>
    <t>WOS:001349573500002</t>
  </si>
  <si>
    <t>Rynarzewska, AI; Nafees, L; Nikolov, AN</t>
  </si>
  <si>
    <t>Rynarzewska, Ania Izabela; Nafees, Lubna; Nikolov, Atanas Nik</t>
  </si>
  <si>
    <t>Typology and impact of follower responses to social media influencer promotional crisis</t>
  </si>
  <si>
    <t>Influencer Marketing; Influencer Promotion Crisis; Influencer Transgressions; Parasocial Relations; Social Capital; Social Media Influencer-Audience Relationship; Social Media Influencer-Follower Network; TikTok</t>
  </si>
  <si>
    <t>PARASOCIAL RELATIONSHIP; REALITY TELEVISION; SOURCE CREDIBILITY; ENGAGEMENT; PURCHASE; COMMUNICATION; CONGRUENCE; VALIDATION; CELEBRITY; CONSTRUCT</t>
  </si>
  <si>
    <t>This study introduces a typology of follower responses to seemingly deceptive promotional content by a social media influencer (SMI) and the effects of those responses on observers. Through a large-scale, mixed-methods analysis of an influencer's promotional crisis in early 2023, popularly known as Mascaragate on TikTok, we identified follower engagement types that potentially harm both SMI and the promoted brand. The crisis sparked an unusually high level of network activity, providing valuable insights into the ripple effects of follower reactions. Drawing on parasocial relationship theory and social capital theory, we proposed that interactions between influencers and their followers, as well as among followers, evolve systematically through linguistic and social cues. These interactions can shift the original meaning of the influencer's message, leading to unintended consequences for both SMI and the brand. Through netnography and k-means cluster analysis, we identified three distinct clusters of followers with unique attitudes toward the post and SMI. One group (i.e., Type 1) was particularly adept at reshaping the meaning of the SMI post through rational engagement with other followers. A subsequent experiment assessed the impact of each group's comments on the observers within a broader community network, focusing on credibility, skepticism, and the impact of social media dependency. The findings offer practical tools for brands and SMIs to analyze follower comment patterns and suggest strategies for addressing crises stemming from SMI-linked promotional content, ultimately helping to preserve brand reputation and trust.</t>
  </si>
  <si>
    <t>[Rynarzewska, Ania Izabela] Georgia Coll &amp; State Univ, J Whitney Bunting Coll Business &amp; Technol, Dept Management Mkt &amp; Logist, Milledgeville, GA USA; [Nafees, Lubna] Appalachian State Univ, Walker Coll Business, Dept Mkt &amp; Supply Chain Management, Boone, NC 28608 USA; [Nikolov, Atanas Nik] Kennesaw State Univ, Coles Coll Business, Dept Mkt &amp; Profess Sales, Kennesaw, GA 30144 USA</t>
  </si>
  <si>
    <t>University System of Georgia; Georgia College &amp; State University; University of North Carolina; Appalachian State University; University System of Georgia; Kennesaw State University</t>
  </si>
  <si>
    <t>Rynarzewska, AI (corresponding author), Georgia Coll &amp; State Univ, J Whitney Bunting Coll Business &amp; Technol, Dept Management Mkt &amp; Logist, Mkt, Milledgeville, GA 31061 USA.</t>
  </si>
  <si>
    <t>ania.rynarzewska@gmail.com</t>
  </si>
  <si>
    <t>, Lubna/AAA-8581-2021; Rynarzewska, PhD., Ania/AAB-2906-2022</t>
  </si>
  <si>
    <t>Nafees, Lubna/0000-0002-4087-7590; Rynarzewska, Ania/0000-0003-4899-991X</t>
  </si>
  <si>
    <t>10.1002/mar.22133</t>
  </si>
  <si>
    <t>I1A0T</t>
  </si>
  <si>
    <t>WOS:001327641500001</t>
  </si>
  <si>
    <t>Hasley, HL; Bukowiec, LG; Zaifman, JM; Malik, M; Batko, B; Kissin, YD; Kelly, M</t>
  </si>
  <si>
    <t>Hasley, Hunter L.; Bukowiec, Lainey G.; Zaifman, Jay M.; Malik, Martin; Batko, Brian; Kissin, Yair D.; Kelly, Michael</t>
  </si>
  <si>
    <t>Cross-platform social media analysis regarding ACL injury and surgery</t>
  </si>
  <si>
    <t>CURRENT ORTHOPAEDIC PRACTICE</t>
  </si>
  <si>
    <t>Social Media; ACL Surgery; Knee; Ligament and tendon repair/reconstruction; Sports medicine</t>
  </si>
  <si>
    <t>PATIENT</t>
  </si>
  <si>
    <t>Background: Anterior cruciate ligament (ACL) injury affects a broad patient population, but there is limited knowledge on how ACL injury is discussed across social media platforms. This study aims to develop an extensive snapshot of the social media milieu for understanding who uses social media platforms, what topics users discuss, and how these platforms vary regarding ACL injury and surgery.Methods: We utilized a qualitative, descriptive design with quantitative statistical analysis including Kruskal-Wallis tests and Fisher's Exact tests with post hoc analyses to examine new posts across Facebook, Instagram, Twitter, and TikTok using ACL-specific search terms from August 2021 to January 2022. Posts were analyzed by authorship, content characterization, and engagement.Results: Across social media sites, 760 posts were examined involving ACL surgery and injury. There was statistically significant difference among the platforms when comparing categories of authorship (P&lt;0.001). There were statistically significant differences where physicians (P&lt;0.001) and patients (P&lt;0.001) posted, with physicians representing 20.6% and 19.5% of posts on Facebook and Twitter, respectively. TikTok displayed the highest patient authorship (83.5%) and greatest content engagement. There were also significant differences among platforms regarding content characterization (P&lt;0.001).Conclusions: This study breaks down a snapshot of social media revolving around ACL injury and surgery demonstrating differences in authorship, content, and engagement of posts across platforms. These findings demonstrate the frequent use of social media by patients to address unmet clinical needs and can help surgeons and patients connect on the same platforms.Level of Evidence: Level IV.</t>
  </si>
  <si>
    <t>[Hasley, Hunter L.; Bukowiec, Lainey G.; Zaifman, Jay M.; Malik, Martin] Hackensack Meridian Sch Med, Nutley, NJ USA; [Batko, Brian] Rutgers New Jersey Med Sch, Dept Orthopaed, Newark, NJ USA; [Kissin, Yair D.; Kelly, Michael] Hackensack Univ, Med Ctr, Dept Orthoped, Hackensack, NJ USA; [Hasley, Hunter L.] Hackensack Meridian Sch Med, 551 Ctr St 203, Nutley, NJ 07110 USA</t>
  </si>
  <si>
    <t>Rutgers University System; Rutgers University New Brunswick; Rutgers University Biomedical &amp; Health Sciences; Hackensack University Medical Center</t>
  </si>
  <si>
    <t>Hasley, HL (corresponding author), Hackensack Meridian Sch Med, 551 Ctr St 203, Nutley, NJ 07110 USA.</t>
  </si>
  <si>
    <t>hunter.hasley@hmhn.org; bukowiec.lainey@mayo.edu; Jay.Zaifman@hmhn.org; martin.malik@hmhn.org; bdb103@njms.rutgers.edu; yair.kissin@hmhn.org; sarah@jerrycat.com</t>
  </si>
  <si>
    <t>1940-7041</t>
  </si>
  <si>
    <t>1941-7551</t>
  </si>
  <si>
    <t>CURR ORTHOP PRACT</t>
  </si>
  <si>
    <t>Curr. Orthop. Pract.</t>
  </si>
  <si>
    <t>10.1097/BCO.0000000000001229</t>
  </si>
  <si>
    <t>CG3I9</t>
  </si>
  <si>
    <t>WOS:001124056300004</t>
  </si>
  <si>
    <t>Tonkovich, N; Baskar, D; Frick, S</t>
  </si>
  <si>
    <t>Tonkovich, Natalie; Baskar, Danika; Frick, Steve</t>
  </si>
  <si>
    <t>The Impact of the Digital Age and Social Media on Connecting the Clubfoot Community</t>
  </si>
  <si>
    <t>clubfoot; talipes equinovarus; ponseti; social media; support; information sharing; community</t>
  </si>
  <si>
    <t>INTERNET USE</t>
  </si>
  <si>
    <t>Background Internet chat rooms played an important role in the late 1990s promoting the Ponseti method as the preferred initial treatment for congenital clubfoot. The social media boom has created multiple new methods for caregivers to seek support from a global community using a variety of platforms that are now easily available. This study assesses the reach of information shared across social media platforms about congenital clubfoot and analyzes topics most commonly discussed among members in these groups. Methodology Posts and pages across Facebook, Instagram, Twitter, and TikTok were evaluated to identify the top clubfoot-related hashtags and accounts. In addition, content themes were analyzed for posts across all platforms. Results There were 122 clubfoot-focused Facebook groups for parent support, and the five Facebook groups with the highest number of posts during the study period were found to frequently discuss the following topics: successful treatment stories, questions about casting, bracing, relapse, and commercial items compatible with clubfoot treatment. Twitter pages contained information about live webinars, educational resources for parents and providers, and the impact of the coronavirus disease 2019 pandemic on clubfoot treatment. A search across visual platforms using #clubfoot yielded over 59,000 cumulative posts on Instagram and over 34.7 million total views on TikTok. Conclusions Parents of clubfoot patients are increasingly connecting through digital social media platforms, relying on them for information on clubfoot, and utilizing them as a network for social support. Clubfoot physicians should be aware of this content on social media to promote education and discussion that addresses parent concerns, provides accurate information, and guides expectations.</t>
  </si>
  <si>
    <t>[Tonkovich, Natalie; Baskar, Danika; Frick, Steve] Stanford Univ, Orthopaed, Stanford, CA 94305 USA</t>
  </si>
  <si>
    <t>Frick, S (corresponding author), Stanford Univ, Orthopaed, Stanford, CA 94305 USA.</t>
  </si>
  <si>
    <t>sfrick01@stanford.edu</t>
  </si>
  <si>
    <t>Frick, Steven/LSJ-5582-2024</t>
  </si>
  <si>
    <t>e16780</t>
  </si>
  <si>
    <t>10.7759/cureus.16780</t>
  </si>
  <si>
    <t>UA3BO</t>
  </si>
  <si>
    <t>WOS:000685037500010</t>
  </si>
  <si>
    <t>Yang, B; Li, YC; Terán, L; Choi, E; Choi, Y</t>
  </si>
  <si>
    <t>Yang, Bo; Li, Yachao; Teran, Larissa; Choi, Eunjoo; Choi, Yunjin</t>
  </si>
  <si>
    <t>COVID-19 Vaccines #ForYou: Analyzing COVID-19 Vaccine Videos on TikTok During the Early Phase of the Vaccine Rollout in the US</t>
  </si>
  <si>
    <t>INFORMATION; HUMOR</t>
  </si>
  <si>
    <t>This study examined COVID-19 vaccine videos on TikTok (n = 216 collected in March 2021) during the early days of the vaccine rollout in the U.S., including video source, overall stance toward COVID-19 vaccines, Health Belief Model (HBM)-related content, message features (i.e. humor, video type, message sensation value, on-screen text, and unoriginal sound), and user engagement indices (number of views, shares, comments, and likes). Regarding source, health professionals and general users were two of the main sources, which varied depending on video stance. Pro-vaccine videos occurred the most often from health professionals whereas anti-vaccine videos occurred the most often from general users. Health professionals (vs. general users) generated more views, shares, comments, and likes. Regarding stance, we found more pro- than anti-vaccine videos (57.9% vs. 37.5%). Stance was not related with any user engagement index. Though many videos were pro-vaccine, the content corresponding to HBM-specified factors, which likely facilitate a positive behavioral change, was largely lacking, such as mentions of COVID-19 severity (5.6%), susceptibility (2.8%) and information boosting vaccination self-efficacy (3.7%). Mentions of side effects (34%) emerged as the major vaccination barrier. HBM-related mentions were not related with any user engagement index. COVID-19 vaccine videos used several features, which varied across stance. Pro-vaccine videos featured more musical performance, while anti-vaccine videos used more humor, playacting, sound effects, and unoriginal sound. Several message features (e.g. humor and on-screen text) were positively associated with users' engagement with a video. Practical and theoretical implications of the findings are discussed.</t>
  </si>
  <si>
    <t>[Yang, Bo; Choi, Eunjoo; Choi, Yunjin] Univ Arizona, Dept Commun, Tucson, AZ USA; [Li, Yachao] Coll New Jersey, Dept Commun Studies, Ewing Township, NJ USA; [Li, Yachao] Coll New Jersey, Dept Publ Hlth, Ewing Township, NJ USA; [Teran, Larissa] Geena Davis Inst Gender Media, Rancho Cucamonga, CA USA; [Yang, Bo] Univ Arizona, Dept Commun, 1103 Univ Blvd, Room 317, Tucson, AZ 85721 USA</t>
  </si>
  <si>
    <t>University of Arizona; College of New Jersey; College of New Jersey; University of Arizona</t>
  </si>
  <si>
    <t>Yang, B (corresponding author), Univ Arizona, Dept Commun, 1103 Univ Blvd, Room 317, Tucson, AZ 85721 USA.</t>
  </si>
  <si>
    <t>byang1@arizona.edu</t>
  </si>
  <si>
    <t>Li, Yachao/GRY-7318-2022</t>
  </si>
  <si>
    <t>Teran, Larissa/0000-0002-0035-3645; Li, Yachao/0000-0001-8268-1935</t>
  </si>
  <si>
    <t>10.1080/10410236.2023.2227431</t>
  </si>
  <si>
    <t>TY0J1</t>
  </si>
  <si>
    <t>WOS:001011938400001</t>
  </si>
  <si>
    <t>Wehrli, S; Irrgang, C; Scott, M; Arnrich, B; Boender, TS</t>
  </si>
  <si>
    <t>Wehrli, Silvan; Irrgang, Christopher; Scott, Mark; Arnrich, Bert; Boender, T. Sonia</t>
  </si>
  <si>
    <t>The role of the (in)accessibility of social media data for infodemic management: a public health perspective on the situation in the European Union in March 2024</t>
  </si>
  <si>
    <t>infodemic; infodemic management; public health; social media; data access; digital services act; misinformation; disinformation</t>
  </si>
  <si>
    <t>Public health institutions rely on the access to social media data to better understand the dynamics and impact of infodemics - an overabundance of information during a disease outbreak, potentially including mis-and disinformation. The scope of the COVID-19 infodemic has led to growing concern in the public health community. The spread of harmful information or information voids may negatively impact public health. In this context, social media are of particular relevance as an integral part of our society, where much information is consumed. In this perspective paper, we discuss the current state of (in)accessibility of social media data of the main platforms in the European Union. The European Union's relatively new Digital Services Act introduces the obligation for platforms to provide data access to a wide range of researchers, likely including researchers at public health institutions without formal academic affiliation. We examined eight platforms (Facebook, Instagram, LinkedIn, Pinterest, Snapchat, TikTok, X, YouTube) affected by the new legislation in regard to data accessibility. We found that all platforms apart from TikTok offer data access through the Digital Services Act. Potentially, this presents a fundamentally new situation for research, as before the Digital Services Act, few platforms granted data access or only to very selective groups of researchers. The access regime under the Digital Services Act is, however, still evolving. Specifics such as the application procedure for researcher access are still being worked out and results can be expected in spring 2024. The impact of the Digital Services Act on research will therefore only become fully apparent in the future.</t>
  </si>
  <si>
    <t>[Wehrli, Silvan; Irrgang, Christopher] Robert Koch Inst, Ctr Artificial Intelligence Publ Hlth Res, Berlin, Germany; [Scott, Mark] Brown Univ, Sch Publ Hlth, Providence, RI USA; [Arnrich, Bert] Univ Potsdam, Hasso Plattner Inst, Digital Hlth Connected Healthcare, Potsdam, Germany; [Boender, T. Sonia] Publ Hlth Serv Amsterdam, Dept Infect Dis, Amsterdam, Netherlands; [Boender, T. Sonia] Amsterdam Publ Hlth Res Inst, Fac Sci, Dept Hlth Sci, Amsterdam, Netherlands; [Boender, T. Sonia] Vrije Univ, Amsterdam Inst Immunol &amp; Infect Dis, Amsterdam, Netherlands; [Boender, T. Sonia] Robert Koch Inst, Risk Commun Unit, Berlin, Germany</t>
  </si>
  <si>
    <t>Robert Koch Institute; Brown University; University of Potsdam; Public Health Service Amsterdam; Vrije Universiteit Amsterdam; Vrije Universiteit Amsterdam; Robert Koch Institute</t>
  </si>
  <si>
    <t>Wehrli, S (corresponding author), Robert Koch Inst, Ctr Artificial Intelligence Publ Hlth Res, Berlin, Germany.</t>
  </si>
  <si>
    <t>WehrliS@rki.de</t>
  </si>
  <si>
    <t>Boender, Tamara Sonia/H-9374-2019; Arnrich, Bert/HKV-9936-2023</t>
  </si>
  <si>
    <t>Boender, Tamara Sonia/0000-0002-4418-3713; Wehrli, Silvan/0009-0006-3377-1890</t>
  </si>
  <si>
    <t>10.3389/fpubh.2024.1378412</t>
  </si>
  <si>
    <t>OI5Y4</t>
  </si>
  <si>
    <t>WOS:001206667400001</t>
  </si>
  <si>
    <t>Lombardo, GAG; Camilloni, C; Violini, H; Ciancio, F; Melita, D; Brunetti, B; Zagami, S; Marchica, P; Persichetti, P; Ranno, R</t>
  </si>
  <si>
    <t>Lombardo, G. A. G.; Camilloni, C.; Violini, H.; Ciancio, F.; Melita, D.; Brunetti, B.; Zagami, S.; Marchica, P.; Persichetti, P.; Ranno, R.</t>
  </si>
  <si>
    <t>Cyber social proof and hazard: Investigating the impact of social media on pediatric burn incidents - Analysis and comprehensive literature review</t>
  </si>
  <si>
    <t>ANNALES DE CHIRURGIE PLASTIQUE ESTHETIQUE</t>
  </si>
  <si>
    <t>Burns; Burn injury; Trauma; Teenager; Social media; Challenge; TikTok; YouTube; Reconstructive surgery; Debridement; Nexobrid; Skin grafts</t>
  </si>
  <si>
    <t>PEER PRESSURE</t>
  </si>
  <si>
    <t>Investigating the growing concern of pediatric burn injuries caused by social media challenges. Adolescents, seeking fame or succumbing to peer pressure, engage in risky behaviors, recording and sharing them online. The study presents two case reports detailing severe burn injuries resulting from such challenges, highlighting the physical and psychological toll on affected children and their families. In Case report 1, a 14-year-old suffered severe burns attempting a TikTok challenge involving igniting a soaked t-shirt. The patient's critical condition necessitated intensive care, surgical procedures, and skin grafts, accompanied by complications like anemia and sepsis. Case report 2 features a 9-year-old who sustained extensive burns while attempting another social media challenge. Treatment included escharolysis, skin grafts, and surgeries, with complications managed during the recovery process. A literature review explores ocial media-generated burn injuries, revealing their physical and psychological impact. The influence of social proof and peer pressure on adolescents' behavior in the digital age is discussed. The pandemic's effect on mental health is considered, emphasizing the vulnerability of adolescents to such challenges. In conclusion, the paper highlights the rising incidence of teen burn injuries linked to social media challenges. Urgent measures are needed to restrict the promotion of risky behaviors on social platforms. Alongside state-of-the-art burn treatments, comprehensive psychological care is essential for young patients and their families to cope with trauma. Increased content monitoring and the dissemination of prevention materials are recommended to mitigate the occurrence of such incidents. (c) 2024 Elsevier Masson SAS. All rights are reserved, including those for text and data mining, AI training, and similar technologies.</t>
  </si>
  <si>
    <t>[Lombardo, G. A. G.; Violini, H.; Ciancio, F.; Melita, D.; Zagami, S.; Marchica, P.; Ranno, R.] Azienda Osped Cannizzaro, Burn &amp; Plast Reconstruct &amp; Aesthet Surg, Via Messina 829, Catania, Italy; [Lombardo, G. A. G.] Univ Unikore Enna, Piazza Univ, I-94100 Enna, EN, Italy; [Camilloni, C.; Brunetti, B.; Persichetti, P.] Univ Campus Biomed Roma, Via Alvaro del Portillo 200, I-00128 Rome, Italy</t>
  </si>
  <si>
    <t>University Campus Bio-Medico - Rome Italy</t>
  </si>
  <si>
    <t>Camilloni, C (corresponding author), Univ Campus Biomed Roma, Plast Reconstruct &amp; Aesthet Surg, Via Alvaro del Portillo 200, I-00128 Rome, Italy.</t>
  </si>
  <si>
    <t>chiara.camilloni@unicampus.it</t>
  </si>
  <si>
    <t>Lombardo, Giuseppe/ABE-6067-2022; Camilloni, Chiara/KHY-6012-2024</t>
  </si>
  <si>
    <t>Camilloni, Chiara/0000-0002-2340-162X; Lombardo, Giuseppe Angelo Giovanni/0000-0003-3704-9265; Marchica, Paolo/0000-0002-2108-2979</t>
  </si>
  <si>
    <t>BRIDGEWATER</t>
  </si>
  <si>
    <t>685 ROUTE 202-206, BRIDGEWATER, NJ 08807 USA</t>
  </si>
  <si>
    <t>0294-1260</t>
  </si>
  <si>
    <t>1768-319X</t>
  </si>
  <si>
    <t>ANN CHIR PLAST ESTH</t>
  </si>
  <si>
    <t>Ann. Chir. Plast. Esthet.</t>
  </si>
  <si>
    <t>10.1016/j.anplas.2024.05.006</t>
  </si>
  <si>
    <t>E5A7I</t>
  </si>
  <si>
    <t>WOS:001303133700001</t>
  </si>
  <si>
    <t>Gil-Cordero, E; Rodriguez-Rad, C; Ledesma-Chaves, P; del Río-Vázquez, MES</t>
  </si>
  <si>
    <t>Gil-Cordero, Eloy; Rodriguez-Rad, Carlos; Ledesma-Chaves, Pablo; del Rio-Vazquez, Maria-Elena Sanchez</t>
  </si>
  <si>
    <t>Analysis of factors affecting the effectiveness of face-to-face marketing learning via TikTok, YouTube and video conferencing</t>
  </si>
  <si>
    <t>Marketing learning; Learning effectiveness; Satisfaction; PLS-SEM; fsQCA</t>
  </si>
  <si>
    <t>TECHNOLOGY ACCEPTANCE MODEL; QUALITATIVE COMPARATIVE-ANALYSIS; TEACHING PRACTICAL SKILLS; STRUCTURAL EQUATION MODEL; PERCEIVED EASE; PLS-SEM; CONTINUANCE INTENTION; STUDENTS SATISFACTION; SYSTEMS SUCCESS; SOCIAL MEDIA</t>
  </si>
  <si>
    <t>After the COVID-19 pandemic, the use of virtual platforms, social networks and online applications has been totally modified by returning to face-to-face systems. The mandatory use of these tools in the period of social distancing has led to their extensive development. This paper analyzes the effects of the use of ICTs in a purely face-to-face environment. Therefore, it analyzes the factors that affect student satisfaction and effectiveness in marketing learning through the use of digital tools and online applications in face-to-face classes, and this analysis is from a dual perspective of user and learning dissatisfaction. Using a learner-centered approach in university classes, the use of the digital platform Blackboard, the digital tool YouTube and the social network TikTok in university marketing teaching is analyzed. The study is carried out on a sample of 327 university students of different levels. The analysis is performed through a mixed methodology using a symmetric (PLS-SEM) and non-symmetric (fsQCA) approach, allowing a better generalization of the results. In the measurement of effectiveness, both user assessment and student learning assessment are significative, the two being affected in a similar way. However, they are not related to each other, acting independently. Attitude is the construct that has the greatest impact on both types of satisfaction. Perceived enjoyment also exerts a notable influence, especially on learning satisfaction. The study presents one of the first post-pandemic approaches to the analysis of the effectiveness of technological tools (ICT tools) in the face-to-face setting of university marketing classes.</t>
  </si>
  <si>
    <t>[Gil-Cordero, Eloy; Rodriguez-Rad, Carlos; Ledesma-Chaves, Pablo; del Rio-Vazquez, Maria-Elena Sanchez] Univ Seville, Dept Business Adm &amp; Mkt, Seville 41018, Spain; [Gil-Cordero, Eloy] Univ Seville, Seville, Andalucia, Spain</t>
  </si>
  <si>
    <t>Gil-Cordero, E (corresponding author), Univ Seville, Seville, Andalucia, Spain.</t>
  </si>
  <si>
    <t>egcordero@us.es</t>
  </si>
  <si>
    <t>Gil, Eloy/B-8011-2018; Sanchez-del-Rio-Vazquez, Maria-Elena/AAF-9390-2019; Ledesma-Chaves, Pablo/ACV-7129-2022</t>
  </si>
  <si>
    <t>Sanchez-del-Rio-Vazquez, Maria-Elena/0000-0001-6080-3268; Ledesma-Chaves, Pablo/0000-0001-7058-4820; Gil-Cordero, Eloy/0000-0003-0151-8437</t>
  </si>
  <si>
    <t>e17195</t>
  </si>
  <si>
    <t>10.1016/j.heliyon.2023.e17195</t>
  </si>
  <si>
    <t>Q2EO6</t>
  </si>
  <si>
    <t>WOS:001055703000001</t>
  </si>
  <si>
    <t>Yang, Y; Liu, RD; Ding, Y; Lin, JM; Ding, Z; Yang, XT</t>
  </si>
  <si>
    <t>Yang, Yi; Liu, Ru-De; Ding, Yi; Lin, Jingmin; Ding, Zien; Yang, Xiantong</t>
  </si>
  <si>
    <t>Time distortion for short-form video users</t>
  </si>
  <si>
    <t>Time perception; Short-form video use; Duration estimation</t>
  </si>
  <si>
    <t>PERCEPTION; DURATION; ADDICTION; FLOW; INTERNET; RISK</t>
  </si>
  <si>
    <t>Time distortion occurs when individuals exhibit either overestimation or underestimation of the duration of events or activities. Previous studies of the relations between media use and time distortion have mainly focused on video games or social media. Given the widespread use and unique characteristics of short-form videos, we aimed to explore the effects of short-form video use on time distortion through two empirical studies. In Study 1, we conducted a three-phase survey among 111 college students consisting of demographic information, subjectively estimated and objectively recorded daily short-form video use, and a general unrelated survey task. Students were then asked how much time they spent on the survey task. The results showed that short-form video use frequency significantly positively predicted the degree of overestimation of both daily short-form video use and time spent on the general survey task. In Study 2, we assigned 62 college students to one of two priming activities (15 min of TikTok or reading) and compared their duration perceptions of the 15-min priming activity and of a subsequent 15-min general academic task. The results showed that the TikTok group significantly overestimated the duration of both the priming activity and the subsequent academic task, and their frequency of daily short-form video use significantly positively predicted their degree of overestimation. However, the reading group demonstrated relatively accurate duration estimation with no time distortion. Our findings extend the cognitive models of time perception to the field of short-form video use and provide practical implications for intervention of short-form video overuse.</t>
  </si>
  <si>
    <t>[Liu, Ru-De; Ding, Yi; Lin, Jingmin; Ding, Zien; Yang, Xiantong] Beijing Normal Univ, Beijing Key Lab Appl Expt Psychol, Natl Demonstrat Ctr Expt Psychol Educ, Fac Psychol, Beijing 100875, Peoples R China; [Ding, Yi] Fordham Univ, Grad Sch Educ, New York, NY 10023 USA; [Liu, Ru-De] Beijing Normal Univ, Fac Psychol, 19 Xinjiekouwai St, Beijing 100875, Peoples R China</t>
  </si>
  <si>
    <t>Beijing Normal University; Fordham University; Beijing Normal University</t>
  </si>
  <si>
    <t>Liu, RD (corresponding author), Beijing Normal Univ, Fac Psychol, 19 Xinjiekouwai St, Beijing 100875, Peoples R China.</t>
  </si>
  <si>
    <t>liurude@126.com</t>
  </si>
  <si>
    <t>D, Yi/JJC-2699-2023; Yang, Xiantong/IUQ-2171-2023</t>
  </si>
  <si>
    <t>Liu, Ru-De/0000-0002-6745-4483; Yang, Xiantong/0000-0002-1679-2474; Ding, Yi/0000-0002-0631-9157; Yang, Yi/0000-0002-9584-3945</t>
  </si>
  <si>
    <t>10.1016/j.chb.2023.108009</t>
  </si>
  <si>
    <t>Z8XL3</t>
  </si>
  <si>
    <t>WOS:001114848400001</t>
  </si>
  <si>
    <t>Molina, RG</t>
  </si>
  <si>
    <t>Molina, Rocio Galarza</t>
  </si>
  <si>
    <t>Youth in the face of disinformation: A qualitative exploration of Mexican college students' attitudes, motivations, and abilities around false news</t>
  </si>
  <si>
    <t>Disinformation; fake news; Mexico; political interest; social media; TikTok; youth</t>
  </si>
  <si>
    <t>SOCIAL MEDIA; FAKE NEWS; CONSUMPTION; MISINFORMATION; SPREAD</t>
  </si>
  <si>
    <t>This paper aims to deepen our understanding of the relationship between young people in Mexico and disinformation, while shedding light on their practices and perceptions around this phenomenon. I have chosen a qualitative perspective to delve into the ways that Mexican college students interact and deal with the growing problem of false news in the current media landscape. Thus, I conducted semi-structured interviews (N = 28) using an elicitation technique, during which participants were exposed to real samples of disinformation content to encourage a conversation around the type of false news that they come across in their daily lives. Results reveal nuances in the ways that college students prefer social media over traditional media, even though they report finding more disinformation in the former. They also show the impact that students' attitudes and habits have on their relationship with disinformation. Moreover, the study presents evidence that college students critically question disinformation, do not take it at face value, and are not prone to share it. However, findings also highlight differences related to the format in which the false content is presented. For example, TikTok videos were more likely to effectively deceive the viewer, more so than images shared on Facebook. Students also believe that older people are more likely to believe in disinformation, potentially indicating a third-person effect of this content. Lastly, this exploration emphasizes the need to further examine the broader consequences of disinformation and believing in false content, such as a reduced interest in political information.</t>
  </si>
  <si>
    <t>[Molina, Rocio Galarza] Univ Autonoma Nuevo Leon, San Nicolas De Los Garza, Mexico</t>
  </si>
  <si>
    <t>Universidad Autonoma de Nuevo Leon</t>
  </si>
  <si>
    <t>Molina, RG (corresponding author), Univ Autonoma Nuevo Leon, San Nicolas De Los Garza, Mexico.</t>
  </si>
  <si>
    <t>rociogalarzamolina@gmail.com</t>
  </si>
  <si>
    <t>CONACYT</t>
  </si>
  <si>
    <t>CONACYT(Consejo Nacional de Ciencia y Tecnologia (CONACyT))</t>
  </si>
  <si>
    <t>This study was developed as part of the research project titled Disinformation in Mexico: Narratives about fake news in the media and audiences' behaviors and strategies in front of false news, which was funded by CONACYT through the grant call 2do Ano de Continuidad de Estancias Posdoctorales por Mexico: Modalidades 1 y 2.</t>
  </si>
  <si>
    <t>10.15581/003.36.2.97-113</t>
  </si>
  <si>
    <t>W1SW7</t>
  </si>
  <si>
    <t>WOS:001089511800007</t>
  </si>
  <si>
    <t>Lu, JR; Wei, YH; Wang, X; Zhang, YQ; Shao, JY; Sun, JJ</t>
  </si>
  <si>
    <t>Lu, Jing-Ru; Wei, Yu-Han; Wang, Xin; Zhang, Yu-Qing; Shao, Jia-Yi; Sun, Jiang-Jie</t>
  </si>
  <si>
    <t>Emotional differences based on comments on doctor-patient disputes with varying levels of severity</t>
  </si>
  <si>
    <t>WORLD JOURNAL OF PSYCHIATRY</t>
  </si>
  <si>
    <t>Doctor-patient relationship; Doctor-patient dispute; Comments; Emotional differences; Weibo; TikTok</t>
  </si>
  <si>
    <t>SENTIMENT ANALYSIS; NETWORK</t>
  </si>
  <si>
    <t>BACKGROUND The risks associated with negative doctor-patient relationships have seriously hindered the healthy development of medical and healthcare and aroused widespread concern in society. The number of public comments on doctor-patient relationship risk events reflects the degree to which the public pays attention to such events. AIM To explore public emotional differences, the intensity of comments, and the positions represented at different levels of doctor-patient disputes. METHODS Thirty incidents of doctor-patient disputes were collected from Weibo and TikTok, and 3655 related comments were extracted. The number of comment sentiment words was extracted, and the comment sentiment value was calculated. The Kruskal-Wallis H test was used to compare differences between each variable group at different levels of incidence. Spearman's correlation analysis was used to examine associations between variables. Regression analysis was used to explore factors influencing scores of comments on incidents. RESULTS The study results showed that public comments on media reports of doctor-patient disputes at all levels are mainly dominated by good and disgust emotional states. There was a significant difference in the comment scores and the number of partial emotion words between comments on varying levels of severity of doctor-patient disputes. The comment score was positively correlated with the number of emotion words related to positive, good, and happy) and negatively correlated with the number of emotion words related to negative, anger, disgust, fear, and sadness. CONCLUSION The number of emotion words related to negative, anger, disgust, fear, and sadness directly influences comment scores, and the severity of the incident level indirectly influences comment scores.</t>
  </si>
  <si>
    <t>[Lu, Jing-Ru; Wei, Yu-Han; Wang, Xin; Zhang, Yu-Qing; Shao, Jia-Yi; Sun, Jiang-Jie] Anhui Med Univ, Sch Hlth Care Management, 81 Meishan Rd, Hefei 230032, Anhui, Peoples R China; [Sun, Jiang-Jie] Hefei Univ Technol, Sch Management, Hefei 230039, Anhui, Peoples R China</t>
  </si>
  <si>
    <t>Anhui Medical University; Hefei University of Technology</t>
  </si>
  <si>
    <t>Sun, JJ (corresponding author), Anhui Med Univ, Sch Hlth Care Management, 81 Meishan Rd, Hefei 230032, Anhui, Peoples R China.</t>
  </si>
  <si>
    <t>sunjiangjie@ahmu.edu.cn</t>
  </si>
  <si>
    <t>National Natural Science Foundation of China [72374005]; Natural Science Foundation for the Higher Education Institutions of Anhui Province of China [2023AH050561]; Cultivation Programme for Young and Middle-aged Excellent Teachers in Anhui Province [YQZD2023021]</t>
  </si>
  <si>
    <t>National Natural Science Foundation of China(National Natural Science Foundation of China (NSFC)); Natural Science Foundation for the Higher Education Institutions of Anhui Province of China; Cultivation Programme for Young and Middle-aged Excellent Teachers in Anhui Province</t>
  </si>
  <si>
    <t>Supported by the National Natural Science Foundation of China, No. 72374005; Natural Science Foundation for the Higher Education Institutions of Anhui Province of China, No. 2023AH050561; Cultivation Programme for Young and Middle-aged Excellent Teachers in Anhui Province, No. YQZD2023021.</t>
  </si>
  <si>
    <t>BAISHIDENG PUBLISHING GROUP INC</t>
  </si>
  <si>
    <t>PLEASANTON</t>
  </si>
  <si>
    <t>7041 Koll Center Parkway, Suite 160, PLEASANTON, CA, UNITED STATES</t>
  </si>
  <si>
    <t>2220-3206</t>
  </si>
  <si>
    <t>WORLD J PSYCHIATR</t>
  </si>
  <si>
    <t>World J. Psychiatr.</t>
  </si>
  <si>
    <t>JUL 19</t>
  </si>
  <si>
    <t>10.5498/wjp.v14.i7.1068</t>
  </si>
  <si>
    <t>ZF3M9</t>
  </si>
  <si>
    <t>WOS:001273842600013</t>
  </si>
  <si>
    <t>Magadán-Díaz, M; Rivas-García, JI</t>
  </si>
  <si>
    <t>Magadan-Diaz, Marta; Rivas-Garcia, Jesus I.</t>
  </si>
  <si>
    <t>Persuasion and Engagement in the Spanish Bookfluencers' Content</t>
  </si>
  <si>
    <t>PUBLISHING RESEARCH QUARTERLY</t>
  </si>
  <si>
    <t>Bookfluencer; Book; Persuasion; Engagement; Spain</t>
  </si>
  <si>
    <t>This research aims to analyze the persuasiveness of bookfluencers and the impact of content formats on their followers' engagement and intention to purchase books. The theoretical framework for this study is the Elaboration Probability Model adapted to social networks. The research used the Experimental Vignette Methodology through a questionnaire launched to YouTube, Instagram, and TikTok users and via email to UEMC (Miguel de Cervantes European University) students. The data collected were treated statistically. The findings confirm the importance of argument quality in persuasive messages. The results highlight the significance of the audiovisual content format, both in the engagement and purchase intention, when followers process information through their central route.</t>
  </si>
  <si>
    <t>[Magadan-Diaz, Marta; Rivas-Garcia, Jesus I.] Univ Int La Rioja, UNIR, Av La Paz 137, Logrono 26006, La Rioja, Spain</t>
  </si>
  <si>
    <t>Magadán-Díaz, M (corresponding author), Univ Int La Rioja, UNIR, Av La Paz 137, Logrono 26006, La Rioja, Spain.</t>
  </si>
  <si>
    <t>marta.magadan@unir.net</t>
  </si>
  <si>
    <t>García, Jesús/C-1625-2019; Magadan-Diaz, Marta/M-8061-2018</t>
  </si>
  <si>
    <t>Magadan-Diaz, Marta/0000-0003-3178-3215</t>
  </si>
  <si>
    <t>1053-8801</t>
  </si>
  <si>
    <t>1936-4792</t>
  </si>
  <si>
    <t>PUBLISH RES Q</t>
  </si>
  <si>
    <t>Publ. Res. Q.</t>
  </si>
  <si>
    <t>10.1007/s12109-023-09958-w</t>
  </si>
  <si>
    <t>IG3X0</t>
  </si>
  <si>
    <t>WOS:001028413100002</t>
  </si>
  <si>
    <t>Wang, S; Malik, RD</t>
  </si>
  <si>
    <t>Wang, Shu; Malik, Rena D.</t>
  </si>
  <si>
    <t>Social Media and Apps in Urology</t>
  </si>
  <si>
    <t>CURRENT SURGERY REPORTS</t>
  </si>
  <si>
    <t>Urology; Social media (SoMe); Mobile apps; Twitter; YouTube; Facebook; Instagram; TikTok; Reddit</t>
  </si>
  <si>
    <t>INFORMATION; TWITTER; MISINFORMATION; YOUTUBE</t>
  </si>
  <si>
    <t>Purpose of ReviewIn this study, we aimed to review the common social media (SoMe) apps used and how they have impacted the practice and exchange of information, as well as the challenges of using SoMe in urology.Recent FindingsSoMe has become increasingly popular in the urology community. Lay users often turn to SoMe to learn about urological health and share their own experiences, while medical professionals may use it for career development, networking, education, and research purposes.It is important to recognize the power of SoMe and to use it responsibly and ethically, particularly given the potential risks of encountering low-quality or misleading information.</t>
  </si>
  <si>
    <t>[Wang, Shu; Malik, Rena D.] Univ Maryland, Dept Surg, Div Urol, Sch Med, Baltimore, MD 21201 USA</t>
  </si>
  <si>
    <t>University System of Maryland; University of Maryland Baltimore</t>
  </si>
  <si>
    <t>Malik, RD (corresponding author), Univ Maryland, Dept Surg, Div Urol, Sch Med, Baltimore, MD 21201 USA.</t>
  </si>
  <si>
    <t>sh.wang@som.umaryland.edu; RMalik@som.umaryland.edu</t>
  </si>
  <si>
    <t>2167-4817</t>
  </si>
  <si>
    <t>CURR SURG REP</t>
  </si>
  <si>
    <t>Curr. Surg. Rep.</t>
  </si>
  <si>
    <t>10.1007/s40137-023-00366-9</t>
  </si>
  <si>
    <t>SM1C1</t>
  </si>
  <si>
    <t>WOS:000991156800001</t>
  </si>
  <si>
    <t>Metag, J; Wintterlin, F; Klinger, K</t>
  </si>
  <si>
    <t>Metag, Julia; Wintterlin, Florian; Klinger, Kira</t>
  </si>
  <si>
    <t>Editorial: Science Communication in the Digital Age-New Actors, Environments, and Practices</t>
  </si>
  <si>
    <t>climate change; Covid-19; digital media; experts; Facebook; science communication; science literacy; social media; TikTok; Twitter; YouTube</t>
  </si>
  <si>
    <t>Digitalization challenges science communication in theoretical as well as methodological ways. It raises questions on how scientists, organizations, and institutions, as well as citizens and actors from other fields communicate about science and how science communication affects politics and the public. This thematic issue presents a collection of articles attempting to tackle digitalization's challenge for science communication research. In this editorial, we provide a short overview of the included articles. Additionally, we outline some future avenues that research could follow to examine further the implications that digital channels could have for science communication.</t>
  </si>
  <si>
    <t>[Metag, Julia; Wintterlin, Florian; Klinger, Kira] Univ Munster, Dept Commun, Munster, Germany</t>
  </si>
  <si>
    <t>University of Munster</t>
  </si>
  <si>
    <t>Metag, J (corresponding author), Univ Munster, Dept Commun, Munster, Germany.</t>
  </si>
  <si>
    <t>julia.metag@uni-muenster.de</t>
  </si>
  <si>
    <t>Wintterlin, Florian/L-2164-2019</t>
  </si>
  <si>
    <t>Metag, Julia/0000-0003-4328-6419; Wintterlin, Florian/0000-0002-1837-6079</t>
  </si>
  <si>
    <t>10.17645/mac.v11i1.6905</t>
  </si>
  <si>
    <t>WOS:001042747900001</t>
  </si>
  <si>
    <t>Faust, AM; Auerbeck, A; Lee, AM; Kim, I; Conroy, DE</t>
  </si>
  <si>
    <t>Faust, Abigail M.; Auerbeck, Alexandria; Lee, Alexandra M.; Kim, Ian; Conroy, David E.</t>
  </si>
  <si>
    <t>Passive sensing of smartphone use, physical activity and sedentary behavior among adolescents and young adults during the COVID-19 pandemic</t>
  </si>
  <si>
    <t>JOURNAL OF BEHAVIORAL MEDICINE</t>
  </si>
  <si>
    <t>Smartphone; Mobile applications; Remote sensing technology; Exercise; Sedentary behavior</t>
  </si>
  <si>
    <t>MOBILE PHONE; SCREEN TIME; LIFE-STYLE; RISK; TRENDS; AGE</t>
  </si>
  <si>
    <t>The research that links excessive screen time to adverse health outcomes is based on self-reported screen use. Few studies have documented how passively-sensed smartphone and app use relate to health behaviors like activity and sitting. Furthermore, they have not considered that daily fluctuations in smartphone/app use may have different relationships to these behaviors than a person's usual smartphone/app use. This study evaluated whether physical activity or sedentary (sitting) behavior are associated with either smartphone screen time or specific smartphone app use by adolescents and young adults during the COVID-19 pandemic. Adolescents and young adults aged 13-29 years wore activPAL4 micro activity monitors while their smartphones logged daily screen time and app use durations for nine days. Data were collected in 2020-2021 and analyzed in 2022-2023. Participants (N = 125) had a mean (SD) age of 19.7 (4.3) years. Participants' usual smartphone screen time was negatively associated with daily step counts. Daily deviations in smartphone screen time were negatively associated with daily step counts and moderate-vigorous physical activity durations. Time spent on Instagram, YouTube and, to a lesser extent, TikTok were linked with reduced activity levels. Daily sedentary behavior was not associated with usual or daily screen time. Interventions to promote physical activity during the transition into adulthood may benefit from limiting excessive smartphone screen time. Specific intervention targets could include limiting use of apps with infinite scrolling feeds algorithmically tuned to maintain user engagement, such as Instagram, YouTube and TikTok.</t>
  </si>
  <si>
    <t>[Faust, Abigail M.; Auerbeck, Alexandria; Lee, Alexandra M.; Conroy, David E.] Penn State Univ, Dept Kinesiol, University Pk, PA 16802 USA; [Kim, Ian] Univ Southern Calif, Dept Populat &amp; Publ Hlth Sci, Los Angeles, CA USA</t>
  </si>
  <si>
    <t>Pennsylvania Commonwealth System of Higher Education (PCSHE); Pennsylvania State University; Pennsylvania State University - University Park; University of Southern California</t>
  </si>
  <si>
    <t>Conroy, DE (corresponding author), Penn State Univ, Dept Kinesiol, University Pk, PA 16802 USA.</t>
  </si>
  <si>
    <t>conroy@psu.edu</t>
  </si>
  <si>
    <t>Conroy, David/A-8534-2009; Lee, Alexandra/HTN-7539-2023; Kim, Ian/LLL-9191-2024</t>
  </si>
  <si>
    <t>Auerbeck, Alexandria/0000-0002-1741-7318; Lee, Alexandra/0000-0001-8146-1674; CONROY, DAVID E/0000-0003-0204-4093</t>
  </si>
  <si>
    <t>American Heart Association [18UFEL33900164]; American Heart Association [UL1 TR000127, UL1 TR002014, Fax 814-865-1275]; National Institutes of Health (NIH)</t>
  </si>
  <si>
    <t>American Heart Association(American Heart Association); American Heart Association(American Heart Association); National Institutes of Health (NIH)(United States Department of Health &amp; Human ServicesNational Institutes of Health (NIH) - USA)</t>
  </si>
  <si>
    <t>Alexandra M. Lee is now at WW International Inc. Ian Kim is now at The Pennsylvania State University. This research was supported in part by the American Heart Association Grant through Grant #18UFEL33900164 and by the National Institutes of Health (NIH) through Grants UL1 TR000127 and UL1 TR002014. The funders had no role in the study design, collection/analysis/interpretation of data, report preparation, or decisions to submit the article for publication. Correspondence concerning this article may be sent to David E. Conroy, 266 Rec Hall, The Pennsylvania State University, University Park, PA 16802. Tel 814-863-3451. Fax 814-865-1275. Email: conroy@psu.edu.</t>
  </si>
  <si>
    <t>0160-7715</t>
  </si>
  <si>
    <t>1573-3521</t>
  </si>
  <si>
    <t>J BEHAV MED</t>
  </si>
  <si>
    <t>J. Behav. Med.</t>
  </si>
  <si>
    <t>10.1007/s10865-024-00499-x</t>
  </si>
  <si>
    <t>E4D1N</t>
  </si>
  <si>
    <t>WOS:001236833600001</t>
  </si>
  <si>
    <t>Funakoshi, Y; Saito, M; Kawaguchi, K; Hiramatsu, E; Yamamoto, N; Hondo, Y; Nakagawa, Y; Okumura, K; Sato, A; Teranishi, H</t>
  </si>
  <si>
    <t>Funakoshi, Yusuke; Saito, Masao; Kawaguchi, Ko; Hiramatsu, Eri; Yamamoto, Nobuo; Hondo, Yoshiko; Nakagawa, Yumiko; Okumura, Koki; Sato, Asami; Teranishi, Hiroo</t>
  </si>
  <si>
    <t>Investigation of Patients' Motivation for Cosmetic Surgery in a Nationwide Cosmetic Surgery Group</t>
  </si>
  <si>
    <t>SOCIAL MEDIA; PLASTIC-SURGERY</t>
  </si>
  <si>
    <t>Background:Recently, cosmetic surgeons in Japan have used social media to advertise their procedures. We analyzed the influence of social and other media on patients' motivation to visit our clinic using the aggregated results of a questionnaire distributed to our cosmetic surgery group.Methods:We obtained the data of 146,108 patients from our database between September 2018 and February 2023. To understand changes in patient motivation over time, patient motivation was compared between the opening (September 2018-February 2020), growth (March 2020-August 2021), and expansion (September 2021-February 2023) periods.Results:Most patients were motivated to visit clinics by the internet (53.7%) and Instagram (17.3%). Between the opening and growth periods, the internet [odds ratio (OR) 1.28; 95% confidence interval (CI), 1.14-1.43] and referrals (OR, 1.48; 95% CI, 1.08-2.01) significantly increased. Between the opening and expansion periods, there was a significant increase in TV (OR, 4.86; 95% CI, 3.09-7.65) and TikTok use (OR, 24.9; 95% CI, 3.50-177.0). There was more variability in the motivation to visit our clinic during the expansion period than during the other periods, and patients' motivation differed by procedure and region. In addition, TikTok was used primarily by patients in their late teens and early twenties, whereas TV was used by those in their twenties and forties. YouTube, referrals, and review websites were distributed bimodally.Conclusions:Patients choose information from various media sources. To attract more patients to our clinics, it is important to disseminate information on both the internet and social media.</t>
  </si>
  <si>
    <t>[Funakoshi, Yusuke; Saito, Masao; Kawaguchi, Ko; Hiramatsu, Eri; Yamamoto, Nobuo; Hondo, Yoshiko; Nakagawa, Yumiko; Okumura, Koki; Sato, Asami; Teranishi, Hiroo] Umeda Osaka Ekimae Clin, Tokyo Cent Beauty Clin, Osaka, Japan; [Funakoshi, Yusuke] Ks Sq Bldg 3F,2-8-15 Sonezaki,Kita Ku, Osaka 5300057, Japan</t>
  </si>
  <si>
    <t>Funakoshi, Y (corresponding author), Ks Sq Bldg 3F,2-8-15 Sonezaki,Kita Ku, Osaka 5300057, Japan.</t>
  </si>
  <si>
    <t>sf1wan0610@gmail.com</t>
  </si>
  <si>
    <t>Funakoshi, Yusuke/ABB-5796-2021</t>
  </si>
  <si>
    <t>e5458</t>
  </si>
  <si>
    <t>10.1097/GOX.0000000000005458</t>
  </si>
  <si>
    <t>FG8N6</t>
  </si>
  <si>
    <t>WOS:001144702800005</t>
  </si>
  <si>
    <t>Romero-Rodríguez, LM; Tejedor, S; Berlanga, I</t>
  </si>
  <si>
    <t>Romero-Rodriguez, Luis M.; Tejedor, Santiago; Berlanga, Inmaculada</t>
  </si>
  <si>
    <t>OK, Boomer: New Users, Different Platforms, New Challenges</t>
  </si>
  <si>
    <t>centennials; digital media; Facebook; influencers; Instagram; millenials; social networks; online participation; TikTok; YouTube</t>
  </si>
  <si>
    <t>PEOPLE</t>
  </si>
  <si>
    <t>The popularization of new interaction spaces brings new narratives and social phenomena that merit attention from the scientific community. Based on the existing literature on the new challenges facing the communication discipline with these emerging narratives, this editorial summarizes the empirical and theoretical contributions of the thematic issue entitled New Narratives for New Consumers: Influencers and the Millennial and Centennial Generations. The authors emphasize that the studies selected for this thematic issue explore the innovative features and opportunities of the emerging scenarios and offer a cautionary account of their structural problems and the urgency of a new media literacy.</t>
  </si>
  <si>
    <t>[Romero-Rodriguez, Luis M.] Rey Juan Carlos Univ, Dept Commun Sci &amp; Sociol, Mostoles, Spain; [Romero-Rodriguez, Luis M.] Espiritu Santo Univ, ESAI Business Sch, Guayaquil, Ecuador; [Tejedor, Santiago] Autonomous Univ Barcelona, Dept Journalism &amp; Commun Sci, Barcelona, Spain; [Berlanga, Inmaculada] Int Univ La Rioja, Fac Business &amp; Commun, Logrono, Spain</t>
  </si>
  <si>
    <t>Universidad Rey Juan Carlos; Universidad de Especialidades Espiritu Santo; Autonomous University of Barcelona; Universidad Internacional de La Rioja (UNIR)</t>
  </si>
  <si>
    <t>Romero-Rodríguez, LM (corresponding author), Rey Juan Carlos Univ, Dept Commun Sci &amp; Sociol, Mostoles, Spain.;Romero-Rodríguez, LM (corresponding author), Espiritu Santo Univ, ESAI Business Sch, Guayaquil, Ecuador.</t>
  </si>
  <si>
    <t>luis.romero@urjc.es</t>
  </si>
  <si>
    <t>Berlanga, Inmaculada/F-5046-2019; ST Tejedor, Santiago/S-3198-2018; Romero-Rodriguez, Luis M./P-8698-2014</t>
  </si>
  <si>
    <t>Berlanga, Inmaculada/0000-0002-0135-624X; Romero-Rodriguez, Luis M./0000-0003-3924-1517; Tejedor, Santiago/0000-0002-5539-9800</t>
  </si>
  <si>
    <t>Spanish Ministry of Science, Innovation, and Universities [RTI2018-093303-B-I00]; European Regional Development Fund [RTI2018-093303-B-I00]; Government of Andalusia [P18-RT-756]; European Regional Development Fund (ERDF) [P18-RT-756]</t>
  </si>
  <si>
    <t>Spanish Ministry of Science, Innovation, and Universities(Spanish Government); European Regional Development Fund(European Union (EU)); Government of Andalusia; European Regional Development Fund (ERDF)(European Union (EU))</t>
  </si>
  <si>
    <t>The authors would like to thank the R+D+I Project (2019-2021) , entitled YouTubers and Instagrammers: Media Competence in Emerging Prosumers under code RTI2018-093303-B-I00, financed by the Spanish Ministry of Science, Innovation, and Universities, the European Regional Development Fund, and the R+D+I project (2020-2022) entitled Instagramers and YouTubers for the Transmedia Empowerment of the Andalusian Citizenry: Media Literacy of the Instatubers, with code P18-RT-756, financed by the Government of Andalusia, in the 2018 call for tenders (Andalusian Plan for Research, Development, and Innovation, 2020) and the European Regional Development Fund (ERDF).</t>
  </si>
  <si>
    <t>10.17645/mac.v10i1.5050</t>
  </si>
  <si>
    <t>WOS:000762434300001</t>
  </si>
  <si>
    <t>Bell, MT; Stephan, A; Cumpian, N; Alao, H; Atla, PR; Srivastava, N; Fleischman, WM; Eysselein, VE; Reicher, S</t>
  </si>
  <si>
    <t>Bell, Matthew T.; Stephan, Alicia; Cumpian, Nicholas; Alao, Hawwa; Atla, Pradeep R.; Srivastava, Neetika; Fleischman, Wayne M.; Eysselein, Viktor E.; Reicher, Sofiya</t>
  </si>
  <si>
    <t>Medical misinformation in social media: Representations of gastrointestinal disorders on a short video platform</t>
  </si>
  <si>
    <t>DISCERN; gastroenterology; hashtag; misinformation; social media</t>
  </si>
  <si>
    <t>Background and Objectives: Short video platforms have become one of the most common methods for disseminating medical information on social media. We analysed gastrointestinal (GI)-related content on TikTok, focusing on the creators' background, patterns of content utilisation and overall content quality and understandability, using validated metrics to quantify the degree of misinformation.Methods: Twelve hashtags related to common GI conditions on TikTok and the 20 most engaging posts associated with each hashtag were selected for review. The 'most engaging' status was determined by the application's internal algorithm. Six GI board-certified physicians evaluated the videos using two validated instruments: DISCERN quality criteria and Patient Education Materials Assessment Tool (PEMAT-A/V) survey.Results: In total, 253 videos were reviewed with 18.6 billion likes, 191,000 comments, 935,000 saves and 927,000 shares. IBS hashtag had the greatest number of views (2.2 billion), while videos on haemorrhoids had the most likes (4.3 million), comments (59,000) and shares (288,000). Most videos 177/253 (70%) were created by non-healthcare workers. The median video quality was 2/5 on DISCERN Likert-type scale with 23/75 DISCERN score. Of 186 videos, 114 (61.3%) were rated 'very poor'; 58/186 (31.2%) 'poor', 13/186 (7%) 'fair' and only one video (0.5%) was rated 'excellent' on DISCERN grading system. The median PEMAT-A/V scores were 7/12 (73.9%) for understandability and 1/3 (33.3%) for actionability.Conclusion: Our study highlights significant public interest in common GI disorders. However, most posts lacked substantive information and did not have verifiable sources.</t>
  </si>
  <si>
    <t>[Bell, Matthew T.; Cumpian, Nicholas] Harbor UCLA Med Ctr, Dept Internal Med, 1000W Carson St,Box 400, Torrance, CA 90502 USA; [Stephan, Alicia] Yale Univ, Yale Sch Med, New Haven, CT USA; [Alao, Hawwa; Atla, Pradeep R.; Srivastava, Neetika; Fleischman, Wayne M.; Eysselein, Viktor E.; Reicher, Sofiya] Harbor UCLA Med Ctr, Div Gastroenterol &amp; Hepatol, Torrance, CA USA; [Eysselein, Viktor E.; Reicher, Sofiya] Lundquist Inst Biomed Innovat, Torrance, CA USA</t>
  </si>
  <si>
    <t>University of California System; University of California Los Angeles; University of California Los Angeles Medical Center; Yale University; University of California System; University of California Los Angeles; University of California Los Angeles Medical Center</t>
  </si>
  <si>
    <t>Bell, MT (corresponding author), Harbor UCLA Med Ctr, Dept Internal Med, 1000W Carson St,Box 400, Torrance, CA 90502 USA.</t>
  </si>
  <si>
    <t>mtbell199@gmail.com</t>
  </si>
  <si>
    <t>10.1177/00178969241288956</t>
  </si>
  <si>
    <t>J0H9X</t>
  </si>
  <si>
    <t>WOS:001333982400001</t>
  </si>
  <si>
    <t>Geng, LX; Yang, SR; Wang, K; Zhou, Q; Geng, LS</t>
  </si>
  <si>
    <t>Geng, Lixiao; Yang, Shuran; Wang, Ke; Zhou, Qi; Geng, Lisha</t>
  </si>
  <si>
    <t>Modeling public opinion dissemination in a multilayer network with SEIR model based on real social networks</t>
  </si>
  <si>
    <t>ENGINEERING APPLICATIONS OF ARTIFICIAL INTELLIGENCE</t>
  </si>
  <si>
    <t>Public opinion; Multi-layer network; SEIR model; Social networks</t>
  </si>
  <si>
    <t>SPREADING MODEL; INFORMATION</t>
  </si>
  <si>
    <t>Due to the complexity of social relationships, Internet users are active in multiple social networks and receive or release information in various ways and channels. Therefore, the spread of public opinion is not limited to a closed single network. Considering the structural characteristics of WeChat, Weibo and Tiktok, we built a multi-layer network based on the complex network theory. Based on the environmental and personal factors, the calculation methods of transmission rate and immunity rate is proposed. The trends of information transmission in the multi-layer network is simulated through an improved SEIR model. Through simulation, the differences of information transmission between multi-layer networks and single-layer networks are explored, and the impacts of network structure, coupling strength between layers and interlayer connection mode on information transmission are studied. More than 76,000 tweets from 7 events on Weibo are collected to verify the effectiveness of the model and explore the dissemination trends of actual public opinions. Through the research, it is found that (1) the public opinion transmission efficiency of multi-layer network is higher, the scale is larger, and the time is longer. (2) Compared with Weibo and Tiktok, the information transmission in WeChat is more efficient and lasts longer, and promotes the information transmission in the other two networks. (3) With the increase of coupling strength between layers, the efficiency of information transmission becomes higher and the scale becomes larger. This study provides new ideas for the research of public opinion dissemination, and helps relevant departments to correctly guide public opinion.</t>
  </si>
  <si>
    <t>[Geng, Lixiao; Yang, Shuran; Wang, Ke; Zhou, Qi] Hebei Univ Technol, Sch Econ &amp; Management, Tianjin 300401, Peoples R China; [Geng, Lisha] Hebei Univ Econ &amp; Business, Sch Business &amp; Adm, Shijiazhuang 050061, Peoples R China</t>
  </si>
  <si>
    <t>Hebei University of Technology; Hebei University of Economics &amp; Business</t>
  </si>
  <si>
    <t>Geng, LX (corresponding author), Hebei Univ Technol, Sch Econ &amp; Management, Tianjin 300401, Peoples R China.</t>
  </si>
  <si>
    <t>lixgeng@hebut.edu.cn</t>
  </si>
  <si>
    <t>Zhou, Qi/AAS-2447-2020; Yang, Shuran/KFQ-4236-2024</t>
  </si>
  <si>
    <t>Lixiao, Geng/0000-0002-1041-5061</t>
  </si>
  <si>
    <t>0952-1976</t>
  </si>
  <si>
    <t>1873-6769</t>
  </si>
  <si>
    <t>ENG APPL ARTIF INTEL</t>
  </si>
  <si>
    <t>Eng. Appl. Artif. Intell.</t>
  </si>
  <si>
    <t>10.1016/j.engappai.2023.106719</t>
  </si>
  <si>
    <t>Automation &amp; Control Systems; Computer Science, Artificial Intelligence; Engineering, Multidisciplinary; Engineering, Electrical &amp; Electronic</t>
  </si>
  <si>
    <t>Automation &amp; Control Systems; Computer Science; Engineering</t>
  </si>
  <si>
    <t>O0YJ4</t>
  </si>
  <si>
    <t>WOS:001041161200001</t>
  </si>
  <si>
    <t>Su, D; Lu, Y</t>
  </si>
  <si>
    <t>Su, Du; Lu, Yi</t>
  </si>
  <si>
    <t>Infer user preferences from aggregate measurements: A novel message passing algorithm for privacy attack</t>
  </si>
  <si>
    <t>PERFORMANCE EVALUATION</t>
  </si>
  <si>
    <t>Density evolution; Graphical model; Probabilistic inference</t>
  </si>
  <si>
    <t>DENSITY EVOLUTION; FACEBOOK</t>
  </si>
  <si>
    <t>Social media platforms, such as Facebook and TikTok, have triggered debates on privacy. The recent transformation of social media into an increasingly centralized service, exemplified by TikTok, only exacerbates the matter. While aggregation has been deemed an effective way to combat privacy infringement, a high degree of centralization can make aggregation ineffective. We present a randomized article-push algorithm and a message-passing reconstruction algorithm that enable social media platforms to infer user preferences from only the publicly available aggregate data of article-reads, without storing any individual users' actions. Its O(n) complexity allows the reconstruction algorithm to scale to a large population, as is typical of social media platforms. Moreover, the feasibility of the privacy attack depends on the algorithm using as few articles as possible. We determine the minimum number of articles needed for high probability inference. Given the proportion of users, 0 &lt; epsilon &lt; 1, who prefer a given topic, we design a push algorithm and a reconstruction algorithm that achieve an article-to-user ratio beta = root epsilon(1 - epsilon), at which phase transition occurs. The analysis of the algorithm departs from the classic density evolution due to the lack of monotonicity in the per iteration error probability, which makes it surprising that phase transition takes place. By formulating the inference problem as a compressed sensing problem, we show that our phase transition threshold root epsilon(1 - epsilon) is extremely close to that of compressed sensing, even when the latter algorithm is of a worst-case O(n(3)) complexity and uses a dense Gaussian measurement matrix. (c) 2020 Elsevier B.V. All rights reserved.</t>
  </si>
  <si>
    <t>[Su, Du; Lu, Yi] Univ Illinois, 1308 W Main St, Urbana, IL 61801 USA</t>
  </si>
  <si>
    <t>Su, D (corresponding author), Univ Illinois, 1308 W Main St, Urbana, IL 61801 USA.</t>
  </si>
  <si>
    <t>dusu3@illinois.edu; yilu4@illinois.edu</t>
  </si>
  <si>
    <t>Su, Du/0000-0002-6767-6019; Lu, Yi/0000-0002-6768-7893</t>
  </si>
  <si>
    <t>0166-5316</t>
  </si>
  <si>
    <t>1872-745X</t>
  </si>
  <si>
    <t>PERFORM EVALUATION</t>
  </si>
  <si>
    <t>Perform. Eval.</t>
  </si>
  <si>
    <t>10.1016/j.peva.2020.102148</t>
  </si>
  <si>
    <t>Computer Science, Hardware &amp; Architecture; Computer Science, Theory &amp; Methods</t>
  </si>
  <si>
    <t>PK2VH</t>
  </si>
  <si>
    <t>WOS:000602308900008</t>
  </si>
  <si>
    <t>Doh, M; Canali, C; Karagianni, A</t>
  </si>
  <si>
    <t>Doh, Miriam; Canali, Corinna; Karagianni, Anastasia</t>
  </si>
  <si>
    <t>Pixels of Perfection and Self-Perception: Deconstructing AR Beauty Filters and Their Challenge to Unbiased Body Image</t>
  </si>
  <si>
    <t>PROCEEDINGS OF THE 2024 ACM INTERNATIONAL CONFERENCE ON INTERACTIVE MEDIA EXPERIENCES, IMX 2024</t>
  </si>
  <si>
    <t>ACM International Conference on Interactive Media Experiences (IMX)</t>
  </si>
  <si>
    <t>JUN 12-14, 2024</t>
  </si>
  <si>
    <t>Stockholm Univ, Stockhom, SWEDEN</t>
  </si>
  <si>
    <t>Assoc Comp Machinery,ACM SIGCHI,ACM SIGMM,DigitalFutures,Res Inst Sweden,Ericsson</t>
  </si>
  <si>
    <t>Stockholm Univ</t>
  </si>
  <si>
    <t>AR beauty flters; Social media; Transparency; Feminist theory; Selfrepresentation</t>
  </si>
  <si>
    <t>This work-in-progress paper delves into the efects of AR beauty flters on social media, scrutinising their contribution to unrealistic beauty standards and their psychological impact on users. Utilising objectifcation theory, it explores the reinforcement of gender biases through these flters. The study highlights gender disparities in TikTok flter usage and suggests a transparency-enhancing disclaimer feature. It further addresses the regulatory implications of the AI Act on the development and use of AR flters. Ultimately, the study calls for augmented transparency and regulatory oversight to address the broader societal implications of beauty flters and their perpetuation of biased stereotypes.</t>
  </si>
  <si>
    <t>[Doh, Miriam] Univ Mons UMONS, ISIA Lab, Mons, Belgium; [Doh, Miriam] Univ Libre Bruxelles ULB, IRIDIA Lab, Brussels, Belgium; [Canali, Corinna] Univ Kunste Berlin, Weizenbaum Inst, Design Divers &amp; New Commons Res Grp, Berlin, Germany; [Karagianni, Anastasia] Vrije Univ Brussels VUB, Law Sci Technol &amp; Soc LSTS Res Grp, Brussels, Belgium</t>
  </si>
  <si>
    <t>University of Mons; Universite Libre de Bruxelles; Vrije Universiteit Brussel</t>
  </si>
  <si>
    <t>Doh, M (corresponding author), Univ Mons UMONS, ISIA Lab, Mons, Belgium.;Doh, M (corresponding author), Univ Libre Bruxelles ULB, IRIDIA Lab, Brussels, Belgium.</t>
  </si>
  <si>
    <t>Canali, Corinna/0009-0009-1511-3925; Doh, Miriam/0000-0003-2523-6901</t>
  </si>
  <si>
    <t>ARIAC project - Service Public de Wallonie (SPW Recherche) [2010235]; FARI - AI for the Common Good Institute (ULBVUB); European Union</t>
  </si>
  <si>
    <t>ARIAC project - Service Public de Wallonie (SPW Recherche); FARI - AI for the Common Good Institute (ULBVUB); European Union(European Union (EU))</t>
  </si>
  <si>
    <t>This work was supported by the ARIAC project (No. 2010235), funded by the Service Public de Wallonie (SPW Recherche). This work was supported by the FARI - AI for the Common Good Institute (ULBVUB), fnanced by the European Union, with the support of the Brussels Capital Region (Innoviris and Paradigm).</t>
  </si>
  <si>
    <t>979-8-4007-0503-8</t>
  </si>
  <si>
    <t>10.1145/3639701.3663636</t>
  </si>
  <si>
    <t>Computer Science, Interdisciplinary Applications; Computer Science, Theory &amp; Methods</t>
  </si>
  <si>
    <t>BX1HD</t>
  </si>
  <si>
    <t>WOS:001244673200031</t>
  </si>
  <si>
    <t>Persuasion and Engagement in the Spanish Bookfluencers</t>
  </si>
  <si>
    <t>This research aims to analyze the persuasiveness of bookfluencers and the impact of content formats on their followers' engagement and intention to purchase books. The theoretical framework for this study is the Elaboration Probability Model (ELM) adapted to social networks. The research used the Experimental Vignette Methodology (EVM) through a questionnaire launched to users of YouTube, Instagram, TikTok, and via email to UEMC (Miguel de Cervantes European University) students. The data collected were treated statistically. The findings confirm the importance of argument quality in persuasive messages. The results highlight the significance of the audiovisual content format, both in the engagement and purchase intention, when followers process information through their central route.</t>
  </si>
  <si>
    <t>[Magadan-Diaz, Marta] Univ La Rioja, UNIR, Ave Paz 137, Logrono 26006, La Rioja, Spain; [Rivas-Garcia, Jesus I.] Int Univ La Rioja, UNIR, Ave Paz 137, Logrono 26006, La Rioja, Spain</t>
  </si>
  <si>
    <t>Universidad Internacional de La Rioja (UNIR); Universidad de La Rioja; Universidad Internacional de La Rioja (UNIR)</t>
  </si>
  <si>
    <t>Magadán-Díaz, M (corresponding author), Univ La Rioja, UNIR, Ave Paz 137, Logrono 26006, La Rioja, Spain.</t>
  </si>
  <si>
    <t>10.1007/s12109-023-09948-y</t>
  </si>
  <si>
    <t>I2BL2</t>
  </si>
  <si>
    <t>WOS:000945060000001</t>
  </si>
  <si>
    <t>Krutka, DG; Pleasants, J; Nichols, TP</t>
  </si>
  <si>
    <t>Krutka, Daniel G.; Pleasants, Jacob; Nichols, T. Philip</t>
  </si>
  <si>
    <t>Talking the technology talk</t>
  </si>
  <si>
    <t>Technology education; Critical thinking; Social media; TikTok; ChatGPT; YouTube; Smartphones; techno skepticism</t>
  </si>
  <si>
    <t>The school lives of students and educators have long been affected by technological changes, but the advent of digital technologies, from smartphones to social media, have amplified the effects on their daily lives. Unfortunately, school curricula rarely focus on critically examining our relationships with technologies. Daniel G. Krutka, Jacob Pleasants, and T. Philip Nichols offer a framework called the technology education iceberg to help educators plan and reflect on how they teach about technology. They argue that the science, social studies, and English subject areas offer opportunities to encourage a technoskeptical stance in students and educators that is needed for flourishing lives and democratic societies.</t>
  </si>
  <si>
    <t>[Krutka, Daniel G.] Univ North Texas, Social Studies Educ, Denton, TX 76203 USA; [Pleasants, Jacob] Univ Oklahoma, Norman, OK USA; [Nichols, T. Philip] Baylor Univ, Dept Curriculum &amp; Instruct, Literacy Educ, Waco, TX USA</t>
  </si>
  <si>
    <t>University of North Texas System; University of North Texas Denton; University of Oklahoma System; University of Oklahoma - Norman; Baylor University</t>
  </si>
  <si>
    <t>Krutka, DG (corresponding author), Univ North Texas, Social Studies Educ, Denton, TX 76203 USA.</t>
  </si>
  <si>
    <t>rdankrutka@gmail.com; jacob.pleasants@ou.edu; Phil_Nichols@baylor.edu</t>
  </si>
  <si>
    <t>Pleasants, Jacob/AAX-3226-2021; Krutka, Daniel/HNC-1048-2023</t>
  </si>
  <si>
    <t>10.1177/00317217231168262</t>
  </si>
  <si>
    <t>I4IU6</t>
  </si>
  <si>
    <t>WOS:001002441600008</t>
  </si>
  <si>
    <t>Kearney, MD; Eaton, TM; Grabill, M; Anderson, S; Kumanyika, S</t>
  </si>
  <si>
    <t>Kearney, Matthew D.; Eaton, Tiffany M.; Grabill, Megan; Anderson, Siani; Kumanyika, Shiriki</t>
  </si>
  <si>
    <t>Evaluating Operation Good Food &amp; Beverages, a Black Youth-Driven Public Advocacy Campaign</t>
  </si>
  <si>
    <t>JOURNAL OF RACIAL AND ETHNIC HEALTH DISPARITIES</t>
  </si>
  <si>
    <t>Black youth; Food and beverage marketing; Social media; Health communication</t>
  </si>
  <si>
    <t>CHILDHOOD OBESITY; SELF-REGULATION; BIGGER-PICTURE; HEALTH; TELEVISION; INDUSTRY; SUSCEPTIBILITY; PERSPECTIVES; ASSOCIATIONS; EXPOSURE</t>
  </si>
  <si>
    <t>BackgroundFood and beverage (F&amp;B) marketing practices that contradict health guidelines are particularly concerning for children and adolescents, who are developmentally more susceptible than adults to persuasive advertising and to Black communities, due to ethnically-targeted marketing, contributing to higher rates of obesity and other diet-related chronic diseases. Accordingly, here we evaluated Operation Good Food and Beverages (OGF&amp;B), an online social marketing campaign calling for shifting toward more marketing of healthier F&amp;B to Black youth and Black communities.MethodsOGF&amp;B was developed and implemented by a multidisciplinary team of academic, advocacy, and advertising partners and active for four months in 2022 during the COVID-19 pandemic. Primary campaign components were social media content (e.g., TikTok, Instagram), and an informational website with a signable petition and a social media toolkit. Our mixed-methods evaluation used qualitative data to contextualize quantitative metrics like online impressions, website visits, and petition signatures. Qualitative data consisted of analysis of social media content and thematic elements from 15 interviews with campaign advisors, youth consultants, and influencers.ResultsThe campaign achieved 3,148,869 impressions, 3,799 unique website visits, and 1,077 petition signatures. Instagram Reels and content featuring people had higher engagement. Instagram Reels received more likes than static posts or TikTok videos. Interviewees who participated mentioned personal values and community welfare as key motivations. Social media influencers who declined participation noted time constraints and lack of compensation as barriers.ConclusionDespite pandemic-related restrictions that precluded in-person engagement, this brief campaign implementation period provided useful insights for leveraging OGF&amp;B or similar campaigns.</t>
  </si>
  <si>
    <t>[Kearney, Matthew D.; Grabill, Megan] Univ Penn, Penn Presbyterian Med Ctr, Perelman Sch Med, Dept Family Med &amp; Community Hlth, 51 N 39th St, Philadelphia, PA 19104 USA; [Eaton, Tiffany M.; Anderson, Siani; Kumanyika, Shiriki] Drexel Univ, Dornsife Sch Publ Hlth, Dept Community Hlth &amp; Prevent, Philadelphia, PA USA; [Kumanyika, Shiriki] Univ Penn, Perelman Sch Med, Dept Biostat Epidemiol &amp; Informat, Philadelphia, PA USA</t>
  </si>
  <si>
    <t>University of Pennsylvania; Pennsylvania Medicine; Pennsylvania Presbyterian Medical Center; Drexel University; University of Pennsylvania</t>
  </si>
  <si>
    <t>Kearney, MD (corresponding author), Univ Penn, Penn Presbyterian Med Ctr, Perelman Sch Med, Dept Family Med &amp; Community Hlth, 51 N 39th St, Philadelphia, PA 19104 USA.</t>
  </si>
  <si>
    <t>Matthew.Kearney@pennmedicine.upenn.edu</t>
  </si>
  <si>
    <t>Kumanyika, Shiriki/IUP-1960-2023</t>
  </si>
  <si>
    <t>Kumanyika, Shiriki/0000-0002-7798-4306; Kearney, Matthew/0000-0003-2898-573X</t>
  </si>
  <si>
    <t>Johns Hopkins Bloomberg American Health Initiative; Bloomberg American Health Initiative at Johns Hopkins Bloomberg School of Public Health</t>
  </si>
  <si>
    <t>This project was an initiative of the Council on Black Health which was hosted by Drexel University at the time our study was conducted, and received support from the Bloomberg American Health Initiative at Johns Hopkins Bloomberg School of Public Health. We acknowledge and appreciate the efforts of the North Carolina based staff at the Council on Black Health, Inc., and the many collaborating individuals and organizations who participated in campaign development and implementation: the team at Inizio Evoke North America; the HeartSmilesMD organization and youth consultants, other youth consultants, colleagues at the University of Connecticut (UConn) Rudd Center for Food Policy and Health, and the Center for Science in the Public Interest; (CSPI). We also appreciate the guidance from Karen E. Watson-the campaign strategic advisor, and other members of the Operation Good Food &amp; Beverages advisory committee who shared their expertise and provided feedback and insights on behalf of the project, and the social media influencers who participated in the campaign.</t>
  </si>
  <si>
    <t>2197-3792</t>
  </si>
  <si>
    <t>2196-8837</t>
  </si>
  <si>
    <t>J RACIAL ETHN HEALTH</t>
  </si>
  <si>
    <t>J. Racial Ethn. Health Disparities</t>
  </si>
  <si>
    <t>2024 SEP 3</t>
  </si>
  <si>
    <t>10.1007/s40615-024-02150-6</t>
  </si>
  <si>
    <t>E7H2B</t>
  </si>
  <si>
    <t>WOS:001304671400005</t>
  </si>
  <si>
    <t>Eadon, YM</t>
  </si>
  <si>
    <t>Eadon, Yvonne M.</t>
  </si>
  <si>
    <t>You Could Hear a Hair Pin Drop: Queer Utopianism and Informal Knowledge Production in the Gaylor Closeting Conspiracy Theory</t>
  </si>
  <si>
    <t>conspiracy theories; fandom; gender and sexuality; TikTok</t>
  </si>
  <si>
    <t>TAYLOR SWIFT; TRUTH; DISINFORMATION; STRATEGIES; GENDER; GIRL</t>
  </si>
  <si>
    <t>Rumors about Taylor Swift's sexuality have persisted since the early days of her career. They have coalesced into an online subculture known as Gaylor. Gaylor is a novel kind of conspiracy theory known as a Closeting Conspiracy Theory (CCT). CCTs involve speculating about a public figure's sexuality, gathering pertinent evidence, and producing fan knowledges, often informally, on social media. Like shipping and slash fiction (which they often involve) CCTs are largely feminized. Through a qualitative content analysis of 200 TikTok videos, this article situates Gaylor as a CCT that has developed into a kind of knowledge culture. Analyzing this knowledge culture using Emily Coccia's notion of too-close reading and Jos &amp; eacute; Mu &amp; ntilde;oz's queer utopianism reveals specialized practices of knowledge production, including informal boundary work. As Gaylors get too close to Swift's star text, triangulating lyrics and music videos with images and videos from Swift's life, they produce folk literary criticism. Mu &amp; ntilde;oz's queer utopianism saturates Gaylor discourses, with many Gaylors engaging in a specific type of conspiracy-inflected queer utopianism: the doomsday coming-out. The doomsday coming-out pushes the date of the Swift's purported coming out back further and further after each anticipated album or music video release, not unlike the date of the apocalypse in a doomsday cult. Ultimately, the function of producing CCT knowledge in the Gaylor community is propelled forward by imagining queer futures, reflecting on personal identity, building community, and pushing back against heterosexist consensus.</t>
  </si>
  <si>
    <t>[Eadon, Yvonne M.] Univ North Carolina Chapel Hill, Chapel Hill, NC USA; [Eadon, Yvonne M.] Univ North Carolina Chapel Hill, Ctr Informat Technol &amp; Publ Life, Sch Informat &amp; Lib Sci, 216 Lenoir Dr, Chapel Hill, NC 27599 USA</t>
  </si>
  <si>
    <t>University of North Carolina; University of North Carolina Chapel Hill; University of North Carolina School of Medicine; University of North Carolina; University of North Carolina Chapel Hill; University of North Carolina School of Medicine</t>
  </si>
  <si>
    <t>Eadon, YM (corresponding author), Univ North Carolina Chapel Hill, Ctr Informat Technol &amp; Publ Life, Sch Informat &amp; Lib Sci, 216 Lenoir Dr, Chapel Hill, NC 27599 USA.</t>
  </si>
  <si>
    <t>ymeadon@unc.edu</t>
  </si>
  <si>
    <t>Eadon, Yvonne/IUM-8106-2023</t>
  </si>
  <si>
    <t>Eadon, Yvonne/0009-0008-0593-2428</t>
  </si>
  <si>
    <t>10.1177/20563051241242797</t>
  </si>
  <si>
    <t>OH5A5</t>
  </si>
  <si>
    <t>WOS:001206382200001</t>
  </si>
  <si>
    <t>Nguyen, D; Nguyen, P; Long, V; Huong, TT; Nam, PN</t>
  </si>
  <si>
    <t>Duc Nguyen; Phong Nguyen; Vu Long; Truong Thu Huong; Pham Ngoc Nam</t>
  </si>
  <si>
    <t>Network-aware Prefetching Method for Short-Form Video Streaming</t>
  </si>
  <si>
    <t>2022 IEEE 24TH INTERNATIONAL WORKSHOP ON MULTIMEDIA SIGNAL PROCESSING (MMSP)</t>
  </si>
  <si>
    <t>IEEE International Workshop on Multimedia Signal Processing</t>
  </si>
  <si>
    <t>IEEE 24th International Workshop on Multimedia Signal Processing (MMSP)</t>
  </si>
  <si>
    <t>SEP 26-28, 2022</t>
  </si>
  <si>
    <t>Short-form Video Streaming; Prefetching; Data Wastage</t>
  </si>
  <si>
    <t>Recent years have witnessed the rising of short-form video platforms such as TikTok. Apart from conventional videos, short-form videos are much shorter and users frequently change the content to watch. Thus, it is crucial to have an effective streaming method for this new type of video. In this paper, we propose a resource-efficient prefetching method for short-form video streaming. Taking into account network throughput conditions and user viewing behaviors, the proposed method dynamically adapts the amount of prefetched video data. Experiment results show that our method can reduce the data waste by 37 similar to 52% compared to other existing methods.</t>
  </si>
  <si>
    <t>[Duc Nguyen] Tohoku Inst Technol, Sendai, Miyagi, Japan; [Phong Nguyen; Vu Long; Truong Thu Huong] Hanoi Univ Sci &amp; Technol, Hanoi, Vietnam; [Pham Ngoc Nam] VinUniversity, Hanoi, Vietnam</t>
  </si>
  <si>
    <t>Tohoku Institute Technology; Hanoi University of Science &amp; Technology (HUST); VinUniversity</t>
  </si>
  <si>
    <t>Nguyen, D (corresponding author), Tohoku Inst Technol, Sendai, Miyagi, Japan.</t>
  </si>
  <si>
    <t>ducnguyen@tohtech.ac.jp; huong.truongthu@hust.edu.vn; nam.pn@vinuni.edu.vn</t>
  </si>
  <si>
    <t>Truong, Thu/AAN-5383-2020; Nguyen, Duc/AAD-8017-2022</t>
  </si>
  <si>
    <t>Nguyen, Duc/0000-0003-1122-0650</t>
  </si>
  <si>
    <t>Vingroup; Vingroup Innovation Foundation (VINIF) [VINIF.2020.DA03]; Tohoku Institute of Technology, Japan</t>
  </si>
  <si>
    <t>Vingroup; Vingroup Innovation Foundation (VINIF); Tohoku Institute of Technology, Japan</t>
  </si>
  <si>
    <t>This work was funded by Vingroup and supported by Vingroup Innovation Foundation (VINIF) under project code VINIF.2020.DA03 and Competitive Fund from Tohoku Institute of Technology, Japan.</t>
  </si>
  <si>
    <t>2163-3517</t>
  </si>
  <si>
    <t>978-1-6654-7189-3</t>
  </si>
  <si>
    <t>IEEE INT WORKSH MULT</t>
  </si>
  <si>
    <t>10.1109/MMSP55362.2022.9948738</t>
  </si>
  <si>
    <t>Computer Science, Software Engineering; Engineering, Electrical &amp; Electronic; Imaging Science &amp; Photographic Technology</t>
  </si>
  <si>
    <t>Computer Science; Engineering; Imaging Science &amp; Photographic Technology</t>
  </si>
  <si>
    <t>BU3RN</t>
  </si>
  <si>
    <t>WOS:000893205800011</t>
  </si>
  <si>
    <t>Shauly, O; Marxen, T; Goel, P; Gould, DJ</t>
  </si>
  <si>
    <t>Shauly, Orr; Marxen, Troy; Goel, Pedram; Gould, Daniel J.</t>
  </si>
  <si>
    <t>The New Era of Marketing in Plastic Surgery: A Systematic Review and Algorithm of Social Media and Digital Marketing</t>
  </si>
  <si>
    <t>QUALITY-OF-LIFE; REPORTED OUTCOME MEASURES; SKIN-CANCER; FACE; SATISFACTION; APPEARANCE; INSTRUMENT; SCALE; HEAD</t>
  </si>
  <si>
    <t>Social media has been demonstrated to serve as a critical tool for plastic surgeons, facilitating patient engagement, peer-to-peer education and learning, and outreach to the broader public community. This study aims to perform a meta-analysis of data to determine the most valuable and useful social media platforms for practicing plastic surgeons developing their practice by assessing the perceived value to the practice and quantifying return on investment. A systematic review was performed using PubMed (National Institutes of Health, Bethesda, MD). The initial search yielded 3592 articles. Sixteen articles met inclusion and exclusion criteria. It was found that patients are more likely to engage with aesthetic content rather than scientific content. Younger generations are more likely to utilize Instagram (Meta, Menlo Park, CA), Snapchat (Santa Monica, CA), and TikTok (Culver City, CA), while older generations may be more likely to utilize Facebook (Meta, Menlo Park, CA) and YouTube (San Bruno, CA). Age-specific recommendations include utilizing Instagram, Snapchat, and TikTok with emphasis on breast augmentation for patients aged 17 and 35 given this is the most common procedure performed for this age group. Patients between the ages of 36 and 70 are most likely to be engaged on Facebook, Instagram, and Facebook with liposuction being the most common procedure in this age group. For ages 70+, patients are most likely to utilize Facebook with the most common procedure performed as blepharoplasty. Effective social media marketing for the plastic surgeon considers delivering the right content and choosing the right platform. The right content and platform are critically dependent on the specific age of the audience.</t>
  </si>
  <si>
    <t>[Shauly, Orr; Marxen, Troy; Goel, Pedram] Emory Univ, Sch Med, Dept Surg, Div Plast &amp; Reconstruct Surg, Atlanta, GA 30322 USA</t>
  </si>
  <si>
    <t>Goel, P (corresponding author), Univ Calif Irvine, Dept Plast Surg, 200 S Manchester Ave,Suite 650, Orange, CA 92868 USA.</t>
  </si>
  <si>
    <t>pedram.goel@gmail.com</t>
  </si>
  <si>
    <t>Marxen, Troy/0000-0001-8943-4929; Gould, Daniel/0000-0002-3576-3775</t>
  </si>
  <si>
    <t>ojad024</t>
  </si>
  <si>
    <t>10.1093/asjof/ojad024</t>
  </si>
  <si>
    <t>WOS:001133595800035</t>
  </si>
  <si>
    <t>Scott, RN</t>
  </si>
  <si>
    <t>Scott, Renee Nishawn</t>
  </si>
  <si>
    <t>Taking on the Light Ontological Black Girlhood in the Twenty-first Century</t>
  </si>
  <si>
    <t>Black Girl Magic; cultural appropriation; light making; play; social media; TikTok</t>
  </si>
  <si>
    <t>When society invokes Cashawn Thompson's hashtag phrase, Black Girl Magic, we laud the accomplishments of Black women and girls as if those triumphs are innate. In this article, I suggest that Black girls participate in a process that I call light making, or embodying that which is lighthearted, encouraging, and self-preserving. In exploring this particular ontology, I deconstruct Black Girl Magic by focusing on contemporary examples of light making as a way of understanding the critical role that Black girls play in Black cultural formation. By focusing on Black girl joy and play in social media, I stress light making as an ontology located in Black girlhood.</t>
  </si>
  <si>
    <t>[Scott, Renee Nishawn] Univ Maryland, Harriet Tubman Dept Women Gender &amp; Sexual Studies, College Pk, MD 20742 USA</t>
  </si>
  <si>
    <t>Scott, RN (corresponding author), Univ Maryland, Harriet Tubman Dept Women Gender &amp; Sexual Studies, College Pk, MD 20742 USA.</t>
  </si>
  <si>
    <t>rscott14@umd.edu</t>
  </si>
  <si>
    <t>10.3167/ghs.2022.150102</t>
  </si>
  <si>
    <t>ZG8AF</t>
  </si>
  <si>
    <t>WOS:000760475200002</t>
  </si>
  <si>
    <t>Amaefula, RC</t>
  </si>
  <si>
    <t>Amaefula, Rowland Chukwuemeka</t>
  </si>
  <si>
    <t>Performing Nigerianness: Equivocal Identities and Digital Legibility of White Women Comedians</t>
  </si>
  <si>
    <t>AFRICAN STUDIES REVIEW</t>
  </si>
  <si>
    <t>comedy; social media; skit; white; oyibo; Europe; Africa; Nigerianness; performance; women</t>
  </si>
  <si>
    <t>REMIX</t>
  </si>
  <si>
    <t>Sabina Yuhas (@Overszabi) and Juliana Belova (@juliewanderz or Oyibo Marlian) are Hungarian and Russian women, respectively, who are fascinated by Nigerian popular culture. Despite their successes in exploiting Black culture to attain wealth and fame in the Nigerian mediasphere, their works have hardly been studied. Close readings and nuanced analyses of their selected TikTok skits show a multiplicity of images that are neither fully European nor Nigerian-equivocal identities-mediating Otherness. However, the longstanding power asymmetries between Africa and Europe characterize their enactments as commodification of Blackness, accounting for why Nigerians who perform Europeanness do not attain corresponding success. Sabina Yuhas (@Overszabi) et Juliana Belova (@juliewanderz ou Oyibo Marlian) sont des femmes hongroises et russes, respectivement, fascin &amp; eacute;es par la culture populaire nig &amp; eacute;riane. Malgr &amp; eacute; leurs succ &amp; egrave;s dans l'exploitation de la culture noire pour atteindre la richesse et la c &amp; eacute;l &amp; eacute;brit &amp; eacute; dans la m &amp; eacute;diasph &amp; egrave;re nig &amp; eacute;riane, leurs oe uvres ont &amp; eacute;t &amp; eacute; peu &amp; eacute;tudi &amp; eacute;es. Des lectures approfondies et des analyses nuanc &amp; eacute;es de leurs sketchs TikTok s &amp; eacute;lectionn &amp; eacute;s montrent une multiplicit &amp; eacute; d'images qui ne sont ni pleinement europ &amp; eacute;ennes ni nig &amp; eacute;rianes - des identit &amp; eacute;s &amp; eacute;quivoques - m &amp; eacute;diatrices de l'alt &amp; eacute;rit &amp; eacute;. Cependant, les asym &amp; eacute;tries de pouvoir qui existent depuis longtemps entre l'Afrique et l'Europe caract &amp; eacute;risent leur mise en oe uvre comme une marchandisation de la n &amp; eacute;gritude, ce qui explique pourquoi les Nig &amp; eacute;rians qui pratiquent l'&lt;&lt; europ &amp; eacute;anit &amp; eacute; &gt;&gt; n'obtiennent pas le succ &amp; egrave;s correspondant. Sabina Yuhas (@Overszabi) e Juliana Belova (@juliewanderz ou Oyibo Marlian) s &amp; atilde;o duas mulheres, uma h &amp; uacute;ngara e outra russa, respetivamente, fascinadas pela cultura popular nigeriana. Apesar dos sucessos que t &amp; ecirc;m alcan &amp; ccedil;ado ao explorarem a cultura negra para obterem riqueza e fama nas redes sociais da Nig &amp; eacute;ria, os seus trabalhos t &amp; ecirc;m sido pouco estudados. Uma leitura atenta e uma an &amp; aacute;lise das subtilezas das suas publica &amp; ccedil;&amp; otilde;es no TikTok revelam uma multiplicidade de imagens que n &amp; atilde;o s &amp; atilde;o nem completamente europeias, nem completamemte nigerianas - identidades equ &amp; iacute;vocas -, atrav &amp; eacute;s das quais mediam o Outro. Por &amp; eacute;m, as assimetrias de poder que h &amp; aacute; muito predominam entre a &amp; Aacute;frica e a Europa caracterizam as suas atua &amp; ccedil;&amp; otilde;es como mercantiliza &amp; ccedil;&amp; atilde;o da Negritude, explicando por que raz &amp; atilde;o os nigerianos que desempenham o europe &amp; iacute;smo n &amp; atilde;o alcan &amp; ccedil;am um sucesso equivalente.</t>
  </si>
  <si>
    <t>[Amaefula, Rowland Chukwuemeka] Alex Ekwueme Fed Univ, Dept Theatre Arts, Abakaliki, Nigeria</t>
  </si>
  <si>
    <t>Amaefula, RC (corresponding author), Alex Ekwueme Fed Univ, Dept Theatre Arts, Abakaliki, Nigeria.</t>
  </si>
  <si>
    <t>emy4real2004@gmail.com</t>
  </si>
  <si>
    <t>Amaefula, Rowland/ABG-4216-2020</t>
  </si>
  <si>
    <t>Amaefula, Rowland Chukwuemeka/0000-0001-7012-2239</t>
  </si>
  <si>
    <t>0002-0206</t>
  </si>
  <si>
    <t>1555-2462</t>
  </si>
  <si>
    <t>AFR STUD REV</t>
  </si>
  <si>
    <t>Afr. Stud. Rev.</t>
  </si>
  <si>
    <t>10.1017/asr.2024.47</t>
  </si>
  <si>
    <t>J9Z7E</t>
  </si>
  <si>
    <t>WOS:001220625400001</t>
  </si>
  <si>
    <t>De Marchi, L; Herschmann, M; Kischinhevsky, M</t>
  </si>
  <si>
    <t>De Marchi, Leonardo; Herschmann, Micael; Kischinhevsky, Marcelo</t>
  </si>
  <si>
    <t>Relevant changes in the music industry in times of pandemic - Platformisation and financialization in audio and video streaming</t>
  </si>
  <si>
    <t>EPTIC</t>
  </si>
  <si>
    <t>communication; culture; consumption; music; streaming platforms</t>
  </si>
  <si>
    <t>Based on a review of the specialized literature and an empirical research of an exploratory nature, we sought to analyze what was identified as trends in the production, circulation and consumption in the industry of music, especially through lives and in the audio and video streaming services, no-tably Spotify and TikTok. It can be seen that the imposition of social isolation measures due to the Covid-19 pandemic has contributed to promote signi-ficant changes in the habits of the audiences - in a context of an increasing platformization of the economy and culture - different parts of the globe.</t>
  </si>
  <si>
    <t>[De Marchi, Leonardo; Kischinhevsky, Marcelo] Univ Fed do Rio de Janeiro ECO UFRJ, Escola Comunicacao, Programa Posgrad Comunicacao &amp; Cultura PPG COM, Rio De Janeiro, Brazil; [Herschmann, Micael] Univ Fed Rio de Janeiro, Escola Comunicacao, Rio de Janeiro, Brazil; [Herschmann, Micael] Univ Fed Rio de Janeiro, Programa Posgrad Comunicacao, Rio de Janeiro, Brazil</t>
  </si>
  <si>
    <t>Universidade Federal do Rio de Janeiro; Universidade Federal do Rio de Janeiro</t>
  </si>
  <si>
    <t>De Marchi, L (corresponding author), Univ Fed do Rio de Janeiro ECO UFRJ, Escola Comunicacao, Programa Posgrad Comunicacao &amp; Cultura PPG COM, Rio De Janeiro, Brazil.</t>
  </si>
  <si>
    <t>micael.herschmann@eco.ufrj.br; marcelo.kisch@eco.ufrj.br</t>
  </si>
  <si>
    <t>Kischinhevsky, Marcelo/AEJ-8709-2022</t>
  </si>
  <si>
    <t>Kischinhevsky, Marcelo/0000-0002-4838-2162</t>
  </si>
  <si>
    <t>UNIV FEDERAL SERGIPE</t>
  </si>
  <si>
    <t>SERGIPE</t>
  </si>
  <si>
    <t>AV VEREADOR OLIMPIO GRANDE, ITABAIANA, SERGIPE, 00000, BRAZIL</t>
  </si>
  <si>
    <t>1518-2487</t>
  </si>
  <si>
    <t>5Z4IG</t>
  </si>
  <si>
    <t>WOS:000879937600004</t>
  </si>
  <si>
    <t>Lachos, D; Poese, I</t>
  </si>
  <si>
    <t>Fitzek, F; Gharbaoui, M; Nguyen, G; Gu, R; Meuser, T</t>
  </si>
  <si>
    <t>Lachos, Danny; Poese, Ingmar</t>
  </si>
  <si>
    <t>DNS Flow Analyser (DFA): A DNS-based Correlation System to Classify CDN Domains and OTT-Applications</t>
  </si>
  <si>
    <t>2023 IEEE CONFERENCE ON NETWORK FUNCTION VIRTUALIZATION AND SOFTWARE DEFINED NETWORKS, NFV-SDN</t>
  </si>
  <si>
    <t>IEEE Conference on Network Function Virtualization and Software Defined Networks</t>
  </si>
  <si>
    <t>4th IEEE Conference on Network Function Virtualization / 9th Software Defined Networks Conference (IEEE NFV-SDN)</t>
  </si>
  <si>
    <t>NOV 07-09, 2023</t>
  </si>
  <si>
    <t>Dresden, GERMANY</t>
  </si>
  <si>
    <t>IEEE,IEEE Commun Soc</t>
  </si>
  <si>
    <t>Understanding how traffic from the applications is delivered to end-users has been a daunting task of network players for decades. Historically, only DPI (Deep Packet Inspection) has been the dominant technology to provide such insight, but this faces growing challenges with encryption and scaling. In this demonstration, we present an implementation of a DNS-based correlation framework, called DNS Flow Analyser (DFA), to annotate and classify the traffic flows with information about OTT-Applications (e.g., TikTok, Disney+, AmazonPrime, DAZN) and CDN domains (e.g., fastly.net, akamai.net, cloudfront.net). This novel solution allows network providers to expand their traditional network-oriented view with an application-oriented view.</t>
  </si>
  <si>
    <t>[Lachos, Danny; Poese, Ingmar] BENOCS GmbH, Berlin, Germany</t>
  </si>
  <si>
    <t>Lachos, D (corresponding author), BENOCS GmbH, Berlin, Germany.</t>
  </si>
  <si>
    <t>dlachos@benocs.com; ipoese@benocs.com</t>
  </si>
  <si>
    <t>2832-224X</t>
  </si>
  <si>
    <t>979-8-3503-0254-7</t>
  </si>
  <si>
    <t>Net Function Virt So</t>
  </si>
  <si>
    <t>10.1109/NFV-SDN59219.2023.10329599</t>
  </si>
  <si>
    <t>Computer Science, Software Engineering; Engineering, Electrical &amp; Electronic; Telecommunications</t>
  </si>
  <si>
    <t>BW2KA</t>
  </si>
  <si>
    <t>WOS:001117716300031</t>
  </si>
  <si>
    <t>Marionneau, A; Myles, D</t>
  </si>
  <si>
    <t>Marionneau, Ambre; Myles, David</t>
  </si>
  <si>
    <t>Predicting homosexuality in the age of artificial intelligence: an analysis of three technoscientific controversies</t>
  </si>
  <si>
    <t>intelligence artificielle; communaut &amp; eacute;s LGBTQ+; controverses technoscientifiques; imaginaires; pr &amp; eacute;diction</t>
  </si>
  <si>
    <t>BIG DATA; GAYDAR; EXPECTATIONS; SOCIOLOGY; POLITICS</t>
  </si>
  <si>
    <t>Background: Digital platforms are involved in a reconfiguration of imaginaries surrounding the prediction of homosexuality. Analysis: This article analyzes three technoscientific controversies. The first addresses the prediction of users' sexual orientation based on the content they like on Facebook. The second deals with facial recognition software aimed at predicting homosexuality. Finally, the third focuses on the alleged ability of TikTok's algorithms to influence the sexual orientation of its users. Conclusion and implications: Analyzing the diverse imaginaries around prediction allows us to understand the concerns that various social actors share about artificial intelligence and its implications for LGBTQ+ communities.</t>
  </si>
  <si>
    <t>[Marionneau, Ambre] Inst Natl Rech Sci, Montreal, PQ, Canada; [Myles, David] Inst Natl Rech Sci, Ctr Urbanisat Culture Soc, Montreal, PQ, Canada</t>
  </si>
  <si>
    <t>University of Quebec; Institut national de la recherche scientifique (INRS); University of Quebec; Institut national de la recherche scientifique (INRS)</t>
  </si>
  <si>
    <t>Marionneau, A (corresponding author), Inst Natl Rech Sci, Montreal, PQ, Canada.</t>
  </si>
  <si>
    <t>ambre.marionneau@inrs.ca; david.myles@inrs.ca</t>
  </si>
  <si>
    <t>10.3138/cjc-2023-0036</t>
  </si>
  <si>
    <t>WOS:001320348100007</t>
  </si>
  <si>
    <t>Camacho, D; Luzón, MV; Cambria, E</t>
  </si>
  <si>
    <t>Camacho, David; Victoria Luzon, Ma; Cambria, Erik</t>
  </si>
  <si>
    <t>New research methods &amp; algorithms in social network analysis</t>
  </si>
  <si>
    <t>FUTURE GENERATION COMPUTER SYSTEMS-THE INTERNATIONAL JOURNAL OF ESCIENCE</t>
  </si>
  <si>
    <t>Social network analysis; Community detection; Natural language processing; Sentiment analysis; Social media mining</t>
  </si>
  <si>
    <t>COMMUNITY DETECTION; SENTIMENT ANALYSIS</t>
  </si>
  <si>
    <t>The exponential growth of social media and online social networks (e.g., Facebook, Twitter, Instagram, and TikTok) has changed the daily lives of millions of people. The ease to accessing, gathering and processing available data and the high societal and industrial interest in such data have attracted the interest of a large of research disciplines. This special issue has been focused mainly on Data Science and Artificial Intelligence techniques, and their application to social network analysis. The issue provides a total of 12 selected papers (out of 65) that represent latest advances and developments in these areas. (C) 2020 Published by Elsevier B.V.</t>
  </si>
  <si>
    <t>[Camacho, David] Univ Politecn Madrid, Dept Sistemas Informat, Calle Alan Turing S-N, Madrid 28031, Spain; [Victoria Luzon, Ma] Univ Granada, ETS Ingn Informat &amp; Telecomunicac, C Periodista Daniel Saucedo Aranda S-N, E-18071 Granada, Spain; [Cambria, Erik] Nanyang Technol Univ, Sch Comp Sci &amp; Engn, 50 Nanyang Ave, Singapore 639798, Singapore</t>
  </si>
  <si>
    <t>Universidad Politecnica de Madrid; University of Granada; Nanyang Technological University</t>
  </si>
  <si>
    <t>Camacho, D (corresponding author), Univ Politecn Madrid, Dept Sistemas Informat, Calle Alan Turing S-N, Madrid 28031, Spain.</t>
  </si>
  <si>
    <t>david.camacho@upm.es; luzon@ugr.es; cambria@ntu.edu.sg</t>
  </si>
  <si>
    <t>Garcia, Maria/C-2421-2012; Cambria, Erik/C-2103-2013</t>
  </si>
  <si>
    <t>Cambria, Erik/0000-0002-3030-1280</t>
  </si>
  <si>
    <t>0167-739X</t>
  </si>
  <si>
    <t>1872-7115</t>
  </si>
  <si>
    <t>FUTURE GENER COMP SY</t>
  </si>
  <si>
    <t>Futur. Gener. Comp. Syst.</t>
  </si>
  <si>
    <t>10.1016/j.future.2020.08.006</t>
  </si>
  <si>
    <t>OC5HG</t>
  </si>
  <si>
    <t>WOS:000579186700024</t>
  </si>
  <si>
    <t>Suhag, K; Rauniyar, S</t>
  </si>
  <si>
    <t>Suhag, Khushi; Rauniyar, Shyambabu</t>
  </si>
  <si>
    <t>Social Media Effects Regarding Eating Disorders and Body Image in Young Adolescents</t>
  </si>
  <si>
    <t>consuming; body dysmorphia; twitter; social network; tiktok; instagram; social; facebook; online; internet</t>
  </si>
  <si>
    <t>DYSMORPHIC DISORDER; INTERNET; CHILDREN; IMPACT; RISK</t>
  </si>
  <si>
    <t>The following study investigates how eating problems and young people's body image are affected by social media. As social media becomes more pervasive, young teenagers are exposed to many pictures, messages, and influencers encouraging unachievable body and beauty ideals. The study investigates the link between social media usage and the development of binge eating disorder patterns and undesirable body image judgments. It also sheds light on the influence that so-called social media influencers and celebrities have on encouraging disordered eating patterns and forming negative body image perceptions. On websites like Instagram and TikTok, exposure to deliberately selected photographs of ideal body types encourages body dissatisfaction and poor self-worth. The research emphasizes social media's possible harm to this vulnerable group's physical and mental health by examining pertinent literature and empirical evidence. It also looks at potential safeguards and methods for fostering good mental and physical health in early adolescents during pervasive social networking site use. Promoting fad diets, weight-loss aids, and the exaltation of extreme thinness aids in the normalization of harmful behaviours. Social media's negative consequences on eating disorders and body image in young teenagers are highlighted by this study in its conclusion. As a critical developmental stage, early adolescence is vulnerable due to the effect of social media, which could normalize unhealthy behaviours and maintain negative body image and insecurities. The findings underscore the need for targeted interventions and educational programs to mitigate the adverse effects of eating problems and young people's body image in light of social media.</t>
  </si>
  <si>
    <t>[Suhag, Khushi] Datta Meghe Inst Higher Educ &amp; Res, Jawaharlal Nehru Med Coll, Med, Wardha, India; [Rauniyar, Shyambabu] Datta Meghe Inst Higher Educ &amp; Res, Jawaharlal Nehru Med Coll, Anat, Wardha, India</t>
  </si>
  <si>
    <t>Datta Meghe Institute of Higher Education &amp; Research (Deemed to be University); Jawaharlal Nehru Medical College Wardha; Datta Meghe Institute of Higher Education &amp; Research (Deemed to be University); Jawaharlal Nehru Medical College Wardha</t>
  </si>
  <si>
    <t>Suhag, K (corresponding author), Datta Meghe Inst Higher Educ &amp; Res, Jawaharlal Nehru Med Coll, Med, Wardha, India.</t>
  </si>
  <si>
    <t>khushisuhag281103@gmail.com</t>
  </si>
  <si>
    <t>e58674</t>
  </si>
  <si>
    <t>10.7759/cureus.58674</t>
  </si>
  <si>
    <t>QU1Z0</t>
  </si>
  <si>
    <t>WOS:001223302700033</t>
  </si>
  <si>
    <t>Muskin, M</t>
  </si>
  <si>
    <t>Muskin, Melanie</t>
  </si>
  <si>
    <t>Quitting with a Crowd: An exploration of teachers' resignation stories on TikTok</t>
  </si>
  <si>
    <t>Teacher turnover; Social movements; Social media; Multimodal content analysis; Frame analysis</t>
  </si>
  <si>
    <t>SOCIAL MEDIA; POLITICAL COMMUNICATION; RETENTION; MOVEMENTS</t>
  </si>
  <si>
    <t>This exploratory case study examines 35 popular posts on #teacherquittok, describing how teachers use multimodal elements to illuminate an unsustainable teaching profession across the United States. Employing multimodal content and frame analyses, this study finds posts take on a political dimension, linking resignations to workplace grievances. However, posts rarely make policy demands or encourage offline activism. Hence, #teacherquittok resembles new social movements online that emphasize building coalitions and shared narratives rather than overt action. These findings suggest that #teacherquittok is a platform for teachers to voice challenges and contribute to public discourse related to poor working conditions across the profession.</t>
  </si>
  <si>
    <t>[Muskin, Melanie] Northwestern Univ, Dept Human Dev &amp; Social Policy, Evanston, IL 60208 USA</t>
  </si>
  <si>
    <t>Muskin, M (corresponding author), Northwestern Univ, Dept Human Dev &amp; Social Policy, Evanston, IL 60208 USA.</t>
  </si>
  <si>
    <t>melaniemuskin@u.northwestern.edu</t>
  </si>
  <si>
    <t>Muskin, Melanie/0000-0002-2238-5971</t>
  </si>
  <si>
    <t>Thank you to Drs. Cynthia Coburn, Tabitha Bonilla, and Jim Spillane for their feedback; Alison Clarke for assistance with data collection; Lara Altman, Jen Cowhy, and Kanika Dhanda for their support; and Kerry Bowen for introducing me to TikTok.</t>
  </si>
  <si>
    <t>10.1016/j.tate.2024.104655</t>
  </si>
  <si>
    <t>WW3J1</t>
  </si>
  <si>
    <t>WOS:001257865700001</t>
  </si>
  <si>
    <t>Luu, ST; Nguyen, KV; Nguyen, NLT</t>
  </si>
  <si>
    <t>Fujita, H; Selamat, A; Lin, JC; Ali, M</t>
  </si>
  <si>
    <t>Luu, Son T.; Kiet Van Nguyen; Ngan Luu-Thuy Nguyen</t>
  </si>
  <si>
    <t>A Large-Scale Dataset for Hate Speech Detection on Vietnamese Social Media Texts</t>
  </si>
  <si>
    <t>ADVANCES AND TRENDS IN ARTIFICIAL INTELLIGENCE. ARTIFICIAL INTELLIGENCE PRACTICES, IEA/AIE 2021, PT I</t>
  </si>
  <si>
    <t>Lecture Notes in Artificial Intelligence</t>
  </si>
  <si>
    <t>34th International Conference on Industrial, Engineering and Other Applications of Applied Intelligent Systems (IEA/AIE)</t>
  </si>
  <si>
    <t>JUL 26-29, 2021</t>
  </si>
  <si>
    <t>Kuala Lumpur, MALAYSIA</t>
  </si>
  <si>
    <t>Hate speech detection; Social media texts; Machine learning; Text classification</t>
  </si>
  <si>
    <t>In recent years, Vietnam witnesses the mass development of social network users on different social platforms such as Facebook, Youtube, Instagram, and Tiktok. On social media, hate speech has become a critical problem for social network users. To solve this problem, we introduce the ViHSD - a human-annotated dataset for automatically detecting hate speech on the social network. This dataset contains over 30,000 comments, each comment in the dataset has one of three labels: CLEAN, OFFENSIVE, or HATE. Besides, we introduce the data creation process for annotating and evaluating the quality of the dataset. Finally, we evaluate the dataset by deep learning and transformer models.</t>
  </si>
  <si>
    <t>[Luu, Son T.; Kiet Van Nguyen; Ngan Luu-Thuy Nguyen] Univ Informat Technol, Ho Chi Minh City, Vietnam; [Luu, Son T.; Kiet Van Nguyen; Ngan Luu-Thuy Nguyen] Vietnam Natl Univ, Ho Chi Minh City, Vietnam</t>
  </si>
  <si>
    <t>Luu, ST (corresponding author), Univ Informat Technol, Ho Chi Minh City, Vietnam.;Luu, ST (corresponding author), Vietnam Natl Univ, Ho Chi Minh City, Vietnam.</t>
  </si>
  <si>
    <t>sonlt@uit.edu.vn; kietnv@uit.edu.vn; ngannlt@uit.edu.vn</t>
  </si>
  <si>
    <t>Luu, Son/AAY-5897-2020</t>
  </si>
  <si>
    <t>Nguyen, Kiet/0000-0002-8456-2742; Luu, Son T./0000-0002-1231-5865</t>
  </si>
  <si>
    <t>2945-9133</t>
  </si>
  <si>
    <t>978-3-030-79456-9; 978-3-030-79457-6</t>
  </si>
  <si>
    <t>LECT NOTES ARTIF INT</t>
  </si>
  <si>
    <t>10.1007/978-3-030-79457-6_35</t>
  </si>
  <si>
    <t>BX7WX</t>
  </si>
  <si>
    <t>WOS:001327645500035</t>
  </si>
  <si>
    <t>Wang, H; Xia, LY; Youzi, Z</t>
  </si>
  <si>
    <t>IOP</t>
  </si>
  <si>
    <t>Wang Han; Xia Liyu; Wang Youzi</t>
  </si>
  <si>
    <t>Analysis of the Situation Faced by New Media Propaganda in State-owned Enterprises</t>
  </si>
  <si>
    <t>2018 INTERNATIONAL SYMPOSIUM ON POWER ELECTRONICS AND CONTROL ENGINEERING (ISPECE 2018)</t>
  </si>
  <si>
    <t>Journal of Physics Conference Series</t>
  </si>
  <si>
    <t>International Symposium on Power Electronics and Control Engineering (ISPECE)</t>
  </si>
  <si>
    <t>DEC 28-30, 2018</t>
  </si>
  <si>
    <t>Xian Univ Technol, Xian, PEOPLES R CHINA</t>
  </si>
  <si>
    <t>Xian Univ Technol</t>
  </si>
  <si>
    <t>In recent years, various new media platforms such as Weibo, WeChat, news client, and TikTok have developed rapidly, and have even become the main front for state-owned enterprises in news propaganda. Therefore, the focus of brand building work of state-owned enterprises and the external situation they face are also changing, such as the urgent need to implement ideological work responsibilities, the more complicated ecological environment, the higher requirements for reform of state-owned enterprises, and the more convenient facilities provided by scientific and technological means. Faced with a new situation of new media communication, state-owned enterprises must change their brand building ideas and continuously improve the ability of network public opinion guidance and new media communication.</t>
  </si>
  <si>
    <t>[Wang Han; Xia Liyu; Wang Youzi] State Grid Energy Res Inst Co Ltd, Beijing, Peoples R China</t>
  </si>
  <si>
    <t>Wang, H (corresponding author), State Grid Energy Res Inst Co Ltd, Beijing, Peoples R China.</t>
  </si>
  <si>
    <t>wanghan@sgeri.sgcc.com.cn</t>
  </si>
  <si>
    <t>Wang, Han/ABA-7138-2021; Wang, Han/A-5016-2011</t>
  </si>
  <si>
    <t>Wang, Han/0000-0001-5448-9903</t>
  </si>
  <si>
    <t>IOP PUBLISHING LTD</t>
  </si>
  <si>
    <t>DIRAC HOUSE, TEMPLE BACK, BRISTOL BS1 6BE, ENGLAND</t>
  </si>
  <si>
    <t>1742-6588</t>
  </si>
  <si>
    <t>1742-6596</t>
  </si>
  <si>
    <t>J PHYS CONF SER</t>
  </si>
  <si>
    <t>10.1088/1742-6596/1187/5/052077</t>
  </si>
  <si>
    <t>Engineering, Electrical &amp; Electronic; Physics, Multidisciplinary</t>
  </si>
  <si>
    <t>Engineering; Physics</t>
  </si>
  <si>
    <t>BN4AA</t>
  </si>
  <si>
    <t>WOS:000481622603007</t>
  </si>
  <si>
    <t>Sex-Related Online Training for Professionals: Live Streaming with Twitch, OnlyFans and other Social Media Platforms</t>
  </si>
  <si>
    <t>internet; live streaming; online professional training; sexual and reproductive health; sexuality education; internet; live streaming; online professional training; sexual and reproductive health; sexuality education</t>
  </si>
  <si>
    <t>This practice-oriented article deals with live video broadcasts on the Internet, so-called live streaming. A live streaming function is now offered on all major social media platforms (e. g., Facebook Live, YouTube Live, Instagram Live, TikTok Live), there are also dedicated streaming platforms (e. g. Twitch, Periscope, YouNow), and last but not least, live streaming on erotic platforms plays an important role (e. g., OnlyFans). This article describes the specifics of live streaming on Twitch and other social media platforms and reviews the state of current research. The focus is then on sexuality-related uses of live streaming.</t>
  </si>
  <si>
    <t>2024 OCT 24</t>
  </si>
  <si>
    <t>10.1055/a-2422-1227</t>
  </si>
  <si>
    <t>K0V2G</t>
  </si>
  <si>
    <t>WOS:001341142200001</t>
  </si>
  <si>
    <t>Morris, JT</t>
  </si>
  <si>
    <t>Morris, Joshua T.</t>
  </si>
  <si>
    <t>Wes Anderson, Unexamined Grief, and Pediatric Chaplaincy: An Autoethnographic Reflection</t>
  </si>
  <si>
    <t>PASTORAL PSYCHOLOGY</t>
  </si>
  <si>
    <t>Chaplaincy; Pediatrics; Grief; Self-care; COVID-19; Wes Anderson; Autoethnography</t>
  </si>
  <si>
    <t>This essay combines autoethnographic narratives along with the films of U.S. film director Wes Anderson to provoke and unlock a buried grief of serving as a pediatric hospital chaplain. Anderson is one of the most well-known U.S. film directors. Even if an individual has not seen one of his eleven feature-length films, his aesthetic, eccentricity, and production design are well known and have reached meme status on social media platforms such as TikTok and Instagram. Buried within the pastel pastiche are themes of grief and trauma. The author moves through these themes alongside Anderson's cinematic universe and offer possibilities for communal care in an Andersonian manner.</t>
  </si>
  <si>
    <t>[Morris, Joshua T.] Union Presbyterian Seminary, 5141 Sharon Rd, Charlotte, NC 28210 USA</t>
  </si>
  <si>
    <t>Morris, JT (corresponding author), Union Presbyterian Seminary, 5141 Sharon Rd, Charlotte, NC 28210 USA.</t>
  </si>
  <si>
    <t>JMorris@upsem.edu</t>
  </si>
  <si>
    <t>0031-2789</t>
  </si>
  <si>
    <t>1573-6679</t>
  </si>
  <si>
    <t>PASTOR PSYCHOL</t>
  </si>
  <si>
    <t>Pastor. Psychol.</t>
  </si>
  <si>
    <t>10.1007/s11089-024-01122-1</t>
  </si>
  <si>
    <t>Psychology, Clinical; Psychology, Multidisciplinary; Religion</t>
  </si>
  <si>
    <t>Psychology; Religion</t>
  </si>
  <si>
    <t>A4I3Z</t>
  </si>
  <si>
    <t>WOS:001149187400001</t>
  </si>
  <si>
    <t>McConville, T</t>
  </si>
  <si>
    <t>McConville, Thomas</t>
  </si>
  <si>
    <t>The Artist as a Subscription: Patching music as an artistic device</t>
  </si>
  <si>
    <t>ORGANISED SOUND</t>
  </si>
  <si>
    <t>This article aims to explore the concept of patched/versioned musical works as creative ecologies. It identifies how the internet's involvement in music creation and dissemination influences choices related to the release of such works. Throughout this writing, the author looks at the increasingly volatile structures surrounding recorded music in the early twenty-first century as a result of streaming platforms such as Spotify and video-based social media sites such as TikTok becoming the primary means for music consumption. It explores this volatility as a method for approaching the release of new music within dynamic musical ecosystems and looks at the growing art scene focusing on this way of working, drawing parallels between artistry and subscription-based services where content continually evolves over time.</t>
  </si>
  <si>
    <t>tmcc@hotmail.co.uk</t>
  </si>
  <si>
    <t>1355-7718</t>
  </si>
  <si>
    <t>1469-8153</t>
  </si>
  <si>
    <t>ORGAN SOUND</t>
  </si>
  <si>
    <t>Organ. Sound</t>
  </si>
  <si>
    <t>10.1017/S1355771823000626</t>
  </si>
  <si>
    <t>IW6K8</t>
  </si>
  <si>
    <t>WOS:001169412100010</t>
  </si>
  <si>
    <t>Contingency, Precarity and Short-Video Creativity: Platformization Based Analysis of Chinese Online Screen Industry</t>
  </si>
  <si>
    <t>platformization; contingency; precarity; censorship; short-video creativity</t>
  </si>
  <si>
    <t>POLITICS</t>
  </si>
  <si>
    <t>Platformization theory proposes that cultural productions are contingent on platforms. This study argues that in the Chinese context; however, online productions are contingent not only on platforms, but on government policies. Under the influence of state, market, and platform policy, major streaming services in China are becoming an online state TV. The limitations placed on grassroots content has forced creators to thrive elsewhere, contributing to the proliferation of short video platforms such as TikTok. This study investigates the contingency and precarity of the online sector to map the migration of content creators from conventional streaming services to the emerging creative forms of short videos and livestreaming.</t>
  </si>
  <si>
    <t>[Su, Chunmeizi] Univ Sydney, John Woolleys Bldg, Camperdown, NSW 2006, Australia</t>
  </si>
  <si>
    <t>Su, CMZ (corresponding author), Univ Sydney, John Woolleys Bldg, Camperdown, NSW 2006, Australia.</t>
  </si>
  <si>
    <t>Australian Research Council Discovery-Projects, Platform Governance: Rethinking Internet Regulation as Media Policy [ARC DP190100222]</t>
  </si>
  <si>
    <t>Australian Research Council Discovery-Projects, Platform Governance: Rethinking Internet Regulation as Media Policy(Australian Research Council)</t>
  </si>
  <si>
    <t>The author(s) disclosed receipt of the following financial support for the research, authorship and/or publication of this article: Chunmeizi Su received funding through the Australian Research Council Discovery-Projects, Platform Governance: Rethinking Internet Regulation as Media Policy (ARC DP190100222).</t>
  </si>
  <si>
    <t>10.1177/15274764221087994</t>
  </si>
  <si>
    <t>8I9VD</t>
  </si>
  <si>
    <t>WOS:000787262900001</t>
  </si>
  <si>
    <t>Oklander, M; Kudina, A</t>
  </si>
  <si>
    <t>Oklander, Mykhailo; Kudina, Alevtyna</t>
  </si>
  <si>
    <t>CHANNELS FOR PROMOTION OF FASHION BRANDS IN THE ONLINE SPACE</t>
  </si>
  <si>
    <t>BALTIC JOURNAL OF ECONOMIC STUDIES</t>
  </si>
  <si>
    <t>fashion industry; fashion brands; branding; digital technologies; marketplaces</t>
  </si>
  <si>
    <t>The article's purpose is to substantiate scientific and applied recommendations for the using of modern digital marketing tools to promote fashion brands. The subject of research is the theoretical foundations of the formation and operation of a system of priority channels for the promotion of brands of light industry enterprises in terms of increasing business risks. Methodology. The methods of scientific abstraction, analysis and synthesis, systemic, dialectical, expert, analogies and structural-functional research methods are used. Results. The study has shown that most of the world's brands in the fashion industry determine e-commerce the main vector of their development. This is due to changes in consumer behaviour and due to the significant impact of the pandemic on the retail sector. There are highlighted adverse factors of development of Ukrainian fashion brands. It has been identified promising channels for promoting fashion brands in the online space. The use of User Journey Map and User Flow is justified to ensure the convenience of using the online store and reduce the amount of time spent on shopping. The key elements of the information architecture of the site are highlighted: cognitive load and mental models. The set of brand measures to encourage users to expand interaction with content (official advertising from the social network) (for Facebook, Instagram, YouTube, TikTok, Pinterest), advertising with well-known bloggers whose audience is similar to the brand's audience (Facebook, Instagram, YouTube), mass following and mass liking (Instagram); mutual PR (Facebook, Instagram, YouTube, TikTok); Giveaway (Instagram)). Brand accounts must be fully consistent with the brand's corporate identity and complement each other. There are shown the advantages of marketplaces in the promotion of goods of the fashion industry and the criteria for their selection in this market. There are determined the specifics of the use of social networks in the promotion of clothing and footwear brands. There are given characteristics of content in social networks Facebook, Instagram, YouTube, TikTok, and Pinterest. There are proposed options for the development of stages of the sales funnel for fashion brands in social networks. It is determined that the strategy of brand development should be based on the specifics of the range in social networks, the portrait of the target audience, the character and DNA of the brand. It is based on the capabilities and goals of social networks. It is stated that with the correct use of resources and opportunities of social networks it is possible to ensure the growth of brand awareness and increase loyalty to it. Practical implications. The results of the study can be used to develop strategies and tactics for promoting fashion brands of Ukrainian companies in the Internet. Value/originality. The value of the article is due to the presence of recommendations for choosing the most effective channels for promoting fashion brands in the online space. There are proposed the functionality of the online store for fashion brands, the criteria for choosing marketplaces, the relevant social networks for the promotion of brands and the direction of their coordination with the company's website.</t>
  </si>
  <si>
    <t>[Oklander, Mykhailo; Kudina, Alevtyna] Odessa Polytech State Univ, Odessa, Ukraine</t>
  </si>
  <si>
    <t>Oklander, M (corresponding author), Odessa Polytech State Univ, Odessa, Ukraine.</t>
  </si>
  <si>
    <t>imt@te.net.ua; alevtynakudina@gmail.com</t>
  </si>
  <si>
    <t>Oklander, Mykhailo/M-6970-2019</t>
  </si>
  <si>
    <t>Oklander, Mykhailo/0000-0002-1268-6009</t>
  </si>
  <si>
    <t>BALTIC JOURNAL ECONOMIC STUDIES</t>
  </si>
  <si>
    <t>RIGA</t>
  </si>
  <si>
    <t>VALDEKU IELA 62-156, RIGA, LV-1058, LATVIA</t>
  </si>
  <si>
    <t>2256-0742</t>
  </si>
  <si>
    <t>2256-0963</t>
  </si>
  <si>
    <t>BALT J ECON STUD</t>
  </si>
  <si>
    <t>Balt. J. Econ. Stud.</t>
  </si>
  <si>
    <t>10.30525/2256-0742/2021-7-2-179-187</t>
  </si>
  <si>
    <t>SL2MX</t>
  </si>
  <si>
    <t>WOS:000656755200019</t>
  </si>
  <si>
    <t>Kolmakova, T; Makarov, I</t>
  </si>
  <si>
    <t>Rojas, I; Joya, G; Catala, A</t>
  </si>
  <si>
    <t>Kolmakova, Tatiana; Makarov, Ilya</t>
  </si>
  <si>
    <t>Efficient Transformer for Video Summarization</t>
  </si>
  <si>
    <t>ADVANCES IN COMPUTATIONAL INTELLIGENCE, IWANN 2023, PT II</t>
  </si>
  <si>
    <t>17th International Work-Conference on Artificial Neural Networks (IWANN)</t>
  </si>
  <si>
    <t>JUN 19-21, 2023</t>
  </si>
  <si>
    <t>Ponta Delgada, PORTUGAL</t>
  </si>
  <si>
    <t>Univ Granada,Univ Malaga,Polytechn Univ Catalonia</t>
  </si>
  <si>
    <t>Video Summarization; Deep Learning; Transformers</t>
  </si>
  <si>
    <t>CREATION</t>
  </si>
  <si>
    <t>The amount of user-generated content is increasing daily. That is especially true for video content that became popular with social media like TikTok. Other internet sources keep up and easier the way for video sharing. That is why automatic tools for finding core information of content but decreasing its volume are essential. Video summarization is aimed to help with it. In this work, we propose a transformer-based approach to supervised video summarization. Previous applications of attention architectures either used lighter versions or loaded models with RNN modules, that slower computations. Our proposed framework uses all advantages of transformers. Extensive evaluation on two benchmark datasets showed that the introduced model outperform existed approaches on the SumMe dataset by 3% and shows comparable results on the TVSum dataset.</t>
  </si>
  <si>
    <t>[Kolmakova, Tatiana] HSE Univ, Moscow, Russia; [Makarov, Ilya] Artificial Intelligence Res Inst AIRI, Moscow, Russia; [Makarov, Ilya] NUST MISiS, AI Ctr, Moscow, Russia</t>
  </si>
  <si>
    <t>HSE University (National Research University Higher School of Economics); National University of Science &amp; Technology (MISIS)</t>
  </si>
  <si>
    <t>Makarov, I (corresponding author), Artificial Intelligence Res Inst AIRI, Moscow, Russia.;Makarov, I (corresponding author), NUST MISiS, AI Ctr, Moscow, Russia.</t>
  </si>
  <si>
    <t>tskolm@ya.ru; iamakarov@misis.ru</t>
  </si>
  <si>
    <t>978-3-031-43077-0; 978-3-031-43078-7</t>
  </si>
  <si>
    <t>10.1007/978-3-031-43078-7_5</t>
  </si>
  <si>
    <t>Computer Science, Artificial Intelligence; Computer Science, Theory &amp; Methods</t>
  </si>
  <si>
    <t>BW4UH</t>
  </si>
  <si>
    <t>WOS:001155317100005</t>
  </si>
  <si>
    <t>Haji, R; Scheibe, K; Zimmer, F</t>
  </si>
  <si>
    <t>Haji, Rasia; Scheibe, Katrin; Zimmer, Franziska</t>
  </si>
  <si>
    <t>Information behavior of young asylum seekers in Germany</t>
  </si>
  <si>
    <t>INFORMATION-WISSENSCHAFT UND PRAXIS</t>
  </si>
  <si>
    <t>Empirical Study; Social Media; Asylum Seekers; Information Behavior; Germany; Users; Information Needs; Children</t>
  </si>
  <si>
    <t>This study examines the information and communication behavior of asylum seekers' children who have fled to Germany from the Near and Middle East. We focus on their use of social media, other online services, and offline media. By applying the Uses and Gratification Theory, we investigate what services children and adoles- cents use to satisfy their information needs for knowledge, self-presentation, social interaction, and entertainment. For this purpose, 20 asylum seekers (aged between eight and 18 years) were interviewed face-to-face by using a questionnaire and a semi-structured interview guideline. Most used services are social media, especially WhatsApp, YouTube, but also Instagram and TikTok, and - concerning the search for information - Google.</t>
  </si>
  <si>
    <t>[Haji, Rasia; Scheibe, Katrin; Zimmer, Franziska] Heinrich Heine Univ Dusseldorf, Abt Informat Wissensch, Univ Str 1, D-40225 Dusseldorf, Germany</t>
  </si>
  <si>
    <t>Haji, R (corresponding author), Heinrich Heine Univ Dusseldorf, Abt Informat Wissensch, Univ Str 1, D-40225 Dusseldorf, Germany.</t>
  </si>
  <si>
    <t>rasia.haji@hhu.de; katrin.scheibe@hhu.de; franziska.zimmer@hhu.de</t>
  </si>
  <si>
    <t>Zimmer, Franziska/HMW-0826-2023</t>
  </si>
  <si>
    <t>1434-4653</t>
  </si>
  <si>
    <t>1619-4292</t>
  </si>
  <si>
    <t>INFORM-WISS PRAX</t>
  </si>
  <si>
    <t>Inform.-Wiss. Prax.</t>
  </si>
  <si>
    <t>10.1515/iwp-2020-2092</t>
  </si>
  <si>
    <t>OZ3YL</t>
  </si>
  <si>
    <t>WOS:000594865700008</t>
  </si>
  <si>
    <t>Che, SP; Wang, XK; Zhang, SA; Kim, JH</t>
  </si>
  <si>
    <t>Che, ShaoPeng; Wang, Xiaoke; Zhang, Shunan; Kim, Jang Hyun</t>
  </si>
  <si>
    <t>Effect of daily new cases of COVID-19 on public sentiment and concern: Deep learning-based sentiment classification and semantic network analysis</t>
  </si>
  <si>
    <t>Daily new cases; COVID-19; Deep learning; Semantic network analysis; Public health agency; Crisis and Emergency Risk Communication</t>
  </si>
  <si>
    <t>AimThis study explored the influence of daily new case videos posted by public health agencies (PHAs) on TikTok in the context of COVID-19 normalization, as well as public sentiment and concerns. Five different stages were used, based on the Crisis and Emergency Risk Communication model, amidst the 2022 Shanghai lockdown.Subject and MethodsAfter dividing the duration of the 2022 Shanghai lockdown into stages, we crawled all the user comments of videos posted by Healthy China on TikTok with the theme of daily new cases based on these five stages. Third, we constructed the pre-training model, ERNIE, to classify the sentiment of user comments. Finally, we performed semantic network analyses based on the sentiment classification results.ResultsFirst, the high cost of fighting the epidemic during the 2022 Shanghai lockdown was why ordinary people were reluctant to cooperate with the anti-epidemic policy in the pre-crisis stage. Second, Shanghai unilaterally revised the definition of asymptomatic patients led to an escalation of risk levels and control conditions in other regions, ultimately affecting the lives and work of ordinary people in the area during the initial event stage. Third, the public reported specific details that affected their lives due to the long-term resistance to the epidemic in the maintenance stage. Fourth, the public became bored with videos regarding daily new cases in the resolution stage. Finally, the main reason for the negative public sentiment was that the local government did not follow the central government's anti-epidemic policy.ConclusionOur results suggest that the methodology used in this study is feasible. Furthermore, our findings will help the Chinese government or PHAs improve the possible behaviors that displease the public in the anti-epidemic process.</t>
  </si>
  <si>
    <t>[Che, ShaoPeng] Tsinghua Univ, Sch Journalism &amp; Commun, Beijing, Peoples R China; [Che, ShaoPeng; Wang, Xiaoke] Xi An Jiao Tong Univ, Affiliated Hosp 1, Dept Cardiovasc Med, Xian, Peoples R China; [Zhang, Shunan; Kim, Jang Hyun] Sungkyunkwan Univ, Dept Interact Sci, Seoul, South Korea</t>
  </si>
  <si>
    <t>Tsinghua University; Xi'an Jiaotong University; Sungkyunkwan University (SKKU)</t>
  </si>
  <si>
    <t>ZHANG, Shunan/0000-0003-3875-1849; Che, ShaoPeng/0000-0003-1547-8798; Kim, Jang Hyun/0000-0001-7750-2664</t>
  </si>
  <si>
    <t>10.1007/s10389-023-01833-4</t>
  </si>
  <si>
    <t>IP5Z6</t>
  </si>
  <si>
    <t>WOS:000918286000001</t>
  </si>
  <si>
    <t>Abdollahpouri, H; Sahebi, S; Elahi, M; Mansoury, M; Loni, B; Nazari, Z; Dimakopoulou, M</t>
  </si>
  <si>
    <t>Abdollahpouri, Himan; Sahebi, Shaghayegh; Elahi, Mehdi; Mansoury, Masoud; Loni, Babak; Nazari, Zahra; Dimakopoulou, Maria</t>
  </si>
  <si>
    <t>MORS 2022: The Second Workshop on Multi-Objective Recommender Systems</t>
  </si>
  <si>
    <t>PROCEEDINGS OF THE 16TH ACM CONFERENCE ON RECOMMENDER SYSTEMS, RECSYS 2022</t>
  </si>
  <si>
    <t>16th ACM Conference on Recommender Systems (RecSys)</t>
  </si>
  <si>
    <t>SEP 18-23, 2022</t>
  </si>
  <si>
    <t>Seattle, WA</t>
  </si>
  <si>
    <t>multi-objective recommendation; Value-aware recommendation</t>
  </si>
  <si>
    <t>Recommender Systems are becoming an inherent part of today's Internet. They can be found anywhere from e-commerce platforms (eBay, Amazon) to music or movie streaming (Spotify, Netflix), social media (Facebook, Instagram, TikTok), travel platforms (Booking.com, Expedia), and much more. Whether a recommendation is successful or not can rely on multiple objectives such as user satisfaction, business value, and societal issues. In addition, the long-term happiness (along with short-term excitements and delight) of the users is critical for a recommender system to be considered successful. MORS workshop brings together researchers and practitioners to discuss the importance of these aspects of recommender systems and find ways to develop algorithms to build multi-objective recommenders and also evaluation metrics to assess their success.</t>
  </si>
  <si>
    <t>[Abdollahpouri, Himan; Nazari, Zahra] Spotify, New York, NY 10007 USA; [Sahebi, Shaghayegh] SUNY Albany, Albany, NY 12222 USA; [Elahi, Mehdi] Univ Bergen, Bergen, Norway; [Mansoury, Masoud] Univ Amsterdam, Amsterdam, Netherlands; [Loni, Babak] ING, Amsterdam, Netherlands; [Dimakopoulou, Maria] Spotify, San Francisco, CA USA</t>
  </si>
  <si>
    <t>Spotify; State University of New York (SUNY) System; University at Albany, SUNY; University of Bergen; University of Amsterdam; ING Group; Spotify</t>
  </si>
  <si>
    <t>Abdollahpouri, H (corresponding author), Spotify, New York, NY 10007 USA.</t>
  </si>
  <si>
    <t>himana@spotify.com; ssahebi@albany.edu; mehdi.elahi@uib.no; m.mansoury@uva.nl; babak.loni@ing.com; zahran@spotify.com; mdimakopoulou@spotify.com</t>
  </si>
  <si>
    <t>Elahi, Mehdi/S-2348-2019; Abdollahpouri, Himan/P-2689-2019</t>
  </si>
  <si>
    <t>Research Council of Norway [309339]; United States National Science Foundation [2047500]</t>
  </si>
  <si>
    <t>Research Council of Norway(Research Council of Norway); United States National Science Foundation(National Science Foundation (NSF))</t>
  </si>
  <si>
    <t>This work was supported by industry partners and the Research Council of Norway with funding to MediaFutures: Research Centre for Responsible Media Technology and Innovation, through The Centres for Research-based Innovation scheme, project number 309339. It was also supported by the United States National Science Foundation under Grant No. 2047500.</t>
  </si>
  <si>
    <t>978-1-4503-9278-5</t>
  </si>
  <si>
    <t>10.1145/3523227.3547410</t>
  </si>
  <si>
    <t>BW3KR</t>
  </si>
  <si>
    <t>WOS:001139226600096</t>
  </si>
  <si>
    <t>Gussner, A; Baskar, D; Rohde, M; Ganley, T; Shea, K</t>
  </si>
  <si>
    <t>Gussner, Anna; Baskar, Danika; Rohde, Matt; Ganley, Ted; Shea, Kevin</t>
  </si>
  <si>
    <t>Evaluating Information About Osteochondritis Dissecans Shared Across Social Media Platforms</t>
  </si>
  <si>
    <t>osteochondritis dissecans; osteochondritis; osteochondrosis dissecans; OCD</t>
  </si>
  <si>
    <t>KNEE</t>
  </si>
  <si>
    <t>Background: With the rise of social media, patients are using a variety of online resources to gather information about medical conditions and connect with others for support. Osteochondritis dissecans (OCD) occurs most commonly among children and adolescents, necessitating early diagnosis and management. The purpose of this study is to evaluate content on social media about OCD to quantify the reach of information shared and themes of discussion surrounding this condition. Methods: A search was performed across Facebook, Instagram, YouTube, and TikTok using the term osteochondritis dissecans to identify information shared related to this topic which was then analyzed based on engagement using number of followers, posts, and/or views. Results: Facebook groups provided a forum for online support and information sharing among patients with OCD and their families. The 4 identified groups had a cumulative following of over 4000 people with posts that shared personal recovery stories, solicited treatment advice, and provided updates on patient progress. Review of related Instagram hashtags revealed over 4500 posts, many of which shared personal accounts of living with OCD. The top 5 most viewed YouTube videos collectively had over 189,000 views and were focused on educational information about OCD, relevant surgical techniques, and pertinent anatomy. The top 3 OCD-related TikTok hashtags had over 4 million total views centered on factual knowledge and sharing changes before and after surgical treatment. Conclusion: Patients with OCD and their families seek information about their condition and treatment on online sources including social media. Although social media provides a supportive community to share and receive advice, the quality of information shared in these groups is a subject for concern. Increasing physician involvement and awareness of the information shared across social media platforms may improve accuracy of information and content available to patients.</t>
  </si>
  <si>
    <t>[Gussner, Anna] Univ Utah, Salt Lake City, UT USA; [Baskar, Danika; Rohde, Matt; Shea, Kevin] Stanford Univ, Sch Med, Palo Alto, CA 94304 USA; [Ganley, Ted] Childrens Hosp Philadelphia, Philadelphia, PA 19104 USA</t>
  </si>
  <si>
    <t>Utah System of Higher Education; University of Utah; Stanford University; University of Pennsylvania; Pennsylvania Medicine; Childrens Hospital of Philadelphia</t>
  </si>
  <si>
    <t>Gussner, A (corresponding author), 779 E Highland View Dr, Boise, ID 83702 USA.</t>
  </si>
  <si>
    <t>avgussner@gmail.com</t>
  </si>
  <si>
    <t>shea, kevin/0000-0002-4160-0163; Gussner, Anna/0009-0001-9266-6162; Rohde, Matthew/0000-0003-0511-1183</t>
  </si>
  <si>
    <t>10.1097/BPO.0000000000002244</t>
  </si>
  <si>
    <t>5E9ZN</t>
  </si>
  <si>
    <t>WOS:000865982000015</t>
  </si>
  <si>
    <t>Mandic, S</t>
  </si>
  <si>
    <t>Mandic, Sabina</t>
  </si>
  <si>
    <t>CHARACTERISTICS OF &amp;drangbrac;SNAPCHAT&amp;DLANGBRAC; USE AMONG ZAGREB HIGH SCHOOL STUDENTS</t>
  </si>
  <si>
    <t>LJETOPIS SOCIJALNOG RADA</t>
  </si>
  <si>
    <t>Snapchat; social networks; adolescents; high school students; In-ternet addiction</t>
  </si>
  <si>
    <t>PROBLEMATIC INTERNET USE; COLLEGE-STUDENTS; ADDICTION; PREVALENCE; GAMES</t>
  </si>
  <si>
    <t>In the last decade, social networks have become one of the most important &amp; drangbrac;technological toolsg in the lives of people around the world, used mainly by ado- lescents (especially girls). Currently, the most widely used ones are Snapchat, Insta- gram, TikTok and Facebook. This paper aims to explore the characteristics of Snap -chat use among high school students in the City of Zagreb, mainly due to its great popularity, the amount of time spent on this social network, and possible psychoso- cial risks, mainly due to its great popularity, but also due to the lack of domestic literature in this field. A total of 825 students participated in the study (N8=404; NG=418; 3 students did not provide gender information), and the age range was from 14 to 20 years (Mage=16.65; SDage=1.208). The results show that over 80% of high school students use Snapchat, and the differences in frequency of use were fo- und in terms of gender, age, i.e., grade, and type of school. Instagram, Snapchat and TikTok are the most popular social networks among Zagreb high school students, and the use of one of these networks is moderately related to the use of the others, so the results speak offor a preferred and dominant social network that is used more often than others. In conclusion, no differences in the severity of Internet addiction were found in relation to the frequency of Snapchat use. The results obtained allow a better understanding of the characteristics of the use of this social network among high school students and are interpreted in the context of the current challenges of scientific research and the possibility of developing psychosocial interventions.</t>
  </si>
  <si>
    <t>[Mandic, Sabina] Sveuciliste Zagrebu, Rehabil Fak, Odsjek Poremecaje Ponasanju Edukacijsko, Zagreb, Croatia</t>
  </si>
  <si>
    <t>University of Zagreb</t>
  </si>
  <si>
    <t>Mandic, S (corresponding author), Sveuciliste Zagrebu, Rehabil Fak, Odsjek Poremecaje Ponasanju Edukacijsko, Zagreb, Croatia.</t>
  </si>
  <si>
    <t>sabina.mandic@erf.unizg.hr</t>
  </si>
  <si>
    <t>UNIV ZAGREB FAC LAW DEPT SOCIAL WORK</t>
  </si>
  <si>
    <t>NAZOROVA 51, ZAGREB, 10000, CROATIA</t>
  </si>
  <si>
    <t>1846-5412</t>
  </si>
  <si>
    <t>LJETOP SOC RADA</t>
  </si>
  <si>
    <t>Ljetop. Soc. Rada</t>
  </si>
  <si>
    <t>10.3935/ljsr.v29i3.498</t>
  </si>
  <si>
    <t>Social Work</t>
  </si>
  <si>
    <t>L6BE2</t>
  </si>
  <si>
    <t>WOS:001024089300006</t>
  </si>
  <si>
    <t>Fahlberg, A; García, K; García, L; Pérez, J; Nadel, P</t>
  </si>
  <si>
    <t>Fahlberg, Anjuli; Garcia, Katherine; Garcia, Laura; Perez, Justin; Nadel, Peter</t>
  </si>
  <si>
    <t>How the Police and Armed Forces Construct Gender on Social Media: A Comparison of El Salvador and Honduras</t>
  </si>
  <si>
    <t>FEMINIST CRIMINOLOGY</t>
  </si>
  <si>
    <t>comparative issues; international issues; policing; political/state crime; qualitative research</t>
  </si>
  <si>
    <t>MASCULINITIES; INSTITUTIONS; VIOLENCE; ROLES; STATE; WOMEN; WAR</t>
  </si>
  <si>
    <t>Although social media is the new frontier for policing, little research has examined how state security forces construct gender online. To address this gap, we analyzed 315 TikTok videos posted by law enforcement agencies in El Salvador and Honduras. We find that gender is constructed by (1) showcasing (or not) female officers; (2) displaying masculinized and feminized policing practices; (3) advancing gendered ideas through editorial additions. We further find that gendered performances by police vary between the iron-fist regime of El Salvador and the soft-touch regime in Honduras, while the armed forces of both countries adopt more gender-neutral images.</t>
  </si>
  <si>
    <t>[Fahlberg, Anjuli] Tufts Univ, Sociol, 5 Green, Medford, MA 02155 USA; [Fahlberg, Anjuli; Garcia, Katherine; Garcia, Laura; Perez, Justin] Tufts Univ, Bldg Together Res Collect, Medford, MA USA; [Nadel, Peter] Tufts Univ, Medford, MA USA</t>
  </si>
  <si>
    <t>Tufts University; Tufts University; Tufts University</t>
  </si>
  <si>
    <t>Fahlberg, A (corresponding author), Tufts Univ, Sociol, 5 Green, Medford, MA 02155 USA.</t>
  </si>
  <si>
    <t>anjuli.fahlberg@tufts.edu</t>
  </si>
  <si>
    <t>Office of the Vice Provost for Research, Tufts University; Tufts University</t>
  </si>
  <si>
    <t>The author(s) disclosed receipt of the following financial support for the research, authorship, and/or publication of this article: This work was supported by Office of the Vice Provost for Research, Tufts University under Springboard Grant, and Tufts University under Dean's Fellowship.</t>
  </si>
  <si>
    <t>1557-0851</t>
  </si>
  <si>
    <t>1557-086X</t>
  </si>
  <si>
    <t>FEM CRIMINOL</t>
  </si>
  <si>
    <t>Fem. Criminol.</t>
  </si>
  <si>
    <t>2024 JUL 30</t>
  </si>
  <si>
    <t>10.1177/15570851241268187</t>
  </si>
  <si>
    <t>A0V2Q</t>
  </si>
  <si>
    <t>WOS:001279795400001</t>
  </si>
  <si>
    <t>Döring, N; Lehmann, S</t>
  </si>
  <si>
    <t>Doering, Nicola; Lehmann, Stephan</t>
  </si>
  <si>
    <t>Use and Evaluation of Contraceptive Information in Social Media: An Interview Study with Adolescents and Young Adults</t>
  </si>
  <si>
    <t>Instagram; pregnancy prevention; procreation prevention; TikTok; YouTube</t>
  </si>
  <si>
    <t>SEXUALITY EDUCATION; BEHAVIOR; YOUTUBE</t>
  </si>
  <si>
    <t>Introduction Adolescents and young adults today often obtain information about contraception from the internet and in particular from social media such as YouTube, Instagram, or TikTok. Objectives To date, however, little research has examined the details of this use of social media contraceptive information among the youth (Research Question 1). It is also unclear how young people evaluate contraception content (RQ2) and related audience comments (RQ3), and what their requirements are with regard to good contraception education on social media (RQ4).Methods In order to answer these four research questions, a preregistered qualitative interview study was conducted in 2022. This involved a sample of N = 12 cis-gendered heterosexual adolescents and young adults (17 to 25 years old, 50 % female and 50 % male) being questioned by means of guided interviews (average duration: 39 minutes). The interviews were fully transcribed and coded using the qualitative data analysis software MAXQDA. Results It was found that respondents rarely actively searched for contraceptive information on social media, but rather were mainly fed this information in push mode which could then stimulate further information searches (RQ1). Respondents rated contraception content on social media especially positively when it came from experts and had a high level of information quality (RQ2). Audience comments on contraceptive posts were regarded as interesting and relevant, but respondents said they were unlikely to be influenced by these in their contraception-related attitudes (RQ3). In the view of the respondents, contraceptive education on social media ideally takes the form of explanatory videos by experts which compare different contraceptive methods and in which authentic reports by peers regarding positive as well as negative experiences are also integrated (RQ4). Conclusion The findings indicate a need to provide contraception education on social media in accordance with the requirements outlined. Also, a critical-constructive approach to social media contraceptive information should be adopted in sexual education interventions.</t>
  </si>
  <si>
    <t>[Doering, Nicola; Lehmann, Stephan] Tech Univ Ilmenau, Inst Medien &amp; Kommunikat Wissensch, Ilmenau, Germany</t>
  </si>
  <si>
    <t>10.1055/a-2055-3160</t>
  </si>
  <si>
    <t>I6XW9</t>
  </si>
  <si>
    <t>WOS:000996487400001</t>
  </si>
  <si>
    <t>Li, Y; Kou, YB; Ma, R; Wu, YL; Freeman, G; Semaan, B</t>
  </si>
  <si>
    <t>Li, Yao; Kou, Yubo; Ma, Renkai; Wu, Yanlai; Freeman, Guo; Semaan, Bryan</t>
  </si>
  <si>
    <t>Multi-Stakeholder Privacy and Safety on Content Creation Platforms</t>
  </si>
  <si>
    <t>COMPANION PROCEEDINGS OF THE 2023 ACM DESIGNING INTERACTIVE SYSTEMS CONFERENCE, DIS COMPANION 2023</t>
  </si>
  <si>
    <t>Carnegie Mellon Univ, Pittsburgh, PA</t>
  </si>
  <si>
    <t>Carnegie Mellon Univ</t>
  </si>
  <si>
    <t>Privacy; Safety; Content Creation; Multi-stakeholder</t>
  </si>
  <si>
    <t>Online privacy and safety have been extensively discussed in terms of the user/platform binary, where users are treated as more or less a unifed group that is vulnerable and to be protected. A typical phrase, along this line, would be social media user's privacy concerns. The rise of content creation platforms such as Twitch, YouTube, and TikTok challenges this binary view through the plat-formization and commodifcation of content creation practices, leading to the situation where multiple stakeholder groups coexist and have different and sometimes competing perspectives, values, interests, and concerns. This workshop seeks to foreground the 'multi-stakeholder' nature in the study of privacy and safety in content creation, bringing together diverse researchers with similar interests and collectively envisioning emerging research agendas in this domain.</t>
  </si>
  <si>
    <t>[Li, Yao; Wu, Yanlai] Univ Cent Florida, Orlando, FL 32816 USA; [Kou, Yubo; Ma, Renkai] Penn State Univ, State Coll, PA USA; [Freeman, Guo] Clemson Univ, Clemson, SC USA; [Semaan, Bryan] Univ Colorado Boulder, Boulder, CO USA</t>
  </si>
  <si>
    <t>State University System of Florida; University of Central Florida; Pennsylvania Commonwealth System of Higher Education (PCSHE); Pennsylvania State University; Clemson University; University of Colorado System; University of Colorado Boulder</t>
  </si>
  <si>
    <t>Li, Y (corresponding author), Univ Cent Florida, Orlando, FL 32816 USA.</t>
  </si>
  <si>
    <t>yao.li@ucf.edu; yubokou@psu.edu; renkai@psu.edu; yanlaiwu@knights.ucf.edu; guof@clemson.edu; bryan.semaan@colorado.edu</t>
  </si>
  <si>
    <t>Kou, Yubo/AGU-8165-2022; Freeman, Guo/X-2261-2018</t>
  </si>
  <si>
    <t>Ma, Renkai/0000-0002-4434-2235; Wu, Yanlai/0000-0003-2622-5235; Kou, Yubo/0000-0002-4255-3725; Freeman, Guo/0000-0001-5107-7794</t>
  </si>
  <si>
    <t>10.1145/3563703.3591461</t>
  </si>
  <si>
    <t>BV4HX</t>
  </si>
  <si>
    <t>WOS:001031537800029</t>
  </si>
  <si>
    <t>Tzelves, L; Talyshinskii, A; Nedbal, C; Mykoniatis, I; Beisland, C; Roth, I; Tsaturyan, A; de Coninck, V; Keller, EX; Somani, BK; Juliebo-Jones, P</t>
  </si>
  <si>
    <t>Tzelves, Lazaros; Talyshinskii, Ali; Nedbal, Carlotta; Mykoniatis, Ioannis; Beisland, Christian; Roth, Ingunn; Tsaturyan, Arman; de Coninck, Vincent; Keller, Etienne Xavier; Somani, Bhaskar K.; Juliebo-Jones, Patrick</t>
  </si>
  <si>
    <t>Patient perspectives on vasectomy: findings from a TikTok® content analysis</t>
  </si>
  <si>
    <t>HEALTH INFORMATION; UNITED-STATES; REVERSAL; QUALITY</t>
  </si>
  <si>
    <t>Social media is increasingly used as a platform for patients to explore health care information. Our objective was to study the content on TikTok (R) in order to gain insight into the perspectives shared by the public on vasectomy. A search was performed using the hashtag #vasectomy on 12.20.2023 and the top 100 video posts from persons self-identifying as patients were included. Using an adaptation of a previously published system, a framework was created for organising and categorising the data related to vasectomy. Domains covered included reason for vasectomy, complications, vasectomy as a controversial topic in society and reference to the 2022 Dobbs v. Jackson ruling. Most content originated from the United States (85.0%) and the median number of views per video was 261 200 (interquartile range (IQR) 8416-1 800 000). In 12.0% of posts, the individual clearly stated that they were under 30 years of age. Two of the commonest topics to be addressed in the videos were recovery (41.0%) and pain (40.0%). 30.0% discussed the reason for undergoing vasectomy. Reasons included women's rights (12%), safety over tubal ligation (5.0%) and desire to be childless (4.0%). 9.0% referred to the Dobbs v. Jackson ruling. Complications were discussed in 19.0% including vasectomy failure (12.0%). 23.0% contained factually incorrect medical information. 31.0% of videos included the user voicing that vasectomy was considered to be a controversial subject. More than half of the videos (61.0%) were positive regarding the vasectomy process. Our findings reveal that vasectomy receives very high engagement on social media. This study confirms that patients do use it to share their experiences, both positive and negative. Misconceptions regarding this contraception method are common among the public and the urological community should work to address this.</t>
  </si>
  <si>
    <t>[Tzelves, Lazaros] Natl &amp; Kapodistrian Univ Athens, Sismanogleio Hosp, Dept Urol, Athens, Greece; [Talyshinskii, Ali] Astana Med Univ, Dept Urol &amp; Androl, Astana, Kazakhstan; [Nedbal, Carlotta; Somani, Bhaskar K.] Univ Hosp Southampton, Dept Urol, Southampton, England; [Mykoniatis, Ioannis] Aristotle Univ Thessaloniki, Fac Hlth Sci, Dept Urol, Thessaloniki, Greece; [Beisland, Christian; Roth, Ingunn; Juliebo-Jones, Patrick] Haukeland Hosp, Dept Urol, Bergen, Norway; [Beisland, Christian; Juliebo-Jones, Patrick] Univ Bergen, Dept Clin Med, Bergen, Norway; [Tsaturyan, Arman] Erebouni Med Ctr, Dept Urol, Yerevan, Armenia; [de Coninck, Vincent] AZ Klina, Dept Urol, Brasschaat, Belgium; [Keller, Etienne Xavier] Univ Zurich, Univ Hosp Zurich, Dept Urol, Zurich, Switzerland</t>
  </si>
  <si>
    <t>National &amp; Kapodistrian University of Athens; Astana Medical University; Aristotle University of Thessaloniki; University of Bergen; Haukeland University Hospital; University of Bergen; University of Zurich; University Zurich Hospital</t>
  </si>
  <si>
    <t>Juliebo-Jones, P (corresponding author), Haukeland Hosp, Dept Urol, Bergen, Norway.;Juliebo-Jones, P (corresponding author), Univ Bergen, Dept Clin Med, Bergen, Norway.</t>
  </si>
  <si>
    <t>Mykoniatis, I/K-6171-2019; Talyshinskii, Ali/AFQ-8161-2022; Beisland, Christian/R-6046-2019</t>
  </si>
  <si>
    <t>Tzelves, Lazaros/0000-0003-4619-9783</t>
  </si>
  <si>
    <t>2024 JUN 14</t>
  </si>
  <si>
    <t>10.1038/s41443-024-00931-5</t>
  </si>
  <si>
    <t>UE9V9</t>
  </si>
  <si>
    <t>WOS:001246511600001</t>
  </si>
  <si>
    <t>Shi, JY; Zhao, FP; Yang, WY; Zhu, YR; Wang, M; Yi, B</t>
  </si>
  <si>
    <t>Shi, Jingyun; Zhao, Fangping; Yang, Wanyin; Zhu, Yuru; Wang, Min; Yi, Bin</t>
  </si>
  <si>
    <t>The Status and Influencing Factors of COVID-19 Vaccination for 3-7-Year-Old Children Born Prematurely</t>
  </si>
  <si>
    <t>PATIENT PREFERENCE AND ADHERENCE</t>
  </si>
  <si>
    <t>COVID-19 vaccine; vaccination willingness; children born prematurely; influencing factors</t>
  </si>
  <si>
    <t>HESITANCY</t>
  </si>
  <si>
    <t>Objective: To explore the status and influencing factors of COVID-19 vaccination for 3-7-year-old children born prematurely. Methods: A questionnaire was administered to parents of preterm infants born between 1 January 2016 and 31 December 2019 in Gansu Maternal and Child Health Hospital using convenience sampling. Results: It was found that 96.81% of 282 parents had known about COVID-19 vaccines and acquired COVID-19- and vaccine-related knowledge primarily through WeChat (104/282, 36.88%) and TikTok (91/282, 32.27%). Most parents of the group whose children were vaccinated with a COVID-19 vaccine believed that this approach was effective in preventing COVID-19 (49.75%), whereas most parents of the group whose children were not vaccinated were worried about the adverse reaction and safety of the vaccine (45.88%). According to the regression analysis, the risk factors of children born prematurely receiving a COVID-19 vaccine were no vaccination against COVID-19 in the mothers (odds ratio [OR]=48.489, 95% CI: 6.524-360.406) and in younger children (OR=12.157, 95% CI: 6.388-23.139). Previous history of referral (OR=0.229, 95% CI: 0.057-0.920), history of diseases (OR=0.130, 95% CI: 0.034-0.503) and high educational level of guardians (OR=0.142, 95% CI: 0.112-0.557) were protective factors for children born prematurely to receive COVID-19 vaccination. Conclusion: There is a relatively high proportion of children born prematurely receiving COVID-19 vaccination, but some people still have concerns. Publicity in the later stage can be conducted through WeChat, TikTok and other social media platforms, with special attention paid to the populations with lower education levels.</t>
  </si>
  <si>
    <t>[Shi, Jingyun; Zhao, Fangping; Zhu, Yuru; Wang, Min; Yi, Bin] Gansu Prov Cent Hosp, Gansu Prov Maternal &amp; Child Care Hosp, Dept NICU, Lanzhou 730050, Gansu, Peoples R China; [Yang, Wanyin] Gansu Univ Chinese Med, Affiliated Hosp, Lanzhou 730050, Gansu, Peoples R China; [Wang, Min; Yi, Bin] Gansu Prov Matern &amp; Child Care Hosp, Gansu Prov Cent Hosp, Dept Anesthesiol, 143 Qilihe North St, Lanzhou 730050, Gansu, Peoples R China</t>
  </si>
  <si>
    <t>Gansu University of Chinese Medicine</t>
  </si>
  <si>
    <t>Wang, M; Yi, B (corresponding author), Gansu Prov Matern &amp; Child Care Hosp, Gansu Prov Cent Hosp, Dept Anesthesiol, 143 Qilihe North St, Lanzhou 730050, Gansu, Peoples R China.</t>
  </si>
  <si>
    <t>wangmin_wm23@126.com; yibin_bin001@tom.com</t>
  </si>
  <si>
    <t>Key Program of Science and Technology Foundation of Gansu Province of China [21YF11FA004]</t>
  </si>
  <si>
    <t>Key Program of Science and Technology Foundation of Gansu Province of China</t>
  </si>
  <si>
    <t>Key Program of Science and Technology Foundation of Gansu Province of China (Grant No. 21YF11FA004).</t>
  </si>
  <si>
    <t>1177-889X</t>
  </si>
  <si>
    <t>PATIENT PREFER ADHER</t>
  </si>
  <si>
    <t>Patient Prefer. Adherence</t>
  </si>
  <si>
    <t>10.2147/PPA.S451654</t>
  </si>
  <si>
    <t>MN4J7</t>
  </si>
  <si>
    <t>WOS:001194284000001</t>
  </si>
  <si>
    <t>Kolade, O; Martinez, R; Awe, A; Dubin, JM; Mehran, N; Mulcahey, MK; Tabaie, S</t>
  </si>
  <si>
    <t>Kolade, Oluwadamilola; Martinez, Roxana; Awe, Aderemi; Dubin, Justin M.; Mehran, Nima; Mulcahey, Mary K.; Tabaie, Sean</t>
  </si>
  <si>
    <t>Misinformation About Orthopaedic Conditions on Social Media: Analysis of TikTok and Instagram</t>
  </si>
  <si>
    <t>social media; content quality; healthcare professionals; instagram; tik tok; orthopaedic surgery</t>
  </si>
  <si>
    <t>PATIENT INFORMATION; SURGERY; DISCERN; QUALITY</t>
  </si>
  <si>
    <t>IntroductionSocial media outlets such as TikTok (TT) and Instagram (IG) have surged as a method to disseminate information. More recently, healthcare professionals have targeted this space as a means to provide medical education and advice. With the ever-growing content on these applications, there is significant variability and quality of material available, which can lead to the dissemination of misinformation. This study aims to evaluate the accuracy and popularity of content on common orthopaedic pathology on TT and IG.MethodsContent on TT and IG related to six common orthopaedic conditions -achilles tendon tear, ACL tear, meniscus tear, tennis elbow, rotator cuff tear, and ankle sprains -was evaluated between April and June 2022. The top ten posts for the top two associated hashtags for each condition were reviewed. The quality of each post was analyzed using the DISCERN instrument, rating each on a scale of 1 to 5. Each post was characterized by the author's profession (physician, physical therapist, chiropractor, etc.) and content type (educational, testimonial, personal, promotional, and entertainment). Popularity and engagement metrics such as comments, likes, and shares were also collected. ResultsThere were 165,666,490 views on TT and 9,631,015 views on IG amongst the six common aforementioned orthopaedic conditions. Content created by physicians had less overall engagement (16.1%) compared to content created by non-physicians (83.9%). The quality of content on average was low (mean misinformation index 2.04 +/- 1.08 (1-5)1. Physician-created posts in comparison to non-physician posts were significantly more accurate (mean misinformation index score 3.38 +/- 1.12 vs 1.89 +/- 0.94, p&lt;0.0001).ConclusionsCommon orthopaedic conditions such as Achilles tendon tears, ACL tears, and meniscus tears are frequently the focus of content posted on TT and IG; however, this information is often not medically accurate. Increased physician engagement may help to rectify this misinformation</t>
  </si>
  <si>
    <t>[Kolade, Oluwadamilola; Martinez, Roxana] Howard Univ Hosp, Orthopaed, Washington, DC USA; [Awe, Aderemi] Augusta Univ, Med Coll Georgia, Orthopaed Surg, Augusta, GA USA; [Dubin, Justin M.] Mem Healthcare Syst, Urol Androl, Miami, FL USA; [Mehran, Nima] Kaiser Permanente Los Angeles Med Ctr, Orthopaed Surg, Los Angeles, CA USA; [Mulcahey, Mary K.] Loyola Univ, Med Ctr, Orthopaed Surg, Chicago, IL USA; [Tabaie, Sean] Childrens Natl Hosp, Orthopaed Surg, Washington, DC 20010 USA</t>
  </si>
  <si>
    <t>Howard University; University System of Georgia; Augusta University; Kaiser Permanente; Loyola University Chicago; Children's National Health System</t>
  </si>
  <si>
    <t>Martinez, Roxana/0000-0002-7547-6041</t>
  </si>
  <si>
    <t>DEC 5</t>
  </si>
  <si>
    <t>e49946</t>
  </si>
  <si>
    <t>10.7759/cureus.49946</t>
  </si>
  <si>
    <t>CF5P2</t>
  </si>
  <si>
    <t>WOS:001123851700023</t>
  </si>
  <si>
    <t>Borkhetaria, RK; Devireddy, N; Cannon, N; Soni, A; Ely, AL</t>
  </si>
  <si>
    <t>Borkhetaria, Rucha K.; Devireddy, Nitya; Cannon, Nathan; Soni, Ajay; Ely, Amanda L.</t>
  </si>
  <si>
    <t>An Analysis of Pediatric Ophthalmology Content on TikTok</t>
  </si>
  <si>
    <t>Purpose: To assess pediatric ophthalmology-related information onTikTok (ByteDance).Methods: The 12 most commonly searched terms from the American Association for Pediatric Ophthal-mology and Strabismus website were queried as TikTok hashtags. The top 20 videos for each hashtag were ana-lyzed for views, likes, comments, saves, shares, author status and gender, content, and engagement level ratio (ELR). Subanalysis of the educational videos for quality, understandability and actionability, and medi-cal accuracy using the modified DISCERN (mDISCERN), Patient Education Materials Assessment Tool (PEMAT), and modified Medical Information and Content Index (mMICI) was performed.Results: Analysis of 222 videos revealed a cumulative 191,337,973 views. Patients/families created the most videos (60.4%), followed by optometrists (14.4%), other (laypeople/unknown) (9.0%), ophthalmologists (7.7%), non-ophthalmology physicians (4.5%), and nurses (4.1%). Content was predominantly patient experi-ence (56.8%), followed by educational (25.2%), humor (11.7%), self-promotional (3.6%), procedures (0.9%), other (0.9%), advertisements (0.5%), and career (0.5%). Educational videos had a lower ELR than humorous (3.3 vs 8.2, P &lt; .001) and patient experience (3.3 vs 5.3, P &lt; .001) videos, but more saves than patient experience videos (74 vs 25, P = .009). The mDISCERN scores were greater for videos authored by ophthalmologists (3, P &lt; .001) and optometrists (2.5, P &lt; .001) compared to lay-people (1.5).Ophthalmologist PEMAT understandability scores were greater than non-ophthalmology provid-ers'(95.5% vs 67.4%, P = .002).There was no difference in PEMAT actionability (P = .743) or mMICI scores among the author subgroups (P = .206).Conclusions: Pediatric ophthalmology content on Tik -Tok ranges in quality and understandability. Additional research is needed to help promote posts created by eyecare providers to ensure evidence-based medical content reaches pediatric patients and their families.</t>
  </si>
  <si>
    <t>[Borkhetaria, Rucha K.; Devireddy, Nitya; Cannon, Nathan] Penn State Coll Med, Hershey, PA USA; [Soni, Ajay; Ely, Amanda L.] Penn State Coll Med, Dept Ophthalmol, Hershey, PA USA; [Ely, Amanda L.] Penn State Coll Med, Dept Ophthalmol, 200 Univ Dr, Suite 800, Hershey, PA 17033 USA</t>
  </si>
  <si>
    <t>Pennsylvania Commonwealth System of Higher Education (PCSHE); Pennsylvania State University; Penn State Health; Pennsylvania Commonwealth System of Higher Education (PCSHE); Pennsylvania State University; Penn State Health; Pennsylvania Commonwealth System of Higher Education (PCSHE); Pennsylvania State University; Penn State Health</t>
  </si>
  <si>
    <t>Ely, AL (corresponding author), Penn State Coll Med, Dept Ophthalmol, 200 Univ Dr, Suite 800, Hershey, PA 17033 USA.</t>
  </si>
  <si>
    <t>aely@pennstatehealth.psu.edu</t>
  </si>
  <si>
    <t>Soni, Ajay/E-1488-2011; Devireddy, Nitya/HJZ-5258-2023</t>
  </si>
  <si>
    <t>Devireddy, Nitya/0009-0007-5557-7615; Ely, Amanda/0000-0002-3041-0460; Cannon, Nathan T/0000-0002-0544-3439</t>
  </si>
  <si>
    <t>10.3928/01913913-20230627-01</t>
  </si>
  <si>
    <t>NB1N1</t>
  </si>
  <si>
    <t>WOS:001040710400001</t>
  </si>
  <si>
    <t>Crepax, R; Liu, MR</t>
  </si>
  <si>
    <t>Crepax, Rosa; Liu, Morchen</t>
  </si>
  <si>
    <t>Affective Fashion Trends: Aesthetic and Digital Affects from Nostalgia to AR</t>
  </si>
  <si>
    <t>FASHION THEORY-THE JOURNAL OF DRESS BODY &amp; CULTURE</t>
  </si>
  <si>
    <t>affect; augmented reality; fashion trends; digital fashion; aesthetics</t>
  </si>
  <si>
    <t>Responding the digitalization of the fashion industry, technological innovation, the acceleration of trends, the article identifies a tendency toward affect and discusses the potential of affective fashion trends. Selected cases are examined: from the pandemic-born nostalgia aesthetic on TikTok, and ASMR videos, to digital fashion and the use of augmented reality to push the boundaries between human body and adornment. Through an analysis grounded in a multi-disciplinary theoretical framework, we identify a shift in the cultural Zeitgeist toward emotions, feelings, sensations, and bodily experience. We stress the need for an affective, rather than purely visual perspective on aesthetics and argue for the potential of technology as a vehicle for affect in fashion and popular culture more broadly.</t>
  </si>
  <si>
    <t>[Crepax, Rosa] Univ Hertfordshire, Sch Creat Arts, Criticaland Cultural Studies, Hatfield, England; [Crepax, Rosa] Goldsmiths Univ London, Sociol Fash, London, England; [Liu, Morchen] Univ Hertfordshire, Sch Creat Arts, Fash &amp; Fash Business, Hatfield, England</t>
  </si>
  <si>
    <t>University of Hertfordshire; University of London; Goldsmiths University London; University of Hertfordshire</t>
  </si>
  <si>
    <t>Crepax, R (corresponding author), Univ Hertfordshire, Sch Creat Arts, Criticaland Cultural Studies, Hatfield, England.;Crepax, R (corresponding author), Goldsmiths Univ London, Sociol Fash, London, England.</t>
  </si>
  <si>
    <t>rosa.crepax@hotmail.com</t>
  </si>
  <si>
    <t>1362-704X</t>
  </si>
  <si>
    <t>1751-7419</t>
  </si>
  <si>
    <t>FASH THEORY</t>
  </si>
  <si>
    <t>Fash. Theory</t>
  </si>
  <si>
    <t>2024 AUG 19</t>
  </si>
  <si>
    <t>10.1080/1362704X.2024.2389595</t>
  </si>
  <si>
    <t>D5R4P</t>
  </si>
  <si>
    <t>WOS:001296749800001</t>
  </si>
  <si>
    <t>Cai, QY; Tang, J; Meng, SZ; Sun, Y; Lan, X; Liu, TH</t>
  </si>
  <si>
    <t>Cai, Qin -Yu; Tang, Jing; Meng, Si-Zhe; Sun, Yi; Lan, Xia; Liu, Tai-Hang</t>
  </si>
  <si>
    <t>Quality assessment of videos on social media platforms related to gestational diabetes mellitus in China: A cross-section study</t>
  </si>
  <si>
    <t>Gestational diabetes mellitus; Social media platform; Quality; Medical education; Health information</t>
  </si>
  <si>
    <t>INFORMATION; PREGNANCY; MANAGEMENT; DIAGNOSIS; WOMEN</t>
  </si>
  <si>
    <t>Purpose: This study aimed to systematically evaluate the quality of content and information in videos related to gestational diabetes mellitus on Chinese social media platforms. Methods: The videos on various platforms, TikTok, Bilibili, and Weibo, were searched with the keyword gestational diabetes mellitus in Chinese, and the first 50 videos with a comprehensive ranking on each platform were included for subsequent analysis. Characteristic information of video was collected, such as their duration, number of days online, number of likes, comments, and number of shares. DISCREN, JAMA (The Journal of the American Medical Association) Benchmark Criteria, and GQS (Global Quality Scores) were used to assess the quality of all videos. Finally, the correlation analysis was performed among video features, video sources, DISCERN scores, and JAMA scores. Results: Ultimately, 135 videos were included in this study. The mean DISCERN total score was 31.84 +/- 7.85, the mean JAMA score was 2.33 +/- 0.72, and the mean GQS was 2.00 +/- 0.40. Most of the videos (52.6%) were uploaded by independent medical professionals, and videos uploaded by professionals had the shortest duration and time online (P &lt; 0.001). The source of the video was associated with numbers of likes, comments, and shares for JAMA scores (P &lt; 0.001), but there was no correlation with DISCERN scores. Generally, videos on TikTok with the shortest duration received the most numbers of likes, comments, and shares, but the overall quality of videos on Weibo was higher. Conclusion: Although the majority of the videos were uploaded by independent medical professionals, the overall quality appeared to be poor. Therefore, more efforts and actions should be taken to improve the quality of videos related to gestational diabetes mellitus.</t>
  </si>
  <si>
    <t>[Cai, Qin -Yu; Tang, Jing; Meng, Si-Zhe; Sun, Yi; Liu, Tai-Hang] Chongqing Med Univ, Joint Int Res Lab Reprod &amp; Dev, Chongqing 400016, Peoples R China; [Tang, Jing; Lan, Xia] Chongqing Med Univ, Women &amp; Childrens Hosp, Dept Obstet &amp; Gynecol, Chongqing 400037, Peoples R China; [Cai, Qin -Yu; Meng, Si-Zhe; Sun, Yi; Liu, Tai-Hang] Chongqing Med Univ, Sch Basic Med, Dept Bioinformat, 1 Yixueyuan Rd, Chongqing 400016, Peoples R China</t>
  </si>
  <si>
    <t>Liu, TH (corresponding author), Chongqing Med Univ, Joint Int Res Lab Reprod &amp; Dev, Chongqing 400016, Peoples R China.;Lan, X (corresponding author), Chongqing Med Univ, Women &amp; Childrens Hosp, Dept Obstet &amp; Gynecol, Chongqing 400037, Peoples R China.</t>
  </si>
  <si>
    <t>18623177325@163.com; liuth@cqmu.edu.cn</t>
  </si>
  <si>
    <t>Tang, Jing/AAH-7147-2019; Liu, Tai-hang/KBD-0522-2024</t>
  </si>
  <si>
    <t>Liu, Tai-hang/0000-0001-9932-8281</t>
  </si>
  <si>
    <t>Program for Youth Innovation in Future Medicine, Chongqing Medical University [W0068]</t>
  </si>
  <si>
    <t>Program for Youth Innovation in Future Medicine, Chongqing Medical University</t>
  </si>
  <si>
    <t>This work was funded by the Program for Youth Innovation in Future Medicine, Chongqing Medical University (grant numbers W0068).</t>
  </si>
  <si>
    <t>APR 15</t>
  </si>
  <si>
    <t>e29020</t>
  </si>
  <si>
    <t>10.1016/j.heliyon.2024.e29020</t>
  </si>
  <si>
    <t>RK3K8</t>
  </si>
  <si>
    <t>WOS:001227517000001</t>
  </si>
  <si>
    <t>Xu, M</t>
  </si>
  <si>
    <t>Xu, Man</t>
  </si>
  <si>
    <t>Research on Evaluation and Improvement of Government Short Video Communication Effect Based on Big Data Statistics</t>
  </si>
  <si>
    <t>Big data statistics; short videos of government affairs; communication effect; linear regression; mainstream media</t>
  </si>
  <si>
    <t>FUEL MOISTURE-CONTENT; DATA SCIENCE; ERA</t>
  </si>
  <si>
    <t>Mainstream media is no longer the only way for people to obtain information, and the official media no longer has absolute control. People can choose the form and content of receiving information according to their preferences, which poses a new challenge to the government departments that have always been serious. From the beginning of short video to its prosperity, the government has shown great interest in its characteristics and functions. It has started to layout short video of government affairs on platforms such as Tiktok and Kwai, opened accounts one after another, and actively participated in the production and dissemination of content. Through the continuous launch of well-designed hot money, the popularity of government affairs short videos on Tiktok and other platforms continued to rise, harvested a large number of fans, attracted social attention, and also brought good results and repercussions. This paper proposes an optimization design scheme for the evaluation and improvement of the dissemination effect of government short video based on big data statistics. The basic situation of government video is obtained through content analysis, and then the judgment coefficient and linear regression in big data statistics are used to extract common factors to improve the dissemination effect of government short video, so as to improve the dissemination influence of government short video. Finally, simulation test and analysis are carried out. Simulation results show that the proposed algorithm has certain accuracy, which is 8.24% higher than the traditional algorithm. Carrying out the research on the promotion planning and design with the dissemination of short videos of government affairs as the core has important practical guiding significance for guiding local grass-roots governments to build public services and public feedback.</t>
  </si>
  <si>
    <t>[Xu, Man] Commun Univ China, Dept Journalism, Beijing 100020, Peoples R China; [Xu, Man] Qiqihar Univ, Qiqihar 161000, Heilongjiang, Peoples R China</t>
  </si>
  <si>
    <t>Communication University of China; Qiqihar University</t>
  </si>
  <si>
    <t>Xu, M (corresponding author), Commun Univ China, Dept Journalism, Beijing 100020, Peoples R China.;Xu, M (corresponding author), Qiqihar Univ, Qiqihar 161000, Heilongjiang, Peoples R China.</t>
  </si>
  <si>
    <t>UV6A2</t>
  </si>
  <si>
    <t>WOS:001250863900033</t>
  </si>
  <si>
    <t>Russell, ZA; Boley, BB</t>
  </si>
  <si>
    <t>Russell, Zachary A.; Boley, B. Bynum</t>
  </si>
  <si>
    <t>What would you sacrifice for the 'gram? Developing and testing the Social Media Sacrifice Scale (SMSS)</t>
  </si>
  <si>
    <t>JOURNAL OF TRAVEL &amp; TOURISM MARKETING</t>
  </si>
  <si>
    <t>Travel photography; sacrifice; social media; scale development; narcissism; Instagram; Facebook; Tiktok; status; conspicuous consumption</t>
  </si>
  <si>
    <t>CONSUMER-BEHAVIOR; TRAVEL; TOURISM; SELF; SATISFACTION; QUALITY; MODEL; RISK; INTENTIONS; ENVY</t>
  </si>
  <si>
    <t>As people seek to manicure their online presence within the current technomeritocracy, there is a need to understand what sacrifices people will make to curate social media worthy travel experiences. Hence, the Social Media Sacrifice Scale was developed from the literature on identity theory and compensatory purchasing behavior to conceptualize and measure these sacrifices. The scale was purified using EFA (n = 252) and validated using CFA (n = 251). Results demonstrate validity across four sacrifice dimensions (spending money, sacrifices at home, discomfort, and rule breaking) providing managers with marketing strategies to attract markets with the right mix of sacrificial expectations for the destination.</t>
  </si>
  <si>
    <t>[Russell, Zachary A.] Univ Illinois, Coll Appl Hlth Sci, Recreat Sport &amp; Tourism, Champaign, IL USA; [Boley, B. Bynum] Univ Georgia, Warnell Sch Forestry &amp; Nat Resources, Pk Recreat &amp; Tourism Management, Athens, GA USA; [Russell, Zachary A.] Univ Illinois, Coll Appl Hlth Sci, Recreat Sport &amp; Tourism, 1206 S 4th St, Champaign, IL 61820 USA</t>
  </si>
  <si>
    <t>University of Illinois System; University of Illinois Urbana-Champaign; University System of Georgia; University of Georgia; University of Illinois System; University of Illinois Urbana-Champaign</t>
  </si>
  <si>
    <t>Russell, ZA (corresponding author), Univ Illinois, Coll Appl Hlth Sci, Recreat Sport &amp; Tourism, 1206 S 4th St, Champaign, IL 61820 USA.</t>
  </si>
  <si>
    <t>zar3@illinois.edu</t>
  </si>
  <si>
    <t>Russell, Zachary/JYP-6136-2024</t>
  </si>
  <si>
    <t>Russell, Zachary/0000-0002-0242-0231</t>
  </si>
  <si>
    <t>1054-8408</t>
  </si>
  <si>
    <t>1540-7306</t>
  </si>
  <si>
    <t>J TRAVEL TOUR MARK</t>
  </si>
  <si>
    <t>J. Travel Tour. Mark.</t>
  </si>
  <si>
    <t>JUN 12</t>
  </si>
  <si>
    <t>10.1080/10548408.2024.2332274</t>
  </si>
  <si>
    <t>MT4Z1</t>
  </si>
  <si>
    <t>WOS:001195886600001</t>
  </si>
  <si>
    <t>Nicoll, K</t>
  </si>
  <si>
    <t>Nicoll, Katie</t>
  </si>
  <si>
    <t>Using BookTok and Bookstagram as an Author Exploring how writers can use BookTok and Bookstagram to promote their work and engage with readers</t>
  </si>
  <si>
    <t>BookTok; Bookstagram; TikTok; Instagram; content creator; social media; reels; author; influencer</t>
  </si>
  <si>
    <t>This paper examines the benefits of the BookTok and Bookstagram communities for authors and explains how the latter can use the platforms to engage with readers and promote their work online. The first half of this article examines the importance of content creators in the book community. The second part explains how authors can use these platforms to grow their readership and, in turn, promote their books. The purpose of this paper is to emphasize the benefits to authors of utilizing social media and how the relationship between content creator and author can be highly useful in generating engagement and excitement around books.</t>
  </si>
  <si>
    <t>[Nicoll, Katie] Oxford Brookes Univ, Oxford, England</t>
  </si>
  <si>
    <t>Nicoll, K (corresponding author), Oxford Brookes Univ, Oxford, England.</t>
  </si>
  <si>
    <t>knicoll@brookes.ac.uk</t>
  </si>
  <si>
    <t>10.1163/18784712-03104057</t>
  </si>
  <si>
    <t>WOS:001095703900003</t>
  </si>
  <si>
    <t>Ding, N; Xu, XY; Lewis, E</t>
  </si>
  <si>
    <t>Ding, Ning; Xu, Xiaoyan; Lewis, Emily</t>
  </si>
  <si>
    <t>Short instructional videos for the TikTok generation</t>
  </si>
  <si>
    <t>JOURNAL OF EDUCATION FOR BUSINESS</t>
  </si>
  <si>
    <t>business statistics; hybrid education; video instruction</t>
  </si>
  <si>
    <t>STUDENT PERFORMANCE; STATISTICS; ONLINE</t>
  </si>
  <si>
    <t>This quasi-experimental study examines the effect of short instruction videos on students' business statistics learning. Two hundred and thirty-one Dutch students attended 6-week online seminars on Business Statistics. One hundred and nineteen students were in an experimental group, and 112 in a control group. Students in the experimental group watched short instructional videos and studied online quizzes at their own pace. In the control group, students followed teachers' instructions throughout the seminars. It was found students watching short videos significantly outperformed those following teachers' virtual instruction. Short videos were especially useful for those who were weak at math. The research sheds light on the design of hybrid learning, particularly for business statistics education at the university level.</t>
  </si>
  <si>
    <t>[Ding, Ning; Xu, Xiaoyan; Lewis, Emily] Hanze Univ Appl Sci, Int Business Sch, Zernike 07,IBS Bldg,Off 212, Groningen, Netherlands</t>
  </si>
  <si>
    <t>Ding, N (corresponding author), Hanze Univ Appl Sci, Int Business Sch, Zernike 07,IBS Bldg,Off 212, Groningen, Netherlands.</t>
  </si>
  <si>
    <t>n.ding@pl.hanze.nl</t>
  </si>
  <si>
    <t>Ding, Ning/0000-0003-1045-4770</t>
  </si>
  <si>
    <t>0883-2323</t>
  </si>
  <si>
    <t>1940-3356</t>
  </si>
  <si>
    <t>J EDUC BUS</t>
  </si>
  <si>
    <t>J. Educ. Bus.</t>
  </si>
  <si>
    <t>MAY 19</t>
  </si>
  <si>
    <t>10.1080/08832323.2022.2103489</t>
  </si>
  <si>
    <t>H2YI4</t>
  </si>
  <si>
    <t>WOS:000861344900001</t>
  </si>
  <si>
    <t>Zhang, B; Du, HT; Chen, S; Kang, Y</t>
  </si>
  <si>
    <t>Zhang, Bin; Du, Haitao; Chen, Song; Kang, Yi</t>
  </si>
  <si>
    <t>PCFBCD: An Innovative Approach to Accelerating Collaborative Filtering</t>
  </si>
  <si>
    <t>2022 IEEE INTERNATIONAL SYMPOSIUM ON CIRCUITS AND SYSTEMS (ISCAS 22)</t>
  </si>
  <si>
    <t>IEEE International Symposium on Circuits and Systems</t>
  </si>
  <si>
    <t>IEEE International Symposium on Circuits and Systems (ISCAS)</t>
  </si>
  <si>
    <t>MAY 28-JUN 01, 2022</t>
  </si>
  <si>
    <t>IEEE,Samsung,Synopsys,Silicon Labs,Mediatek,Cadence,Intel,Qualcomm,IEEE Circuits &amp; Syst Soc</t>
  </si>
  <si>
    <t>graph analytics; parallel processing; domainspecific architecture</t>
  </si>
  <si>
    <t>PARALLEL MATRIX FACTORIZATION</t>
  </si>
  <si>
    <t>Recommendation system is important for internet applications such as Netflix or Tiktok. Collaborative Filtering algorithm is a graph computing algorithm commonly used in recommendation systems. In this paper, we propose an innovative approach called PCFBCD, which stands for Parallel Collaborative Filtering using Block Coordinate Descent to accelerate Collaborative Filtering. First we introduce two new algorithms, Multiple Computation and Permutation (MCP) and Normal Parallel Processing (NPP) that both use BCD method to optimize CF algorithm for higher level parallelism. Based on it we propose a hardware architecture that fully utilize the parallelism. Then we simulate PCFBCD architecture using a general-purpose architecture simulator. Experimental results show that our new approaches achieve 3.10x to 3.58x speedup compared to traditional method.</t>
  </si>
  <si>
    <t>[Zhang, Bin; Du, Haitao; Chen, Song; Kang, Yi] Univ Sci &amp; Technol China, Sch Microelect, Hefei, Peoples R China</t>
  </si>
  <si>
    <t>Chinese Academy of Sciences; University of Science &amp; Technology of China, CAS</t>
  </si>
  <si>
    <t>Zhang, B (corresponding author), Univ Sci &amp; Technol China, Sch Microelect, Hefei, Peoples R China.</t>
  </si>
  <si>
    <t>binzh@mail.ustc.edu.cn; haitaodu@mail.ustc.edu.cn; songch@ustc.edu.cn; ykang@ustc.edu.cn</t>
  </si>
  <si>
    <t>Chen, Song/K-3842-2012; Wu, Feng/Q-9657-2017; Du, Hai-Tao/JQW-2067-2023; Zhang, Bin/AGP-9855-2022</t>
  </si>
  <si>
    <t>Du, Haitao/0000-0002-4203-6381</t>
  </si>
  <si>
    <t>National Key R&amp;D Program of China [2019YFB2204800]; National Natural Science Foundation of China (NSFC) [U19A2074]</t>
  </si>
  <si>
    <t>National Key R&amp;D Program of China; National Natural Science Foundation of China (NSFC)(National Natural Science Foundation of China (NSFC))</t>
  </si>
  <si>
    <t>This work was supported in part by the National Key R&amp;D Program of China under grant No. 2019YFB2204800 and in part by National Natural Science Foundation of China (NSFC) under grant Nos. U19A2074.</t>
  </si>
  <si>
    <t>0271-4302</t>
  </si>
  <si>
    <t>978-1-6654-8485-5</t>
  </si>
  <si>
    <t>IEEE INT SYMP CIRC S</t>
  </si>
  <si>
    <t>10.1109/ISCAS48785.2022.9937302</t>
  </si>
  <si>
    <t>BU8EO</t>
  </si>
  <si>
    <t>WOS:000946638602185</t>
  </si>
  <si>
    <t>Paliwoda, ED; Trandafirescu, M; Gajjar, AA; Dhulipalla, S; Paliwoda, N; Kim, JJ; Schalet, BJ</t>
  </si>
  <si>
    <t>Paliwoda, Ethan D.; Trandafirescu, Mathew; Gajjar, Avi A.; Dhulipalla, Sanjana; Paliwoda, Nicholas; Kim, Jeff J.; Schalet, Benjamin J.</t>
  </si>
  <si>
    <t>In Their Own Words: Patient Narratives of Breast Cancer Surgery and Reconstruction</t>
  </si>
  <si>
    <t>Breast cancer; Reconstruction; Mastectomy; Patient perspective; Social media</t>
  </si>
  <si>
    <t>Background Breast cancer's global burden prompts a comprehensive understanding of patient experiences surrounding surgical interventions. Social media platforms serve as a new potential avenue for analysis, reflecting patients' coping mechanisms and support-seeking behaviors. Objective This study's objective is to further understand patient experiences regarding breast cancer interventions via social media to improve physician-patient dialogue. Methods A cross-sectional study was conducted of Instagram and TikTok posts surrounding breast cancer surgeries using procedure-related hashtags. Content was categorized to prevalent themes related to Breast-Q foci and was subsequently analyzed. Results Data from 1,028 individuals were analyzed. Posts encompassed double mastectomy (39%), single mastectomy (22%), and combined deep inferior epigastric perforator flap, latissimus dorsi flap, and transverse rectus abdominis muscle flap reconstruction (39%). Frequently identified themes included 'Raising Awareness' (86.87%), 'Spreading Positivity' (53.11%), 'Resiliency' (31.03%), 'Online Support' (24.61%), 'Update of Appearance' (20.82%), 'Recovery/Rehab' (19.94%), and 'Scientific Explanation' (19.75%). Instagram posts more likely encompassed positivity (p &lt; 0.001), resiliency (p = 0.001), and mental health (p = 0.011). TikTok posts more likely (p = 0.001) discussed scientific explanations, decision-making, and symptoms (p &lt; 0.001). Preoperative posts more likely (p &lt; 0.001) surrounded scientific explanations, decision-making, and fear. Postoperative posts more likely (p &lt; 0.001) highlighted appearance updates, recovery/rehab, and positivity (p = 0.012). Experiences with mastectomy and reconstruction differed: recovery/rehab (p &lt; 0.001), scientific explanations (p = 0.015), treatment process (p = 0.003), range of motion (p &lt; 0.001), self-esteem (p = 0.017), and wound management (p = 0.008). Conclusion Concerns of patients online reflect Breast-Q measures. Understanding these nuanced patient discussions can provide novel insights for providers. Tailoring interactions through these insights may facilitate enhanced support, discussions, and experiences throughout the treatment journey.</t>
  </si>
  <si>
    <t>[Paliwoda, Ethan D.; Gajjar, Avi A.; Dhulipalla, Sanjana; Kim, Jeff J.; Schalet, Benjamin J.] Albany Med Coll, Albany, NY 12208 USA; [Trandafirescu, Mathew] Vanderbilt Univ, Nashville, TN USA; [Paliwoda, Nicholas] Archbishop Molloy High Sch, Briarwood, NY USA; [Kim, Jeff J.; Schalet, Benjamin J.] Albany Med Coll, Dept Surg, Div Plast Surg, Albany, NY USA</t>
  </si>
  <si>
    <t>Albany Medical College; Vanderbilt University; Albany Medical College</t>
  </si>
  <si>
    <t>Paliwoda, ED (corresponding author), Albany Med Coll, Albany, NY 12208 USA.</t>
  </si>
  <si>
    <t>Ethan.Paliwoda@gmail.com</t>
  </si>
  <si>
    <t>Paliwoda, Ethan/0009-0005-5069-5829</t>
  </si>
  <si>
    <t>10.1007/s00266-024-04279-5</t>
  </si>
  <si>
    <t>H9P9C</t>
  </si>
  <si>
    <t>WOS:001326690100004</t>
  </si>
  <si>
    <t>Wang, ZR; Wang, Z; Rinprasertmeechai, D; Worawan, S</t>
  </si>
  <si>
    <t>Wang, Zerong; Wang, Zeen; Rinprasertmeechai, Denisa; Worawan, Saechoen</t>
  </si>
  <si>
    <t>Understanding the effects of live streamers' appearance and abilities in shaping consumer purchase: A cross-cultural empirical research</t>
  </si>
  <si>
    <t>Live streaming e -commerce; Interpersonal attractiveness; Interaction effects; Cross-culture</t>
  </si>
  <si>
    <t>ELABORATION LIKELIHOOD MODEL; ENGAGEMENT</t>
  </si>
  <si>
    <t>This research aims to investigate the comprehensive mechanism of streamers' attractiveness on consumer purchases in diverse cultural contexts. We confirmed the cultural differences between Douyin's and Tiktok shop's users through a pre-survey, and then collected live video data and viewer behavioral data from the two platforms. Based on the elaboration likelihood model framework, this research reveals that both appearance attractiveness and abilities attractiveness have positive effects on purchase behavior. Intriguingly, two types of attractiveness exhibit a substitutive relationship in Eastern cultural group, whereas they are complementary in Western cultures. Findings highlighted the complex impacts of streamers' attractiveness on consumer purchases, emphasizing the importance of cross-cultural analysis to comprehend consumer behavior in digital retail.</t>
  </si>
  <si>
    <t>[Wang, Zerong] Tongji Univ, Shanghai 200092, Peoples R China; [Wang, Zeen; Rinprasertmeechai, Denisa; Worawan, Saechoen] Southwestern Univ Finance &amp; Econ, Chengdu 611130, Peoples R China; [Wang, Zeen] Key Lab Financial Intelligence &amp; Financial Engn Si, Chengdu, Peoples R China</t>
  </si>
  <si>
    <t>Tongji University; Southwestern University of Finance &amp; Economics - China</t>
  </si>
  <si>
    <t>Wang, Z (corresponding author), Southwestern Univ Finance &amp; Econ, Chengdu 611130, Peoples R China.;Wang, Z (corresponding author), Key Lab Financial Intelligence &amp; Financial Engn Si, Chengdu, Peoples R China.</t>
  </si>
  <si>
    <t>2230378@tongji.edu.cn; wang_zeen@smail.swufe.edu.cn; denisa.meimi@outlook.com; worawan200@hotmail.com</t>
  </si>
  <si>
    <t>10.1016/j.jretconser.2024.104031</t>
  </si>
  <si>
    <t>C8A1B</t>
  </si>
  <si>
    <t>WOS:001291531600001</t>
  </si>
  <si>
    <t>Zheng, SS</t>
  </si>
  <si>
    <t>Zheng, Shanshan</t>
  </si>
  <si>
    <t>Safeguarding food heritage through social media? Between heritagization and commercialization</t>
  </si>
  <si>
    <t>INTERNATIONAL JOURNAL OF GASTRONOMY AND FOOD SCIENCE</t>
  </si>
  <si>
    <t>Food heritagization; Intangible cultural heritage (ICH); Commercialization; Douyin; Zhanjiang</t>
  </si>
  <si>
    <t>INTANGIBLE CULTURAL-HERITAGE</t>
  </si>
  <si>
    <t>During the food heritagization process, the question about the relationship of safeguarding intangible cultural heritage (ICH) to the commercialization of cultural practices has been raised. The recent articulation of ICH projects and social media platforms in China could be seen as a new attempt to promote and commercialize ICH practices. This article investigates this question by studying the heritagization and commercialization of local food traditions through a social media platform - Douyin (also known as TikTok outside of China) in Zhanjiang (Guangdong Province, China). When hashtag campaigns on social media can facilitate ICH safeguarding and even accelerate its commercialization, the case study could offer an insight into different local stakeholders' ideas about the concept of food-related ICH and their responses to the digital commercial situation.</t>
  </si>
  <si>
    <t>[Zheng, Shanshan] Univ Lumiere Lyon, Dept Anthropol, 2,5 Ave Pierre Mendes France, F-69676 Bron, France; [Zheng, Shanshan] Rhone Alpes Ctr Hist Res LARHRA, 14 Ave Berthelot, F-69007 Lyon, France</t>
  </si>
  <si>
    <t>Universite Lyon 2</t>
  </si>
  <si>
    <t>Zheng, SS (corresponding author), Univ Lumiere Lyon, Dept Anthropol, 2,5 Ave Pierre Mendes France, F-69676 Bron, France.;Zheng, SS (corresponding author), Rhone Alpes Ctr Hist Res LARHRA, 14 Ave Berthelot, F-69007 Lyon, France.</t>
  </si>
  <si>
    <t>shanshan.zheng1@univ-lyon2.fr</t>
  </si>
  <si>
    <t>Zheng, Shanshan/KIA-1901-2024</t>
  </si>
  <si>
    <t>Zheng, Shanshan/0009-0004-6092-3699</t>
  </si>
  <si>
    <t>l' Ecole francaise d'Extreme-Orient (EFEO)</t>
  </si>
  <si>
    <t>The fieldwork and research that led to this article was conducted from 2015 to 2019 in Zhanjiang, Guangdong Province, China, among which the fieldtrip in 2017 was conducted with support from l' ' Ecole francaise d'Extreme-Orient (EFEO). I would like to express my gratitude to the many individuals who assisted me in Zhanjiang and who helped me reach an understanding of local traditions: Chen Xinlian, Chen Guowei, Chen Zhijian, Huang Qian, Huang Xiaohui, Pang Dexuan, Wang Qinfeng, Wu Ziqi, Ye Caiping, Zhu Weiguo. I thank Pascal-Marie Milan and all the reviewers for their thoughtful comments. I also thank the organizers of ICCAS 2022 and the editors of the special issue for the time and work that they put into making this possible.</t>
  </si>
  <si>
    <t>1878-450X</t>
  </si>
  <si>
    <t>1878-4518</t>
  </si>
  <si>
    <t>INT J GASTRON FOOD S</t>
  </si>
  <si>
    <t>Int. J. Gastron. Food Sci.</t>
  </si>
  <si>
    <t>10.1016/j.ijgfs.2023.100678</t>
  </si>
  <si>
    <t>Food Science &amp; Technology</t>
  </si>
  <si>
    <t>9P6QJ</t>
  </si>
  <si>
    <t>WOS:000944407300001</t>
  </si>
  <si>
    <t>Johanssen, J; Kay, JB</t>
  </si>
  <si>
    <t>Johanssen, Jacob; Kay, Jilly Boyce</t>
  </si>
  <si>
    <t>From femcels to 'femcelcore': Women's involuntary celibacy and the rise of heteronihilism</t>
  </si>
  <si>
    <t>Femcels; feminism; femosphere; heteronihilism; heteropessimism; incels; manosphere</t>
  </si>
  <si>
    <t>This article analyses the shifting media visibilities of femcels: women who self-identify as being involuntary celibate. It first considers the 'original' femcel community which emerged on Reddit in 2018, and which was based on often-despairing, even nihilistic, text-based discussion. It then considers the more recent shift to 'femcelcore': a social media aesthetic or 'vibe', communicated through short, apparently ironic videos on TikTok. We contextualise 'original' femceldom within the 'femosphere', a complex ecology of female-centric online communities that mirrors the deeply fatalistic, gender-essentialist, 'red-pilled' logics of the manosphere, and we situate 'femcelcore' within recent histories and aesthetics of 'sad girl' culture. Despite their differences, both iterations of mediated femceldom ostensibly reject patriarchal notions of feminine 'perfection'; they seem to offer a critique of neoliberal feminism, and to comprise a potentially feminist online community, and as such, we consider whether this phenomenon may signal a radical break with the hegemonic postfeminism of recent decades. However, we argue that both iterations of femceldom ultimately provide a weak and highly problematic basis for collective feminism. Drawing on Robyn Marasco's concept of 'womanly nihilism' we argue that, rather than pursuing a feminism of solidarity and collective strength, these mediated femceldoms are rooted in logics of pain and fatalism; they mobilise strategies of self-numbing, dissociation and irony, coupled with the rejection of social hope. They signify not a collective feminist movement, but a fatalistic, dissociative, 'anti-hope' retreat from transformative politics, and a turn to the individualising dynamics of TikTok 'vibes'. Building on Asa Seresin's notion of 'heteropessimism', we introduce the concept of 'heteronihilism' to make sense of the widespread mood of 'giving up' that is increasingly entwined with, and expressed through, the radicalisation of negative heterosexual experience. We therefore introduce a new theoretical lens for analysing the politics of gender, sexuality and popular media, in a context of a growing and complex backlash against 'liberal feminism'.</t>
  </si>
  <si>
    <t>[Johanssen, Jacob] St Marys Univ Twickenham, London, England; [Kay, Jilly Boyce] Loughborough Univ, Brockington Bldg,Epinal Way, Loughborough LE11 3TU, Leics, England</t>
  </si>
  <si>
    <t>St Mary's University Twickenham London; Loughborough University</t>
  </si>
  <si>
    <t>Kay, JB (corresponding author), Loughborough Univ, Brockington Bldg,Epinal Way, Loughborough LE11 3TU, Leics, England.</t>
  </si>
  <si>
    <t>j.kay@lboro.ac.uk</t>
  </si>
  <si>
    <t>10.1177/13675494241293731</t>
  </si>
  <si>
    <t>L4J8K</t>
  </si>
  <si>
    <t>WOS:001350406300001</t>
  </si>
  <si>
    <t>Nurumov, A; Kazhieva, Z; Doskalieva, B; Rakhimova, G; Yessenova, G</t>
  </si>
  <si>
    <t>Gartner, WC</t>
  </si>
  <si>
    <t>Nurumov, A.; Kazhieva, Zh.; Doskalieva, B.; Rakhimova, G.; Yessenova, G.</t>
  </si>
  <si>
    <t>Market Analysis of Television Channels in Kazakhstan</t>
  </si>
  <si>
    <t>NEW PERSPECTIVES AND PARADIGMS IN APPLIED ECONOMICS AND BUSINESS</t>
  </si>
  <si>
    <t>6th International Conference on Applied Economics and Business (ICAEB)</t>
  </si>
  <si>
    <t>AUG 24-26, 2022</t>
  </si>
  <si>
    <t>Stockholm, SWEDEN</t>
  </si>
  <si>
    <t>Television; Market; Channels</t>
  </si>
  <si>
    <t>Television is an integral part of the modern cultural world. This paper studies the television market in Kazakhstan and presents the participants of the television services market. The organizational and legal forms of national TV channels and the types of basic television services are studied. The major indicators of economic activity of large TV channels of Kazakhstan is analyzed, such as JSC Agency Khabar, JSC Republican Television and Radio Corporation Kazakhstan, JSC Commercial Television Channel, JSC Television and Radio Company Yuzhnaya Stolitsa. The results showed that for Kazakhstan TV needs further transformation and expansion of paid Internet television, also collaboration of TV and social networks, such as YouTube, Facebook, Instagram, and TikTok. In addition, for large domestic TV channels with state participation, the state's share in the share capital should be reduced.</t>
  </si>
  <si>
    <t>[Nurumov, A.] Eurasian Natl Univ, Nur Sultan, Kazakhstan; [Kazhieva, Zh.] Shakarim Univ Semei, Semei 071407, Kazakhstan; [Doskalieva, B.] Karaganda Univ Kazpotrebsouz, Karaganda 100009, Kazakhstan; [Rakhimova, G.; Yessenova, G.] Univ Turan Astana, Nur Sultan 010008, Kazakhstan</t>
  </si>
  <si>
    <t>L.N. Gumilyov Eurasian National University</t>
  </si>
  <si>
    <t>Nurumov, A (corresponding author), Eurasian Natl Univ, Nur Sultan, Kazakhstan.</t>
  </si>
  <si>
    <t>pavlodarsemey@mail.ru</t>
  </si>
  <si>
    <t>978-3-031-23846-8; 978-3-031-23844-4; 978-3-031-23843-7</t>
  </si>
  <si>
    <t>10.1007/978-3-031-23844-4_20</t>
  </si>
  <si>
    <t>Business; Computer Science, Artificial Intelligence; Computer Science, Interdisciplinary Applications; Economics</t>
  </si>
  <si>
    <t>BV1XX</t>
  </si>
  <si>
    <t>WOS:001000772400020</t>
  </si>
  <si>
    <t>Tunkl, C; Paudel, R; Thapa, L; Tunkl, P; Jalan, P; Chandra, A; Belson, S; Prasad Gajurel, B; Haji-Begli, N; Bajaj, S; Golenia, J; Wick, W; Hacke, W; Gumbinger, C</t>
  </si>
  <si>
    <t>Tunkl, Christine; Paudel, Raju; Thapa, Lekhjung; Tunkl, Patrick; Jalan, Pankaj; Chandra, Avinash; Belson, Sarah; Prasad Gajurel, Bikram; Haji-Begli, Nima; Bajaj, Sunanjay; Golenia, Jessica; Wick, Wolfgang; Hacke, Werner; Gumbinger, Christoph</t>
  </si>
  <si>
    <t>Are digital social media campaigns the key to raise stroke awareness in low-and middle-income countries? A study of feasibility and cost-effectiveness in Nepal</t>
  </si>
  <si>
    <t>HIGH-SCHOOL-STUDENTS; COMMUNICATION; KNOWLEDGE; RISK</t>
  </si>
  <si>
    <t>Background Stroke is a major global health problem and was the second leading cause of death worldwide in 2020. However, the lack of public stroke awareness especially in low- and middle-income countries (LMICs) such as Nepal severely hinders the effective provision of stroke care. Efficient and cost-effective strategies to raise stroke awareness in LMICs are still lacking. This study aims to (a) explore the feasibility of a social media-based stroke awareness campaign in Nepal using a cost-benefit analysis and (b) identify best practices for social media health education campaigns. Methods We performed a stroke awareness campaign over a period of 6 months as part of a Stroke Project in Nepal on four social media platforms (Facebook, Instagram, Twitter, TikTok) with organic traffic and paid advertisements. Adapted material based on the World Stroke Day Campaign and specifically created videos for TikTok were used. Performance of the campaign was analyzed with established quantitative social media metrics (impressions, reach, engagement, costs). Results Campaign posts were displayed 7.5 million times to users in Nepal. 2.5 million individual social media users in Nepal were exposed to the campaign on average three times, which equals 8.6% of Nepal's total population. Of those, 250,000 users actively engaged with the posts. Paid advertisement on Facebook and Instagram proved to be more effective in terms of reach and cost than organic traffic. The total campaign cost was low with a Cost to reach 1,000 users of 0.24 EUR and a Cost Per Click of 0.01 EUR. Discussion Social media-based campaigns using paid advertisement provide a feasible and, compared to classical mass medias, a very cost-effective approach to inform large parts of the population about stroke awareness in LMICs. Future research needs to further analyze the impact of social media campaigns on stroke knowledge.</t>
  </si>
  <si>
    <t>[Tunkl, Christine; Haji-Begli, Nima; Bajaj, Sunanjay; Golenia, Jessica; Wick, Wolfgang; Hacke, Werner; Gumbinger, Christoph] Univ Heidelberg Hosp, Dept Neurol, Heidelberg, Germany; [Paudel, Raju] Grande Int Hosp, Kathmandu, Nepal; [Thapa, Lekhjung] Natl Neuro Ctr, Kathmandu, Nepal; [Tunkl, Patrick] Tunkl Consulting, Heidelberg, Germany; [Jalan, Pankaj] Norvic Int Hosp, Kathmandu, Nepal; [Chandra, Avinash] Annapurna Neurol Inst, Kathmandu, Nepal; [Belson, Sarah] World Stroke Org, Geneva, Switzerland; [Prasad Gajurel, Bikram] Tribhuvan Univ Teaching Hosp, Kathmandu, Nepal; [Wick, Wolfgang] German Canc Res Ctr, Heidelberg, Germany</t>
  </si>
  <si>
    <t>Ruprecht Karls University Heidelberg; Tribhuvan University; Institute of Medicine (IoM) - Nepal; Helmholtz Association; German Cancer Research Center (DKFZ)</t>
  </si>
  <si>
    <t>Tunkl, C (corresponding author), Univ Heidelberg Hosp, Dept Neurol, Heidelberg, Germany.</t>
  </si>
  <si>
    <t>christine.tunkl@med.uni-heidelberg.de</t>
  </si>
  <si>
    <t>Chandra, Avinash/K-2161-2018; Bajaj, Sunanjay/KRP-7705-2024; Wick, Wolfgang/AAA-2545-2020</t>
  </si>
  <si>
    <t>Bajaj, Sunanjay/0000-0001-7660-3607</t>
  </si>
  <si>
    <t>Hospital Partnerships funding program of the Deutsche Gesellschaft fur internationale Zusammenarbeit (GIZ) GmbH; Federal Ministry of Economic Cooperation and Development (BMZ); Else Kroner-Fresenius foundation (EKFS)</t>
  </si>
  <si>
    <t>This study is supported by Hospital Partnerships funding program of the Deutsche Gesellschaft fur internationale Zusammenarbeit (GIZ) GmbH and received funding by the Federal Ministry of Economic Cooperation and Development (BMZ) and the Else Kroner-Fresenius foundation (EKFS). The funders had no role in study design, data collection and analysis, decision to publish, or preparation of the manuscript.</t>
  </si>
  <si>
    <t>SEP 8</t>
  </si>
  <si>
    <t>e0291392</t>
  </si>
  <si>
    <t>10.1371/journal.pone.0291392</t>
  </si>
  <si>
    <t>W5FB1</t>
  </si>
  <si>
    <t>WOS:001091871500159</t>
  </si>
  <si>
    <t>Ali, H; Khan, HA; Pecht, MG</t>
  </si>
  <si>
    <t>Ali, Hayder; Khan, Hassan Abbas; Pecht, Michael G.</t>
  </si>
  <si>
    <t>Evaluation of Li-Based Battery Current, Voltage, and Temperature Profiles for In-Service Mobile Phones</t>
  </si>
  <si>
    <t>Batteries; Smart phones; Discharges (electric); Temperature measurement; Temperature sensors; Facebook; Android apps; C-rates; in-service performance; Li batteries; smartphones</t>
  </si>
  <si>
    <t>LITHIUM-ION BATTERIES; HEAT-GENERATION; PERFORMANCE; CHARGE</t>
  </si>
  <si>
    <t>A battery &amp; x2019;s state of charge or runtime, and state of health or life, will depend on the product &amp; x2019;s discharge current over time. For a mobile phone, the discharge current depends on the specific apps that are operated. This paper presents an experimental study to measure and evaluate the operational charge/discharge profile, temperature and terminal voltage of six Android apps; WhatsApp, Facebook, Facebook Messenger, Instagram, Snapchat, and TikTok on smartphones. The results show how the discharge current required by an app &amp; x2019;s operation, will affect the battery runtime and life, due to the combined effect of discharge current and temperature.</t>
  </si>
  <si>
    <t>[Ali, Hayder; Khan, Hassan Abbas] Lahore Univ Management Sci, Sch Sci &amp; Engn, Dept Elect Engn, Lahore 54792, Pakistan; [Pecht, Michael G.] Univ Maryland, Ctr Adv Life Cycle Engn CALCE, College Pk, MD 20742 USA</t>
  </si>
  <si>
    <t>Lahore University of Management Sciences; University System of Maryland; University of Maryland College Park</t>
  </si>
  <si>
    <t>Khan, HA (corresponding author), Lahore Univ Management Sci, Sch Sci &amp; Engn, Dept Elect Engn, Lahore 54792, Pakistan.</t>
  </si>
  <si>
    <t>hassan.khan@lums.edu.pk</t>
  </si>
  <si>
    <t>Khan, Hassan/K-8135-2019; Pecht, Michael/I-8119-2018; Ali, Hayder/AAO-6637-2020</t>
  </si>
  <si>
    <t>Khan, Hassan/0000-0003-2847-9773; ali, hayder/0000-0002-2927-7981</t>
  </si>
  <si>
    <t>Center for Advanced Life Cycle Engineering (CALCE) at the University of Maryland and Its over 150 Funding Companies</t>
  </si>
  <si>
    <t>This work was supported by the Center for Advanced Life Cycle Engineering (CALCE) at the University of Maryland and Its over 150 Funding Companies.</t>
  </si>
  <si>
    <t>10.1109/ACCESS.2020.2988728</t>
  </si>
  <si>
    <t>LK4KW</t>
  </si>
  <si>
    <t>WOS:000530830800019</t>
  </si>
  <si>
    <t>Brady, WJ; Jackson, JC; Lindström, B; Crockett, MJ</t>
  </si>
  <si>
    <t>Brady, William J.; Jackson, Joshua Conrad; Lindstrom, Bjorn; Crockett, M. J.</t>
  </si>
  <si>
    <t>Algorithm-mediated social learning in online social networks</t>
  </si>
  <si>
    <t>TRENDS IN COGNITIVE SCIENCES</t>
  </si>
  <si>
    <t>MORALIZED CONTENT; NEGATIVITY BIAS; EVOLUTION; NEWS; POLARIZATION; ATTENTION; TRANSMISSION; PSYCHOLOGY; VISIBILITY; DIFFUSION</t>
  </si>
  <si>
    <t>Human social learning is increasingly occurring on online social platforms, such as Twitter, Facebook, and TikTok. On these platforms, algorithms exploit existing social-learning biases (i.e., towards prestigious, ingroup, moral, and emotional information, or 'PRIME' information) to sustain users' attention and maximize en-gagement. Here, we synthesize emerging insights into 'algorithm-mediated so-cial learning' and propose a framework that examines its consequences in terms of functional misalignment. We suggest that, when social-learning biases are exploited by algorithms, PRIME information becomes amplified via human- algorithm interactions in the digital social environment in ways that cause social misperceptions and conflict, and spread misinformation. We discuss solutions for reducing functional misalignment, including algorithms promoting bounded diversification and increasing transparency of algorithmic amplification.</t>
  </si>
  <si>
    <t>[Brady, William J.; Jackson, Joshua Conrad] Northwestern Univ, Kellogg Sch Management, Evanston, IL 60208 USA; [Lindstrom, Bjorn] Karolinska Inst, Dept Clin Neurosci, Solna, Sweden; [Crockett, M. J.] Princeton Univ, Dept Psychol, Princeton, NJ USA; [Crockett, M. J.] Princeton Univ, Univ Ctr Human Values, Princeton, NJ 08544 USA</t>
  </si>
  <si>
    <t>Northwestern University; Karolinska Institutet; Princeton University; Princeton University</t>
  </si>
  <si>
    <t>Brady, WJ (corresponding author), Northwestern Univ, Kellogg Sch Management, Evanston, IL 60208 USA.</t>
  </si>
  <si>
    <t>william.brady@kellogg.northwestern.edu</t>
  </si>
  <si>
    <t>Crockett, Molly/F-8217-2014; Brady, William/KCY-3415-2024</t>
  </si>
  <si>
    <t>Brady, William/0000-0001-6075-5446</t>
  </si>
  <si>
    <t>1364-6613</t>
  </si>
  <si>
    <t>1879-307X</t>
  </si>
  <si>
    <t>TRENDS COGN SCI</t>
  </si>
  <si>
    <t>TRENDS COGN. SCI.</t>
  </si>
  <si>
    <t>10.1016/j.tics.2023.06.008</t>
  </si>
  <si>
    <t>Behavioral Sciences; Neurosciences; Psychology, Experimental</t>
  </si>
  <si>
    <t>Behavioral Sciences; Neurosciences &amp; Neurology; Psychology</t>
  </si>
  <si>
    <t>GU5G1</t>
  </si>
  <si>
    <t>WOS:001155192800001</t>
  </si>
  <si>
    <t>Chen, LM; Wang, YR</t>
  </si>
  <si>
    <t>Chen, Limei; Wang, Yanru</t>
  </si>
  <si>
    <t>Platform investment and creators' quality choice</t>
  </si>
  <si>
    <t>2-SIDED MARKETS; PRICE THEORY; ECONOMICS</t>
  </si>
  <si>
    <t>Creative tools on content platforms significantly increase content quantity by reducing entry barriers. However, tools such as TikTok video templates primarily facilitate the production of relatively lower-quality content, negatively impacting content quality due to creative limitations and style uniformity. Why do some platforms develop these tools while others do not? We develop a game-theoretic model with monopoly and duopoly scenarios to investigate platform investment decisions concerning these special tools. We find that a platform is only incentivized to invest in facilitating low-quality content production when the entry barrier is low. Additionally, the investment level may not decrease as users increasingly value high-quality content. In the duopoly case, platforms may adopt differentiated strategies to mitigate direct competition, especially when users substantially value high-quality content compared with low-quality content.</t>
  </si>
  <si>
    <t>[Chen, Limei] Fudan Univ, Sch Management, Shanghai, Peoples R China; [Wang, Yanru] Dongbei Univ Finance &amp; Econ, Sch Finance, Dalian, Peoples R China; [Chen, Limei] Fudan Univ, Sch Management, Shanghai 200433, Peoples R China</t>
  </si>
  <si>
    <t>Fudan University; Dongbei University of Finance &amp; Economics; Fudan University</t>
  </si>
  <si>
    <t>Chen, LM (corresponding author), Fudan Univ, Sch Management, Shanghai 200433, Peoples R China.</t>
  </si>
  <si>
    <t>lmchen20@fudan.edu.cn</t>
  </si>
  <si>
    <t>Wang, Yanru/JFB-5173-2023</t>
  </si>
  <si>
    <t>Wang, Yanru/0000-0002-2256-1402</t>
  </si>
  <si>
    <t>10.1002/mde.4178</t>
  </si>
  <si>
    <t>TC4Y3</t>
  </si>
  <si>
    <t>WOS:001186252200001</t>
  </si>
  <si>
    <t>Liu, LQ; Hadfield-Menell, D; Lipton, ZC</t>
  </si>
  <si>
    <t>Liu Leqi; Hadfield-Menell, Dylan; Lipton, Zachary C.</t>
  </si>
  <si>
    <t>Algorithms, microcontent, and the vanishing distinction between platforms and creators</t>
  </si>
  <si>
    <t>COMMUNICATIONS OF THE ACM</t>
  </si>
  <si>
    <t>EVER SINCE SOCIAL activity on the Internet began migrating from the wilds of the open Web to the walled gardens erected by so-called platforms (think Myspace, Facebook, Twitter, YouTube, or TikTok), debates have raged about the responsibilities these platforms ought to bear. And yet, despite intense scrutiny from the news media and grassroots movements of outraged users, platforms continue to operate, from a legal standpoint, on the friendliest terms. You might say today's platforms enjoy a have your cake, eat it too, and here's a side of ice cream deal. They simultaneously benefit from: broad discretion to organize (and censor) content however they choose; powerful algorithms for curating a practically limitless supply of user-posted microcontent according to whatever ends they wish; and absolution from almost any liability associated with that content.</t>
  </si>
  <si>
    <t>[Liu Leqi] Carnegie Mellon Univ, Machine Learning Dept, Pittsburgh, PA 15213 USA; [Hadfield-Menell, Dylan] MIT, Artificial Intelligence &amp; Decis Making, 77 Massachusetts Ave, Cambridge, MA 02139 USA; [Lipton, Zachary C.] Carnegie Mellon Univ, Operat Res &amp; Machine Learning, Pittsburgh, PA 15213 USA; [Lipton, Zachary C.] Amazon AI, Seattle, WA USA</t>
  </si>
  <si>
    <t>Carnegie Mellon University; Massachusetts Institute of Technology (MIT); Carnegie Mellon University</t>
  </si>
  <si>
    <t>Liu, LQ (corresponding author), Carnegie Mellon Univ, Machine Learning Dept, Pittsburgh, PA 15213 USA.</t>
  </si>
  <si>
    <t>Liu, Leqi/HGA-0678-2022</t>
  </si>
  <si>
    <t>2 PENN PLAZA, STE 701, NEW YORK, NY 10121-0701 USA</t>
  </si>
  <si>
    <t>0001-0782</t>
  </si>
  <si>
    <t>1557-7317</t>
  </si>
  <si>
    <t>COMMUN ACM</t>
  </si>
  <si>
    <t>Commun. ACM</t>
  </si>
  <si>
    <t>10.1145/3475161</t>
  </si>
  <si>
    <t>Computer Science, Hardware &amp; Architecture; Computer Science, Software Engineering; Computer Science, Theory &amp; Methods</t>
  </si>
  <si>
    <t>XC0JL</t>
  </si>
  <si>
    <t>WOS:000721705800027</t>
  </si>
  <si>
    <t>Crocker, R</t>
  </si>
  <si>
    <t>Crocker, Rosalind</t>
  </si>
  <si>
    <t>Illness Calls for Stories: Care, Communication, and Community in the COVID-19 Patient Narrative</t>
  </si>
  <si>
    <t>JOURNAL OF MEDICAL HUMANITIES</t>
  </si>
  <si>
    <t>COVID-19; Community; Social media; Narratives of care; Curative recipes</t>
  </si>
  <si>
    <t>This creative-critical piece reflects on the practices of recording, communicating, and caring that took place on social media and in digital spaces during the COVID-19 pandemic. Using my own experience of contracting COVID-19 as a starting point, the piece looks at the ways in which epidemics have often been recorded in collaborative ways, with the personal, professional, and familial converging in historical texts that could be used as sources of medical authority. COVID-19 has similarly been immortalized across a variety of forms and by different communities. The piece particularly explores the ways in which collective epidemic experience has been represented online through autopathographical Tweets, TikTok cures, and group chat messages and the future purposes that such collaborative patient narratives can serve.</t>
  </si>
  <si>
    <t>[Crocker, Rosalind] Univ Sheffield, Sch English, Sheffield, England</t>
  </si>
  <si>
    <t>Crocker, R (corresponding author), Univ Sheffield, Sch English, Sheffield, England.</t>
  </si>
  <si>
    <t>rcrocker1@sheffield.ac.uk</t>
  </si>
  <si>
    <t>Crocker, Rosalind/0000-0002-5871-1556</t>
  </si>
  <si>
    <t>1041-3545</t>
  </si>
  <si>
    <t>1573-3645</t>
  </si>
  <si>
    <t>J MED HUMANIT</t>
  </si>
  <si>
    <t>J. Med. Humanit.</t>
  </si>
  <si>
    <t>2024 FEB 13</t>
  </si>
  <si>
    <t>10.1007/s10912-023-09835-9</t>
  </si>
  <si>
    <t>HN9P8</t>
  </si>
  <si>
    <t>WOS:001160304200001</t>
  </si>
  <si>
    <t>Gazeau, V; Gupta, K; An, MK</t>
  </si>
  <si>
    <t>Obaidat, MS; Marzo, JL; Vila, P; Hsiao, KF; Nicopolitidis, P; Guo, Y</t>
  </si>
  <si>
    <t>Gazeau, Valentin; Gupta, Khushi; An, Min Kyung</t>
  </si>
  <si>
    <t>Enhancing Social Media Data Collection for Digital Forensic Investigations: A Web Parser Approach</t>
  </si>
  <si>
    <t>2024 INTERNATIONAL CONFERENCE ON COMPUTER, INFORMATION AND TELECOMMUNICATION SYSTEMS, CITS 2024</t>
  </si>
  <si>
    <t>12th IEEE International Conference on Computer, Information and Telecommunication Systems (CITS)</t>
  </si>
  <si>
    <t>JUL 17-19, 2024</t>
  </si>
  <si>
    <t>Girona, SPAIN</t>
  </si>
  <si>
    <t>IEEE Commun Soc,IEEE</t>
  </si>
  <si>
    <t>social media; digital forensics; artifacts; parser; social media forensics</t>
  </si>
  <si>
    <t>FRAMEWORK</t>
  </si>
  <si>
    <t>Retrieving data from social media platforms and user profiles holds immense value for digital forensic investigations. However, existing tools lack efficiency in gathering evidence from online social media platforms. This paper introduces a social media web parser to extract essential user information from prominent web applications such as Facebook, Instagram, TikTok, and X. The parser gathers key artifacts, including post captions, hashtags, likes, direct links and post timestamps, offering a comprehensive and automated solution for social media data collection. This paper also studies the design, implementation, and evaluation of the parser's efficacy in extracting relevant user data across diverse platforms. The results demonstrate the parser's capability to streamline the process of information retrieval by providing a 92.12% time savings compared with manual approaches.</t>
  </si>
  <si>
    <t>[Gazeau, Valentin; Gupta, Khushi; An, Min Kyung] Sam Houston State Univ, Dept Comp Sci, Huntsville, TX 77340 USA</t>
  </si>
  <si>
    <t>Texas State University System; Sam Houston State University</t>
  </si>
  <si>
    <t>Gazeau, V (corresponding author), Sam Houston State Univ, Dept Comp Sci, Huntsville, TX 77340 USA.</t>
  </si>
  <si>
    <t>vcg006@shsu.edu; kxg095@shsu.edu; an@shsu.edu</t>
  </si>
  <si>
    <t>An, Min Kyung/L-3961-2013</t>
  </si>
  <si>
    <t>An, Min Kyung/0000-0002-4571-5048</t>
  </si>
  <si>
    <t>979-8-3503-5910-7; 979-8-3503-5909-1</t>
  </si>
  <si>
    <t>10.1109/CITS61189.2024.10607983</t>
  </si>
  <si>
    <t>BX4NK</t>
  </si>
  <si>
    <t>WOS:001292768200023</t>
  </si>
  <si>
    <t>Lyu, Y; Zhang, H; Niu, S; Cai, J</t>
  </si>
  <si>
    <t>Lyu, Yao; Zhang, He; Niu, Shuo; Cai, Jie</t>
  </si>
  <si>
    <t>A Preliminary Exploration of YouTubers' Use of Generative-AI in Content Creation</t>
  </si>
  <si>
    <t>Generative AI; YouTube; Content Creator; User-generated Content; Artificial Intelligence; Content Creation; Affiliated Marketing; Professional Development</t>
  </si>
  <si>
    <t>Content creators increasingly utilize generative artificial intelligence (Gen-AI) on platforms such as YouTube, TikTok, Instagram, and various blogging sites to produce imaginative images, AI-generated videos, and articles using Large Language Models (LLMs). Despite its growing popularity, there remains an underexplored area concerning the specific domains where AI-generated content is being applied, and the methodologies content creators employ with Gen-AI tools during the creation process. This study initially explores this emerging area through a qualitative analysis of 68 YouTube videos demonstrating Gen-AI usage. Our research focuses on identifying the content domains, the variety of tools used, the activities performed, and the nature of the final products generated by Gen-AI in the context of user-generated content.</t>
  </si>
  <si>
    <t>[Lyu, Yao; Zhang, He; Cai, Jie] Penn State Univ, University Pk, PA 16802 USA; [Niu, Shuo] Clark Univ, Worcester, MA USA</t>
  </si>
  <si>
    <t>Pennsylvania Commonwealth System of Higher Education (PCSHE); Pennsylvania State University; Pennsylvania State University - University Park; Clark University</t>
  </si>
  <si>
    <t>yaolyu@psu.edu; hpz5211@psu.edu; shniu@clarku.edu; jie.cai@psu.edu</t>
  </si>
  <si>
    <t>Cai, Jie/LOR-7320-2024; Niu, Shuo/AAH-2395-2021</t>
  </si>
  <si>
    <t>Niu, Shuo/0000-0002-8316-4785; Zhang, He/0000-0002-8169-1653; Cai, Jie/0000-0002-0582-555X</t>
  </si>
  <si>
    <t>10.1145/3613905.3651057</t>
  </si>
  <si>
    <t>WOS:001227587704020</t>
  </si>
  <si>
    <t>Crossing the chasm: Understanding users' ' motivational differences based on stages of online community</t>
  </si>
  <si>
    <t>INFORMATION &amp; MANAGEMENT</t>
  </si>
  <si>
    <t>Online community; Stage difference; Early users; Time of adoption; Perceived value</t>
  </si>
  <si>
    <t>PLS-SEM; INTENTION; SELF; PARTICIPATION; ENGAGEMENT; FRAMEWORK; SERVICES; BEHAVIOR; SYSTEMS; SEEKING</t>
  </si>
  <si>
    <t>Drawing on chasm theory and perceived value theory, this study investigated user participation behavior differences at different stages of online communities to understand two stage-related threats: the cold-start problem (i.e., creating conditions for the establishment of an initial mass of content) and the chasm problem (i.e., user motivational change as an online community evolves). Analysis of survey data from 657 TikTok users revealed changes in user participation motivation that can be associated with the online community's development, providing evidence for the existence of a chasm in the online community context. This research has implications for both theorists and practitioners looking to build sustainable online communities.</t>
  </si>
  <si>
    <t>[Zhao, Hongying] Dalian Univ Technol, Sch Econ &amp; Management, 2 Linggong Rd, Dalian, Liaoning, Peoples R China; [Wagner, Christian] City Univ Hong Kong, Sch Creat Media, Hong Kong, Peoples R China</t>
  </si>
  <si>
    <t>Zhao, HY (corresponding author), Dalian Univ Technol, Sch Econ &amp; Management, 2 Linggong Rd, Dalian, Liaoning, Peoples R China.</t>
  </si>
  <si>
    <t>Wagner, Christian/0000-0003-0907-8552</t>
  </si>
  <si>
    <t>This work was supported by the National Natural Science Foundation of China (Grant number: 72304057) and Centre for Applied Computing and Interactive Media, City University of Hong Kong (Project number: 9610535 and 9678312) .</t>
  </si>
  <si>
    <t>0378-7206</t>
  </si>
  <si>
    <t>1872-7530</t>
  </si>
  <si>
    <t>INFORM MANAGE-AMSTER</t>
  </si>
  <si>
    <t>Inf. Manage.</t>
  </si>
  <si>
    <t>10.1016/j.im.2024.104050</t>
  </si>
  <si>
    <t>Computer Science, Information Systems; Information Science &amp; Library Science; Management</t>
  </si>
  <si>
    <t>Computer Science; Information Science &amp; Library Science; Business &amp; Economics</t>
  </si>
  <si>
    <t>H0B6B</t>
  </si>
  <si>
    <t>WOS:001320189100001</t>
  </si>
  <si>
    <t>Stratman, A</t>
  </si>
  <si>
    <t>Stratman, Alyssa</t>
  </si>
  <si>
    <t>Sharenting and Exploitation: A Qualitative Content Analysis of Public Reactions to the Wren Eleanor Situation</t>
  </si>
  <si>
    <t>CANADIAN JOURNAL OF FAMILY AND YOUTH</t>
  </si>
  <si>
    <t>sharenting; children; social media; exploitation; content analysis</t>
  </si>
  <si>
    <t>This study analyzed responses to the viral sharenting case of Wren Eleanor to understand how people react to sharenting and related (allegations) of child exploitation. A sample of 50 comments was created by retrieving the first 25 comments displayed on two TikTok videos. The sample consisted of an equal number of positive reactions (i.e., those supportive of Wren's mother and her sharenting) and negative reactions (i.e., those critical of Wren's mother and her sharenting). The positive responses had five themes: Victim, Opposition, Encouragement, Emotional Attachment and Involvement, and Advice. The negative responses had four themes: Perpetrator, Exploitation, Fear, and Action. This study demonstrated that parasocial relationships and interactions potentially play a key role in how people react to sharenting and allegations of child exploitation.</t>
  </si>
  <si>
    <t>[Stratman, Alyssa] MacEwan Univ, Edmonton, AB, Canada</t>
  </si>
  <si>
    <t>Stratman, A (corresponding author), MacEwan Univ, Edmonton, AB, Canada.</t>
  </si>
  <si>
    <t>stratmana@mymacewan.ca</t>
  </si>
  <si>
    <t>UNIV ALBERTA LIBRARIES</t>
  </si>
  <si>
    <t>EDMONTON</t>
  </si>
  <si>
    <t>4-99 HUMANITIES CENTRE, B7 RUTHERFORD S, EDMONTON, ALBERTA T6G 2J4, CANADA</t>
  </si>
  <si>
    <t>1718-9748</t>
  </si>
  <si>
    <t>CAN J FAM YOUTH</t>
  </si>
  <si>
    <t>Can. J. Fam. Youth</t>
  </si>
  <si>
    <t>O1VA9</t>
  </si>
  <si>
    <t>WOS:001041754900008</t>
  </si>
  <si>
    <t>Zhao, Y; Mao, YS; Wei, S</t>
  </si>
  <si>
    <t>Zhao, Yue; Mao, Yansheng; Wei, Shuang</t>
  </si>
  <si>
    <t>To share vulnerability is to show strength: A discursive study of self-disclosure by Chinese cancer patients on short-form video platforms</t>
  </si>
  <si>
    <t>Cancer patients; Chinese; emotions; discursive strategies; self-disclosure</t>
  </si>
  <si>
    <t>SOCIAL SUPPORT; LIKING</t>
  </si>
  <si>
    <t>The widely-used social media have offered Chinese cancer patients online sites for self-disclosure. Collecting self-disclosing discourses from 200 Chinese cancer patients on TikTok and SnackVideo, this study systematically analyzes the discursive strategies employed by Chinese cancer patients and their emotions expressed during self-disclosure, with the help of NVivo 12 and LIWC 2015. As a result, it is found that: (1) Chinese cancer patients display self-disclosure oriented toward facts, relationships, desires, and experiences discursively; (2) Chinese cancer patients showed a higher proportion of positive emotions than negative emotions, with female patients being more conservative and stable than their male counterparts when disclosing positive emotions. To some extent, the findings above would shed insights into the provision of psychologically inclusive support for the cancer patients in Chinese culture and beyond.</t>
  </si>
  <si>
    <t>[Zhao, Yue] Harbin Engn Univ, Sch Foreign Studies, Harbin, Peoples R China; [Mao, Yansheng] Harbin Engn Univ, Sch Foreign Studies, Nantong St 145, Harbin 150001, Heilongjiang, Peoples R China; [Wei, Shuang] Cent Univ Finance &amp; Econ, Sch Foreign Studies, Beijing, Peoples R China</t>
  </si>
  <si>
    <t>Harbin Engineering University; Harbin Engineering University; Central University of Finance &amp; Economics</t>
  </si>
  <si>
    <t>Mao, YS (corresponding author), Harbin Engn Univ, Sch Foreign Studies, Nantong St 145, Harbin 150001, Heilongjiang, Peoples R China.</t>
  </si>
  <si>
    <t>wiltonmao@163.com</t>
  </si>
  <si>
    <t>MAO, Yansheng/0000-0002-5684-6481; Wei, Shuang/0000-0001-9281-9539</t>
  </si>
  <si>
    <t>National Social Science Fund of China [23CYY061]</t>
  </si>
  <si>
    <t>The author(s) disclosed receipt of the following financial support for the research, authorship, and/or publication of this article: This study is funded by An interpersonal pragmatic study of doctor-patient interaction discourse in a rural medical context supported by The National Social Science Fund of China (Grant No. 23CYY061).</t>
  </si>
  <si>
    <t>10.1177/09579265231225434</t>
  </si>
  <si>
    <t>A2O9S</t>
  </si>
  <si>
    <t>WOS:001155366900001</t>
  </si>
  <si>
    <t>Learreta, MG; Ayerdi, KM; Dasilva, JP; Galdospin, TM</t>
  </si>
  <si>
    <t>Ganzabal Learreta, Maria; Meso Ayerdi, Koldobika; Perez Dasilva, Jesus; Mendiguren Galdospin, Terese</t>
  </si>
  <si>
    <t>Information professionals and the use of social media in newsrooms: Perspectives and challenges by age groups</t>
  </si>
  <si>
    <t>journalists; profession; generation; social media</t>
  </si>
  <si>
    <t>INNOVATION</t>
  </si>
  <si>
    <t>Social media have revolutionized not just the way the profession of journalism is exercised, but also how consumers access information. Four different generations of journalists (generation Z, millennials, generation X and baby boomers) from different media in the Basque Country answered a questionnaire about their use of the main social tools such as Twitter, Facebook, Instagram, Linkedln and the messaging network WhatsApp. The results of more than 500 survey responses show a large generation gap between younger and older professionals. In addition, the underutilization of some tools such as Telegram or Linkedln evidence a lack of knowledge along with a shortage of training by companies. New applications such as TikTok or Twitch are not part of the daily routines of these journalists in any of the generations analysed.</t>
  </si>
  <si>
    <t>[Ganzabal Learreta, Maria; Meso Ayerdi, Koldobika; Perez Dasilva, Jesus; Mendiguren Galdospin, Terese] Univ Pais Vasco UPV EHU, Leioa, Spain</t>
  </si>
  <si>
    <t>Learreta, MG (corresponding author), Univ Pais Vasco UPV EHU, Leioa, Spain.</t>
  </si>
  <si>
    <t>maria.ganzabal@ehu.eus; koldo.meso@ehu.eus; jesusangel.perez@ehu.eus; terese.mendiguren@ehu.eus</t>
  </si>
  <si>
    <t>Ayerdi, Koldobika/H-1964-2015</t>
  </si>
  <si>
    <t>10.5565/rev/analisi.3531</t>
  </si>
  <si>
    <t>6Z6US</t>
  </si>
  <si>
    <t>WOS:000897909700008</t>
  </si>
  <si>
    <t>Cipers, S; Meyer, T</t>
  </si>
  <si>
    <t>Cipers, Samuel; Meyer, Trisha</t>
  </si>
  <si>
    <t>Free Speech is Not Free Reach How Platforms Self- regulate Misinformation, Political Ads and Election Campaigns</t>
  </si>
  <si>
    <t>POLITIQUE EUROPEENNE</t>
  </si>
  <si>
    <t>This article analyses social media platform measures on online political campaigning. We track Meta, Google, Twitter and TikTok and assess which types of content and moderation they prioritise and the frequency of (self-reported) interventions taken in the fight against (political/electoral) mis/disinformation. We analyse their policies on online political campaigning and compare these approaches against the goals set out in the renewed EU Code of Practice on Disinformation and the proposed EU Regulation on the Transparency and Targeting of Political Advertising. We argue that platform policies and practices merit analytical scrutiny as they determine the boundaries of acceptable speech online, and that measures to regulate political speech should be understood as more than addressing political advertising alone, but also should include policies regarding political accounts and mis/disinformation.</t>
  </si>
  <si>
    <t>[Cipers, Samuel] Vrije Univ Brussel, Brussels Sch Governances, Ctr Digitalisat Democracy &amp; Innovat, Brussels, Belgium; [Cipers, Samuel] Univ Warwick, Dept Polit Sci, Coventry, England; [Meyer, Trisha] Vrije Univ Brussel, Digital Governance &amp; Participat, Brussels, Belgium; [Meyer, Trisha] United Nations Univ CRIS Bruges, Brugge, Belgium</t>
  </si>
  <si>
    <t>Vrije Universiteit Brussel; University of Warwick; Vrije Universiteit Brussel</t>
  </si>
  <si>
    <t>Cipers, S (corresponding author), Vrije Univ Brussel, Brussels Sch Governances, Ctr Digitalisat Democracy &amp; Innovat, Brussels, Belgium.;Cipers, S (corresponding author), Univ Warwick, Dept Polit Sci, Coventry, England.</t>
  </si>
  <si>
    <t>samuel.cipers@vub.be; trisha.meyer@vub.be</t>
  </si>
  <si>
    <t>Cipers, Samuel/JMP-7222-2023</t>
  </si>
  <si>
    <t>EDITIONS L HARMATTAN</t>
  </si>
  <si>
    <t>PARIS</t>
  </si>
  <si>
    <t>5-7 RUE L ECOLE POLYTECHNIQUE, PARIS, 75005, FRANCE</t>
  </si>
  <si>
    <t>1623-6297</t>
  </si>
  <si>
    <t>2105-2875</t>
  </si>
  <si>
    <t>POLIT EUROPEENE</t>
  </si>
  <si>
    <t>Polit. Europeene</t>
  </si>
  <si>
    <t>10.3917/poeu.081.0110</t>
  </si>
  <si>
    <t>MY9F1</t>
  </si>
  <si>
    <t>WOS:001197306600005</t>
  </si>
  <si>
    <t>Hung, K; Tse, DK; Chan, TH</t>
  </si>
  <si>
    <t>Hung, Kineta; Tse, David K.; Chan, Terri H.</t>
  </si>
  <si>
    <t>E-Commerce Influencers in China: Dual-Route Model on Likes, Shares, and Sales</t>
  </si>
  <si>
    <t>JOURNAL OF ADVERTISING</t>
  </si>
  <si>
    <t>ENGAGEMENT; IMPACT</t>
  </si>
  <si>
    <t>This study investigates behavioral routes deployed by e-commerce influencers in product promotion in China. By analyzing videos posted on Douyin (China's version of TikTok), it posits that the stature of the influencer and the reception of the content are the drivers of audience likes, shares, and sales. Further, how influencers strategically title their videos (product focus, engagement) and how the audience responds through live comments (positive identification, negative identification) are posited to moderate the effects of these two routes. The findings support some of the postulates and uncover unexpected results that provide directions for future research and useful managerial insights. In addition, the deployment of social listening is shown to be a useful research tool, and the dual-route model presents an overarching framework for future studies.</t>
  </si>
  <si>
    <t>[Hung, Kineta; Chan, Terri H.] Hong Kong Baptist Univ, Sch Commun, Dept Commun Studies, Hong Kong, Peoples R China; [Tse, David K.] Hong Kong Univ Sci &amp; Technol, Dept Mkt, Hong Kong, Peoples R China</t>
  </si>
  <si>
    <t>Hong Kong Baptist University; Hong Kong University of Science &amp; Technology</t>
  </si>
  <si>
    <t>Hung, K (corresponding author), Hong Kong Baptist Univ, Sch Commun, Dept Commun Studies, Kowloon Tong, Commun &amp; Visual Arts Bldg,5 Hereford Rd, Hong Kong, Peoples R China.</t>
  </si>
  <si>
    <t>kineta@hkbu.edu.hk</t>
  </si>
  <si>
    <t>Chan, Terri/GPS-6967-2022; Tse, David/A-4437-2010</t>
  </si>
  <si>
    <t>Chan, Hon Ying Terri/0000-0001-8079-9489</t>
  </si>
  <si>
    <t>General Research Fund (GRF) grant [17504017]</t>
  </si>
  <si>
    <t>General Research Fund (GRF) grant</t>
  </si>
  <si>
    <t>The authors acknowledge the financial support provided by a General Research Fund (GRF) grant (17504017).</t>
  </si>
  <si>
    <t>0091-3367</t>
  </si>
  <si>
    <t>1557-7805</t>
  </si>
  <si>
    <t>J ADVERTISING</t>
  </si>
  <si>
    <t>J. Advert.</t>
  </si>
  <si>
    <t>10.1080/00913367.2021.1990811</t>
  </si>
  <si>
    <t>3M5VO</t>
  </si>
  <si>
    <t>WOS:000719653700001</t>
  </si>
  <si>
    <t>Lachance, S</t>
  </si>
  <si>
    <t>Lachance, Sarah</t>
  </si>
  <si>
    <t>IT'S NOT WORK IF THEY'RE HAVING FUN...RIGHT? THE APPLICATION OF B.C.'S EMPLOYMENT STANDARDS ACT TO CHILD-INFLUENCERS</t>
  </si>
  <si>
    <t>APPEAL</t>
  </si>
  <si>
    <t>Influencers are becoming more entrenched in popular culture every year. However, it is not just adults participating in this lucrative career. Children are also earning a substantial income from posting influencer-content on social media platforms such as YouTube, Instagram, and TikTok. However, even though child-influencers are performing similar work, it is unlikely that the legal protections provided to child actors and performers apply to these kidfluencers. This article examines British Columbia's employment standards legislation and whether its provisions apply to children earning money on social media. Based on this analysis, the article concludes that the statute's application to child-influencers is unclear and inadequate and contends that more needs to be done to regulate this ballooning area ripe for child-exploitation.</t>
  </si>
  <si>
    <t>APPEAL PUBL SOC</t>
  </si>
  <si>
    <t>VICTORIA</t>
  </si>
  <si>
    <t>PO BOX 2400, VICTORIA, BC V8W 3H7, CANADA</t>
  </si>
  <si>
    <t>1205-612X</t>
  </si>
  <si>
    <t>1925-4938</t>
  </si>
  <si>
    <t>Appeal</t>
  </si>
  <si>
    <t>OP4K1</t>
  </si>
  <si>
    <t>WOS:001208464400004</t>
  </si>
  <si>
    <t>Ai, Q; Song, YC</t>
  </si>
  <si>
    <t>Ai, Qi; Song, Yuchen</t>
  </si>
  <si>
    <t>Queers uploaders on Douyin: traffic chasing, identity expression, and media regulation</t>
  </si>
  <si>
    <t>Queer uploaders; traffic chasing; identity expression; media regulation; social media and China</t>
  </si>
  <si>
    <t>Queer issues are in an undefined position in China and given this status quo, censorship tends in practice to be characterised by ambiguity. Flexible approaches to identity expressions exist on media platforms such as Douyin, the Chinese version of TikTok. This context of ambiguous regulation enables queer Douyin uploaders in general to achieve their identity expression in a delicate balance with censorship. More noticeably, Douyin is a traffic-oriented running platform and for queer uploaders, this commercial attribute complicates the already complex negotiations between identity expression and media regulation. This article is an analysis report that pictures this complexity. It is based on online fieldwork conducted by the corresponding author in 2022, in which the corresponding author observed thirty queer uploaders' daily practices on Douyin and further interviewed three of them to learn their particular behaviours in these complex negotiations.</t>
  </si>
  <si>
    <t>[Ai, Qi] Shandong Univ, Sch Journalism &amp; Commun, Jinan, Shandong, Peoples R China; [Song, Yuchen] Monash Univ, Fac Arts, Sch Media Film &amp; Journalism, Melbourne, Vic, Australia</t>
  </si>
  <si>
    <t>Shandong University; Monash University</t>
  </si>
  <si>
    <t>Song, YC (corresponding author), Monash Univ, Fac Arts, Sch Media Film &amp; Journalism, Melbourne, Vic, Australia.</t>
  </si>
  <si>
    <t>yuchensong99@outlook.com</t>
  </si>
  <si>
    <t>Ai, Qi/IXW-8078-2023</t>
  </si>
  <si>
    <t>Song, Yuchen/0000-0002-6159-3546; Ai, Qi/0000-0002-8867-7862</t>
  </si>
  <si>
    <t>2024 APR 20</t>
  </si>
  <si>
    <t>10.1080/14680777.2024.2344101</t>
  </si>
  <si>
    <t>OD7R3</t>
  </si>
  <si>
    <t>WOS:001205391700001</t>
  </si>
  <si>
    <t>Tan, EY; Tan, ZP; Khaw, JH; Mohamed, R; Okonkwo, A; Petrushkin, H; Gore, D; Mohamed, R</t>
  </si>
  <si>
    <t>Tan, Emanuel Y.; Tan, Zeping; Khaw, Jin Han; Mohamed, Ryian; Okonkwo, Arthur; Petrushkin, Harry; Gore, Daniel; Mohamed, Rami</t>
  </si>
  <si>
    <t>Keeping Patients Safe Online: A Study of Refractive Surgery Advertisements on Social</t>
  </si>
  <si>
    <t>refractive errors; use of social media in ophthalmology; marketing on social media; ethical social mediause; refractive eye surger; refractive eye surgery</t>
  </si>
  <si>
    <t>distributed under the terms of the Creative Commons Attribution License CC-BY 4.0., which permits unrestricted use, distribution, and reproduction in any medium, provided the original author and source are credited. DOI: 10.7759/cureus.68643 1. Orthopedics, Tan Tock Seng Hospital, Singapore, Life Sciences and Medicine, King's College London, GBR 5. Ophthalmology, Moorfields Eye Hospital, Corresponding author: Rami Mohamed, rami.mohamed3@nhs.net Abstract Introduction Refractive error is the leading cause of visual exposed to information about refractive surgery guidelines specify how refractive surgery should extent these standards are adhered to in the emerging refractive surgery advertisements on social media Method We retrospectively analyzed the content of refractive TikTok, shown in the United Kingdom (UK) guidelines set out by The Royal College of Ophthalmologists</t>
  </si>
  <si>
    <t>[Tan, Emanuel Y.] Tan Tock Seng Hosp, Orthoped, Singapore, Singapore; [Tan, Zeping] Northwick Pk Hosp &amp; Clin Res Ctr, ENT, London, England; [Khaw, Jin Han; Mohamed, Rami] Kings Coll London, Fac Life Sci &amp; Med, London, England; [Mohamed, Ryian] Western Eye Hosp, Ophthalmol, London, England; [Okonkwo, Arthur; Petrushkin, Harry; Gore, Daniel] Moorfields Eye Hosp, Ophthalmol, London, England</t>
  </si>
  <si>
    <t>Tan Tock Seng Hospital; Imperial College London; University of London; King's College London; University of London; University College London; Moorfields Eye Hospital NHS Foundation Trust</t>
  </si>
  <si>
    <t>Mohamed, R (corresponding author), Kings Coll London, Fac Life Sci &amp; Med, London, England.</t>
  </si>
  <si>
    <t>rami.mohamed3@nhs.net</t>
  </si>
  <si>
    <t>Mohamed, Ryian/L-9132-2019</t>
  </si>
  <si>
    <t>e68643</t>
  </si>
  <si>
    <t>10.7759/cureus.68643</t>
  </si>
  <si>
    <t>F4Z8Z</t>
  </si>
  <si>
    <t>WOS:001309925800009</t>
  </si>
  <si>
    <t>Kong, GC; Laestadius, L; Vassey, J; Majmundar, A; Stroup, AM; Meissner, H; Ben Taleb, Z; Cruz, TB; Emery, SL; Romer, D</t>
  </si>
  <si>
    <t>Kong, Grace; Laestadius, Linnea; Vassey, Julia; Majmundar, Anuja; Stroup, Andrea M.; Meissner, Helen, I; Ben Taleb, Ziyad; Cruz, Tess Boley; Emery, Sherry L.; Romer, Dan</t>
  </si>
  <si>
    <t>Tobacco promotion restriction policies on social media</t>
  </si>
  <si>
    <t>Media; Social marketing; Public policy</t>
  </si>
  <si>
    <t>Tobacco promotion is prolific on social media, with each platform setting their own restrictions on tobacco promotion and sales. We evaluated the policies related to tobacco product promotion and sales on 11 sites that are popular with youth in May 2021: Discord, Facebook, Instagram, Pinterest, Reddit, Snapchat, TikTok, Tumblr, Twitch, Twitter and YouTube. Nine of the 11 sites prohibited paid advertising for tobacco products. However, only three of them clearly prohibited sponsored content (ie, social influencers) that promotes tobacco. Six platforms restricted content that sells tobacco products and three tried to prohibit underage access to content that promotes or sells tobacco products. Although most platform policies prohibited paid tobacco advertising, few addressed more novel strategies, such as sponsored/influencer content and few had age-gating to prevent youth access. There is a pressing need to regulate tobacco promotion on social media platforms.</t>
  </si>
  <si>
    <t>[Kong, Grace] Yale Sch Med, Dept Psychiat, New Haven, CT 06511 USA; [Laestadius, Linnea] Univ Wisconsin, Zilber Sch Publ Hlth, Milwaukee, WI USA; [Vassey, Julia; Cruz, Tess Boley] Univ Southern Calif, Dept Populat &amp; Publ Hlth Sci, Los Angeles, CA USA; [Majmundar, Anuja] Amer Canc Soc Inc, Tobacco Control Res, Atlanta, GA USA; [Stroup, Andrea M.] Westat Corp, Rockville, MD USA; [Meissner, Helen, I] NIH, Off Dis Prevent, Bethesda, MD USA; [Ben Taleb, Ziyad] Univ Texas Arlington, Coll Nursing &amp; Hlth Innovat, Dept Kinesiol, Arlington, TX USA; [Emery, Sherry L.] Univ Chicago, NORC, Social Data Collaboratory, Chicago, IL USA; [Romer, Dan] Univ Penn, Annenberg Publ Policy Ctr, Philadelphia, PA USA</t>
  </si>
  <si>
    <t>Yale University; University of Wisconsin System; University of Wisconsin Milwaukee; University of Southern California; American Cancer Society; Westat; National Institutes of Health (NIH) - USA; University of Texas System; University of Texas Arlington; University of Chicago; University of Pennsylvania</t>
  </si>
  <si>
    <t>Kong, GC (corresponding author), Yale Sch Med, Dept Psychiat, New Haven, CT 06511 USA.</t>
  </si>
  <si>
    <t>grace.kong@yale.edu</t>
  </si>
  <si>
    <t>Majmundar, Anuja/AAK-6769-2021; Laestadius, Linnea/AAC-1911-2019</t>
  </si>
  <si>
    <t>Vassey, Julia/0000-0003-3002-2000; Ben Taleb, Ziyad/0000-0001-6894-5535; Kong, Grace/0000-0002-9269-3435; Stroup, Andrea M./0000-0003-2895-460X; Cruz, Tess Boley/0000-0002-5894-1802</t>
  </si>
  <si>
    <t>Center for Coordination of Analytics, Science, Enhancement and Logistics (CASEL) in Tobacco Regulatory Science [U54DA046060- 01]; NIDA; FDA CTP [U54DA036151, R01DA049878, R01DA051000, P50CA180905]; NCI</t>
  </si>
  <si>
    <t>Center for Coordination of Analytics, Science, Enhancement and Logistics (CASEL) in Tobacco Regulatory Science; NIDA(United States Department of Health &amp; Human ServicesNational Institutes of Health (NIH) - USANIH National Institute on Drug Abuse (NIDA)); FDA CTP; NCI(United States Department of Health &amp; Human ServicesNational Institutes of Health (NIH) - USANIH National Cancer Institute (NCI))</t>
  </si>
  <si>
    <t>This study is a cross- institution collaborative project from the Marketing Influences Special Interest Group (SIG) supported, in part, by the Center for Coordination of Analytics, Science, Enhancement and Logistics (CASEL) in Tobacco Regulatory Science U54DA046060- 01 (National Institute of Drug Abuse (NIDA) and the Food and Drug Administration's Center for Tobacco Products (FDA CTP). Support for authors was also provided by NIDA and FDA CTP awards U54DA036151 (Kong), R01DA049878 (Kong), R01DA051000 (Emery), and U54DA046060- 01 (Stroup) as well as NCI and FDA CTP award P50CA180905 (Cruz and Vassey).</t>
  </si>
  <si>
    <t>10.1136/tc-2022-057348</t>
  </si>
  <si>
    <t>OV0O2</t>
  </si>
  <si>
    <t>WOS:000881774900001</t>
  </si>
  <si>
    <t>Pozos, RK</t>
  </si>
  <si>
    <t>Pozos, Rose K.</t>
  </si>
  <si>
    <t>Consulting the CDC and TikTok: asynchronous modes of joint media engagement for COVID-19 learning in families</t>
  </si>
  <si>
    <t>Joint media engagement; COVID-19; families; learning ecologies; digital media</t>
  </si>
  <si>
    <t>Media resources are a central component of families' learning ecologies in the U.S. At the start of the Covid-19 pandemic, the information ecosystem was flooded with content about the SARS-CoV-2 virus and personal protection measures. However, much of the coverage came through channels for adult audiences, and the 'infodemic' added to the difficulty of interpreting information from media sources. This article presents an analysis of the media learning ecologies of 109 families of 5-11-year-old children in the United States and describes how asynchronous modes of joint media engagement facilitated learning about Covid-19 during the early months of the pandemic. Findings call for a broader conceptualization of joint media engagement for learning in technologically saturated families.</t>
  </si>
  <si>
    <t>[Pozos, Rose K.] Stanford Univ, Stanford, CA USA; [Pozos, Rose K.] Stanford Univ, Grad Sch Educ, 485 Lasuen Mall, Stanford, CA 94305 USA</t>
  </si>
  <si>
    <t>Pozos, RK (corresponding author), Stanford Univ, Grad Sch Educ, 485 Lasuen Mall, Stanford, CA 94305 USA.</t>
  </si>
  <si>
    <t>rkpozos@alumni.stanford.edu</t>
  </si>
  <si>
    <t>Pozos, Rose/0000-0002-3403-1003</t>
  </si>
  <si>
    <t>National Science Foundation under RAPID</t>
  </si>
  <si>
    <t>This material is based upon work supported by the National Science Foundation under RAPID [grant number: REC-2028082].</t>
  </si>
  <si>
    <t>2023 JUL 13</t>
  </si>
  <si>
    <t>10.1080/17439884.2023.2235279</t>
  </si>
  <si>
    <t>L6WO4</t>
  </si>
  <si>
    <t>WOS:001024646300001</t>
  </si>
  <si>
    <t>Bertran, FA; Kim, S; Chang, M; Dagan, E; Duval, J; Isbister, K; Vidal, LTT</t>
  </si>
  <si>
    <t>Bertran, Ferran Altarriba; Kim, Soomin; Chang, Minsuk; Dagan, Ella; Duval, Jared; Isbister, Katherine; Vidal, Laia Turmo Turmo</t>
  </si>
  <si>
    <t>Social Media as a Design and Research Site in HCI: Mapping Out Opportunities and Envisioning Future Uses</t>
  </si>
  <si>
    <t>EXTENDED ABSTRACTS OF THE 2021 CHI CONFERENCE ON HUMAN FACTORS IN COMPUTING SYSTEMS (CHI'21)</t>
  </si>
  <si>
    <t>Social media; design; research; methods; Facebook; Instagram; Snapchat; TikTok; Pinterest; Twitter; YouTube</t>
  </si>
  <si>
    <t>In this workshop, we will explore the emergent methodological space of social media based HCI design and research. We will gather scholars and practitioners from different areas within HCI to discuss how social media platforms might support their practice. Through short presentations, open discussions, and design-led activities, we will examine the affordances of existing social media platforms and speculate future developments in this methodological space. The outcome of the workshop will be an interactive data visualization of existing social media platforms, their main characteristics, and their affordances for HCI design and research. Overall, we will begin to characterize the methodological space of social media based HCI design and research, setting the foundation for future developments in this space.</t>
  </si>
  <si>
    <t>[Bertran, Ferran Altarriba; Dagan, Ella; Duval, Jared; Isbister, Katherine] Univ Calif Santa Cruz, Social Emot Technol Lab, Santa Cruz, CA 95064 USA; [Kim, Soomin] Seoul Natl Univ, Dept Commun, Seoul, South Korea; [Chang, Minsuk] Korea Adv Inst Sci &amp; Technol, Sch Comp, Naver AI Lab, Seoul, South Korea; [Vidal, Laia Turmo Turmo] Uppsala Univ, Dept Informat &amp; Media, Uppsala, Sweden</t>
  </si>
  <si>
    <t>University of California System; University of California Santa Cruz; Seoul National University (SNU); Korea Advanced Institute of Science &amp; Technology (KAIST); Naver; Uppsala University</t>
  </si>
  <si>
    <t>Bertran, FA (corresponding author), Univ Calif Santa Cruz, Social Emot Technol Lab, Santa Cruz, CA 95064 USA.</t>
  </si>
  <si>
    <t>Altarriba Bertran, Ferran/AEM-0267-2022; Kim, Soomin/ABD-4898-2021; Duval, Jared/AAW-6739-2020; Turmo Vidal, Laia/GSN-1517-2022; Turmo Vidal, Laia/P-8874-2018</t>
  </si>
  <si>
    <t>Soomin, Kim/0000-0003-2523-7808; Duval, Jared/0000-0002-5125-0566; Altarriba Bertran, Ferran/0000-0002-3692-3777; Turmo Vidal, Laia/0000-0002-1769-0138</t>
  </si>
  <si>
    <t>978-1-4503-8095-9</t>
  </si>
  <si>
    <t>10.1145/3411763.3441311</t>
  </si>
  <si>
    <t>BS7DM</t>
  </si>
  <si>
    <t>WOS:000759178500003</t>
  </si>
  <si>
    <t>Rogers, R; Giorgi, G</t>
  </si>
  <si>
    <t>Rogers, Richard; Giorgi, Giulia</t>
  </si>
  <si>
    <t>What is a meme, technically speaking?</t>
  </si>
  <si>
    <t>Meme; internet meme; technicity of content; software studies; technical content collection</t>
  </si>
  <si>
    <t>SOCIAL MEDIA; WORLD</t>
  </si>
  <si>
    <t>This contribution seeks to demonstrate how studying memes as a collection depends on the website or platform where they are sourced. To do so, we compare how memes, specifically internet memes, are conceived in the well - known meme repository (Know Your Meme) with those from a meme host and generator (Imgur), an imageboard (4chan), a short-form video hosting site (TikTok) as well as a marketing data dashboard (CrowdTangle). Building on insights from software studies and our observational analysis, we demonstrate how each site constructs and arranges meme collections in a distinctive manner, thus affecting the conceptualisation of memes by each of these sites. In all, the piece develops the concept of the meme as a technical collection of content, discussing how each collection's distinctiveness has implications for meme research.</t>
  </si>
  <si>
    <t>[Rogers, Richard] Univ Amsterdam, Media Studies, Amsterdam, Netherlands; [Giorgi, Giulia] Univ Milan, Dept Social &amp; Polit Sci, Milan, Italy; [Rogers, Richard] Univ Amsterdam, Media Studies, Turfdraagsterpad 9, NL-1012 XT Amsterdam, Netherlands</t>
  </si>
  <si>
    <t>University of Amsterdam; University of Milan; University of Amsterdam</t>
  </si>
  <si>
    <t>Rogers, R (corresponding author), Univ Amsterdam, Media Studies, Turfdraagsterpad 9, NL-1012 XT Amsterdam, Netherlands.</t>
  </si>
  <si>
    <t>Giorgi, Giulia/LCE-0348-2024</t>
  </si>
  <si>
    <t>Giorgi, Giulia/0000-0001-8198-7449</t>
  </si>
  <si>
    <t>H2020 Excellent Science [871042]</t>
  </si>
  <si>
    <t>H2020 Excellent Science</t>
  </si>
  <si>
    <t>This work was supported by H2020 Excellent Science: [Grant Number 871042].</t>
  </si>
  <si>
    <t>10.1080/1369118X.2023.2174790</t>
  </si>
  <si>
    <t>GC3S2</t>
  </si>
  <si>
    <t>WOS:000932256800001</t>
  </si>
  <si>
    <t>Goldschmitt, KE</t>
  </si>
  <si>
    <t>Goldschmitt, K. E.</t>
  </si>
  <si>
    <t>Anitta's 'Girl from Rio', Digital Fatigue, and Stereotype</t>
  </si>
  <si>
    <t>TWENTIETH-CENTURY MUSIC</t>
  </si>
  <si>
    <t>DANCE</t>
  </si>
  <si>
    <t>In May 2021, Brazilian pop-funk superstar Anitta released 'Girl from Rio'. The song was based on the melodic foundation of the bossa nova song 'The Girl from Ipanema' that became a huge international hit at the end of the 1960s bossa nova craze. 'Girl from Rio' features trap beats on top of the familiar melody with a clear lyrical message that critiques international stereotypes of women from Brazil. When Anitta attempted to capture the US market through TikTok and a high-profile remix, much of her critique disappeared. This article employs the concept of 'digital fatigue' to explore how viral musical content loses crucial aspects of its meaning through circulation and endless embodied repetition. By focusing on how the repetition of viral musical media perpetuates stereotypes, it shows how the environment for transnational success requires easy associations to spread.</t>
  </si>
  <si>
    <t>kgoldsch@wellesley.edu</t>
  </si>
  <si>
    <t>Goldschmitt, K. E./0000-0003-0577-9052</t>
  </si>
  <si>
    <t>1478-5722</t>
  </si>
  <si>
    <t>1478-5730</t>
  </si>
  <si>
    <t>TWENT-CENTURY MUSIC</t>
  </si>
  <si>
    <t>Twent.-Century Music</t>
  </si>
  <si>
    <t>PII S1478572222000317</t>
  </si>
  <si>
    <t>10.1017/S1478572222000317</t>
  </si>
  <si>
    <t>6Q2LO</t>
  </si>
  <si>
    <t>WOS:000891448600010</t>
  </si>
  <si>
    <t>Liang, LS</t>
  </si>
  <si>
    <t>Liang, Lisi</t>
  </si>
  <si>
    <t>Illuminating humanist nature in teaching translation and interpreting studies: Devising an online customisable AI-driven subtitling course</t>
  </si>
  <si>
    <t>The paper sets out to devise an online subtitling course emphasising the human nature of translation. To gain a deeper understanding of audience behaviours and attitudes towards the consumption of subtitles, the article utilises questionnaires and case studies. Results are used to devise a learner-customised and technology-assisted online course about subtitling. The case studies that inspire the course content and design include the short-video platform Douyin (the Chinese equivalent of TikTok) and the comparison of two MOOCs, Working with Translation: Theories and Practice and Consecutive Interpreting. In summary, the course design for teaching subtitling will be based on the findings of the research questions and elastically adapted to the syllabus. We put forward our course with an emphasis on the practicality of producing subtitles in light of the technological acceleration in the marketplace and, more importantly, the humanistic nature of translation.</t>
  </si>
  <si>
    <t>[Liang, Lisi] Sun Yat Sen Univ, Guangzhou, Peoples R China</t>
  </si>
  <si>
    <t>Sun Yat Sen University</t>
  </si>
  <si>
    <t>Liang, LS (corresponding author), Sun Yat Sen Univ, Guangzhou, Peoples R China.</t>
  </si>
  <si>
    <t>Liangls6@mail.sysu.edu.cn</t>
  </si>
  <si>
    <t>Liang, Lisi/0000-0002-1705-7500</t>
  </si>
  <si>
    <t>Center for Translation Studies from Guangdong University of Foreign Studies [CTS202109]; Fundamental Research Funds for the Central University, Sun Yat-Sen University [22qntd5301]; Guangzhou Philosophy and Social Science Development Fourteenth Five-Year Plan 2022 Funded Projects [2022GZGJ217]</t>
  </si>
  <si>
    <t>Center for Translation Studies from Guangdong University of Foreign Studies; Fundamental Research Funds for the Central University, Sun Yat-Sen University; Guangzhou Philosophy and Social Science Development Fourteenth Five-Year Plan 2022 Funded Projects</t>
  </si>
  <si>
    <t>The author disclosed receipt of the following financial support for the research. This research was supported by the project funded by the Center for Translation Studies from Guangdong University of Foreign Studies (grant number CTS202109) the Fundamental Research Funds for the Central University, Sun Yat-Sen University (grant number 22qntd5301) and Guangzhou Philosophy and Social Science Development Fourteenth Five-Year Plan 2022 Funded Projects (grant number 2022GZGJ217). Special gratitude goes to Dr. Hua Xiao (Guangzhou Maritime University) for his inspiration for the initial project and precious discussions. Thanks also to Professor Lijun Guo (Sun Yat-Sen University) for her important feedback and valuable advice for future research.</t>
  </si>
  <si>
    <t>OCT 17</t>
  </si>
  <si>
    <t>10.1057/s41599-022-01397-w</t>
  </si>
  <si>
    <t>5J7UN</t>
  </si>
  <si>
    <t>WOS:000869244500001</t>
  </si>
  <si>
    <t>Costello, N; Sutton, R; Jones, M; Almassian, M; Raffoul, A; Ojumu, O; Salvia, M; Santoso, M; Kavanaugh, JR; Austin, SB</t>
  </si>
  <si>
    <t>Costello, Nancy; Sutton, Rebecca; Jones, Madeline; Almassian, Mackenzie; Raffoul, Amanda; Ojumu, Oluwadunni; Salvia, Meg; Santoso, Monique; Kavanaugh, Jill R.; Austin, S. Bryn</t>
  </si>
  <si>
    <t>ALGORITHMS, ADDICTION, AND ADOLESCENT MENTAL HEALTH: An Interdisciplinary Study to Inform State-level Policy Action to Protect Youth from the Dangers of Social Media</t>
  </si>
  <si>
    <t>AMERICAN JOURNAL OF LAW &amp; MEDICINE</t>
  </si>
  <si>
    <t>social media; algorithms; mental health; consumer advocacy; freedom of speech; legislation as topic; child; adolescent</t>
  </si>
  <si>
    <t>A recent Wall Street Journal investigation revealed that TikTok floods child and adolescent users with videos of rapid weight loss methods, including tips on how to consume less than 300 calories a day and promoting a corpse bride diet, showing emaciated girls with protruding bones. The investigation involved the creation of a dozen automated accounts registered as 13-year-olds and revealed that TikTok algorithms fed adolescents tens of thousands of weight-loss videos within just a few weeks of joining the platform. Emerging research indicates that these practices extend well beyond TikTok to other social media platforms that engage millions of U.S. youth on a daily basis. Social media algorithms that push extreme content to vulnerable youth are linked to an increase in mental health problems for adolescents, including poor body image, eating disorders, and suicidality. Policy measures must be taken to curb this harmful practice. The Strategic Training Initiative for the Prevention of Eating Disorders (STRIPED), a research program based at the Harvard T.H. Chan School of Public Health and Boston Children's Hospital, has assembled a diverse team of scholars, including experts in public health, neuroscience, health economics, and law with specialization in First Amendment law, to study the harmful effects of social media algorithms, identify the economic incentives that drive social media companies to use them, and develop strategies that can be pursued to regulate social media platforms' use of algorithms. For our study, we have examined a critical mass of public health and neuroscience research demonstrating mental health harms to youth. We have conducted a groundbreaking economic study showing nearly $11 billion in advertising revenue is generated annually by social media platforms through advertisements targeted at users 0 to 17 years old, thus incentivizing platforms to continue their harmful practices. We have also examined legal strategies to address the regulation of social media platforms by conducting reviews of federal and state legal precedent and consulting with stakeholders in business regulation, technology, and federal and state government. While nationally the issue is being scrutinized by Congress and the Federal Trade Commission, quicker and more effective legal strategies that would survive constitutional scrutiny may be implemented by states, such as the Age Appropriate Design Code Act recently adopted in California, which sets standards that online services likely to be accessed by children must follow. Another avenue for regulation may be through states mandating that social media platforms submit to algorithm risk audits conducted by independent third parties and publicly disclose the results. Furthermore, Section 230 of the federal Communications Decency Act, which has long shielded social media platforms from liability for wrongful acts, may be circumvented if it is proven that social media companies share advertising revenues with content providers posting illegal or harmful content. Our research team's public health and economic findings combined with our legal analysis and resulting recommendations, provide innovative and viable policy actions that state lawmakers and attorneys general can take to protect youth from the harms of dangerous social media algorithms.</t>
  </si>
  <si>
    <t>[Costello, Nancy; Sutton, Rebecca; Jones, Madeline; Almassian, Mackenzie] Michigan State Univ, E Lansing, MI 48824 USA; [Raffoul, Amanda] Harvard Med Sch, Cambridge, MA USA; [Ojumu, Oluwadunni] Harvard Univ, Cambridge, MA USA; [Salvia, Meg; Kavanaugh, Jill R.; Austin, S. Bryn] Harvard TH Chan Sch Publ Hlth, Cambridge, MA USA; [Santoso, Monique] Stanford Univ, Stanford, CA USA</t>
  </si>
  <si>
    <t>Michigan State University; Harvard University; Harvard University; Harvard T.H. Chan School of Public Health; Stanford University</t>
  </si>
  <si>
    <t>Costello, N (corresponding author), Michigan State Univ, E Lansing, MI 48824 USA.</t>
  </si>
  <si>
    <t>costel29@msu.edu</t>
  </si>
  <si>
    <t>Becca Schmill Foundation; Strategic Training Initiative for the Prevention of Eating Disorders; Canadian Institutes of Health Research Institute of Population and Public Health [MFE-171217]; US Maternal and Child Health Bureau training [T76-MC00001]</t>
  </si>
  <si>
    <t>Becca Schmill Foundation; Strategic Training Initiative for the Prevention of Eating Disorders; Canadian Institutes of Health Research Institute of Population and Public Health(Canadian Institutes of Health Research (CIHR)); US Maternal and Child Health Bureau training</t>
  </si>
  <si>
    <t>This study was supported by the Becca Schmill Foundation and the Strategic Training Initiative for the Prevention of Eating Disorders. A Raffoul is supported by the Canadian Institutes of Health Research Institute of Population and Public Health grant MFE-171217. SB Austin is supported by the US Maternal and Child Health Bureau training grant T76-MC00001.The funders were not involved in the conduct of the study. The authors do not have financial conflicts of interest with this study.</t>
  </si>
  <si>
    <t>0098-8588</t>
  </si>
  <si>
    <t>2375-835X</t>
  </si>
  <si>
    <t>AM J LAW MED</t>
  </si>
  <si>
    <t>Am. J. Law Med.</t>
  </si>
  <si>
    <t>2-3</t>
  </si>
  <si>
    <t>10.1017/amj.2023.25</t>
  </si>
  <si>
    <t>HQ4B4</t>
  </si>
  <si>
    <t>WOS:001160948700005</t>
  </si>
  <si>
    <t>Jennings, NA; Caplovitz, AG</t>
  </si>
  <si>
    <t>Jennings, Nancy A.; Caplovitz, Allison G.</t>
  </si>
  <si>
    <t>Parenting and Tweens' Media Use During the COVID-19 Pandemic</t>
  </si>
  <si>
    <t>PSYCHOLOGY OF POPULAR MEDIA</t>
  </si>
  <si>
    <t>tweens; social media; media use; gender; COVID-19</t>
  </si>
  <si>
    <t>Family life was greatly affected by the COVID-19 pandemic, as members adjusted to living, working, and learning at home. Media and technology became a central tool to manage these activities simultaneously for different family members. This survey of 608 parents of 9- to 13-year-olds examines youth media use in this narrowly defined age group and also examines factors such as gender and parental worry about the pandemic. The vast majority of parents (83.7%) reported that their children were using media more during the COVID-19 pandemic than before. As with more use, parents reported varying purchases of media devices for the household, mobile devices for their children, and account creation in social media platforms for their children. Of the social media platforms available, parents most frequently allowed their tweens to create an account on TikTok (25%), followed by Facebook Messenger (23%) and Instagram (17%). On comparing girls and boys, it was found that significantly more girls than boys created TikTok accounts, whereas significantly more boys than girls created Instagram, Discord, and Twitter accounts. Established patterns of media use by gender before the pandemic were maintained. Boys continued to play video games, and girls watched videos. Because older tweens were more likely to already have social media accounts, we observed an influx of younger users on social media. In addition, parents who were more worried about the pandemic indicated their tween used media more overall and spent more time on a laptop or desktop computer than before the COVID-19 pandemic. Public Policy Relevance Statement During the COVID-19 pandemic, parents of tweens (9- to 13-years-olds) reported increased use of screen time for their children, creation of social media accounts for younger tweens, and purchases of new devices, even in media-saturated homes. Moreover, preexisting patterns of media use by gender continued. Parental worry about the pandemic was also related to overall media use for their children and their child's computer use more specifically.</t>
  </si>
  <si>
    <t>[Jennings, Nancy A.] Univ Cincinnati, Dept Commun, 2900 Campus Way,ML 0184, Cincinnati, OH 45221 USA; [Caplovitz, Allison G.] Technol &amp; Educ Consulting Associates, Austin, TX USA</t>
  </si>
  <si>
    <t>University System of Ohio; University of Cincinnati</t>
  </si>
  <si>
    <t>Jennings, NA (corresponding author), Univ Cincinnati, Dept Commun, 2900 Campus Way,ML 0184, Cincinnati, OH 45221 USA.</t>
  </si>
  <si>
    <t>nancy.jennings@uc.edu</t>
  </si>
  <si>
    <t>Jennings, Nancy/0000-0003-0796-0525</t>
  </si>
  <si>
    <t>Charles Phelps Taft Research Center at the University of Cincinnati</t>
  </si>
  <si>
    <t>This work was supported by the Charles Phelps Taft Research Center at the University of Cincinnati.</t>
  </si>
  <si>
    <t>2689-6567</t>
  </si>
  <si>
    <t>2689-6575</t>
  </si>
  <si>
    <t>PSYCHOL POP MEDIA</t>
  </si>
  <si>
    <t>Psychol. Pop. Media</t>
  </si>
  <si>
    <t>10.1037/ppm0000376</t>
  </si>
  <si>
    <t>2V6YC</t>
  </si>
  <si>
    <t>WOS:000733218900001</t>
  </si>
  <si>
    <t>Scifo, L; Di Maggio, U</t>
  </si>
  <si>
    <t>Dima, AM</t>
  </si>
  <si>
    <t>Scifo, Lidia; Di Maggio, Umberto</t>
  </si>
  <si>
    <t>Media Literacy Education and Digital Transformation. New Challenges for Civic Universities</t>
  </si>
  <si>
    <t>RESILIENCE AND ECONOMIC INTELLIGENCE THROUGH DIGITALIZATION AND BIG DATA ANALYTICS</t>
  </si>
  <si>
    <t>International Conference on Economics and Social Sciences</t>
  </si>
  <si>
    <t>4th International Conference on Economics and Social Sciences</t>
  </si>
  <si>
    <t>JUN 10-11, 2021</t>
  </si>
  <si>
    <t>Bucharest Univ Econ Studies, ELECTR NETWORK</t>
  </si>
  <si>
    <t>Bucharest Univ Econ Studies</t>
  </si>
  <si>
    <t>Social Media; Peace; Hate speech; Media Literacy; Media Literacy Education; Civic University</t>
  </si>
  <si>
    <t>It is necessary to increase media literacy education to minimize prejudice, violence, languages of hate and religious intolerance and to promote social justice and respect for human rights. Universities' role, in this sense, such as the schools' one, is manifold also in promoting peace and spreading peaceful development because all educational institutions have the task of educating to reflexivity, encouraging responsible citizenship and not merely of transmitting knowledge. We propose to investigate, as researchers involved in the academic RUniPace Italian network, support by contrast to the hate speech in the university social media and the consequent civic protagonism of the universities in their students' education. In particular, universities are promoting a specific language, and a consequent behaviour oriented towards respect for human rights and social justice. MLE, supports and educates the recognition, awareness and avoidance of potentially harmful content spreading online, hate speech inciting violence. At the same time, MLE promotes justice, peaceful and inclusive societies and provides access to justice for all, and builds effective, accountable and inclusive institutions at all levels. It is important to promote peace through digital technologies, especially social media, which are a privileged tool of choice, especially for teenagers and young adults. We conducted a teaching research laboratory. Our students explored Facebook, TikTok and Instagram and specifically unofficial groups that have many college students as users. In the second phase we conducted a qualitative analysis of the content found (60 items) in university groups, pages, and profiles by collecting news, posts, photos, and comments contained on social media. The last phase was intended to encourage students' awareness of productive social media use and content. Hateful content, violent language, controversy and resentment prevail on unofficial Facebook, Instagram and TikTok university pages, profiles and groups. Students rarely post peace content. The spread and use of violent language also have consequences in non-digital relationships. There is a need for education to produce and understand digital contents, especially on social</t>
  </si>
  <si>
    <t>[Scifo, Lidia; Di Maggio, Umberto] LUMSA Univ, Palermo, Italy</t>
  </si>
  <si>
    <t>Universita LUMSA</t>
  </si>
  <si>
    <t>Scifo, L (corresponding author), LUMSA Univ, Palermo, Italy.</t>
  </si>
  <si>
    <t>l.scifo@lumsa.it; u.dimaggio@lumsa.it</t>
  </si>
  <si>
    <t>BOGUMILA ZUGA 32a STR, WARSAW, WARSAW, POLAND</t>
  </si>
  <si>
    <t>2704-6524</t>
  </si>
  <si>
    <t>978-83-66675-70-4</t>
  </si>
  <si>
    <t>I CONF ECON S SC</t>
  </si>
  <si>
    <t>10.2478/9788366675704-018</t>
  </si>
  <si>
    <t>Business; Business, Finance; Development Studies; Economics</t>
  </si>
  <si>
    <t>Business &amp; Economics; Development Studies</t>
  </si>
  <si>
    <t>BS7QK</t>
  </si>
  <si>
    <t>WOS:000766030100017</t>
  </si>
  <si>
    <t>Alatorre, S; Schwarz, AG; Egan, KA; Feldman, AR; Rosa, M; Wang, ML</t>
  </si>
  <si>
    <t>Alatorre, Selenne; Schwarz, Aviva G.; Egan, Kelsey A.; Feldman, Amanda R.; Rosa, Marielis; Wang, Monica L.</t>
  </si>
  <si>
    <t>Exploring Social Media Preferences for Healthy Weight Management Interventions Among Adolescents of Color: Mixed Methods Study</t>
  </si>
  <si>
    <t>social media; adolescents of color; obesity disparities; disparity; disparities; healthy weight management; health education; child health; mHealth; mobile health; weight; obese; obesity; child; pediatric; adolescent; adolescence; preference; health behavior; mobile phone</t>
  </si>
  <si>
    <t>DIGITAL HEALTH; OBESITY; OVERWEIGHT; ADULTHOOD</t>
  </si>
  <si>
    <t>Background: Social media holds promise as an intervention platform to engage youths in healthy weight management and target racial inequities in obesity.Objective: This mixed methods study aimed to examine social media habits, preferences, and obesity-related behaviors (eg, diet and physical activity) among adolescents of color and understand preferences for healthy weight management interventions delivered via social media.Methods: This mixed methods study is comprised of a cross-sectional web-based survey and a series of digital focus groups. Study participants (English-speaking youths of color ages 14-18 years) were recruited from high schools and youth-based community settings in Massachusetts and California. For surveys, participants were invited to complete an anonymous web-based survey assessing self-reported sociodemographics, social media habits and preferences, health behaviors (diet, physical activity, sleep, and screen time), and height and weight. For focus groups, participants were invited to participate in 45-to 60-minute web-based group discussions assessing social media habits, preferred social media platforms, and preferences for physical activity and nutrition intervention content and delivery. Survey data were analyzed descriptively; focus group transcripts were analyzed using a directed content analysis approach.Results: A total of 101 adolescents completed the survey and 20 adolescents participated in a total of 3 focus groups. Participants reported most frequently using TikTok, followed by Instagram, Snapchat, and Twitter; preference for platform varied by purpose of use (eg, content consumption, connection, or communication). TikTok emerged as the platform of choice as an engaging way to learn about various topics, including desired health information on physical fitness and diet.Conclusions: Findings from this study suggest that social media platforms can be an engaging way to reach adolescents of color. Data will inform future social media-based interventions to engage adolescents of color in healthy weight management content.</t>
  </si>
  <si>
    <t>[Alatorre, Selenne; Schwarz, Aviva G.; Wang, Monica L.] Boston Univ, Dept Community Hlth Sci, Sch Publ Hlth, Boston, MA USA; [Egan, Kelsey A.] Boston Univ, Boston Med Ctr, Dept Pediat, Div Gen Acad Pediat,Chobanian &amp; Avedisian Sch Med, Boston, MA USA; [Feldman, Amanda R.; Rosa, Marielis] Boston Univ, Coll Arts &amp; Sci, Boston, MA USA; [Wang, Monica L.] Boston Univ, Off Narrat, Ctr Antiracist Res, Boston, MA USA; [Wang, Monica L.] Harvard TH Chan Sch Publ Hlth, Dept Hlth Policy &amp; Management, Boston, MA USA; [Wang, Monica L.] Boston Univ, Sch Publ Hlth, Dept Community Hlth Sci, 801 Massachusetts Ave, Boston, MA 02118 USA</t>
  </si>
  <si>
    <t>Boston University; Boston Medical Center; Boston University; Boston University; Boston University; Harvard University; Harvard T.H. Chan School of Public Health; Boston University</t>
  </si>
  <si>
    <t>Wang, ML (corresponding author), Boston Univ, Sch Publ Hlth, Dept Community Hlth Sci, 801 Massachusetts Ave, Boston, MA 02118 USA.</t>
  </si>
  <si>
    <t>mlwang@bu.edu</t>
  </si>
  <si>
    <t>Schwarz, Aviva/0009-0002-6492-4504</t>
  </si>
  <si>
    <t>e43961</t>
  </si>
  <si>
    <t>10.2196/43961</t>
  </si>
  <si>
    <t>H5PN2</t>
  </si>
  <si>
    <t>WOS:000996481000007</t>
  </si>
  <si>
    <t>He, DD; Yao, Z; Teo, TSH; Ma, YH; Xu, WH</t>
  </si>
  <si>
    <t>He, Dandan; Yao, Zhong; Teo, Thompson S. H.; Ma, Yuanhong; Xu, Wuhuan</t>
  </si>
  <si>
    <t>How social learning drives customer engagement in short video commerce: An attitude transfer perspective</t>
  </si>
  <si>
    <t>Social learning; Atmospheric cues; Short video commerce; Attitude transfer; Relationship norms; Customer engagement; TikTok</t>
  </si>
  <si>
    <t>TRUST TRANSFER; ATMOSPHERIC CUES; INTENTION; MODEL; MEDIA; SATISFACTION; MOTIVATIONS; INTEGRATION; TECHNOLOGY; SERVICES</t>
  </si>
  <si>
    <t>Short video commerce has become increasingly prevalent; however, the factors affecting customer engagement have not been adequately examined. Drawing on social learning theory, attitude transfer theory and relationship norms theory, we explored how social learning behavior from three dimensions of atmospheric cues is associated with customers' attitudes, how such attitudes mediate these engagement relationships, and also how the relationship norms moderate the mediating effect of attitude. The empirical findings obtained through the PLS-SEM largely support the hypotheses. The fsQCA results illustrate how combinations of antecedents can lead to high customer engagement. This study contributes to the literature on short video commerce, customer attitudes, and relationship norms, and provides influencers and managers with practical strategies to improve customer engagement.</t>
  </si>
  <si>
    <t>[He, Dandan; Yao, Zhong; Ma, Yuanhong; Xu, Wuhuan] Beihang Univ, Sch Econ &amp; Management, Beijing 100191, Peoples R China; [Yao, Zhong] Minist Ind &amp; Informat Technol, Key Lab Data Intelligence &amp; Management, Beijing 100191, Peoples R China; [Teo, Thompson S. H.] Natl Univ Singapore, Sch Business, Singapore 119245, Singapore</t>
  </si>
  <si>
    <t>Beihang University; National University of Singapore</t>
  </si>
  <si>
    <t>Yao, Z (corresponding author), Beihang Univ, Sch Econ &amp; Management, Beijing 100191, Peoples R China.;Yao, Z (corresponding author), Minist Ind &amp; Informat Technol, Key Lab Data Intelligence &amp; Management, Beijing 100191, Peoples R China.</t>
  </si>
  <si>
    <t>iszhyao@buaa.edu.cn</t>
  </si>
  <si>
    <t>Ma, Yuanhong/ABA-4484-2020</t>
  </si>
  <si>
    <t>Xu, Wuhuan/0000-0003-2621-7913</t>
  </si>
  <si>
    <t>National Natural Science Foundation of China [72371007]; China Scholarship Council (CSC) [202106020120]</t>
  </si>
  <si>
    <t>National Natural Science Foundation of China(National Natural Science Foundation of China (NSFC)); China Scholarship Council (CSC)(China Scholarship Council)</t>
  </si>
  <si>
    <t>This work was supported by the National Natural Science Foundation of China [Grant number 72371007] and the China Scholarship Council (CSC) [Grant number 202106020120] .</t>
  </si>
  <si>
    <t>10.1016/j.im.2024.104018</t>
  </si>
  <si>
    <t>C9N8A</t>
  </si>
  <si>
    <t>WOS:001292564100001</t>
  </si>
  <si>
    <t>Davies, C; Mann, A</t>
  </si>
  <si>
    <t>Davies, Clare; Mann, Alana</t>
  </si>
  <si>
    <t>Factors influencing women to accept diet and exercise messages on social media during COVID-19 lockdowns: A qualitative application of the health belief model</t>
  </si>
  <si>
    <t>HEALTH MARKETING QUARTERLY</t>
  </si>
  <si>
    <t>Diet and exercise; digital intimacy; health; health belief model; healthism; social media; social media influencers</t>
  </si>
  <si>
    <t>This study investigates how engagement with social media leads women to adopt diet and exercise practices. We base our analysis on qualitative research, including surveys and in-depth interviews, with thirty (30) Australian women aged 18-35 years between April and August 2021. Our findings reveal how healthism discourse on social media, namely Facebook, Instagram and TikTok, underpin the adoption of diet and exercise practices by enhancing experiences of digital intimacy, repeat messages and personal testimonials from other women, and supporting new routines during COVID-19 lockdowns. This article contributes to health marketing literature by providing critical knowledge about women's experiences that prompt and shape complex ideologies of health that are often masked through diet and exercise practices on social media.</t>
  </si>
  <si>
    <t>[Davies, Clare] Univ Sydney, Dept Media &amp; Commun, Hobart, Tas, Australia; [Mann, Alana] Univ Tasmania, Media Sch, Hobart, Tas, Australia</t>
  </si>
  <si>
    <t>University of Sydney; University of Tasmania</t>
  </si>
  <si>
    <t>Davies, C (corresponding author), Univ Sydney, Dept Media &amp; Commun, Hobart, Tas, Australia.</t>
  </si>
  <si>
    <t>clare.r.davies@sydney.edu.au</t>
  </si>
  <si>
    <t>Davies, Clare/0000-0001-5954-975X</t>
  </si>
  <si>
    <t>Research Training Program Scholarship</t>
  </si>
  <si>
    <t>The work conducted by the first author was supported by a Research Training Program Scholarship.</t>
  </si>
  <si>
    <t>0735-9683</t>
  </si>
  <si>
    <t>1545-0864</t>
  </si>
  <si>
    <t>HEALTH MARK Q</t>
  </si>
  <si>
    <t>Health Mark. Q.</t>
  </si>
  <si>
    <t>10.1080/07359683.2023.2193076</t>
  </si>
  <si>
    <t>Business; Health Policy &amp; Services</t>
  </si>
  <si>
    <t>Business &amp; Economics; Health Care Sciences &amp; Services</t>
  </si>
  <si>
    <t>TL0B4</t>
  </si>
  <si>
    <t>WOS:001241289100005</t>
  </si>
  <si>
    <t>Weimann, G; Pack, A</t>
  </si>
  <si>
    <t>Weimann, Gabriel; Pack, Alexander</t>
  </si>
  <si>
    <t>TamTam: The Online Drums of Hate</t>
  </si>
  <si>
    <t>ETHICS</t>
  </si>
  <si>
    <t>Recognizing the correlation between the growing spread of violent extremist and terrorist content on the internet and online platforms and the significant increase in attacks inspired by these posts prompted governments, security agencies, and private companies to launch various countermeasures to reduce the spread and impact of such material. Struggling to adjust to these countermeasures and maintain their online presence, terrorists and violent extremists have migrated from mainstream online platforms to alternative online channels like 4chan, 8chan, Telegram, TikTok, and most recently to the new platform TamTam. This paper describes the migration to and within social media generally, with a specific focus on the newly discovered migration to the platform TamTam and presents the results of our extensive content analysis of hundreds of posts and shares containing terrorist and violent extremist content on this platform. These findings are discussed in terms of ethical and practical implications.</t>
  </si>
  <si>
    <t>[Weimann, Gabriel; Pack, Alexander] Reichman Univ, Int Inst Counterterrorism ICT, Herzliyya, Israel</t>
  </si>
  <si>
    <t>Reichman University</t>
  </si>
  <si>
    <t>Weimann, G (corresponding author), Reichman Univ, Int Inst Counterterrorism ICT, Herzliyya, Israel.</t>
  </si>
  <si>
    <t>Weimann@com.haifa.ac.il</t>
  </si>
  <si>
    <t>2023 JUN 14</t>
  </si>
  <si>
    <t>10.1080/1057610X.2023.2225275</t>
  </si>
  <si>
    <t>L1UK4</t>
  </si>
  <si>
    <t>WOS:001021174600001</t>
  </si>
  <si>
    <t>Kyei-Gyamfi, S</t>
  </si>
  <si>
    <t>Kyei-Gyamfi, Sylvester</t>
  </si>
  <si>
    <t>The Benefits of Social Media Among Children Aged 8 to 17 in Tema Metropolitan Area in Ghana</t>
  </si>
  <si>
    <t>social media; children; usage; Tema; Ghana</t>
  </si>
  <si>
    <t>GRATIFICATIONS; ADOLESCENTS; NETWORKING; STUDENTS; FACEBOOK; USAGE</t>
  </si>
  <si>
    <t>In modern society, children actively engage with social media platforms, and Ghana is not an exception to this trend. People have, however, placed an excessive amount of focus on the negative implications of using social media, which has overshadowed the positive effects that it has on children. This study examines the use of social media by children, including their preferred platforms, as well as the positive and negative consequences associated with their usage. This was a cross-sectional study that employed convenient and snowball sampling procedures for data collection and analysis. The study was conducted on 400 children aged 8 to 17 in Tema. The Uses and Gratifications Theory (UGT) is the study's underlying theory. The association between demographic characteristics and correlates of social media usage was examined using bivariate analysis, whereas the qualitative data analysis was guided by thematic analysis. The results show that 87.5% of children have ever used social media, with males being more likely than females to have done so (91.7% vs. 83.5%). The main reason social media platforms are used by children (87%) is for entertainment. TikTok has the highest usage percentage, making up 88.7% of all platforms, according to the findings. Some benefits of social media include communication, entertainment, and resources for creativity, research, and academic work. Also, the detrimental consequences of social media usage comprise exposure to sexually explicit material, addiction in children, and diminished academic achievement in children who become too engrossed in its usage. The study demonstrated that social media is widely used among children in Ghana. TikTok is the most popular social media platform among children, and it is their preferred platform. Parents are urged to encourage their children to use social media platforms for beneficial purposes, and media industry stakeholders should develop and implement initiatives to increase the benefits of social media for children. Regulation and supervision are necessary to mitigate the adverse consequences of children's social media usage.</t>
  </si>
  <si>
    <t>[Kyei-Gyamfi, Sylvester] Informat Res &amp; Advocacy Div IRAD, Accra, Ghana</t>
  </si>
  <si>
    <t>Kyei-Gyamfi, S (corresponding author), Informat Res &amp; Advocacy Div IRAD, Dept Children DOC, POB 6118, Accra 233, Ghana.</t>
  </si>
  <si>
    <t>sylvesterr_kyeigyamfi@yahoo.com</t>
  </si>
  <si>
    <t>Kyei Gyamfi, Dr Sylvester/HLG-6768-2023</t>
  </si>
  <si>
    <t>Kyei Gyamfi, Dr Sylvester/0000-0003-3058-5831</t>
  </si>
  <si>
    <t>The participation of all the children involved in the study is highly valued. The author further acknowledges the gratitude towards all parents who provided consent for their children's participation.</t>
  </si>
  <si>
    <t>10.1177/21582440241278546</t>
  </si>
  <si>
    <t>E6K8Y</t>
  </si>
  <si>
    <t>WOS:001304084600001</t>
  </si>
  <si>
    <t>Liu, XH; Liu, SY; Ma, ZM</t>
  </si>
  <si>
    <t>Liu, Xiaohe; Liu, Shuyu; Ma, Zhengming</t>
  </si>
  <si>
    <t>A Framework for Short Video Recognition Based on Motion Estimation and Feature Curves on SPD Manifolds</t>
  </si>
  <si>
    <t>APPLIED SCIENCES-BASEL</t>
  </si>
  <si>
    <t>feature curve; region of interest; motion estimation; SPD manifold; Riemannian manifold; short video recognition; face recognition</t>
  </si>
  <si>
    <t>DIMENSIONALITY REDUCTION; FACE RECOGNITION; CLASSIFICATION; MATRICES</t>
  </si>
  <si>
    <t>Given the prosperity of video media such as TikTok and YouTube, the requirement of short video recognition is becoming more and more urgent. A significant feature of short video is that there are few switches of scenes in short video, and the target (e.g., the face of the key person in the short video) often runs through the short video. This paper presents a new short video recognition algorithm framework that transforms a short video into a family of feature curves on symmetric positive definite (SPD) manifold as the basis of recognition. Thus far, no similar algorithm has been reported. The results of experiments suggest that our method performs better on three changeling databases than seven other related algorithms published in the top issues.</t>
  </si>
  <si>
    <t>[Liu, Xiaohe; Ma, Zhengming] Sun Yat Sen Univ, Sch Elect &amp; Informat Technol, Guangzhou 510006, Peoples R China; [Liu, Shuyu] Sun Yat Sen Univ, Publ Expt Teaching Ctr, Guangzhou 510006, Peoples R China</t>
  </si>
  <si>
    <t>Sun Yat Sen University; Sun Yat Sen University</t>
  </si>
  <si>
    <t>Ma, ZM (corresponding author), Sun Yat Sen Univ, Sch Elect &amp; Informat Technol, Guangzhou 510006, Peoples R China.;Liu, SY (corresponding author), Sun Yat Sen Univ, Publ Expt Teaching Ctr, Guangzhou 510006, Peoples R China.</t>
  </si>
  <si>
    <t>liuxh228@mail2.sysu.edu.cn; ljie@mail.sysu.edu.cn; issmzm@mail.sysu.edu.cn</t>
  </si>
  <si>
    <t>Ma, Zhengming/0000-0001-6553-1070</t>
  </si>
  <si>
    <t>National Natural Science Foundation of China [61773022]; Science and Technology Program of Guangzhou [68000-42050001]</t>
  </si>
  <si>
    <t>National Natural Science Foundation of China(National Natural Science Foundation of China (NSFC)); Science and Technology Program of Guangzhou</t>
  </si>
  <si>
    <t>This research was funded by National Natural Science Foundation of China, grant number 61773022, and the Science and Technology Program of Guangzhou, grant number 68000-42050001.</t>
  </si>
  <si>
    <t>2076-3417</t>
  </si>
  <si>
    <t>APPL SCI-BASEL</t>
  </si>
  <si>
    <t>Appl. Sci.-Basel</t>
  </si>
  <si>
    <t>10.3390/app12094669</t>
  </si>
  <si>
    <t>Chemistry, Multidisciplinary; Engineering, Multidisciplinary; Materials Science, Multidisciplinary; Physics, Applied</t>
  </si>
  <si>
    <t>Chemistry; Engineering; Materials Science; Physics</t>
  </si>
  <si>
    <t>1E3ND</t>
  </si>
  <si>
    <t>WOS:000794398900001</t>
  </si>
  <si>
    <t>Wang, XR; Zhao, S; Zhang, MX; Chen, FF; Chang, L</t>
  </si>
  <si>
    <t>Wang, Xinrui; Zhao, Shan; Zhang, Meng Xuan; Chen, Feifei; Chang, Lei</t>
  </si>
  <si>
    <t>Life History Strategies and Problematic Use of Short-Form Video Applications</t>
  </si>
  <si>
    <t>EVOLUTIONARY PSYCHOLOGICAL SCIENCE</t>
  </si>
  <si>
    <t>Short-form video application; Problematic use; Life history strategy; Future orientation</t>
  </si>
  <si>
    <t>FUTURE TIME PERSPECTIVE; FACEBOOK ADDICTION; SENSATION-SEEKING; INDIVIDUAL-DIFFERENCES; COLLEGE-STUDENTS; K-FACTOR; BIG 5; PERSONALITY; ORIENTATION; RISK</t>
  </si>
  <si>
    <t>With the booming development of short-form video applications (SVAs), problematic use of SVAs raises new concerns. Taking a life history approach, the present study revealed that problematic use of SVAs may be a manifestation of fast life history strategies (LHS), associated with a lack of consideration of future consequences and sole focus on immediate rewards. An analysis of the responses of 376 TikTok users demonstrated that slow LHS was negatively associated with problematic SVA use and was positively associated with future orientation, which in turn was negatively associated with problematic SVA use. This set of associations suggests that problematic SVA use or other behavioral addiction represents a fast LHS manifestation that discounts the future by focusing on immediate hedonic rewards.</t>
  </si>
  <si>
    <t>[Wang, Xinrui; Zhao, Shan; Zhang, Meng Xuan; Chen, Feifei; Chang, Lei] Univ Macau, Fac Social Sci, Dept Psychol, Ave Univ, Taipa, Macao, Peoples R China</t>
  </si>
  <si>
    <t>University of Macau</t>
  </si>
  <si>
    <t>Chang, L (corresponding author), Univ Macau, Fac Social Sci, Dept Psychol, Ave Univ, Taipa, Macao, Peoples R China.</t>
  </si>
  <si>
    <t>chang@um.edu.mo</t>
  </si>
  <si>
    <t>wang, xinrui/KIA-2212-2024; Chang, Lei/AAB-4014-2020; zhang, mengxuan/KUD-5112-2024</t>
  </si>
  <si>
    <t>ZHANG, Meng Xuan/0000-0003-1648-732X</t>
  </si>
  <si>
    <t>2198-9885</t>
  </si>
  <si>
    <t>EVOL PSYCHOL SCI</t>
  </si>
  <si>
    <t>Evol. Psychol. Sci.</t>
  </si>
  <si>
    <t>10.1007/s40806-020-00255-9</t>
  </si>
  <si>
    <t>QK0RY</t>
  </si>
  <si>
    <t>WOS:000620090100004</t>
  </si>
  <si>
    <t>Chen, ZT; Whyke, TW; Lopez-Mugica, J; Peng, AY</t>
  </si>
  <si>
    <t>Chen, Zhen Troy; Whyke, Thomas William; Lopez-Mugica, Joaquin; Peng, Altman Yuzhu</t>
  </si>
  <si>
    <t>Cashing the pink RMB through docile bodies: queering paradox of erotic entrepreneurs on Chinese social media platforms</t>
  </si>
  <si>
    <t>This article investigates the emergence of erotic entrepreneurs in China, a new category of male influencers who engage in erotic activities and target followers of all genders on platforms such as TikTok/Douyin and Bilibili. Through ethnographic research, we examine how these young individuals strategically marketize their private and intimate experiences as a form of aspiration and commerce. We use Foucault's concept, docile bodies, to interrogate how these erotic entrepreneurs navigate the power and knowledge systems of the creative economy. We argue that the paradoxical position of these docile male, queer bodies helps to increase their visibility on one hand, whilst renders them vulnerable to exploitation, censorship, and commodification on the other. The findings suggest that this paradox disrupts traditional gender stereotypes and the underlying power structures, but also reinforces the neoliberal and patriarchal order specific to postreform China.</t>
  </si>
  <si>
    <t>[Chen, Zhen Troy] City Univ London, Northampton Sq, London EC1V 0HB, England; [Whyke, Thomas William] Univ Nottingham Ningbo, Ningbo, Peoples R China; [Lopez-Mugica, Joaquin] Univ Wenzhou Kean, Wenzhou, Peoples R China; [Peng, Altman Yuzhu] Univ Warwick, Coventry, England</t>
  </si>
  <si>
    <t>City St Georges, University of London; University of Nottingham Ningbo China; University of Warwick</t>
  </si>
  <si>
    <t>Chen, ZT (corresponding author), City Univ London, Northampton Sq, London EC1V 0HB, England.</t>
  </si>
  <si>
    <t>troy.chen@city.ac.uk</t>
  </si>
  <si>
    <t>Lopez-Mugica, Joaquin/AAY-9523-2021; CHEN, Zhen Troy/K-5514-2019; Whyke, Thomas/AAY-1354-2021</t>
  </si>
  <si>
    <t>Peng, Altman Yuzhu/0000-0002-3440-0761; Whyke, Thomas/0000-0002-9771-3626; Chen, Zhen/0000-0003-2450-277X; Lopez Mugica, Joaquin/0000-0001-9981-102X</t>
  </si>
  <si>
    <t>Research Development Fund, Xi'an Jiaotong- Liverpool University [RDF-18-02-04]</t>
  </si>
  <si>
    <t>Research Development Fund, Xi'an Jiaotong- Liverpool University</t>
  </si>
  <si>
    <t>AcknowledgementsWe are grateful to our discussants in ICA 2022 Paris conference where the earlier draft of this article was presented and discussed. We also appreciate the comments and suggestions from the editors and anonymous reviewers. This study was partially supported by the Research Development Fund, Xi'an Jiaotong- Liverpool University through Grant RDF-18-02-04 on Media Prosumption and Identity Performance.</t>
  </si>
  <si>
    <t>AUG 10</t>
  </si>
  <si>
    <t>10.1057/s41599-023-02006-0</t>
  </si>
  <si>
    <t>O6VN0</t>
  </si>
  <si>
    <t>WOS:001045161200004</t>
  </si>
  <si>
    <t>Zhang, CY; Kübler, D; Dong, LS</t>
  </si>
  <si>
    <t>Zhang, Caiyi; Kubler, Daniel; Dong, Lisheng</t>
  </si>
  <si>
    <t>Chinese perceptions of the EU: the impact of social media use</t>
  </si>
  <si>
    <t>China-EU relations; Perceptions; Public opinion; Social media use; We Chat; Weibo; TikTok</t>
  </si>
  <si>
    <t>EXTERNAL PERCEPTIONS; POWER</t>
  </si>
  <si>
    <t>With the rise of China and the deepening of China-EU interactions, it is crucial for both China and the EU to know the Chinese public perceptions of the EU and what factors influence the formation of perceptions, to enhance mutual understanding. Given the increasing role of social media in the political process, this study hypothesizes that social media use is a strong predictor for Chinese public perceptions of the EU and China-EU relations. We analyze the effects by utilizing original public opinion survey data collected in China in 2020. Our findings show that social media use as well as socioeconomic factors together predict Chinese public perceptions of the EU and China-EU relations. However, social media use effects vary across different social media platforms.</t>
  </si>
  <si>
    <t>[Zhang, Caiyi] ETH Zurich Ctr Comparat &amp; Int Studies, Ctr Comparat &amp; Int Studies, CH-8092 Zurich, Switzerland; [Kubler, Daniel] Univ Zurich, Dept Polit Sci, Affolternstr 56, CH-8050 Zurich, Switzerland; [Dong, Lisheng] Univ Chinese Acad Social Sci, Beijing, Peoples R China</t>
  </si>
  <si>
    <t>University of Zurich; Chinese Academy of Social Sciences; University of Chinese Academy of Social Sciences</t>
  </si>
  <si>
    <t>Kübler, D (corresponding author), Univ Zurich, Dept Polit Sci, Affolternstr 56, CH-8050 Zurich, Switzerland.</t>
  </si>
  <si>
    <t>Kuebler, Daniel/H-5936-2011; Zhang, Caiyi/JHV-0543-2023; Dong, Lisheng/JTS-6683-2023</t>
  </si>
  <si>
    <t>Kubler, Daniel/0000-0001-7373-0926; Dong, Lisheng/0000-0002-3810-6455</t>
  </si>
  <si>
    <t>Staatssekretariat fr Bildung, Forschung und Innovation</t>
  </si>
  <si>
    <t>We thank Sun Long for facilitating the administration of the survey and Su Yun Woo for comments on earlier drafts of this manuscript.</t>
  </si>
  <si>
    <t>10.1007/s43508-023-00069-y</t>
  </si>
  <si>
    <t>EG5D0</t>
  </si>
  <si>
    <t>WOS:001137772500002</t>
  </si>
  <si>
    <t>Langbecker, A; Matamoros, DC</t>
  </si>
  <si>
    <t>Langbecker, Andrea; Matamoros, Daniel Catalan</t>
  </si>
  <si>
    <t>SOCIAL MEDIA AND COVID-19 VACCINATION: ANALYSIS OF USER BEHAVIOUR IN SPAIN</t>
  </si>
  <si>
    <t>PERSPECTIVAS DE LA COMUNICACION</t>
  </si>
  <si>
    <t>social media; vaccination; COVID-19; pandemic; WhatsApp.</t>
  </si>
  <si>
    <t>The anti-vaccine community finds on social media one of the main channels for the dissemination of fake news and disinformation. This represents a challenge for governments during health crises. This study analyzes the behavior of social media users in relation to COVID-19 vaccination through a national survey including 1800 people representative of the Spanish population. WhatsApp, Facebook and Instagram users were the most vaccinated. However, TikTok and YouTube hosted the highest percentage of the unvaccinated. In relation to the booster dose, most users show a positive attitude, with Facebook users standing out, while YouTube users show the highest rejection. In addition, users who have spent more time on social media were less vaccinated with booster doses, also having a higher percentage of unvaccinated. Concrete data are provided to develop communication strategies such as segmentation and social listening to be carried out during a crisis.</t>
  </si>
  <si>
    <t>[Langbecker, Andrea; Matamoros, Daniel Catalan] Univ Carlos III Madrid, Madrid, Spain</t>
  </si>
  <si>
    <t>Universidad Carlos III de Madrid</t>
  </si>
  <si>
    <t>Langbecker, A (corresponding author), Univ Carlos III Madrid, Madrid, Spain.</t>
  </si>
  <si>
    <t>alangbec@hum.uc3m.es; dacatala@hum.uc3m.es</t>
  </si>
  <si>
    <t>Catalan-Matamoros, Daniel/HKE-1076-2023</t>
  </si>
  <si>
    <t>Community of Madrid (Ministry of Education, Universities and Science); Carlos III University of Madrid; European Regional Development Fund Una forma de hacer Europa; Ministry of Science and Innovation [PID202222-142755OB-I00]</t>
  </si>
  <si>
    <t>Community of Madrid (Ministry of Education, Universities and Science); Carlos III University of Madrid; European Regional Development Fund Una forma de hacer Europa; Ministry of Science and Innovation(Ministry of Science and Innovation, Spain (MICINN)Spanish Government)</t>
  </si>
  <si>
    <t>Study funded through the Agreement signed between the Community of Madrid (Ministry of Education, Universities and Science) and the Carlos III University of Madrid for the granting of 4,859,000 euros to finance the development of research activities on SARS-CoV 2 and Covid-19 disease financed with REACT-EU resources from the European Regional Development Fund Una forma de hacer Europa. This study has also received funding from the 2022 call for Proyectos de Generacion de Conocimiento of the Ministry of Science and Innovation. Project ref: PID202222-142755OB-I00. COMSALUD Project: Pseudoscience, conspiracy theories, fake news and media literacy in health communication.</t>
  </si>
  <si>
    <t>UNIV FRONTERA</t>
  </si>
  <si>
    <t>TEMUCO</t>
  </si>
  <si>
    <t>AV FRANCISCO SALAZAR, TEMUCO, 01145, CHILE</t>
  </si>
  <si>
    <t>0718-4867</t>
  </si>
  <si>
    <t>PERSPECT COMUN</t>
  </si>
  <si>
    <t>Perspect. Comun.</t>
  </si>
  <si>
    <t>10.56754/0718-4867.2023.3306</t>
  </si>
  <si>
    <t>FE5H8</t>
  </si>
  <si>
    <t>WOS:001144094900013</t>
  </si>
  <si>
    <t>Dong, JR; He, YP; Song, JY; Ding, H; Kong, YX</t>
  </si>
  <si>
    <t>Dong, Jiarui; He, Yuping; Song, Jiayin; Ding, Hao; Kong, Yixiu</t>
  </si>
  <si>
    <t>Universal scaling behavior and Hawkes process of videos' views on Bilibili.com</t>
  </si>
  <si>
    <t>FRONTIERS IN PHYSICS</t>
  </si>
  <si>
    <t>temporal social networks; Hawkes process; scaling behavior; Danmaku; Bilibili; com</t>
  </si>
  <si>
    <t>Online videos have become the most popular method to obtain information for the public in recent years, such as TikTok and YouTube, and regional sites like Bilibili and Douyin. Compared with its growing influence, the analysis of user behavior on video sites is still less investigated. Herein, we fetch the video data from Bilibili.com and analyze the video views, comments, and other behaviors on the website. We found that the description model based on the Hawkes process can accurately predict the video views, which suggests that on the Bilibili website, the self-incentive mechanism of information cascade diffusion plays a decisive role in online views. Meanwhile, we also found that the view increment of the videos during the same period of time conforms to the general power-law distribution.</t>
  </si>
  <si>
    <t>[Dong, Jiarui; Kong, Yixiu] Beijing Univ Posts &amp; Telecommun, Sch Sci, Beijing, Peoples R China; [He, Yuping; Ding, Hao] Beijing Univ Posts &amp; Telecommun, Sch Informat &amp; Commun Engn, Beijing, Peoples R China; [Song, Jiayin] Beijing Univ Posts &amp; Telecommun, Sch Econ &amp; Management, Beijing, Peoples R China</t>
  </si>
  <si>
    <t>Beijing University of Posts &amp; Telecommunications; Beijing University of Posts &amp; Telecommunications; Beijing University of Posts &amp; Telecommunications</t>
  </si>
  <si>
    <t>Kong, YX (corresponding author), Beijing Univ Posts &amp; Telecommun, Sch Sci, Beijing, Peoples R China.</t>
  </si>
  <si>
    <t>yixiu.kong@bupt.edu.cn</t>
  </si>
  <si>
    <t>Dong, Jia-Rui/AAB-2920-2022; Kong, Yixiu/HJB-4006-2022</t>
  </si>
  <si>
    <t>Research Funds for the Central Universities from the Beijing University of Posts and Telecommunications; Research Innovation Fund for College Students of the Beijing University of Posts and Telecommunications; [505022019]; [500422415]</t>
  </si>
  <si>
    <t>Research Funds for the Central Universities from the Beijing University of Posts and Telecommunications; Research Innovation Fund for College Students of the Beijing University of Posts and Telecommunications; ;</t>
  </si>
  <si>
    <t>Funding This work was supported by Research Funds for the Central Universities from the Beijing University of Posts and Telecommunications under grant nos. 505022019 and 500422415 and Research Innovation Fund for College Students of the Beijing University of Posts and Telecommunications.</t>
  </si>
  <si>
    <t>2296-424X</t>
  </si>
  <si>
    <t>FRONT PHYS-LAUSANNE</t>
  </si>
  <si>
    <t>Front. Physics</t>
  </si>
  <si>
    <t>10.3389/fphy.2022.1018704</t>
  </si>
  <si>
    <t>Physics, Multidisciplinary</t>
  </si>
  <si>
    <t>Physics</t>
  </si>
  <si>
    <t>6H1AH</t>
  </si>
  <si>
    <t>WOS:000885181400001</t>
  </si>
  <si>
    <t>Caratenuto, R; Karanfilian, B; Navlani, R; Dalal, I; Sharma, R; Dave, P</t>
  </si>
  <si>
    <t>Caratenuto, Russell; Karanfilian, Briette; Navlani, Rishika; Dalal, Ishita; Sharma, Ranita; Dave, Payal</t>
  </si>
  <si>
    <t>Social Media Trends, Dry Scooping, and Extensive Esophageal Ulcerations</t>
  </si>
  <si>
    <t>JOURNAL OF GENERAL INTERNAL MEDICINE</t>
  </si>
  <si>
    <t>ULCERS</t>
  </si>
  <si>
    <t>We describe a case of severe odynophagia and dysphagia caused by dry scooping of multi-ingredient pre-workout powder (MIPS) with diffuse esophageal ulcerations on upper endoscopy. Dry scooping refers to ingesting work out supplements without the recommended doses of solvent. This trend has been the subject of TikTok and other social media sites aimed at enhancing workout performance. While caustic ingestions leading to esophageal ulcers and strictures are well known, dry scooping ingestion of pre-workout powder as an etiology has not been described. Though caffeine may be the predominant content in such powders, the exact composition and ratios of other constituents, including amino acids, are less clear. Complete abstinence from ingestion of the pre-workout formulation and the use of a proton pump inhibitor therapy led to significant clinical and endoscopic recovery over a 4-week period. A thorough history of ingestions, including supplements, is critical when unraveling emerging etiologies of esophageal ulcerations.</t>
  </si>
  <si>
    <t>[Caratenuto, Russell; Karanfilian, Briette; Navlani, Rishika; Dalal, Ishita; Sharma, Ranita] Rutgers Robert Wood Johnson Med Sch, New Brunswick, NJ USA; [Dave, Payal] Rutgers Robert Wood Johnson Med Sch, Dept Med, New Brunswick, NJ 08901 USA</t>
  </si>
  <si>
    <t>Rutgers University System; Rutgers University New Brunswick; Rutgers University Biomedical &amp; Health Sciences; Rutgers University System; Rutgers University New Brunswick; Rutgers University Biomedical &amp; Health Sciences</t>
  </si>
  <si>
    <t>Dave, P (corresponding author), Rutgers Robert Wood Johnson Med Sch, Dept Med, New Brunswick, NJ 08901 USA.</t>
  </si>
  <si>
    <t>davepa@rwjms.rutgers.edu</t>
  </si>
  <si>
    <t>0884-8734</t>
  </si>
  <si>
    <t>1525-1497</t>
  </si>
  <si>
    <t>J GEN INTERN MED</t>
  </si>
  <si>
    <t>J. Gen. Intern. Med.</t>
  </si>
  <si>
    <t>10.1007/s11606-023-08432-9</t>
  </si>
  <si>
    <t>Health Care Sciences &amp; Services; Medicine, General &amp; Internal</t>
  </si>
  <si>
    <t>Health Care Sciences &amp; Services; General &amp; Internal Medicine</t>
  </si>
  <si>
    <t>GZ2W9</t>
  </si>
  <si>
    <t>WOS:001073929600001</t>
  </si>
  <si>
    <t>Carter, MC; Cingel, DP; Vigil, SL; Ruiz, JB</t>
  </si>
  <si>
    <t>Carter, Michael C.; Cingel, Drew P.; Vigil, Samantha L.; Ruiz, Jeanette B.</t>
  </si>
  <si>
    <t>A replication and extension of the Personal Social Media Ecosystem Framework</t>
  </si>
  <si>
    <t>social media; user interface classes; PSMEF; topic modeling; semantic network analysis</t>
  </si>
  <si>
    <t>NETWORK ANALYSIS</t>
  </si>
  <si>
    <t>The recently forwarded Personal Social Media Ecosystem Framework (PSMEF) allows researchers to study social media in terms of generalized types of user interfaces. This study formally extended the PSMEF via the Digital User Interface Model and replicated previous work by evidencing the existence of new (e.g., Overtly Algorithmic Content Pages) and validating previously identified types of user interfaces (e.g., Home Pages and Chats/Messages) that make up individuals' personal social media environments. Using topic modeling (i.e., Latent Dirichlet Allocation) and a novel mixed methods approach (i.e., schematic semantic network analysis), we quantitatively evidenced four distinct classes of user interfaces based on open-ended descriptions that participants provided for six popular social media platforms (i.e., Instagram, Snapchat, Facebook, Twitter, TikTok, and YouTube). Results inform on the qualitative differences between distinct user interface classes that underwrite users' experiences over social media, with implications for conceptualization and operationalization related to social media use. Social media is constantly changing. Feature updates, the rise of new platforms, and the introduction of novel spaces for users to engage within online (e.g., For You Page on TikTok) have all made it harder to study social media. By taking a new approach to investigating social media as a digital ecosystem made up of various online places, we analyzed participant descriptions of spaces they typically used and identified four core types of online spaces characterizing six popular social media platforms. Some of these characteristic spaces provide access to content from a user's social contacts (i.e., Home Pages) or function as a venue for direct messaging (i.e., Chats/Messages). Others enable users to search and/or explore content, largely external to their social network (i.e., Search Pages, Overtly Algorithmic Content Pages). Results help to advance a flexible basis to approach the study of social media effects across platforms as they evolve over time-specifically, by providing initial evidence for the existence of different types of characteristic spaces permeating social media as a digital landscape.</t>
  </si>
  <si>
    <t>[Carter, Michael C.] Boston Childrens Hosp, Digital Wellness Lab, Boston, MA 02115 USA; [Cingel, Drew P.; Vigil, Samantha L.; Ruiz, Jeanette B.] Univ Calif Davis, Dept Commun, Davis, CA USA</t>
  </si>
  <si>
    <t>Harvard University; Boston Children's Hospital; University of California System; University of California Davis</t>
  </si>
  <si>
    <t>Carter, MC (corresponding author), Boston Childrens Hosp, Digital Wellness Lab, Boston, MA 02115 USA.</t>
  </si>
  <si>
    <t>michael.carter@childrens.harvard.edu</t>
  </si>
  <si>
    <t>Ruiz, Jeanette/AAV-6105-2020</t>
  </si>
  <si>
    <t>zmad036</t>
  </si>
  <si>
    <t>10.1093/jcmc/zmad036</t>
  </si>
  <si>
    <t>R2UC2</t>
  </si>
  <si>
    <t>WOS:001062942100001</t>
  </si>
  <si>
    <t>Marino, G</t>
  </si>
  <si>
    <t>Marino, Gabriele</t>
  </si>
  <si>
    <t>Harlem Shake ten years later</t>
  </si>
  <si>
    <t>DESIGNIS</t>
  </si>
  <si>
    <t>viral phenomenon; Internet meme; Harlem Shake; semiotics</t>
  </si>
  <si>
    <t>The essay reconstructs in detail the history of the biggest meme in history, Harlem Shake, ten years after its viral explosion. Today's hyper- and post-social (as well as hyper- and post-memetic) media world is the result of phenomena like Harlem Shake. Just think of how challenges, parodies, dances and lip-syncs that emerged in the viral content cultures of the internet and spread beyond all expectations thanks to the ecologies of social media have given rise to a whole new platform, TikTok, which is the affirmation of a new paradigm of communication and content production. In an era of increasingly rapid consumption of images, videos and more generally what semiotics defines as texts, to go back to Harlem Shake, the big bang of a new way of conceiving textuality as practise, can help us better understand fragments of the present and anticipate where we are heading in the near future.</t>
  </si>
  <si>
    <t>[Marino, Gabriele] Univ Turin, Turin, Italy</t>
  </si>
  <si>
    <t>Marino, G (corresponding author), Univ Turin, Turin, Italy.</t>
  </si>
  <si>
    <t>gabriele.marino@unito.it</t>
  </si>
  <si>
    <t>FEDERACION LATINOAMERICANA SEMIOTICA</t>
  </si>
  <si>
    <t>12 RUE PONTOISE, PARIS, 75005, FRANCE</t>
  </si>
  <si>
    <t>1578-4223</t>
  </si>
  <si>
    <t>2462-7259</t>
  </si>
  <si>
    <t>deSignis</t>
  </si>
  <si>
    <t>10.35659/designis.i41p77-88</t>
  </si>
  <si>
    <t>L7V7Z</t>
  </si>
  <si>
    <t>WOS:001352766500006</t>
  </si>
  <si>
    <t>Jungherr, A; Schroeder, R</t>
  </si>
  <si>
    <t>Jungherr, Andreas; Schroeder, Ralph</t>
  </si>
  <si>
    <t>Artificial intelligence and the public arena</t>
  </si>
  <si>
    <t>COMMUNICATION THEORY</t>
  </si>
  <si>
    <t>public sphere; public arena; artificial intelligence (AI); large language models (LLMs); ChatGPT</t>
  </si>
  <si>
    <t>The public arena relies on artificial intelligence (AI) to ever greater degrees. Media structures hosting the public arena-such as Facebook, TikTok, Twitter, and YouTube-increasingly rely on AI-enabled applications to shape information environments, autonomously generate content, and communicate with people. These applications affect the public arena's functions: make society visible to itself and provide spaces for the formation of publics and counterpublics. We offer a framework that allows for the conceptualization and empirical examination of AI's structural impact on the public arena. Based on this perspective, we argue that the growing uses of AI will lead to a strengthening of intermediary structures that can exercise a greater degree of control over the public arena. In addition, the data-driven nature of most AI-applications threatens to push challenges to the political status quo out of sight and obstruct the assessability of AI-enabled interventions.</t>
  </si>
  <si>
    <t>[Jungherr, Andreas] Univ Bamberg, Inst Polit Sci, Bamberg, Germany; [Schroeder, Ralph] Univ Oxford, Oxford Internet Inst, Oxford, England</t>
  </si>
  <si>
    <t>Otto Friedrich University Bamberg; University of Oxford</t>
  </si>
  <si>
    <t>Jungherr, A (corresponding author), Univ Bamberg, Inst Polit Sci, Bamberg, Germany.</t>
  </si>
  <si>
    <t>andreas.jungherr@uni-bamberg.de</t>
  </si>
  <si>
    <t>Jungherr, Andreas/P-7958-2016</t>
  </si>
  <si>
    <t>Jungherr, Andreas/0000-0003-2598-2453</t>
  </si>
  <si>
    <t>1050-3293</t>
  </si>
  <si>
    <t>1468-2885</t>
  </si>
  <si>
    <t>COMMUN THEOR</t>
  </si>
  <si>
    <t>Commun. Theory</t>
  </si>
  <si>
    <t>10.1093/ct/qtad006</t>
  </si>
  <si>
    <t>N0CP2</t>
  </si>
  <si>
    <t>WOS:001008157600001</t>
  </si>
  <si>
    <t>Maddocks, S; Parfaite, F</t>
  </si>
  <si>
    <t>Maddocks, Sophie; Parfaite, Fallon</t>
  </si>
  <si>
    <t>Watch me pretend to punch my girlfriend: exploring youth responses to viral dating violence</t>
  </si>
  <si>
    <t>Dating violence; misogyny; race; social media; feeling rules</t>
  </si>
  <si>
    <t>INTIMATE PARTNER VIOLENCE; CELEBRITY SUICIDE; MEDIA COVERAGE; ACTIVISM; CULTURE; WOMEN; GIRLS</t>
  </si>
  <si>
    <t>Dating violence among adolescents is a severe public health issue that has escalated rapidly during the COVID-19 pandemic. This article explores young people's responses to social media trends normalizing dating violence. Through analysis of the pretend to punch your girlfriend trend on the social media platform TikTok, this study asks: how do youth make sense of dating violence on social media? And what do their emotional responses reveal about emerging attitudes towards dating violence and relationship equity? This study explores the feeling rules constructed by youth in response to dating violence online through a mixed-method analysis of user comments. This article concludes with platform design solutions to regulate the rise of dating violence on social networks.</t>
  </si>
  <si>
    <t>[Maddocks, Sophie; Parfaite, Fallon] Univ Penn, Annenberg Sch Commun, Philadelphia, PA 19104 USA</t>
  </si>
  <si>
    <t>Maddocks, S (corresponding author), Univ Penn, Annenberg Sch Commun, Philadelphia, PA 19104 USA.</t>
  </si>
  <si>
    <t>sophie.maddocks@asc.upenn.edu</t>
  </si>
  <si>
    <t>Maddocks, Sophie/0000-0002-6405-5137</t>
  </si>
  <si>
    <t>10.1080/14680777.2023.2185564</t>
  </si>
  <si>
    <t>ID0H5</t>
  </si>
  <si>
    <t>WOS:000946333100001</t>
  </si>
  <si>
    <t>Chen, ZN; Zhang, QP</t>
  </si>
  <si>
    <t>Nah, FFH; Siau, K</t>
  </si>
  <si>
    <t>Chen, Zining; Zhang, Qiping</t>
  </si>
  <si>
    <t>A Survey Study on Successful Marketing Factors for Douyin (Tik-Tok)</t>
  </si>
  <si>
    <t>HCI IN BUSINESS, GOVERNMENT AND ORGANIZATIONS, HCIBGO 2021</t>
  </si>
  <si>
    <t>8th International Conference on HCI in Business, Government and Organizations (HCIBGO)</t>
  </si>
  <si>
    <t>JUL 24-29, 2021</t>
  </si>
  <si>
    <t>Short video advertising; Marketing; Douyin/TikTok</t>
  </si>
  <si>
    <t>With the recent worldwide emergence of short video firms, these new platforms offer a unique opportunity for Businesses and creators to market their products through short advertisements. The aim of this study is to identify controllable factors that contribute to a successful short video advertisement, i.e., increasing the purchase intention of potential customers. The data of the study is collected through an online survey and user posting analysis. Based on the previous models [13], a new theoretical consumer purchase intention model was proposed and fully supported, given the correlation analysis of our survey results. We found that among all video characteristics, taste and content contributed most towards consumer purchase intention. The findings of this study would provide guidance to small business owners in their using short video platforms as well as researchers in their further study regarding purchase intention on other short video platforms.</t>
  </si>
  <si>
    <t>[Chen, Zining] Portledge Sch, Locust Valley, NY 11560 USA; [Zhang, Qiping] Long Isl Univ, Brookville, NY 11548 USA</t>
  </si>
  <si>
    <t>Long Island University Post</t>
  </si>
  <si>
    <t>Zhang, QP (corresponding author), Long Isl Univ, Brookville, NY 11548 USA.</t>
  </si>
  <si>
    <t>Qiping.Zhang@liu.edu</t>
  </si>
  <si>
    <t>978-3-030-77749-4; 978-3-030-77750-0</t>
  </si>
  <si>
    <t>10.1007/978-3-030-77750-0_2</t>
  </si>
  <si>
    <t>Business, Finance; Computer Science, Cybernetics; Communication; Computer Science, Interdisciplinary Applications</t>
  </si>
  <si>
    <t>Business &amp; Economics; Computer Science; Communication</t>
  </si>
  <si>
    <t>BX5AX</t>
  </si>
  <si>
    <t>WOS:001297300300002</t>
  </si>
  <si>
    <t>Konovalova, E; Le Mens, G; Schöll, N</t>
  </si>
  <si>
    <t>Konovalova, Elizaveta; Le Mens, Gael; Scholl, Nikolas</t>
  </si>
  <si>
    <t>Social media feedback and extreme opinion expression</t>
  </si>
  <si>
    <t>POLITICAL POLARIZATION; MAXIMIZATION; JUDGMENT; RULE</t>
  </si>
  <si>
    <t>On popular social media platforms such as Twitter, Facebook, Instagram, or Tiktok, the quantitative feedback received by content producers is asymmetric: counts of positive reactions such as 'likes,' or 'retweets,' are easily observed but similar counts of negative reactions are not directly available. We study how this design feature of social media platforms affects the expression of extreme opinions. Using simulations of a learning model, we compare two feedback environments that differ in terms of the availability of negative reaction counts. We find that expressed opinions are generally more extreme when negative reaction counts are not available than when they are. We rely on analyses of Twitter data and several online experiments to provide empirical support for key model assumptions and test model predictions. Our findings suggest that a simple design change might limit, under certain conditions, the expression of extreme opinions on social media.</t>
  </si>
  <si>
    <t>[Konovalova, Elizaveta] Univ Warwick, Warwick Business Sch, Coventry, England; [Le Mens, Gael; Scholl, Nikolas] Univ Pompeu Fabra, Dept Econ &amp; Business, Barcelona, Spain; [Le Mens, Gael] Barcelona Sch Econ, Barcelona, Spain; [Le Mens, Gael] UPF Barcelona Sch Management, Barcelona, Spain</t>
  </si>
  <si>
    <t>University of Warwick; Pompeu Fabra University; Barcelona School of Economics</t>
  </si>
  <si>
    <t>Konovalova, E (corresponding author), Univ Warwick, Warwick Business Sch, Coventry, England.</t>
  </si>
  <si>
    <t>elizaveta.konovalova@wbs.ac.uk</t>
  </si>
  <si>
    <t>Le Mens, Gael/H-9519-2012</t>
  </si>
  <si>
    <t>Le Mens, Gael/0000-0003-4800-0598</t>
  </si>
  <si>
    <t>European Commission [772268]; Fundacion BBVA [G999088Q]; Agencia Estatal de Investigacion (AEI) [PID2019-105249GB-I00/AEI/10.13039/501100011033]; Severo Ochoa Programme for Centres of Excellence in R&amp;D (Barcelona School of Economics) - MCIN/AEI/ [CEX2019-000915-S]</t>
  </si>
  <si>
    <t>European Commission(European Union (EU)European Commission Joint Research Centre); Fundacion BBVA(BBVA Foundation); Agencia Estatal de Investigacion (AEI); Severo Ochoa Programme for Centres of Excellence in R&amp;D (Barcelona School of Economics) - MCIN/AEI/</t>
  </si>
  <si>
    <t>G. Le Mens benefited from financial support from ERC Consolidator Grant \#772268 from the European Commission, an ICREA Academia grant, the Fundacion BBVA Grant G999088Q, and the Agencia Estatal de Investigacion (AEI), through grant PID2019-105249GB-I00/AEI/10.13039/501100011033. G. Le Mens also acknowledge financial support from the Severo Ochoa Programme for Centres of Excellence in R&amp;D (Barcelona School of Economics CEX2019-000915-S), funded by MCIN/AEI/10.13039/501100011033.</t>
  </si>
  <si>
    <t>e0293805</t>
  </si>
  <si>
    <t>10.1371/journal.pone.0293805</t>
  </si>
  <si>
    <t>CD9I7</t>
  </si>
  <si>
    <t>WOS:001123425300063</t>
  </si>
  <si>
    <t>Li, J; Xu, XB</t>
  </si>
  <si>
    <t>Li, Jin; Xu, Xiaobo</t>
  </si>
  <si>
    <t>A Study of Big Data-Based Employees' Public Opinion System Construction</t>
  </si>
  <si>
    <t>JOURNAL OF INDUSTRIAL INTEGRATION AND MANAGEMENT-INNOVATION AND ENTREPRENEURSHIP</t>
  </si>
  <si>
    <t>Big data; online public opinion system; employees' public opinion system</t>
  </si>
  <si>
    <t>DATA ANALYTICS; INDUSTRY 4.0</t>
  </si>
  <si>
    <t>With the rapid development of the Internet and big data, social self-media such as Weibo, WeChat, Tiktok, and QQ space has directly contributed to the speed and the channel of employees' public opinions. The convergence and the impact of emotion are getting faster and faster. Timely and effective understanding and grasping the changes and development of employees' public opinion has become an important topic. The development of big data technology makes it possible and necessary to construct an employees' public opinion system. Based on big data and theories of public opinion generation and dissemination, this paper built a big data-based employees' public opinion system and its main functions, including big data collection, data processing, data storage, data analysis, data visualization, and early warning of employees' public opinion. Finally, we also defined the rich connotation of employees' public opinion index.</t>
  </si>
  <si>
    <t>[Li, Jin] Univ Chinese Acad Social Sci, Sch Media, Beijing 100732, Peoples R China; [Xu, Xiaobo] Amer Univ Sharjah, Sch Business Adm, Sharjah, U Arab Emirates</t>
  </si>
  <si>
    <t>Chinese Academy of Social Sciences; University of Chinese Academy of Social Sciences; American University of Sharjah</t>
  </si>
  <si>
    <t>Li, J (corresponding author), Univ Chinese Acad Social Sci, Sch Media, Beijing 100732, Peoples R China.</t>
  </si>
  <si>
    <t>2472632818@qq.com; xiaobo@aus.edu</t>
  </si>
  <si>
    <t>Xu, Xiaobo/0000-0002-6360-3752</t>
  </si>
  <si>
    <t>2424-8622</t>
  </si>
  <si>
    <t>2424-8630</t>
  </si>
  <si>
    <t>J IND INTEGR MANAG</t>
  </si>
  <si>
    <t>J. Ind. Integr. Manag.</t>
  </si>
  <si>
    <t>10.1142/S2424862220500062</t>
  </si>
  <si>
    <t>MC8TL</t>
  </si>
  <si>
    <t>WOS:000543551900003</t>
  </si>
  <si>
    <t>Ahuja, J; Fichadia, PA</t>
  </si>
  <si>
    <t>Ahuja, Jai; Fichadia, Palak A.</t>
  </si>
  <si>
    <t>Concerns Regarding the Glorification of Mental Illness on Social Media</t>
  </si>
  <si>
    <t>awareness building; watching movies; mental health professional; social media; mental health illness</t>
  </si>
  <si>
    <t>In today's world, it is becoming increasingly important to address not only the need for awareness of mental illnesses but also the undue glorification of the same by certain segments of society. Social media has been a major influence on Generation Z in terms of self -diagnosing mental illnesses and romanticizing them. More and more individuals have started recognizing online trends of self -diagnosis of mental illness, and it is increasingly plausible in the process of normalizing the conversation around mental health through memes, TikTok videos, and viral tweets; this has had the paradoxical effect of romanticization of mental illness in certain segments of society. Through this editorial, we would like to highlight this important issue and urge the mental health community to be cognizant of this phenomenon, lest it curtail society's recent advancements in mental health destigmatisation.</t>
  </si>
  <si>
    <t>[Ahuja, Jai] Dr DY Patil Med Coll Hosp &amp; Res Ctr, Psychiat, Pune, India; [Fichadia, Palak A.] Smt Nathiba Hargovandas Lakhmichand Municipal Med, Med, Ahmadabad, Gujrat, India</t>
  </si>
  <si>
    <t>Dr DY Patil Vidyapeeth Pune; Dr D Y Patil Medical College, Hospital &amp; Research Centre</t>
  </si>
  <si>
    <t>Fichadia, PA (corresponding author), Smt Nathiba Hargovandas Lakhmichand Municipal Med, Med, Ahmadabad, Gujrat, India.</t>
  </si>
  <si>
    <t>palakaf@gmail.com</t>
  </si>
  <si>
    <t>Ahuja, Jai/0009-0004-4916-752X</t>
  </si>
  <si>
    <t>MAR 21</t>
  </si>
  <si>
    <t>e56631</t>
  </si>
  <si>
    <t>10.7759/cureus.56631</t>
  </si>
  <si>
    <t>OJ8R5</t>
  </si>
  <si>
    <t>WOS:001206999700029</t>
  </si>
  <si>
    <t>Prindle, CR; Orchanian, NM; Venkataraman, L; Nuckolls, C</t>
  </si>
  <si>
    <t>Prindle, Claudia R.; Orchanian, Nicholas M.; Venkataraman, Latha; Nuckolls, Colin</t>
  </si>
  <si>
    <t>Short-Form Videos as an Emerging Social Media Tool for STEM Edutainment</t>
  </si>
  <si>
    <t>Internet/Web-Based Learning; Multimedia-Based Learning; Distance Learning; Public Understanding/Outreach; General Public; Elementary/Middle School Science; High School/Introductory Chemistry</t>
  </si>
  <si>
    <t>EDUCATION; CHEMISTRY</t>
  </si>
  <si>
    <t>As social media platforms continue to grow in popularity, there is an increasing need for science outreach teams to bring STEM content to the virtual landscape. Here, we highlight the use of short-form videos on our TikTok channel-@IvyLeagueScience-as a new way to approach science outreach. Through a combination of content production and data analytics, we were able to build an online platform with &gt;150k followers, 3.6 million likes, and 18 million views. By bringing science to social media, we engage with students across the world, allowing them to experience science-based content. In this case study, we hope to encourage other scientific outreach teams to employ social media as a means of increasing visibility of scientists and STEM careers.</t>
  </si>
  <si>
    <t>[Prindle, Claudia R.; Orchanian, Nicholas M.; Venkataraman, Latha; Nuckolls, Colin] Columbia Univ, Dept Chem, New York, NY 10027 USA; [Venkataraman, Latha] Columbia Univ, Dept Appl Phys &amp; Appl Math, New York, NY 10027 USA</t>
  </si>
  <si>
    <t>Columbia University; Columbia University</t>
  </si>
  <si>
    <t>Venkataraman, L; Nuckolls, C (corresponding author), Columbia Univ, Dept Chem, New York, NY 10027 USA.;Venkataraman, L (corresponding author), Columbia Univ, Dept Appl Phys &amp; Appl Math, New York, NY 10027 USA.</t>
  </si>
  <si>
    <t>lv2117@columbia.edu; cn37@columbia.edu</t>
  </si>
  <si>
    <t>Venkataraman, Latha/G-9786-2011</t>
  </si>
  <si>
    <t>Prindle, Claudia/0009-0008-4111-3550; Venkataraman, Latha/0000-0002-6957-6089; Orchanian, Nicholas/0000-0001-5752-6845</t>
  </si>
  <si>
    <t>Columbia University [CHE-2023568]; NSF; National Defense Science and Engineering Graduate Fellowship; Columbia Nano Initiative at Columbia University</t>
  </si>
  <si>
    <t>Columbia University; NSF(National Science Foundation (NSF)); National Defense Science and Engineering Graduate Fellowship; Columbia Nano Initiative at Columbia University</t>
  </si>
  <si>
    <t>This work was primarily supported by the NSF CHE-2023568 CCI Phase I: Center for Chemistry with Electric Fields. C.R.P. was supported by a National Defense Science and Engineering Graduate Fellowship. N.M.O. thanks the Columbia Nano Initiative at Columbia University for postdoctoral fellowship support. We thank Prof. Austin Evans and Carliza Canela for help producing videos and educational resources.</t>
  </si>
  <si>
    <t>FEB 14</t>
  </si>
  <si>
    <t>10.1021/acs.jchemed.3c01185</t>
  </si>
  <si>
    <t>KO8F8</t>
  </si>
  <si>
    <t>WOS:001166533800001</t>
  </si>
  <si>
    <t>Pierri, F; Liu, G; Ceri, S</t>
  </si>
  <si>
    <t>Pierri, Francesco; Liu, Geng; Ceri, Stefano</t>
  </si>
  <si>
    <t>ITA-ELECTION-2022: A Multi-Platform Dataset of Social Media Conversations Around the 2022 Italian General Election</t>
  </si>
  <si>
    <t>PROCEEDINGS OF THE 32ND ACM INTERNATIONAL CONFERENCE ON INFORMATION AND KNOWLEDGE MANAGEMENT, CIKM 2023</t>
  </si>
  <si>
    <t>32nd ACM International Conference on Information and Knowledge Management (CIKM)</t>
  </si>
  <si>
    <t>OCT 21-25, 2023</t>
  </si>
  <si>
    <t>Birmingham, ENGLAND</t>
  </si>
  <si>
    <t>Assoc Comp Machinery,ACM Special Interest Grp Informat Retrieval,ACM SIGWEB</t>
  </si>
  <si>
    <t>advertisement; Italy; multi-platform; politics; social media</t>
  </si>
  <si>
    <t>Online social media play a major role in shaping public discourse and opinion, especially during political events. We present the first public multi-platform dataset of Italian-language political conversations, focused on the 2022 Italian general election taking place on September 25th. Leveraging public APIs and a keyword-based search, we collected millions of posts published by users, pages and groups on Facebook, Instagram and Twitter, along with metadata of TikTok and YouTube videos shared on these platforms, over a period of four months. We augmented the dataset with a collection of political ads sponsored on Meta platforms, and a list of social media handles associated with political representatives. Our data resource will allow researchers and academics to further our understanding of the role of social media in the democratic process.</t>
  </si>
  <si>
    <t>[Pierri, Francesco; Liu, Geng; Ceri, Stefano] Politecn Milan, Dipartimento Elettron Informaz &amp; Bioingn, Milan, Italy</t>
  </si>
  <si>
    <t>Polytechnic University of Milan</t>
  </si>
  <si>
    <t>Pierri, F (corresponding author), Politecn Milan, Dipartimento Elettron Informaz &amp; Bioingn, Milan, Italy.</t>
  </si>
  <si>
    <t>francesco.pierri@polimi.it; geng.liu@polimi.it; stefano.ceri@polimi.it</t>
  </si>
  <si>
    <t>Pierri, Francesco/JXX-2667-2024</t>
  </si>
  <si>
    <t>Pierri, Francesco/0000-0002-9339-7566; Ceri, Stefano/0000-0003-0671-2415</t>
  </si>
  <si>
    <t>PRIN grant HOPE (FP6, Italian Ministry of Education)</t>
  </si>
  <si>
    <t>We are thankful to M.Sc. students Valeria Pante and Ilaria Saini for helping match social media accounts to political representatives. Work supported in part by PRIN grant HOPE (FP6, Italian Ministry of Education).</t>
  </si>
  <si>
    <t>979-8-4007-0124-5</t>
  </si>
  <si>
    <t>10.1145/3583780.3615121</t>
  </si>
  <si>
    <t>Computer Science, Artificial Intelligence; Computer Science, Information Systems</t>
  </si>
  <si>
    <t>BW5IO</t>
  </si>
  <si>
    <t>WOS:001161549505094</t>
  </si>
  <si>
    <t>Chen, YH; Harncharnchai, A; Saeheaw, T</t>
  </si>
  <si>
    <t>Chen, Yuehan; Harncharnchai, Atichart; Saeheaw, Teeraporn</t>
  </si>
  <si>
    <t>Current and Future Direction of Social Media Marketing in SMEs: A Systematic Literature Review</t>
  </si>
  <si>
    <t>2021 IEEE INTERNATIONAL CONFERENCE ON E-BUSINESS ENGINEERING (ICEBE 2021)</t>
  </si>
  <si>
    <t>International Conference on e-Business Engineering</t>
  </si>
  <si>
    <t>17th IEEE International Conference on E-Business Engineering (ICEBE)</t>
  </si>
  <si>
    <t>NOV 12-14, 2021</t>
  </si>
  <si>
    <t>S China Univ Technol, Guangzhou, PEOPLES R CHINA</t>
  </si>
  <si>
    <t>IEEE,IEEE Comp Soc,Tech Comm Business Informat &amp; Syst,China Natl Engn Lab E Commerce Technologies,S China Univ Technol,Coventry Univ</t>
  </si>
  <si>
    <t>S China Univ Technol</t>
  </si>
  <si>
    <t>social media marketing; SMEs; systematic literature review; taxonomy; knowledge management</t>
  </si>
  <si>
    <t>ENTERPRISES; PERFORMANCE; IMPACT</t>
  </si>
  <si>
    <t>In the digital transformation, SMEs have gradually realized the benefits of social media as a marketing tool to enhance their competitiveness. Studies about SMEs' social media marketing are still in the initial stage and fragmented in their focus. This study conducts a systematic literature review for the social media marketing of SMEs. A total of sixteen articles were included after the selection with eligibility criteria from 179 literature published between 2016 and 2020 and synthesized to identify the current research about the social media marketing of SMEs, including the methods, theories, platforms of current research, and the motivations that drove the SMEs to adopt social media marketing. It was also found that the social media marketing with customer knowledge management and TikTok marketing of SMEs may be of potential for future research and practice.</t>
  </si>
  <si>
    <t>[Chen, Yuehan; Harncharnchai, Atichart; Saeheaw, Teeraporn] Chiang Mai Univ, Coll Arts Media &amp; Technol, Chiang Mai, Thailand</t>
  </si>
  <si>
    <t>Chiang Mai University</t>
  </si>
  <si>
    <t>Chen, YH (corresponding author), Chiang Mai Univ, Coll Arts Media &amp; Technol, Chiang Mai, Thailand.</t>
  </si>
  <si>
    <t>yuehan_c@cmu.ac.th; atichart.h@cmu.ac.th; teeraporn.s@cmu.ac.th</t>
  </si>
  <si>
    <t>Chen, Yuehan/0000-0002-3603-9842</t>
  </si>
  <si>
    <t>978-1-6654-4418-7</t>
  </si>
  <si>
    <t>INT CONF E BUS ENG</t>
  </si>
  <si>
    <t>10.1109/ICEBE52470.2021.00017</t>
  </si>
  <si>
    <t>Business; Computer Science, Artificial Intelligence; Computer Science, Information Systems; Computer Science, Interdisciplinary Applications; Management</t>
  </si>
  <si>
    <t>BU7MF</t>
  </si>
  <si>
    <t>WOS:000942017800024</t>
  </si>
  <si>
    <t>Beyaert-Geslin, A</t>
  </si>
  <si>
    <t>Beyaert-Geslin, Anne</t>
  </si>
  <si>
    <t>Notes on Short Forms ⟪With My Smartphone, I Am An Artist!⟫</t>
  </si>
  <si>
    <t>VERSUS-QUADERNI DI STUDI SEMIOTICI</t>
  </si>
  <si>
    <t>Short Forms; Syncretic Density; Object; Design; Use</t>
  </si>
  <si>
    <t>Communication produces very short utterances whose syncretic organization on a screen intimately combines images, verbal text, graphics and sound. These audio-visual mass mediaforms (TikTok, Instagram, in particular) have a particular syncretic density and con-traction and are disseminated within the framework of a routine amateur practice. Both well-known properties could mask a less often mentioned characteristic, which relates to the solidarity of the image and its digital support. This article will examine this depend-ence of brief forms on their digital support to consider the problem not only from the image, but also from the point of view of the object and its design. This will allow us to consider several paradoxes to which these utterances expose us and in particular that which consists in combining complexity of production and easy reading.</t>
  </si>
  <si>
    <t>[Beyaert-Geslin, Anne] Univ Bordeaux Montaigne, 19 Esplanade Antilles, F-33607 Pessac, France</t>
  </si>
  <si>
    <t>Beyaert-Geslin, A (corresponding author), Univ Bordeaux Montaigne, 19 Esplanade Antilles, F-33607 Pessac, France.</t>
  </si>
  <si>
    <t>anne.geslin-beyaert@u-bordeaux-montagne.fr</t>
  </si>
  <si>
    <t>Anne, BEYAERT-GESLIN/U-8558-2019</t>
  </si>
  <si>
    <t>SOC ED IL MULINO</t>
  </si>
  <si>
    <t>BOLOGNA</t>
  </si>
  <si>
    <t>STRADA MAGGIORE 37, 40125 BOLOGNA, ITALY</t>
  </si>
  <si>
    <t>0393-8255</t>
  </si>
  <si>
    <t>VERSUS</t>
  </si>
  <si>
    <t>Versus</t>
  </si>
  <si>
    <t>F0I6W</t>
  </si>
  <si>
    <t>WOS:001306748900002</t>
  </si>
  <si>
    <t>Kotsonis, A; Dunne, G</t>
  </si>
  <si>
    <t>Kotsonis, Alkis; Dunne, Gerry</t>
  </si>
  <si>
    <t>The harms of unattainable pedagogical exemplars on social media</t>
  </si>
  <si>
    <t>JOURNAL OF MORAL EDUCATION</t>
  </si>
  <si>
    <t>Exemplarism; unattainable and idealized exemplars; social media; harm; emotional wellbeing</t>
  </si>
  <si>
    <t>SELF-DETERMINATION THEORY; EDUCATION; VIRTUE; ROLES</t>
  </si>
  <si>
    <t>This paper scrutinizes the nature and scope of deleterious consequences arising from the pursuit of unattainable pedagogical exemplars on social media. We cash out this phenomenon using exemplarist theory to emphasize the fact that social media (e.g., Facebook, Instagram, TikTok) are platforms in which the vast majority of users present idealized and curated versions of themselves. We focus specifically on educational practitioners and show that attempting to emulate unattainable pedagogical exemplars has negative impacts on agents' emotional well-being: It can cause burnout and self-conflict, decrease motivation, and also inflict detrimental outcomes on agents' self-esteem. We conclude that attainable, relevant, relatable, and authentic exemplars are key to a successful exemplarist approach and that safeguarding against unattainable pedagogical exemplars is of paramount importance for the wellbeing of pedagogues, and by extension, the success of educational systems.</t>
  </si>
  <si>
    <t>[Kotsonis, Alkis] Univ Glasgow, Sch Educ, Glasgow, Lanark, Scotland; [Dunne, Gerry] Trinity Coll Dublin, Marino Inst Educ, Dublin, Ireland</t>
  </si>
  <si>
    <t>University of Glasgow; Trinity College Dublin; Marino Institute of Education</t>
  </si>
  <si>
    <t>Kotsonis, A (corresponding author), Univ Glasgow, 11 Eldon St,St Andrews Bldg, Glasgow G3 6NH, Lanark, Scotland.</t>
  </si>
  <si>
    <t>alkiskotsonis@hotmail.com</t>
  </si>
  <si>
    <t>Kotsonis, Alkis/0000-0003-2097-2627; Dunne, Gerry/0000-0002-0137-8027</t>
  </si>
  <si>
    <t>0305-7240</t>
  </si>
  <si>
    <t>1465-3877</t>
  </si>
  <si>
    <t>J MORAL EDUC</t>
  </si>
  <si>
    <t>J. Moral Educ.</t>
  </si>
  <si>
    <t>10.1080/03057240.2023.2225763</t>
  </si>
  <si>
    <t>JE7F5</t>
  </si>
  <si>
    <t>WOS:001021430300001</t>
  </si>
  <si>
    <t>Wang, H</t>
  </si>
  <si>
    <t>Wang, Hao</t>
  </si>
  <si>
    <t>Effective Visualization and Analysis of Recommender Systems</t>
  </si>
  <si>
    <t>2022 9TH INTERNATIONAL FORUM ON ELECTRICAL ENGINEERING AND AUTOMATION, IFEEA</t>
  </si>
  <si>
    <t>9th International Forum on Electrical Engineering and Automation (IFEEA)</t>
  </si>
  <si>
    <t>NOV 04-06, 2022</t>
  </si>
  <si>
    <t>recommender system; Takens Embedding; Determinantal Point Process; Social Network Analysis; visualization</t>
  </si>
  <si>
    <t>Recommender system exists everywhere in the business world. From Goodreads to TikTok, customers of internet products become more addicted to the products thanks to the technology. Industrial practitioners focus on increasing the technical accuracy of recommender systems while at same time balancing other factors such as diversity and serendipity. In spite of the length of the research and development history of recommender systems, there has been little discussion on how to take advantage of visualization techniques to facilitate the algorithmic design of the technology. In this paper, we use a series of data analysis and visualization techniques such as Takens Embedding, Determinantal Point Process and Social Network Analysis to help people develop effective recommender systems by predicting intermediate computational cost and output performance. Our work is pioneering in the field, as to our limited knowledge, there have been few publications (if any) on visualization of recommender systems.</t>
  </si>
  <si>
    <t>[Wang, Hao] Ratidar Com, Beijing, Peoples R China</t>
  </si>
  <si>
    <t>Wang, H (corresponding author), Ratidar Com, Beijing, Peoples R China.</t>
  </si>
  <si>
    <t>Haow85@live.com</t>
  </si>
  <si>
    <t>Wang, Hao/AAI-3239-2020</t>
  </si>
  <si>
    <t>978-1-6654-6421-5</t>
  </si>
  <si>
    <t>10.1109/IFEEA57288.2022.10038083</t>
  </si>
  <si>
    <t>Computer Science, Information Systems; Engineering, Electrical &amp; Electronic; Robotics</t>
  </si>
  <si>
    <t>Computer Science; Engineering; Robotics</t>
  </si>
  <si>
    <t>BV0RL</t>
  </si>
  <si>
    <t>WOS:000976854200122</t>
  </si>
  <si>
    <t>The Rise of Social Journalism: An Explorative Case Study of a Youth-oriented Instagram News Account</t>
  </si>
  <si>
    <t>News production; news dissemination; news values; content analysis; social media; public service media; Europe; Belgium</t>
  </si>
  <si>
    <t>DIVERSITY; MEDIA; PERSONALIZATION; VALUES</t>
  </si>
  <si>
    <t>Social media have become indispensable tools for (legacy) news companies and brands to increase online traffic for their own platforms. A recent trend is the production and dissemination of native news content specifically for and through platforms such as Facebook, Instagram and TikTok. This paper uses a mixed methods research design to study the news production and content of @nws.nws.nws, a hugely popular Instagram channel targeting 13-17-year olds in Flanders (Belgium) which is maintained by the newsroom of VRT, the Flemish PSM. The explorative study highlights the differences in journalistic practice when producing news content for online platforms only and the changes it entails for traditional news values, dependency on social media platforms and media regulation.</t>
  </si>
  <si>
    <t>[Hendrickx, Jonathan] Vrije Univ Brussel, Imec SMIT, Brussels, Belgium</t>
  </si>
  <si>
    <t>Hendrickx, J (corresponding author), Vrije Univ Brussel, Imec SMIT, Brussels, Belgium.</t>
  </si>
  <si>
    <t>jonathan.hendrickx@vub.be</t>
  </si>
  <si>
    <t>10.1080/17512786.2021.2012500</t>
  </si>
  <si>
    <t>O1HP6</t>
  </si>
  <si>
    <t>WOS:000731209600001</t>
  </si>
  <si>
    <t>Kubin, E; Merz, P; Wahba, M; Davis, C; Gray, K; von Sikorski, C</t>
  </si>
  <si>
    <t>Kubin, Emily; Merz, Pascal; Wahba, Mariam; Davis, Cate; Gray, Kurt; von Sikorski, Christian</t>
  </si>
  <si>
    <t>Understanding news-related user comments and their effects: a systematic review</t>
  </si>
  <si>
    <t>user comments; digital news; content analysis; media effects; uncivil user comments</t>
  </si>
  <si>
    <t>SOCIAL MEDIA; ONLINE NEWS; HOSTILE MEDIA; CLIMATE-CHANGE; ECHO CHAMBERS; PERCEPTIONS; INCIVILITY; CIVILITY; UNCIVIL; SECTIONS</t>
  </si>
  <si>
    <t>There has been growing interest in research on news-related user comments. Here we conduct the first systematic review of this literature-quantitatively and qualitatively (248 studies)-that covers the entire communication process (content analyses, surveys, experiments). Results indicate a focus on online news articles (vs videos) and little consideration for major social media platforms (Instagram, TikTok). Research often assesses incivility in comments but offers conflicting conclusions on the actual level of incivility in comment threads-and seldom considers how to effectively combat any incivility. We propose four priorities for future work: more comparative and longitudinal approaches; exploring social media and video content; examining platform design, content moderation and artificial intelligence; and implementing measures to reduce incivility and protect the integrity of journalism.</t>
  </si>
  <si>
    <t>[Kubin, Emily; Merz, Pascal; von Sikorski, Christian] Univ Kaiserslautern Landau RPTU, Dept Psychol, Landau, Germany; [Kubin, Emily; Wahba, Mariam; Davis, Cate; Gray, Kurt] Univ North Carolina Chapel Hill, Dept Psychol &amp; Neurosci, Chapel Hill, NC USA</t>
  </si>
  <si>
    <t>University of North Carolina School of Medicine; University of North Carolina; University of North Carolina Chapel Hill</t>
  </si>
  <si>
    <t>von Sikorski, C (corresponding author), Univ Kaiserslautern Landau RPTU, Dept Psychol, Landau, Germany.</t>
  </si>
  <si>
    <t>christian.vonsikorski@rptu.de</t>
  </si>
  <si>
    <t>Kubin, Emily/AGX-6522-2022</t>
  </si>
  <si>
    <t>Schlieper Foundation [4507-LD-28202]</t>
  </si>
  <si>
    <t>Schlieper Foundation</t>
  </si>
  <si>
    <t>We would like to thank Lisa Mai for her help with proofreading the manuscript.</t>
  </si>
  <si>
    <t>10.3389/fcomm.2024.1447457</t>
  </si>
  <si>
    <t>A6P7K</t>
  </si>
  <si>
    <t>WOS:001283741600001</t>
  </si>
  <si>
    <t>Pometko, A; Dagan, E; Bertran, FA; Isbister, K</t>
  </si>
  <si>
    <t>Pometko, Alexandra; Dagan, Ella; Bertran, Ferran Altarriba; Isbister, Katherine</t>
  </si>
  <si>
    <t>Drawing From Social Media to Inspire Increasingly Playful and Social Drone Futures</t>
  </si>
  <si>
    <t>PROCEEDINGS OF THE 2021 ACM DESIGNING INTERACTIVE SYSTEMS CONFERENCE (DIS 2021)</t>
  </si>
  <si>
    <t>JUN 28-JUL 02, 2021</t>
  </si>
  <si>
    <t>Human-Drone Interaction; Playfulness; Play potentials; Situated Play Design; Social media</t>
  </si>
  <si>
    <t>In this pictorial, we explore the potential of social media to help inspire ideas for future drone design applications that support playful and social experiences. Drawing from a Situated Play Design approach [3], we turn to social media posts to identify recurring playful and social instances of drone use in social settings. We present the results of collecting 143 posts found on Instagram, TikTok, and YouTube, from which we identified a non-exhaustive list of drone-based play potentials, i.e. existing ways in which people already appropriate drones to playfully augment social situations. We present these play potentials as potentially valuable and inherently situated intermediate-level knowledge with generative power. We argue they might inspire the design of future drone technologies and experiences in Human-Drone Interaction (HDI), in directions that increasingly respond to people's desires for play and social connection.</t>
  </si>
  <si>
    <t>[Pometko, Alexandra] UC Santa Cruz, Social Mot Technol Lab, Santa Cruz, CA 95064 USA; [Dagan, Ella; Bertran, Ferran Altarriba; Isbister, Katherine] UC Santa Cruz, Social Emot Technol Lab, Santa Cruz, CA USA</t>
  </si>
  <si>
    <t>Pometko, A (corresponding author), UC Santa Cruz, Social Mot Technol Lab, Santa Cruz, CA 95064 USA.</t>
  </si>
  <si>
    <t>apometko@gmail.com; ella@ucsc.edu; ferranaltarriba@gmail.com; kisbiste@aucsc.edu</t>
  </si>
  <si>
    <t>Altarriba Bertran, Ferran/AEM-0267-2022</t>
  </si>
  <si>
    <t>Altarriba Bertran, Ferran/0000-0002-3692-3777</t>
  </si>
  <si>
    <t>978-1-4503-8476-6</t>
  </si>
  <si>
    <t>10.1145/3461778.3462020</t>
  </si>
  <si>
    <t>Computer Science, Cybernetics; Computer Science, Interdisciplinary Applications; Computer Science, Theory &amp; Methods; Ergonomics</t>
  </si>
  <si>
    <t>BS6FH</t>
  </si>
  <si>
    <t>WOS:000747486000051</t>
  </si>
  <si>
    <t>Weng, NN; Wang, JH; Li, AN; Wang, YH</t>
  </si>
  <si>
    <t>IEEE COMP SOC</t>
  </si>
  <si>
    <t>Weng, Nina; Wang, Jiahao; Li, Annan; Wang, Yunhong</t>
  </si>
  <si>
    <t>Two-Stream Temporal Convolutional Network for Dynamic Facial Attractiveness Prediction</t>
  </si>
  <si>
    <t>2020 25TH INTERNATIONAL CONFERENCE ON PATTERN RECOGNITION (ICPR)</t>
  </si>
  <si>
    <t>International Conference on Pattern Recognition</t>
  </si>
  <si>
    <t>25th International Conference on Pattern Recognition (ICPR)</t>
  </si>
  <si>
    <t>JAN 10-15, 2021</t>
  </si>
  <si>
    <t>Int Assoc Pattern Recognit,IEEE Comp Soc,Italian Assoc Comp Vis Pattern Recognit &amp; Machine Learning</t>
  </si>
  <si>
    <t>EXPRESSION RECOGNITION</t>
  </si>
  <si>
    <t>In the field of facial attractiveness prediction, while deep models using static pictures have shown promising results, little attention is paid to dynamic facial information, which is proven to be influential by psychological studies. Meanwhile, the increasing popularity of short video apps creates an enormous demand for facial attractiveness prediction from short video clips. In this paper, we target on the dynamic facial attractiveness prediction problem. To begin with, a large-scale video-based facial attractiveness prediction dataset (VFAP) with more than one thousand clips from TikTok is collected. A two-stream temporal convolutional network (2S-TCN) is then proposed to capture dynamic attractiveness features from both facial appearance and landmarks. We employ attentive feature enhancement along with specially designed modality and temporal fusion strategies to better explore the temporal dynamics. Extensive experiments on the proposed VFAP dataset demonstrate that 2S-TCN has a distinct advantage over the state-of-the-art static prediction methods.</t>
  </si>
  <si>
    <t>[Weng, Nina] Beihang Univ, Shenyuan Honors Coll, Beijing, Peoples R China; [Wang, Jiahao; Li, Annan; Wang, Yunhong] Beihang Univ, Sch Comp Sci &amp; Engn, Beijing, Peoples R China; [Weng, Nina] Beihang Univ, Beijing, Peoples R China</t>
  </si>
  <si>
    <t>Beihang University; Beihang University; Beihang University</t>
  </si>
  <si>
    <t>Li, AN (corresponding author), Beihang Univ, Sch Comp Sci &amp; Engn, Beijing, Peoples R China.</t>
  </si>
  <si>
    <t>wengnn@buaa.edu.cn; jhwang@buaa.edu.cn; liannan@buaa.edu.cn; yhwang@buaa.edu.cn</t>
  </si>
  <si>
    <t>Li, Annan/KRP-2299-2024; wang, jiahao/HLV-7669-2023</t>
  </si>
  <si>
    <t>Li, Annan/0000-0003-3497-5052</t>
  </si>
  <si>
    <t>National Key Research and Development Plan [2016YFB1001002]; CCFTencent Rhino-Bird Research Fund</t>
  </si>
  <si>
    <t>National Key Research and Development Plan(National Key Research &amp; Development Program of China); CCFTencent Rhino-Bird Research Fund</t>
  </si>
  <si>
    <t>This work was supported by the National Key Research and Development Plan (Grant No.2016YFB1001002) and CCFTencent Rhino-Bird Research Fund.</t>
  </si>
  <si>
    <t>1051-4651</t>
  </si>
  <si>
    <t>978-1-7281-8808-9</t>
  </si>
  <si>
    <t>INT C PATT RECOG</t>
  </si>
  <si>
    <t>10.1109/ICPR48806.2021.9413333</t>
  </si>
  <si>
    <t>Computer Science, Artificial Intelligence; Engineering, Electrical &amp; Electronic; Imaging Science &amp; Photographic Technology</t>
  </si>
  <si>
    <t>BS0DY</t>
  </si>
  <si>
    <t>WOS:000681331402071</t>
  </si>
  <si>
    <t>Liao, FQ; Huang, YF; Lai, YK; Xie, JF</t>
  </si>
  <si>
    <t>Liao, Foqiang; Huang, Yunfeng; Lai, Yongkang; Xie, Junfeng</t>
  </si>
  <si>
    <t>The status quo of short videos as a source of health information regarding bowel preparation before colonoscopy</t>
  </si>
  <si>
    <t>bowel preparation; colonoscopy; short videos; health information; overall quality</t>
  </si>
  <si>
    <t>PREPARATION QUALITY; IMPACT</t>
  </si>
  <si>
    <t>Background For high-quality colonoscopies, adequate bowel preparation is a prerequisite, closely associated with the diagnostic accuracy and therapeutic safety of colonoscopy. Although popular-science short videos can help people quickly access health information, the overall quality of such short videos as a source of health information regarding bowel preparation before colonoscopy is unclear. Therefore, we intend to conduct a cross-sectional study to investigate the quality of bowel preparation information before colonoscopy through short videos taken on TikTok and Bilibili.Methods The Chinese phrases colonoscopy and bowel preparation were used as keywords to search for and screen the top 100 videos in the comprehensive rankings on TikTok and Bilibili. The Global Quality Score (GQS) and the modified DISCERN score were used to assess the quality of the information provided in these short videos.Results A total of 186 short videos were included in this study; 56.5% of them were posted by health professionals, whereas 43.5% of them were posted by nonhealth professionals. The overall quality of these videos was unsatisfactory, with a median DISCERN score of 3 (2-4) and a median GQS of 3 (3-4). The radar maps showed that videos posted by gastroenterologists had higher completeness scores regarding outcomes, management, and risk factors, while nongastroenterologists had higher completeness scores concerning adverse effects, symptoms, and definitions of bowel preparation. Additionally, the median DISCERN score and GQS of the videos posted by gastroenterologists were 3 (3-4) and 3 (3-4), respectively, whereas the quality of the videos posted by patients was the worst, with a median DISCERN score of 2 (1-2) and a median GQS of 2 (1.25-3).Conclusion In conclusion, the overall quality of health information-related videos on bowel preparation before colonoscopy posted on specified short video platforms was not satisfactory. Gastroenterologists provide more information on the outcomes, management, and risk factors for bowel preparation before colonoscopy, while nongastroenterologists focus on adverse effects, symptoms, and definitions of bowel preparation.</t>
  </si>
  <si>
    <t>[Liao, Foqiang; Lai, Yongkang; Xie, Junfeng] Nanchang Univ, Affiliated Ganzhou Peoples Hosp, Jiangxi Med Coll, Dept Gastroenterol, Ganzhou, Peoples R China; [Liao, Foqiang; Huang, Yunfeng] Nanchang Univ, Affiliated Hosp 1, Dept Gastroenterol, Nanchang, Jiangxi, Peoples R China</t>
  </si>
  <si>
    <t>Nanchang University; Nanchang University</t>
  </si>
  <si>
    <t>Lai, YK; Xie, JF (corresponding author), Nanchang Univ, Affiliated Ganzhou Peoples Hosp, Jiangxi Med Coll, Dept Gastroenterol, Ganzhou, Peoples R China.</t>
  </si>
  <si>
    <t>409275844@qq.com; xjf_09@163.com</t>
  </si>
  <si>
    <t>yongkang, lai/JBR-9816-2023</t>
  </si>
  <si>
    <t>Nanchang University10.13039/501100004637</t>
  </si>
  <si>
    <t>We thank Bullet Edits Limited for the linguistic editing and proofreading of the manuscript.</t>
  </si>
  <si>
    <t>10.3389/fpubh.2024.1309632</t>
  </si>
  <si>
    <t>JF3L4</t>
  </si>
  <si>
    <t>WOS:001171710900001</t>
  </si>
  <si>
    <t>Ravi, K; Yuan, JS</t>
  </si>
  <si>
    <t>Ravi, Kamalakkannan; Yuan, Jiann-Shiun</t>
  </si>
  <si>
    <t>Ideological orientation and extremism detection in online social networking sites: A systematic review</t>
  </si>
  <si>
    <t>INTELLIGENT SYSTEMS WITH APPLICATIONS</t>
  </si>
  <si>
    <t>Extremism detection; Machine learning; Natural language processing; Predictive models; Social media; User-generated content</t>
  </si>
  <si>
    <t>AFFECTIVE POLARIZATION; MEDIA; AUTHORITARIANISM; DISINFORMATION; CLASSIFICATION; INFORMATION; DISCUSSIONS; PERCEPTIONS; EXPOSURE; PARTY</t>
  </si>
  <si>
    <t>The rise of social networking sites has reshaped digital interactions, becoming fertile grounds for extremist ideologies, notably in the United States. Despite previous research, understanding and tackling online ideological extremism remains challenging. In this context, we conduct a systematic literature review to comprehensively analyze existing research and offer insights for both researchers and policymakers. Spanning from 2005 to 2023, our review includes 110 primary research articles across platforms like Twitter (X), Facebook, Reddit, TikTok, Telegram, and Parler. We observe a diverse array of methodologies, including natural language processing (NLP), machine learning (ML), deep learning (DL), graph-based methods, dictionary-based methods, and statistical approaches. Through synthesis, we aim to advance understanding and provide actionable recommendations for combating ideological extremism effectively on online social networking sites.</t>
  </si>
  <si>
    <t>[Ravi, Kamalakkannan; Yuan, Jiann-Shiun] Univ Cent Florida, Dept Elect &amp; Comp Engn, Orlando, FL 32816 USA</t>
  </si>
  <si>
    <t>State University System of Florida; University of Central Florida</t>
  </si>
  <si>
    <t>Ravi, K (corresponding author), Univ Cent Florida, Dept Elect &amp; Comp Engn, Orlando, FL 32816 USA.</t>
  </si>
  <si>
    <t>kamalakkannan.ravi@ucf.edu; jiann-shiun.yuan@ucf.edu</t>
  </si>
  <si>
    <t>UCF College of Graduate Studies Open Access Publishing Fund</t>
  </si>
  <si>
    <t>We thank Azwad Tamir and Fatemeh Dashti Ahangar for their help in proofreading this paper. Article processing charges were provided in part by the UCF College of Graduate Studies Open Access Publishing Fund.</t>
  </si>
  <si>
    <t>2667-3053</t>
  </si>
  <si>
    <t>INTELL SYST APPL</t>
  </si>
  <si>
    <t>Intell. Syst. Appl.</t>
  </si>
  <si>
    <t>10.1016/j.iswa.2024.200456</t>
  </si>
  <si>
    <t>M2R1Y</t>
  </si>
  <si>
    <t>WOS:001356055300001</t>
  </si>
  <si>
    <t>Golfetto, MA</t>
  </si>
  <si>
    <t>Golfetto, Marco Aurelio</t>
  </si>
  <si>
    <t>Multiglossic contexts: varieties of Arabic and their use in social media</t>
  </si>
  <si>
    <t>Arabic didactics; Arabic linguistics; social media; MSA; Arabic culture</t>
  </si>
  <si>
    <t>This article presents a teaching activity carried out as part of the TikTok Mundi internship. The paper, which is addressed to an audience that is not specialised in the specific discipline, opens by outlining the linguistic and geographical boundaries of the 'Arabic world', emphasizing the need for critical reflection on the related- distinct yet interrelated- concepts of linguistic and cultural domains. It offers sociolinguistic remarks on the pluriglossic reality of the Arabic world, on the variants of Arabic, and on common language devices, such as code-mixing and code-switching. Finally, it considers the use of social media by the young segment of the population of Arab countries and how they use different language varieties, also considering some social implications and the modifications that this context of use may induce in the language itself.</t>
  </si>
  <si>
    <t>[Golfetto, Marco Aurelio] Univ Milan, Milan, Italy</t>
  </si>
  <si>
    <t>Golfetto, MA (corresponding author), Univ Milan, Milan, Italy.</t>
  </si>
  <si>
    <t>marco.golfetto@unimi.it</t>
  </si>
  <si>
    <t>WOS:001336390400005</t>
  </si>
  <si>
    <t>Serrano-Jiménez, A; Esquivias, PM; Fuentes-García, R; Valverde-Palacios, I</t>
  </si>
  <si>
    <t>Bardi-Mila, B; Garcia-Escudero, D</t>
  </si>
  <si>
    <t>Serrano-Jimenez, Antonio; Esquivias, Paula M.; Fuentes-Garcia, Raquel; Valverde-Palacios, Ignacio</t>
  </si>
  <si>
    <t>Flipped classroom, gamification and multimedia in Construction by using social networks</t>
  </si>
  <si>
    <t>XI JORNADAS SOBRE INNOVACION DOCENTE EN ARQUITECTURA, JIDA 2023</t>
  </si>
  <si>
    <t>Jornades sobre Innovacio Docent en Arquitectura</t>
  </si>
  <si>
    <t>11th Conference on Teaching Innovation in Architecture (JIDA)</t>
  </si>
  <si>
    <t>NOV 16-17, 2023</t>
  </si>
  <si>
    <t>HIGHER TECH SCHOOL ARCHITECTURE GRANADA, Granada, SPAIN</t>
  </si>
  <si>
    <t>HIGHER TECH SCHOOL ARCHITECTURE GRANADA</t>
  </si>
  <si>
    <t>active learning; constructive systems; flipped classroom; audiovisual material; TikTok</t>
  </si>
  <si>
    <t>STUDENT; ENGAGEMENT</t>
  </si>
  <si>
    <t>The complexity of technical subjects related to the construction field, in Architecture Studies, is elevated in the first years of study due to the lack of fundamental knowledge of terms and properties in construction systems. Students enter their first year without previous fundamental training, in most cases, without having visited a construction site, generating pedagogical challenges. Given the complexity of the subject, traditional teaching causes mechanisation and memorisation, erroneous on many occasions, replacing reasoning and understanding of the usefulness of each system and constructive solution. Taking advantage of the entertaining and dynamic potential of Social Networks in students, this work analyses the design, development, and experimentation of a flipped classroom teaching model that combines explanations of main concepts and construction systems through recorded and explained videos by the students themselves, in search of an active, playful and motivating learning methodology.</t>
  </si>
  <si>
    <t>[Serrano-Jimenez, Antonio; Esquivias, Paula M.; Fuentes-Garcia, Raquel; Valverde-Palacios, Ignacio] Univ Granada, Dept Construcc Arquitecton, Granada, Spain</t>
  </si>
  <si>
    <t>Serrano-Jiménez, A (corresponding author), Univ Granada, Dept Construcc Arquitecton, Granada, Spain.</t>
  </si>
  <si>
    <t>serranojimenez@ugr.es; paulam.esquivias@ugr.es; rfuentes@ugr.es; nachoval@ugr.es</t>
  </si>
  <si>
    <t>Valverde-Palacios, Ignacio/B-4491-2012</t>
  </si>
  <si>
    <t>UNIV POLITECNICA CATALUNYA</t>
  </si>
  <si>
    <t>UNIV POLITECNICA CATALUNYA, BARCELONA, 00000, SPAIN</t>
  </si>
  <si>
    <t>2564-8497</t>
  </si>
  <si>
    <t>2462-571X</t>
  </si>
  <si>
    <t>JORN INNOV DOCENT AR</t>
  </si>
  <si>
    <t>10.5821/jida.2023.12131</t>
  </si>
  <si>
    <t>Architecture; Education &amp; Educational Research</t>
  </si>
  <si>
    <t>BX5VO</t>
  </si>
  <si>
    <t>WOS:001304108400004</t>
  </si>
  <si>
    <t>Haltigan, JD; Pringsheim, TM; Rajkumar, G</t>
  </si>
  <si>
    <t>Haltigan, John D.; Pringsheim, Tamara M.; Rajkumar, Gayathiri</t>
  </si>
  <si>
    <t>Social media as an incubator of personality and behavioral psychopathology: Symptom and disorder authenticity or psychosomatic social contagion?</t>
  </si>
  <si>
    <t>COMPREHENSIVE PSYCHIATRY</t>
  </si>
  <si>
    <t>DISSOCIATIVE IDENTITY DISORDER; GENDER-DIFFERENCES; SEX-DIFFERENCES; CHILDHOOD; PREVALENCE; ASSOCIATIONS; TRAITS</t>
  </si>
  <si>
    <t>There has been an increasing recognition among both medical and psychological professionals, as well as the public media, of a concerning trend for child and adolescent users of audiovisual-based, algorithmic social media platforms (e.g., TikTok) to present with or claim functional psychiatric impairment that is incon-sistent with or distinct from classic psychiatric nosology. In this short communication, we provide a detailed historical overview of this transdiagnostic phenomenon and suggest a conceptual model to organize thinking and research examining it. We then discuss the implications of our suggested model for accurate assessment, diagnosis, and medical-psychiatric treatment. We believe there is an urgent need for focused empirical research investigation into this concerning phenomenon that is related to the broader research and discourse examining social media influences on mental health.</t>
  </si>
  <si>
    <t>[Haltigan, John D.] Univ Toronto, Dept Psychiat, Toronto, ON, Canada; [Pringsheim, Tamara M.] Univ Calgary, Dept Clin Neurosci Psychiat Pediat &amp; Community Hlt, Calgary, AB, Canada; [Pringsheim, Tamara M.] Tourette &amp; Pediat Movement Disorders, Calgary, AB, Canada; [Rajkumar, Gayathiri] Western Univ, Biol Stream, London, ON, Canada; [Haltigan, John D.] Ctr Addict &amp; Mental Hlth, Child &amp; Youth Psychiat, Toronto, ON, Canada</t>
  </si>
  <si>
    <t>University of Toronto; University of Calgary; Western University (University of Western Ontario); University of Toronto; Centre for Addiction &amp; Mental Health - Canada</t>
  </si>
  <si>
    <t>Haltigan, JD (corresponding author), Univ Toronto, Dept Psychiat, Toronto, ON, Canada.</t>
  </si>
  <si>
    <t>john.haltigan@utoronto.ca</t>
  </si>
  <si>
    <t>Pringsheim, Tamara/L-5955-2019</t>
  </si>
  <si>
    <t>0010-440X</t>
  </si>
  <si>
    <t>1532-8384</t>
  </si>
  <si>
    <t>COMPR PSYCHIAT</t>
  </si>
  <si>
    <t>Compr. Psychiat.</t>
  </si>
  <si>
    <t>10.1016/j.comppsych.2022.152362</t>
  </si>
  <si>
    <t>8H6AO</t>
  </si>
  <si>
    <t>WOS:000921114300001</t>
  </si>
  <si>
    <t>Venter, C; Stukus, DR</t>
  </si>
  <si>
    <t>Venter, Carina; Stukus, David R.</t>
  </si>
  <si>
    <t>PEARLS AND PITFALLS OF USING SOCIAL MEDIA IN ALLERGY</t>
  </si>
  <si>
    <t>CURRENT ALLERGY &amp; CLINICAL IMMUNOLOGY</t>
  </si>
  <si>
    <t>social media; allergy; pitfalls</t>
  </si>
  <si>
    <t>Social media provide a user-friendly format for healthcare professionals to engage with a large audience and provide much-needed reliable information. In addition, healthcare professionals may want to engage on social media to network and obtain information or increase their own education. Many different social media platforms are in use, each with its own positive and negative aspects. They include Blogs, Facebook, Twitter, Instagram, Snapchat, Pinterest, LinkedIn, Reddit and Tiktok. Prior to engaging in social media, it is recommended to consider, 1) the audience one wants to reach, 2) the messages one wants to convey and 3) which platform is best suited to achieving goals. As with any other healthcarerelated encounter, patient confidentiality should always be the first priority. In a world where travel is becoming less commonplace and food-allergy research is ever-evolving, engagement with social media provides the ideal opportunity to educate others and be educated.</t>
  </si>
  <si>
    <t>[Venter, Carina] Univ Colorado, Childrens Hosp Colorado, Sect Allergy &amp; Immunol, Sch Med, Aurora, CO 80045 USA; [Venter, Carina] Univ Colorado, Dept Paediat, Sch Med, Aurora, CO 80045 USA; [Stukus, David R.] Nationwide Childrens Hosp, Div Allergy &amp; Immunol, Columbus, OH USA; [Stukus, David R.] Ohio State Univ, Coll Med, Columbus, OH 43210 USA</t>
  </si>
  <si>
    <t>University of Colorado System; University of Colorado Anschutz Medical Campus; Children's Hospital Colorado; University of Colorado System; University of Colorado Anschutz Medical Campus; University System of Ohio; Ohio State University; Nationwide Childrens Hospital; University System of Ohio; Ohio State University</t>
  </si>
  <si>
    <t>Venter, C (corresponding author), Univ Colorado, Childrens Hosp Colorado, Sect Allergy &amp; Immunol, Sch Med, Aurora, CO 80045 USA.;Venter, C (corresponding author), Univ Colorado, Dept Paediat, Sch Med, Aurora, CO 80045 USA.</t>
  </si>
  <si>
    <t>Carina.Venter@childrenscolorado.org</t>
  </si>
  <si>
    <t>Stukus, David/C-7512-2013</t>
  </si>
  <si>
    <t>ALLERGY SOC SOUTH AFRICA</t>
  </si>
  <si>
    <t>CAPE TOWN</t>
  </si>
  <si>
    <t>PO BOX 88, OBSERVATORY 7935, CAPE TOWN, 00000, SOUTH AFRICA</t>
  </si>
  <si>
    <t>1609-3607</t>
  </si>
  <si>
    <t>CURR ALLERGY CLIN IM</t>
  </si>
  <si>
    <t>Curr. Allergy Clin. Immunol.</t>
  </si>
  <si>
    <t>Allergy</t>
  </si>
  <si>
    <t>SV1DN</t>
  </si>
  <si>
    <t>WOS:000663566000007</t>
  </si>
  <si>
    <t>Barreneche, SM</t>
  </si>
  <si>
    <t>Moreno Barreneche, Sebastian</t>
  </si>
  <si>
    <t>Autosexualization of girls and adolescents in digital social media: a theorical conceptual approach form social semiotics</t>
  </si>
  <si>
    <t>CIC-CUADERNOS DE INFORMACION Y COMUNICACION</t>
  </si>
  <si>
    <t>Sexualization; Self-sexualization; Self-representation; Stylization; Social media</t>
  </si>
  <si>
    <t>SELF; FACEBOOK; OBJECTIFICATION; SEXUALIZATION; DISCOURSE; IDENTITY; BODIES</t>
  </si>
  <si>
    <t>This article intends to outline a theoretical framework to address the processes of autosexualization of girls and adolescents in digital social networks from a socio-semiotic perspective. The increasing use of digital platforms such as Instagram, Facebook, Snapchat and TikTok in everyday life, produces new human environments to project, manage and validate personal identities. These activities involve self-representation processes in which individuals stylize themselves, as they shape the self that is represented according to aesthetic and ethical codes. recognized as carriers of a positive cultural value (although such recognition does not always occur consciously). One of the codes involved in such stylizations is related to sensuality, the result of a 'sexualization of culture' that encourages sexualization and self-sexualization practices as a way to obtain social confirmation, especially by women, adolescents and girls.</t>
  </si>
  <si>
    <t>morenobarreneche@gmail.com</t>
  </si>
  <si>
    <t>Moreno Barreneche, Sebastián/JPX-0465-2023</t>
  </si>
  <si>
    <t>Moreno Barreneche, Sebastian/0000-0003-3551-7117</t>
  </si>
  <si>
    <t>1135-7991</t>
  </si>
  <si>
    <t>1988-4001</t>
  </si>
  <si>
    <t>CIC-CUAD INF COMUN</t>
  </si>
  <si>
    <t>CIC-Cuad. Inf. Comun.</t>
  </si>
  <si>
    <t>10.5209/ciyc.75727</t>
  </si>
  <si>
    <t>US0YJ</t>
  </si>
  <si>
    <t>WOS:000697163500008</t>
  </si>
  <si>
    <t>Meyer, T; Vetulani-Cegiel, A</t>
  </si>
  <si>
    <t>Meyer, Trisha; Vetulani-Cegiel, Agnieszka</t>
  </si>
  <si>
    <t>Transparency as an empty signifier? Assessing transparency in EU and platform initiatives on online political advertising and actors</t>
  </si>
  <si>
    <t>elections; European Union; online platforms; political advertising; transparency</t>
  </si>
  <si>
    <t>EUROPEAN-UNION</t>
  </si>
  <si>
    <t>This paper investigates how the European Union (EU) and online platforms operationalise 'political advertising' and 'transparency' in a context of ongoing political and policy debates on regulating online platforms. We compare ongoing EU policy initiatives (revised Code of Practice on Disinformation and Regulation on the Transparency and Targeting of Political Advertising) against platform policies and practices (Google, Mastodon, Meta, Microsoft, Telegram, TikTok, Twitter/X) undertaken to moderate political actors and advertising. We argue that the concept of transparency is used as an 'empty signifier': meaningful at the political and declarative level but when translated into practice, leads to diverse results. The paper contributes to academic and policy debates on platform responsibility and political advertising transparency in light of the recent European elections and the future implementation of the Regulation on the Transparency and Targeting of Political Advertising.</t>
  </si>
  <si>
    <t>[Meyer, Trisha] Vrije Univ Brussel, Pleinlaan 2, B-1050 Brussels, Belgium; [Meyer, Trisha] United Nations Univ, CRIS, Brugge, Belgium; [Vetulani-Cegiel, Agnieszka] Adam Mickiewicz Univ, Poznan, Poland</t>
  </si>
  <si>
    <t>Vrije Universiteit Brussel; Adam Mickiewicz University</t>
  </si>
  <si>
    <t>Meyer, T (corresponding author), Vrije Univ Brussel, Pleinlaan 2, B-1050 Brussels, Belgium.</t>
  </si>
  <si>
    <t>trisha.meyer@vub.be</t>
  </si>
  <si>
    <t>Vetulani-Cęgiel, Agnieszka/AAV-6056-2021</t>
  </si>
  <si>
    <t>Vetulani-Cegiel, Agnieszka/0000-0002-4986-6388</t>
  </si>
  <si>
    <t>Uniwersytet im. Adama Mickiewicza w Poznaniu [092/12/POB5/0001]; Connecting Europe Facility [INEA/CEF/ICT/A2020/239429]</t>
  </si>
  <si>
    <t>Uniwersytet im. Adama Mickiewicza w Poznaniu; Connecting Europe Facility</t>
  </si>
  <si>
    <t>Uniwersytet im. Adama Mickiewicza w Poznaniu, Grant/Award Number: 092/12/POB5/0001; Connecting Europe Facility,Grant/Award Number: INEA/CEF/ICT/A2020/239429</t>
  </si>
  <si>
    <t>10.1002/poi3.417</t>
  </si>
  <si>
    <t>E6L4L</t>
  </si>
  <si>
    <t>WOS:001304099200001</t>
  </si>
  <si>
    <t>Heidt, C; Dal, MS; Graen, L; Ouédraogo, N; Schaller, K</t>
  </si>
  <si>
    <t>Heidt, Christopher; Dal, Mehmet Sefa; Graen, Laura; Ouedraogo, Nobila; Schaller, Katrin</t>
  </si>
  <si>
    <t>Tobacco and e-cigarette promotion on social media: the case of German rap music</t>
  </si>
  <si>
    <t>Advertising and Promotion; Social marketing; Tobacco industry; Electronic nicotine delivery devices</t>
  </si>
  <si>
    <t>German rap artists advertise hookah tobacco and electronic cigarettes (e-cigarettes) on social media. Advertising tobacco products on the internet is banned under European Parliament and the German Tobacco Products Act. Despite this, 26 out of 60 famous German rap artists have their own e-cigarette or hookah tobacco editions, which are promoted on social media platforms such as Instagram, Tiktok or Youtube. The products convey the image of the artists and appeal particularly to adolescents. In the interest of preventive health protection and the well-being of children, influencers should abide by the existing laws, social media platform operators should enforce existing laws more effectively and legislators should work towards a comprehensive advertising ban for tobacco and related products and consistently prevent marketing of tobacco and e-cigarettes to youth.</t>
  </si>
  <si>
    <t>[Heidt, Christopher; Graen, Laura; Ouedraogo, Nobila; Schaller, Katrin] German Canc Res Ctr, Heidelberg, Germany; [Dal, Mehmet Sefa] Unfairtobacco BLUE 21 eV, Berlin, Germany</t>
  </si>
  <si>
    <t>Helmholtz Association; German Cancer Research Center (DKFZ)</t>
  </si>
  <si>
    <t>Heidt, C (corresponding author), German Canc Res Ctr, Heidelberg, Germany.</t>
  </si>
  <si>
    <t>c.heidt@dkfz.de</t>
  </si>
  <si>
    <t>Heidt, Christopher/0009-0008-5137-0091; Schaller, Katrin/0000-0002-0786-3920</t>
  </si>
  <si>
    <t>Baden-Wurttemberg Cancer Association; German Ministry of Health (BMG)</t>
  </si>
  <si>
    <t>This study is funded by the German Ministry of Health (BMG) and the Baden-Wurttemberg Cancer Association</t>
  </si>
  <si>
    <t>2024 JUL 11</t>
  </si>
  <si>
    <t>10.1136/tc-2024-058683</t>
  </si>
  <si>
    <t>YU3J3</t>
  </si>
  <si>
    <t>WOS:001270957100001</t>
  </si>
  <si>
    <t>Sangi, AR; Zhen, M; Chi, Z; Nan, Y; Ihnaini, B</t>
  </si>
  <si>
    <t>Sangi, Abdur Rashid; Zhen, Ma; Chi, Zhang; Nan, Ye; Ihnaini, Baha</t>
  </si>
  <si>
    <t>Harnessing Social Media Sentiment Analysis for Wildlife Conservation</t>
  </si>
  <si>
    <t>JOURNAL OF ADVANCES IN INFORMATION TECHNOLOGY</t>
  </si>
  <si>
    <t>sentiment analysis; endangered species; environmental protection; logistic regression; Valence Aware Dictionary and sEntiment Reasoner (VADER)</t>
  </si>
  <si>
    <t>In today's digital age, social media platforms have become powerful tools for collecting public sentiment on various issues, including environmental conservation. This research employs data from Twitter, YouTube, TikTok, and Instagram to enhance the conservation efforts for endangered species through sentiment analysis. We collected and preprocessed a high-quality dataset from these platforms and applied multiple models to perform sentiment analysis. Among the models tested, Logistic Regression (LR) and Valence Aware Dictionary and sEntiment Reasoner (VADER) showed the highest accuracy rates. Key preprocessing steps included cleaning emojis, slang, and nonEnglish text to standardize the input data. Our results suggest that social media can be a strategic asset for conservationists by providing insights into public sentiment and engagement. Future work will focus on improving data processing techniques and exploring hybrid models to further boost the effectiveness of sentiment analysis in conservation efforts.</t>
  </si>
  <si>
    <t>[Sangi, Abdur Rashid; Zhen, Ma; Chi, Zhang; Nan, Ye; Ihnaini, Baha] Wenzhou Kean Univ, Coll Sci Math &amp; Technol, Dept Comp Sci, Int Assoc Neurolinguist Programming, Wenzhou, Zhejiang, Peoples R China</t>
  </si>
  <si>
    <t>Wenzhou-Kean University</t>
  </si>
  <si>
    <t>Sangi, AR; Ihnaini, B (corresponding author), Wenzhou Kean Univ, Coll Sci Math &amp; Technol, Dept Comp Sci, Int Assoc Neurolinguist Programming, Wenzhou, Zhejiang, Peoples R China.</t>
  </si>
  <si>
    <t>rsangi@wku.edu.cn; 1162217@wku.edu.cn; 1162683@wku.edu.cn; 1162287@wku.edu.cn; bihnaini@wku.edu.cn</t>
  </si>
  <si>
    <t>ENGINEERING &amp; TECHNOLOGY PUBLISHING</t>
  </si>
  <si>
    <t>ROWLAND HEIGHTS</t>
  </si>
  <si>
    <t>2448 DESIRE AVE, ROWLAND HEIGHTS, CA 91748 USA</t>
  </si>
  <si>
    <t>1798-2340</t>
  </si>
  <si>
    <t>J ADV INFORM TECHNOL</t>
  </si>
  <si>
    <t>J. Adv. Inf. Technol.</t>
  </si>
  <si>
    <t>10.12720/jait.15.11.1236-1241</t>
  </si>
  <si>
    <t>M4G4N</t>
  </si>
  <si>
    <t>WOS:001357141900005</t>
  </si>
  <si>
    <t>Leyva, FMR</t>
  </si>
  <si>
    <t>Leyva, Flor Micaela Ramirez</t>
  </si>
  <si>
    <t>Determinants of Health, Aesthetics and Violence in the Narratives of Streamers and their Audience</t>
  </si>
  <si>
    <t>DIXIT</t>
  </si>
  <si>
    <t>streamers; audiovisual narratives; aesthetics; health; violence</t>
  </si>
  <si>
    <t>. The intention of this text is to explore the verbal and visual narratives of streamers through three key dimensions: health determinants, aesthetics, and violence. The conceptual pillars include models of health determinants, studies on aesthetics and identity, and the portrayal of violence as a form of social spectacle. Through surveys, interviews, and ethnographic analysis of streamers' content on Instagram, YouTube, and TikTok, we have identified egocentric attitudes and dramatic behaviors. Furthermore, there is clear evidence of the flaunting of their practices and lifestyles, which glorify their virtual selves, thus perpetuating a social and economic model centered around spectacle and fiction, albeit with potentially harmful real-world consequences for their audiences. We suggest nurturing and encouraging a critical perspective among young and adolescent audiences, whether they are in formal education or not, and promoting more substantial and creative forms of entertainment.</t>
  </si>
  <si>
    <t>[Leyva, Flor Micaela Ramirez] Univ Guadalajara, Guadalajara, Mexico</t>
  </si>
  <si>
    <t>Universidad de Guadalajara</t>
  </si>
  <si>
    <t>Leyva, FMR (corresponding author), Univ Guadalajara, Guadalajara, Mexico.</t>
  </si>
  <si>
    <t>micaela.ramirez@academicos.udg.mx</t>
  </si>
  <si>
    <t>UNIV CATOLICA URUGUAY, FAC CIENCIAS HUMANAS</t>
  </si>
  <si>
    <t>MONTEVIDEO</t>
  </si>
  <si>
    <t>AVE 8 DE OCTUBRE, 2738, MONTEVIDEO, 11600, URUGUAY</t>
  </si>
  <si>
    <t>1688-3497</t>
  </si>
  <si>
    <t>0797-3691</t>
  </si>
  <si>
    <t>Dixit</t>
  </si>
  <si>
    <t>10.22235/d.v37i2.3352</t>
  </si>
  <si>
    <t>FO2L0</t>
  </si>
  <si>
    <t>WOS:001146712300006</t>
  </si>
  <si>
    <t>Li, Y; Meng, SB; Zhang, XF; Wang, SQ; Wang, Y; Ma, SW</t>
  </si>
  <si>
    <t>Li, Yang; Meng, Shengbin; Zhang, Xinfeng; Wang, Shiqi; Wang, Yue; Ma, Siwei</t>
  </si>
  <si>
    <t>UGC-VIDEO: perceptual quality assessment of user-generated videos</t>
  </si>
  <si>
    <t>THIRD INTERNATIONAL CONFERENCE ON MULTIMEDIA INFORMATION PROCESSING AND RETRIEVAL (MIPR 2020)</t>
  </si>
  <si>
    <t>IEEE 3rd International Conference on Multimedia Information Processing and Retrieval (IEEE MIPR)</t>
  </si>
  <si>
    <t>AUG 06-08, 2020</t>
  </si>
  <si>
    <t>IEEE,IEEE Comp Soc,Huawei Cloud,Hisense,Kuaishou Technol,NEC</t>
  </si>
  <si>
    <t>user-generated content; video quality assessment; database</t>
  </si>
  <si>
    <t>IMAGE</t>
  </si>
  <si>
    <t>Recent years have witnessed an ever-expanding volume of user-generated content (UGC) videos available on the Internet. Nevertheless, progress on perceptual quality assessment of UGC videos still remains quite limited. A distinguished characteristic of UGC videos in the complete video production and delivery chain is that they often undergo multiple compression stages before ultimately viewed and there does not exist the pristine source after they are uploaded to the hosting platform. To facilitate the UGC video quality assessment (VQA), we create a UGC video perceptual quality assessment database. It contains 50 source videos collected from TikTok with diverse content, along with multiple transcoded versions generated by different coding standards and quantization levels. Subjective quality assessment has been conducted to evaluate the video quality. Furthermore, we benchmark the database using existing quality assessment algorithms, and potential room is observed to further improve the accuracy of UGC video quality measures.</t>
  </si>
  <si>
    <t>[Li, Yang; Ma, Siwei] Peking Univ, Inst Digital Media, Beijing, Peoples R China; [Li, Yang; Wang, Shiqi] City Univ Hong Kong, Dept Comp Sci, Hong Kong, Peoples R China; [Meng, Shengbin; Wang, Yue] Bytedance Inc, Beijing, Peoples R China; [Zhang, Xinfeng] Univ Chinese Acad Sci, Sch Comp Sci &amp; Technol, Beijing, Peoples R China; [Wang, Yue] Bytedance HK Ltd, Hong Kong, Peoples R China</t>
  </si>
  <si>
    <t>Peking University; City University of Hong Kong; Chinese Academy of Sciences; University of Chinese Academy of Sciences, CAS</t>
  </si>
  <si>
    <t>Li, Y (corresponding author), Peking Univ, Inst Digital Media, Beijing, Peoples R China.;Li, Y (corresponding author), City Univ Hong Kong, Dept Comp Sci, Hong Kong, Peoples R China.</t>
  </si>
  <si>
    <t>Wang, Shiqi/AAR-5013-2020; Zhang, Xinfeng/X-8148-2019; Ma, siwei/JFA-3819-2023</t>
  </si>
  <si>
    <t>Hong Kong ITF UICP [9440203]</t>
  </si>
  <si>
    <t>Hong Kong ITF UICP</t>
  </si>
  <si>
    <t>This work was supported by the Hong Kong ITF UICP under Grant 9440203.</t>
  </si>
  <si>
    <t>978-1-7281-4272-2</t>
  </si>
  <si>
    <t>10.1109/MIPR49039.2020.00015</t>
  </si>
  <si>
    <t>BQ8TZ</t>
  </si>
  <si>
    <t>WOS:000621665600007</t>
  </si>
  <si>
    <t>Barnett, L; Cole, L</t>
  </si>
  <si>
    <t>Barnett, Lydia; Cole, Lauren</t>
  </si>
  <si>
    <t>Teaching with Isis: From The Cultural Turn to TikTok</t>
  </si>
  <si>
    <t>ISIS</t>
  </si>
  <si>
    <t>This article considers the relationship between research and pedagogy in Isis from the perspective of undergraduate teaching. Isis does not think of itself primarily as an organ for supporting education in the history of science, yet contributions to Isis are found across undergraduate syllabi, classrooms, and curricula. This essay makes a start at documenting and exploring some of the ways in which Isis is already being used in undergraduate educational contexts and suggests several ways in which Isis might further support the goal of welcoming new learners in our field. Drawing on the authors' experience co-teaching an introductory history of science lecture course and on the results of an informal survey of instructors of similar courses at other US institutions, we aim to engage conversations about the past, present, and future of the journal as it relates to the educational mission of our field.</t>
  </si>
  <si>
    <t>[Barnett, Lydia; Cole, Lauren] Northwestern Univ, Dept Hist, 1881 SheridanRoad, Evanston, IL 60208 USA</t>
  </si>
  <si>
    <t>Barnett, L (corresponding author), Northwestern Univ, Dept Hist, 1881 SheridanRoad, Evanston, IL 60208 USA.</t>
  </si>
  <si>
    <t>lydia.barnett@northwestern.edu; LCole@u.northwestern.edu</t>
  </si>
  <si>
    <t>0021-1753</t>
  </si>
  <si>
    <t>1545-6994</t>
  </si>
  <si>
    <t>Isis</t>
  </si>
  <si>
    <t>10.1086/731407</t>
  </si>
  <si>
    <t>G2O9H</t>
  </si>
  <si>
    <t>WOS:001315097000019</t>
  </si>
  <si>
    <t>Christin, A; Bernstein, MS; Hancock, JT; Jia, CY; Mado, MN; Tsai, JL; Xu, CC</t>
  </si>
  <si>
    <t>Christin, Angele; Bernstein, Michael S.; Hancock, Jeffrey T.; Jia, Chenyan; Mado, Marijn N.; Tsai, Jeanne L.; Xu, Chunchen</t>
  </si>
  <si>
    <t>Internal Fractures: The Competing Logics of Social Media Platforms</t>
  </si>
  <si>
    <t>social media platforms; evaluation; competing logics; engagement; public debate; wellbeing</t>
  </si>
  <si>
    <t>FACEBOOK USE; ORGANIZATIONS</t>
  </si>
  <si>
    <t>Social media platforms are too often understood as monoliths with clear priorities. Instead, we analyze them as complex organizations torn between starkly different justifications of their missions. Focusing on the case of Meta, we inductively analyze the company's public materials and identify three evaluative logics that shape the platform's decisions: an engagement logic, a public debate logic, and a wellbeing logic. There are clear trade-offs between these logics, which often result in internal conflicts between teams and departments in charge of these different priorities. We examine recent examples showing how Meta rotates between logics in its decision-making, though the goal of engagement dominates in internal negotiations. We outline how this framework can be applied to other social media platforms such as TikTok, Reddit, and X. We discuss the ramifications of our findings for the study of online harms, exclusion, and extraction.</t>
  </si>
  <si>
    <t>[Christin, Angele; Hancock, Jeffrey T.; Mado, Marijn N.] Stanford Univ, Commun, Stanford, CA 94305 USA; [Bernstein, Michael S.] Stanford Univ, Comp Sci, Stanford, CA 94305 USA; [Tsai, Jeanne L.; Xu, Chunchen] Stanford Univ, Psychol, Stanford, CA 94305 USA; [Jia, Chenyan] Northeastern Univ, Coll Arts Media &amp; Design, Boston, MA USA</t>
  </si>
  <si>
    <t>Stanford University; Stanford University; Stanford University; Northeastern University</t>
  </si>
  <si>
    <t>Christin, A (corresponding author), Stanford Univ, Dept Commun, Room 334,Bldg 120,450 Jane Stanford Way, Stanford, CA 94305 USA.</t>
  </si>
  <si>
    <t>angelec@stanford.edu</t>
  </si>
  <si>
    <t>Jia, Chenyan/AAY-8880-2021</t>
  </si>
  <si>
    <t>Stanford Institute for Human-Centered Artificial Intelligence (HAI)</t>
  </si>
  <si>
    <t>The author(s) disclosed receipt of the following financial support for the research, authorship, and/or publication of this article: a Hoffman-Yee Research Grant from the Stanford Institute for Human-Centered Artificial Intelligence (HAI).</t>
  </si>
  <si>
    <t>10.1177/20563051241274668</t>
  </si>
  <si>
    <t>D3T6S</t>
  </si>
  <si>
    <t>WOS:001295448100001</t>
  </si>
  <si>
    <t>Kaplan, M</t>
  </si>
  <si>
    <t>Kaplan, Max</t>
  </si>
  <si>
    <t>Television music curation in the playlist era</t>
  </si>
  <si>
    <t>JOURNAL OF POPULAR TELEVISION</t>
  </si>
  <si>
    <t>soundtrack; streaming; playlist; television music; music curation; nostalgia</t>
  </si>
  <si>
    <t>Today's technologically eclectic media landscape - dominated by streaming algorithms, curated playlists and TikTok-spawned virality - has elevated the role of the television music supervisor. Film and television soundtracks, previously influenced by mixtapes and compilation CDs, have become inexorably shaped by the rise of streaming. Digging the infinite crates of the intern for rare and recycled tracks from yesterday and today, music supervisors for shows like High Fidelity (2020), The Bear (2022-present), Atlanta (2016-22) and Russian Doll (2019- present) have sculpted distinct sonic identities that grab viewers on-screen and retain their attention through their 'Official Spotify Playlists'. This article traces the possibilities of the soundtrack in the playlist era through case studies of HBO's eclectic anthology series High Maintenance (2012-20), as well as the unprecedented resurgence of Kate Bush via Netflix's Stranger Things (2016-present).</t>
  </si>
  <si>
    <t>[Kaplan, Max] Univ Wisconsin Madison, Commun Arts Dept, 821 Univ Ave, Madison, WI 53706 USA</t>
  </si>
  <si>
    <t>Kaplan, M (corresponding author), Univ Wisconsin Madison, Commun Arts Dept, 821 Univ Ave, Madison, WI 53706 USA.</t>
  </si>
  <si>
    <t>maxwkaplan@gmail.com</t>
  </si>
  <si>
    <t>2046-9861</t>
  </si>
  <si>
    <t>2046-987X</t>
  </si>
  <si>
    <t>J POP TELEV</t>
  </si>
  <si>
    <t>J. Pop. Telev.</t>
  </si>
  <si>
    <t>DEC 15</t>
  </si>
  <si>
    <t>10.1386/jptv_00106_1</t>
  </si>
  <si>
    <t>CM2Z2</t>
  </si>
  <si>
    <t>WOS:001125615300002</t>
  </si>
  <si>
    <t>Sued, GE; Castillo-González, MC; Pedraza, C; Flores-Márquez, D; Alamo, S; Ortiz, M; Lugo, N; Arroyo, RE</t>
  </si>
  <si>
    <t>Sued, Gabriela Elisa; Castillo-Gonzalez, Maria Concepcion; Pedraza, Claudia; Flores-Marquez, Dorismilda; Alamo, Sofia; Ortiz, Maria; Lugo, Nohemi; Arroyo, Rosa Elba</t>
  </si>
  <si>
    <t>Vernacular Visibility and Algorithmic Resistance in the Public Expression of Latin American Feminism</t>
  </si>
  <si>
    <t>feminism; Latin America; social movements; algorithmic resistance; #niunamenos; #abortolegal2020; abortion legalisation; gender violence; social media; platform vernaculars</t>
  </si>
  <si>
    <t>SOCIAL MEDIA; DIGITAL METHODS; BIG DATA; VIOLENCE; DISCOURSE; ACTIVISM; PROTEST</t>
  </si>
  <si>
    <t>This article seeks to understand how Latin American feminist public expression has gained algorithm-mediated visibility on social media. To this end, a cross-platform analysis was conducted for two issues: the legalisation of abortion in Argentina and the struggle to eliminate violence against women. The data were collected on four platforms: Twitter, Instagram, TikTok, and YouTube through the representative hashtags, '#abortolegal2020', '#25N', and '#niunamenos'. Digital critical methods were employed to gather data and approach high-visibility users, visual messages, and hashtagging practices. The findings reveal two configurations of algorithmic mediated visibility, formed by assemblages of actors, formats, and knowledge: platform vernaculars and algorithmic resistance. Both result in a mutual shaping between platforms, seeking to impose a quantitative logic of visibility, and feminist actors, using the tactics of algorithmic resistance to give visibility to the content, aesthetics, and resignified messages about their struggles.</t>
  </si>
  <si>
    <t>[Sued, Gabriela Elisa] Univ Nacl Autonoma Mexico, Inst Invest Sociales, Mexico City, DF, Mexico; [Castillo-Gonzalez, Maria Concepcion; Lugo, Nohemi] Tecnol Monterrey, Monterrey, Mexico; [Pedraza, Claudia] Univ La Salle, Gomez Palacio, Mexico; [Flores-Marquez, Dorismilda] Univ La Salle Bajio, Leon, Mexico; [Alamo, Sofia; Ortiz, Maria] Univ Buenos Aires, Buenos Aires, DF, Argentina; [Arroyo, Rosa Elba] Univ Nacl Autonoma Mexico, Mexico City, DF, Mexico</t>
  </si>
  <si>
    <t>Universidad Nacional Autonoma de Mexico; Tecnologico de Monterrey; University of Buenos Aires; Universidad Nacional Autonoma de Mexico</t>
  </si>
  <si>
    <t>Castillo-González, MC (corresponding author), Tecnol Monterrey, Monterrey, Mexico.</t>
  </si>
  <si>
    <t>ccastill@tec.mx</t>
  </si>
  <si>
    <t>Sued, Gabriela/LMP-2683-2024; Ortiz, Maria/KFT-0282-2024</t>
  </si>
  <si>
    <t>Sued, Gabriela Elisa/0000-0002-4516-678X; Flores-Marquez, Dorismilda/0000-0002-9659-6392; CASTILLO-GONZALEZ, Ma.Concepcion/0000-0002-2892-9079; Alamo, Sofia Beatriz/0000-0002-8592-0353; Pedraza Bucio, Claudia Ivette/0000-0001-8038-6473</t>
  </si>
  <si>
    <t>Conacyt, Consejo Nacional de Ciencia y Tecnologia</t>
  </si>
  <si>
    <t>Conacyt, Consejo Nacional de Ciencia y Tecnologia(Consejo Nacional de Ciencia y Tecnologia (CONACyT))</t>
  </si>
  <si>
    <t>The author(s) disclosed receipt of the following financial support for the research, authorship, and/or publication of this article: This work was supported by the Conacyt, Consejo Nacional de Ciencia y Tecnologia (grant number Estancias Postdoctorales por Mexico, Sistema Nacional de Investigadores).</t>
  </si>
  <si>
    <t>1329878X211067571</t>
  </si>
  <si>
    <t>10.1177/1329878X211067571</t>
  </si>
  <si>
    <t>0W4RB</t>
  </si>
  <si>
    <t>WOS:000735044800001</t>
  </si>
  <si>
    <t>Pagani, K; Lukac, D; Martinez, R; Jablon, K; McGee, JS</t>
  </si>
  <si>
    <t>Pagani, Kyla; Lukac, Danitza; Martinez, Rebeca; Jablon, Kelli; McGee, Jean S.</t>
  </si>
  <si>
    <t>Slugging: TikTokTM as a source of a viral harmless beauty trend</t>
  </si>
  <si>
    <t>Slugging  is a viral beauty trend on TikTokTM that entails slathering a petrolatum-based oint-ment on the skin as a last step in your evening skincare routine. Due to its occlusive nature, slugging has a potential risk for harm. Here, we screened top 50 TikTok videos on slugging and analyzed upload source, content, and quality of each video. Overall, 18 (36.7%) videos were deemed educational, discussing risks and/or benefits. By upload source, health care providers (HCPs) created more educational videos (87.5%, P = .009), while online influencers created more patient experience videos (43.3%). This difference was evident when comparing the upload source. DISCERN scores (a validated measure of video's quality as a source of information) differed significantly among HCP, influencers, and others (3, 2, 2, respectively, P = .01). Together, our study demonstrates that compared to influencers and others, HCPs created videos of more high-quality, educational content on slugging. (c) 2022 Elsevier Inc. All rights reserved.</t>
  </si>
  <si>
    <t>[Pagani, Kyla; Lukac, Danitza; Martinez, Rebeca; Jablon, Kelli; McGee, Jean S.] Beth Israel Deaconess Med Ctr, Dept Dermatol, Boston, MA 02215 USA; [McGee, Jean S.] Harvard Med Sch, Boston, MA 02115 USA</t>
  </si>
  <si>
    <t>Harvard University; Beth Israel Deaconess Medical Center; Harvard University; Harvard Medical School</t>
  </si>
  <si>
    <t>McGee, JS (corresponding author), Beth Israel Deaconess Med Ctr, Dept Dermatol, Boston, MA 02215 USA.;McGee, JS (corresponding author), Harvard Med Sch, Boston, MA 02115 USA.</t>
  </si>
  <si>
    <t>jmcgee2@bidmc.harvard.edu</t>
  </si>
  <si>
    <t>Martinez, Rebeca/KEJ-0405-2024</t>
  </si>
  <si>
    <t>10.1016/j.clindermatol.2022.08.005</t>
  </si>
  <si>
    <t>7O5SQ</t>
  </si>
  <si>
    <t>WOS:000908083900028</t>
  </si>
  <si>
    <t>Botelho, MJ</t>
  </si>
  <si>
    <t>Botelho, Michael Jones</t>
  </si>
  <si>
    <t>The Devil′s Church in the Classroom: The Importance of the Work of the Literary Text in the Form of Project</t>
  </si>
  <si>
    <t>EIXO E A RODA-REVISTA DE LITERATURA BRASILEIRA</t>
  </si>
  <si>
    <t>formation of readers; Machado de Assis; project; meaningful learning.</t>
  </si>
  <si>
    <t>This article intends to promote a reflection about the pedagogical practice of the work of the literary text in the form of a project, taking into account the context and the daily life of the student, as well as the challenges related to the habit of reading to which literature teachers are submitted. The corpus used for this study is the tale '' The Devil ' s Church '' (1883), by Machado de Assis, a text that served as the basis for a school project developed in the classroom of a private school, with the final objective of to prepare a video, summarizing the Machadian tale through a speech similar to a gossip, with the aim of publishing it on the TikTok platform and disseminating it on this social network, aiming at the persuasion and capture of more young people to read the aforementioned tale.</t>
  </si>
  <si>
    <t>[Botelho, Michael Jones] Univ Presbiteriana Mackenzie, Sao Paulo, SP, Brazil</t>
  </si>
  <si>
    <t>Universidade Presbiteriana Mackenzie</t>
  </si>
  <si>
    <t>Botelho, MJ (corresponding author), Univ Presbiteriana Mackenzie, Sao Paulo, SP, Brazil.</t>
  </si>
  <si>
    <t>michael_jonesb@hotmail.com</t>
  </si>
  <si>
    <t>0102-4809</t>
  </si>
  <si>
    <t>2358-9787</t>
  </si>
  <si>
    <t>EIXO RODA</t>
  </si>
  <si>
    <t>Eixo Roda</t>
  </si>
  <si>
    <t>10.17851/2358-9787.32.2.369-383</t>
  </si>
  <si>
    <t>Literature, Romance</t>
  </si>
  <si>
    <t>JL3Z4</t>
  </si>
  <si>
    <t>WOS:001173295500010</t>
  </si>
  <si>
    <t>Samermit, P; Turner, A; Kelley, PG; Matthews, T; Wu, V; Consolvo, S; Thomas, K</t>
  </si>
  <si>
    <t>Samermit, Patrawat; Turner, Anna; Kelley, Patrick Gage; Matthews, Tara; Wu, Vanessia; Consolvo, Sunny; Thomas, Kurt</t>
  </si>
  <si>
    <t>Millions of people are watching you: Understanding the Digital-Safety Needs and Practices of Creators</t>
  </si>
  <si>
    <t>PROCEEDINGS OF THE 32ND USENIX SECURITY SYMPOSIUM</t>
  </si>
  <si>
    <t>32nd USENIX Security Symposium</t>
  </si>
  <si>
    <t>AUG 09-11, 2023</t>
  </si>
  <si>
    <t>USENIX,Meta,Futurewei Technologies,Google,NSF,TikTok,Amazon,Ant Res,IBM,Technol Innovat Res,Cisco,Paloalto,ACM Queue,Elect Frontier Fdn</t>
  </si>
  <si>
    <t>Online content creators-who create and share their content on platforms such as Instagram, TikTok, Twitch, and YouTube-are uniquely at-risk of increased digital-safety threats due to their public prominence, the diverse social norms of wideranging audiences, and their access to audience members as a valuable resource. We interviewed 23 creators to understand their digital-safety experiences. This includes the security, privacy, and abuse threats they have experienced across multiple platforms and how the threats have changed over time. We also examined the protective practices they have employed to stay safer, including tensions in how they adopt the practices. We found that creators have diverse threat models that take into consideration their emotional, physical, relational, and financial safety. Most adopted protections-including distancing from technology, moderating their communities, and seeking external or social support-only after experiencing a serious safety incident. Lessons from their experiences help us better prepare and protect creators and ensure a diversity of voices are present online.</t>
  </si>
  <si>
    <t>[Samermit, Patrawat; Turner, Anna; Kelley, Patrick Gage; Matthews, Tara; Wu, Vanessia; Consolvo, Sunny; Thomas, Kurt] Google, Mountain View, CA 94043 USA</t>
  </si>
  <si>
    <t>Google Incorporated</t>
  </si>
  <si>
    <t>Samermit, P (corresponding author), Google, Mountain View, CA 94043 USA.</t>
  </si>
  <si>
    <t>patrawat@google.com; annaturn@google.com; patrickgage@google.com; taramatthews@google.com; vanessia@google.com; sconsolvo@google.com; kurtthomas@google.com</t>
  </si>
  <si>
    <t>Kelley, Patrick/0000-0003-4405-0010</t>
  </si>
  <si>
    <t>978-1-939133-37-3</t>
  </si>
  <si>
    <t>BV7HQ</t>
  </si>
  <si>
    <t>WOS:001066451505046</t>
  </si>
  <si>
    <t>Bai, GC; Fu, K; Fu, W; Liu, GC</t>
  </si>
  <si>
    <t>Bai, Gaochen; Fu, Kai; Fu, Wen; Liu, Guochang</t>
  </si>
  <si>
    <t>Quality of Internet Videos Related to Pediatric Urology in Mainland China: A Cross-Sectional Study</t>
  </si>
  <si>
    <t>quality; internet; pediatric urology; Chinese video; COVID-19</t>
  </si>
  <si>
    <t>TESTICULAR TORSION; SOCIAL MEDIA; INFORMATION; YOUTUBE</t>
  </si>
  <si>
    <t>BackgroundPediatric urological diseases pose serious threats to children's physical and mental health. The COVID-19 pandemic has resulted in poor pediatric outcomes for cryptorchidism, hypospadias, and testicular torsion. Presently, many people tend to seek health information via social media platforms. This study aims to quantitatively assess the quality of videos as an information source for pediatric urology in mainland China. MethodsIn this cross-sectional study, a search was performed on social media platforms (Tiktok, Bilibili, and Weibo) with the search terms cryptorchidism, hypospadias, and testicular torsion. The first 30 results with any search term listed by relevance were selected in each platform. Video features (duration, number of likes, comments, and shares) and video sources were collected. Each video included in the study was assessed using DISCERN, Journal of the American Medical Association (JAMA) Benchmark Criteria, and Hexagonal Radar Schema. A correlation analysis was performed considering video features, video source, DISCERN scores and JAMA scores. ResultsA total of 152 videos were included and analyzed. The majority of videos were from physicians (65.8%). According to the DISCERN classification, most videos were rated as very poor (48.0%) and poor (36.8%). The mean DISCERN and JAMA scores were 36.56 and 2.68, respectively. The duration of videos uploaded by physicians was the shortest (P &lt; 0.001). The video source had no relevance to numbers of likes, comments, shares, DISCERN scores, and JAMA scores (all P-values &gt; 0.05). Other than video duration (P &lt; 0.001), there was no statistically significant difference between groups for any of the recorded or calculated video data (all P values &gt; 0.05). Hexagonal Radar Charts showed the severe imbalance and deficiency of video information. In general, Tiktok videos with the shortest duration received the most numbers of likes, comments, and shares, whereas the overall quality of videos on Weibo was relatively high. ConclusionsDespite most of the videos on social media platforms being uploaded by medical authors, the overall quality was poor. The misleading, inaccurate and incomplete information may pose a health risk to the viewers, especially during the COVID-19 pandemic. Much effort needs to be undertaken to improve the quality of health-related videos regarding pediatric urology.</t>
  </si>
  <si>
    <t>[Bai, Gaochen; Fu, Kai; Fu, Wen; Liu, Guochang] Guangzhou Med Univ, Guangzhou Inst Pediat, Guangzhou Women &amp; Childrens Med Ctr, Guangzhou, Peoples R China; [Bai, Gaochen; Fu, Kai; Fu, Wen; Liu, Guochang] Guangzhou Med Univ, Guangzhou Women &amp; Childrens Med Ctr, Dept Pediat Urol, Guangzhou, Peoples R China</t>
  </si>
  <si>
    <t>Guangzhou Medical University; Guangzhou Medical University</t>
  </si>
  <si>
    <t>Fu, W; Liu, GC (corresponding author), Guangzhou Med Univ, Guangzhou Inst Pediat, Guangzhou Women &amp; Childrens Med Ctr, Guangzhou, Peoples R China.;Fu, W; Liu, GC (corresponding author), Guangzhou Med Univ, Guangzhou Women &amp; Childrens Med Ctr, Dept Pediat Urol, Guangzhou, Peoples R China.</t>
  </si>
  <si>
    <t>lydia_fw@hotmail.com; lgclgc2003@163.com</t>
  </si>
  <si>
    <t>JUN 15</t>
  </si>
  <si>
    <t>10.3389/fpubh.2022.924748</t>
  </si>
  <si>
    <t>2M9BC</t>
  </si>
  <si>
    <t>WOS:000817985200001</t>
  </si>
  <si>
    <t>Sederholm, T; Jääskeläinen, P; Huhtinen, AM</t>
  </si>
  <si>
    <t>Sederholm, Teija; Jaaskelainen, Petri; Huhtinen, Aki-Mauri</t>
  </si>
  <si>
    <t>Coronavirus as a Rhizome: The Pandemic of Disinformation</t>
  </si>
  <si>
    <t>INTERNATIONAL JOURNAL OF CYBER WARFARE AND TERRORISM</t>
  </si>
  <si>
    <t>4chan; 8chan; Conspiracy; COVID-19; Facebook; Misinformation; QAnon; Social Media; TikTok; Twitter; Weaponizing</t>
  </si>
  <si>
    <t>COVID-19; WORLD</t>
  </si>
  <si>
    <t>Disinformation and misinformation about COVID-19 have proliferated, particularly on social media. The purpose of this paper is to show the rhizomic nature of COVID-19-related dis- and misinformation having aspect of conspiracy theories, which are used on social media platforms to counter the official narratives about the origins of the virus. Consisting of 40 news-style articles, the data was used to find out how a conspiracy theory about the virus being a possible man-made bioweapon was presented to the audience. The results indicate that the rhizomatic structure of COVID-19 conspiracy theories makes it possible to vary the narratives based on the platform where it is published and the target audience. Information spreads in unexpected ways, and it is difficult to control or predict the spread of extremist content. This makes it possible for different actors, governments, and organizations to use information for their own purposes as a weapon of information warfare.</t>
  </si>
  <si>
    <t>[Sederholm, Teija; Huhtinen, Aki-Mauri] Natl Def Univ, Helsinki, Finland; [Jaaskelainen, Petri] Tampere Univ, Tampere, Finland</t>
  </si>
  <si>
    <t>Sederholm, T (corresponding author), Natl Def Univ, Helsinki, Finland.</t>
  </si>
  <si>
    <t>Academy of Finland; Finnish National Defence University</t>
  </si>
  <si>
    <t>Academy of Finland(Research Council of Finland); Finnish National Defence University</t>
  </si>
  <si>
    <t>The authors would like to thank the Academy of Finland and the Finnish National Defence University.</t>
  </si>
  <si>
    <t>1947-3435</t>
  </si>
  <si>
    <t>1947-3443</t>
  </si>
  <si>
    <t>INT J CYBER WARF TER</t>
  </si>
  <si>
    <t>Int. J. Cyber Warf. Terror.</t>
  </si>
  <si>
    <t>10.4018/IJCWT.2021040104</t>
  </si>
  <si>
    <t>RG2NU</t>
  </si>
  <si>
    <t>WOS:000635378700004</t>
  </si>
  <si>
    <t>Van Daele, T; Iyer, A; Zhang, YN; Derry, JC; Huh, M; Pavel, A</t>
  </si>
  <si>
    <t>Van Daele, Tess; Iyer, Akhil; Zhang, Yuning; Derry, Jalyn C.; Huh, Mina; Pavel, Amy</t>
  </si>
  <si>
    <t>Making Short-Form Videos Accessible with Hierarchical Video Summaries</t>
  </si>
  <si>
    <t>Short-Form Video; Accessibility; Video Description; Summaries</t>
  </si>
  <si>
    <t>Short videos on platforms such as TikTok, Instagram Reels, and YouTube Shorts (i.e. short-form videos) have become a primary source of information and entertainment. Many short-form videos are inaccessible to blind and low vision (BLV) viewers due to their rapid visual changes, on-screen text, and music or meme-audio overlays. In our formative study, 7 BLV viewers who regularly watched short-form videos reported frequently skipping such inaccessible content. We present ShortScribe, a system that provides hierarchical visual summaries of short-form videos at three levels of detail to support BLV viewers in selecting and understanding short-form videos. ShortScribe allows BLV users to navigate between video descriptions based on their level of interest. To evaluate ShortScribe, we assessed description accuracy and conducted a user study with 10 BLV participants comparing ShortScribe to a baseline interface. When using ShortScribe, participants reported higher comprehension and provided more accurate summaries of video content.</t>
  </si>
  <si>
    <t>[Van Daele, Tess; Iyer, Akhil; Derry, Jalyn C.; Huh, Mina; Pavel, Amy] Univ Texas Austin, Dept Comp Sci, Austin, TX 78712 USA; [Zhang, Yuning] Cornell Univ, Dept Informat Sci, Ithaca, NY 14853 USA</t>
  </si>
  <si>
    <t>University of Texas System; University of Texas Austin; Cornell University</t>
  </si>
  <si>
    <t>Van Daele, T (corresponding author), Univ Texas Austin, Dept Comp Sci, Austin, TX 78712 USA.</t>
  </si>
  <si>
    <t>tessvandaele@utexas.edu; akhil.iyer@utexas.edu; yz3227@cornell.edu; jalyn.derry@utexas.edu; minahuh@cs.utexas.edu; apavel@cs.utexas.edu</t>
  </si>
  <si>
    <t>Pavel, Amy/0000-0002-3908-4366</t>
  </si>
  <si>
    <t>10.1145/3613904.3642839</t>
  </si>
  <si>
    <t>BX2PJ</t>
  </si>
  <si>
    <t>WOS:001266059702036</t>
  </si>
  <si>
    <t>Zilinsky, J; Theocharis, Y; Pradel, F; Tulin, M; de Vreese, C; Aalberg, T; Cardenal, AS; Corbu, N; Esser, F; Gehle, L; Halagiera, D; Hameleers, M; Hopmann, DN; Koc-Michalska, K; Matthes, J; Schemer, C; Stetka, V; Strömbäck, J; Terren, L; Splendore, S; Stanyer, J; Stepinska, A; Van Aelst, P; Zoizner, A</t>
  </si>
  <si>
    <t>Zilinsky, Jan; Theocharis, Yannis; Pradel, Franziska; Tulin, Marina; de Vreese, Claes; Aalberg, Toril; Cardenal, Ana Sofia; Corbu, Nicoleta; Esser, Frank; Gehle, Luisa; Halagiera, Denis; Hameleers, Michael; Hopmann, David Nicolas; Koc-Michalska, Karolina; Matthes, Jorg; Schemer, Christian; Stetka, Vaclav; Stromback, Jesper; Terren, Ludovic; Splendore, Sergio; Stanyer, James; Stepinska, Agnieszka; Van Aelst, Peter; Zoizner, Alon</t>
  </si>
  <si>
    <t>Justifying an Invasion: When Is Disinformation Successful?</t>
  </si>
  <si>
    <t>Conspiracy thinking; social media; public opinion; Russia; Ukraine; conflict</t>
  </si>
  <si>
    <t>NEWS; INFORMATION; MEDIA</t>
  </si>
  <si>
    <t>Conventional wisdom suggests that social media, especially when used by authoritarian powers with nefarious aims, leaves citizens of democratic countries vulnerable to psychological influence campaigns. But such concerns overlook predispositions among recipients of false claims to reject (or to endorse) conspiratorial narratives. Analyzing responses from a survey fielded in 19 countries, we find that it is a preexisting conspiracy outlook at the individual level, more so than media diets, which consistently predicts rating Russia's pretenses for the invasion as more accurate. In all countries, individuals who view the world in general with a conspiratorial mindset are more likely to believe war-related disinformation. Receiving news via YouTube, Facebook, or TikTok is also associated with greater belief in Russian narratives justifying the invasion in several countries, but these relationships are weaker compared to those observed for conspiracy thinking. Without downplaying a potential positive role for media interventions, the findings highlight the importance of a deeper understanding of the underlying causes of conspiratorial thinking.</t>
  </si>
  <si>
    <t>[Zilinsky, Jan; Theocharis, Yannis; Pradel, Franziska] TUM Sch Social Sci &amp; Technol, Dept Governance, Richard Wagner Str 1, D-80333 Munich, Germany; [Tulin, Marina] Univ Amsterdam, Fac Social &amp; Behav Sci, Amsterdam, Netherlands; [de Vreese, Claes; Hameleers, Michael] Univ Amsterdam, Polit Commun, Amsterdam, Netherlands; [Van Aelst, Peter] Univ Antwerp, Dept Polit Sci, Antwerp, Belgium; [Hopmann, David Nicolas] Univ So Denmark, Polit Sci &amp; Publ Management, Odense, Denmark; [Corbu, Nicoleta] Fac Commun &amp; Publ Relat, Scoala Nationala Studii Politice Si Adm, Bucharest, Romania; [Cardenal, Ana Sofia; Terren, Ludovic] Univ Oberta Catalunya, Law &amp; Polit Sci, Barcelona, Spain; [Stromback, Jesper] Univ Gothenburg, Journalism Media &amp; Commun, Gothenburg, Sweden; [Zoizner, Alon] Univ Haifa, Fac Social Sci, H_efa, Israel; [Halagiera, Denis; Stepinska, Agnieszka] Uniwersytet Adama Mickiewicza Poznaniu, Social Commun, Poznan, Poland; [Schemer, Christian] Johannes Gutenberg Univ Mainz, Polit Commun, Mainz, Germany; [Gehle, Luisa; Schemer, Christian] Univ Amsterdam, Polit Commun &amp; Journalism, Amsterdam, Netherlands; [Esser, Frank; Hameleers, Michael] Univ Zurich, Int &amp; Comparat Media Res, Zurich, Switzerland; [Matthes, Jorg] Univ Wien, Commun, Vienna, Austria; [Stetka, Vaclav; Stanyer, James] Loughborough Univ, Commun &amp; Media, London, England; [Aalberg, Toril] Norges Tekn Naturvitenskapelige Univ, Sociol &amp; Polit Sci, Trondheim, Norway; [Koc-Michalska, Karolina] Audencia Business Sch, Commun Culture &amp; Languages Dept, Nantes, France; [Splendore, Sergio] Univ Milan, Social &amp; Polit Sci, Milan, Italy</t>
  </si>
  <si>
    <t>University of Amsterdam; University of Amsterdam; University of Antwerp; University of Southern Denmark; UOC Universitat Oberta de Catalunya; University of Gothenburg; University of Haifa; Johannes Gutenberg University of Mainz; University of Amsterdam; University of Zurich; University of Vienna; Loughborough University; Audencia; University of Milan</t>
  </si>
  <si>
    <t>Zilinsky, J (corresponding author), TUM Sch Social Sci &amp; Technol, Dept Governance, Richard Wagner Str 1, D-80333 Munich, Germany.</t>
  </si>
  <si>
    <t>jan.zilinsky@tum.de</t>
  </si>
  <si>
    <t>Theocharis, Yannis/Q-8336-2019; Stetka, Vaclav/AAR-6858-2021; Aalberg, Toril/HKO-2245-2023; Zilinsky, Jan/JDW-7973-2023; Van Aelst, Peter/E-2285-2019; Corbu, Nicoleta/AFN-5125-2022; Koc-Michalska, Karolina/ABG-2271-2020; Cardenal, Ana S./E-5523-2014</t>
  </si>
  <si>
    <t>Tulin, Marina/0000-0002-6676-7816; Gehle, Luisa/0000-0001-5475-106X; Theocharis, Yannis/0000-0001-7209-9669; Cardenal, Ana S./0000-0002-1540-8004; Esser, Frank/0000-0002-1627-1521; Zilinsky, Jan/0000-0001-7208-8759; Pradel, Franziska/0000-0003-4559-0772; Corbu, Nicoleta/0000-0001-9606-9827; Aalberg, Toril/0000-0001-5461-1470</t>
  </si>
  <si>
    <t>Project THREATPIE; NORFACE Joint Research Programme on Democratic Governance in a Turbulent Age; FWO; DFF; ANR; DFG; National Science Centre, Poland; NWO; AEI; ESRC; European Commission [822166]</t>
  </si>
  <si>
    <t>Project THREATPIE; NORFACE Joint Research Programme on Democratic Governance in a Turbulent Age; FWO(FWO); DFF(Det Frie Forskningsrad (DFF)); ANR(Agence Nationale de la Recherche (ANR)); DFG(German Research Foundation (DFG)); National Science Centre, Poland(National Science Centre, Poland); NWO(Netherlands Organization for Scientific Research (NWO)); AEI; ESRC(UK Research &amp; Innovation (UKRI)Economic &amp; Social Research Council (ESRC)); European Commission(European Union (EU)European Commission Joint Research Centre)</t>
  </si>
  <si>
    <t>The project was co-funded by the project THREATPIE: The Threats and Potentials of a Changing Political Information Environment financially supported by NORFACE Joint Research Programme on Democratic Governance in a Turbulent Age and co-funded by FWO, DFF, ANR, DFG, National Science Centre, Poland, NWO, AEI, ESRC and the European Commission through Horizon 2020 under grant agreement [No 822166].</t>
  </si>
  <si>
    <t>10.1080/10584609.2024.2352483</t>
  </si>
  <si>
    <t>M3C6X</t>
  </si>
  <si>
    <t>WOS:001229089600001</t>
  </si>
  <si>
    <t>Gillett, R; Stardust, Z; Burgess, J</t>
  </si>
  <si>
    <t>Gillett, Rosalie; Stardust, Zahra; Burgess, Jean</t>
  </si>
  <si>
    <t>Safety for Whom? Investigating How Platforms Frame and Perform Safety and Harm Interventions</t>
  </si>
  <si>
    <t>online safety; online harm; social media; platform governance; content moderation</t>
  </si>
  <si>
    <t>This article reports on a thematic content analysis of 486 newsroom posts published between 2016 and 2021 by five prominent digital platforms (Facebook, Tinder, YouTube, TikTok, and Twitter). We aimed to understand how these platforms frame and define the issues of harm and safety, and to identify the interventions they publicly report introducing to address these issues. We found that platforms respond to and draw upon external controversies and media panics to selectively construct matters of concern related to safety and harm. They then reactively propose solutions that serve as justification for further investment in and scaling up of automated, data-intensive surveillance and verification technologies. We examine four key themes in the data: locating harm with bad actors and discrete content objects (Theme 1), framing surveillance and policing as solutions to harm (Theme 2), policing borderline content through suppression strategies (Theme 3), and performing diversity and inclusion (Theme 4).</t>
  </si>
  <si>
    <t>[Gillett, Rosalie; Stardust, Zahra; Burgess, Jean] Queensland Univ Technol, Kelvin Grove, Australia; [Burgess, Jean] Queensland Univ Technol, Digital Media Res Ctr, QUT, Victoria Pk Rd, Kelvin Grove, Qld 4059, Australia</t>
  </si>
  <si>
    <t>Burgess, J (corresponding author), Queensland Univ Technol, Digital Media Res Ctr, QUT, Victoria Pk Rd, Kelvin Grove, Qld 4059, Australia.</t>
  </si>
  <si>
    <t>jean.burgess@qut.edu.au</t>
  </si>
  <si>
    <t>Burgess, Jean/J-1005-2012</t>
  </si>
  <si>
    <t>Stardust, Zahra Zsuzsanna/0000-0001-8555-4456; Gillett, Rosalie/0000-0002-1437-8050; Burgess, Jean/0000-0002-4770-1627</t>
  </si>
  <si>
    <t>10.1177/20563051221144315</t>
  </si>
  <si>
    <t>8R5NG</t>
  </si>
  <si>
    <t>WOS:000927940900001</t>
  </si>
  <si>
    <t>Pullen, E; Mora, L; Silk, M</t>
  </si>
  <si>
    <t>Pullen, Emma; Mora, Laura; Silk, Michael</t>
  </si>
  <si>
    <t>RETRACTED: Paralympic cripvertising: On the gendered self-representations of Paralympic athletes on social media (Retracted Article)</t>
  </si>
  <si>
    <t>Article; Early Access; Retracted Publication</t>
  </si>
  <si>
    <t>Disability; feminism; gender; intersectionality; Paralympics; qualitative; social media; sport</t>
  </si>
  <si>
    <t>DISABILITY; FEMINIST; CULTURE; BODY</t>
  </si>
  <si>
    <t>Paralympic athletes are increasingly using social media platforms such as Instagram and TikTok to (self-)represent and engage audiences in disability counter-narratives that resist dominant disability stereotypes. This is particularly the case at the intersection of gender and sexuality where social media is being harnessed to visibly reclaim gendered and sexualised disabled identities in new and diverse ways. In this article, we advance scholarship on female Paralympic athletes' self-representational practices through an intersectional visual media analysis of the most popular female British Paralympic athletes' Instagram pages. We capture a particular trend in Paralympic athletes' self-representational practices, termed cripvertising, that intersects with gendered heteronormative scripts centred on neoliberal ableism, kinship normativity and consumption ('branding') capabilities. We discuss the contradictions and complexities of Paralympians' self-representations and their role in relation to the subversive, pedagogical and emancipatory potential for shaping new disability media narratives, disabled (online) normativity and representational politics.</t>
  </si>
  <si>
    <t>[Pullen, Emma] Loughborough Univ, Sociol Sport, Loughborough, England; [Mora, Laura] Loughborough Univ, Loughborough, England; [Silk, Michael] Bournemouth Univ, Sport &amp; Social Sci, Poole, England; [Pullen, Emma] Loughborough Univ, Sch Sport Exercise &amp; Hlth Sci, Loughborough LE11 3TU, England</t>
  </si>
  <si>
    <t>Loughborough University; Loughborough University; Bournemouth University; Loughborough University</t>
  </si>
  <si>
    <t>Pullen, E (corresponding author), Loughborough Univ, Sch Sport Exercise &amp; Hlth Sci, Loughborough LE11 3TU, England.</t>
  </si>
  <si>
    <t>e.l.pullen@lboro.ac.uk</t>
  </si>
  <si>
    <t>Pullen, Emma/0000-0001-8862-6275</t>
  </si>
  <si>
    <t>Arts and Humanities Research Council [AH/T006684/1]; AHRC [AH/T006684/1] Funding Source: UKRI</t>
  </si>
  <si>
    <t>Arts and Humanities Research Council(UK Research &amp; Innovation (UKRI)Arts &amp; Humanities Research Council (AHRC)); AHRC(UK Research &amp; Innovation (UKRI)Arts &amp; Humanities Research Council (AHRC))</t>
  </si>
  <si>
    <t>The author(s) disclosed receipt of the following financial support for the research, authorship and/or publication of this article: This research has been funded by the Arts and Humanities Research Council (grant reference: AH/T006684/1).</t>
  </si>
  <si>
    <t>2023 MAY 29</t>
  </si>
  <si>
    <t>10.1177/14614448231173882</t>
  </si>
  <si>
    <t>I3FJ3</t>
  </si>
  <si>
    <t>WOS:001001668300001</t>
  </si>
  <si>
    <t>Ibrahim, F; Herzberg, PY; Stöven, LM</t>
  </si>
  <si>
    <t>Ibrahim, Fabio; Herzberg, Philipp Yorck; Stoeven, Lynne Marie</t>
  </si>
  <si>
    <t>Feeling phony online - The impostor phenomenon's link to online self-presentation, self-esteem, and social network site use</t>
  </si>
  <si>
    <t>Online self-presentation; Impostor phenomenon; Social network sites; Impostor-Profile; Instagram; Self-esteem</t>
  </si>
  <si>
    <t>MENTAL-HEALTH; PERSONALITY; FACEBOOK; ASSOCIATIONS; WOMEN</t>
  </si>
  <si>
    <t>This study examined the relationship between the impostor phenomenon, self-esteem, online self-presentation, and social network site usage across Instagram, Facebook, TikTok, LinkedIn, and Tinder. The sample consisted of n = 541 individuals (46 % men; M-age = 27, SDage = 8.5). In addition to demographics, quantitative social network site use metrics, and self-esteem, the impostor expression emerged as an incremental predictor for the online self-presentation facets adaptable self (beta = 0.26, p &lt; .001), authentic self (beta = -0.29, p &lt; .001) and freedom of self online (beta = 0.25, p &lt; .001). Self-esteem partially mediated the impostor expression's effect on the authentic self. Findings suggest that a high impostor expression links to lower online authenticity, higher online self-adaption, and a preference for online communication and self-presentation.</t>
  </si>
  <si>
    <t>[Ibrahim, Fabio; Herzberg, Philipp Yorck; Stoeven, Lynne Marie] Helmut Schmidt Univ, Dept Personal Psychol &amp; Psychol Assessment, Hamburg, Germany</t>
  </si>
  <si>
    <t>Helmut Schmidt University</t>
  </si>
  <si>
    <t>Ibrahim, F (corresponding author), Holstenhofweg 85, D-22043 Hamburg, Germany.</t>
  </si>
  <si>
    <t>Fabio.ibrahim@hsu-hh.de</t>
  </si>
  <si>
    <t>Ibrahim, Fabio/AAT-8894-2021</t>
  </si>
  <si>
    <t>Ibrahim, Fabio/0000-0003-0320-4204; Stoven, Lynne/0000-0002-8920-2674</t>
  </si>
  <si>
    <t>10.1016/j.actpsy.2024.104342</t>
  </si>
  <si>
    <t>WL0T1</t>
  </si>
  <si>
    <t>WOS:001254913300001</t>
  </si>
  <si>
    <t>Zhou, JL; Xiang, KH; Wang, MY; Zhao, YK</t>
  </si>
  <si>
    <t>Zhou, Jieling; Xiang, Keheng; Wang, Mengyao; Zhao, Yangke</t>
  </si>
  <si>
    <t>Whether and how digital celebrities make us hungry for travel?-An exploration of broadening and constructing perspectives on gastronomic tourism</t>
  </si>
  <si>
    <t>behavioral intention; broaden-and-build theory; digital celebrity; gastronomic tourism; subjective well-being</t>
  </si>
  <si>
    <t>WELL-BEING RESEARCH; QUALITY-OF-LIFE; SOCIAL MEDIA; NOVELTY-SEEKING; PARASOCIAL RELATIONSHIPS; BUILD THEORY; HOSPITALITY; REVISIT; MODEL; FOOD</t>
  </si>
  <si>
    <t>This study explored the influence of digital celebrities on gastronomic tourism through the lens of the broaden-and-build theory. Utilizing partial least squares structural equation modeling (PLS-SEM) and a case study focused on TikTok, the research examined how consumers' subjective well-being (SWB) affects para-social interaction, novelty seeking, and audience participation, and how these factors, in turn, influence behavioral intention in the domains of food and travel. The results validated the proposed hypotheses, underscoring the importance of SWB in shaping behavioral intention within gastronomic tourism driven by digital celebrities. This paper enhances the current literature by elucidating the role of digital celebrities in gastronomic tourism and offers practical insights for marketers and tourism professionals on optimizing the influence of digital celebrities to improve the gastronomic tourism experience.</t>
  </si>
  <si>
    <t>[Zhou, Jieling] Hangzhou Med Coll, Sch Marx, Hangzhou, Peoples R China; [Xiang, Keheng] City Univ Macau, Fac Int Tourism &amp; Management, Taipa, Peoples R China; [Xiang, Keheng; Wang, Mengyao] Zhejiang Int Studies Univ, Sch Culture &amp; Tourism, Hangzhou, Peoples R China; [Zhao, Yangke] Hangzhou Med Coll, Sch Basic Med Sci &amp; Forens Med, Hangzhou, Peoples R China</t>
  </si>
  <si>
    <t>Hangzhou Medical College; City University of Macau; Zhejiang International Studies University; Hangzhou Medical College</t>
  </si>
  <si>
    <t>Xiang, KH (corresponding author), City Univ Macau, Fac Int Tourism &amp; Management, Taipa, Peoples R China.</t>
  </si>
  <si>
    <t>keheng.xiang@connect.polyu.hk</t>
  </si>
  <si>
    <t>Xiang, Keheng/HGB-2526-2022</t>
  </si>
  <si>
    <t>Xiang, keheng/0000-0003-1144-4400</t>
  </si>
  <si>
    <t>Humanities and Social Sciences Youth Fund Project in 2023, Ministry of Education of China</t>
  </si>
  <si>
    <t>Humanities and Social Sciences Youth Fund Project in 2023, Ministry of Education of China(Ministry of Education, China)</t>
  </si>
  <si>
    <t>Philosophy and Social Science Planning Project of Zhejiang Province, Grant/Award Number: 23GXSZ061YBM; Humanities and Social Sciences Youth Fund Project in 2023, Ministry of Education of China, Grant/Award Number: 23JDSZK182r No Statement Available</t>
  </si>
  <si>
    <t>10.1002/jtr.2721</t>
  </si>
  <si>
    <t>E4U3V</t>
  </si>
  <si>
    <t>WOS:001302967500001</t>
  </si>
  <si>
    <t>Nickles, MA; Haber, RN</t>
  </si>
  <si>
    <t>Nickles, Melissa A.; Haber, Roger N.</t>
  </si>
  <si>
    <t>Social media voices on the treatment of skin psoriasis with biologics</t>
  </si>
  <si>
    <t>JOURNAL OF DERMATOLOGICAL TREATMENT</t>
  </si>
  <si>
    <t>Social media; psoriasis biologics; patient perceptions; patient attitudes</t>
  </si>
  <si>
    <t>Social media is an outlet for patients to share medical experiences with a large audience. However, the impact of such content on individual patient treatment decisions has yet to be fully explored. We characterized patient experiences posted on social media surrounding biologic use for skin psoriasis. We analyzed content from YouTube, Instagram, and TikTok and identified patient experiences with a variety of biologics, most commonly Humira (20.7%), Cosentyx (14.0%), and Stelara (14.0%). The biologic was described as burdensome in about half of all videos/posts (46.4%), and the most commonly cited reasons included adverse effects or abnormal blood tests (12.8%), cost or insurance issues (11.7%), lack or loss of efficacy (11.7%), and pain with injection or injection site reaction (11.7%). Nevertheless, the majority (60.9%) of videos/posts reported an overall positive experience with a biologic for their skin psoriasis, which may inspire reluctant patients to try a biologic recommended by their physician.</t>
  </si>
  <si>
    <t>[Nickles, Melissa A.; Haber, Roger N.] Univ Illinois, Dept Dermatol, Coll Med, 1740 W Taylor St, Chicago, IL 60612 USA</t>
  </si>
  <si>
    <t>Nickles, MA (corresponding author), Univ Illinois, Dept Dermatol, Coll Med, 1740 W Taylor St, Chicago, IL 60612 USA.</t>
  </si>
  <si>
    <t>nickles2@uic.edu</t>
  </si>
  <si>
    <t>Nickles, Melissa/0000-0003-0787-8652</t>
  </si>
  <si>
    <t>0954-6634</t>
  </si>
  <si>
    <t>1471-1753</t>
  </si>
  <si>
    <t>J DERMATOL TREAT</t>
  </si>
  <si>
    <t>J. Dermatol. Treat.</t>
  </si>
  <si>
    <t>10.1080/09546634.2022.2126276</t>
  </si>
  <si>
    <t>7F4OX</t>
  </si>
  <si>
    <t>WOS:000857069900001</t>
  </si>
  <si>
    <t>Reinhard, MM</t>
  </si>
  <si>
    <t>Reinhard, Michael M.</t>
  </si>
  <si>
    <t>Parenting a New Moral Panic: Anti-Queer Digital Activism and Reactionary Media Ecologies</t>
  </si>
  <si>
    <t>activism; LGBTQ; social media; cable television; gender; transgender; sexuality; gay; censorship; conservatism</t>
  </si>
  <si>
    <t>This article looks at the appropriation of cancel-culture activism by anti-queer parental rights activists online. By examining their digitally mediated anti-queer rhetoric, this paper studies how these activists drive public outrage to promote cultural censorship. Surveying digital campaigns by Libs of TikTok and Moms for Liberty, this paper analyzes how their media amplifies grooming and pedophilia discourses to dynamize older anti-queer stereotypes. Drawing upon the language of child protectionism from 1970s educational debates, this mediated rhetoric demonstrates how anti-queer activists have appropriated the social justice origins of cancel-culture online. By using social media to frame conservative activists as marginalized, these campaigns invert the history of anti-LGBTQ+ media and educational environments to rationalize anti-LGBTQ+ censorship. By looking at how this rhetoric flows from social media into conservative TV journalism, this paper uncovers how this digital activism shapes a broader reactionary media ecology with corrosive democratic effects in the United States.</t>
  </si>
  <si>
    <t>[Reinhard, Michael M.] Emory Univ, 1602 Fishburne Dr, Atlanta, GA 30322 USA</t>
  </si>
  <si>
    <t>Reinhard, MM (corresponding author), Emory Univ, 1602 Fishburne Dr, Atlanta, GA 30322 USA.</t>
  </si>
  <si>
    <t>mreinh4@emory.edu</t>
  </si>
  <si>
    <t>2024 AUG 31</t>
  </si>
  <si>
    <t>10.1177/15274764241277475</t>
  </si>
  <si>
    <t>F1L4K</t>
  </si>
  <si>
    <t>WOS:001307500800001</t>
  </si>
  <si>
    <t>Mohamed, TI; Zhran, AR; Osman, NAQ; Badr, AN</t>
  </si>
  <si>
    <t>Mohamed, Tarek Ismail; Zhran, Ayman Ramdan; Osman, Nassereldin Abdel Qadir; Badr, Amal Nabil</t>
  </si>
  <si>
    <t>The role of social media in enhancing adolescents' digital life quality- survey study in the UAE</t>
  </si>
  <si>
    <t>Social media; digital life quality; adolescents; connections; networking sites</t>
  </si>
  <si>
    <t>The study aims to investigate the effect of social media on adolescents' digital life quality based on the descriptive analytical approach. It includes two questionnaires about using social media and the quality of digital life. Participants (N = 192) are adolescents residing in the UAE who study in middle and high schools and range in age from 13 to 16. They come from Dubai, Sharjah, Ajman, Umm Al Quwain, and Ras Al-Khaimah Emirates. Findings show the significant role of social media in enhancing adolescents' Digital Quality of Life. Findings also indicate statistically significant differences between respondents' interests when using media applications in favour of those with scientific interests; they score the highest mean, 4.62. Also, there are statistically significant differences between the respondents when choosing their favourite means of communication; the differences favour Facebook by an arithmetic mean of 4.50, TikTok 4.39, Instagram 4.26, X 3.88, and Telegram 3.79.</t>
  </si>
  <si>
    <t>[Mohamed, Tarek Ismail; Osman, Nassereldin Abdel Qadir; Badr, Amal Nabil] Ajman Univ, Coll Mass Commun, Ajman, U Arab Emirates; [Zhran, Ayman Ramdan] City Univ, Coll Humanities &amp; Social Sci, Ajman, U Arab Emirates</t>
  </si>
  <si>
    <t>Ajman University</t>
  </si>
  <si>
    <t>Mohamed, TI (corresponding author), Ajman Univ, Coll Mass Commun, Ajman, U Arab Emirates.</t>
  </si>
  <si>
    <t>t.abdellatif@ajman.ac.ae</t>
  </si>
  <si>
    <t>Mohamed, Tarek/GXV-5100-2022</t>
  </si>
  <si>
    <t>Mohamed, Tarek/0000-0003-3256-9130</t>
  </si>
  <si>
    <t>10.1080/02673843.2024.2358081</t>
  </si>
  <si>
    <t>RX1H6</t>
  </si>
  <si>
    <t>WOS:001230861300001</t>
  </si>
  <si>
    <t>Moffett, KW; Seserman, K; Margolis, KA; Kranzler, EC; Marshall, MC; Dahlen, H; Kim, JEC; Denison, B; Hoffman, B; Dupervil, D; Yu, K; Hoffman, L</t>
  </si>
  <si>
    <t>Moffett, Kenneth W.; Seserman, Kate; Margolis, Katherine A.; Kranzler, Elissa C.; Marshall, Michael C.; Dahlen, Heather; Kim, Jae-Eun C.; Denison, Benjamin; Hoffman, Blake; Dupervil, Daphney; Yu, Kathleen; Hoffman, Leah</t>
  </si>
  <si>
    <t>Differences in social media use by COVID-19 vaccination status</t>
  </si>
  <si>
    <t>VACCINE</t>
  </si>
  <si>
    <t>COVID-19; Vaccine hesitancy; Vaccination; Social media; Health promotion</t>
  </si>
  <si>
    <t>The near-ubiquitous use of social media in the United States (U.S.) highlights the utility of social media for encouraging vaccination. Vaccination campaigns have used social media to reach audiences, yet research linking the use of specific social media platforms and vaccination uptake is nascent. This descriptive study assesses differences in social media use by COVID-19 vaccination status among adults overall and those who reported baseline vaccine hesitancy. We used data from a nationally representative longitudinal survey of U.S. adults administered between January 2021 -August 2022 ( n = 2,908). Results indicated a positive association between frequent Instagram and/or Twitter use and vaccination status ( p &lt;.05). Among baseline vaccine hesitant adults, results indicated a positive association between frequent TikTok, Instagram, and/or Twitter use and vaccination status ( p &lt;.05). Findings have implications for research that examines the content of social media platforms and their environment on vaccine attitudes and uptake.</t>
  </si>
  <si>
    <t>[Moffett, Kenneth W.; Seserman, Kate; Kranzler, Elissa C.; Marshall, Michael C.; Dahlen, Heather; Kim, Jae-Eun C.; Denison, Benjamin; Hoffman, Blake; Hoffman, Leah] Fors Marsh, 4250 Fairfax Dr,Ste 520, Arlington, VA 22203 USA; [Margolis, Katherine A.; Dupervil, Daphney; Yu, Kathleen] US Dept HHS, Off Assistant Secretary Publ Affairs, Washington, DC USA</t>
  </si>
  <si>
    <t>Moffett, KW (corresponding author), Fors Marsh, 4250 Fairfax Dr,Ste 520, Arlington, VA 22203 USA.</t>
  </si>
  <si>
    <t>kmoffett@forsmarsh.com</t>
  </si>
  <si>
    <t>Moffett, Kenneth/AAE-7911-2020; Hoffman, Leah/L-8147-2019; Denison, Benjamin/AAA-8143-2020</t>
  </si>
  <si>
    <t>Moffett, Kenneth/0000-0002-8704-3067</t>
  </si>
  <si>
    <t>0264-410X</t>
  </si>
  <si>
    <t>1873-2518</t>
  </si>
  <si>
    <t>Vaccine</t>
  </si>
  <si>
    <t>10.1016/j.vaccine.2024.03.031</t>
  </si>
  <si>
    <t>RG9D4</t>
  </si>
  <si>
    <t>WOS:001226622200001</t>
  </si>
  <si>
    <t>Michaelis, R; Brüggemann, N; Ebersbach, G; Ganos, C; Münchau, A; Schmidt, T; Weissbach, A; Schlegel, U; Popkirov, S</t>
  </si>
  <si>
    <t>Michaelis, Rosa; Bruggemann, Norbert; Ebersbach, Georg; Ganos, Christos; Munchau, Alexander; Schmidt, Tamara; Weissbach, Anne; Schlegel, Uwe; Popkirov, Stoyan</t>
  </si>
  <si>
    <t>Development and content validation of a questionnaire for functional movement disorders</t>
  </si>
  <si>
    <t>NERVENARZT</t>
  </si>
  <si>
    <t>Dissociative movement disorder; Psychogenic; Conversion disorder; Outcome measure; Patient-reported outcome measure</t>
  </si>
  <si>
    <t>NEUROLOGICAL DISORDER; RATING-SCALE</t>
  </si>
  <si>
    <t>From shell shock tremors to TikTok tics, functional movement disorders have long been assumed to be motor expressions of emotional turmoil. However, psychodynamic explanations are increasingly complemented by neurophysiological findings, meaning that specialized physiotherapy is gaining in importance alongside psychotherapy. Still, there is no disease-specific outcome measure that adequately assesses patient-relevant aspects of this heterogeneous condition. Such a questionnaire was developed and its content was validated in a multistage development process. The relevance and comprehensibility of the items were first evaluated by a panel of experts and then by affected patients, and questions and possible response categories were adjusted accordingly. The resultant revised questionnaire yields good content-related validity and thus allows, for the first time, a quantification of the subjective complaints and implications associated with functional movement disorders. The next step will be a multicenter study to analyze the psychometric properties and factorial structure of this new instrument.</t>
  </si>
  <si>
    <t>[Michaelis, Rosa; Schlegel, Uwe; Popkirov, Stoyan] Ruhr Univ Bochum, Univ Knappschaftskrankenhaus Bochum, Neurol Klin, Schornau 23-25, D-44892 Bochum, Germany; [Michaelis, Rosa] Univ Witten Herdecke, Fak Gesundheit, Witten, Germany; [Bruggemann, Norbert] Univ Lubeck, Neurol Klin, Lubeck, Germany; [Bruggemann, Norbert] Univ Lubeck, Inst Neurogenet, Lubeck, Germany; [Ebersbach, Georg] Kliniken Beelitz GmbH, Neurol Fachkrankenhaus BewegungsstorungenParkin, Beelitz, Germany; [Ganos, Christos] Charite Univ Med Berlin, Klin Neurol Experimenteller Neurol, Berlin, Germany; [Munchau, Alexander; Weissbach, Anne] Univ Lubeck, Inst System Motorikforsch, Lubeck, Germany</t>
  </si>
  <si>
    <t>Ruhr University Bochum; Witten Herdecke University; University of Lubeck; University of Lubeck; Berlin Institute of Health; Berlin Institute of Health; Free University of Berlin; Humboldt University of Berlin; Charite Universitatsmedizin Berlin; University of Lubeck</t>
  </si>
  <si>
    <t>Michaelis, R (corresponding author), Ruhr Univ Bochum, Univ Knappschaftskrankenhaus Bochum, Neurol Klin, Schornau 23-25, D-44892 Bochum, Germany.</t>
  </si>
  <si>
    <t>rosa.michaelis@kk-bochum.de</t>
  </si>
  <si>
    <t>Michaelis, Rosa/JWQ-0728-2024; Popkirov, Stoyan/JJC-5951-2023</t>
  </si>
  <si>
    <t>Popkirov, Stoyan/0000-0001-6168-0036; Ganos, Christos/0000-0001-8077-8530</t>
  </si>
  <si>
    <t>Projekt DEAL</t>
  </si>
  <si>
    <t>Open Access funding enabled and organized by Projekt DEAL.</t>
  </si>
  <si>
    <t>0028-2804</t>
  </si>
  <si>
    <t>1433-0407</t>
  </si>
  <si>
    <t>Nervenarzt</t>
  </si>
  <si>
    <t>10.1007/s00115-021-01247-1</t>
  </si>
  <si>
    <t>Clinical Neurology; Psychiatry</t>
  </si>
  <si>
    <t>Neurosciences &amp; Neurology; Psychiatry</t>
  </si>
  <si>
    <t>5C6EZ</t>
  </si>
  <si>
    <t>WOS:000733688800001</t>
  </si>
  <si>
    <t>Alamer, MA; Alrashed, H; Abuageelah, BM; Kinkar, LI; Alwayel, ZA; Alfaifi, MH; Alfataih, MT; Alzakry, LM; Alruwaili, ZM; Alhumam, AA</t>
  </si>
  <si>
    <t>Alamer, Maryam A.; Alrashed, Hatim; Abuageelah, Bandar M.; Kinkar, Lina I.; Alwayel, Zahraa A.; Alfaifi, Mona H.; Alfataih, Mahdi T.; Alzakry, Leena M.; Alruwaili, Ziyad M.; Alhumam, Aminah A.</t>
  </si>
  <si>
    <t>Impact of Social Media on Choosing Skin Care and Cosmetic Products Among Females in Saudi Arabia</t>
  </si>
  <si>
    <t>saudi arabia; females; impact; use; skin care products; cosmetics; social media</t>
  </si>
  <si>
    <t>CREDIBILITY; INFORMATION</t>
  </si>
  <si>
    <t>Background: Social media is a network that allows information to be shared globally with millions of users. It is becoming evident that social media plays quite a prominent role these days in skincare. Social media surely has come to benefit millions of its users around the globe, but the downside of social media is that it has the potential to put users at risk while they follow popular trends.Aim: This study aims to assess the impact of social media on choosing skincare and cosmetic products in Saudi Arabia with the most used social media platforms.Methods: A questionnaire-based cross-sectional study was conducted targeting adult female residents across Saudi Arabia. Data were collected from the participants who met our criteria via electronic data collection Google forms did not show any nominative information that was distributed through social media platforms. The questionnaire covered participants' demographic data, social media use, source of information, and degree of trust with the influence of social media on using cosmetics. The eligible females were asked to fill out the study questionnaire received till no more new answers were obtained.Results: A total of 1,174 females fulfilling the inclusion criteria completed the study questionnaire. Participants' ages ranged from 18 to more than 40 years with a mean age of 22.5 %C2%B1 13.9 years old. Exact of 655 (55.8%) were single, and 463 (39.4%) were married. The most used social media platforms included Snapchat (39.4%), TikTok (26.7%), and Instagram (19.6%). A total of 881 (75%) of the study females reported they use social media for more than an hour a day. Exact 51% of the study females became familiar with skin care products from social media platforms. Also, 91.3% of the study female's confidence in information related to cosmetic and skin care products was affected by visual presentation.Conclusion: In conclusion, the study showed that most of the study participants used social media for many hours daily mainly Snapchat, TikTok, and Instagram. Also, social media was the main source of information regarding skin care products mainly dermatologists on social media.</t>
  </si>
  <si>
    <t>[Alamer, Maryam A.] Jazan Univ, Coll Med, Med &amp; Surg, Jazan, Saudi Arabia; [Alrashed, Hatim; Alruwaili, Ziyad M.] Jouf Univ, Coll Med, Med &amp; Surg, Sakaka, Saudi Arabia; [Abuageelah, Bandar M.] Batterjee Med Coll, Med &amp; Surg, Aseer, Saudi Arabia; [Kinkar, Lina I.; Alfaifi, Mona H.] Umm Al Qura Univ, Coll Med, Med &amp; Surg, Mecca, Saudi Arabia; [Alwayel, Zahraa A.] King Faisal Univ, Coll Med, Med &amp; Surg, Alahsaa, Saudi Arabia; [Alfataih, Mahdi T.] Najran Univ, Coll Med, Med &amp; Surg, Najran, Saudi Arabia; [Alzakry, Leena M.] Imam Mohammed Ibn Saud Islamic Univ, Coll Med, Med &amp; Surg, Riyadh, Saudi Arabia; [Alhumam, Aminah A.] King Faisal Univ, Coll Med, Dermatol, Alahsaa, Saudi Arabia</t>
  </si>
  <si>
    <t>Jazan University; Al Jouf University; Batterjee Medical College; Umm Al Qura University; King Faisal University; Najran University; Imam Mohammad Ibn Saud Islamic University (IMSIU); King Faisal University</t>
  </si>
  <si>
    <t>Alamer, MA (corresponding author), Jazan Univ, Coll Med, Med &amp; Surg, Jazan, Saudi Arabia.</t>
  </si>
  <si>
    <t>maryamalamer213@gmail.com</t>
  </si>
  <si>
    <t>Abuageelah, Bandar/0009-0006-3635-1920; Alamer, Maryam/0000-0001-5084-172X</t>
  </si>
  <si>
    <t>DEC 4</t>
  </si>
  <si>
    <t>e49922</t>
  </si>
  <si>
    <t>10.7759/cureus.49922</t>
  </si>
  <si>
    <t>CB1J2</t>
  </si>
  <si>
    <t>WOS:001122696000011</t>
  </si>
  <si>
    <t>Prasetiani, AG; Widati, S</t>
  </si>
  <si>
    <t>Prasetiani, Abigael G.; Widati, Sri</t>
  </si>
  <si>
    <t>The influence of hyperreality social media on adolescent food and beverage choices: A preliminary study</t>
  </si>
  <si>
    <t>AFRICAN JOURNAL OF REPRODUCTIVE HEALTH</t>
  </si>
  <si>
    <t>Adolescent; food and beverage choices; hyperreality; social media</t>
  </si>
  <si>
    <t>Social media has become an essential aspect of our lives, especially for adolescents, in this digital age. Platforms like Instagram, Facebook, TikTok, and many more have created a hyperreal world that blurs the line between reality and fantasy. This can have significant consequences, particularly when it comes to adolescents' food and beverage choices. This initial study aims to examine how hyperreality in social media influences adolescents' food and beverage choices. The study used surveys and focus group discussions to gather information from 20 adolescents aged 13-18. Participants had to be active users of social media platforms. The study's findings indicate that exposure to hyperreal social media content influences adolescents to make unhealthy food and beverage choices, increasing their risk of developing non-communicable diseases. More research and effective measures are needed to counteract social media's negative effects on adolescent health. (Afr J Reprod Health 2024; 28 [10s]: 69-73).</t>
  </si>
  <si>
    <t>[Prasetiani, Abigael G.] Univ Airlangga, Fac Publ Hlth, Publ Hlth Program, Surabaya 60115, East Java, Indonesia; [Widati, Sri] Univ Airlangga, Fac Publ Hlth, Dept Hlth Promot &amp; Behav Sci, Surabaya 60115, East Java, Indonesia; [Prasetiani, Abigael G.] Univ Katolik Widya Mandala, Fac Nursing, Surabaya 60112, East Java, Indonesia</t>
  </si>
  <si>
    <t>Airlangga University; Airlangga University; Universitas Katolik Widya Mandala Surabaya</t>
  </si>
  <si>
    <t>Prasetiani, AG (corresponding author), Univ Airlangga, Fac Publ Hlth, Publ Hlth Program, Surabaya 60115, East Java, Indonesia.;Prasetiani, AG (corresponding author), Univ Katolik Widya Mandala, Fac Nursing, Surabaya 60112, East Java, Indonesia.</t>
  </si>
  <si>
    <t>abigael.grace.prasetiani-2022@fkm.unair.ac.id</t>
  </si>
  <si>
    <t>WOMENS HEALTH &amp; ACTION RESEARCH CENTRE</t>
  </si>
  <si>
    <t>BENIN CITY</t>
  </si>
  <si>
    <t>IGUE-IHEYA VILLAGE, BENIN-LAGOS EXPRESS RD, PO BOX 10231, UGBOWO, BENIN CITY, EDO STATE 00000, NIGERIA</t>
  </si>
  <si>
    <t>1118-4841</t>
  </si>
  <si>
    <t>2141-3606</t>
  </si>
  <si>
    <t>AFR J REPROD HEALTH</t>
  </si>
  <si>
    <t>Afr. J. Reprod. Health</t>
  </si>
  <si>
    <t>10.29063/ajrh2024/v28i10s.8</t>
  </si>
  <si>
    <t>M0K1Y</t>
  </si>
  <si>
    <t>WOS:001354512500009</t>
  </si>
  <si>
    <t>Hale, SA; Belisario, A; Mostafa, AN; Camargo, C</t>
  </si>
  <si>
    <t>Hale, Scott A.; Belisario, Adriano; Mostafa, Ahmed Nasser; Camargo, Chico</t>
  </si>
  <si>
    <t>Analyzing Misinformation Claims During the 2022 Brazilian General Election on WhatsApp, Twitter, and Kwai</t>
  </si>
  <si>
    <t>INTERNATIONAL JOURNAL OF PUBLIC OPINION RESEARCH</t>
  </si>
  <si>
    <t>FAKE NEWS</t>
  </si>
  <si>
    <t>This study analyzes misinformation claims sent to fact-checking organizations on WhatsApp during the 2022 Brazilian general election and compares them with content from Twitter and Kwai (a popular video-sharing application similar to TikTok). Given the democratic importance of accurate information during elections, multiple fact-checking organizations collaborated to collect and respond to misinformation via WhatsApp tiplines and power a fact-checking feature within a chatbot operated by Brazil's election authority, the Tribunal Superior Eleitoral (TSE). We partnered with TSE and three fact-checking organizations and collected social media data to study how misinformation claims propagate across platforms. We observed little overlap between the users of different fact-checking tiplines and a high correlation between the number of users and the amount of unique content, suggesting that WhatsApp tiplines are far from reaching a saturation point. Similarly, we also found little overlap in content across platforms, indicating the need for further research with cross-platform approaches to identify misinformation dynamics.</t>
  </si>
  <si>
    <t>[Hale, Scott A.; Belisario, Adriano; Camargo, Chico] Univ Oxford, Oxford Internet Inst, 1 St Giles, Oxford, England; [Hale, Scott A.; Mostafa, Ahmed Nasser] Meedan Inc, San Francisco, CA USA; [Camargo, Chico] Univ Exeter, Dept Comp Sci, Exeter, England; [Camargo, Chico] Ewha Womans Univ, Div English Language &amp; Literature, Seoul, South Korea</t>
  </si>
  <si>
    <t>University of Oxford; University of Exeter; Ewha Womans University</t>
  </si>
  <si>
    <t>Hale, SA (corresponding author), Univ Oxford, Oxford Internet Inst, 1 St Giles, Oxford, England.</t>
  </si>
  <si>
    <t>scott@meedan.com</t>
  </si>
  <si>
    <t>Belisario, Adriano/0009-0001-0031-6246; Hale, Scott/0000-0002-6894-4951</t>
  </si>
  <si>
    <t>Meta; Alan Turing Institute</t>
  </si>
  <si>
    <t>We are grateful to the fact-checking organizations for supporting this research and all the tireless work they did helping people locate high-quality trusted information. We are deeply grateful to our reviewers and editors for their helpful comments on earlier versions of our manuscript. Meedan receives funding from Meta and other technology companies, but the content of this manuscript was prepared with no input from these funders. S.A.H. and C.C. received funding from The Alan Turing Institute.</t>
  </si>
  <si>
    <t>0954-2892</t>
  </si>
  <si>
    <t>1471-6909</t>
  </si>
  <si>
    <t>INT J PUBLIC OPIN R</t>
  </si>
  <si>
    <t>Int. J. Public Opin. Res.</t>
  </si>
  <si>
    <t>JUL 8</t>
  </si>
  <si>
    <t>edae032</t>
  </si>
  <si>
    <t>10.1093/ijpor/edae032</t>
  </si>
  <si>
    <t>XT6H3</t>
  </si>
  <si>
    <t>WOS:001263963300005</t>
  </si>
  <si>
    <t>Rivas-Córdova, BS; Almeida-Perales, C; de Chávez-Ramírez, DR</t>
  </si>
  <si>
    <t>Rivas-Cordova, Betsabe Sarai; Almeida-Perales, Cristina; de Chavez-Ramirez, Dellanira Ruiz</t>
  </si>
  <si>
    <t>Evaluation of educational intervention on nutritional labeling in students of health sciences</t>
  </si>
  <si>
    <t>ESTUDIOS DEL DESARROLLO SOCIAL-CUBA Y AMERICA LATINA</t>
  </si>
  <si>
    <t>food labeling; nutrition warning stamps; educative intervention; university students; health sciences</t>
  </si>
  <si>
    <t>Objective: To evaluate an educational intervention elaborated in Tik Tok, on the knowledge in nutritional labeling in university students belonging to the area of health sciences of a public university in Mexico. Methods: The educational intervention was applied to 75 health science students. A 16-item survey was applied before and after the intervention, which consisted of 8 videos made on the TikTok platform. To verify the normality of the data, the Kolmogorov-Smirnov test was used, the effectiveness of this educational strategy was measured with the Wilcoxon test, and the Kruskal-Wallis test was used to compare the means of each degree. Results: Before the intervention, 62.7% of the university students obtained a good labeling knowledge, later, it increased to 81.3% (p&lt;0.001). Conclusions: The educational intervention on labeling favorably increased the understanding of nutritional information in the students of the area of health sciences.</t>
  </si>
  <si>
    <t>[Rivas-Cordova, Betsabe Sarai; Almeida-Perales, Cristina; de Chavez-Ramirez, Dellanira Ruiz] Univ Autonoma Zacatecas UAZ, Licenciatura Nutr, Zacatecas, Mexico</t>
  </si>
  <si>
    <t>Rivas-Córdova, BS (corresponding author), Univ Autonoma Zacatecas UAZ, Licenciatura Nutr, Zacatecas, Mexico.</t>
  </si>
  <si>
    <t>saraibsrc@gmail.com; crisalm@uaz.edu.mx; druizchavezr@hotmail.com</t>
  </si>
  <si>
    <t>UNIV HABANA</t>
  </si>
  <si>
    <t>CALLE SAN LAZARO ESQ L VEDADO, HAVANA, 4, CUBA</t>
  </si>
  <si>
    <t>2308-0132</t>
  </si>
  <si>
    <t>ESTUD DESARRO SOC</t>
  </si>
  <si>
    <t>Estud. Desarro. Soc.</t>
  </si>
  <si>
    <t>JAN-APR</t>
  </si>
  <si>
    <t>TQ2L1</t>
  </si>
  <si>
    <t>WOS:001242658400015</t>
  </si>
  <si>
    <t>Huang, V; Taliadoros, J</t>
  </si>
  <si>
    <t>Huang, Vicki; Taliadoros, Jason</t>
  </si>
  <si>
    <t>Image Abduction of a Normal Person in a Public Space</t>
  </si>
  <si>
    <t>AUSTRALIAN LAW JOURNAL</t>
  </si>
  <si>
    <t>PRIVACY; LAW; AUSTRALIA; TORT</t>
  </si>
  <si>
    <t>This article discusses the lacunae in Australian law that permit the image abduction of a normal person in a public space. We define this as the circulation of a non-intimate image without consent with subsequent distress caused by that circulation or by third-party comments. We discuss this conduct as the inevitable consequence of smart phones and the commercialisation of social media, in particular the monetisation of online influence. In this article we argue that the harms to both a normal person (who has their image, agency and autonomy taken from them) and to society at large are underappreciated in Australian policy discourse. We conclude that in a world where image abduction will be ubiquitous, a tort of privacy that acknowledges these harms is imperative. This article uses the case study of Maree, whose image was appropriated into kindness porn TikTok videos, to explore the current legal landscape and recent inquiries into the development of an Australian tort of privacy.</t>
  </si>
  <si>
    <t>[Huang, Vicki] Deakin Univ, Law Intellectual Property, Melbourne, Australia; [Taliadoros, Jason] Deakin Univ, Law Torts, Melbourne, Australia</t>
  </si>
  <si>
    <t>Deakin University; Deakin University</t>
  </si>
  <si>
    <t>Huang, V (corresponding author), Deakin Univ, Law Intellectual Property, Melbourne, Australia.</t>
  </si>
  <si>
    <t>LAWBOOK CO LTD</t>
  </si>
  <si>
    <t>PYRMONT</t>
  </si>
  <si>
    <t>LEVEL 6, 19 HARRIS ST, PYRMONT, NSW 2009, AUSTRALIA</t>
  </si>
  <si>
    <t>0004-9611</t>
  </si>
  <si>
    <t>AUST LAW J</t>
  </si>
  <si>
    <t>Aust. Law J.</t>
  </si>
  <si>
    <t>DK0A4</t>
  </si>
  <si>
    <t>WOS:001131800800002</t>
  </si>
  <si>
    <t>Storto, A</t>
  </si>
  <si>
    <t>Storto, Andre</t>
  </si>
  <si>
    <t>Fingerprints: towards a multisensory approach to meaning in digital media</t>
  </si>
  <si>
    <t>NORDIC JOURNAL OF DIGITAL LITERACY</t>
  </si>
  <si>
    <t>Multisensoriality; Multimodality; Touch; digital literacy; digital media</t>
  </si>
  <si>
    <t>DESIGN</t>
  </si>
  <si>
    <t>This paper argues for a multisensory approach to meaning-making in digital environments guided primarily by the sense of touch. Drawing on insights from multimodality, anthropology of the senses, cognitive science and media studies, among other disciplines, the text explores how such an approach can contribute to a more refined understanding of literacy and meaning-making practices in digital media. The paper starts by examining the relationship between meaning, embodiment and the senses, paying particular attention to the sense of touch. The discussion then focuses on the fundamentally tactile properties of digital media and explore their material, sensory and semiotic dimensions. The discussions are supported and complemented by the analysis of two empirical, illustrative examples of how a multisensory approach to meaning can help shed light on literacy practices in the digital age: the reading and interpretation of digital data visualizations and the production of videos using the TikTok app.</t>
  </si>
  <si>
    <t>[Storto, Andre] Univ Bergen, Dept Foreign Languages, Bergen, Norway</t>
  </si>
  <si>
    <t>University of Bergen</t>
  </si>
  <si>
    <t>Storto, A (corresponding author), Univ Bergen, Dept Foreign Languages, Bergen, Norway.</t>
  </si>
  <si>
    <t>Andre.Storto@uib.no</t>
  </si>
  <si>
    <t>Storto, Andre/0000-0002-7157-8163</t>
  </si>
  <si>
    <t>UNIVERSITETSFORLAGET AS</t>
  </si>
  <si>
    <t>SEHESTEDS GATE 3, PO BOX 508, OSLO, 0105, NORWAY</t>
  </si>
  <si>
    <t>0809-6724</t>
  </si>
  <si>
    <t>1891-943X</t>
  </si>
  <si>
    <t>NORD J DIGIT LIT</t>
  </si>
  <si>
    <t>Nord. J. Digit. Lit.</t>
  </si>
  <si>
    <t>10.18261/issn.1891-943x-2021-03-04-04</t>
  </si>
  <si>
    <t>YF2JM</t>
  </si>
  <si>
    <t>WOS:000741639600004</t>
  </si>
  <si>
    <t>Herman, LM</t>
  </si>
  <si>
    <t>Herman, Laura M.</t>
  </si>
  <si>
    <t>Remixing, Seeing, and Curating: Algorithms' Influence on Human Creativity</t>
  </si>
  <si>
    <t>C&amp;C'21: PROCEEDINGS OF THE 13TH CONFERENCE ON CREATIVITY AND COGNITION</t>
  </si>
  <si>
    <t>13th Conference on Creativity and Cognition (C&amp;C)</t>
  </si>
  <si>
    <t>JUN 22-23, 2021</t>
  </si>
  <si>
    <t>creativity; algorithmic curation; visual search; digital art; mixed methods</t>
  </si>
  <si>
    <t>In this doctoral research program, the influence of algorithms on creative perception and construction is investigated. First, I outline the need for a clear framework that aims to measure viewer-defined online creativity. To meet this need, I offer a 5-part mixed methods approach that synthesizes qualitative, quantitative, and visual data to construct a conception of online visual creativity. Then, I discuss applications of this framework to measure the impact of emerging technologies on human creativity. In a second study, I demonstrate the influence of TikTok's algorithm on the content being filmed by its users; in particular, I investigate the Duet feature as a site of remixing rather than creatively collaborating. In sum, algorithms are shown to influence creative consumers by both curating the content that one is exposed to and by guiding the content that is initially created. Next steps for my dissertation work are also discussed.</t>
  </si>
  <si>
    <t>[Herman, Laura M.] Adobe Inc, Oxford, England; [Herman, Laura M.] Univ Oxford, Oxford Internet Inst, Oxford, England</t>
  </si>
  <si>
    <t>Herman, LM (corresponding author), Adobe Inc, Oxford, England.;Herman, LM (corresponding author), Univ Oxford, Oxford Internet Inst, Oxford, England.</t>
  </si>
  <si>
    <t>laura.herman@oii.ox.ac.uk</t>
  </si>
  <si>
    <t>Herman, Laura/HDN-9787-2022</t>
  </si>
  <si>
    <t>Herman, Laura/0000-0002-5561-4603</t>
  </si>
  <si>
    <t>978-1-4503-8376-9</t>
  </si>
  <si>
    <t>10.1145/3450741.3467464</t>
  </si>
  <si>
    <t>Art; Computer Science, Interdisciplinary Applications; Psychology, Multidisciplinary</t>
  </si>
  <si>
    <t>Art; Computer Science; Psychology</t>
  </si>
  <si>
    <t>BU8EJ</t>
  </si>
  <si>
    <t>WOS:000946594800069</t>
  </si>
  <si>
    <t>Wang, N; Chen, G; Zheng, XB</t>
  </si>
  <si>
    <t>Wang, Nan; Chen, Gong; Zheng, Xiabing</t>
  </si>
  <si>
    <t>Boosting Sales for Agricultural Products Through Live Streaming: The Role of Product Distance, Scene Type and Streamer Type</t>
  </si>
  <si>
    <t>E-BUSINESS: NEW CHALLENGES AND OPPORTUNITIES FOR DIGITAL-ENABLED INTELLIGENT FUTURE, PT III, WHICEB 2024</t>
  </si>
  <si>
    <t>Agricultural Products; Live Streaming; Dual-Process Theory; Product Distance; Scene Type; Streamer Type</t>
  </si>
  <si>
    <t>CUES</t>
  </si>
  <si>
    <t>Live streaming has become an important role for the sales for agricultural products. While live streaming of agricultural product has unique characteristics, this paper addresses how three less investigated live streaming designs which are product distance, scene type and streamer type affects sales for agricultural products. Based on dual-process theory, we further classify the impact of these three factors on sales into product path and non-product path. A dataset of live streaming of agricultural products on the TikTok platform is analyzed to test our hypotheses. Results show that all these three factors have significant impact on sales for agricultural product. Further, by comparing the relative impact of product path and non-product path on sales based on dominant analysis, we found that product distance representing product path is more important than non-product path. Both theoretical and practical implications are discussed.</t>
  </si>
  <si>
    <t>[Wang, Nan; Chen, Gong] Wuhan Univ, Sch Informat Management, 299 Bayi Rd, Wuhan 430072, Peoples R China; [Zheng, Xiabing] Univ Sci &amp; Technol China, Sch Publ Affairs, Hefei 230026, Peoples R China</t>
  </si>
  <si>
    <t>Wuhan University; Chinese Academy of Sciences; University of Science &amp; Technology of China, CAS</t>
  </si>
  <si>
    <t>Wang, N (corresponding author), Wuhan Univ, Sch Informat Management, 299 Bayi Rd, Wuhan 430072, Peoples R China.</t>
  </si>
  <si>
    <t>nanwang@whu.edu.cn</t>
  </si>
  <si>
    <t>National Natural Science Foundation of China [71904149]; Featured Social Science Fund of University of Science and Technology of China [FSSF-A-230109]</t>
  </si>
  <si>
    <t>National Natural Science Foundation of China(National Natural Science Foundation of China (NSFC)); Featured Social Science Fund of University of Science and Technology of China</t>
  </si>
  <si>
    <t>This study is supported by Grants from the National Natural Science Foundation of China (Project No. 71904149), and Featured Social Science Fund of University of Science and Technology of China (Project No. FSSF-A-230109).</t>
  </si>
  <si>
    <t>978-3-031-60326-6; 978-3-031-60324-2</t>
  </si>
  <si>
    <t>10.1007/978-3-031-60324-2_15</t>
  </si>
  <si>
    <t>BX8DV</t>
  </si>
  <si>
    <t>WOS:001329868900015</t>
  </si>
  <si>
    <t>Thompson, JD</t>
  </si>
  <si>
    <t>Thompson, Jay Daniel</t>
  </si>
  <si>
    <t>Public health pedagogy and digital misinformation: Health professional influencers and the politics of expertise</t>
  </si>
  <si>
    <t>expertise; health professionals; influencers; misinformation; public health pedagogy</t>
  </si>
  <si>
    <t>This article asks: 'To what extent can health professional influencers function as health pedagogues, educating their audiences and protecting public health in an era of digital misinformation?' The article teases out that question by applying Content Analysis and Framing Analysis to a selection of TikTok and Instagram posts by Dr Michael Mrozinski, a Scottish general practitioner who is based in Australia. The posts seek to debunk online misinformation and provide facts regarding COVID-19. Mrozinski's social media content exemplifies what the article terms 'public health pedagogy' (PHP) - pedagogy that is informed by public health principles and that is undertaken outside traditional educational institutions. The article also asks: 'How exactly does Mrozinski respond to misinformation actors and to what extent does this diminish the effectiveness of his PHP?' The article investigates whether Mrozinski's hostility towards these actors actually invokes stereotypes of medical experts as elitist and uncaring. Those stereotypes are commonly expounded by misinformation and conspiracy actors.</t>
  </si>
  <si>
    <t>[Thompson, Jay Daniel] RMIT Univ, Sch Media &amp; Commun, 124 La Trobe St, Melbourne, Vic 3001, Australia</t>
  </si>
  <si>
    <t>Thompson, JD (corresponding author), RMIT Univ, Sch Media &amp; Commun, 124 La Trobe St, Melbourne, Vic 3001, Australia.</t>
  </si>
  <si>
    <t>jay.thompson@rmit.edu.au</t>
  </si>
  <si>
    <t>10.1177/14407833221128592</t>
  </si>
  <si>
    <t>WOS:001046189700004</t>
  </si>
  <si>
    <t>Guerrero-Sosa, JDT; Romero, FP; Montoro-Montarroso, A; Menendez, VH; Serrano-Guerrero, J; Olivas, JA</t>
  </si>
  <si>
    <t>Larsen, HL; Martin-Bautista, MJ; Ruiz, MD; Andreasen, T; Bordogna, G; DeTre, G</t>
  </si>
  <si>
    <t>Guerrero-Sosa, Jared D. T.; Romero, Francisco P.; Montoro-Montarroso, Andres; Menendez, Victor H.; Serrano-Guerrero, Jesus; Olivas, Jose A.</t>
  </si>
  <si>
    <t>A Fuzzy Approach to Detecting Suspected Disinformation in Videos</t>
  </si>
  <si>
    <t>FLEXIBLE QUERY ANSWERING SYSTEMS, FQAS 2023</t>
  </si>
  <si>
    <t>15th International Conference on Flexible Query Answering Systems (FQAS)</t>
  </si>
  <si>
    <t>SEP 05-07, 2023</t>
  </si>
  <si>
    <t>European Soc Fuzzy Log &amp; Technol, Mallorca, SPAIN</t>
  </si>
  <si>
    <t>Univ Granada,Univ Illes Balears,Univ Cultura, Consejeria Fondos Europeos, Govern Illes Balears,Ajuntament Palma,Fundacio Univ Empresa Illes Balears</t>
  </si>
  <si>
    <t>European Soc Fuzzy Log &amp; Technol</t>
  </si>
  <si>
    <t>Knowledge Engineering; Behaviour detection; Multimodal disinformation detection</t>
  </si>
  <si>
    <t>Disinformation has become an increasingly significant problem in today's digital world, spreading rapidly across various multimedia platforms. To combat this issue, we propose a novel hybrid intelligence framework that combines the power of deep learning and fuzzy logic-based methods to detect multimodal disinformation content. The framework comprises two main components: the multimodal feature analyzer and the multimodal disinformation content detector. In the multimodal feature measurement step, we extract features from different modalities of a multimedia piece and then use deep learning methods to obtain a set of different measures. Finally, in the multimodal disinformation content detection step, we use a fuzzy logic-based method to detect disinformation content based on previously obtained multimodal features. To validate the effectiveness of our proposed framework, we conducted experiments using a dataset of TikTok videos containing various forms of disinformation. Our experiments demonstrated the viability of our approach and its potential to be applied to other social media platforms.</t>
  </si>
  <si>
    <t>[Guerrero-Sosa, Jared D. T.; Romero, Francisco P.; Serrano-Guerrero, Jesus; Olivas, Jose A.] Univ Castilla La Mancha, Dept Informat Syst &amp; Technol, Paseo Univ 4, Ciudad Real, Spain; [Montoro-Montarroso, Andres] Univ Granada, Dept Comp Sci &amp; Artificial Intelligence, Granada, Spain; [Menendez, Victor H.] Autonomous Univ Yucatan, Sch Math, Merida, Yucatan, Mexico</t>
  </si>
  <si>
    <t>Universidad de Castilla-La Mancha; University of Granada; Universidad Autonoma de Yucatan</t>
  </si>
  <si>
    <t>Guerrero-Sosa, JDT (corresponding author), Univ Castilla La Mancha, Dept Informat Syst &amp; Technol, Paseo Univ 4, Ciudad Real, Spain.</t>
  </si>
  <si>
    <t>jareddavidtadeo.guerrero@alu.uclm.es; FranciscoP.Romero@uclm.es; andres.montoro@ugr.es; mdoming@correo.uady.mx; Jesus.Serrano@uclm.es; JoseAngel.Olivas@uclm.es</t>
  </si>
  <si>
    <t>Guerrero Sosa, Jared David Tadeo/CAA-2467-2022; Menendez Dominguez, Victor Hugo/P-4666-2014; Serrano Guerrero, Jesus/A-4137-2013</t>
  </si>
  <si>
    <t>Olivas Varela, Jose Angel/0000-0003-4172-4729; Montoro Montarroso, Andres/0000-0003-1893-3346; Romero Chicharro, Francisco Pascual/0000-0002-6993-2434; Menendez Dominguez, Victor Hugo/0000-0003-3587-1263; Serrano Guerrero, Jesus/0000-0002-6177-8188; Guerrero-Sosa, Jared D.T./0000-0001-7999-9870</t>
  </si>
  <si>
    <t>Spanish Government (ERA/ERDF, EU) [SAFER: PID2019-104735RB-C42]</t>
  </si>
  <si>
    <t>Spanish Government (ERA/ERDF, EU)</t>
  </si>
  <si>
    <t>The Spanish Government has partially supported this work under the grant SAFER: PID2019-104735RB-C42 (ERA/ERDF, EU).</t>
  </si>
  <si>
    <t>978-3-031-42934-7; 978-3-031-42935-4</t>
  </si>
  <si>
    <t>10.1007/978-3-031-42935-4_12</t>
  </si>
  <si>
    <t>BW4WY</t>
  </si>
  <si>
    <t>WOS:001156345100012</t>
  </si>
  <si>
    <t>O'Brien, P</t>
  </si>
  <si>
    <t>O'Brien, Paula</t>
  </si>
  <si>
    <t>WELCOME TO TELEVISION: REGULATING ALCOHOL MARKETING ON TELEVISION IN AUSTRALIA TO PROTECT THE HEALTH OFYOUNG PEOPLE</t>
  </si>
  <si>
    <t>JOURNAL OF LAW AND MEDICINE</t>
  </si>
  <si>
    <t>alcohol; marketing; young people; television</t>
  </si>
  <si>
    <t>EXPOSURE; ADOLESCENTS; MEDIA; DRINKING; CHILDREN; IMPACT</t>
  </si>
  <si>
    <t>Television content is now available whenever and wherever viewers want it through free-to-air commercial television, catch-up television, video-on demand services whether subscription or free, and social media platforms such as Facebook and TikTok. Alcohol marketing is pervasive in television, with young people's exposure to such marketing being causally connected to harms such as early initiation to drinking and heavy drinking practices. The World Health Organization recommends that countries ban or place comprehensive restrictions on alcohol marketing. Australia has failed to heed this recommendation. This column reviews the regulation of alcohol marketing in Australia from the perspective of its capacity to protect young people from exposure to the marketing. Australia's regulation of alcohol marketing is weak, fragmented and outdated, with rules that favour the interests of the alcohol, media and sporting industries, and do not protect the public's health, particularly that of young people.</t>
  </si>
  <si>
    <t>[O'Brien, Paula] Melbourne Law Sch, Hlth Law &amp; Eth Network, Carlton, Vic, Australia; [O'Brien, Paula] Melbourne Law Sch, Hlth &amp; Med Law Masters, Carlton, Vic, Australia</t>
  </si>
  <si>
    <t>O'Brien, P (corresponding author), Melbourne Law Sch, Hlth Law &amp; Eth Network, Carlton, Vic, Australia.;O'Brien, P (corresponding author), Melbourne Law Sch, Hlth &amp; Med Law Masters, Carlton, Vic, Australia.</t>
  </si>
  <si>
    <t>obrienpl@unimelb.edu.au</t>
  </si>
  <si>
    <t>O'Brien, Paula/0000-0002-6879-0489</t>
  </si>
  <si>
    <t>THOMSON REUTERS AUSTRALIA LTD</t>
  </si>
  <si>
    <t>NORTH RYDE</t>
  </si>
  <si>
    <t>THOMSON REUTERS AUSTRALIA LTD, NORTH RYDE, 00000, AUSTRALIA</t>
  </si>
  <si>
    <t>1320-159X</t>
  </si>
  <si>
    <t>J LAW MED</t>
  </si>
  <si>
    <t>J. Law Med.</t>
  </si>
  <si>
    <t>P0YX8</t>
  </si>
  <si>
    <t>WOS:001047992700004</t>
  </si>
  <si>
    <t>Taylor, SH; Choi, M</t>
  </si>
  <si>
    <t>Taylor, Samuel Hardman; Choi, Mina</t>
  </si>
  <si>
    <t>An Initial Conceptualization of Algorithm Responsiveness: Comparing Perceptions of Algorithms Across Social Media Platforms</t>
  </si>
  <si>
    <t>social media; algorithms; responsiveness; insensitivity; media enjoyment; algorithm awareness</t>
  </si>
  <si>
    <t>PERCEIVED PARTNER-RESPONSIVENESS; ENJOYMENT; INTIMACY; ATTITUDE</t>
  </si>
  <si>
    <t>Human-algorithm interaction has emerged as a pressing area in social media research because algorithms curate and govern most communication on social media. In the present study, we focus on the perceptions people have of algorithms as it relates to their identity and goals. Bridging interpersonal communication theory into human-algorithm interactions, we explicate the concepts of perceived algorithm responsiveness (PAR) and perceived algorithm insensitivity (PAI). In two preregistered studies, we examine PAR and PAI across the social media ecology, finding that TikTok has a higher PAR and lower PAI compared with Facebook and Instagram. Data suggest that algorithm awareness is only weakly correlated with PAR or PAI, and that PAR was a significant predictor of people's social media enjoyment. These results contribute to research on human-algorithm interaction by conceptualizing and testing two new theoretical concepts to explain the algorithm responsiveness process.</t>
  </si>
  <si>
    <t>[Taylor, Samuel Hardman] Univ Illinois, Chicago, IL USA; [Choi, Mina] Kent State Univ, Kent, OH USA</t>
  </si>
  <si>
    <t>University of Illinois System; University of Illinois Chicago; University of Illinois Chicago Hospital; University System of Ohio; Kent State University; Kent State University Salem; Kent State University Kent</t>
  </si>
  <si>
    <t>Taylor, SH (corresponding author), Univ Illinois, Dept Commun, 1007 Harrison St, Chicago, IL 60607 USA.</t>
  </si>
  <si>
    <t>Choi, Mina/ADG-6622-2022</t>
  </si>
  <si>
    <t>Taylor, Samuel/0000-0002-1014-4513; Choi, Mina/0000-0002-9947-5035</t>
  </si>
  <si>
    <t>10.1177/20563051221144322</t>
  </si>
  <si>
    <t>8R5NE</t>
  </si>
  <si>
    <t>WOS:000927940700001</t>
  </si>
  <si>
    <t>Pastor, EM; Pérez, RV; Medel, IL</t>
  </si>
  <si>
    <t>Martinez Pastor, Esther; Vizcaino Perez, Ricardo; Lopez Medel, Ismael</t>
  </si>
  <si>
    <t>Children and young people in front of the devices: new communication phenomena and new product creators</t>
  </si>
  <si>
    <t>Minors; kids; young people; consumer; producer; influencer; social networks; mobile devices</t>
  </si>
  <si>
    <t>Content creators across platforms such as YouTube, Instagram, or TikTok are increasingly younger. Children and adolescents are the protagonists of this phenomenon both in content creation and consumption. Traditional media have been relegated to a secondary role, opening the door to platforms to exchange content (videos, images). In such platforms, young creators generate messages to their peers using their same language, codes, preferences, and taste. This, in turn, sparks interest in commercial brands to be present in this digital realm. Such are the questions that this special issue investigates. Its articles remind us of the old ghosts of media literacy, showing us the main features of the content created by children as influencers, the potential reasons some influencers manage to connect with their follower base, or the critical audience attitude towards advertising targeting minors. Lastly, this special issue covers the fan phenomenon and its transposition from fiction television to social networks.</t>
  </si>
  <si>
    <t>[Martinez Pastor, Esther; Vizcaino Perez, Ricardo] Univ Rey Juan Carlos, Fac Ciencias Comunicac, Madrid, Spain; [Lopez Medel, Ismael] Azusa Pacific Univ, Coll Arts, Dept Commun Studies, Publ Relat Program, Azusa, CA 91702 USA</t>
  </si>
  <si>
    <t>Universidad Rey Juan Carlos; Azusa Pacific University</t>
  </si>
  <si>
    <t>Pastor, EM (corresponding author), Univ Rey Juan Carlos, Fac Ciencias Comunicac, Madrid, Spain.</t>
  </si>
  <si>
    <t>Pérez, Ricardo/L-3317-2015</t>
  </si>
  <si>
    <t>10.7195/ri14.v20i1.1811</t>
  </si>
  <si>
    <t>YT8VI</t>
  </si>
  <si>
    <t>WOS:000751631000001</t>
  </si>
  <si>
    <t>Feng, KJK; Koo, X; Tan, L; Bruckman, A; McDonald, DW; Zhang, AX</t>
  </si>
  <si>
    <t>Feng, K. J. Kevin; Koo, Xander; Tan, Lawrence; Bruckman, Amy; McDonald, David W.; Zhang, Amy X.</t>
  </si>
  <si>
    <t>Mapping the Design Space of Teachable Social Media Feed Experiences</t>
  </si>
  <si>
    <t>social media; interactive machine teaching; feed curation</t>
  </si>
  <si>
    <t>Social media feeds are deeply personal spaces that reflect individual values and preferences. However, top-down, platform-wide content algorithms can reduce users' sense of agency and fail to account for nuanced experiences and values. Drawing on the paradigm of interactive machine teaching (IMT), an interaction framework for non-expert algorithmic adaptation, we map out a design space for teachable social media feed experiences to empower agential, personalized feed curation. To do so, we conducted a think-aloud study (N = 24) featuring four social media platforms-Instagram, Mastodon, TikTok, and Twitter-to understand key signals users leveraged to determine the value of a post in their feed. We synthesized users' signals into taxonomies that, when combined with user interviews, inform five design principles that extend IMT into the social media setting. We finally embodied our principles into three feed designs that we present as sensitizing concepts for teachable feed experiences moving forward.</t>
  </si>
  <si>
    <t>[Feng, K. J. Kevin; Tan, Lawrence; McDonald, David W.; Zhang, Amy X.] Univ Washington, Seattle, WA 98195 USA; [Koo, Xander; Bruckman, Amy] Georgia Inst Technol, Atlanta, GA USA</t>
  </si>
  <si>
    <t>University of Washington; University of Washington Seattle; University System of Georgia; Georgia Institute of Technology</t>
  </si>
  <si>
    <t>Feng, KJK (corresponding author), Univ Washington, Seattle, WA 98195 USA.</t>
  </si>
  <si>
    <t>kjfeng@uw.edu; xander@gatech.edu; lawtan@cs.uw.edu; asb@cc.gatech.edu; dwmc@uw.edu; axz@cs.uw.edu</t>
  </si>
  <si>
    <t>McDonald, David/0000-0001-5882-828X; Bruckman, Amy/0000-0003-3731-7047; Zhang, Amy/0000-0001-9462-9835; Koo, Xander/0009-0005-1750-3477</t>
  </si>
  <si>
    <t>10.1145/3613904.3642120</t>
  </si>
  <si>
    <t>WOS:001255317904021</t>
  </si>
  <si>
    <t>Polat, E; Çelik, F; Ibrahim, B; Köseoglu, MA</t>
  </si>
  <si>
    <t>Polat, Eray; Celik, Fatih; Ibrahim, Blend; Koseoglu, Mehmet Ali</t>
  </si>
  <si>
    <t>Unpacking the power of user-generated videos in hospitality and tourism: a systematic literature review and future direction</t>
  </si>
  <si>
    <t>User-generated content; user-generated video; short-form videos; travel live-streaming; social media platforms; destination image; behavioral intention; systematic literature review; co-word analysis; TCM framework</t>
  </si>
  <si>
    <t>SOCIAL MEDIA; INFORMATION; STRATEGIES; TIKTOK; TRUST</t>
  </si>
  <si>
    <t>We review user-generated video (UGV)-research in hospitality and tourism (H&amp;T), provide an overview of its current-state, and suggest ways forward. We adopted a systematic literature review methodology and reviewed 66 articles with TCM (theory/context/methodology) framework. UGV-research focuses on (i) destination image perception, (ii) short-form videos and travel live-streaming, (iii) behavioral intentions, and (iv) crisis management. Theoretical development is diverse, given the descriptive nature of research questions, but it is still in its infancy. The context varies by H&amp;T setting, type of social media platform, population, and country. Research methods and techniques range from traditional analysis to advanced machine learning or artificial intelligence-based quantitative approaches, predominantly qualitative methods.</t>
  </si>
  <si>
    <t>[Polat, Eray] Gumushane Univ, Fac Tourism, Gumushane, Turkiye; [Celik, Fatih] Trabzon Univ, Dept Mkt &amp; Advertising, Trabzon, Turkiye; [Ibrahim, Blend] Istanbul Ticaret Univ, Dept Business Adm, Fac Business, Istanbul, Turkiye; [Koseoglu, Mehmet Ali] Metropolitan State Univ, Coll Management, Minneapolis, MN USA; [Polat, Eray] Gumushane Univ, Fac Tourism, Gumushanevi Campus, TR-29100 Gumushane, Turkiye</t>
  </si>
  <si>
    <t>Gumushane University; Trabzon University; Istanbul Ticaret University; Minnesota State Colleges &amp; Universities; Metropolitan State University; Gumushane University</t>
  </si>
  <si>
    <t>Polat, E (corresponding author), Gumushane Univ, Fac Tourism, Gumushanevi Campus, TR-29100 Gumushane, Turkiye.</t>
  </si>
  <si>
    <t>eraypolat38@gmail.com</t>
  </si>
  <si>
    <t>Çelik, Fatih/LLJ-3115-2024; POLAT, Eray/LOR-8055-2024; Ibrahim, Blend/AAN-9691-2020</t>
  </si>
  <si>
    <t>CELIK, Fatih/0000-0002-3765-5284; Ibrahim, Blend/0000-0002-2410-765X; POLAT, Eray/0000-0003-1470-4298</t>
  </si>
  <si>
    <t>10.1080/10548408.2023.2296655</t>
  </si>
  <si>
    <t>EI6O9</t>
  </si>
  <si>
    <t>WOS:001138337600001</t>
  </si>
  <si>
    <t>Feng, XD</t>
  </si>
  <si>
    <t>Feng, Xiaodan</t>
  </si>
  <si>
    <t>Curating and Exhibiting for the Pandemic: Participatory Virtual Art Practices During the COVID-19 Outbreak in China</t>
  </si>
  <si>
    <t>China; COVID-19; digital in-between space; online exhibitions; participatory art; state media discourse</t>
  </si>
  <si>
    <t>Since China's lockdown of major cities in response to COVID-19, different forms of online participatory initiatives led by self-organizing groups of volunteers have greatly contributed to information circulation, patient admission support, and other aspects of coping with the pandemic. Although often overlooked by those studying online cultural production during the pandemic, a massive spontaneous and participatory creative outpouring of individual and collaborative artworks related to fight the pandemic are being published through platforms including Kuaishou, TikTok, and WeChat public accounts. This article argues that while these participatory online exhibitions published through WeChat opened up a temporary space of expression that both offset the lack of information and enabled alternative ways of understanding of and expression about the crisis, they were not only subject to pervasive state surveillance, but also co-optation by state media.</t>
  </si>
  <si>
    <t>[Feng, Xiaodan] Vrije Univ Amsterdam, Anthropol, Amsterdam, Netherlands</t>
  </si>
  <si>
    <t>Vrije Universiteit Amsterdam</t>
  </si>
  <si>
    <t>Feng, XD (corresponding author), Vrije Univ Amsterdam, Dept Social &amp; Cultural Anthropol, Boelelaan 1105, NL-1081 HV Amsterdam, Netherlands.</t>
  </si>
  <si>
    <t>gracefenglovelife@gmail.com</t>
  </si>
  <si>
    <t>10.1177/2056305120948232</t>
  </si>
  <si>
    <t>MX0IY</t>
  </si>
  <si>
    <t>WOS:000557413700001</t>
  </si>
  <si>
    <t>Liu, S; Chen, ZZ</t>
  </si>
  <si>
    <t>Liu, Shang; Chen, Zhenzhong</t>
  </si>
  <si>
    <t>SEQUENTIAL BEHAVIOR MODELING FOR NEXT MICRO-VIDEO RECOMMENDATION WITH COLLABORATIVE TRANSFORMER</t>
  </si>
  <si>
    <t>2019 IEEE INTERNATIONAL CONFERENCE ON MULTIMEDIA AND EXPO (ICME)</t>
  </si>
  <si>
    <t>IEEE International Conference on Multimedia and Expo</t>
  </si>
  <si>
    <t>IEEE International Conference on Multimedia and Expo (ICME)</t>
  </si>
  <si>
    <t>JUL 08-12, 2019</t>
  </si>
  <si>
    <t>Shanghai, PEOPLES R CHINA</t>
  </si>
  <si>
    <t>IEEE,IEEE Signal Proc Soc,IEEE Commun Soc,IEEE Circuits &amp; Syst Soc,IEEE Comp Soc,Kuaishou,JD.COM,MEGVII,iQIYI,Microsoft,DiDi,Alibaba,Horizon Robot,Baidu,Lenovo Res,Unisound,SenseTime,Jiangmen</t>
  </si>
  <si>
    <t>Recommendation; Micro-video; Multi-modal; Transformer; Collaborative Filtering</t>
  </si>
  <si>
    <t>Micro-video recommendation is important for micro-video social platform, which provides its users with micro-videos they may interested in. In this paper, we propose a new variant of Transformer, alleviating the drawbacks of Recurrent Neural Networks (RNN) which tend to compress all history records in a fixed hidden representation, to model users' sequential behavior for next micro-video recommendation. Firstly, we employ self-attention to capture micro-video's multi-modal features of different importance. Secondly, we make use of multi-head attention to learn users' preference from historical records. We show how the Transformer combined with Collaborative Filtering (CF) and user-video sequential interaction can be used to perform next micro-video recommendation. Extensive experiments are conducted on two collected micro-video datasets, i.e., Toffee and TikTok. The experimental results demonstrate the proposed method is more effective compared with several state-of-the-art sequential recommendation methods.</t>
  </si>
  <si>
    <t>[Liu, Shang; Chen, Zhenzhong] Wuhan Univ, Sch Remote Sensing &amp; Informat Engn, Wuhan, Hubei, Peoples R China</t>
  </si>
  <si>
    <t>Chen, ZZ (corresponding author), Wuhan Univ, Sch Remote Sensing &amp; Informat Engn, Wuhan, Hubei, Peoples R China.</t>
  </si>
  <si>
    <t>shangliu@whu.edu.cn; zzchen@whu.edu.cn</t>
  </si>
  <si>
    <t>Chen, Zhenzhong/C-2529-2015</t>
  </si>
  <si>
    <t>National Key R&amp;D Program of China [2017YFB1002202]; National Natural Science Foundation of China [61771348]; Wuhan Morning Light Plan of Youth Science and Technology [2017050304010302]</t>
  </si>
  <si>
    <t>National Key R&amp;D Program of China; National Natural Science Foundation of China(National Natural Science Foundation of China (NSFC)); Wuhan Morning Light Plan of Youth Science and Technology</t>
  </si>
  <si>
    <t>This work was supported in part by the National Key R&amp;D Program of China under contract No. 2017YFB1002202, National Natural Science Foundation of China under contract No. 61771348, andWuhan Morning Light Plan of Youth Science and Technology under contract No. 2017050304010302.</t>
  </si>
  <si>
    <t>1945-7871</t>
  </si>
  <si>
    <t>978-1-5386-9552-4</t>
  </si>
  <si>
    <t>IEEE INT CON MULTI</t>
  </si>
  <si>
    <t>10.1109/ICME.2019.00086</t>
  </si>
  <si>
    <t>Computer Science, Software Engineering; Computer Science, Theory &amp; Methods; Engineering, Electrical &amp; Electronic</t>
  </si>
  <si>
    <t>BO1PE</t>
  </si>
  <si>
    <t>WOS:000501820600078</t>
  </si>
  <si>
    <t>Liu, NC; Zhang, BW; Xie, YF; He, Y</t>
  </si>
  <si>
    <t>Liu, Nuochen; Zhang, Bowen; Xie, Yufeng; He, Yuan</t>
  </si>
  <si>
    <t>Catching the flowing consumers: media representation effects of tourism livestreaming</t>
  </si>
  <si>
    <t>ASIA PACIFIC JOURNAL OF TOURISM RESEARCH</t>
  </si>
  <si>
    <t>Space of flows; spatial theory; tourism livestreaming; media representation; travel intention; sense of place</t>
  </si>
  <si>
    <t>PLACE; SPACE; SENSE; INTERACTIVITY; CULTURE</t>
  </si>
  <si>
    <t>Algorithm-based social platforms like TikTok have changed livestreaming tourism. Many countries and regions promote tourism via livestreaming. Tourism livestreaming often has low viewer numbers, unstable viewer numbers, and unsatisfactory effects like a lack of travel intention or consumption. Based on the characteristics of space of flows, this paper analyses how tourism livestreaming on social media platforms can improve communication through media reproduction and increase travel intension. Study 1 involved in-depth interviews with 40 social media users who watched tourism livestreaming for over two years. Functional application and reproduction effects embedded in the space of flows, as well as the ambience and anchor capabilities built into the livestreaming, are reasons for audiences to stay. Study 2 uses a questionnaire to examine media representation and travel intention. Results show that tourism livestreaming's objective presentation and representational construction increase travel intention. The mediating effect of sense of place is also revealed.</t>
  </si>
  <si>
    <t>[Liu, Nuochen] Qiongtai Normal Univ, Sch Liberal Arts, Haikou, Peoples R China; [Zhang, Bowen] Shenzhen Technol Univ, Sch Business, 3002 Lantian Ave, Shenzhen 518118, Peoples R China; [Xie, Yufeng] Sun Yat Sen Univ, Business Sch, Guangzhou, Peoples R China; [He, Yuan] Shenzhen Univ, Coll Management, Shenzhen, Peoples R China</t>
  </si>
  <si>
    <t>Qiongtai Normal University; Shenzhen Technology University; Sun Yat Sen University; Shenzhen University</t>
  </si>
  <si>
    <t>Zhang, BW (corresponding author), Shenzhen Technol Univ, Sch Business, 3002 Lantian Ave, Shenzhen 518118, Peoples R China.</t>
  </si>
  <si>
    <t>Guangdong Province Philosophy and Social Sciences Planning Project [GD23XXW21]</t>
  </si>
  <si>
    <t>Guangdong Province Philosophy and Social Sciences Planning Project</t>
  </si>
  <si>
    <t>This work was supported by Guangdong Province Philosophy and Social Sciences Planning Project [grant number GD23XXW21].</t>
  </si>
  <si>
    <t>1094-1665</t>
  </si>
  <si>
    <t>1741-6507</t>
  </si>
  <si>
    <t>ASIA PAC J TOUR RES</t>
  </si>
  <si>
    <t>Asia Pac. J. Tour. Res.</t>
  </si>
  <si>
    <t>2024 NOV 15</t>
  </si>
  <si>
    <t>10.1080/10941665.2024.2425606</t>
  </si>
  <si>
    <t>M3G3H</t>
  </si>
  <si>
    <t>WOS:001356455100001</t>
  </si>
  <si>
    <t>Silva, CXR; Belfort, MGS</t>
  </si>
  <si>
    <t>Silva, Cianny Ximenes Rodrigues; Belfort, Marcia Guelma Santos</t>
  </si>
  <si>
    <t>BIOCHEMISTRY USING TEAM-BASED LEARNING (GLA) AND LEARNING PATH: EXPERIENCE REPORT</t>
  </si>
  <si>
    <t>Active Methodologies; Learning Trail; Team Based Learning; Biochemistry; Nursing</t>
  </si>
  <si>
    <t>The objective of this research is to report the evaluation of the insertion of the adaptation of the Learning Trails interconnected to the ABE system in a biochemistry class taught for the Nursing. This is an experience report type research, in which the activities carried out in the Biochemistry discipline offered by the Nursing course at the State University of Tocantins (Unitins) will be reported, the activities described took place between August and December 2020 (2020/2) in which activities that used the Team -Based Learning System (ABL) and the Learning Trail were applied. The groups of students used different tools, such as Padlet, Instagram, TikTok and podcasts, to share information and interact with the content. Publications on social networks and on Padlet achieved good engagement, and students were satisfied with the use of active methodologies, with the majority indicating that they absorbed the contents better with this method.</t>
  </si>
  <si>
    <t>[Silva, Cianny Ximenes Rodrigues] Univ Estadual Tocantins Unitins, Enfermagem, Augustinopolis, TO, Brazil; [Belfort, Marcia Guelma Santos] Univ Estadual Tocantins Unitins, Patol Doencas Tropicais, Augustinopolis, TO, Brazil</t>
  </si>
  <si>
    <t>Silva, CXR (corresponding author), Univ Estadual Tocantins Unitins, Enfermagem, Augustinopolis, TO, Brazil.</t>
  </si>
  <si>
    <t>ciannyximenes@unitins.br; marcia.gs@unitins.br</t>
  </si>
  <si>
    <t>LJ3T6</t>
  </si>
  <si>
    <t>WOS:001186397400027</t>
  </si>
  <si>
    <t>Badillo-Urquiola, K; Smriti, D; McNally, B; Golub, E; Bonsignore, E; Wisniewski, PJ</t>
  </si>
  <si>
    <t>Badillo-Urquiola, Karla; Smriti, Diva; McNally, Brenna; Golub, Evan; Bonsignore, Elizabeth; Wisniewski, Pamela J.</t>
  </si>
  <si>
    <t>Stranger Danger! Social Media App Features Co-designed with Children to Keep Them Safe Online</t>
  </si>
  <si>
    <t>PROCEEDINGS OF ACM INTERACTION DESIGN AND CHILDREN (IDC 2019)</t>
  </si>
  <si>
    <t>18th Annual ACM Interaction Design and Children (IDC)</t>
  </si>
  <si>
    <t>JUN 12-15, 2019</t>
  </si>
  <si>
    <t>Boise, ID</t>
  </si>
  <si>
    <t>Boise State Univ,Stem Act Ctr,St Lukes,Osmo,Langan Barber Fdn,Discovery Ctr Idaho,StemFinity,NSF,Boise</t>
  </si>
  <si>
    <t>Stranger Danger; Online Safety; Children; Cooperative Inquiry; Participatory Design; Social Media; Mobile Applications</t>
  </si>
  <si>
    <t>Mobile social media applications (apps), such as TikTok (previously Musical.ly), have recently surfaced in news media due to harmful incidents involving young children engaging with strangers through these mobile apps. To better understand children's awareness of online stranger danger and explore their visions for technologies that can help them manage related online risks (e.g., sexual solicitations and cyberbullying), we held two participatory design sessions with 12 children (ages 8-11 years old). We found that children desired varying levels of agency, depending on the severity of the risk. In most cases, they wanted help resolving the issue themselves instead of relying on their parents to do it for them. Children also believed that social media apps should take on more responsibility in promoting online safety for children. We discuss the children's desires for agency, privacy, and automated intelligent assistance and provide novel design recommendations inspired by children.</t>
  </si>
  <si>
    <t>[Badillo-Urquiola, Karla; Wisniewski, Pamela J.] Univ Cent Florida, Orlando, FL 32816 USA; [Smriti, Diva; McNally, Brenna; Golub, Evan; Bonsignore, Elizabeth] Univ Maryland, College Pk, MD 20742 USA</t>
  </si>
  <si>
    <t>State University System of Florida; University of Central Florida; University System of Maryland; University of Maryland College Park</t>
  </si>
  <si>
    <t>Badillo-Urquiola, K (corresponding author), Univ Cent Florida, Orlando, FL 32816 USA.</t>
  </si>
  <si>
    <t>kbadillo@ist.ucf.edu; dsmriti@umd.edu; brenna.mcnally@gmail.com; egolub@umd.edu; ebonsign@umd.edu; pamwis@ucf.edu</t>
  </si>
  <si>
    <t>Bonsignore, Elizabeth/0000-0002-1509-2804</t>
  </si>
  <si>
    <t>William T. Grant Foundation [187941]; National Science Foundation [IIP-1827700, IIS-1844881, DUE-1643835]</t>
  </si>
  <si>
    <t>William T. Grant Foundation; National Science Foundation(National Science Foundation (NSF))</t>
  </si>
  <si>
    <t>Dr. Wisniewski's research on adolescent online safety is supported in part by the William T. Grant Foundation (187941) and the National Science Foundation (IIP-1827700, IIS-1844881, and DUE-1643835). Any opinion, findings, and conclusions or recommendations expressed in this material are those of the authors and do not necessarily reflect the views of our sponsors. We thank the child and adult members of the University of Maryland's KidsTeam who participated in this research. We would also like to thank Timothy Dinh and Michael Jolly for helping transcribe and analyze the audio and video recordings.</t>
  </si>
  <si>
    <t>978-1-4503-6690-8</t>
  </si>
  <si>
    <t>10.1145/3311927.3323133</t>
  </si>
  <si>
    <t>Computer Science, Interdisciplinary Applications; Education, Scientific Disciplines</t>
  </si>
  <si>
    <t>BP6EZ</t>
  </si>
  <si>
    <t>WOS:000559055100042</t>
  </si>
  <si>
    <t>Xu, L; He, G; Zhou, JJ; Lei, J; Xie, WY; Li, YS; Tai, YW</t>
  </si>
  <si>
    <t>Assoc Advancement Artificial Intelligence</t>
  </si>
  <si>
    <t>Xu, Li; He, Gang; Zhou, Jinjia; Lei, Jie; Xie, Weiying; Li, Yunsong; Tai, Yu-Wing</t>
  </si>
  <si>
    <t>Transcoded Video Restoration by Temporal Spatial Auxiliary Network</t>
  </si>
  <si>
    <t>THIRTY-SIXTH AAAI CONFERENCE ON ARTIFICIAL INTELLIGENCE / THIRTY-FOURTH CONFERENCE ON INNOVATIVE APPLICATIONS OF ARTIFICIAL INTELLIGENCE / THE TWELVETH SYMPOSIUM ON EDUCATIONAL ADVANCES IN ARTIFICIAL INTELLIGENCE</t>
  </si>
  <si>
    <t>AAAI Conference on Artificial Intelligence</t>
  </si>
  <si>
    <t>36th AAAI Conference on Artificial Intelligence / 34th Conference on Innovative Applications of Artificial Intelligence / 12th Symposium on Educational Advances in Artificial Intelligence</t>
  </si>
  <si>
    <t>FEB 22-MAR 01, 2022</t>
  </si>
  <si>
    <t>In most video platforms, such as Youtube, Kwai, and TikTok, the played videos usually have undergone multiple video encodings such as hardware encoding by recording devices, software encoding by video editing apps, and single/multiple video transcoding by video application servers. Previous works in compressed video restoration typically assume the compression artifacts are caused by one-time encoding. Thus, the derived solution usually does not work very well in practice. In this paper, we propose a new method, temporal spatial auxiliary network (TSAN), for transcoded video restoration. Our method considers the unique traits between video encoding and transcoding, and we consider the initial shallow encoded videos as the intermediate labels to assist the network to conduct self-supervised attention training In addition, we employ adjacent multi-frame information and propose the temporal deformable alignment and pyramidal spatial fusion for transcoded video restoration. The experimental results demonstrate that the performance of the proposed method is superior to that of the previous techniques.</t>
  </si>
  <si>
    <t>[Xu, Li; He, Gang; Lei, Jie; Xie, Weiying; Li, Yunsong] Xidian Univ, Xian, Shaanxi, Peoples R China; [He, Gang; Tai, Yu-Wing] Kuaishou Technol, Beijing, Peoples R China; [Zhou, Jinjia] Hosei Univ, Tokyo, Japan</t>
  </si>
  <si>
    <t>Xidian University; Hosei University</t>
  </si>
  <si>
    <t>He, G (corresponding author), Xidian Univ, Xian, Shaanxi, Peoples R China.;He, G (corresponding author), Kuaishou Technol, Beijing, Peoples R China.</t>
  </si>
  <si>
    <t>cherylxu@stu.xidian.edu.cn; ghe@xidian.edu.cn; zhou@hosei.ac.jp; jielei@mail.xidian.edu.cn; wyxie@xidian.edu.cn; ysli@mail.xidian.edu.cn; yuwing@gmail.com</t>
  </si>
  <si>
    <t>Xu, Li/KDN-4727-2024; Tai, Yu/C-2047-2011; Xie, Weiying/AAP-3832-2020</t>
  </si>
  <si>
    <t>Key Laboratory of MIIT for Intelligent Products Testing and Reliability Key Laboratory Open Project Fund [CEPREI2022-01]</t>
  </si>
  <si>
    <t>Key Laboratory of MIIT for Intelligent Products Testing and Reliability Key Laboratory Open Project Fund</t>
  </si>
  <si>
    <t>This work was supported by Key Laboratory of MIIT for Intelligent Products Testing and Reliability 2021 Key Laboratory Open Project Fund (No. CEPREI2022-01). The authors would like to thank constructive and valuable suggestions for this paper from the experienced reviewers and editors.</t>
  </si>
  <si>
    <t>ASSOC ADVANCEMENT ARTIFICIAL INTELLIGENCE</t>
  </si>
  <si>
    <t>PALO ALTO</t>
  </si>
  <si>
    <t>2275 E BAYSHORE RD, STE 160, PALO ALTO, CA 94303 USA</t>
  </si>
  <si>
    <t>2159-5399</t>
  </si>
  <si>
    <t>2374-3468</t>
  </si>
  <si>
    <t>978-1-57735-876-3</t>
  </si>
  <si>
    <t>AAAI CONF ARTIF INTE</t>
  </si>
  <si>
    <t>BU3UU</t>
  </si>
  <si>
    <t>WOS:000893636202105</t>
  </si>
  <si>
    <t>Wellman, ML; Holton, AE; Kaphingst, KA</t>
  </si>
  <si>
    <t>Wellman, Mariah L.; Holton, Avery E.; Kaphingst, Kimberly A.</t>
  </si>
  <si>
    <t>Previvorship Posting: Why Breast Cancer Previvors Share Their Stories on Social Media</t>
  </si>
  <si>
    <t>DECISION-MAKING; HEREDITARY BREAST; UNCERTAINTY; INFORMATION; WOMEN; RISK</t>
  </si>
  <si>
    <t>Research on previvors, individuals with a genetic predisposition to develop hereditary breast and ovarian cancer but who have not yet been diagnosed with breast or other cancers, examines online information gathering and community support to alleviate uncertainty. However, research exploring online content published by previvors themselves is limited. We examined content published to Instagram and TikTok to explore how breast cancer previvors discussed their lived experience which included, but was not limited to, genetic testing, diagnosis with a BRCA1/2 pathogenic (i.e. risk-increasing) variant, the decision to undergo preventative measures like surgery and/or reconstruction, and how they cope after diagnosis and surgical procedures. In the findings, we explicate how many previvors feel a responsibility to share their authentic experience on social media in order to help others and mitigate their own feelings of uncertainty. This study offers a snapshot of how women are sharing breast cancer previvorship and building social connections with each other online.</t>
  </si>
  <si>
    <t>[Wellman, Mariah L.; Holton, Avery E.] Univ Utah, Dept Commun, Salt Lake City, UT 84112 USA; [Kaphingst, Kimberly A.] Univ Utah, Huntsman Canc Inst, Dept Commun, Salt Lake City, UT 84112 USA</t>
  </si>
  <si>
    <t>Utah System of Higher Education; University of Utah; Utah System of Higher Education; University of Utah; Huntsman Cancer Institute</t>
  </si>
  <si>
    <t>Wellman, ML (corresponding author), Univ Utah, Dept Commun, Salt Lake City, UT 84112 USA.</t>
  </si>
  <si>
    <t>mariah.wellman@utah.edu</t>
  </si>
  <si>
    <t>Kaphingst, Kimberly/0000-0003-2668-9080; Wellman, Mariah/0000-0001-5089-7379; Holton, Avery/0000-0003-1307-2890</t>
  </si>
  <si>
    <t>National Human Genome Research Institute of the National Institute of Health [RM1HG009037]; National Human Genome Research Institute [RM1HG009037] Funding Source: NIH RePORTER</t>
  </si>
  <si>
    <t>National Human Genome Research Institute of the National Institute of Health(United States Department of Health &amp; Human ServicesNational Institutes of Health (NIH) - USANIH National Human Genome Research Institute (NHGRI)); National Human Genome Research Institute(United States Department of Health &amp; Human ServicesNational Institutes of Health (NIH) - USANIH National Human Genome Research Institute (NHGRI))</t>
  </si>
  <si>
    <t>The work was supported by the National Human Genome Research Institute of the National Institute of Health [RM1HG009037].</t>
  </si>
  <si>
    <t>SEP 19</t>
  </si>
  <si>
    <t>10.1080/10410236.2022.2074780</t>
  </si>
  <si>
    <t>T7IB2</t>
  </si>
  <si>
    <t>WOS:000797374600001</t>
  </si>
  <si>
    <t>Li, CJ; Chen, HZ; Zhang, S; Hu, YQ; Chen, C; Zhang, ZJ; Li, M; Li, XC; Han, DQ; Chen, XH; Wang, XD; Zhu, HM; Fu, XW; Wu, TW; Tan, HF; Ding, HT; Liu, MJ; Wang, KC; Ye, T; Li, L; Li, X; Wang, Y; Zheng, CG; Yang, H; Cheng, J</t>
  </si>
  <si>
    <t>Li, Changji; Chen, Hongzhi; Zhang, Shuai; Hu, Yingqian; Chen, Chao; Zhang, Zhenjie; Li, Meng; Li, Xiangchen; Han, Dongqing; Chen, Xiaohui; Wang, Xudong; Zhu, Huiming; Fu, Xuwei; Wu, Tingwei; Tan, Hongfei; Ding, Hengtian; Liu, Mengjin; Wang, Kangcheng; Ye, Ting; Li, Lei; Li, Xin; Wang, Yu; Zheng, Chenguang; Yang, Hao; Cheng, James</t>
  </si>
  <si>
    <t>ByteGraph: A High-Performance Distributed Graph Database in ByteDance</t>
  </si>
  <si>
    <t>PROCEEDINGS OF THE VLDB ENDOWMENT</t>
  </si>
  <si>
    <t>48th International Conference on Very Large Databases (VLDB)</t>
  </si>
  <si>
    <t>SEP 05-09, 2022</t>
  </si>
  <si>
    <t>Sydney, AUSTRALIA</t>
  </si>
  <si>
    <t>Most products at ByteDance, e.g., TikTok, Douyin, and Toutiao, naturally generate massive amounts of graph data. To efficiently store, query and update massive graph data is challenging for the broad range of products at ByteDance with various performance requirements. We categorize graph workloads at ByteDance into three types: online analytical, transaction, and serving processing, where each workload has its own characteristics. Existing graph databases have different performance bottlenecks in handling these workloads and none can efficiently handle the scale of graphs at ByteDance. We developed ByteGraph to process these graph workloads with high throughput, low latency and high scalability. There are several key designs in ByteGraph that make it efficient for processing our workloads, including edge-trees to store adjacency lists for high parallelism and low memory usage, adaptive optimizations on thread pools and indexes, and geographic replications to achieve fault tolerance and availability. ByteGraph has been in production use for several years and its performance has shown to be robust for processing a wide range of graph workloads at ByteDance.</t>
  </si>
  <si>
    <t>[Li, Changji; Zheng, Chenguang; Cheng, James] Chinese Univ Hong Kong, Hong Kong, Peoples R China; [Li, Changji; Chen, Hongzhi; Zhang, Shuai; Hu, Yingqian; Chen, Chao; Zhang, Zhenjie; Li, Meng; Li, Xiangchen; Han, Dongqing; Chen, Xiaohui; Wang, Xudong; Zhu, Huiming; Fu, Xuwei; Wu, Tingwei; Tan, Hongfei; Ding, Hengtian; Liu, Mengjin; Wang, Kangcheng; Ye, Ting; Li, Lei; Li, Xin; Wang, Yu; Zheng, Chenguang; Yang, Hao] ByteDance Inc, Beijing, Peoples R China</t>
  </si>
  <si>
    <t>Chen, HZ (corresponding author), ByteDance Inc, Beijing, Peoples R China.</t>
  </si>
  <si>
    <t>cjli@cse.cuhk.edu.hk; chenhongzhi@bytedance.com; zhangshuai.root@bytedance.com; huyingqian@bytedance.com; chenchao.chen@bytedance.com; zhangzhenjie.zz@bytedance.com; limeng.1@bytedance.com; lixiangchen@bytedance.com; handongqing@bytedance.com; chenxiaohui.ai@bytedance.com; wangxudong.zsy@bytedance.com; zhuhuiming.eureka@bytedance.com; fuxuwei@bytedance.com; wutingwei@bytedance.com; tanhongfei@bytedance.com; dinghengtian@bytedance.com; liumengjin@bytedance.com; wangkangcheng.qwq@bytedance.com; yeting.dev@bytedance.com; lilei.rd@bytedance.com; lixin.andy@bytedance.com; wangyu.cole@bytedance.com; cgzheng@cse.cuhk.edu.hk; yanghao.2019@bytedance.com; jcheng@cse.cuhk.edu.hk</t>
  </si>
  <si>
    <t>chen, xinyu/HNR-2708-2023; Chen, Liú/KWU-4813-2024; Zheng, Chenguang/O-7980-2016; yang, yang/JNT-0397-2023; Wang, Xudong/JXX-8058-2024</t>
  </si>
  <si>
    <t>2150-8097</t>
  </si>
  <si>
    <t>PROC VLDB ENDOW</t>
  </si>
  <si>
    <t>Proc. VLDB Endow.</t>
  </si>
  <si>
    <t>10.14778/3554821.3554824</t>
  </si>
  <si>
    <t>G9PQ3</t>
  </si>
  <si>
    <t>WOS:000992393000004</t>
  </si>
  <si>
    <t>Lorenzo, AR; Calvete-Lorenzo, S; Sosa-Fernández, RD</t>
  </si>
  <si>
    <t>Lorenzo, Andres Rozados; Calvete-Lorenzo, Sara; Sosa-Fernandez, Rocio del Pilar</t>
  </si>
  <si>
    <t>Audiovisual Productions in Vertical Format: The Snap Originals Case. Fiction Consumption at 9:16</t>
  </si>
  <si>
    <t>Cinema; Internet; social media; Snapchat; vertical video</t>
  </si>
  <si>
    <t>The audiovisual industry has evolved rapidly due to the proliferation of devices, the democratization of the Internet, and the wide range of audiovisual products for all audiences. Recently, the use of cell phones and the appearance of social media such as Instagram and TikTok have caused videos to be frequently viewed in vertical format, normalizing and standardizing their consumption. Since they are commonly used for commercial and advertising purposes, works of fiction in vertical format have emerged. Regardless of length, technical characteristics, production design, and commercial exploitation, this trend is beginning to establish itself in the audiovisual market. This study analyzes how fiction productions adapt to the vertical format based on the audiovisual line drawn by Snap Originals productions. The research aims to answer questions such as the definition of Snap Originals as fiction productions in vertical format and define the narrative structure and audiovisual language used in this content, as well as their main characteristics.</t>
  </si>
  <si>
    <t>[Lorenzo, Andres Rozados; Calvete-Lorenzo, Sara; Sosa-Fernandez, Rocio del Pilar] Univ Santiago De Compostela, Santiago De Compostela, Spain</t>
  </si>
  <si>
    <t>Lorenzo, AR (corresponding author), Univ Santiago De Compostela, Santiago De Compostela, Spain.</t>
  </si>
  <si>
    <t>andres.rozados@rai.usc.es; sara.calvete.lorenzo@usc.es; rociodelpilar.sosa@rai.usc.es</t>
  </si>
  <si>
    <t>e2646</t>
  </si>
  <si>
    <t>10.5294/pacla.2023.26.4.6</t>
  </si>
  <si>
    <t>KA3A0</t>
  </si>
  <si>
    <t>WOS:001177189000001</t>
  </si>
  <si>
    <t>Hull, M; Parnes, M</t>
  </si>
  <si>
    <t>Hull, Mariam; Parnes, Mered</t>
  </si>
  <si>
    <t>Tics and TikTok: Functional Tics Spread Through Social Media</t>
  </si>
  <si>
    <t>mass psychogenic illness; functional movement disorder; psychogenic tics; social media</t>
  </si>
  <si>
    <t>MASS PSYCHOGENIC ILLNESS; HYSTERIA</t>
  </si>
  <si>
    <t>Background: Functional movement disorder is a subtype of functional neurologic symptom disorder a syndrome of involuntary physical, neurologic-type symptoms that are incongruous with organic disease. Throughout history, there have been outbreaks of functional symptoms in communities; until recently, spread had been confined to groups of people who shared a physical location. However, in the era of social media, a new mode of dissemination may have arisen. Cases: We describe six teenage girls, each with the explosive onset of tic-like movements. Mean age of onset was 14.2 years. The presence of features incongruous with Tourette syndrome on history and examination prompted the diagnosis of functional tics. All patients reported exposure to a specific social media personality before symptom onset. Conclusions: Our series suggests that social media may contribute to the spread of functional neurologic symptom disorder, in a way previously requiring physical proximity.</t>
  </si>
  <si>
    <t>[Hull, Mariam; Parnes, Mered] Texas Childrens Hosp, Baylor Coll Med, Pediat Movement Disorders Clin, Sect Pediat Neurol &amp; Dev Neurosci, Houston, TX 77030 USA</t>
  </si>
  <si>
    <t>Baylor College of Medicine; Baylor College Medical Hospital</t>
  </si>
  <si>
    <t>Hull, M (corresponding author), Texas Childrens Hosp, Baylor Coll Med, Pediat Movement Disorders Clin, Sect Pediat Neurol &amp; Dev Neurosci, Houston, TX 77030 USA.</t>
  </si>
  <si>
    <t>mariam.hull@bcm.edu</t>
  </si>
  <si>
    <t>Parnes, Mered/HDM-8254-2022</t>
  </si>
  <si>
    <t>Hull, Mariam/0000-0002-7340-1660; Parnes, Mered/0000-0003-2102-4282</t>
  </si>
  <si>
    <t>NIH; Alexion</t>
  </si>
  <si>
    <t>NIH(United States Department of Health &amp; Human ServicesNational Institutes of Health (NIH) - USA); Alexion(AstraZeneca)</t>
  </si>
  <si>
    <t>M.P. has served on a Scientific Advisory or Data Safety Monitoring board for Teva Pharmaceuticals. The institution of M.P. has received research support from the NIH and Alexion. M.H. and M.P. serve as a contributors for Medlink Neurology.</t>
  </si>
  <si>
    <t>10.1002/mdc3.13267</t>
  </si>
  <si>
    <t>WOS:000668456100001</t>
  </si>
  <si>
    <t>Hoyos-Cifuentes, JD; Fernández-Otoya, FA; Rodríguez-Gómez, WF; Bernal-Torres, CA</t>
  </si>
  <si>
    <t>Hoyos-Cifuentes, John D.; Fernandez-Otoya, Fiorela A.; Rodriguez-Gomez, Wilson F.; Bernal-Torres, Cesar A.</t>
  </si>
  <si>
    <t>Emotional intelligence, human values, creation and dissemination of content on social networks by girls in countries with emerging economies</t>
  </si>
  <si>
    <t>Adolescents; emotional intelligence; human values; social networks; girls; content creation</t>
  </si>
  <si>
    <t>ADOLESCENTS; ADDICTION; PROGRAMS; SYMPTOMS; CHILDREN; SUPPORT; ABILITY; SCHOOL</t>
  </si>
  <si>
    <t>This study examines the relationship between emotional intelligence, the use of social networks (to create and share content), and adolescent girls' practice of human values. A descriptive and exploratory analysis was conducted, involving a survey of 491 girls in Colombia and Peru, aged 8 to 18 and in grades three to eleven. Excluding Instagram and TikTok, no significant differences were found between the type of network used and the level of emotional intelligence management. Furthermore, no relationship was found between the social media platform used and the girls' experience of values. Differences were found in Clarity, Repair, and Values, but not in Attention and Content, when comparing between age groups or educational levels. These results hold importance for those involved in the development of this population, given the significance of emotional intelligence management, social media usage, and the experience and practice of human values for girls.</t>
  </si>
  <si>
    <t>[Hoyos-Cifuentes, John D.] Corp Univ Minuto Dios UNIMINUTO, Dept Educ, Bogota, DC, Colombia; [Fernandez-Otoya, Fiorela A.] Univ Catolica Santo Toribio Mogrovejo, Educ Sch, Grp Invest Informat Educ &amp; TIC, Chiclayo, Peru; [Rodriguez-Gomez, Wilson F.; Bernal-Torres, Cesar A.] Univ Sabana, Escuela Int Ciencias Econ &amp; Adm, Chia, Colombia</t>
  </si>
  <si>
    <t>Corporacion Universitaria Minuto de Dios (UNIMINUTO); Universidad Catolica Santo Toribio de Mogrovejo; Universidad de La Sabana</t>
  </si>
  <si>
    <t>Rodríguez-Gómez, WF (corresponding author), Univ Sabana, Escuela Int Ciencias Econ &amp; Adm, Chia, Colombia.</t>
  </si>
  <si>
    <t>10.1080/02673843.2024.2306886</t>
  </si>
  <si>
    <t>FP9G6</t>
  </si>
  <si>
    <t>WOS:001147163200001</t>
  </si>
  <si>
    <t>Rubio, AB</t>
  </si>
  <si>
    <t>Rubio, Andres Barrios</t>
  </si>
  <si>
    <t>THE GOVERNMENT ON X: ANALYSIS OF THE CASE OF GUSTAVO PETRO IN COLOMBIA</t>
  </si>
  <si>
    <t>Government; X social network; Polarization; Communication; Influence</t>
  </si>
  <si>
    <t>TWITTER; COVID-19; SPEECH; NEWS</t>
  </si>
  <si>
    <t>The current crisis in Latin America has given social media platforms a special significance, serving as a pulpit to build bridges between political actors, public institutions, and the population. The work presented here aims to approach the president's digital social dialogue with citizens and identify the structures used in the message to promote ideological affiliation. This mixed methods research had a digital corpus of 2391 messages downloaded over 91 days from Gustavo Petro's official accounts on X (formerly Twitter), Facebook, Instagram, YouTube and TikTok. The collected photos showed: quantitatively the flow of interaction of each profile, and qualitatively allowed us to analyze narrative structures, graphical information, hyperlinks, references and mentions to other profiles. The main findings include: the dual typification of a value system through narratives (themes) and discourses (meanings and contexts) to reduce skepticism and mitigate the impact of public policies aimed at social equality.</t>
  </si>
  <si>
    <t>[Rubio, Andres Barrios] Univ Antonio Nebrija, Nebrija, Spain; [Rubio, Andres Barrios] Pontificia Univ Javeriana, Bogota, Colombia</t>
  </si>
  <si>
    <t>Universidad Antonio de Nebrija; Pontificia Universidad Javeriana</t>
  </si>
  <si>
    <t>Rubio, AB (corresponding author), Univ Antonio Nebrija, Nebrija, Spain.;Rubio, AB (corresponding author), Pontificia Univ Javeriana, Bogota, Colombia.</t>
  </si>
  <si>
    <t>andresbarriosrubio.abr@gmail.com</t>
  </si>
  <si>
    <t>Barrios Rubio, Andres/E-4710-2015</t>
  </si>
  <si>
    <t>10.62008/ixc/14/01Elgobi</t>
  </si>
  <si>
    <t>IF9I2</t>
  </si>
  <si>
    <t>WOS:001165027900005</t>
  </si>
  <si>
    <t>Henn, H</t>
  </si>
  <si>
    <t>Henn, Halina</t>
  </si>
  <si>
    <t>About amateurs and professionals: Types of political influencer communication on YouTube</t>
  </si>
  <si>
    <t>SCM STUDIES IN COMMUNICATION AND MEDIA</t>
  </si>
  <si>
    <t>Political influencer communication; YouTube; political public sphere; typology</t>
  </si>
  <si>
    <t>PUBLIC SPHERE; ONLINE; GAME; STRATEGIES; IDENTITY</t>
  </si>
  <si>
    <t>Political social media influencers (PSMI), who as personal brands regularly disseminate self-produced political content on platforms such as YouTube, Instagram and TikTok, can influence the political public and opinion formation beyond their online networks. This raises questions about the form and quality of their communication. In order to draw a differentiated picture of PSMI communication and its contribution to the political public sphere, this paper examines which types of political influencer communication on YouTube can be distinguished from one another. Based on a quantitative content analysis of 896 political topics from 724 YouTube videos of 32 German PSMI, a cluster analysis identifies five types: monologuing lay communication, approachable mediation, harmonious advocacy, aggressive activism, and outrage management. The types differ both in their professionalism and in their deliberative quality. The results are discussed in terms of their potential impact and are intended to make PSMI more relatable to empirical research.</t>
  </si>
  <si>
    <t>[Henn, Halina] Heinrich Heine Univ Dusseldorf, Kommunikat &amp; Med Wissensch 3, Univ Str 1, D-40225 Dusseldorf, Germany</t>
  </si>
  <si>
    <t>Henn, H (corresponding author), Heinrich Heine Univ Dusseldorf, Kommunikat &amp; Med Wissensch 3, Univ Str 1, D-40225 Dusseldorf, Germany.</t>
  </si>
  <si>
    <t>Halina.Henn@hhu.de</t>
  </si>
  <si>
    <t>NOMOS VERLAGSGESELLSCHAFT MBH &amp; CO KG</t>
  </si>
  <si>
    <t>BADEN-BADEN</t>
  </si>
  <si>
    <t>WALDSEESTR 3 5, BADEN-BADEN, 76530, GERMANY</t>
  </si>
  <si>
    <t>2192-4007</t>
  </si>
  <si>
    <t>SCM STUD COMM MEDIA</t>
  </si>
  <si>
    <t>SCM Stud. Commun. Media</t>
  </si>
  <si>
    <t>10.5771/2192-4007-2023-2-3-242</t>
  </si>
  <si>
    <t>X0IY1</t>
  </si>
  <si>
    <t>WOS:001095386000007</t>
  </si>
  <si>
    <t>Form from form: The case for exaptation in rhetorical genre evolution</t>
  </si>
  <si>
    <t>QUARTERLY JOURNAL OF SPEECH</t>
  </si>
  <si>
    <t>Rhetorical genre studies; genre evolution; exaptation; aesthetics; TikTok</t>
  </si>
  <si>
    <t>Since its beginnings in the 1970s, modern rhetorical genre studies has used classical Darwinian adaptation as a key analogy, if not a model, in the study of genre evolution. While the adaptation analogy has obvious strengths, it also produces blind spots. As the studies of rapidly evolving social media genres presented in this article suggest, not all of a genre's formal features are the result of a purposeful adaptation to an existing rhetorical exigence. Some features repeat and intensify because they are part of the genre's aesthetic landscape, becoming available to be coopted for a rhetorical purpose later on. This suggests that along with adaptation, exaptation should also be considered as a crucial force in genre evolution. Moreover, the inclusion of exaptation in our model of genre evolution also means that rhetorical genre scholars will need to rediscover the language of aesthetics and form even as genre continues to be studied as social action.</t>
  </si>
  <si>
    <t>[Roderick, Noah] Orebro Univ, Sch Humanities Educ &amp; Social Sci, Orebro, Sweden</t>
  </si>
  <si>
    <t>Orebro University</t>
  </si>
  <si>
    <t>Roderick, N (corresponding author), Orebro Univ, Sch Humanities Educ &amp; Social Sci, Orebro, Sweden.</t>
  </si>
  <si>
    <t>0033-5630</t>
  </si>
  <si>
    <t>1479-5779</t>
  </si>
  <si>
    <t>Q J SPEECH</t>
  </si>
  <si>
    <t>Q. J. Speech</t>
  </si>
  <si>
    <t>10.1080/00335630.2021.1983193</t>
  </si>
  <si>
    <t>WP3DJ</t>
  </si>
  <si>
    <t>WOS:000705393400001</t>
  </si>
  <si>
    <t>Santini, RM; Salles, D; Martins, BM; Moreira, A; Haddad, JG</t>
  </si>
  <si>
    <t>Santini, Rose Marie; Salles, Debora; Martins, Bruno Mauricio; Moreira, Alekis; Haddad, Joao Gabriel</t>
  </si>
  <si>
    <t>Seeing through opacity: The limitations of digital ad transparency in Brazil</t>
  </si>
  <si>
    <t>PROCEEDINGS OF THE 2024 ACM CONFERENCE ON FAIRNESS, ACCOUNTABILITY, AND TRANSPARENCY, ACM FACCT 2024</t>
  </si>
  <si>
    <t>6th ACM Conference on Fairness, Accountability, and Transparency (ACM FAccT)</t>
  </si>
  <si>
    <t>JUN 03-06, 2024</t>
  </si>
  <si>
    <t>Rio de Janeiro, BRAZIL</t>
  </si>
  <si>
    <t>Advertising regulation; Data access; Political advertising; Transparency</t>
  </si>
  <si>
    <t>Digital platforms provide a deregulated and opaque environment suited to the maintenance of their business model, in which ads are efficiently served by opaque algorithms to meticulously profiled users based on their behavioral data. The advertising infrastructure provided by these platforms made advertising more segmented and scalable, creating new opportunities and allowing for a profit-oriented influence industry to develop worldwide. Some platforms have invested in transparency measures for digital advertising, but there is still a gap between what is applied in the Global South and the Global North. In Brazil, despite evidence of an online ecosystem of suspicious, inauthentic, scam, and other types of fraudulent ads, regulatory proposals have faced a hard opposition from tech companies. Against this backdrop, there is a need to evaluate advertising transparency archives currently offered by online platforms in Brazil as a means to measure the quality of libraries and the available data. Thus, the main objective of this work is to account for transparency measures and means of accessing data of some of the largest online platforms and search engines in the country, in order to establish a general comparative diagnosis of ad transparency in Brazil. Based on the platforms' public documentation, policies and terms of use for the Brazilian market, we perform a comparative analysis of six companies: Meta, Google, Twitter/X, Telegram, TikTok, and Spotify. Particular consideration is given to whether these companies do or do not have ads repositories, or a means to assess the disseminated advertisements. In an environment of low transparency and difficulty in accessing data, we found that the Meta Ad Library, although providing very limited data, is the most reliable source for systematic investigations of the digital advertising ecosystem. Even though Google offers an advertisement repository in Brazil, it lags considerably behind that offered by Meta and imposes greater difficulty in carrying out systematic analyses. On the other hand, Telegram, TikTok, Twitter/X and Spotify do not present any advertising repository or transparency center in order to analyse the Brazilian scenario. Although the scenario in the Global South can be characterized by a lack of transparency from platforms and by difficulties in accessing data, recent measures implemented elsewhere have demonstrated that this condition is reversible.</t>
  </si>
  <si>
    <t>[Santini, Rose Marie; Salles, Debora; Martins, Bruno Mauricio; Haddad, Joao Gabriel] Univ Fed Rio de Janeiro, Rio De Janeiro, Brazil; [Moreira, Alekis] Fed Flumiense Univ, Niteroi, RJ, Brazil</t>
  </si>
  <si>
    <t>Universidade Federal do Rio de Janeiro</t>
  </si>
  <si>
    <t>Santini, RM (corresponding author), Univ Fed Rio de Janeiro, Rio De Janeiro, Brazil.</t>
  </si>
  <si>
    <t>marie.santini@eco.ufrj.br; debora.salles@netlab.eco.ufrj.br; bruno.martins@netlab.eco.ufrj.br; alekis.moreira@netlab.eco.ufrj.br; joao.haddad@netlab.eco.ufrj.br</t>
  </si>
  <si>
    <t>Santini, R./G-2877-2015</t>
  </si>
  <si>
    <t>de Carvalho Moreira, Alekis/0009-0002-3739-128X; Santini, Rose Marie/0000-0003-0657-7217; Salles, Debora/0000-0002-3436-6698</t>
  </si>
  <si>
    <t>Brazilian Ministry of Justice and Public Security [TED 200401/00001]</t>
  </si>
  <si>
    <t>Brazilian Ministry of Justice and Public Security</t>
  </si>
  <si>
    <t>This work was supported by the Brazilian Ministry of Justice and Public Security (TED 200401/00001). Any conclusions, opinions and recommendations do not necessarily reflect the views of the funding sources.</t>
  </si>
  <si>
    <t>979-8-4007-0450-5</t>
  </si>
  <si>
    <t>10.1145/3630106.3659034</t>
  </si>
  <si>
    <t>Computer Science, Artificial Intelligence; History &amp; Philosophy Of Science</t>
  </si>
  <si>
    <t>Computer Science; History &amp; Philosophy of Science</t>
  </si>
  <si>
    <t>BX1VI</t>
  </si>
  <si>
    <t>WOS:001253359300148</t>
  </si>
  <si>
    <t>Dahlgren, CL; Sundgot-Borgen, C; Kvalem, IL; Wennersberg, AL; Wisting, L</t>
  </si>
  <si>
    <t>Dahlgren, Camilla Lindvall; Sundgot-Borgen, Christine; Kvalem, Ingela Lundin; Wennersberg, Anne-Louise; Wisting, Line</t>
  </si>
  <si>
    <t>Further evidence of the association between social media use, eating disorder pathology and appearance ideals and pressure: a cross-sectional study in Norwegian adolescents</t>
  </si>
  <si>
    <t>Eating disorders; Appearance ideals; Appearance pressure; Social media; Instagram; TikTok</t>
  </si>
  <si>
    <t>BODY-IMAGE DISTURBANCE; SOCIOCULTURAL ATTITUDES; QUESTIONNAIRE-4-REVISED SATAQ-4R; RISK; SEX; WOMEN; DISSATISFACTION; INTERNALIZATION; VALIDATION; INSTAGRAM</t>
  </si>
  <si>
    <t>BackgroundFew studies have investigated how the plethora of contemporary social media (SM) platforms relate to, and influence eating disorder (ED) pathology, appearance ideals and pressure to conform to these ideals in youth.MethodsIn this study, 1558 girls (53%) and boys (47%), predominantly within the 16-19 age range, completed an online questionnaire assessing SM use and perceived influence on appearance, ED pathology, internalization of appearance ideals and perceived appearance pressure.ResultsResults showed that ED pathology was common, particularly in girls, and that internalization of body ideals was gender specific, a thin ideal being more prevalent in girls, and a muscular ideal being more common in boys. Results also showed a strong association between ED pathology and perceived pressure to conform to these appearance ideals. One fourth of the participants reported spending four hours or more on SM daily, and 80% of girls reported that SM, particularly Instagram and TikTok, had a negative influence on how they felt about their appearance. These girls had significantly higher levels of ED pathology and reported higher levels of appearance pressure from the media.ConclusionA clear pattern of associations between photo- and video specific SM platforms, ED pathology, internalization of body ideals and perceived pressure was found in this study. Adolescent girls appeared to be particularly at risk. The results illustrate an imperative need to keep addressing the potential risks of SM use in adolescents, and to continue monitoring the effect of SM on young people's view of themselves, their appearance, and their eating habits. Future studies should attempt to identify aspects of SM use that may be particularly detrimental for girls and boys in their formative years, but also those that may enhance adolescents' satisfaction and appreciation of their body and appearance.Trial registration: The study is registered in the Open Science Framework (Identifier: 10.17605/OSF.IO/5RB6P https://doi.org/10.17605/OSF.IO/5RB6P).ConclusionA clear pattern of associations between photo- and video specific SM platforms, ED pathology, internalization of body ideals and perceived pressure was found in this study. Adolescent girls appeared to be particularly at risk. The results illustrate an imperative need to keep addressing the potential risks of SM use in adolescents, and to continue monitoring the effect of SM on young people's view of themselves, their appearance, and their eating habits. Future studies should attempt to identify aspects of SM use that may be particularly detrimental for girls and boys in their formative years, but also those that may enhance adolescents' satisfaction and appreciation of their body and appearance.Trial registration: The study is registered in the Open Science Framework (Identifier: 10.17605/OSF.IO/5RB6P https://doi.org/10.17605/OSF.IO/5RB6P). Social Media (SM) has become an increasingly influential part of people's everyday life, and has transformed the patterns of communication, especially in teenagers. In this study, we investigated the relationship between eleven commonly used SM platforms in adolescents, eating disorder (ED) pathology, appearance ideals, and pressure to conform to these ideals. A little over 1500 adolescent girls and boys, predominantly within the 16-19 age range, participated in the study. Most girls who participated reported that SM use, particularly Instagram and TikTok, had a negative influence on how they felt about their appearance. These girls had significantly higher levels of ED pathology and reported higher levels of appearance pressure from the media. Future studies should attempt to identify aspects of SM use that are particularly harmful for girls and boys in their formative years, but also those who have the potential of strengthening the sense of self-worth and contribute to positive identity formation.</t>
  </si>
  <si>
    <t>[Dahlgren, Camilla Lindvall] Oslo New Univ Coll, Dept Psychol, Lovisenberggata 13, N-0456 Oslo, Norway; [Dahlgren, Camilla Lindvall; Sundgot-Borgen, Christine; Wennersberg, Anne-Louise; Wisting, Line] Oslo Univ Hosp Ulleval, Reg Dept Eating Disorders, Div Mental Hlth &amp; Addict, Oslo, Norway; [Kvalem, Ingela Lundin] Univ Oslo, Fac Social Sci, Dept Psychol, Oslo, Norway</t>
  </si>
  <si>
    <t>University of Oslo; University of Oslo</t>
  </si>
  <si>
    <t>Dahlgren, CL (corresponding author), Oslo New Univ Coll, Dept Psychol, Lovisenberggata 13, N-0456 Oslo, Norway.;Dahlgren, CL (corresponding author), Oslo Univ Hosp Ulleval, Reg Dept Eating Disorders, Div Mental Hlth &amp; Addict, Oslo, Norway.</t>
  </si>
  <si>
    <t>camilla.lindvall@dahlgren.no</t>
  </si>
  <si>
    <t>Lindvall Dahlgren, Camilla/Y-1088-2019; Borgen, Christine/JDW-6384-2023; Kvalem, Ingela/I-2548-2017</t>
  </si>
  <si>
    <t>Kvalem, Ingela Lundin/0000-0003-2406-2102; Sundgot-Borgen, Christine/0000-0002-1149-0442</t>
  </si>
  <si>
    <t>The study was funded by the Dam Foundation in collaboration with the member organization Mental Health (Mental Helse).; Dam Foundation</t>
  </si>
  <si>
    <t>We gratefully acknowledge the Dam Foundation who supported this research financially, and the member organization Mental Health (Mental Helse) for their fruitful collaboration. We also acknowledge and thank study participants for their time and effort, who without this research would not be possible.</t>
  </si>
  <si>
    <t>FEB 29</t>
  </si>
  <si>
    <t>10.1186/s40337-024-00992-3</t>
  </si>
  <si>
    <t>JU9B1</t>
  </si>
  <si>
    <t>WOS:001175782200001</t>
  </si>
  <si>
    <t>Zhang, S; Yin, CY; Yin, ZC</t>
  </si>
  <si>
    <t>Zhang, Sun; Yin, Chunyong; Yin, Zhichao</t>
  </si>
  <si>
    <t>Multimodal Sentiment Recognition With Multi-Task Learning</t>
  </si>
  <si>
    <t>IEEE TRANSACTIONS ON EMERGING TOPICS IN COMPUTATIONAL INTELLIGENCE</t>
  </si>
  <si>
    <t>Task analysis; Visualization; Multitasking; Feature extraction; Data mining; Time series analysis; Kernel; Multimodal; multi-task learning; representation fusion; sentiment recognition</t>
  </si>
  <si>
    <t>Sentiment recognition in social network aims at recognizing the underlying affective states of user-generated content. The research center of sentiment recognition is moving from pure texts to multimodal contents, with the explosive growth of social platforms. Different from the image-text contents on blog and review platforms, multimodal sequences play a dominant role in streaming media, e.g. YouTube and TikTok. Sentiment recognition for multimodal sequences needs to extract the common and specific information of modalities. But current studies only focus on learning the cross-modal fusion representation to explore the inter-modal interaction, while neglecting the interactions and characteristics within each modality. We propose a novel cascade and specific scoring model, which aims at learning better cross-modal and unimodal representations to capture both the inter- and intra-modal interactions for sentiment recognition. Qualitative and quantitative experiments on two benchmarks have demonstrated the competitive performances of the proposed methods.</t>
  </si>
  <si>
    <t>[Zhang, Sun] Anhui Univ Finance &amp; Econ, Sch Management Sci &amp; Engn, Bengbu 233030, Peoples R China; [Yin, Chunyong] Nanjing Univ Informat Sci &amp; Technol, Sch Comp &amp; Software, Nanjing 210044, Peoples R China; [Yin, Zhichao] Southeast Univ, Sch Cyber Sci &amp; Engn, Nanjing 2111189, Peoples R China</t>
  </si>
  <si>
    <t>Anhui University of Finance &amp; Economics; Nanjing University of Information Science &amp; Technology; Southeast University - China</t>
  </si>
  <si>
    <t>Yin, CY (corresponding author), Nanjing Univ Informat Sci &amp; Technol, Sch Comp &amp; Software, Nanjing 210044, Peoples R China.</t>
  </si>
  <si>
    <t>szhang23@sina.com; yinchunyong@hotmail.com; yzcsun@126.com</t>
  </si>
  <si>
    <t>Zhang, Sun/0000-0002-4566-7058</t>
  </si>
  <si>
    <t>National Natural Science Foundation of China [61772282]</t>
  </si>
  <si>
    <t>This work was supported by the National Natural Science Foundation of China under Grant 61772282.</t>
  </si>
  <si>
    <t>2471-285X</t>
  </si>
  <si>
    <t>IEEE T EM TOP COMP I</t>
  </si>
  <si>
    <t>IEEE Trans. Emerg. Top. Comput. Intell.</t>
  </si>
  <si>
    <t>10.1109/TETCI.2022.3224929</t>
  </si>
  <si>
    <t>9C0UJ</t>
  </si>
  <si>
    <t>WOS:000896593500001</t>
  </si>
  <si>
    <t>Thomas, K; Kelley, PG; Consolvo, S; Samermit, P; Bursztein, E</t>
  </si>
  <si>
    <t>Thomas, Kurt; Kelley, Patrick Gage; Consolvo, Sunny; Samermit, Patrawat; Bursztein, Elie</t>
  </si>
  <si>
    <t>It's common and a part of being a content creator: Understanding How Creators Experience and Cope with Hate and Harassment Online</t>
  </si>
  <si>
    <t>PROCEEDINGS OF THE 2022 CHI CONFERENCE ON HUMAN FACTORS IN COMPUTING SYSTEMS (CHI' 22)</t>
  </si>
  <si>
    <t>CHI Conference on Human Factors in Computing Systems (CHI)</t>
  </si>
  <si>
    <t>APR 30-MAY 05, 2022</t>
  </si>
  <si>
    <t>Assoc Comp Machinery,ACM SIGCHI,Google,Bloomberg,Meta,Microsoft,NSF,Yahoo</t>
  </si>
  <si>
    <t>Security and privacy; hate; harassment; creators; content moderation</t>
  </si>
  <si>
    <t>Content creators-social media personalities with large audiences on platforms like Instagram, TikTok, and YouTube-face a heightened risk of online hate and harassment. We surveyed 135 creators to understand their personal experiences with attacks (including toxic comments, impersonation, stalking, and more), the coping practices they employ, and gaps they experience with existing solutions (such as moderation or reporting). We find that while a majority of creators view audience interactions favorably, nearly every creator could recall at least one incident of hate and harassment, and attacks are a regular occurrence for one in three creators. As a result of hate and harassment, creators report self-censoring their content and leaving platforms. Through their personal stories, their attitudes towards platform-provided tools, and their strategies for coping with attacks and harms, we inform the broader design space for how to better protect people online from hate and harassment.</t>
  </si>
  <si>
    <t>[Thomas, Kurt; Kelley, Patrick Gage; Consolvo, Sunny; Samermit, Patrawat; Bursztein, Elie] Google, Mountain View, CA 94043 USA</t>
  </si>
  <si>
    <t>Thomas, K (corresponding author), Google, Mountain View, CA 94043 USA.</t>
  </si>
  <si>
    <t>kurtthomas@google.com; patrickgage@google.com; sconsolvo@google.com; patrawat@google.com; elieb@google.com</t>
  </si>
  <si>
    <t>978-1-4503-9157-3</t>
  </si>
  <si>
    <t>10.1145/3491102.3501879</t>
  </si>
  <si>
    <t>BU3EB</t>
  </si>
  <si>
    <t>WOS:000890212501010</t>
  </si>
  <si>
    <t>Irmer, A; Schmiedek, F</t>
  </si>
  <si>
    <t>Irmer, Andrea; Schmiedek, Florian</t>
  </si>
  <si>
    <t>How Accurately Do Children Indicate Their Smartphone Social Media Use?</t>
  </si>
  <si>
    <t>ZEITSCHRIFT FUR PSYCHOLOGIE-JOURNAL OF PSYCHOLOGY</t>
  </si>
  <si>
    <t>social networking sites; internet; accuracy; congruence; systematic bias</t>
  </si>
  <si>
    <t>PERSONALITY; VALIDATION</t>
  </si>
  <si>
    <t>Empirical research revealed that subjective time estimates of social media use show rather low accuracy as compared to objective log measures of use. The present work examined a different subjective measure, that is, intensity of use indicated on a 5-point scale and tested its congruence with an objective measure. A daily diary study with 200 children (103 female; M-age = 11.71, SDage = 1.02) was conducted, with children reporting their daily subjective and objective smartphone use of Instagram, TikTok, and YouTube. On the between-person and within-person level, subjective and objective use of the three social media platforms were positively associated with each other, with explained variance (based on pseudo-R2) ranging from 77% to 95% on between-person levels and from 36% to 58% on within-person levels. Furthermore, we identified person-level variables and daily characteristics of social media use that were linked to higher or lower congruence of subjective and objective measures.</t>
  </si>
  <si>
    <t>[Irmer, Andrea; Schmiedek, Florian] DIPF Leibniz Inst Res &amp; Informat Educ, Dept Educ &amp; Human Dev DIPF, Rostocker Str 6, D-60323 Frankfurt, Germany; [Irmer, Andrea; Schmiedek, Florian] Ctr Res Individual Dev &amp; Adapt Educ Children Risk, Frankfurt, Germany; [Schmiedek, Florian] Goethe Univ, Dept Educ Psychol, Frankfurt, Germany</t>
  </si>
  <si>
    <t>Goethe University Frankfurt</t>
  </si>
  <si>
    <t>Irmer, A (corresponding author), DIPF Leibniz Inst Res &amp; Informat Educ, Dept Educ &amp; Human Dev DIPF, Rostocker Str 6, D-60323 Frankfurt, Germany.</t>
  </si>
  <si>
    <t>a.irmer@dipf.de</t>
  </si>
  <si>
    <t>Center for Research on Individual Development and Adaptive Education of Children at Risk (IDeA), Frankfurt am Main, Germany</t>
  </si>
  <si>
    <t>This study was funded by the Center for Research on Individual Development and Adaptive Education of Children at Risk (IDeA), Frankfurt am Main, Germany. Open access publication enabled by the DIPF | Leibniz Institute for Research and Information in Education, Frankfurt am Main, Germany.</t>
  </si>
  <si>
    <t>2190-8370</t>
  </si>
  <si>
    <t>2151-2604</t>
  </si>
  <si>
    <t>Z PSYCHOL</t>
  </si>
  <si>
    <t>Z. Psychol.-J. Psychol.</t>
  </si>
  <si>
    <t>10.1027/2151-2604/a000535</t>
  </si>
  <si>
    <t>U7RE7</t>
  </si>
  <si>
    <t>WOS:001086733100002</t>
  </si>
  <si>
    <t>Han, W; Zhang, TRL</t>
  </si>
  <si>
    <t>Han, Wei; Zhang, Tanruiling</t>
  </si>
  <si>
    <t>Can residents engage potential tourists as ′micro′ and ′nano′ influencers?</t>
  </si>
  <si>
    <t>Influencer marketing; residents; emotional solidarity; identification with place</t>
  </si>
  <si>
    <t>EMOTIONAL SOLIDARITY; DESTINATION LOYALTY; SELF-CONGRUITY; BRAND; PLACE; IDENTIFICATION; CREDIBILITY; PERCEPTIONS; INVOLVEMENT; IDENTITY</t>
  </si>
  <si>
    <t>Social media has revolutionized the tourism industry by making residents more active co-creators in destination information dissemination. This study explores whether recognizing social media influencers as residents can increase place identification and boost host-guest relationships. We assess a conceptual model that postulates relationships between self- influencer congruence, identification with a place, emotional solidarity with residents, place knowledge, and visit intention. Data were collected online from 996 Chinese TikTok users who follow ' micro ' or ' nano ' influencers. The results reveal that perceived congruence between a follower ' s ideal self and an influencer ' s personal image can lead to a sense of identification with the influencer ' s residential place and emotional solidarity with residents, thereby contributing to visit intention. Further, multi-group analysis confirmed the moderating role of place knowledge. This study has important implications for tourism marketing theories and practices.</t>
  </si>
  <si>
    <t>[Han, Wei; Zhang, Tanruiling] Hainan Univ, Sch Tourism, Haikou, Peoples R China</t>
  </si>
  <si>
    <t>Hainan University</t>
  </si>
  <si>
    <t>Han, W (corresponding author), Hainan Univ, Sch Tourism, Haikou, Peoples R China.</t>
  </si>
  <si>
    <t>291254631@qq.com</t>
  </si>
  <si>
    <t>Han, Wei/L-7391-2016; Zhang, Tanruiling/LRB-7817-2024</t>
  </si>
  <si>
    <t>Hainan Provincial Natural Science Foundation of China [721QN224]</t>
  </si>
  <si>
    <t>Hainan Provincial Natural Science Foundation of China</t>
  </si>
  <si>
    <t>This work was supported by Hainan Provincial Natural Science Foundation of China [grant number 721QN224].</t>
  </si>
  <si>
    <t>10.1080/13683500.2023.2260062</t>
  </si>
  <si>
    <t>F8W3S</t>
  </si>
  <si>
    <t>WOS:001068524400001</t>
  </si>
  <si>
    <t>Kojoué, L</t>
  </si>
  <si>
    <t>Defying fear: Opportunities and challenges of digital technologies for sexual and gendered minorities in Cameroon</t>
  </si>
  <si>
    <t>AGENDA-EMPOWERING WOMEN FOR GENDER EQUITY</t>
  </si>
  <si>
    <t>internet; public space; queer; homosexuality; citizenship; social media; Cameroon</t>
  </si>
  <si>
    <t>TIME</t>
  </si>
  <si>
    <t>This article analyses the political significance of the diversity of digital practices that sexual minorities exploit for visibility in and from Cameroon. It is based on a field survey conducted in Yaounde and Douala between 2017 and 2018, as well as on a digital ethnographic survey conducted on Instagram, Facebook, Twitter and TikTok between 2021 and 2022. In a context hostile to same-sex sexual practices, more and more voices are being publicly raised on social media to affirm their homosexuality, queerness, and/or trans identities. The costs of this visibility are, however, considerable and function as serious warning. Are these modes of visibility enabled by new media technologies able to influence perceptions, attitudes and policies towards sexual and gendered minorities in Cameroon? Queer visibilities online are not only an alternative public space, but a political and spatial category that makes the space of and for queer Cameroonians transnational, and questions the digital territory of contested citizenship.</t>
  </si>
  <si>
    <t>Sidaction Paris, Financement des Jeunes ChercheursEs 2016</t>
  </si>
  <si>
    <t>This research was carried out with the support of Sidaction Paris, Financement des Jeunes ChercheursEs 2016. A special thanks to Danai Mupotsa who kindly reviewed the earlier version of this manuscript and provided clear, rich and valuable suggestions and comments.</t>
  </si>
  <si>
    <t>1013-0950</t>
  </si>
  <si>
    <t>2158-978X</t>
  </si>
  <si>
    <t>AGENDA-EMPOWER WOMEN</t>
  </si>
  <si>
    <t>Agenda-Empower. Women Gend. Equity</t>
  </si>
  <si>
    <t>10.1080/10130950.2022.2200227</t>
  </si>
  <si>
    <t>J8RU6</t>
  </si>
  <si>
    <t>WOS:000974939300001</t>
  </si>
  <si>
    <t>Hu, T; Geng, J</t>
  </si>
  <si>
    <t>Hu, Tao; Geng, Juan</t>
  </si>
  <si>
    <t>Research on the perception of the terrain image of the tourism destination based on multimodal user-generated content data</t>
  </si>
  <si>
    <t>Multimodal user-generated content sources; Sanya tourism destination; Short videos; Scene recognition; Cognitive-emotional-overall image</t>
  </si>
  <si>
    <t>MODEL; BEHAVIORS; PHOTOS; MEDIA</t>
  </si>
  <si>
    <t>Destination image is a powerful means by which destinations compete in the tourism industry, and the accurate identification of a destination image better serves destination marketing and management. This study uses multimodal data, such as text, images, and videos uploaded by tourists, to construct a comprehensive and systematic destination image process. The cognitive-emotional-overall imagemodel, latent Dirichlet allocation (LDA) model, and deep residual neural networks are implemented to build a framework to examine the perception of a destination image, travelogues, and short videos from the sources called Ctrip, Qunar, and TikTok. The results show that tourists' overall perception of Sanya is based mainly on the cognitive image of natural scenery, human resources, and food. In addition, there are differences between textual and visual cognitive images among the perceptual images when multimodal data is under consideration. Furthermore, tourists have an overall positive affective image of Sanya as a destination.</t>
  </si>
  <si>
    <t>[Hu, Tao; Geng, Juan] Hainan Univ, Sch Tourism, Haikou, Peoples R China</t>
  </si>
  <si>
    <t>Geng, J (corresponding author), Hainan Univ, Sch Tourism, Haikou, Peoples R China.</t>
  </si>
  <si>
    <t>gengj@hainanu.edu.cn</t>
  </si>
  <si>
    <t>hu, tao/KSM-9131-2024</t>
  </si>
  <si>
    <t>National Natural Science Foundation of China [72162014]</t>
  </si>
  <si>
    <t>Funding This research was funded by the the National Natural Science Foundation of China (under no. 72162014) . The funders had no role in study design, data collection and analysis, decision to publish, or preparation of the manuscript.</t>
  </si>
  <si>
    <t>e1801</t>
  </si>
  <si>
    <t>10.7717/peerj-cs.1801</t>
  </si>
  <si>
    <t>HA7R0</t>
  </si>
  <si>
    <t>WOS:001156835700001</t>
  </si>
  <si>
    <t>Sinlapanuntakul, P; Zachry, M</t>
  </si>
  <si>
    <t>Fragomeni, G; Chen, JYC</t>
  </si>
  <si>
    <t>Sinlapanuntakul, Pitch; Zachry, Mark</t>
  </si>
  <si>
    <t>Augmenting Self-presentation: Augmented Reality (AR) Filters Use Among Young Adults</t>
  </si>
  <si>
    <t>VIRTUAL, AUGMENTED AND MIXED REALITY, PT I, VAMR 2024</t>
  </si>
  <si>
    <t>16th International Conference on Virtual, Augmented and Mixed Reality (VAMR)</t>
  </si>
  <si>
    <t>Augmented reality; AR filters; Self-presentation; Social media; Young adults</t>
  </si>
  <si>
    <t>AVATARS</t>
  </si>
  <si>
    <t>The rise of real-time camera enhancements, particularly on social media platforms like Instagram, Snapchat, and TikTok, has reshaped self-presentation within youth culture. While previous research has explored avatars and technology-mediated identity, a knowledge gap exists regarding the motivations, perceptions, and implications of augmented reality (AR) filters. This study investigates the impact of AR filters on self-presentation among young adults on Instagram. The study engages 12 young adults, aged 18 to 25, through semi-structured interviews, revealing strategies of online persona curation for targeted groups of followers, a growing societal acceptance of augmented online appearances, and a delicate balance between presenting an authentic and ideal self. Participants use AR filters to enhance creative expression for their own sake as well as mediated appearance for meaningful connections and social engagement. The findings indicate the dynamic role of AR filters in shaping online self-image, emphasizing the need for a nuanced understanding of users' intentional curation and the evolving social norms surrounding AR filter usage on social media.</t>
  </si>
  <si>
    <t>[Sinlapanuntakul, Pitch; Zachry, Mark] Univ Washington, Dept Human Ctr Design &amp; Engn, Seattle, WA 98105 USA</t>
  </si>
  <si>
    <t>Sinlapanuntakul, P (corresponding author), Univ Washington, Dept Human Ctr Design &amp; Engn, Seattle, WA 98105 USA.</t>
  </si>
  <si>
    <t>wspitch@uw.edu; zachry@uw.edu</t>
  </si>
  <si>
    <t>978-3-031-61040-0; 978-3-031-61041-7</t>
  </si>
  <si>
    <t>10.1007/978-3-031-61041-7_7</t>
  </si>
  <si>
    <t>Computer Science, Cybernetics; Computer Science, Theory &amp; Methods</t>
  </si>
  <si>
    <t>BX3IO</t>
  </si>
  <si>
    <t>WOS:001280582500007</t>
  </si>
  <si>
    <t>Huang, LM; Wang, P; Yang, CF; Tseng, HW</t>
  </si>
  <si>
    <t>Huang, Liming; Wang, Ping; Yang, Cheng-Fu; Tseng, Hsien-Wei</t>
  </si>
  <si>
    <t>Rapid Local Image Style Transfer Method Based on Residual Convolutional Neural Network</t>
  </si>
  <si>
    <t>SENSORS AND MATERIALS</t>
  </si>
  <si>
    <t>image style transfer; residual neural network; semantic segmentation; DeepLab2; convolutional neural network</t>
  </si>
  <si>
    <t>The technology of image style transfer can learn the style of a target image in a fully automated or semi-automated way, which is often very difficult to achieve by manual methods, thus saving much time and improving production efficiency. With the rapid spread of commercial software applications such as beauty selfie apps and short entertainment videos such as TikTok, local image style transfer and its generation speed of images are becoming increasingly important, particularly when these recreational products have features especially valued by users. We propose an algorithm that involves semantic segmentations and residual networks and uses VGG16 for feature extraction to improve the efficiency of local image style transfer and its generation speed, and our experiments prove that the proposed method is more useful than other common methods. The investigated technology can be applied in many specific areas, such as the beauty camera of smart phones, computer-generated imagery in advertisements and movies, computed tomography images, nuclear magnetic resonance imaging of cancer diagnosis under harsh conditions, and virtual simulation in industry design.</t>
  </si>
  <si>
    <t>[Huang, Liming] Longyan Univ, Coll Math &amp; Informat Engn, Fuzhou 364012, Fujian, Peoples R China; [Wang, Ping; Tseng, Hsien-Wei] Yango Univ, Coll Artificial Intelligence, Mawei Dist 350015, Fujian, Peoples R China; [Yang, Cheng-Fu] Natl Univ Kaohsiung, Dept Chem &amp; Mat Engn, Kaohsiung 811, Taiwan; [Yang, Cheng-Fu] Chaoyang Univ Technol, Dept Aeronaut Engn, Taichung 413, Taiwan</t>
  </si>
  <si>
    <t>Longyan University; National University Kaohsiung; Chaoyang University of Technology</t>
  </si>
  <si>
    <t>Wang, P (corresponding author), Yango Univ, Coll Artificial Intelligence, Mawei Dist 350015, Fujian, Peoples R China.;Yang, CF (corresponding author), Natl Univ Kaohsiung, Dept Chem &amp; Mat Engn, Kaohsiung 811, Taiwan.;Yang, CF (corresponding author), Chaoyang Univ Technol, Dept Aeronaut Engn, Taichung 413, Taiwan.</t>
  </si>
  <si>
    <t>pwang@ygu.edu.cn; cfyang@nuk.edu.tw</t>
  </si>
  <si>
    <t>cheng, chun/B-5043-2011</t>
  </si>
  <si>
    <t>Wang, Ping/0009-0007-5692-5626</t>
  </si>
  <si>
    <t>MOST [109-2622-E-390-001-CC3, MOST 109-2221-E-390-023]; Young and Middle-aged Teacher Program of the Education Department of Fujian [JAT200601]</t>
  </si>
  <si>
    <t>MOST; Young and Middle-aged Teacher Program of the Education Department of Fujian</t>
  </si>
  <si>
    <t>This work was supported by projects under Nos. MOST 109-2622-E-390-001-CC3 and MOST 109-2221-E-390-023 and the Young and Middle-aged Teacher Program of the Education Department of Fujian (JAT200601).</t>
  </si>
  <si>
    <t>MYU, SCIENTIFIC PUBLISHING DIVISION</t>
  </si>
  <si>
    <t>TOKYO</t>
  </si>
  <si>
    <t>1-23-3-303 SENDAGI, TOKYO, 113-0022, JAPAN</t>
  </si>
  <si>
    <t>0914-4935</t>
  </si>
  <si>
    <t>SENSOR MATER</t>
  </si>
  <si>
    <t>Sens. Mater.</t>
  </si>
  <si>
    <t>10.18494/SAM.2021.3172</t>
  </si>
  <si>
    <t>Instruments &amp; Instrumentation; Materials Science, Multidisciplinary</t>
  </si>
  <si>
    <t>Instruments &amp; Instrumentation; Materials Science</t>
  </si>
  <si>
    <t>RN8IV</t>
  </si>
  <si>
    <t>WOS:000640595600011</t>
  </si>
  <si>
    <t>Hameleers, M</t>
  </si>
  <si>
    <t>Hameleers, Michael</t>
  </si>
  <si>
    <t>Why Do Social Media Users Accept, Doubt or Resist Corrective Information? A Qualitative Analysis of Comments in Response to Corrective Information on Social Media</t>
  </si>
  <si>
    <t>Corrective information; content moderation; disinformation; fact-checking; misinformation; social media</t>
  </si>
  <si>
    <t>FACT-CHECKING; POLITICS; BELIEF</t>
  </si>
  <si>
    <t>Although the widespread application of corrective information has been found to lower the credibility of misinformation, there may be important sources of resistance among social media users that potentially limit the effectiveness of fact-checking, warning messages, and community-based verifications. Yet, to date, we lack an inductive and context-bound understanding of users' responses to these different applications, and the reasons why users distrust or avoid corrections online. Against this backdrop, this paper relies on an in-depth qualitative content analysis of responses to different forms of corrective information on Facebook, Twitter, and TikTok. The study's main findings inform a typology of resistance consisting of (1) expressing doubts on the selection biases of corrective information; (2) challenging the evidence and conclusions of corrective information; (3) blaming the correction for being biased and/or partisan and (4) labeling the correction or intervention as disinformation itself. The implications for journalism practice and content moderation are discussed.</t>
  </si>
  <si>
    <t>[Hameleers, Michael] Univ Amsterdam, Amsterdam Sch Commun Res, Amsterdam, Netherlands</t>
  </si>
  <si>
    <t>Hameleers, M (corresponding author), Univ Amsterdam, Amsterdam Sch Commun Res, Amsterdam, Netherlands.</t>
  </si>
  <si>
    <t>m.hameleers@uva.nl</t>
  </si>
  <si>
    <t>10.1080/1461670X.2024.2340591</t>
  </si>
  <si>
    <t>TR1W7</t>
  </si>
  <si>
    <t>WOS:001202614400001</t>
  </si>
  <si>
    <t>Godi, M; Joppi, C; Skenderi, G; Cristani, M</t>
  </si>
  <si>
    <t>IEEE Comp Soc</t>
  </si>
  <si>
    <t>Godi, Marco; Joppi, Christian; Skenderi, Geri; Cristani, Marco</t>
  </si>
  <si>
    <t>MovingFashion: a Benchmark for the Video-to-Shop Challenge</t>
  </si>
  <si>
    <t>2022 IEEE WINTER CONFERENCE ON APPLICATIONS OF COMPUTER VISION (WACV 2022)</t>
  </si>
  <si>
    <t>IEEE Winter Conference on Applications of Computer Vision</t>
  </si>
  <si>
    <t>22nd IEEE/CVF Winter Conference on Applications of Computer Vision (WACV)</t>
  </si>
  <si>
    <t>JAN 04-08, 2022</t>
  </si>
  <si>
    <t>Waikoloa, HI</t>
  </si>
  <si>
    <t>IEEE,IEEE Comp Soc,CVF,Amazon,Google,Kitware,Mitre,Verisk</t>
  </si>
  <si>
    <t>Retrieving clothes that are worn in social media videos (Instagram, TikTok) is the latest frontier of e-fashion, referred to as video-to-shop in the computer vision literature. In this paper, we present MovingFashion, the first publicly available dataset to cope with this challenge. MovingFashion is composed of 14855 social videos, each one of them associated with e-commerce shop images where the corresponding clothing items are clearly portrayed. In addition, we present a novel baseline for this scenario, dubbed SEAM Match-RCNN. The model is trained by image-to-video domain adaptation, allowing the use of video sequences where only their association with a shop image is given, eliminating the need for millions of annotated bounding boxes. SEAM Match-RCNN builds an embedding, where an attention-based weighted sum of few frames (10) of a social video is enough to individuate the correct product within the first 5 retrieved items in a 14K+ shop element gallery with an accuracy of 80%. This provides the best performance on MovingFashion, comparing exhaustively against the related state-of-the-art approaches and alternative baselines(1).</t>
  </si>
  <si>
    <t>[Godi, Marco; Joppi, Christian; Skenderi, Geri; Cristani, Marco] Univ Verona, Dept Comp Sci, Verona, Italy; [Cristani, Marco] Humatics Srl, Verona, Italy</t>
  </si>
  <si>
    <t>University of Verona</t>
  </si>
  <si>
    <t>Godi, M (corresponding author), Univ Verona, Dept Comp Sci, Verona, Italy.</t>
  </si>
  <si>
    <t>marco.godi@univr.it; christian.joppi@univr.it; geri.skenderi@univr.it; marco.cristani@univr.it</t>
  </si>
  <si>
    <t>Joppi, Christian/AEX-2537-2022</t>
  </si>
  <si>
    <t>Skenderi, Geri/0000-0001-9968-7727; Joppi, Christian/0000-0003-4495-9515</t>
  </si>
  <si>
    <t>Italian MIUR [20172BH297]; project of the Italian MIUR Dipartimenti di Eccellenza 2018-2022</t>
  </si>
  <si>
    <t>Italian MIUR(Ministry of Education, Universities and Research (MIUR)); project of the Italian MIUR Dipartimenti di Eccellenza 2018-2022</t>
  </si>
  <si>
    <t>This work is partially supported by the Italian MIUR through PRIN 2017 -Project Grant 20172BH297: I-MALL -improving the customer experience in stores by intelligent computer vision, and by the project of the Italian MIUR Dipartimenti di Eccellenza 2018-2022. Thanks also to Giovanni Masotto for the collaboration in creating MovingFashion dataset.</t>
  </si>
  <si>
    <t>2472-6737</t>
  </si>
  <si>
    <t>978-1-6654-0915-5</t>
  </si>
  <si>
    <t>IEEE WINT CONF APPL</t>
  </si>
  <si>
    <t>10.1109/WACV51458.2022.00059</t>
  </si>
  <si>
    <t>BT1RS</t>
  </si>
  <si>
    <t>WOS:000800471200052</t>
  </si>
  <si>
    <t>Zhang, Z; Liu, F</t>
  </si>
  <si>
    <t>Zhang, Zhi; Liu, Fang</t>
  </si>
  <si>
    <t>Gift-giving intentions in pan-entertainment live streaming: Based on social exchange theory</t>
  </si>
  <si>
    <t>SELF-PRESENTATION; BEHAVIORAL-RESEARCH; ONLINE; COMMERCE; PLATFORMS; DECEPTION; PEOPLE</t>
  </si>
  <si>
    <t>Pan-entertainment live streaming combines video with two-way communication and real-time viewer participation, allowing viewers to send virtual gifts to their favorite streamers. Drawing on social exchange theory, this study investigates the factors that influence viewers' gift-giving intentions in live streaming from the perspectives of both viewers and streamers. It also explores the moderating role of streamers' deceptive self-presentation. The theoretical framework is tested using AMOS and PROCESS Macro based on survey responses collected from 331 TikTok users in China. The results suggest that streamers' attractiveness, expertise, parasocial interaction, and the viewers' deceptive self-presentation significantly affect viewers' gift-giving intention, and that streamers' deceptive self-representation moderates the relationship between attractiveness, expertise, parasocial inter-action and the viewer's consumer intention. These findings contribute to social exchange theory by highlighting the importance of streamers' deceptive self-presentation in moderating the effects of attractiveness, expertise, parasocial interaction, and the viewer's deceptive self-presentation on the viewer's gift-giving intention.</t>
  </si>
  <si>
    <t>[Zhang, Zhi] Hebei Univ Econ &amp; Business, Sch Culture &amp; Commun, Shijiazhuang, Peoples R China; [Liu, Fang] Shandong Univ Technol, Sch Literature &amp; Journalism, Zibo, Peoples R China</t>
  </si>
  <si>
    <t>Hebei University of Economics &amp; Business; Shandong University of Technology</t>
  </si>
  <si>
    <t>Zhang, Z (corresponding author), Hebei Univ Econ &amp; Business, Sch Culture &amp; Commun, Shijiazhuang, Peoples R China.</t>
  </si>
  <si>
    <t>zhangzhi@hueb.edu.cn</t>
  </si>
  <si>
    <t>Hebei provincial department of human resources and social security [C20230112]</t>
  </si>
  <si>
    <t>Hebei provincial department of human resources and social security</t>
  </si>
  <si>
    <t>Z.Z received Hebei Province to introduce overseas students funding from Hebei provincial department of human resources and social security, grant number is C20230112; URL of the funder is https://rst.hebei.gov.cn. The funders had no role in study design, data collection and analysis, decision to publish, or preparation of the manuscript.</t>
  </si>
  <si>
    <t>e0296908</t>
  </si>
  <si>
    <t>10.1371/journal.pone.0296908</t>
  </si>
  <si>
    <t>GC5S9</t>
  </si>
  <si>
    <t>WOS:001150484900012</t>
  </si>
  <si>
    <t>Smith, M; Bernot, A</t>
  </si>
  <si>
    <t>Smith, Marcus; Bernot, Ausma</t>
  </si>
  <si>
    <t>Government and Commercial Interests in Genomics: Improving Data Security and Regulation</t>
  </si>
  <si>
    <t>LAW TECHNOLOGY AND HUMANS</t>
  </si>
  <si>
    <t>Genomics; genomic technology; genomic data security; technology regulation; international security; surveillance</t>
  </si>
  <si>
    <t>The relationship between new technologies and security is well established in the fields of defence, law enforcement, communications and public health. This has been highlighted by recent public debate about the security implications of data held by companies operating in social media and information technology (such as TikTok and Huawei). While genomic technology had been less high profile in the context of security, this changed following the COVID-19 pandemic, which focused attention on the significant implications of this form of data. This article discusses commercial genomic technology, related government interests and the growing implications for data security and regulation, such as through the example of the Beijing Genomics Institute, a large company providing genomic testing services to consumers worldwide. We suggest that commercial genomic data has growing implications for countries such as the United States and Australia and argue for greater attention to be directed to this form of technology and associated data security and regulation, including security assessment to address the risks associated with international transfer via corporate entities.</t>
  </si>
  <si>
    <t>[Smith, Marcus] Charles Sturt Univ, Darlinghurst, Australia; [Bernot, Ausma] Griffith Univ, Southport, Australia</t>
  </si>
  <si>
    <t>Charles Sturt University; Griffith University; Griffith University - Gold Coast Campus</t>
  </si>
  <si>
    <t>Smith, M (corresponding author), Charles Sturt Univ, Darlinghurst, Australia.</t>
  </si>
  <si>
    <t>QUEENSLAND UNIV TECHNOLOGY</t>
  </si>
  <si>
    <t>BRISBANE</t>
  </si>
  <si>
    <t>GPO BOX 2434, BRISBANE, QLD 4001, AUSTRALIA</t>
  </si>
  <si>
    <t>2652-4074</t>
  </si>
  <si>
    <t>LAW TECHNOL HUMANS</t>
  </si>
  <si>
    <t>Law Technol. Humans</t>
  </si>
  <si>
    <t>10.5204/lthj.3256</t>
  </si>
  <si>
    <t>Law; Social Sciences, Interdisciplinary</t>
  </si>
  <si>
    <t>Government &amp; Law; Social Sciences - Other Topics</t>
  </si>
  <si>
    <t>QQ4M7</t>
  </si>
  <si>
    <t>WOS:001222321900001</t>
  </si>
  <si>
    <t>Tapsell, R</t>
  </si>
  <si>
    <t>Tapsell, Ross</t>
  </si>
  <si>
    <t>Social Media and Malaysia's 2022 Election: The Growth and Impact of Video Campaigning</t>
  </si>
  <si>
    <t>PACIFIC AFFAIRS</t>
  </si>
  <si>
    <t>Social media; disinformation; Malaysia; elections; media freedom</t>
  </si>
  <si>
    <t>This article argues that Malaysia's 2022 General Election (GE15) amplified negative campaigning via new techniques associated with platform and technological advancements, led by creative innovations in campaign tactics, including livestreaming and video content. GE15 was the freest election campaign in Malaysia's history. All political parties and coalitions enjoyed access to a wide range of mainstream and online media to disseminate content, and new platforms like TikTok emerged as influential conduits of campaign messages. Yet serious problems in this digital public sphere remain a feature of the country's media landscape. These include cybertroopers, fake news peddlers, and those creating polarizing content around race and religious issues. This article explains how social media campaigning in Malaysia is becoming more professionalized and better resourced, inspiring some diversity and creativity, while at the same time enabling groups who spread narratives intended to incite and enrage, particularly via video content. The Malaysian case exemplifies the growing problems within the contemporary digital public sphere, showing how the professionalization of social media campaigning can lead to disinformation and, ultimately, polarization.</t>
  </si>
  <si>
    <t>[Tapsell, Ross] Australian Natl Univ, Coll Asia &amp; Pacific, Canberra, Australia</t>
  </si>
  <si>
    <t>Australian National University</t>
  </si>
  <si>
    <t>Tapsell, R (corresponding author), Australian Natl Univ, Coll Asia &amp; Pacific, Canberra, Australia.</t>
  </si>
  <si>
    <t>Tapsell, Ross/0000-0002-2925-3197</t>
  </si>
  <si>
    <t>PACIFIC AFFAIRS UNIV BRITISH COLUMBIA</t>
  </si>
  <si>
    <t>VANCOUVER</t>
  </si>
  <si>
    <t>376-1855 WEST MALL, VANCOUVER, BC V6T 1Z2, CANADA</t>
  </si>
  <si>
    <t>0030-851X</t>
  </si>
  <si>
    <t>1715-3379</t>
  </si>
  <si>
    <t>PAC AFF</t>
  </si>
  <si>
    <t>Pac. Aff.</t>
  </si>
  <si>
    <t>10.5509/2023962303</t>
  </si>
  <si>
    <t>L4NF0</t>
  </si>
  <si>
    <t>WOS:001023041500005</t>
  </si>
  <si>
    <t>Meng, XY; Literat, I</t>
  </si>
  <si>
    <t>Meng, Xingyuan; Literat, Ioana</t>
  </si>
  <si>
    <t>#AverageYetConfidentMen: Chinese stand-up comedy and feminist discourse on Douyin</t>
  </si>
  <si>
    <t>feminism; stand-up comedy; social media; Douyin; China</t>
  </si>
  <si>
    <t>With the rise of feminist sentiment and the growing awareness of gender equity in China, social media has become an increasingly central space for Chinese feminist expression. However, the complex dynamics of feminist expression in these online spaces-and the role of popular culture in facilitating such discourse-are still to be fully elucidated. Here, focusing on the understudied social media platform Douyin (the Chinese version of TikTok), we analyze the online discussion sparked by the stand-up comedy acts of Chinese female comedians. Drawing on a qualitative content analysis of Douyin videos and related comments, we demonstrate how users employed the platform's creative features to challenge everyday sexism by echoing or building upon the stand-up comedians' gags. At the same time, the analysis also uncovers how Douyin is used to insult and push back against these feminist voices. Our findings shed light on the sophisticated role of Douyin as a platform for digital feminist expression, and the ways in which it can amplify both feminist discourse or, conversely, give voice to misogynistic attacks.</t>
  </si>
  <si>
    <t>[Meng, Xingyuan; Literat, Ioana] Columbia Univ, Teachers Coll, New York, NY 10027 USA</t>
  </si>
  <si>
    <t>Meng, XY (corresponding author), Columbia Univ, Teachers Coll, New York, NY 10027 USA.</t>
  </si>
  <si>
    <t>xm2187@tc.columbia.edu</t>
  </si>
  <si>
    <t>Meng, Xingyuan/JXL-6194-2024</t>
  </si>
  <si>
    <t>Meng, Xingyuan/0000-0001-6040-2536</t>
  </si>
  <si>
    <t>2023 OCT 12</t>
  </si>
  <si>
    <t>10.1080/14680777.2023.2267781</t>
  </si>
  <si>
    <t>U1XR3</t>
  </si>
  <si>
    <t>WOS:001082806600001</t>
  </si>
  <si>
    <t>Robison, C</t>
  </si>
  <si>
    <t>Robison, Claire</t>
  </si>
  <si>
    <t>Urban Devis: Fashioning Lay Women's Holiness in Krishna Bhakti Networks</t>
  </si>
  <si>
    <t>International Society for Krishna Consciousness (ISKCON); bhakti; guru; women; Hindu; vernacular holiness</t>
  </si>
  <si>
    <t>Although many Hindu communities today foreground women as religious authorities, some lineages officially recognize only men as gurus and renouncers. If official models of religious authority are gendered masculine, what space do women have to embody holiness? This article investigates this question with reference to women in the International Society for Krishna Consciousness (ISKCON), a transnational religious organization that has developed prominent communities in India and abroad. Amidst an ongoing disagreement about whether women can be gurus in the organization, this article considers how devotee women are cultivating spaces of religious authority in their temple communities and online media forums through embodying Krishna bhakti as a form of vernacular holiness. This includes the development of personal websites and the use of YouTube, Instagram, and TikTok to produce media content that ranges from overtly devout recordings of temple lectures to subtle signals towards Krishna bhakti in the aesthetic style of social media influencers. Case studies discuss women affiliated with ISKCON communities in India and the US.</t>
  </si>
  <si>
    <t>[Robison, Claire] Bowdoin Coll, Dept Relig &amp; Asian Studies, Brunswick, ME 04011 USA</t>
  </si>
  <si>
    <t>Bowdoin College</t>
  </si>
  <si>
    <t>Robison, C (corresponding author), Bowdoin Coll, Dept Relig &amp; Asian Studies, Brunswick, ME 04011 USA.</t>
  </si>
  <si>
    <t>crobison@bowdoin.edu</t>
  </si>
  <si>
    <t>Robison, Claire/0000-0002-6351-6819</t>
  </si>
  <si>
    <t>10.3390/rel14060786</t>
  </si>
  <si>
    <t>K3SC9</t>
  </si>
  <si>
    <t>WOS:001015661500001</t>
  </si>
  <si>
    <t>Kohl, G; Koh, WQ; Scior, K; Charlesworth, G</t>
  </si>
  <si>
    <t>Kohl, Gianna; Koh, Wei Qi; Scior, Katrina; Charlesworth, Georgina</t>
  </si>
  <si>
    <t>Self-Disclosure and Social Media Use among Younger and Older People with Dementia: An Internet-Mediated Mixed-Methods Study</t>
  </si>
  <si>
    <t>Advocacy; disclosure; internet-mediated research; social media use; survey; young-onset dementia</t>
  </si>
  <si>
    <t>ADULTS; INTERVENTION; SUPPORT; STIGMA</t>
  </si>
  <si>
    <t>Social media can facilitate self-disclosure of a stigmatized identity. This mixed-methods study explores self-disclosure by people with dementia on social media, comparing patterns and purpose of use by those aged 65 and above versus those aged under 65. Of 143 internet-using respondents of an online survey, 77 (aged between 44 and 88 years) were users of social media. Facebook was the most commonly used platform (95%), followed by Twitter, Instagram, LinkedIn, YouTube, and TikTok. People with dementia aged under 65 used more platforms and used social media more frequently than older counterparts [chi 2 = 5.58, p = .031]. Content analysis of open-ended questions, validated and extended through qualitative interview data, showed younger users shared dementia-related information for purposes of advocacy and awareness whereas older users prioritized the dementia journey. Social media gives people with dementia a voice to share their experiences, raise awareness, and support themselves and other individuals affected by the condition.</t>
  </si>
  <si>
    <t>[Kohl, Gianna; Charlesworth, Georgina] Univ Coll London UCL, Res Dept Clin Educ &amp; Hlth Psychol, London, England; [Koh, Wei Qi] Univ Queensland, Sch Hlth &amp; Rehabil Sci, Brisbane, Australia; [Scior, Katrina] UCL, UCL Unit Stigma Res Clin Educ &amp; Hlth Psychol, London, England; [Charlesworth, Georgina] North East London NHS Fdn Trust, Res &amp; Dev, London, England; [Kohl, Gianna] UCL, Res Dept Clin Educ &amp; Hlth Psychol, 1-19 Torrington Pl, London WC1E 7HB, England</t>
  </si>
  <si>
    <t>University of London; University College London; University of Queensland; University of London; University College London; University of London; University College London</t>
  </si>
  <si>
    <t>Kohl, G (corresponding author), UCL, Res Dept Clin Educ &amp; Hlth Psychol, 1-19 Torrington Pl, London WC1E 7HB, England.</t>
  </si>
  <si>
    <t>g.kohl@ucl.ac.uk</t>
  </si>
  <si>
    <t>Koh, Wei Qi/AHD-3493-2022; Charlesworth, Georgina Mary/C-2571-2008</t>
  </si>
  <si>
    <t>Koh, Wei Qi/0000-0001-8196-1628; Charlesworth, Georgina Mary/0000-0002-5278-1756; Scior, Katrina (Renate)/0000-0002-4679-0090; Kohl, Gianna/0000-0002-8913-1247</t>
  </si>
  <si>
    <t>We are grateful to the people with dementia who gave their time to take part in the survey and interviews. We would like to thank the European Working Group of People with Dementia for having provided advice on the design of the study. Thank you also to La; DEEP Network</t>
  </si>
  <si>
    <t>We are grateful to the people with dementia who gave their time to take part in the survey and interviews. We would like to thank the European Working Group of People with Dementia for having provided advice on the design of the study. Thank you also to Larissa Raab for her support with checking the interview transcripts, and to the Researcher Delivery Team at Join Dementia Research, Kate Fallows and her colleagues from Young Onset Dementia, and the DEEP Network for their support with recruitment.</t>
  </si>
  <si>
    <t>2023 OCT 14</t>
  </si>
  <si>
    <t>10.1080/10447318.2023.2265728</t>
  </si>
  <si>
    <t>U2LW3</t>
  </si>
  <si>
    <t>WOS:001083180300001</t>
  </si>
  <si>
    <t>Liu, Y; Chiu, DKW; Ho, KKW</t>
  </si>
  <si>
    <t>Liu, Ying; Chiu, Dickson K. W.; Ho, Kevin K. W.</t>
  </si>
  <si>
    <t>Short-Form Videos for Public Library Marketing: Performance Analytics of Douyin in China</t>
  </si>
  <si>
    <t>short-form videos; public libraries; social media; Douyin; marketing; outreach</t>
  </si>
  <si>
    <t>SERVICES</t>
  </si>
  <si>
    <t>Short-form video platforms have become an important marketing channel for library resources and services. However, such promotions' actual performance is not as good as expected. This research examined the performance of library marketing on the dominant short-form video platform in China, Douyin (aka TikTok worldwide), with social media analytics, including topic and correlation analysis. Results indicated that the number of fans of an account is positively correlated with the number of likes (p &lt; 0.001) and independent of the number of videos (p &gt; 0.05). Libraries post videos most often on the topic of Reading Promotion(31%), but the marketing performance on this topic is average (Mean DMI = 90.27). The most popular topics for patrons are Hot Topics and Knowledge Quiz (Mean DMI = 207.00). Using short-form videos for library marketing is a new practice, and scant studies have evaluated such performance, especially in Asia. Our results strengthen library practitioners' awareness and reflections on conducting new media services and short-form video promotion, especially for the newer generation.</t>
  </si>
  <si>
    <t>[Liu, Ying; Chiu, Dickson K. W.] Univ Hong Kong, Fac Educ, Hong Kong 999077, Peoples R China; [Ho, Kevin K. W.] Univ Tsukuba, Grad Sch Business Sci Humanities &amp; Social Sci, Tokyo 1120012, Japan</t>
  </si>
  <si>
    <t>University of Hong Kong; University of Tsukuba</t>
  </si>
  <si>
    <t>Chiu, DKW (corresponding author), Univ Hong Kong, Fac Educ, Hong Kong 999077, Peoples R China.</t>
  </si>
  <si>
    <t>dicksonchiu@ieee.org</t>
  </si>
  <si>
    <t>Chiu, Dickson K. W./B-9630-2017; Ho, Kai Wing/E-8297-2013</t>
  </si>
  <si>
    <t>Ho, Kai Wing/0000-0003-1304-0573; Chiu, Dickson K. W./0000-0002-7926-9568</t>
  </si>
  <si>
    <t>10.3390/app13063386</t>
  </si>
  <si>
    <t>D4MG8</t>
  </si>
  <si>
    <t>WOS:000968483300001</t>
  </si>
  <si>
    <t>Riggs, MA; Madni, SA; Cornelius, J; Zhang, AMY; Czarnik, M; Zullig, K; Bensley, RJ; Gibson-Young, L; Gardner, M; Waggett, CE; Grabeel, V; Pettyjohn, SJ; Fisher, C; Jones, RM; Maniccia, DM; Doyle, J; Treuth, M; Neatherlin, J; Thomas, E; Barrios, L</t>
  </si>
  <si>
    <t>Riggs, Margaret A.; Madni, Sabrina A.; Cornelius, January; Zhang, Amy; Czarnik, Michaila; Zullig, Keith; Bensley, Robert J.; Gibson-Young, Linda; Gardner, Marilyn; Waggett, Caryl E.; Grabeel, Vonia; Pettyjohn, Samuel J.; Fisher, Christine; Jones, Resa M.; Maniccia, Dayna M.; Doyle, Jack; Treuth, Margarita; Neatherlin, John; Thomas, Ebony; Barrios, Lisa</t>
  </si>
  <si>
    <t>Knowledge, attitudes, and behaviors with mask use and vaccines for COVID-19 prevention at 13 colleges and universities, April 2021</t>
  </si>
  <si>
    <t>JOURNAL OF AMERICAN COLLEGE HEALTH</t>
  </si>
  <si>
    <t>Attitudes; behaviors; COVID-19; knowledge; masks; vaccine hesitancy</t>
  </si>
  <si>
    <t>HEALTH BELIEF MODEL; UNITED-STATES; INFORMATION; PREDICTORS; ADULTS; TIKTOK; CAMPUS</t>
  </si>
  <si>
    <t>Objectives: To understand college and university student knowledge, attitudes, and behaviors (KAB) regarding COVID-19 prevention strategies. Methods: Thirteen colleges and universities volunteered to conduct an anonymous electronic survey in April 2021 to assess students' KAB about mask use and vaccination to prevent COVID-19. Results: Three-quarters of students indicated they Always wore a mask correctly when in public indoor places. Of those not yet vaccinated, 55% expressed concern about unknown side effects. Over half of students were unsure or believe they do not need to continue wearing masks after vaccination and older students more likely to be vaccinated. There was a significant inverse correlation between intention of getting vaccinated and intention to attend a large indoor party without a mask. Conclusions: Colleges and universities are important to community efforts to slow the COVID-19 pandemic. The KAB findings can inform approaches to increase overall mask use and vaccination uptake among young students.</t>
  </si>
  <si>
    <t>[Riggs, Margaret A.; Madni, Sabrina A.; Cornelius, January; Zhang, Amy; Czarnik, Michaila; Neatherlin, John; Thomas, Ebony; Barrios, Lisa] CDC COVID 19 Emergency Response Team, Atlanta, GA 30329 USA; [Madni, Sabrina A.; Cornelius, January; Czarnik, Michaila] 4ES Corp, San Antonio, TX USA; [Zhang, Amy] Oak Ridge Inst Sci &amp; Educ, Oak Ridge, TN USA; [Zullig, Keith] West Virginia Univ, Morgantown, WV USA; [Bensley, Robert J.] Western Michigan Univ, Kalamazoo, MI USA; [Gibson-Young, Linda] Auburn Univ, Coll Nursing, Auburn, AL USA; [Gardner, Marilyn] Western Kentucky Univ, Bowling Green, KY USA; [Waggett, Caryl E.] Allegheny Coll, Meadville, PA USA; [Grabeel, Vonia] Eastern Kentucky Univ, Richmond, KY USA; [Pettyjohn, Samuel J.] East Tennessee State Univ, Johnson City, TN USA; [Fisher, Christine] East Stroudsburg Univ Penn, East Stroudsburg, PA USA; [Jones, Resa M.] Temple Univ, Philadelphia, PA USA; [Maniccia, Dayna M.] Russell Sage Coll, Troy, NY USA; [Doyle, Jack] Lock Haven Univ, Lock Haven, PA USA; [Treuth, Margarita] Univ Maryland Eastern Shore, Princess Anne, MD USA</t>
  </si>
  <si>
    <t>Oak Ridge Associated Universities; United States Department of Energy (DOE); Oak Ridge Institute for Science &amp; Education; West Virginia University; Western Michigan University; Auburn University System; Auburn University; Western Kentucky University; Allegheny College; Eastern Kentucky University; East Tennessee State University; Pennsylvania Commonwealth System of Higher Education (PCSHE); Temple University; Russell Sage College; Pennsylvania State System of Higher Education (PASSHE); Lock Haven University; University System of Maryland; University of Maryland Eastern Shore</t>
  </si>
  <si>
    <t>Riggs, MA (corresponding author), CDC COVID 19 Emergency Response Team, Atlanta, GA 30329 USA.</t>
  </si>
  <si>
    <t>margo.riggs1@gmail.com</t>
  </si>
  <si>
    <t>Jones, Resa/ADZ-3489-2022</t>
  </si>
  <si>
    <t>Bensley, Robert J./0000-0003-3374-4551; Czarnik, Michaila/0000-0001-8691-2497; Waggett, Caryl/0000-0003-4198-1485; Zullig, Keith/0000-0003-4222-366X; Gibson-Young, Linda/0000-0003-0676-8507; Cornelius, January/0009-0004-8802-0344</t>
  </si>
  <si>
    <t>0744-8481</t>
  </si>
  <si>
    <t>1940-3208</t>
  </si>
  <si>
    <t>J AM COLL HEALTH</t>
  </si>
  <si>
    <t>J. Am. Coll. Health</t>
  </si>
  <si>
    <t>OCT 12</t>
  </si>
  <si>
    <t>10.1080/07448481.2022.2122719</t>
  </si>
  <si>
    <t>L9S7O</t>
  </si>
  <si>
    <t>WOS:000980349400001</t>
  </si>
  <si>
    <t>Wagdi, O; Afify, AS; Fathi, A</t>
  </si>
  <si>
    <t>Wagdi, Osama; Afify, Amal Seddik; Fathi, Atef</t>
  </si>
  <si>
    <t>THE IMPACT OF SOCIAL MEDIA MARKETING ACTIVITIES ON GREEN CONSUMPTION INTENTION: EVIDENCE FROM EMERGING COUNTRIES</t>
  </si>
  <si>
    <t>ENTREPRENEURSHIP AND SUSTAINABILITY ISSUES</t>
  </si>
  <si>
    <t>social media; marketing activities; green marketing; consumption intention; emerging countries; environmental issues</t>
  </si>
  <si>
    <t>PURCHASE INTENTIONS; EMPIRICAL-EVIDENCE; SALES FORECASTS; HONG-KONG; BEHAVIOR; INFORMATION; CONSUMERS; BRAND; EWOM; ADOPTION</t>
  </si>
  <si>
    <t>The study investigated the impact of social media marketing activities on green consumption intention. The study used the survey method to describe this impact in five countries (Brazil, Egypt, India, South Africa, and Turkey). The analysis was applied to the leading platforms of electric car pages on social media - Facebook, TikTok, Twitter, YouTube, and Instagram. Five control variables (Age, Gender, Education, Income, and Citizenship) were used. A total of 393 questionnaires were collected in the first quarter of 2022. The study verified the adequacy of the sample with Cronbach's alpha. Finally, based on Hierarchical Multiple Regression, the study found that social media marketing activities impact green consumption intention by (89.9%). In addition, control variables contributed to raising the impact to (94.9%). In this manner, the current study is new and offers valuable insight into the function of social media on green consumption intention under the demographic characteristics of consumers.</t>
  </si>
  <si>
    <t>[Wagdi, Osama] Int Acad Engn &amp; Media Sci IAEMS, Div Business Adm, Finance &amp; Accounting Dept, 6Th Of October, Giza Governorat, Egypt; [Afify, Amal Seddik; Fathi, Atef] Thebes Higher Inst Management &amp; Informat Technol, Business Adm Dept, Giza Governorate, Egypt</t>
  </si>
  <si>
    <t>Wagdi, O (corresponding author), Int Acad Engn &amp; Media Sci IAEMS, Div Business Adm, Finance &amp; Accounting Dept, 6Th Of October, Giza Governorat, Egypt.</t>
  </si>
  <si>
    <t>osamawagdi_ta@yahoo.com</t>
  </si>
  <si>
    <t>Wagdi, Osama/D-4898-2019</t>
  </si>
  <si>
    <t>Wagdi, Osama/0000-0003-0451-9726</t>
  </si>
  <si>
    <t>ENTERPRENEURSHIP &amp; SUSTAINABILITY CENTER</t>
  </si>
  <si>
    <t>VILNUS</t>
  </si>
  <si>
    <t>M K CIURLIONIO STR 86A, VILNUS, 03100, LITHUANIA</t>
  </si>
  <si>
    <t>2345-0282</t>
  </si>
  <si>
    <t>ENTREP SUSTAIN ISS</t>
  </si>
  <si>
    <t>Entrepreneurship. Sustain.</t>
  </si>
  <si>
    <t>10.9770/jesi.2022.10.1(8)</t>
  </si>
  <si>
    <t>6N1CN</t>
  </si>
  <si>
    <t>WOS:000889298700001</t>
  </si>
  <si>
    <t>Grossman, S; Alber, JM; Henry, DS; Askay, D; Glanz, H; Marts, E; Ostrander, A</t>
  </si>
  <si>
    <t>Grossman, Suzanne; Alber, Julia M.; Henry, Dayna S.; Askay, David; Glanz, Hunter; Marts, Erika; Ostrander, Anna</t>
  </si>
  <si>
    <t>An Ecological Model Analysis of COVID-19 Social Media Posts</t>
  </si>
  <si>
    <t>Communication technology; social ecological model; social media</t>
  </si>
  <si>
    <t>This study examined prevention and coping content related to COVID-19 on social media. Publicly available social media posts were examined by levels of the social ecological model (SEM) and by platform (Instagram, TikTok, Twitter). Using systematic random sampling, 1579 public posts were collected from March 2020 to June 2020 using COVID-19 hashtags. Of these, 663 posts written in English about COVID-19 were included. Content was coded by platform, strategies for reducing risk, strategies for coping with stress, and SEM level(s). In total, 41.18% of the posts mentioned a strategy for reducing risk. Few posts mentioned coping strategies (5%). Slightly less than half of the posts focused on the individual level (42.1%). Both the strategies mentioned for reducing risk and SEM levels referenced in each post varied significantly by platform. Results suggest that social media may provide insight into the type of health information the public receives as well as the public's strategies for reducing risk and coping; however, there is variation among platforms.</t>
  </si>
  <si>
    <t>[Grossman, Suzanne; Henry, Dayna S.] James Madison Univ, Coll Hlth &amp; Behav Studies, Dept Hlth Sci, Harrisonburg, VA 22807 USA; [Alber, Julia M.; Marts, Erika; Ostrander, Anna] Calif Polytech State Univ San Luis Obispo, Dept Kinesiol &amp; Publ Hlth, Coll Sci &amp; Math, San Luis Obispo, CA 93407 USA; [Askay, David] Calif Polytech State Univ San Luis Obispo, Commun Studies Dept, Coll Liberal Arts, San Luis Obispo, CA 93407 USA; [Glanz, Hunter] Calif Polytech State Univ San Luis Obispo, Dept Stat, Coll Sci &amp; Math, San Luis Obispo, CA 93407 USA</t>
  </si>
  <si>
    <t>James Madison University; California State University System; California Polytechnic State University San Luis Obispo; California State University System; California Polytechnic State University San Luis Obispo; California State University System; California Polytechnic State University San Luis Obispo</t>
  </si>
  <si>
    <t>Grossman, S (corresponding author), James Madison Univ, Dept Hlth Sci, 235 MLK Jr Way,MSC 4301, Harrisonburg, VA 22807 USA.</t>
  </si>
  <si>
    <t>grossmsx@jmu.edu</t>
  </si>
  <si>
    <t>Askay, David/I-8080-2019</t>
  </si>
  <si>
    <t>Henry, Dayna/0000-0002-5890-1878; Alber, Julia/0000-0002-0822-846X; Grossman, Suzanne/0000-0002-7435-5504; Marts, Erika/0000-0003-4123-0358; Glanz, Hunter/0000-0001-6726-8261; Askay, David/0000-0001-5612-9944</t>
  </si>
  <si>
    <t>10.1080/15398285.2022.2081910</t>
  </si>
  <si>
    <t>4N0DG</t>
  </si>
  <si>
    <t>WOS:000853687000002</t>
  </si>
  <si>
    <t>Purwanegara, MS; Windasari, NA; Perdhana, HF; Ashadi, MFR; Aprilianty, F</t>
  </si>
  <si>
    <t>Purwanegara, Mustika Sufiati; Windasari, Nila Armelia; Perdhana, Hasbian Fauzy; Ashadi, Muhammad Fakhrul Rozy; Aprilianty, Fitri</t>
  </si>
  <si>
    <t>Improving gastro-tourism experience through 3d virtual attractions: evidence from tourists' self-reported and neurophysiological responses</t>
  </si>
  <si>
    <t>Tourist experience; Emotions; Digital technology; Virtual experience; Electroencephalogram %28EEG%29; Gastro-tourism</t>
  </si>
  <si>
    <t>VENTROMEDIAL PREFRONTAL CORTEX; SATISFACTION; REALITY; AROUSAL; EXPECTATIONS; ACTIVATION; EMOTIONS; VALENCE; IMPACT; MEMORY</t>
  </si>
  <si>
    <t>Purpose - This study aims to explore how the utilization of 3D virtual experiences and social media improve overall gastro-tourism experiences throughout the tourist journeys. Design/methodology/approach - This study employs a mixed-methods approach. By combining self-reported surveys and EEG tracking, this study is able to rigorously unravel Gen Z's experience and emotions in enjoying tech-enabled gastro-tourism activities. Findings - Showcasing 3D virtual experiences and TikTok heightened customer expectations in the pre-visit stage. The 3D virtual attractions effectively enhanced tourists' excitement and positive emotions during on-site gastronomic experiences, and subsequently manifested into a long-term impact on future actual visit intention. Originality/value - This study contributes to the fields of information technology and tourism by examining how digital technologies affect Gen Z's behavior and enhance the gastro-tourism experience starting from information search, moving to on-site experiences and subsequently affect their post-purchase behavior.</t>
  </si>
  <si>
    <t>[Purwanegara, Mustika Sufiati; Windasari, Nila Armelia; Aprilianty, Fitri] Bandung Inst Technol, Sch Business &amp; Management, Bandung, Indonesia; [Perdhana, Hasbian Fauzy; Ashadi, Muhammad Fakhrul Rozy] Bandung Inst Technol, Neurobusiness Lab, Bandung, Indonesia</t>
  </si>
  <si>
    <t>Institute Technology of Bandung; Institute Technology of Bandung</t>
  </si>
  <si>
    <t>Windasari, NA (corresponding author), Bandung Inst Technol, Sch Business &amp; Management, Bandung, Indonesia.</t>
  </si>
  <si>
    <t>nila.armelia@sbm-itb.ac.id</t>
  </si>
  <si>
    <t>Windasari, Nila/Q-3268-2019</t>
  </si>
  <si>
    <t>School of Business and Management - Institut Teknologi Bandung PPMI Research Grant 2023</t>
  </si>
  <si>
    <t>This work was supported by the School of Business and Management - Institut Teknologi Bandung PPMI Research Grant 2023.</t>
  </si>
  <si>
    <t>2024 AUG 12</t>
  </si>
  <si>
    <t>10.1108/JHTT-01-2024-0022</t>
  </si>
  <si>
    <t>C0U9E</t>
  </si>
  <si>
    <t>WOS:001286611400001</t>
  </si>
  <si>
    <t>Li, JH; Wang, HX; Yang, L; Liu, DK</t>
  </si>
  <si>
    <t>Li, Jinhe; Wang, Hongxia; Yang, Ling; Liu, Dekai</t>
  </si>
  <si>
    <t>DST-based Video Watermarking Robust to Lossy Channel Compression</t>
  </si>
  <si>
    <t>video watermarking; robustness; discrete sine transform; lossy channel compression</t>
  </si>
  <si>
    <t>DECOMPOSITION</t>
  </si>
  <si>
    <t>It is increasingly common for people to share videos on social platforms such as TikTok, YouTube and bilibili. The shared videos, however, is usually affected by lossy channel compression, thus a robust video watermarking based on discrete sine transform (DST) is proposed. Firstly, We divide each video frame into blocks and perform DST in embedding region, then the high-frequency component of DST is selected for watermark embedding. For further strengthening the robustness of lossy channel compression, a signed odd-even interval quantization method is designed by improving the odd-even quantization method. As a consequence of uncomplicated feature of DST, the computational efficiency of this algorithm is efficient, making it ideal for application in real-time scenarios such as video live broadcast and video conference. Moreover, the watermark is extracted without the host video. Experimental results show that the proposed algorithm not only ensures excellent video quality, but also significantly improves the robustness of lossy channel compression, and the robustness to different video contents is stable.</t>
  </si>
  <si>
    <t>[Li, Jinhe; Wang, Hongxia; Yang, Ling] Sichuan Univ, Sch Cyber Sci &amp; Engn, Chengdu, Peoples R China; [Liu, Dekai] Whayer Informat Ind Co Ltd, Chengdu, Peoples R China</t>
  </si>
  <si>
    <t>Sichuan University</t>
  </si>
  <si>
    <t>Li, JH (corresponding author), Sichuan Univ, Sch Cyber Sci &amp; Engn, Chengdu, Peoples R China.</t>
  </si>
  <si>
    <t>jhon_ranble@stu.scu.edu.cn; hxwang@scu.edu.cn; yangling1@stu.scu.edu.cn; ldk@whayer.cn</t>
  </si>
  <si>
    <t>Wang, Hongxia/AAE-2135-2022</t>
  </si>
  <si>
    <t>National Natural Science Foundation of China (NSFC) [61972269]; Sichuan Science and Technology Program [2022YFG0320]</t>
  </si>
  <si>
    <t>National Natural Science Foundation of China (NSFC)(National Natural Science Foundation of China (NSFC)); Sichuan Science and Technology Program</t>
  </si>
  <si>
    <t>This work was supported in part by the National Natural Science Foundation of China (NSFC) under Grant 61972269, and Sichuan Science and Technology Program under Grant 2022YFG0320.</t>
  </si>
  <si>
    <t>10.1109/MMSP55362.2022.9948875</t>
  </si>
  <si>
    <t>WOS:000893205800031</t>
  </si>
  <si>
    <t>Vladimirova, K; Henninger, CE; Alosaimi, SI; Brydges, T; Choopani, H; Hanlon, M; Iran, S; McCormick, H; Zhou, S</t>
  </si>
  <si>
    <t>Vladimirova, K.; Henninger, C. E.; Alosaimi, S. I.; Brydges, T.; Choopani, H.; Hanlon, M.; Iran, S.; McCormick, H.; Zhou, S.</t>
  </si>
  <si>
    <t>Exploring the influence of social media on sustainable fashion consumption: A systematic literature review and future research agenda</t>
  </si>
  <si>
    <t>JOURNAL OF GLOBAL FASHION MARKETING</t>
  </si>
  <si>
    <t>Influence; influencer; social media; sustainable fashion consumption; fashion industry</t>
  </si>
  <si>
    <t>Growing in popularity, social media and related channels (e.g. Instagram, Twitter, and TikTok) are utilised as sources for sharing information with the power to influence consumers and drive social change. This has become critical for the fashion industry, as fashion/textile consumption has recently been recognized for its devastating social and environmental impacts. This structured, systematic literature review explores who and in which ways can influence consumers on social media to engage with more sustainable fashion consumption practices. Based on an analysis of 69 research studies, the analysis findings indicate that most studies examined how brands can influence consumers via social media marketing strategies. Fewer studies have also addressed sustainable fashion discourse on social media more broadly, including promoting sustainable fashion consumption practices that are not related to brands' marketing strategies and the role of social media as a tool for activism. Based on the review's findings, the article outlines areas for future research.</t>
  </si>
  <si>
    <t>[Vladimirova, K.] Univ Geneva, Dept Sociol, Geneva, Switzerland; [Henninger, C. E.; Alosaimi, S. I.] Univ Manchester, Dept Mat, Manchester, England; [Alosaimi, S. I.] Princess Nourah Bint Abdul Rahman Univ, Dept Fash &amp; Text Design, Riyadh, Saudi Arabia; [Brydges, T.] Univ Technol Sydney, Inst Sustainable Futures, Ultimo, Australia; [Choopani, H.] Freiburg Univ Educ, Freiburg, Germany; [Choopani, H.] Inst Everyday Culture, Sports &amp; Hlth Dept Fash &amp; Text, Stuttgart, Germany; [Hanlon, M.] Okanagan Coll, Dept Sociol, Vancouver, BC, Canada; [Iran, S.] Tech Univ Berlin, Dept Econ Educ &amp; Sustainable Consumpt, Berlin, Germany; [McCormick, H.] Manchester Metropolitan Univ, Manchester Fash Inst, Manchester, England; [Zhou, S.] Hong Kong Polytech Univ, Sch Fash &amp; Text, Hong Kong, Peoples R China</t>
  </si>
  <si>
    <t>University of Geneva; University of Manchester; Princess Nourah bint Abdulrahman University; University of Technology Sydney; University of Freiburg; Freiburg University of Education; Technical University of Berlin; Manchester Metropolitan University; Hong Kong Polytechnic University</t>
  </si>
  <si>
    <t>Henninger, CE (corresponding author), Univ Manchester, Dept Mat, Manchester, England.</t>
  </si>
  <si>
    <t>claudia.henninger@manchester.ac.uk</t>
  </si>
  <si>
    <t>Choopani, Hanieh/0000-0002-2385-9307; Hanlon, Mary/0000-0001-9741-6771; Alosaimi, Sarah/0000-0002-4287-9944; Clayton, Helen/0000-0001-7490-6014; Henninger, Claudia E/0000-0002-9978-5340; Brydges, Taylor/0000-0002-8139-005X</t>
  </si>
  <si>
    <t>2093-2685</t>
  </si>
  <si>
    <t>2325-4483</t>
  </si>
  <si>
    <t>J GLOB FASH MARK</t>
  </si>
  <si>
    <t>J. Glob. Fash. Mark.</t>
  </si>
  <si>
    <t>10.1080/20932685.2023.2237978</t>
  </si>
  <si>
    <t>LE3Z6</t>
  </si>
  <si>
    <t>WOS:001043574100001</t>
  </si>
  <si>
    <t>Dvir-Gvirsman, S; Sude, D; Raisman, G</t>
  </si>
  <si>
    <t>Dvir-Gvirsman, Shira; Sude, Daniel; Raisman, Guy</t>
  </si>
  <si>
    <t>Unpacking news engagement through the perceived affordances of social media: A cross-platform, cross-country approach</t>
  </si>
  <si>
    <t>Comparative study; news engagement; perceived affordances; social media</t>
  </si>
  <si>
    <t>FRAMEWORK; EXPOSURE; USERS</t>
  </si>
  <si>
    <t>In the extant ample research on news engagement on social media, a majority of studies thus far have centered mainly on users' motivations, gratifications, and characteristics and less on platforms in which they operate. Yet, it is well recognized that users' behavior is shaped by technological interfaces, and that users differentiate between platforms and switch to suit their specific needs. The current study, therefore, adopts a cross-platform (Facebook, Instagram, TikTok, YouTube, Twitter, and instant messaging apps) approach to explore how users' engagement with news varies, with a focus on users' perceptions of platforms' affordances as a main predictor. Based on an online survey in eight countries (the United States, United Kingdom, France, Israel, Sweden, Germany, Hong Kong, and Japan), the study identifies as key affordances, which determine both receiving and dissemination of news, users' perceptions regarding a platform's personalization, network association, anonymity, and content persistence. The findings also highlight the differences between countries and between platforms.</t>
  </si>
  <si>
    <t>[Dvir-Gvirsman, Shira; Sude, Daniel; Raisman, Guy] Tel Aviv Univ, Tel Aviv, Israel; [Dvir-Gvirsman, Shira] Tel Aviv Univ, IL-6997801 Tel Aviv, Israel</t>
  </si>
  <si>
    <t>Tel Aviv University; Tel Aviv University</t>
  </si>
  <si>
    <t>Dvir-Gvirsman, S (corresponding author), Tel Aviv Univ, IL-6997801 Tel Aviv, Israel.</t>
  </si>
  <si>
    <t>shiradvir@me.com</t>
  </si>
  <si>
    <t>Dvir-Gvirsman, Shira/AGU-7526-2022; Sude, Daniel/HDM-7837-2022</t>
  </si>
  <si>
    <t>Dvir-Gvirsman, Shira/0000-0002-3852-1878</t>
  </si>
  <si>
    <t>European Research Council [680009]; European Research Council (ERC) [680009] Funding Source: European Research Council (ERC)</t>
  </si>
  <si>
    <t>European Research Council(European Research Council (ERC)); European Research Council (ERC)(European Research Council (ERC))</t>
  </si>
  <si>
    <t>The author(s) disclosed receipt of the following financial support for the research, authorship, and/or publication of this article: The authors received funding support from European Research Council starting grant #680009.</t>
  </si>
  <si>
    <t>10.1177/14614448231154432</t>
  </si>
  <si>
    <t>WOS:000943578700001</t>
  </si>
  <si>
    <t>O'Connor, C; O'Grady, C; Murphy, M</t>
  </si>
  <si>
    <t>O'Connor, Cathal; O'Grady, Ciara; Murphy, Michelle</t>
  </si>
  <si>
    <t>Spotting fake news: a qualitative review of misinformation and conspiracy theories in acne vulgaris</t>
  </si>
  <si>
    <t>DEPRESSION; RISK</t>
  </si>
  <si>
    <t>Acne vulgaris is an extremely common disorder of the pilosebaceous unit, typically manifest as a highly visible facial and upper trunk dermatosis, with teenagers most frequently affected. This cohort is markedly susceptible to misinformation, given their impressionable age, distress about their appearance and high internet usage. This study aimed to assess the content of acne-related misinformation available online. A formal review of PubMed was performed in March 2022, using the terms 'acne' AND 'misinformation' OR 'disinformation' OR 'conspiracy theory', along with an informal Google search using combinations of these terms, and further targeted searches on TikTok, Twitter, Facebook and Instagram. Key themes of acne-related misinformation included diet and other 'causes' of acne, unconventional acne 'cures' and a distrust of conventional acne treatments. Websites promoting misinformation were frequently affiliated with companies selling products that promised to cure acne, often in a remarkably short time. Dermatologists should be aware of the nature of acne-related misinformation available online and be prepared to counter it with scientific principles and facts.</t>
  </si>
  <si>
    <t>[O'Connor, Cathal; O'Grady, Ciara; Murphy, Michelle] South Infirm Victoria Univ Hosp, Dept Dermatol, Old Blackrock Rd, Cork T12 X23H, Ireland; [O'Connor, Cathal; Murphy, Michelle] Univ Coll Cork, Dept Med, Cork, Ireland</t>
  </si>
  <si>
    <t>University College Cork</t>
  </si>
  <si>
    <t>O'Connor, C (corresponding author), South Infirm Victoria Univ Hosp, Dept Dermatol, Old Blackrock Rd, Cork T12 X23H, Ireland.</t>
  </si>
  <si>
    <t>cathal.oconnor@ucc.ie</t>
  </si>
  <si>
    <t>Murphy, Michelle/0000-0003-2431-076X; O'Connor, Cathal/0000-0001-7084-5293</t>
  </si>
  <si>
    <t>IReL</t>
  </si>
  <si>
    <t>Open access funding provided by IReL.</t>
  </si>
  <si>
    <t>10.1111/ced.15222</t>
  </si>
  <si>
    <t>3V7TA</t>
  </si>
  <si>
    <t>WOS:000800746900001</t>
  </si>
  <si>
    <t>Nagel, OV; Temnikova, IG; Bub, AS</t>
  </si>
  <si>
    <t>Nagel, O., V; Temnikova, I. G.; Bub, A. S.</t>
  </si>
  <si>
    <t>Students' self-reporting as a means of determining the essential components of educating English environment</t>
  </si>
  <si>
    <t>YAZYK I KULTURA-LANGUAGE AND CULTURE</t>
  </si>
  <si>
    <t>foreign language environment; functional bilingualism; sociolinguistic profiling; language profile</t>
  </si>
  <si>
    <t>The article discusses the nature and significance of an artificial foreign language environment in the process of learning a foreign language through the prism of reflection of students of specialized linguistic education. A foreign language environment is considered a source of excessive language input, which determines the result of administered foreign language teaching during a rigid number of classroom hours planned in the curricula of linguistic programmes. Data collection protocol, developed by the authors, includes the methodological principles of sociolinguistic questioning and reflects the current trends of complementary variation of online and offline sources of authentic foreign language material. This protocol has been developed with the aim to collect the data on the results of students' reflection on the quantitative and qualitative characteristics of the foreign language environment. The environment is believed to contribute to the development of all types of foreign language speech activity (speaking, reading, listening and writing). The results of the sociolinguistic survey revealed the multilingual context of the social life of modern students, who note up to 4 significant foreign languages in their environment with the natural dominance of Russian as a mother tongue. In the process of developing diagnostic tools for parameterizing the foreign language environment of a student of a linguistic profile, defined as functional bilingual, the authors actively involved the participants in the experimental study. They were asked to compile a list of resources that contribute to the formation of the external and internal contours of the foreign language environment in the Russian-language continuum. As a result of surveys preceding the study, an online language diary was created. Its objective is to collect data on on the time of student engagement in 4 types of speech activity both in a traditional format and using resources such as social networks (TikTok, Clubhouse, Instagram etc.), podcasts, online video conversations Skype, Zoom, FaceTime, reading blogs (for example Yandex Zen), and computer games. The results of the analysis of students' activities according to the data collected from language diaries (each student filled in one diary per week during 11 weeks) revealed the overall quantitative predominance of extracurricular activities within the artificial foreign language environment. The reading was the predominant activity in the framework of extracurricular activities in comparison with the clear predominance of speaking within the scope of classroom activities. Music (listening to music/singing in English) occupies one of the leading positions, leaving behind the recently popular social networks (TikTok, Clubhouse, Instagram and others).</t>
  </si>
  <si>
    <t>[Nagel, O., V] Natl Res Tomsk State Univ, Fac Foreign Languages, Tomsk, Russia; [Temnikova, I. G.] Natl Res Tomsk State Univ, Tomsk, Russia; [Bub, A. S.] Natl Res Tomsk State Univ, Dept Romance Languages, Tomsk, Russia</t>
  </si>
  <si>
    <t>Tomsk State University; Tomsk State University; Tomsk State University</t>
  </si>
  <si>
    <t>Nagel, OV (corresponding author), Natl Res Tomsk State Univ, Fac Foreign Languages, Tomsk, Russia.</t>
  </si>
  <si>
    <t>olga.nagel2012@yandex.ru; temnikova196@mail.ru; aleksandrabub@yandex.ru</t>
  </si>
  <si>
    <t>Bub, Alexandra/N-7494-2016; Temnikova, Irina/N-9029-2014; Nagel, Olga/N-9028-2014</t>
  </si>
  <si>
    <t>1999-6195</t>
  </si>
  <si>
    <t>2311-3235</t>
  </si>
  <si>
    <t>YAZYK JULT</t>
  </si>
  <si>
    <t>Yazyk Kult.</t>
  </si>
  <si>
    <t>10.17223/19996195/56/12</t>
  </si>
  <si>
    <t>YR7PP</t>
  </si>
  <si>
    <t>WOS:000750185100012</t>
  </si>
  <si>
    <t>Ning, HL; Lu, Y; Yang, WC; Li, Z</t>
  </si>
  <si>
    <t>Ning, Hailin; Lu, Yao; Yang, Wancheng; Li, Zhi</t>
  </si>
  <si>
    <t>Impact of computational intelligence short videos on audience psychological behavior</t>
  </si>
  <si>
    <t>Communist Youth League; Computational intelligence short videos; Psychological Behavior; TikTok; Communication effect; Word frequency analysis; Sentiment analysis; Communication power</t>
  </si>
  <si>
    <t>Based on the purpose of improving the communication power of the computational intelligence short videos of China Communist Youth League, this paper takes six typical computational intelligence short video IDs and their popular computational intelligence short videos of the Communist Youth League at the provincial level as the research object investigates the characteristics along with the influencing factors of communication power from four aspects: expression form, content presentation, title text, and local characteristics through content analysis of Communist Youth League computational intelligence short videos. China communist youth league is the organization of young people between the ages of 14-28 which is run by chinese communist party with the purpose of training upcoming party members as well as officials. These six specific IDs of Communist youth league are selected as these accounts have consistently excellent performance in the ranking of government affairs TikTok accounts, and they have certain typicality and research significance. The novelty of this paper is an empirical analysis of Computational Intelligence short video communication. The methodologies that are included in this research are Release frequency that describes video update frequency, word frequency analysis that describes the keywords to follow in the short videos and statistical analysis of coding strategies. These Analysis were carried out through content and case study which was done using python 3.0's pandas, snownlp and other functional packages. The criterias which are used to evaluate the videos are views, likes, content, video format, form of expression, title form, local specialities show the engagement of the viewers in content as well as it helps in reaching the audience. Through the research, it is found that the computational intelligence short videos' communication power of the provincial Communist Youth League is related to video duration, expression form, video content, title text, local characteristics, and audience psychological behavior, but has no obvious positive correlation with title form. The advantage of computational intelligence short videos of the provincial Communist Youth League is that the party media has clear positioning, rich content, and innovative forms, but at the same time, there are some problems, such as unclear youth features, lack of local characteristics and audience interaction. This paper refines the characteristics of excellent computational intelligence in short videos of the Communist Youth League and puts forward countermeasures and suggestions for the shortcomings.</t>
  </si>
  <si>
    <t>[Ning, Hailin] Ningbo Univ, Inst Modern Commun Res, Ningbo 315000, Peoples R China; [Lu, Yao] Org Dept Fenghua Dist Comm Ningbo City, Ningbo 315000, Peoples R China; [Yang, Wancheng] Zhejiang Wanli Univ, Sch Logist &amp; Ecommerce, Ningbo 315000, Peoples R China; [Li, Zhi] NingboTech Univ, Sch Media &amp; Law, Ningbo 315000, Peoples R China</t>
  </si>
  <si>
    <t>Ningbo University; Zhejiang Wanli University; NingboTech University</t>
  </si>
  <si>
    <t>Yang, WC (corresponding author), Zhejiang Wanli Univ, Sch Logist &amp; Ecommerce, Ningbo 315000, Peoples R China.;Li, Z (corresponding author), NingboTech Univ, Sch Media &amp; Law, Ningbo 315000, Peoples R China.</t>
  </si>
  <si>
    <t>yangwancheng@zwu.edu.cn; lizhi@nbt.edu.cn</t>
  </si>
  <si>
    <t>yang, wancheng/IYT-1658-2023</t>
  </si>
  <si>
    <t>We thank the anonymous reviewers whose comments and suggestions helped improve this manuscript.</t>
  </si>
  <si>
    <t>10.1007/s10639-023-12217-2</t>
  </si>
  <si>
    <t>PP8M2</t>
  </si>
  <si>
    <t>WOS:001100991700002</t>
  </si>
  <si>
    <t>Keton, AL; Barasa, DW</t>
  </si>
  <si>
    <t>Keton, Anne Lanoi; Barasa, Denis Waswa</t>
  </si>
  <si>
    <t>Towards a New Poetics of Comedic Performance in Kenya Following COVID-19</t>
  </si>
  <si>
    <t>EASTERN AFRICAN LITERARY AND CULTURAL STUDIES</t>
  </si>
  <si>
    <t>alternative; comic; COVID-19; spaces; stand-up comedy; performance theory; poetics of comedic performance; traditional theatre</t>
  </si>
  <si>
    <t>Stand-up comedy in Kenya before COVID-19 relied on close proximity between comedians and their audiences. However, COVID-19 disrupted this arrangement and subverted the performance space of 'traditional theatre.' This article examines alternative comic spaces embraced by selected Kenyan stand-up comedians during COVID-19. The article seeks to answer two fundamental questions: (1) What was the nature of the alternative spaces where the stand-up comedians performed during COVID-19? (2) How did the alternative sites of comic performances redefine how stand-up comedians engage with their audiences? To answer these questions, we conducted research on major stand-up comedians on Facebook, Instagram, TikTok, YouTube and Twitter to obtain primary data, which we analysed and interpreted drawing on theories of humour and of social performance. We argue that the comedians, motivated by the need to maintain the relevance of their work and their audiences, used the digital ecosystem and devised variant alternative comic spaces innovatively to push the threshold of poetics of comedic performances individually and collectively.</t>
  </si>
  <si>
    <t>[Keton, Anne Lanoi] Maasai Mara Univ, Narok, Kenya; [Barasa, Denis Waswa] Masinde Muliro Univ Sci &amp; Technol, Kakamega, Kenya</t>
  </si>
  <si>
    <t>Keton, AL (corresponding author), Maasai Mara Univ, Narok, Kenya.</t>
  </si>
  <si>
    <t>alketon2008@yahoo.com</t>
  </si>
  <si>
    <t>2327-7408</t>
  </si>
  <si>
    <t>2327-7416</t>
  </si>
  <si>
    <t>E AFR LIT CULT STUD</t>
  </si>
  <si>
    <t>East. Afr. Lit. Cult. Stud.</t>
  </si>
  <si>
    <t>10.1080/23277408.2024.2308467</t>
  </si>
  <si>
    <t>Humanities, Multidisciplinary; Literature, African, Australian, Canadian</t>
  </si>
  <si>
    <t>MU8Q4</t>
  </si>
  <si>
    <t>WOS:001173604000001</t>
  </si>
  <si>
    <t>Nagy, P; Cserháti, H; Rosdy, B; Bodó, T; Hegyi, M; Szamosújvári, J; Fogarasi, DJ; Fogarasi, A</t>
  </si>
  <si>
    <t>Nagy, Peter; Cserhati, Helga; Rosdy, Beata; Bodo, Timea; Hegyi, Marta; Szamosujvari, Judit; Fogarasi, Dominic Joseph; Fogarasi, Andras</t>
  </si>
  <si>
    <t>TIKTOK AND TICS: THE POSSIBLE ROLE OF SOCIAL MEDIA IN THE EXACERBATION OF TICS DURING THE COVID LOCKDOWN</t>
  </si>
  <si>
    <t>IDEGGYOGYASZATI SZEMLE-CLINICAL NEUROSCIENCE</t>
  </si>
  <si>
    <t>tic; Tourette; social media; functional neurological symptom disorder; conversion disorder</t>
  </si>
  <si>
    <t>TOURETTE-SYNDROME; PREVALENCE; DISORDERS; CHILDREN</t>
  </si>
  <si>
    <t>Background and purpose - Over the past year, many cases with newly onset or significantly exacerbated tic disorders were observed worldwide, where some aspects of the clinical presentation or the symptomatology were atypical for established tic diagnoses. Our purpose was to describe the atypical cases and raise relevant diagnostic issues. Methods - Consecutive cases with atypical tic presentations were documented. Results - Five atypical tic cases are described. These cases shared some common characteristics, most notably the fact that all of them had been exposed to online presentation of ticking behaviour on social media platforms prior to the de novo development or exacerbation of their tics. Discussion - Even though the order of events suggests causality and therefore the diagnosis of a functional tic disorder, unambiguous criteria for classifying atypical tics as functional symptoms are lacking. Differentiating neurodevelopmental and functional tics in childhood is currently problematic. Conclusion - Based on the currently unresolved issues in differential diagnosis, the importance of watchful waiting and behavioural interventions is highlighted to avoid unwarranted pharmacotherapy.</t>
  </si>
  <si>
    <t>[Nagy, Peter; Bodo, Timea; Hegyi, Marta; Fogarasi, Dominic Joseph; Fogarasi, Andras] Bethesda Childrens Hosp, Budapest, Hungary; [Cserhati, Helga; Rosdy, Beata; Szamosujvari, Judit] Heim Pal Childrens Hosp, Budapest, Hungary</t>
  </si>
  <si>
    <t>Nagy, P (corresponding author), Bethesda Childrens Hosp, Bethesda U 3, H-1146 Budapest, Hungary.</t>
  </si>
  <si>
    <t>nagy.peter@bethesda.hu</t>
  </si>
  <si>
    <t>Nagy, Peter/0000-0002-0256-3304</t>
  </si>
  <si>
    <t>LITERATURA MEDICA</t>
  </si>
  <si>
    <t>MARGIT KRT 31-33, BUDAPEST, 1024, HUNGARY</t>
  </si>
  <si>
    <t>0019-1442</t>
  </si>
  <si>
    <t>2498-6208</t>
  </si>
  <si>
    <t>IDEGGYOGY SZEMLE</t>
  </si>
  <si>
    <t>Ideggyogy. Szle.</t>
  </si>
  <si>
    <t>5-6</t>
  </si>
  <si>
    <t>10.18071/isz.75.0211</t>
  </si>
  <si>
    <t>T8II0</t>
  </si>
  <si>
    <t>WOS:001080358400008</t>
  </si>
  <si>
    <t>Koenig, A</t>
  </si>
  <si>
    <t>Koenig, Alexa</t>
  </si>
  <si>
    <t>From 'Capture to Courtroom' Collaboration and the Digital Documentation of International Crimes in Ukraine</t>
  </si>
  <si>
    <t>JOURNAL OF INTERNATIONAL CRIMINAL JUSTICE</t>
  </si>
  <si>
    <t>The past decade has witnessed a profound shift in the documentation of war crimes and other serious international crimes. Whereas evidence collection has traditionally been conducted by legally mandated investigators, and focused on interviewing witnesses as well as gathering and preserving physical and documentary evidence, conventional forms of fact-gathering are now being supplemented by abundant digital documentation gathered by a dispersed network of individuals and organizations that represent a broad array of disciplines. This shift has been facilitated by two important developments: first, a transition in modes of information sharing from analogue to digital sources, including from older generation technologies like the telephone and fax to online platforms like TikTok and Telegram. Secondly, an increased understanding that digital documentation requires both a collaborative and multidisciplinary approach to data collection, storage, processing, analysis and presentation. In this comment, I outline the many investigative stages in which cross-organizational and multi-disciplinary collaboration are taking place, both informally and formally; briefly discuss some of the weaknesses and strengths of such collaborations; and explore what these changes mean for international criminal justice more generally.</t>
  </si>
  <si>
    <t>[Koenig, Alexa] Human Rights Ctr &amp; Lecturer, Berkeley, CA 94720 USA; [Koenig, Alexa] Univ Calif Berkeley, Sch Law, Berkeley, CA 94704 USA</t>
  </si>
  <si>
    <t>University of California System; University of California Berkeley</t>
  </si>
  <si>
    <t>Koenig, A (corresponding author), Human Rights Ctr &amp; Lecturer, Berkeley, CA 94720 USA.;Koenig, A (corresponding author), Univ Calif Berkeley, Sch Law, Berkeley, CA 94704 USA.</t>
  </si>
  <si>
    <t>kalexakm@berkeley.edu</t>
  </si>
  <si>
    <t>ESRC [ES/R00899X/1] Funding Source: UKRI</t>
  </si>
  <si>
    <t>ESRC(UK Research &amp; Innovation (UKRI)Economic &amp; Social Research Council (ESRC))</t>
  </si>
  <si>
    <t>1478-1387</t>
  </si>
  <si>
    <t>1478-1395</t>
  </si>
  <si>
    <t>J INT CRIM JUSTICE</t>
  </si>
  <si>
    <t>J. Int. Crim. Justice</t>
  </si>
  <si>
    <t>DEC 28</t>
  </si>
  <si>
    <t>10.1093/jicj/mqac046</t>
  </si>
  <si>
    <t>7K3BY</t>
  </si>
  <si>
    <t>WOS:000879840600001</t>
  </si>
  <si>
    <t>McDonnell, EJ</t>
  </si>
  <si>
    <t>McDonnell, Emma J.</t>
  </si>
  <si>
    <t>Understanding Social and Environmental Factors to Enable Collective Access Approaches to the Design of Captioning Technology</t>
  </si>
  <si>
    <t>PROCEEDINGS OF THE 24TH INTERNATIONAL ACM SIGACCESS CONFERENCE ON COMPUTERS AND ACCESSIBILITY, ASSETS 2022</t>
  </si>
  <si>
    <t>24th International ACM SIGACCESS Conference on Computers and Accessibility (ASSETS)</t>
  </si>
  <si>
    <t>OCT 23-26, 2022</t>
  </si>
  <si>
    <t>Assoc Comp Machinery,ACM SIGACCESS,Fable,Google,Adobe,Amazon,Apple,Meta,Microsoft,Univ Washington, Ctr Res &amp; Educ Accessible Technol &amp; Experiences,Natl Inst Disabil, Independent Living &amp; Rehabilitat Res,Twitter,Volkswagen,NSF</t>
  </si>
  <si>
    <t>Accessibility; Captioning; d/Deaf and Hard of Hearing; Disability Studies; Collective Access</t>
  </si>
  <si>
    <t>Oftentimes human computer interactions (HCI) accessibility research designs technology to support Deaf and disabled people in their existing social contexts. I, instead, propose an approach to accessible technology design that follows the disability justice principle of collective access, envisioning hearing and nondisabled people as key participants in making interactions accessible. Using captioning as a case study, I explore ways that technology could support accessible social norms, achieved by first paying close attention to the social, environmental, and technical factors that shape access for d/Deaf and hard of hearing (DHH) captioning users. My dissertation work will consist of four studies; 1) an exploration of the factors that shape DHH people's current experiences with and future preferences for captioning tools, 2) codesigning features to support accessible group communication with mixed groups of DHH and hearing people, 3) understanding TikTok captioning practices and their impact on DHH users, and 4) exploring the factors that influence professional captioners' work.</t>
  </si>
  <si>
    <t>[McDonnell, Emma J.] Univ Washington, Seattle, WA 98195 USA</t>
  </si>
  <si>
    <t>McDonnell, EJ (corresponding author), Univ Washington, Seattle, WA 98195 USA.</t>
  </si>
  <si>
    <t>ejm249@uw.edu</t>
  </si>
  <si>
    <t>National Science Foundation [IIS-1763199]; National Science Foundation Graduate Research Fellowship [DGE-2140004]; University of Washington's CREATE center</t>
  </si>
  <si>
    <t>National Science Foundation(National Science Foundation (NSF)); National Science Foundation Graduate Research Fellowship(National Science Foundation (NSF)); University of Washington's CREATE center</t>
  </si>
  <si>
    <t>This work was made possible by my incredible collaborators and advisers, particularly Leah Findlater, and funded by the National Science Foundation under Grant No. IIS-1763199, by the National Science Foundation Graduate Research Fellowship under Grant No. DGE-2140004, and by the University of Washington's CREATE center.</t>
  </si>
  <si>
    <t>978-1-4503-9258-7</t>
  </si>
  <si>
    <t>10.1145/3517428.3550417</t>
  </si>
  <si>
    <t>BW4AZ</t>
  </si>
  <si>
    <t>WOS:001146369800100</t>
  </si>
  <si>
    <t>Luders, M</t>
  </si>
  <si>
    <t>Luders, Marika</t>
  </si>
  <si>
    <t>Experience machines for well-being? Understanding how social media entertainment matters for teens</t>
  </si>
  <si>
    <t>capabilities; experience; media psychology; platforms; social media entertainment; well-being; youth</t>
  </si>
  <si>
    <t>SELF-DETERMINATION; GAMES</t>
  </si>
  <si>
    <t>This article explores how social media entertainment matters for teens and does so by connecting experiences to conditions crucial for well-being. I ask if and how teens experience the content they seek and encounter on TikTok, YouTube and Instagram as worthwhile and meaningful. To answer this question, I analyse qualitative interviews with Norwegian teens. The analysis portrays how teens experience social media entertainment as meaningful in how content connects to self-formation processes, to the need for belonging, and to the agency they perceive to have in user-platforms relations. Theoretically, the study draws on two overlapping but currently unconnected fields of research: media psychology-informed entertainment studies and a capabilities approach. My theoretical aim is to elucidate how these fields complement and contrast each other in relating media experience to well-being. I argue that media psychology offers an operationalization of the same well-being conditions that are central in a capabilities approach, while the latter opens a space for a critique of the platform economy.</t>
  </si>
  <si>
    <t>[Luders, Marika] Univ Oslo, Oslo, Norway</t>
  </si>
  <si>
    <t>Luders, M (corresponding author), Univ Oslo, Dept Media &amp; Commun, Box 1093 Blindern, N-0317 Oslo, Norway.</t>
  </si>
  <si>
    <t>marika.luders@media.uio.no</t>
  </si>
  <si>
    <t>Lüders, Marika/J-4997-2019</t>
  </si>
  <si>
    <t>Luders, Marika/0000-0002-5168-9712</t>
  </si>
  <si>
    <t>University of Oslo; Research Council of Norway [315917]</t>
  </si>
  <si>
    <t>University of Oslo; Research Council of Norway(Research Council of Norway)</t>
  </si>
  <si>
    <t>The author disclosed receipt of the following financial support for the research, authorship, and/or publication of this article: This article is produced in association with the research project hosted by the University of Oslo, 'GLOBAL NATIVES? Serving young audiences on new media plat-forms', funded by the Research Council of Norway under Grant Number 315917.</t>
  </si>
  <si>
    <t>10.1177/01634437241276122</t>
  </si>
  <si>
    <t>E8K6R</t>
  </si>
  <si>
    <t>WOS:001305438600001</t>
  </si>
  <si>
    <t>Liu, XY; Ren, PR; Lv, XY; Li, SB</t>
  </si>
  <si>
    <t>Liu, Xiaoyan; Ren, Piaoran; Lv, Xingyang; Li, Shaobo</t>
  </si>
  <si>
    <t>Service Experience and Customers' eWOM Behavior on Social Media Platforms: The Role of Platform Symmetry</t>
  </si>
  <si>
    <t>INTERNATIONAL JOURNAL OF HOSPITALITY MANAGEMENT</t>
  </si>
  <si>
    <t>Social platforms; EWOM; Service experience; Self-enhancement motivation; Emotion regulation motivation; Service type</t>
  </si>
  <si>
    <t>WORD-OF-MOUTH; CONSUMER; MOTIVATIONS; EMOTION; QUALITY; COMMUNICATION; PERFORMANCE; INTENTIONS; FRAMEWORK; MOTIVES</t>
  </si>
  <si>
    <t>Empirical evidence has demonstrated that customers often share diverse, and sometimes even conflicting, eWOM information on various social platforms, bringing new challenges to eWOM management. Based on the platform symmetry theory, this work explores how customers' positive or negative service experience alters their choice of social platforms for eWOM communications. Using five studies, across restaurant and hotel services, we find that customers tend to share positive eWOM on symmetrical social platforms (e.g., WeChat) but negative eWOM on asymmetrical social platforms (e.g., TikTok, Weibo). Self-enhancement and emotion regulation motivations mediate the impact of service experiences on customers' social platform preferences. Such an effect, however, is attenuated when the service is hedonic (vs. utilitarian) by nature. This work expands the existing literature on eWOM sharing and social platforms within the hospitality industry and offers valuable insights for service providers regarding effective eWOM management in the social media era.</t>
  </si>
  <si>
    <t>[Liu, Xiaoyan; Ren, Piaoran] Southwestern Univ Finance &amp; Econ, Res Inst Econ &amp; Management, 555 Liutai Ave, Chengdu 611130, Sichuan Provinc, Peoples R China; [Lv, Xingyang] Southwestern Univ Finance &amp; Econ, Fac Business Adm, Sch Business Adm, 555 Liutai Ave, Chengdu 611130, Sichuan Provinc, Peoples R China; [Li, Shaobo] Huazhong Univ Sci &amp; Technol, Sch Management, Div Mkt, Luoyu Rd, Wuhan, Hubei Province, Peoples R China; [Li, Shaobo] Southern Univ Sci &amp; Technol, Sch Business, Div Informat Syst &amp; Management Engn, 1088 Xueyuan Ave, Shenzhen 518055, Guangdong Provi, Peoples R China</t>
  </si>
  <si>
    <t>Southwestern University of Finance &amp; Economics - China; Southwestern University of Finance &amp; Economics - China; Huazhong University of Science &amp; Technology; Southern University of Science &amp; Technology</t>
  </si>
  <si>
    <t>Liu, XY (corresponding author), Southwestern Univ Finance &amp; Econ, Res Inst Econ &amp; Management, 555 Liutai Ave, Chengdu 611130, Sichuan Provinc, Peoples R China.;Li, SB (corresponding author), Huazhong Univ Sci &amp; Technol, Sch Management, Div Mkt, Luoyu Rd, Wuhan, Hubei Province, Peoples R China.</t>
  </si>
  <si>
    <t>lxy@swufe.edu.cn; piaoranren@smail.swufe.edu.cn; lvxingyang@swufe.edu.cn; 0505flyer@gmail.com</t>
  </si>
  <si>
    <t>Foundation of China [72102099, 72302191]; Guanghua Talent Project awarded by Southwestern University of Finance and Economics</t>
  </si>
  <si>
    <t>Foundation of China; Guanghua Talent Project awarded by Southwestern University of Finance and Economics</t>
  </si>
  <si>
    <t>This research was supported by the National Natural Science Foundation of China (72102099; 72302191) awarded to the fourth and first authors and the Guanghua Talent Project awarded by Southwestern University of Finance and Economics to the first author.r Foundation of China (72102099; 72302191) awarded to the fourth and first authors and the Guanghua Talent Project awarded by Southwestern University of Finance and Economics to the first author.</t>
  </si>
  <si>
    <t>0278-4319</t>
  </si>
  <si>
    <t>1873-4693</t>
  </si>
  <si>
    <t>INT J HOSP MANAG</t>
  </si>
  <si>
    <t>Int. J. Hosp. Manag.</t>
  </si>
  <si>
    <t>10.1016/j.ijhm.2024.103735</t>
  </si>
  <si>
    <t>QL3W4</t>
  </si>
  <si>
    <t>WOS:001220999800001</t>
  </si>
  <si>
    <t>Wang, JP; Qu, JG; Leo-Liu, J</t>
  </si>
  <si>
    <t>Wang, Jinping; Qu, Jiayu Gina; Leo-Liu, Jindong</t>
  </si>
  <si>
    <t>An Algorithmically Woven Community: Disclosing Mental Illness and Connecting with Similar Others on an Algorithm-Mediated Platform in China</t>
  </si>
  <si>
    <t>algorithm; self-disclosure; mental health; online communities; content recommendation</t>
  </si>
  <si>
    <t>SOCIAL SUPPORT; SELF-DISCLOSURE; HEALTH; FACEBOOK; TWITTER; STIGMA; MODEL</t>
  </si>
  <si>
    <t>Nowadays, algorithms are extensively used on social platforms for content recommendations and user connections. In this study, through semi-structured interviews with 22 China-based users of RED (i.e., an algorithm-mediated platform similar to TikTok), we investigate how users who have experienced mental illnesses (depression, anxiety, and bipolar disorder) understand RED algorithms and how these algorithms shape their self-disclosure, imagined audience, and community building. Specifically, both the norms of self-disclosure and content recipients are governed by algorithms, while users with limited agency form various folk theories to navigate the process. Moreover, based on accurate content recommendations, the algorithms of RED enable users who have experienced mental illnesses to connect with similar others across the platform. By proposing the concept of an algorithmically woven community, we conceptualize and visualize a novel mechanism of how an algorithm works akin to a responsive authority to weave a loosely knit, decentralized, and boundless network.</t>
  </si>
  <si>
    <t>[Wang, Jinping] Univ Florida, Coll Journalism &amp; Commun, 2080 Weimer Hall,1885 Stadium Rd, Gainesville, FL 32611 USA; [Qu, Jiayu Gina; Leo-Liu, Jindong] Chinese Univ Hong Kong, Sch Journalism &amp; Commun, Hong Kong, Peoples R China</t>
  </si>
  <si>
    <t>State University System of Florida; University of Florida; Chinese University of Hong Kong</t>
  </si>
  <si>
    <t>Wang, JP (corresponding author), Univ Florida, Coll Journalism &amp; Commun, 2080 Weimer Hall,1885 Stadium Rd, Gainesville, FL 32611 USA.</t>
  </si>
  <si>
    <t>jinping.wang@ufl.edu</t>
  </si>
  <si>
    <t>Wang, Jinping/HMO-5393-2023; Qu, Jiayu/JBJ-5538-2023; Liu, Jindong/AFG-6210-2022</t>
  </si>
  <si>
    <t>Liu, Jindong/0000-0002-5456-0148; Wang, Jinping/0000-0001-8164-8025</t>
  </si>
  <si>
    <t>10.1177/20563051231205596</t>
  </si>
  <si>
    <t>U4EX8</t>
  </si>
  <si>
    <t>WOS:001084356500001</t>
  </si>
  <si>
    <t>Guo, KH; Guan, MF</t>
  </si>
  <si>
    <t>Ortega-Sanchez, M</t>
  </si>
  <si>
    <t>Guo, Kaihua; Guan, Mingfu</t>
  </si>
  <si>
    <t>Social media inundation data: urban flood impacts and response assessment of 2020 Chengdu rainstorm</t>
  </si>
  <si>
    <t>PROCEEDINGS OF THE 39TH IAHR WORLD CONGRESS</t>
  </si>
  <si>
    <t>39th IAHR World Congress on From Snow to Sea</t>
  </si>
  <si>
    <t>JUN 19-24, 2022</t>
  </si>
  <si>
    <t>Ctr Studies &amp; Experimentat Publ Works, Spain Water, Granada, SPAIN</t>
  </si>
  <si>
    <t>Univ Granada,Minist Ecol Transit &amp; Demog Challenge, Gen Directorate Coast &amp; Sea,Minist Ecol Transit &amp; Demog Challenge, Gen Directorate Water,China Inst Water Resources &amp; Hydropower Res,Int Assoc Hydro Environm Engn &amp; Res</t>
  </si>
  <si>
    <t>Ctr Studies &amp; Experimentat Publ Works, Spain Water</t>
  </si>
  <si>
    <t>Social media; Disaster assessment; Spatio-temporal analysis; Rainstorm and flood</t>
  </si>
  <si>
    <t>CHINA</t>
  </si>
  <si>
    <t>During and shortly after a flooding, traditional flood data sources such as remote sensing data are scarce and not readily available. As the amount of volunteered geographic information created by social media grows, it is a valuable and rapidly available information source to inform flood response and recovery. Based on the popular platform, Weibo (static data) and Tiktok (dynamic data), this paper examines the spatio-temporal patterns of public responses towards urban flooding in Chengdu city during August 17-25, 2020. Temporal evolution of social media activities is investigated to track the flood process and further compared with observed precipitation data. Moreover, major flood impacts were assessed through frequency analysis of impact-related keywords. Finally, spatial information is extracted and the typical hotspots are selected for detailed analysis. This study can demonstrate the value of social media data for flood assessment and rapid damage estimation information from social media data could help decision makers in resource allocation and management under emergencies.</t>
  </si>
  <si>
    <t>[Guo, Kaihua; Guan, Mingfu] Univ Hong Kong, Dept Civil Engn, Hong Kong, Peoples R China</t>
  </si>
  <si>
    <t>University of Hong Kong</t>
  </si>
  <si>
    <t>Guan, MF (corresponding author), Univ Hong Kong, Dept Civil Engn, Hong Kong, Peoples R China.</t>
  </si>
  <si>
    <t>mfguan@hku.hk</t>
  </si>
  <si>
    <t>Kaihua, Guo/ABF-9839-2021; Guan, Mingfu/N-8118-2015</t>
  </si>
  <si>
    <t>Early Career Scheme from the Hong Kong Research Grants Council [27202419]</t>
  </si>
  <si>
    <t>Early Career Scheme from the Hong Kong Research Grants Council</t>
  </si>
  <si>
    <t>The study is financially supported by Early Career Scheme from the Hong Kong Research Grants Council (grant number: 27202419).</t>
  </si>
  <si>
    <t>IAHR-INT ASSOC HYDRO-ENVIRONMENT ENGINEERING RESEARCH</t>
  </si>
  <si>
    <t>PASEO BAJO VIRGEN DEL PUERTO 3, MADRID, 28005, SPAIN</t>
  </si>
  <si>
    <t>978-90-832612-1-8</t>
  </si>
  <si>
    <t>10.3850/IAHR-39WC2521716X2022238</t>
  </si>
  <si>
    <t>Green &amp; Sustainable Science &amp; Technology; Engineering, Environmental; Water Resources</t>
  </si>
  <si>
    <t>Science &amp; Technology - Other Topics; Engineering; Water Resources</t>
  </si>
  <si>
    <t>BV7PR</t>
  </si>
  <si>
    <t>WOS:001070410602025</t>
  </si>
  <si>
    <t>Bai, WX; Lee, TJ; Wu, F; Wong, JWC</t>
  </si>
  <si>
    <t>Bai, Wenxi (Bella); Lee, Timothy J.; Wu, Fan; Wong, Jose Weng Chou</t>
  </si>
  <si>
    <t>How effective are user-generated travel short videos in promoting a destination online?</t>
  </si>
  <si>
    <t>User-generated travel short videos (UGTSV); TikTok; effects; social media; stimulus organism response theory</t>
  </si>
  <si>
    <t>WORD-OF-MOUTH; TOURISM; INVOLVEMENT; IMPACT; ANTECEDENTS; EXPERIENCES; ATTITUDE; QUALITY; MEDIA; IMAGE</t>
  </si>
  <si>
    <t>The purpose of this study is to investigate the influence of the effects of user-generated travel short videos (UGTSV; visual effect, musical effect, culture and activity effect, pop effect) on familiarity and involvement with destinations, in relation to any further intention to visit a destination. Drawing on stimulus organism response theory, this research used an online survey design to evaluate tourists' perception of three targeted travel short videos. The data from 646 respondents were analyzed using exploratory factor analysis and regression analysis. The results demonstrate that, except for the musical effect, all other short video effects significantly affect the level of familiarity, as well as behavioral involvement with a UGTSV destination. In addition, both tourist familiarity and behavioral involvement significantly affect their visit intentions. These findings enrich our understanding of UGTSV-induced tourism and help destination managers to develop marketing strategies utilizing short videos to attract potential tourists.</t>
  </si>
  <si>
    <t>[Bai, Wenxi (Bella); Lee, Timothy J.; Wu, Fan; Wong, Jose Weng Chou] Macau Univ Sci &amp; Technol, Taipa, Macao, Peoples R China; [Lee, Timothy J.] Kyung Hee Univ, Seoul, South Korea; [Lee, Timothy J.] Griffith Univ, Nathan, Qld, Australia</t>
  </si>
  <si>
    <t>Macau University of Science &amp; Technology; Kyung Hee University; Griffith University</t>
  </si>
  <si>
    <t>Wong, JWC (corresponding author), Macau Univ Sci &amp; Technol, Fac Hospitality &amp; Tourism Management, Taipa 999078, Macau, Peoples R China.</t>
  </si>
  <si>
    <t>wcwong@must.edu.mo</t>
  </si>
  <si>
    <t>Wu, Fan/GXG-9806-2022; Wong, Jose Weng Chou/AAT-8893-2020</t>
  </si>
  <si>
    <t>Wong, Jose Weng Chou/0000-0002-3557-1829</t>
  </si>
  <si>
    <t>2023 DEC 27</t>
  </si>
  <si>
    <t>10.1177/13567667231221816</t>
  </si>
  <si>
    <t>DR1K4</t>
  </si>
  <si>
    <t>WOS:001133699700001</t>
  </si>
  <si>
    <t>Smith, S; Oates, CJ; McLeay, F</t>
  </si>
  <si>
    <t>Smith, Sheli; Oates, Caroline J.; McLeay, Fraser</t>
  </si>
  <si>
    <t>Slimy tactics: the covert commercialisation of child-targeted content</t>
  </si>
  <si>
    <t>JOURNAL OF STRATEGIC MARKETING</t>
  </si>
  <si>
    <t>Young consumers; embedded marketing; qualitative research; marketing to children; socially responsible marketing; video-sharing platforms; advertising literacy</t>
  </si>
  <si>
    <t>PERSUASION KNOWLEDGE; ADVERTISING LITERACY; RESPONSES; VIDEOS; ATTITUDE; COPE</t>
  </si>
  <si>
    <t>There are growing concerns about the commercialisation of childhood and the consequences of marketing to children, including marketing's negative effects and increasingly sophisticated and potentially deceptive online tactics that permeate the contemporary media environment. Children and young people are prolific users of video-sharing platforms (VSP) such as TikTok and YouTube, yet little is known about children's advertising literacy within these contexts. Therefore, this paper answers recent calls for a deeper understanding of children's advertising literacy in light of their increasingly digital lifestyles. A combination of qualitative, participatory creative methods were used with children aged 9-11 from the UK. Findings show that despite their negative perceptions of online advertising, children place a level of trust in video-sharing platforms, based on a misconception that the commercialisation of content is always disclosed. This is concerning because children may prefer and pay more attention to content that they believe to be genuine.</t>
  </si>
  <si>
    <t>[Smith, Sheli; Oates, Caroline J.; McLeay, Fraser] Univ Sheffield, Sheffield Univ Management Sch, Sheffield, England</t>
  </si>
  <si>
    <t>Smith, S (corresponding author), Univ Sheffield, Sheffield Univ Management Sch, Sheffield, England.</t>
  </si>
  <si>
    <t>sheli.smith@sheffield.ac.uk</t>
  </si>
  <si>
    <t>McLeay, Fraser/I-8232-2018</t>
  </si>
  <si>
    <t>McLeay, Fraser/0000-0002-5535-1591; Smith, Sheli/0000-0003-0375-7327</t>
  </si>
  <si>
    <t>0965-254X</t>
  </si>
  <si>
    <t>1466-4488</t>
  </si>
  <si>
    <t>J STRATEG MARK</t>
  </si>
  <si>
    <t>J. Strateg. Mark.</t>
  </si>
  <si>
    <t>10.1080/0965254X.2023.2218855</t>
  </si>
  <si>
    <t>OK6S4</t>
  </si>
  <si>
    <t>WOS:000998358100001</t>
  </si>
  <si>
    <t>Coury, D</t>
  </si>
  <si>
    <t>Coury, David</t>
  </si>
  <si>
    <t>GIVING IMMIGRANTS A VOICE: EXPLORING MIGRATION AND IDENTITY IN THE VIDEO SERIES GERMANIA</t>
  </si>
  <si>
    <t>PAPELES DEL CEIC-INTERNATIONAL JOURNAL ON COLLECTIVE IDENTITY RESEARCH</t>
  </si>
  <si>
    <t>Inmigracion; Postmigracion; Alemania; Identidad cultural; Heimat</t>
  </si>
  <si>
    <t>In 2016, the German production company funk began a new weekly series of short documentary videos, Germania, designed to explore German identity and the reality of those living with a migration background. Although one in five people in Germany today have a migratory background, the focus of the series, according to promotional materials, was not the immigration debate (which has consumed much of public policy since 2015) but rather the fact that Germany has long been a land of immigration and is today firmly a multicultural society. Each video, ranging between 5 and 15 minutes, portrays a well-known young artist who talks in first-person about identity, their roots, and the geographies that have shaped and impacted them as well as their perspectives on Germany. The series eschews the traditional documentary format in favor of digital media and a YouTube/TikTok aesthetic. This article explores a select number of these videos and analyzes the concept of identity that they convey as well as the format chosen as a kind of synthesis of traditional documentary and digital media.</t>
  </si>
  <si>
    <t>[Coury, David] Univ Wisconsin, Green Bay, WI 54311 USA</t>
  </si>
  <si>
    <t>University of Wisconsin System</t>
  </si>
  <si>
    <t>Coury, D (corresponding author), Univ Wisconsin, Humanities, 2120 Nicolet Dr, Green Bay, WI 54311 USA.</t>
  </si>
  <si>
    <t>couryd@uwgb.edu</t>
  </si>
  <si>
    <t>Coury, Daniel/E-2925-2011</t>
  </si>
  <si>
    <t>UNIV PAIS VASCO</t>
  </si>
  <si>
    <t>VIZCAYA</t>
  </si>
  <si>
    <t>DEPT SOCIOLOGIA 2, CAMPUS LEIOA S-N, LEIOA, VIZCAYA, 48940, SPAIN</t>
  </si>
  <si>
    <t>1695-6494</t>
  </si>
  <si>
    <t>PAPEL CEIC</t>
  </si>
  <si>
    <t>Papel CEIC</t>
  </si>
  <si>
    <t>10.1387/pceic.23404</t>
  </si>
  <si>
    <t>Social Issues</t>
  </si>
  <si>
    <t>6D1RG</t>
  </si>
  <si>
    <t>WOS:000882476200013</t>
  </si>
  <si>
    <t>Kane, MMD</t>
  </si>
  <si>
    <t>Kane, Molly M. Diaz</t>
  </si>
  <si>
    <t>Social Media, Adolescents, and the Role of the Pediatrician: Exploring Potential Benefits and Harms in Today's Digital Landscape</t>
  </si>
  <si>
    <t>PEDIATRIC ANNALS</t>
  </si>
  <si>
    <t>The use of technology among chil-dren, adolescents, and adults has in-creased dramatically in the last 15 to 20 years. Along with the presence of tech-nology has come increased exposure and access to social media, particularly for adolescents and teenagers. Social media may include any form of electron-ic communication where users share in-formation and build communities; some examples of commonly used social me-dia sites include YouTube, TikTok, Snap -chat, Instagram, and Facebook. With the near-ubiquitous presence of smart -phones and tablets, most adolescents and teens are using devices and associ-ated social media sites. There are advan-tages and disadvantages to the use of social media, and pediatricians should be aware of potential risks as well as ways that social media use may be beneficial to teens. Communication with caregivers and patients about technology and social media use is an important piece of anticipatory guidance during health care visits, and there are multiple ways that pediatricians can facilitate healthy usage of social media with their patients.</t>
  </si>
  <si>
    <t>[Kane, Molly M. Diaz] Univ Texas Austin, Austin Reg Clin, Austin, TX 78712 USA; [Kane, Molly M. Diaz] Univ Texas Austin, Affiliate Fac, Austin, TX 78712 USA</t>
  </si>
  <si>
    <t>University of Texas System; University of Texas Austin; University of Texas System; University of Texas Austin</t>
  </si>
  <si>
    <t>Kane, MMD (corresponding author), 6385 Austin Ctr Blvd, Austin, TX 78731 USA.</t>
  </si>
  <si>
    <t>molly.diazkane@austin.utexas.edu</t>
  </si>
  <si>
    <t>0090-4481</t>
  </si>
  <si>
    <t>1938-2359</t>
  </si>
  <si>
    <t>PEDIATR ANN</t>
  </si>
  <si>
    <t>Pediatr. Ann.</t>
  </si>
  <si>
    <t>E300</t>
  </si>
  <si>
    <t>E303</t>
  </si>
  <si>
    <t>10.3928/19382359-20220608-01</t>
  </si>
  <si>
    <t>3V8QY</t>
  </si>
  <si>
    <t>WOS:000841925200004</t>
  </si>
  <si>
    <t>Tang, TH; Chen, KT; Chen, HH</t>
  </si>
  <si>
    <t>Tang, Tsun-Hsien; Chen, Kuan-Ta; Chen, Hsin-Hsi</t>
  </si>
  <si>
    <t>TRUNCATED SVD-BASED FEATURE ENGINEERING FOR SHORT VIDEO UNDERSTANDING AND RECOMMENDATION</t>
  </si>
  <si>
    <t>2019 IEEE INTERNATIONAL CONFERENCE ON MULTIMEDIA &amp; EXPO WORKSHOPS (ICMEW)</t>
  </si>
  <si>
    <t>IEEE International Conference on Multimedia and Expo Workshops</t>
  </si>
  <si>
    <t>IEEE International Conference on Multimedia and Expo (IEEE ICME)</t>
  </si>
  <si>
    <t>IEEE,IEEE Signal Proc Soc,IEEE Commun Soc,IEEE Circuit &amp; Syst Soc,IEEE Comp Soc,Kuaishou,JD.COM,MEGVII,iQIYI,Microsoft,DiDi,Alibaba,Horizon Robot,Baidu,Lenovo Res,Unisound,SenseTime,Jiangmen</t>
  </si>
  <si>
    <t>Short Video Recommendation; Deep Learning; Gradient Boosting Decision Tree</t>
  </si>
  <si>
    <t>Short video app, like TikTok(1), has received wide acclaim due to the prevalence of social media and the availability of recording devices such as mobile phones. Moreover, with the advent of the big data age, the use of historical user behaviors from multi-modal resources plays a pivotal role in the video recommendation system. In the ICME 2019 Short Video Understanding Challenge, participants are asked to predict whether a user will finish and like a specific short video along with its multi-modal features, i.e., the problem is formulated as a click-through rate prediction task. In this paper, we present an ensemble of unconventional models to the task, including tailored neural networks structure based on Compressed Interaction Network (CIN) and Gradient Boosting Decision Trees (GDBTs) using classic SVD-based features. We achieved a weighted AUC score of 0.8029 and 0.8037 on the Public and Private Leaderboard(2) of track2, respectively, and ended up with the 3rd place in the competition.</t>
  </si>
  <si>
    <t>[Tang, Tsun-Hsien; Chen, Hsin-Hsi] Natl Taiwan Univ, Dept Comp Sci &amp; Informat Engn, Taipei, Taiwan; [Tang, Tsun-Hsien; Chen, Kuan-Ta] Acad Sinica, Inst Informat Sci, Taipei, Taiwan; [Chen, Hsin-Hsi] MOST Joint Res Ctr Technol &amp; All Vista Healthcare, Taipei, Taiwan</t>
  </si>
  <si>
    <t>National Taiwan University; Academia Sinica - Taiwan</t>
  </si>
  <si>
    <t>Tang, TH (corresponding author), Natl Taiwan Univ, Dept Comp Sci &amp; Informat Engn, Taipei, Taiwan.;Tang, TH (corresponding author), Acad Sinica, Inst Informat Sci, Taipei, Taiwan.</t>
  </si>
  <si>
    <t>thtang@nlg.csie.ntu.edu.tw; swc@iis.sinica.edu.tw; hhchen@ntu.edu.tw</t>
  </si>
  <si>
    <t>Ministry of Science and Technology, Taiwan [MOST-108-2634-F-002-008-]</t>
  </si>
  <si>
    <t>Ministry of Science and Technology, Taiwan(Ministry of Science and Technology, Taiwan)</t>
  </si>
  <si>
    <t>This research was partially supported by Ministry of Science and Technology, Taiwan, under grant MOST-108-2634-F-002-008-.</t>
  </si>
  <si>
    <t>2330-7927</t>
  </si>
  <si>
    <t>978-1-5386-9214-1</t>
  </si>
  <si>
    <t>IEEE INT CONF MULTI</t>
  </si>
  <si>
    <t>10.1109/ICMEW.2019.00136</t>
  </si>
  <si>
    <t>Computer Science, Hardware &amp; Architecture; Computer Science, Information Systems; Engineering, Electrical &amp; Electronic</t>
  </si>
  <si>
    <t>BO0EW</t>
  </si>
  <si>
    <t>WOS:000490430500129</t>
  </si>
  <si>
    <t>Lemieux, A; Barton, G; Lewkowich, D; White, B; Ho, S</t>
  </si>
  <si>
    <t>Lemieux, Amelie; Barton, Georgina; Lewkowich, David; White, Boyd; Ho, Stephanie</t>
  </si>
  <si>
    <t>Teaching poetry using Instagram: An international, interdisciplinary study with adolescents mobilizing literacy and the arts</t>
  </si>
  <si>
    <t>LANGUAGE AND LITERACY</t>
  </si>
  <si>
    <t>Young people engage daily with various social media platforms to communicate with one another across the globe. Adolescents not only share text, but also use images and sound to express themselves on platforms such as Instagram and TikTok to provide access to user-created content. The recent emergence of InstaPoetry-poetry with images on Instagram-has been part of such communication and provides an entry point into adolescents' engagement with literature and the arts. Limited research exists, however, on how this literacy practice, paired with virtual and in-person museum visits, influences young people's self-expression. In addition, there is little known about how teachers can incorporate these literacy practices in the classroom. In this article, we offer ways of integrating and involving these dynamic dimensions into research projects based on four sites of inquiry located in Canada and Australia. Funded by the Social Sciences and Humanities Research Council of Canada, this research project provides concrete teaching to foster adolescents' engagement with literature and the arts (i.e., contextual design, procedures, environment) in post COVID-19 times.</t>
  </si>
  <si>
    <t>[Lemieux, Amelie] Univ Montreal, Fac Educ, Dept Teaching &amp; Learning, Montreal, PQ, Canada; [Barton, Georgina] Univ Southern Queensland, Sch Educ, Toowoomba, Qld, Australia; [Lewkowich, David] Univ Alberta, Fac Educ, Edmonton, AB, Canada; [White, Boyd] McGill Univ, Fac Educ, Dept Integrated Studies Educ, Montreal, PQ, Canada; [Ho, Stephanie] St Georges Sch Montreal, Montreal, PQ, Canada</t>
  </si>
  <si>
    <t>Universite de Montreal; University of Southern Queensland; University of Alberta; McGill University</t>
  </si>
  <si>
    <t>Lemieux, A (corresponding author), Univ Montreal, Fac Educ, Dept Teaching &amp; Learning, Montreal, PQ, Canada.</t>
  </si>
  <si>
    <t>SSHRC [430-2021-00019]</t>
  </si>
  <si>
    <t>SSHRC(Social Sciences &amp; Humanities Research Council of Canada (SSHRC))</t>
  </si>
  <si>
    <t>Funding This research is supported by a SSHRC Grant (no 430-2021-00019) led by Amelie Lemieux (PI) , Georgina Barton (Co-I) , David Lewkowich (Co-I) , and Boyd White (collaborator) . Tri-Council Ethical Guidelines have been applied and we obtained research ethics approval from our respective institutions and research sites.</t>
  </si>
  <si>
    <t>LANGUAGE &amp; LITERACY RESEARCHERS CANADA</t>
  </si>
  <si>
    <t>C/O JAMES NAHACHEWSKY, FAC EDUC, UNIV VICTORIA, VICTORIA, BC V8W 3N4, CANADA</t>
  </si>
  <si>
    <t>1496-0974</t>
  </si>
  <si>
    <t>LANG LITER</t>
  </si>
  <si>
    <t>Lang. Liter.</t>
  </si>
  <si>
    <t>L1P2T</t>
  </si>
  <si>
    <t>WOS:001348505200004</t>
  </si>
  <si>
    <t>Cowley, ES; Mcnulty, K; Fairman, CM; Stoner, L</t>
  </si>
  <si>
    <t>Cowley, Emma S.; Mcnulty, Kelly; Fairman, Ciaran M.; Stoner, Lee</t>
  </si>
  <si>
    <t>Post or Perish? An Early Career Researcher's Guide to Using Social Media</t>
  </si>
  <si>
    <t>JOURNAL OF PHYSICAL ACTIVITY &amp; HEALTH</t>
  </si>
  <si>
    <t>science communication; dissemination; networking</t>
  </si>
  <si>
    <t>Social media usage has soared in the last decade, with the majority of adults having an account on at least one platform. Sites such as LinkedIn, X, and TikTok allow users to share content using different forms, for example, written or video, long form or short form. Social media can be used by researchers to forge collaborations, rapidly disseminate new research, and demonstrate societal impact. This opinion piece aims to highlight the value of social media, in particular for early career researchers, and offer suggestions on how early career researchers can strategically use social media to build a network and an online presence. We reflect on our own experiences of social media and include some of the reasons we have been deterred from it in the past, such as fear of making a mistake, being misunderstood, or painted as being an overconfident know it all. As the demonstration of impact and engagement becomes ever more important in grant applications and job security, social media competency is a powerful professional skill that will be important for all scientists.</t>
  </si>
  <si>
    <t>[Cowley, Emma S.] Univ Alliance, London, England; [Mcnulty, Kelly] Technol Univ Shannon, Dept Sport &amp; Hlth Sci, Athlone, Ireland; [Fairman, Ciaran M.] Univ South Carolina, Dept Exercise Sci, Columbia, SC USA; [Stoner, Lee] Univ Chapel Hill, Dept Exercise &amp; Sports Sci, Chapel Hill, NC USA; [Stoner, Lee] Univ Chapel Hill, Dept Epidemiol, Chapel Hill, NC USA</t>
  </si>
  <si>
    <t>Cowley, ES (corresponding author), Univ Alliance, London, England.</t>
  </si>
  <si>
    <t>emma@unialliance.ac.uk</t>
  </si>
  <si>
    <t>McNulty, Kelly/AAD-4596-2022; Cowley, Emma/GWZ-5510-2022</t>
  </si>
  <si>
    <t>McNulty, Kelly/0000-0001-6176-7983; Cowley, Emma/0000-0002-2060-0244</t>
  </si>
  <si>
    <t>National Institutes of Health (NIH) [R01HL157187, R01HL162805A]; National Institutes of Health (NIH)</t>
  </si>
  <si>
    <t>National Institutes of Health (NIH)(United States Department of Health &amp; Human ServicesNational Institutes of Health (NIH) - USA); National Institutes of Health (NIH)(United States Department of Health &amp; Human ServicesNational Institutes of Health (NIH) - USA)</t>
  </si>
  <si>
    <t>Cowley is a postdoctoral fellow supported by National Institutes of Health (NIH) Awards (R01HL157187 and R01HL162805A) . Stoner is supported by awards (R01HL157187 and R01HL162805A) granted by NIH. Conceptualization: Cowley and Stoner. Writing - original draft preparation: Cowley. Writing - review and editing: Cowley, McNulty, Fairman, and Stoner. Read and agreed to the published version of the manuscript : All authors.</t>
  </si>
  <si>
    <t>1543-3080</t>
  </si>
  <si>
    <t>1543-5474</t>
  </si>
  <si>
    <t>J PHYS ACT HEALTH</t>
  </si>
  <si>
    <t>J. Phys. Act. Health</t>
  </si>
  <si>
    <t>10.1123/jpah.2023-0533</t>
  </si>
  <si>
    <t>KC0R1</t>
  </si>
  <si>
    <t>WOS:001101041400001</t>
  </si>
  <si>
    <t>Fahed, Z; Saliba, MB</t>
  </si>
  <si>
    <t>Fahed, Ziad; Saliba, Marie Bella</t>
  </si>
  <si>
    <t>How Social Media can be used to promote Catholic Social Teaching: A Lebanese Case Study</t>
  </si>
  <si>
    <t>REVISTA PISTIS &amp; PRAXIS-TEOLOGIA E PASTORAL</t>
  </si>
  <si>
    <t>Social media; Catholic Social Teaching; communication; Lebanon</t>
  </si>
  <si>
    <t>NETWORK SITES</t>
  </si>
  <si>
    <t>Since the emergence of social media websites and applications, researchers have been intrigued by the fast attraction of these platforms of millions of users worldwide. From Instagram to Tiktok and Reddit, social media platforms are connecting people from all around the globe. Many articles examined the relation between social media and the church, how this type of media could affect the church and whether the use of social media would impact the growth of the church or not. However, few articles tackled the relationship between social media and Catholic Social Teaching (CST). Thus, this article aims at analyzing the different aspects of the bonds that tie social media to Catholic Social Teaching. It pinpoints the positive impact social media have on the promotion of CST as well as the challenges and limitations that might come along using these platforms. It also uses the specific case of Lebanon to highlight the ways social media could be used to promote the common good.</t>
  </si>
  <si>
    <t>[Fahed, Ziad; Saliba, Marie Bella] Notre Dame Univ NDU, Zouk Mosbeh, Lebanon</t>
  </si>
  <si>
    <t>Fahed, Z (corresponding author), Notre Dame Univ NDU, Zouk Mosbeh, Lebanon.</t>
  </si>
  <si>
    <t>communications@ndu.edu.lb; mcsaliba@ndu.edu.lb</t>
  </si>
  <si>
    <t>Fahed, Ziad/0000-0002-3955-9667</t>
  </si>
  <si>
    <t>PONTIFICIA UNIV CATOLICA PARANA-PUCPR</t>
  </si>
  <si>
    <t>CURITIBA</t>
  </si>
  <si>
    <t>RUA IMACULADA CONCEICAO, 1155 PREDIO ADMINISTRACAO 6 ANDAR, CURITIBA, 80215-901 PR, BRAZIL</t>
  </si>
  <si>
    <t>1984-3755</t>
  </si>
  <si>
    <t>2175-1838</t>
  </si>
  <si>
    <t>REV PISTIS PRAX-TEOL</t>
  </si>
  <si>
    <t>Rev. Pistas Prax.-Teol. Pastor.</t>
  </si>
  <si>
    <t>10.7213/2175-1838.13.003.AO02</t>
  </si>
  <si>
    <t>YW8JN</t>
  </si>
  <si>
    <t>WOS:000753659400012</t>
  </si>
  <si>
    <t>Hong, L; Yin, J; Xia, LL; Gong, CF; Huang, Q</t>
  </si>
  <si>
    <t>Hong, Lei; Yin, Jie; Xia, Ling-Ling; Gong, Chao-Fan; Huang, Qi</t>
  </si>
  <si>
    <t>Improved Short-video User Impact Assessment Method Based on PageRank Algorithm</t>
  </si>
  <si>
    <t>INTELLIGENT AUTOMATION AND SOFT COMPUTING</t>
  </si>
  <si>
    <t>User impact assessment; Douyin; PageRank; entropy weight method; short-video user influence rank</t>
  </si>
  <si>
    <t>The short-video platform is a social network where users' content accelerates the speed of information dissemination. Hence, it is necessary to identify important users to effectively obtain information. Four algorithms (Followers Rank, Average Forwarding, K Coverage, and Expert Survey and Evaluation) have been proposed to calculate users' influence and determine their importance. These methods simply take the number of a user's fans or posts as the standard of influence evaluation, ignoring factors such as the paid posters, which makes such evaluations inaccurate. To solve these problems, we propose the short-video user influence rank (SVUIR) algorithm, which combines direct and indirect influence to comprehensively measure the influence of short-video users, using reference factors such as the number of fans, likes, number of users' works, users' work quality, focus on behavior, comments, and forwarding behavior. An experiment verifies the algorithm on Douyin (i.e., TikTok), which is a typical short-video platform, and confirms that SVUIR is more comprehensive and objective than the above four algorithms.</t>
  </si>
  <si>
    <t>[Hong, Lei; Yin, Jie; Xia, Ling-Ling; Gong, Chao-Fan] Jiangsu Police Inst, Nanjing 210000, Peoples R China; [Huang, Qi] Purdue Univ, W Lafayette, IN 47907 USA</t>
  </si>
  <si>
    <t>Jiangsu Police Institute; Purdue University System; Purdue University</t>
  </si>
  <si>
    <t>Hong, L (corresponding author), Jiangsu Police Inst, Nanjing 210000, Peoples R China.</t>
  </si>
  <si>
    <t>honglei@jspi.edu.cn</t>
  </si>
  <si>
    <t>Gong, Chaofan/HGC-6677-2022; Huang, Qi/IAO-2300-2023</t>
  </si>
  <si>
    <t>Jiangsu Social Science Foundation Project [20TQC005]; Philosophy Social Science Research Project Fund of Jiangsu University [2020SJA0500]; Jiangsu Province modern education technology research project [2017R59195]; key teaching reform project of Jiangsu Police Institute [2019A30]; National Natural Science Foundation of China [61802155]</t>
  </si>
  <si>
    <t>Jiangsu Social Science Foundation Project; Philosophy Social Science Research Project Fund of Jiangsu University; Jiangsu Province modern education technology research project; key teaching reform project of Jiangsu Police Institute; National Natural Science Foundation of China(National Natural Science Foundation of China (NSFC))</t>
  </si>
  <si>
    <t>This study has been supported by Jiangsu Social Science Foundation Project (Grant No: 20TQC005) . Philosophy Social Science Research Project Fund of Jiangsu University (Grant No: 2020SJA0500) . Jiangsu Province modern education technology research project (Grant No: 2017R59195) . The key teaching reform project of Jiangsu Police Institute (Grant No: 2019A30) . The National Natural Science Foundation of China (Grant No. 61802155) .</t>
  </si>
  <si>
    <t>TECH SCIENCE PRESS</t>
  </si>
  <si>
    <t>HENDERSON</t>
  </si>
  <si>
    <t>871 CORONADO CENTER DR, SUTE 200, HENDERSON, NV 89052 USA</t>
  </si>
  <si>
    <t>1079-8587</t>
  </si>
  <si>
    <t>2326-005X</t>
  </si>
  <si>
    <t>INTELL AUTOM SOFT CO</t>
  </si>
  <si>
    <t>Intell. Autom. Soft Comput.</t>
  </si>
  <si>
    <t>10.32604/iasc.2021.016259</t>
  </si>
  <si>
    <t>Automation &amp; Control Systems; Computer Science, Artificial Intelligence</t>
  </si>
  <si>
    <t>Automation &amp; Control Systems; Computer Science</t>
  </si>
  <si>
    <t>UI7BS</t>
  </si>
  <si>
    <t>WOS:000690758200009</t>
  </si>
  <si>
    <t>Kuruvila, AP; Arunachalam, A; Basu, K</t>
  </si>
  <si>
    <t>Kuruvila, Abraham Peedikayil; Arunachalam, Ayush; Basu, Kanad</t>
  </si>
  <si>
    <t>Benefits and Challenges of Utilizing Hardware Performance Counters for COPPA Violation Detection</t>
  </si>
  <si>
    <t>PROCEEDINGS OF THE 2020 IEEE INTERNATIONAL CONFERENCE ON PHYSICAL ASSURANCE AND INSPECTION ON ELECTRONICS (PAINE)</t>
  </si>
  <si>
    <t>IEEE International Conference on Physical Assurance and Inspection of Electronics (PAINE)</t>
  </si>
  <si>
    <t>DEC 15-16, 2020</t>
  </si>
  <si>
    <t>IEEE,Cyber Opt,ZEISS,Jiaco Instruments,Allied Hiigh Tech Prod Inc,Lockheed Martin,Nanospective,Battelle,Ultra Tec Mfg Inc,Excillum</t>
  </si>
  <si>
    <t>Hardware Performance Counters; Privacy; System Security</t>
  </si>
  <si>
    <t>This paper analyzes the findings of [1] regarding user privacy in Android apps. Mobile applications have come under scrutiny for allegations of data breaches and leaks, such as usernames, email IDs, and locations. Subsequent documented instances of these violations have led to the Federal Trade Commission (FTC) imposing severe penalties on the app developers. Recently, apps such as TikTok and BabyBus were sanctioned and fined for flouting privacy regulations. To ensure the safety of young users, the Children's Online Privacy Protection Act (COPPA) was enacted to monitor the data usage of apps dedicated to children. Hence, it is imperative that children's apps adhere to COPPA. Towards this end, [1] proposes COPPA Tracking by Checking Hardware-level Activity (COPPTCHA), a Hardware Performance Counter-based (HPC) approach to validate COPPA-compliance of Android apps. The HPC data is used to train a Machine Learning classifier, which predicts COPPA violations with 99% accuracy. This paper summarizes the benefits and pitfalls of using HPCs for detecting COPPA violations.</t>
  </si>
  <si>
    <t>[Kuruvila, Abraham Peedikayil; Arunachalam, Ayush; Basu, Kanad] Univ Texas Dallas, Dallas, TX 75083 USA</t>
  </si>
  <si>
    <t>University of Texas System; University of Texas Dallas</t>
  </si>
  <si>
    <t>Kuruvila, AP (corresponding author), Univ Texas Dallas, Dallas, TX 75083 USA.</t>
  </si>
  <si>
    <t>apk190000@utdallas.edu; axa180020@utdallas.edu; kxb190012@utdallas.edu</t>
  </si>
  <si>
    <t>978-1-7281-6121-1</t>
  </si>
  <si>
    <t>10.1109/PAINE49178.2020.9337566</t>
  </si>
  <si>
    <t>BT7FA</t>
  </si>
  <si>
    <t>WOS:000848058600004</t>
  </si>
  <si>
    <t>Meng, LX; Dong, TY</t>
  </si>
  <si>
    <t>Meng, Lingxing; Dong, Tianyu</t>
  </si>
  <si>
    <t>RETRACTION: Study on factors influencing e-commerce in short videos based on artificial intelligence-supported recommendation (Retraction of November, 2022)</t>
  </si>
  <si>
    <t>JOURNAL OF ELECTRONIC IMAGING</t>
  </si>
  <si>
    <t>Retraction</t>
  </si>
  <si>
    <t>artificial intelligence; e-commerce in short videos; technology acceptance model; perceived enjoyment; conformity</t>
  </si>
  <si>
    <t>ACCEPTANCE</t>
  </si>
  <si>
    <t>Short video platforms, represented by TikTok, are gaining popularity across the world. Although mainly for entertainment and social interactions, short video mobile apps are intensively testing embedded e-commerce in short videos based on artificial intelligence (AI)-supported recommendation in the United States, Europe, China, and other countries and regions. To study users' acceptance of embedded e-commerce in short videos based on AI-supported recommendation, we make an analysis with a number of factors as independent variables, concluding that perceived risk and perceived cost have a significant negative influence on purchase intention, whereas other independent variables have a significant positive influence on purchase intention. In addition, perceived enjoyment and conformity, embodying the entertainment and social features of short video apps, have a significant positive influence on perceived usefulness. We provide a guideline for enterprises to improve functions of the technology and informs public oversight of the technology's development. (C) 2022 SPIE and IS&amp;T</t>
  </si>
  <si>
    <t>[Meng, Lingxing] China Univ Polit Sci &amp; Law, Dept Law &amp; Business, Coll Business, Beijing, Peoples R China; [Dong, Tianyu] China Univ Polit Sci &amp; Law, Dept Theoret Econ, Coll Business, Beijing, Peoples R China</t>
  </si>
  <si>
    <t>China University of Political Science &amp; Law; China University of Political Science &amp; Law</t>
  </si>
  <si>
    <t>Dong, TY (corresponding author), China Univ Polit Sci &amp; Law, Dept Theoret Econ, Coll Business, Beijing, Peoples R China.</t>
  </si>
  <si>
    <t>2002060230@cupl.edu.cn</t>
  </si>
  <si>
    <t>SPIE-SOC PHOTO-OPTICAL INSTRUMENTATION ENGINEERS</t>
  </si>
  <si>
    <t>1000 20TH ST, PO BOX 10, BELLINGHAM, WA 98225 USA</t>
  </si>
  <si>
    <t>1017-9909</t>
  </si>
  <si>
    <t>1560-229X</t>
  </si>
  <si>
    <t>J ELECTRON IMAGING</t>
  </si>
  <si>
    <t>J. Electron. Imaging</t>
  </si>
  <si>
    <t>10.1117/1.JEI.32.3.031805</t>
  </si>
  <si>
    <t>Engineering, Electrical &amp; Electronic; Optics; Imaging Science &amp; Photographic Technology</t>
  </si>
  <si>
    <t>Engineering; Optics; Imaging Science &amp; Photographic Technology</t>
  </si>
  <si>
    <t>Q9JA9</t>
  </si>
  <si>
    <t>WOS:001060595700003</t>
  </si>
  <si>
    <t>Martínez, CMR; Santamaría, KJV</t>
  </si>
  <si>
    <t>Martinez, Carol Melissa Ramos; Santamaria, Karen Jibely Villafranca</t>
  </si>
  <si>
    <t>Influencer marketing in Honduras: conception, management and performativity</t>
  </si>
  <si>
    <t>Marketing; influencer; advertising; performance; social networks</t>
  </si>
  <si>
    <t>INSTAGRAM; TIKTOK</t>
  </si>
  <si>
    <t>The influencer marketing strategy (IMS) allows brands to communicate their messages and promote their products through the voice of an influencer. Understanding this strategy involves three key players: influencers, brands and advertising agencies. This research describes the current state of the IMS in Honduras. It identifies Honduran influencers and seeks to understand brand perception, as well as that of advertising agencies, while adding performativity as a category of analysis. Three sources of data were employed for this research: influencer profiles in social networks through netnographic elements; narratives through semi-structured interviews with brands and advertising agencies; and content analysis on performative elements present in influencers. The IMS in Honduras is not heterogeneous and requires consolidation. There is a clear typology of influencer that corresponds to what is expressed in the literature. Advertising agencies have a greater structure in management of IMS and performativity allows for a broader analysis of this strategy. Continuity in the study of IMS is suggested due the scarcity of scientific works in Honduras and the importance of strengthening the research capabilities of marketers in the country is ratified.</t>
  </si>
  <si>
    <t>[Martinez, Carol Melissa Ramos; Santamaria, Karen Jibely Villafranca] Univ Tecnol Centroamericana UNITEC, Tegucigalpa, Honduras</t>
  </si>
  <si>
    <t>Martínez, CMR (corresponding author), Univ Tecnol Centroamericana UNITEC, Tegucigalpa, Honduras.</t>
  </si>
  <si>
    <t>crl.ramos@unitec.edu; karenvillafranca@unitec.edu</t>
  </si>
  <si>
    <t>a2187</t>
  </si>
  <si>
    <t>10.31921/doxacom.n40a2187</t>
  </si>
  <si>
    <t>J3P0A</t>
  </si>
  <si>
    <t>WOS:001336202400006</t>
  </si>
  <si>
    <t>Collado-Ruano, J; Galeffi, DA; Pasquier, F</t>
  </si>
  <si>
    <t>Collado-Ruano, Javier; Galeffi, Dante Augusto; Pasquier, Florent</t>
  </si>
  <si>
    <t>TRANSDISCIPLINARY PHILOSOPHY TO FACE COMPLEX GEOPOLITICAL CHALLENGES OF THE ANTHROPOCENE</t>
  </si>
  <si>
    <t>PROMETEICA-REVISTA DE FILOSOFIA Y CIENCIAS</t>
  </si>
  <si>
    <t>international trade; regenerative schools; transdisciplinary philosophy; geopolitics; artificial intelligence; global change</t>
  </si>
  <si>
    <t>SUSTAINABLE DEVELOPMENT; INTERNATIONAL-TRADE; EDUCATION; NEUROSCIENCE; GLOBALIZATION; ANTHROPOCENE</t>
  </si>
  <si>
    <t>The work aims to explore the professional training of teachers from a transdisciplinary philosophy, in order to promote the understanding of the world by a citizenry that must confront the global change of the Anthropocene. Based on a qualitative methodology, the evolution of international trade in recent centuries is explored and analyzed, as well as its relationship with the extinction of planetary biodiversity, climate change and the health of our planet. It is a philosophical essay that approaches the areas of economy, international trade, geopolitics, artificial intelligence and teacher training from the epistemological foundations of Nicolescu's transdisciplinary methodology and Morin's Complex Theory. As a result, it is discussed how ICTs, software and apps (twitter, facebook, instagram, tiktok, etc.) collect users' personal data through mathematical algorithms used by artificial intelligence. It is concluded that transdisciplinary training contributes to the creation of regenerative schools that teach students to act critically in the face current global change.</t>
  </si>
  <si>
    <t>[Collado-Ruano, Javier] Univ Nacl Educ, Azogues, Ecuador; [Galeffi, Dante Augusto] Univ Fed Bahia, Salvador, Brazil; [Pasquier, Florent] Sorbonne Univ, Paris, France</t>
  </si>
  <si>
    <t>Universidade Federal da Bahia; Sorbonne Universite</t>
  </si>
  <si>
    <t>Collado-Ruano, J (corresponding author), Univ Nacl Educ, Azogues, Ecuador.</t>
  </si>
  <si>
    <t>javier.collado@unae.edu.ec; galeffid@gmail.com; florent.pasquier@gmail.com</t>
  </si>
  <si>
    <t>LUCAS EMMANUEL MISSERI</t>
  </si>
  <si>
    <t>LUCAS EMMANUEL MISSERI, MAR DEL PLATA, 00000, ARGENTINA</t>
  </si>
  <si>
    <t>1852-9488</t>
  </si>
  <si>
    <t>PROMETEICA</t>
  </si>
  <si>
    <t>Prometeica</t>
  </si>
  <si>
    <t>10.34024/prometeica.2024.30.16063</t>
  </si>
  <si>
    <t>A4P0O</t>
  </si>
  <si>
    <t>WOS:001282357200004</t>
  </si>
  <si>
    <t>Li, ML; Han, MY; Humay, A</t>
  </si>
  <si>
    <t>Li, Menglong; Han, Muyan; Humay, Abdyrahmanova</t>
  </si>
  <si>
    <t>THE RUSSIAN-UKRAINIAN CONFLICT DISCUSSIONS IN CHINA'S INTERNET SPACE</t>
  </si>
  <si>
    <t>SOTSIOLOGICHESKIE ISSLEDOVANIYA</t>
  </si>
  <si>
    <t>public opinion; China; Russia; Russia-Ukraine conflict</t>
  </si>
  <si>
    <t>The Russia-Ukraine conflict that started in 2022 has not changed the good development momentum of China-Russia relations. However, discussions about a large-scale confrontation between the West and Russia over Ukraine have also appeared in Chinese society. The choice between pro-Russia or pro-Ukraine positions has become a matter of debate. This article analyzes how Chinese Internet users react to news reports about the Russia-Ukraine conflict on two main video platforms - Douyin (Chinese version of TikTok) and Bilibili (Chinese video hosting similar to YouTube), which are the most popular in modern Chinese cyberspace. The number of views, likes and comments under popular videos on the topic of the Russia-Ukraine conflict is analyzed, and their thematic analysis is carried out. The conclusion is that since Chinese people generally support Russia as China's strategic ally, pro-Russia views related to the Ukraine incident are absolutely dominant in China's Internet space. Although there are also pro-Ukraine comments in online comments, they account for a small proportion.</t>
  </si>
  <si>
    <t>[Li, Menglong] Jilin Univ, Changchun, Peoples R China; [Han, Muyan] Univ Chinese Acad Social Sci, Beijing, Peoples R China; [Humay, Abdyrahmanova] Zhengzhou Univ, Zhengzhou, Peoples R China</t>
  </si>
  <si>
    <t>Jilin University; Chinese Academy of Social Sciences; University of Chinese Academy of Social Sciences; Zhengzhou University</t>
  </si>
  <si>
    <t>Li, ML (corresponding author), Jilin Univ, Changchun, Peoples R China.</t>
  </si>
  <si>
    <t>limenglong@jlu.edu.cn; S2021227001@ucass.edu.cn; humayabdyrahmanova7@gmail.com</t>
  </si>
  <si>
    <t>Li, Menglong/AEN-2945-2022</t>
  </si>
  <si>
    <t>Li, Menglong/0000-0003-3087-5417</t>
  </si>
  <si>
    <t>National Social Science Foundation Youth Project (China) in 2023-2026 [23CZZ045]</t>
  </si>
  <si>
    <t>National Social Science Foundation Youth Project (China) in 2023-2026</t>
  </si>
  <si>
    <t>This work is part of the research project Evidence based governance research on the risk of pan-politicization of network public opinion in the digital intelligence era (Project No. 23CZZ045) , funded by the National Social Science Foundation Youth Project (China) in 2023-2026.</t>
  </si>
  <si>
    <t>Russian Acad Sciences, State Acad Univ Humanities (GAUGN)</t>
  </si>
  <si>
    <t>Moscow</t>
  </si>
  <si>
    <t>Leninsky prospekt 14, Moscow, RUSSIA</t>
  </si>
  <si>
    <t>0132-1625</t>
  </si>
  <si>
    <t>SOTSIOL ISSLED+</t>
  </si>
  <si>
    <t>Sotsiologicheskie Issled.</t>
  </si>
  <si>
    <t>10.31857/S0132162524010114</t>
  </si>
  <si>
    <t>G3V7K</t>
  </si>
  <si>
    <t>WOS:001315960100010</t>
  </si>
  <si>
    <t>Gorostiza-Cerviño, A; Serna-Ortega, A; Moreno-Cabanillas, A; Castillo-Esparcia, A</t>
  </si>
  <si>
    <t>Gorostiza-Cervino, Aritz; Serna-Ortega, Alvaro; Moreno-Cabanillas, Andrea; Castillo-Esparcia, Antonio</t>
  </si>
  <si>
    <t>Navigating the Digital Sphere: Exploring Websites, Social Media, and Representation Costs-A European Union Case Study</t>
  </si>
  <si>
    <t>social media; interest groups; communication strategy; lobbying; European Transparency Register</t>
  </si>
  <si>
    <t>In the intricate and multifaceted landscape of the European construction process, where the development and governance of the European Union take shape through a myriad of policies, institutions, and stakeholders, this study delves into the role of lobbies affiliated with the European Transparency Register. It focuses on the relationship between the utilization of social media platforms and the representation costs among interest groups. Analysis of data from 12,430 groups, encompassing website presence, social media engagement, and declared representation costs, reveals that 97.14% of groups maintain websites, while 67.52% actively use social media platforms. Among groups disclosing representation costs, the mean is EUR 181,333, with a median of EUR 74,999. Multiple linear regression analysis uncovers a positive association between Twitter and YouTube usage and representation costs, while Facebook usage demonstrates a negative correlation. However, no statistically significant relationships are observed for Instagram, TikTok, and LinkedIn. These findings offer insights into the potential impact of social media on representation costs for interest groups.</t>
  </si>
  <si>
    <t>[Gorostiza-Cervino, Aritz; Serna-Ortega, Alvaro; Moreno-Cabanillas, Andrea; Castillo-Esparcia, Antonio] Univ Malaga, Audiovisual Commun &amp; Advertising, Malaga 29010, Spain</t>
  </si>
  <si>
    <t>Serna-Ortega, A (corresponding author), Univ Malaga, Audiovisual Commun &amp; Advertising, Malaga 29010, Spain.</t>
  </si>
  <si>
    <t>olivetti03@uma.es; amso@uma.es; amorenoc@uma.es; castilloe@uma.es</t>
  </si>
  <si>
    <t>Moreno Cabanillas, Andrea/IQR-8209-2023; Serna-Ortega, Álvaro/JHU-3223-2023</t>
  </si>
  <si>
    <t>Serna-Ortega, Alvaro/0000-0001-5374-4722; Moreno-Cabanillas, Andrea/0000-0002-1169-1607; Gorostiza, Aritz/0000-0002-7844-0036</t>
  </si>
  <si>
    <t>Ministry of Science and Innovation (Spain)</t>
  </si>
  <si>
    <t>Ministry of Science and Innovation (Spain)(Ministry of Science and Innovation, Spain (MICINN)Spanish Government)</t>
  </si>
  <si>
    <t>10.3390/socsci12110616</t>
  </si>
  <si>
    <t>AS0A4</t>
  </si>
  <si>
    <t>WOS:001120318100001</t>
  </si>
  <si>
    <t>Mildner, T; Savino, GL; Doyle, PR; Cowan, BR; Malaka, R</t>
  </si>
  <si>
    <t>Mildner, Thomas; Savino, Gian-Luca; Doyle, Philip R.; Cowan, Benjamin R.; Malaka, Rainer</t>
  </si>
  <si>
    <t>About Engaging and Governing Strategies: A Thematic Analysis of Dark Paterns in Social Networking Services</t>
  </si>
  <si>
    <t>SNS; social media; social networking services; interface design; dark patterns; well-being; ethical interfaces</t>
  </si>
  <si>
    <t>Research in HCI has shown a growing interest in unethical design practices across numerous domains, often referred to as dark patterns. There is, however, a gap in related literature regarding social networking services (SNSs). In this context, studies emphasise a lack of users' self-determination regarding control over personal data and time spent on SNSs. We collected over 16 hours of screen recordings from Facebook's, Instagram's, TikTok's, and Twitter's mobile applications to understand how dark patterns manifest in these SNSs. For this task, we turned towards HCI experts to mitigate possible difficulties of non-expert participants in recognising dark patterns, as prior studies have noticed. Supported by the recordings, two authors of this paper conducted a thematic analysis based on previously described taxonomies, manually classifying the recorded material while delivering two key findings: We observed which instances occur in SNSs and identified two strategies - engaging and governing - with five dark patterns undiscovered before.</t>
  </si>
  <si>
    <t>[Mildner, Thomas; Malaka, Rainer] Univ Bremen, Bremen, Germany; [Savino, Gian-Luca] Univ St Gallen, St Gallen, Switzerland; [Doyle, Philip R.; Cowan, Benjamin R.] Univ Coll Dublin, Dublin, Ireland</t>
  </si>
  <si>
    <t>University of Bremen; University of St Gallen; University College Dublin</t>
  </si>
  <si>
    <t>Mildner, T (corresponding author), Univ Bremen, Bremen, Germany.</t>
  </si>
  <si>
    <t>mildner@uni-bremen.de; gian-luca.savino@unisg.ch; philip.doyle1@ucdconnect.ie; benjamin.cowan@ucd.ie; malaka@tzi.de</t>
  </si>
  <si>
    <t>Malaka, Rainer/IXD-3800-2023; Mildner, Thomas/KAM-7368-2024</t>
  </si>
  <si>
    <t>Savino, Gian-Luca/0000-0002-1233-234X; Mildner, Thomas/0000-0002-1712-0741; Cowan, Benjamin/0000-0002-8595-8132; Malaka, Rainer/0000-0001-6463-4828</t>
  </si>
  <si>
    <t>Klaus Tschira Stiftung gGmbH</t>
  </si>
  <si>
    <t>The research of this work was partially supported by the Klaus Tschira Stiftung gGmbH.</t>
  </si>
  <si>
    <t>10.1145/3544548.3580695</t>
  </si>
  <si>
    <t>WOS:001037809501012</t>
  </si>
  <si>
    <t>Kowal, M</t>
  </si>
  <si>
    <t>Kowal, Michael</t>
  </si>
  <si>
    <t>The Value of a Like: Facebook, Viral Posts, and Campaign Finance in US Congressional Elections</t>
  </si>
  <si>
    <t>campaign finance; campaign fundraising; congress; elections; political campaigns; social media; US elections; viral posts</t>
  </si>
  <si>
    <t>SOCIAL MEDIA; CANDIDATES; TWITTER; MOBILIZATION; MOTIVATIONS; LEGISLATORS; ATTENTION; SENATORS; TWEET; MONEY</t>
  </si>
  <si>
    <t>Social media has become a dominant force in American political life, from Twitter and Facebook to newer rivals like Instagram and TikTok. As American elections have also grown increasingly expensive, campaigns have sought to capitalize on social media success through campaign donations. The most successful social media posts can garner thousands of likes and millions of views focusing attention on the candidate and presenting a fundraising opportunity. In this study, I examine the impact of viral posts (those receiving more than 5,000 likes or those in the top 1% of likes) on the number and amount of campaign donations a candidate receives on the date of the post. Combining social media data from Facebook and campaign finance donations during the 2018 and 2020 House of Representatives elections, I find that viral posts can dramatically increase a candidate's fundraising on those dates. This finding suggests that candidates can increase their fundraising through increased social media success.</t>
  </si>
  <si>
    <t>[Kowal, Michael] Stevens Inst Technol, Coll Arts, Hoboken, NJ 07030 USA</t>
  </si>
  <si>
    <t>Stevens Institute of Technology</t>
  </si>
  <si>
    <t>Kowal, M (corresponding author), Stevens Inst Technol, Coll Arts, Hoboken, NJ 07030 USA.</t>
  </si>
  <si>
    <t>mkowal2@stevens.edu</t>
  </si>
  <si>
    <t>10.17645/mac.v11i3.6661</t>
  </si>
  <si>
    <t>HC3X1</t>
  </si>
  <si>
    <t>WOS:001157261800004</t>
  </si>
  <si>
    <t>He, CC; Luo, X</t>
  </si>
  <si>
    <t>He, Chengchen; Luo, Xia</t>
  </si>
  <si>
    <t>Life sharing or crimes sharing: an investigation on crime learning from China short-form video platforms</t>
  </si>
  <si>
    <t>INFORMATION &amp; COMMUNICATIONS TECHNOLOGY LAW</t>
  </si>
  <si>
    <t>Short-form video; short-form video platform; criminal skill; content scrutiny; legal reform</t>
  </si>
  <si>
    <t>The worldwide proliferation of TikTok revealed the shifting interests of users from text-and-image-based content to short-form videos (SVs). Short-form Video Platforms (SVPs) have been further acknowledged as mainstream life-sharing platforms and novel learning resources for informational and practical needs. Surprisingly, increasing evidence from China's judicial practices unfolded that, offenders were motivated and learned criminal skills by interacting with and imitating from the SVPs' uploaders. Previous literature has focused on harmful contents and its negative impact on traditional social media platforms, limited has drawn attention on SVPs nor its shared SVs which may potentially spread criminal intentions or even skills to the audience. To fill these gaps, this article for the first time focused on SVP, intended to investigate the criminal motivations and skills identified in China's major SVPs, explored the rationales behind crime learning behaviors, and proposed feasible regulatory solutions for the SVPs to facilitate the prevention of crimes.</t>
  </si>
  <si>
    <t>[He, Chengchen; Luo, Xia] Chinese Univ Hong Kong, Fac Law, Hong Kong, Peoples R China</t>
  </si>
  <si>
    <t>Luo, X (corresponding author), Chinese Univ Hong Kong, Fac Law, Hong Kong, Peoples R China.</t>
  </si>
  <si>
    <t>luoxia@link.cuhk.edu.hk</t>
  </si>
  <si>
    <t>Luo, Xia/0000-0002-9642-8313; HE, Chengchen/0000-0002-6669-3618</t>
  </si>
  <si>
    <t>1360-0834</t>
  </si>
  <si>
    <t>1469-8404</t>
  </si>
  <si>
    <t>INF COMMUN TECHNOL L</t>
  </si>
  <si>
    <t>Inf. Commun. Technol. Law</t>
  </si>
  <si>
    <t>10.1080/13600834.2022.2138179</t>
  </si>
  <si>
    <t>L0JV0</t>
  </si>
  <si>
    <t>WOS:000876061500001</t>
  </si>
  <si>
    <t>Mears, A</t>
  </si>
  <si>
    <t>Mears, Ashley</t>
  </si>
  <si>
    <t>Bringing Bourdieu to a Content Farm: Social Media Production Fields and the Cultural Economy of Attention</t>
  </si>
  <si>
    <t>attention; cultural economy; cultural production; field theory; virality</t>
  </si>
  <si>
    <t>AUTHENTICITY; COMMUNITY; MARKET; WORK</t>
  </si>
  <si>
    <t>Attention is a valuable and scarce resource in the online attention economy. But not all attention is equally valuable. This article advances a relational theory of the value of attention by situating social media content production as a field. I draw from an ethnography of a content farm and interviews with 60 creators who make highly-paid but low-status entertainment videos designed to go viral on Facebook, as well as on SnapChat, TikTok, and YouTube. I propose an inverse relationship between status and reach: higher reach may pose risks to a creator's status and reputation. Furthermore, in pursuit of the highest possible reach, viral creators construct situational authenticity, rather than personal authenticity, and they relate to their audiences antagonistically, in contrast to existing studies of influencers. How creators seek attention, from whom, and with what conversion strategies, I argue, depends upon their location in a cultural field because online audiences exist in a hierarchy of perceived social worth.</t>
  </si>
  <si>
    <t>[Mears, Ashley] Boston Univ, Sociol, Boston, MA USA; [Mears, Ashley] Boston Univ, 100 Cummington Mall, Boston, MA 02215 USA</t>
  </si>
  <si>
    <t>Mears, A (corresponding author), Boston Univ, 100 Cummington Mall, Boston, MA 02215 USA.</t>
  </si>
  <si>
    <t>mears@bu.edu</t>
  </si>
  <si>
    <t>I thank members of the Boston University Precarity Lab, which provided comments on an early version of this article, and the Institute for Advance Study at Central European University in Budapest, where this article was drafted. Thanks also to participants</t>
  </si>
  <si>
    <t>I thank members of the Boston University Precarity Lab, which provided comments on an early version of this article, and the Institute for Advance Study at Central European University in Budapest, where this article was drafted. Thanks also to participants at the Global Digital Cultures conference at the University of Amsterdam in June 2022 and the Social Media and Reputation panel in the Digital Economy network of SASE in July 2022. This article benefited from valuable feedback in its various stages from Natalia Levina, David Swartz, Ori Schwarz, and Elif Birced, who also provided excellent research assistance.</t>
  </si>
  <si>
    <t>10.1177/20563051231193027</t>
  </si>
  <si>
    <t>Q4OE3</t>
  </si>
  <si>
    <t>WOS:001057321900001</t>
  </si>
  <si>
    <t>Zhou, ZQB</t>
  </si>
  <si>
    <t>Zhou, Zhiqiu Benson</t>
  </si>
  <si>
    <t>Performing lowbrowness: How Chinese queer people negotiate visibility on short-video platforms</t>
  </si>
  <si>
    <t>Douyin/TikTok; queer visibility; identity politics; lowbrow performance; queer liberalism; influencer; digital tactic</t>
  </si>
  <si>
    <t>SOCIAL MEDIA; DISCOURSE; POLITICS</t>
  </si>
  <si>
    <t>In recent years, Chinese media have tightened regulations on LGBTQ-related content, yet queer people remain highly visible on short-video platforms. Many of them have become influencers with millions of followers. This paper examines queer people's digital tactics of negotiating visibility and establishing queer connections. Based on extensive research from 2020 to 2023 on Douyin, this paper unpacks how rather than relying on bounded LGBT identities to construct selfhood, Chinese queer influencers resort to the tactic of performing lowbrowness to build online personas and to achieve queer visibility. The performed lowbrowness ostensibly signifies a cultural taste, but queer influencers imbue these classed signs with queer meanings, using them to re-signify unconventional genders and/or sexualities. This project brings to light Chinese queer people's digital agency to navigate today's media regulations. It also shows how Chinese digital queer politics may not be intelligible to, and contest the discourses of, queer liberalism.</t>
  </si>
  <si>
    <t>[Zhou, Zhiqiu Benson] New York Univ Shanghai, Global China Studies, Shanghai, Peoples R China</t>
  </si>
  <si>
    <t>NYU Shanghai</t>
  </si>
  <si>
    <t>Zhou, ZQB (corresponding author), New York Univ Shanghai, 567 West Yangsi Rd, Shanghai 200126, Peoples R China.</t>
  </si>
  <si>
    <t>zzhou@nyu.edu</t>
  </si>
  <si>
    <t>Zhou, Zhiqiu/AAU-2182-2021</t>
  </si>
  <si>
    <t>Zhou, Zhiqiu Benson/0000-0003-2238-5178</t>
  </si>
  <si>
    <t>2024 JUL 27</t>
  </si>
  <si>
    <t>10.1177/14614448241266984</t>
  </si>
  <si>
    <t>ZV4J5</t>
  </si>
  <si>
    <t>WOS:001278046200001</t>
  </si>
  <si>
    <t>Rogier, G; Muzi, S; Pace, CS</t>
  </si>
  <si>
    <t>Rogier, Guyonne; Muzi, Stefania; Pace, Cecilia Serena</t>
  </si>
  <si>
    <t>Social media misuse explained by emotion dysregulation and self-concept: an ecological momentary assessment approach</t>
  </si>
  <si>
    <t>COGNITION &amp; EMOTION</t>
  </si>
  <si>
    <t>Social media misuse; emotion dysregulation; negative affect; self-concept clarity; ecological momentary assessment</t>
  </si>
  <si>
    <t>NEGATIVE AFFECT; CONCEPT CLARITY; NETWORKING; ADDICTION; VALIDATION; IDENTITY; DIFFICULTIES; VALIDITY; INTERNET; ANXIETY</t>
  </si>
  <si>
    <t>Studies suggested that emotion dysregulation and identity processes are involved in social media (SM) misuse, even if their proximal role has not been investigated. Previous studies rarely discriminated between specific activities or between types of SM. We recruited 50 young adults and implemented a momentary ecological assessment measurement. Four times by day, during seven days, we measured SM use, frequency of several activities on SM, emotion dysregulation, distress and clarity of self-concept. Daily time spent on Facebook, Instagram and TikTok were retrieved from devices. Intradaily changes in emotion dysregulation and clarity of self-concept predict changes in SM addiction symptoms and frequency of use according to the type of activity. Daily changes in time spent on SM were not predicted by emotion dysregulation, distress and self-concept clarity. Findings suggest that emotion dysregulation and poor self-concept clarity are proximal risk factors for SM misuse.</t>
  </si>
  <si>
    <t>[Rogier, Guyonne; Muzi, Stefania; Pace, Cecilia Serena] Univ Genoa, Dept Educ Sci, Corso Podesta 2, I-16128 Genoa, Italy</t>
  </si>
  <si>
    <t>University of Genoa</t>
  </si>
  <si>
    <t>Rogier, G (corresponding author), Univ Genoa, Dept Educ Sci, Corso Podesta 2, I-16128 Genoa, Italy.</t>
  </si>
  <si>
    <t>guyonne.rogier@gmail.com</t>
  </si>
  <si>
    <t>rogier, guyonne/AAA-3025-2022; Muzi, Stefania/IQU-3597-2023</t>
  </si>
  <si>
    <t>Pace, Cecilia Serena/0000-0002-1540-3027; Muzi, Stefania/0000-0001-8332-1931</t>
  </si>
  <si>
    <t>0269-9931</t>
  </si>
  <si>
    <t>1464-0600</t>
  </si>
  <si>
    <t>COGNITION EMOTION</t>
  </si>
  <si>
    <t>Cogn. Emot.</t>
  </si>
  <si>
    <t>10.1080/02699931.2024.2363413</t>
  </si>
  <si>
    <t>UJ4F8</t>
  </si>
  <si>
    <t>WOS:001247670400001</t>
  </si>
  <si>
    <t>Hodson, J; O'Meara, V</t>
  </si>
  <si>
    <t>Hodson, Jaigris; O'Meara, Victoria</t>
  </si>
  <si>
    <t>Curating Hope: The Aspirational Self and Social Engagement in Early-Onset Cancer Communities on Social Media</t>
  </si>
  <si>
    <t>cancer communication; hermeneutic phenomenology; Instagram; social media; TikTok</t>
  </si>
  <si>
    <t>CONTEXT COLLAPSE; FACEBOOK; PRIVACY; SUPPORT</t>
  </si>
  <si>
    <t>Early-onset cancer patients, survivors and caregivers have unique needs in comparison to their older counterparts. As a result, they often turn to social media to find others with similar experiences. This study employs hermeneutic phenomenology to understand the unique needs of early-onset cancer patients and caregivers as they engage with communities related to their illness across different social media platforms. Drawing from such theories as uses and gratifications, context collapse, and aspirational self-presentation, this study shows how people engaging with social media communities related to early-onset cancer employ affordances-in-practice, choosing what to post based both on the technical affordances of each platform, and on the audience they imagine to be on each platform. We find that in addition to seeking information and social support, participants in early-onset cancer communities use social media to seek hope. This finding suggests a nuanced reconsideration of the existing dichotomy between online authenticity and the aspirational self on social media platforms like Instagram.</t>
  </si>
  <si>
    <t>[Hodson, Jaigris] Royal Rd Univ, Victoria, BC, Canada; [O'Meara, Victoria] Royal Rd Univ, Coll Interdisciplinary Studies, Victoria, BC, Canada; [Hodson, Jaigris] Royal Rd Univ, 2005 Sooke Rd, Victoria, BC V9B 5Y2, Canada</t>
  </si>
  <si>
    <t>Hodson, J (corresponding author), Royal Rd Univ, 2005 Sooke Rd, Victoria, BC V9B 5Y2, Canada.</t>
  </si>
  <si>
    <t>jaigris.hodson@royalroads.ca</t>
  </si>
  <si>
    <t>Hodson, Jaigris/AAQ-7096-2021</t>
  </si>
  <si>
    <t>Government of Canada; Social Sciences and Humanities Research Council of Canada; Canada Research Chairs Program</t>
  </si>
  <si>
    <t>Government of Canada(CGIAR); Social Sciences and Humanities Research Council of Canada(Social Sciences &amp; Humanities Research Council of Canada (SSHRC)); Canada Research Chairs Program(Canada Research Chairs)</t>
  </si>
  <si>
    <t>The author(s) disclosed receipt of the following financial support for the research, authorship, and/or publication of this article: Government of Canada, Social Sciences and Humanities Research Council of Canada, Canada Research Chairs Program.</t>
  </si>
  <si>
    <t>10.1177/20563051231196868</t>
  </si>
  <si>
    <t>S2OO7</t>
  </si>
  <si>
    <t>WOS:001069617500001</t>
  </si>
  <si>
    <t>Weishampel, A; Staicu, AM; Rand, W</t>
  </si>
  <si>
    <t>Weishampel, Anthony; Staicu, Ana -Maria; Rand, William</t>
  </si>
  <si>
    <t>Classification of social media users with generalized functional data analysis</t>
  </si>
  <si>
    <t>COMPUTATIONAL STATISTICS &amp; DATA ANALYSIS</t>
  </si>
  <si>
    <t>Functional data; Classification; Binary series; Social media</t>
  </si>
  <si>
    <t>DENSITY; TIME</t>
  </si>
  <si>
    <t>Technological advancement has made possible the collection of data from social media platforms at unprecedented speed and volume. Current methods for analyzing such data lack interpretability, are computationally intensive, or require a rigid data specification. Functional data analysis enables the development of a flexible, yet interpretable, modeling framework to extract lower-dimensional relevant features of a user's posting behavior on social media, based on their posting activity over time. The extracted features can then be used to discriminate a malicious user from a genuine one. The proposed methodology can classify a binary time series in a computationally efficient manner and provides more insights into the posting behavior of social media agents. Performance of the method is illustrated numerically in simulation studies and on a motivating Twitter data set. The developed methods are applicable to other social media data, such as Facebook, Instagram, Reddit, or TikTok, or any form of digital interaction where the user's posting behavior is indicative of their user class.&amp; COPY; 2022 Elsevier B.V. All rights reserved.</t>
  </si>
  <si>
    <t>[Weishampel, Anthony] PepsiCoR&amp;D, Valhalla, NY USA; [Staicu, Ana -Maria] North Carolina State Univ, Dept Stat, Raleigh, NC 27695 USA; [Rand, William] North Carolina State Univ, Poole Coll Management, Raleigh, NC USA; [Staicu, Ana -Maria] North Carolina State Univ, Dept Stat, 2311 Stinson Dr, Raleigh, NC 27695 USA</t>
  </si>
  <si>
    <t>North Carolina State University; North Carolina State University; North Carolina State University</t>
  </si>
  <si>
    <t>Staicu, AM (corresponding author), North Carolina State Univ, Dept Stat, Raleigh, NC 27695 USA.;Staicu, AM (corresponding author), North Carolina State Univ, Dept Stat, 2311 Stinson Dr, Raleigh, NC 27695 USA.</t>
  </si>
  <si>
    <t>astaicu@ncsu.edu</t>
  </si>
  <si>
    <t>Rand, Bill/HLQ-7168-2023</t>
  </si>
  <si>
    <t>Staicu, Ana-Maria/0000-0002-7434-8726; Rand, William/0000-0002-8294-1757</t>
  </si>
  <si>
    <t>0167-9473</t>
  </si>
  <si>
    <t>1872-7352</t>
  </si>
  <si>
    <t>COMPUT STAT DATA AN</t>
  </si>
  <si>
    <t>Comput. Stat. Data Anal.</t>
  </si>
  <si>
    <t>10.1016/j.csda.2022.107647</t>
  </si>
  <si>
    <t>Computer Science, Interdisciplinary Applications; Statistics &amp; Probability</t>
  </si>
  <si>
    <t>Computer Science; Mathematics</t>
  </si>
  <si>
    <t>K6RB8</t>
  </si>
  <si>
    <t>WOS:001017682100001</t>
  </si>
  <si>
    <t>Gounaridis, D; Newell, JP</t>
  </si>
  <si>
    <t>Gounaridis, Dimitrios; Newell, Joshua P.</t>
  </si>
  <si>
    <t>The social anatomy of climate change denial in the United States</t>
  </si>
  <si>
    <t>RECOMMENDATIONS; DETERMINANTS; TWITTER</t>
  </si>
  <si>
    <t>Using data from Twitter (now X), this study deploys artificial intelligence (AI) and network analysis to map and profile climate change denialism across the United States. We estimate that 14.8% of Americans do not believe in climate change. This denialism is highest in the central and southern U.S. However, it also persists in clusters within states (e.g., California) where belief in climate change is high. Political affiliation has the strongest correlation, followed by level of education, COVID-19 vaccination rates, carbon intensity of the regional economy, and income. The analysis reveals how a coordinated social media network uses periodic events, such as cold weather and climate conferences, to sow disbelief about climate change and science, in general. Donald Trump was the strongest influencer in this network, followed by conservative media outlets and right-wing activists. As a form of knowledge vulnerability, climate denialism renders communities unprepared to take steps to increase resilience. As with other forms of misinformation, social media companies (e.g., X, Facebook, YouTube, TikTok) should flag accounts that spread falsehoods about climate change and collaborate on targeted educational campaigns.</t>
  </si>
  <si>
    <t>[Gounaridis, Dimitrios; Newell, Joshua P.] Univ Michigan, Sch Environm &amp; Sustainabil, Ann Arbor, MI 48109 USA</t>
  </si>
  <si>
    <t>Newell, JP (corresponding author), Univ Michigan, Sch Environm &amp; Sustainabil, Ann Arbor, MI 48109 USA.</t>
  </si>
  <si>
    <t>jpnewell@umich.edu</t>
  </si>
  <si>
    <t>Gounaridis, Dimitrios/V-1789-2017; Newell, Joshua/J-6665-2016</t>
  </si>
  <si>
    <t>Newell, Joshua/0000-0002-1440-8715</t>
  </si>
  <si>
    <t>Propelling Original Data Science (PODS) Grant from Michigan Institute for Data Science (MIDAS); Themes grants from the School for Environment and Sustainability (University of Michigan)</t>
  </si>
  <si>
    <t>This work was supported by a Propelling Original Data Science (PODS) Grant from Michigan Institute for Data Science (MIDAS) and from a Themes grants from the School for Environment and Sustainability (University of Michigan).</t>
  </si>
  <si>
    <t>10.1038/s41598-023-50591-6</t>
  </si>
  <si>
    <t>HX0J8</t>
  </si>
  <si>
    <t>WOS:001162688600001</t>
  </si>
  <si>
    <t>Moshnikov, I</t>
  </si>
  <si>
    <t>Moshnikov, Ilia</t>
  </si>
  <si>
    <t>THE USE OF THE KARELIAN LANGUAGE ONLINE: CURRENT TRENDS AND CHALLENGES</t>
  </si>
  <si>
    <t>EESTI JA SOOME-UGRI KEELETEADUSE AJAKIRI-JOURNAL OF ESTONIAN AND FINNO-UGRIC LINGUISTICS</t>
  </si>
  <si>
    <t>internet; Karelian; language revival; minority language; social media</t>
  </si>
  <si>
    <t>This article looks to analyze the use of the Karelian language on the internet and especially on social media platforms. The study is based on a survey carried out among Karelian speakers at the end of 2021. The survey was implemented in the Karelian language and received 161 responses, mostly from Finland, but also from Russia and other countries. The survey consists of questions related to the use of Karelian in daily life and online. The benefits, challenges, and needs related to the use of Karelian online are also explored. The results show that 40% of the respondents use the Karelian language online on a daily basis. Karelian is visible on all of the popular social media platforms, with the most popular being Facebook and Instagram, although the use of TikTok is still rare. However, it is considered that popular social media plat-forms would benefit from more content in Karelian, in order to support the visibility and revitalization of the Karelian language.</t>
  </si>
  <si>
    <t>[Moshnikov, Ilia] Univ Eastern Finland, Kuopio, Finland</t>
  </si>
  <si>
    <t>University of Eastern Finland</t>
  </si>
  <si>
    <t>Moshnikov, I (corresponding author), Univ Eastern Finland, Kuopio, Finland.</t>
  </si>
  <si>
    <t>ilia.moshnikov@uef.fi</t>
  </si>
  <si>
    <t>Onnenmaki Foundation</t>
  </si>
  <si>
    <t>I would like to thank the two anonymous reviewers of this article for their work and helpful suggestions. My colleagues Maria Kok and Eugenia Rykova found time to read and comment on the manuscript, so thank you for your help and comments. This research is based on work supported by the Onnenmaki Foundation.</t>
  </si>
  <si>
    <t>UNIV TARTU PRESS</t>
  </si>
  <si>
    <t>TARTU</t>
  </si>
  <si>
    <t>Ulikooli 18, TARTU, 50090, ESTONIA</t>
  </si>
  <si>
    <t>1736-8987</t>
  </si>
  <si>
    <t>2228-1339</t>
  </si>
  <si>
    <t>EESTI SOOME-UGRI KEE</t>
  </si>
  <si>
    <t>Eesti Soome</t>
  </si>
  <si>
    <t>10.12697/jeful.2022.13.2.09</t>
  </si>
  <si>
    <t>8C6SA</t>
  </si>
  <si>
    <t>WOS:000917734600003</t>
  </si>
  <si>
    <t>Nielsen, RK; Fletcher, R</t>
  </si>
  <si>
    <t>Nielsen, Rasmus Kleis; Fletcher, Richard</t>
  </si>
  <si>
    <t>Comparing the platformization of news media systems: A cross-country analysis</t>
  </si>
  <si>
    <t>Platformization; news use; journalism; comparative research; social media</t>
  </si>
  <si>
    <t>Platformization has been used to describe how platforms such as Facebook, Google, Twitter, WhatsApp and TikTok have become increasingly important for how people communicate and access information, including news. But to what extent have news media systems in different countries become platformized? Using online survey data from 46 countries, we show that: (a) although over 90% of internet users use at least one social platform, there are large country differences in the proportion that use them to access news; and (b) large country difference in the proportion that still go directly to news websites and apps. Furthermore, we find (c) that country differences at least partly reflect path dependency, more specifically the historic strength of the newspaper market leading to lower levels of news platformization and continued high levels of direct access. These findings show how platformization varies in different parts of the world, provide a framework for capturing how it changes over time, and highlight the potential benefits of bringing together platform studies and comparative media systems research.</t>
  </si>
  <si>
    <t>[Nielsen, Rasmus Kleis; Fletcher, Richard] Univ Oxford, Oxford, England; [Fletcher, Richard] Univ Oxford, Reuters Inst Study Journalism, 13 Norham Gardens, Oxford OX2 6PS, England</t>
  </si>
  <si>
    <t>University of Oxford; University of Oxford</t>
  </si>
  <si>
    <t>Fletcher, R (corresponding author), Univ Oxford, Reuters Inst Study Journalism, 13 Norham Gardens, Oxford OX2 6PS, England.</t>
  </si>
  <si>
    <t>richard.fletcher@politics.ox.ac.uk</t>
  </si>
  <si>
    <t>Fletcher, Richard/V-4402-2019</t>
  </si>
  <si>
    <t>Fletcher, Richard/0000-0002-5496-2112</t>
  </si>
  <si>
    <t>Google UK as part of the Google News Initiative</t>
  </si>
  <si>
    <t>Google UK as part of the Google News Initiative(Google Incorporated)</t>
  </si>
  <si>
    <t>The author(s) disclosed receipt of the following financial support for the research, authorship and/or publication of this article: This research was supported by Google UK as part of the Google News Initiative.</t>
  </si>
  <si>
    <t>10.1177/02673231231189043</t>
  </si>
  <si>
    <t>S6QU6</t>
  </si>
  <si>
    <t>WOS:001033354200001</t>
  </si>
  <si>
    <t>Gruzd, A; Saiphoo, A; Mai, P</t>
  </si>
  <si>
    <t>Gruzd, Anatoliy; Saiphoo, Alyssa; Mai, Philip</t>
  </si>
  <si>
    <t>Decentralizing Social Media: An Examination of Blockchain-based Social Media Adoption and Use based on the Unified Theory of Acceptance and Use of Technology (UTAUT)</t>
  </si>
  <si>
    <t>UTAUT; Behavioral intention; Social networks; Blockchain-based social media (BSM); Decentralized platforms; Technology adoption; User experiences; Content moderation; Human computer interaction (HCI)</t>
  </si>
  <si>
    <t>The study conducted semi-structured interviews with 31 early adopters of blockchain-based social media (BSM) platforms to understand their reasons for using these emerging platforms and to compare their usage with mainstream social media (MSM) platforms like Facebook and TikTok. Guided by the Unified Theory of Acceptance and Use of Technology (UTAUT) model, the manual content analysis of the interviews reveals that users' adoption of BSM platforms is primarily motivated by social influence, financial incentives, and a desire to bypass the content moderation policies implemented by MSM. At the same time, the steep learning curve, security and privacy concerns hinder the widespread adoption of these platforms. Finally, the study validates the suitability of the UTAUT model for examining the adoption and use of BSM platforms, but it also proposes to include two new factors, namely financial incentives and content moderation.</t>
  </si>
  <si>
    <t>[Gruzd, Anatoliy; Saiphoo, Alyssa; Mai, Philip] Toronto Metropolitan Univ, Toronto, ON, Canada</t>
  </si>
  <si>
    <t>Toronto Metropolitan University</t>
  </si>
  <si>
    <t>Gruzd, A (corresponding author), Toronto Metropolitan Univ, Toronto, ON, Canada.</t>
  </si>
  <si>
    <t>gruzd@torontomu.ca; alyssa.saiphoo@torontomu.ca; philip.mai@torontomu.ca</t>
  </si>
  <si>
    <t>Canada Research Chair program</t>
  </si>
  <si>
    <t>Canada Research Chair program(Canada Research Chairs)</t>
  </si>
  <si>
    <t>This research was funded in part by the Canada Research Chair program (PI: Gruzd). The authors thank all the participants who took part in the study, as well as the members of the Social Media Lab at Toronto Metropolitan University for their assistance in preparing the manuscript.</t>
  </si>
  <si>
    <t>10.1145/3603163.3609030</t>
  </si>
  <si>
    <t>WOS:001118858800013</t>
  </si>
  <si>
    <t>Villegas-Simón, I; Anglada-Pujol, O; Lloveras, MC; Oliva, M</t>
  </si>
  <si>
    <t>Villegas-Simon, Isabel; Anglada-Pujol, Ona; Castellvi Lloveras, Maria; Oliva, Merce</t>
  </si>
  <si>
    <t>I'm Not Just a Content Creator: Digital Cultural Communicators Dealing with Celebrity Capital and Online Communities</t>
  </si>
  <si>
    <t>microcelebrity; digital cultural communicators; digital content creators; social media; relational labor; emotional labor; celebrity capital; hate speech; community; field migration</t>
  </si>
  <si>
    <t>VISIBILITY; CELEBRIFICATION; LABOR; WORK</t>
  </si>
  <si>
    <t>This article focuses on a particular type of social media content creator: those specialized in culture, art, or political content (digital cultural communicators). Our main aim is to better understand digital cultural communicators' views on being or becoming a celebrity and their relationships and interactions with their audiences. To fulfill this aim, we draw upon in- depth interviews with 18 Spanish digital cultural communicators who post content on more than one platform (TikTok, YouTube, Instagram, and Twitch). The interviews were transcribed and qualitatively analyzed using thematic analysis and the software ATLAS.ti. The results show that digital cultural communicators try to distance themselves from social media celebrities and present themselves as legitimate cultural workers (and not just content creators). Their views on celebrities also shape their discourses about their audiences (presented as educated individuals) and how they deal with positive and negative comments.</t>
  </si>
  <si>
    <t>[Villegas-Simon, Isabel; Anglada-Pujol, Ona; Castellvi Lloveras, Maria; Oliva, Merce] Univ Pompeu Fabra, Barcelona, Spain</t>
  </si>
  <si>
    <t>Villegas-Simón, I (corresponding author), Univ Pompeu Fabra, Barcelona, Spain.</t>
  </si>
  <si>
    <t>isabelmaria.villegas@upf.edu; ona.anglada@upf.edu; maria.castellvi@upf.edu; merce.oliva@upf.edu</t>
  </si>
  <si>
    <t>Anglada-Pujol, Ona/IQV-5319-2023; Villegas Simón, Isabel/AGF-5536-2022; CASTELLVI, MARIA/ISB-6043-2023; Oliva, Merce/I-3539-2014</t>
  </si>
  <si>
    <t>Oliva, Merce/0000-0002-6812-737X</t>
  </si>
  <si>
    <t>Plan of Measures to Support Research-COFRE Program (Universitat Pompeu Fabra)</t>
  </si>
  <si>
    <t>This study has been funded by the Plan of Measures to Support Research-COFRE Program (Universitat Pompeu Fabra) 2020-2021.</t>
  </si>
  <si>
    <t>WOS:001111205800020</t>
  </si>
  <si>
    <t>Cleofas, JV; Albao, BT; Dayrit, JCS</t>
  </si>
  <si>
    <t>Cleofas, Jerome, V; Albao, Blulean T.; Dayrit, Julienne Celina S.</t>
  </si>
  <si>
    <t>Emerging Adulthood Uses and Gratifications of Social Media During the COVID- 19 Pandemic: A Mixed Methods Study Among Filipino College Students</t>
  </si>
  <si>
    <t>EMERGING ADULTHOOD</t>
  </si>
  <si>
    <t>COVID-19; emerging adulthood; mixed methods; pandemics; social media; uses and gratifications</t>
  </si>
  <si>
    <t>This exploratory mixed methods study examines how the emerging adulthood development tasks of autonomy, intimacy, and identity are reflected in the social media (SM) uses and gratifications during the COVID-19 pandemic. This research draws its analysis from qualitative and quantitative data from an online survey of 1003 Filipino college students aged 18-29. Convenient sampling was done via online recruitment on social media sites. Qualitative findings reveal subcategories characterizing how respondents use social media to meet three developmental needs of EA: ( I ) autonomy, by practicing informational control and performing adulthood-related tasks; (2) intimacy, by maintaining relationships with peers and family; and (3) identity, by engaging in educational experiences and in entertainment and self-expression. Quantitative strand results suggest that sex, household income, Instagram and Tiktok use, and the number of active SM sites are significantly associated with the use of SM for at least one emerging adulthood development task (p &lt; 0.05).</t>
  </si>
  <si>
    <t>[Cleofas, Jerome, V; Dayrit, Julienne Celina S.] De La Salle Univ, Dept Sociol &amp; Behav Sci, 2401 Taft Ave, Manila 1004, Philippines; [Albao, Blulean T.] De La Salle Univ, Integrated Sch, Senior High Sch Div, Arts &amp; Design Track Dept, Manila, Philippines</t>
  </si>
  <si>
    <t>Cleofas, JV (corresponding author), De La Salle Univ, Dept Sociol &amp; Behav Sci, 2401 Taft Ave, Manila 1004, Philippines.</t>
  </si>
  <si>
    <t>jerome.cleofas@disu.edu.ph</t>
  </si>
  <si>
    <t>Albao, Blulean/GRX-3876-2022; Cleofas, Jerome/ADK-1126-2022</t>
  </si>
  <si>
    <t>Albao, Blulean/0000-0002-4065-2607; Cleofas, Jerome/0000-0001-9203-0212</t>
  </si>
  <si>
    <t>2167-6968</t>
  </si>
  <si>
    <t>2167-6984</t>
  </si>
  <si>
    <t>EMERG ADULTHOOD</t>
  </si>
  <si>
    <t>Emerg. Adulthood</t>
  </si>
  <si>
    <t>10.1177/21676968221128621</t>
  </si>
  <si>
    <t>Family Studies; Psychology, Developmental; Psychology, Social</t>
  </si>
  <si>
    <t>Family Studies; Psychology</t>
  </si>
  <si>
    <t>5K5QR</t>
  </si>
  <si>
    <t>WOS:000854988300001</t>
  </si>
  <si>
    <t>De Bernardis, R; Barone, M; Persichetti, P</t>
  </si>
  <si>
    <t>De Bernardis, Riccardo; Barone, Mauro; Persichetti, Paolo</t>
  </si>
  <si>
    <t>Response to: Aesthetic Medicine Across Generations: Evolving Trends and Influences</t>
  </si>
  <si>
    <t>Aesthetic medicine; Generations; Social network; Artificial intelligence; Aesthetic trends</t>
  </si>
  <si>
    <t>This response addresses the evolving trends in aesthetic medicine as influenced by generational differences, particularly the roles of social media and self-expression. It highlights that Baby Boomers tend to prioritize corrective treatments, while Millennials and Generation Z focus on preventive measures and enhancements. The impact of platforms such as Instagram, YouTube, and TikTok in normalizing aesthetic procedures and shaping body image perceptions is discussed, with an emphasis on the psychological implications of these influences. Additionally, the response underscores the importance of addressing unrealistic beauty standards perpetuated by visual media and advocates for the integration of artificial intelligence to enhance patient experiences. Ultimately, understanding these generational dynamics is essential for healthcare professionals to effectively engage with patients and deliver tailored care that promotes overall well-being. Level of Evidence V This journal requires that authors assign a level of evidence to each article. For a full description of these Evidence-Based Medicine Ratings, please refer to Table of Contents or online Instructions to Authors www.springer.com/00266.</t>
  </si>
  <si>
    <t>[De Bernardis, Riccardo; Barone, Mauro; Persichetti, Paolo] Fdn Policlin Univ Campus Biomed, Via Alvaro Portillo,200, I-00128 Rome, Italy</t>
  </si>
  <si>
    <t>Fondazione Policlinico Universitario Campus Bio-Medico</t>
  </si>
  <si>
    <t>De Bernardis, R (corresponding author), Fdn Policlin Univ Campus Biomed, Via Alvaro Portillo,200, I-00128 Rome, Italy.</t>
  </si>
  <si>
    <t>riccardo.debernardis@unicampus.it</t>
  </si>
  <si>
    <t>2024 NOV 7</t>
  </si>
  <si>
    <t>10.1007/s00266-024-04507-y</t>
  </si>
  <si>
    <t>L5C6A</t>
  </si>
  <si>
    <t>WOS:001350895600005</t>
  </si>
  <si>
    <t>Li, ZQ; Wang, L</t>
  </si>
  <si>
    <t>Li, Ziqi; Wang, Li</t>
  </si>
  <si>
    <t>Investigating translanguaging strategies and online self-presentation through internet slang on Douyin (Chinese TikTok)</t>
  </si>
  <si>
    <t>APPLIED LINGUISTICS REVIEW</t>
  </si>
  <si>
    <t>translanguaging strategies; internet slang; Douyin; self-presentation; multimodal resources</t>
  </si>
  <si>
    <t>This study explores the translanguaging strategies used in internet slang on Douyin, a popular social media platform in China. By analyzing 331 examples (encompassing 313 translanguaging strategies), we investigate how individuals utilize various translanguaging resources, including multimodal, multilingual, multisemiotic, and multisensory resources, to manage their online self-presentation. Our findings suggest that multilingual resources, such as new Chinglish, Pinyin initialism, and hybrid words (combining Chinese, English, and Arabic numerals), were the most frequently used strategies. Additionally, we found that multisensory resources, including homophonic puns and modal particles, were also commonly utilized. In contrast, multimodal resources, such as emojis, and multisemiotic resources, such as keyboard-generated emoticon, hashtag, and punctuation mark, were less frequently employed. These findings reveal that Chinese internet users display a high degree of creativity and adaptability in their online communication, drawing on a wide range of linguistic and semiotic resources to express their identities and project their desired image. Overall, this study highlights the importance of translanguaging in online communication and its role in shaping self-presentation in the digital age.</t>
  </si>
  <si>
    <t>[Li, Ziqi; Wang, Li] Shanghai Normal Univ, Sch Foreign Languages, Shanghai, Peoples R China</t>
  </si>
  <si>
    <t>Shanghai Normal University</t>
  </si>
  <si>
    <t>Wang, L (corresponding author), Shanghai Normal Univ, Sch Foreign Languages, Shanghai, Peoples R China.</t>
  </si>
  <si>
    <t>1136952807@qq.com; wanglily22@shnu.edu.cn</t>
  </si>
  <si>
    <t>wang, li/0000-0002-3028-1347</t>
  </si>
  <si>
    <t>Shanghai Normal University's Comparative Linguistics and International Communication of Chinese Innovation Team</t>
  </si>
  <si>
    <t>1868-6303</t>
  </si>
  <si>
    <t>1868-6311</t>
  </si>
  <si>
    <t>APPL LINGUIST REV</t>
  </si>
  <si>
    <t>Appl. Linguist. Rev.</t>
  </si>
  <si>
    <t>NOV 26</t>
  </si>
  <si>
    <t>10.1515/applirev-2023-0094</t>
  </si>
  <si>
    <t>L6N0Z</t>
  </si>
  <si>
    <t>WOS:001173313700001</t>
  </si>
  <si>
    <t>Alshaikhi, OAM; Alshaikhi, SA; Alzubaidi, HAA; Alzubaidi, MAA; Alfaqih, HMH; Alrezqi, AAA; Alrashdi, MHS; Alzubaidi, AAA; Alshaikhi, MAM; Ghazy, RM; Alshaikh, AA</t>
  </si>
  <si>
    <t>Alshaikhi, Omar Ahmed M.; Alshaikhi, Saleh A.; Alzubaidi, Hassan Ali A.; Alzubaidi, Muslih Abdullah A.; Alfaqih, Hassan Mohammed H.; Alrezqi, Ahmed Ali A.; Alrashdi, Mohsen Hashem S.; Alzubaidi, Abdullah Ali A.; Alshaikhi, Mohannad Ahmed M.; Ghazy, Ramy M.; Alshaikh, Ayoub A.</t>
  </si>
  <si>
    <t>Social Media Effect on Personal Self-Esteem Among the Population in Saudi Arabia</t>
  </si>
  <si>
    <t>social media platform; rosenberg self-esteem scale; social media use; saudi population; self-esteem</t>
  </si>
  <si>
    <t>DEPRESSION; ADOLESCENT; BEHAVIORS; ANXIETY; HEALTH</t>
  </si>
  <si>
    <t>BackgroundSelf-esteem is a self-valuation; it is how people perceive their own worth and how valuable they believe they are to others. In this study, our primary objective was to explore the association between social media use and self-esteem among individuals who actively engage with social media platforms in Saudi Arabia.MethodThis study involved individuals aged 15 and above who are active social media users residing in Saudi Arabia. The data were collected through an anonymous online cross-sectional survey. Participants were recruited using snowball and convenience sampling method. A questionnaire was administered through Google Forms to collect data from participants. The questionnaire was structured into three sections, which included gathering social and demographic information, assessing personal usage patterns, and evaluating individual self-esteem levels using an Arabic valid version of the Rosenberg Self-Esteem Scale.ResultsThe survey included a total of 2,551 participants. Among them, 51.3% (n = 1,309) were female, 29% (n = 741) fell within the 21-25 age group, 95.7% (n = 2,441) were of Saudi nationality, and 51.6% (n = 1,316) were single. The social media platform most frequently used by participants was TikTok 98.5% (n = 2,512), followed by Facebook 95.7% (n = 2,441), Telegram 89.8% (n = 2,291), YouTube 72.2% (n = 1,942), WhatsApp 66.0% (n = 1,683), and finally, Snapchat 30.7% (n = 1,769). In total, 14.3% (n= 366) have low self-esteem, participants scored around 16.10 +/- 1.80, ranging from 5 to 25. The following variables were significantly associated with self-esteem: female sex (83.88% vs 87.52%, X-2 = 6.87, p = 0.009), nationality (X-2 = 13.507, p &lt; 0.001), marital status (X-2 = 12.313, p = 0.006), region (X-2 = 18.36, p = 0.001), using Tik Tok (X-2 = 4.11, p = 0.043), the frequency of posting comments (X-2 = 12.01, p = 0.017), comparing oneself to others (X-2 = 27.94, p &lt; 0.001), using social media because of weak personal communication (X-2 = 6.56, p = 0.010), using social media to follow news (X-2 = 6.89, p = 0.009), and the perceived effect of social media (X-2 = 16.28, p &lt; 0.001).ConclusionsOur findings revealed that a minority of participants exhibited low self-esteem, and individuals from the Northern region were more likely to report such issues. Sociodemographic factors, including gender, nationality, and marital status, demonstrated associations with self-esteem. Additionally, the frequency of comments, TikTok usage, and peer comparison significantly influenced self-esteem levels.</t>
  </si>
  <si>
    <t>[Alshaikhi, Omar Ahmed M.] Minist Hlth, Dept Family Med, Al Qunfudah, Saudi Arabia; [Alshaikhi, Saleh A.] Minist Hlth, Dept Family Med &amp; Diabet Management, Al Qunfudah, Saudi Arabia; [Alzubaidi, Hassan Ali A.; Alzubaidi, Muslih Abdullah A.; Alfaqih, Hassan Mohammed H.; Alrezqi, Ahmed Ali A.; Alrashdi, Mohsen Hashem S.; Alzubaidi, Abdullah Ali A.; Alshaikhi, Mohannad Ahmed M.] Umm Al Qura Univ, Dept Med &amp; Surg, Al Qunfudhah, Saudi Arabia; [Ghazy, Ramy M.] Alexandria Univ, High Inst Publ Hlth, Dept Trop Hlth, Alexandria, Egypt; [Alshaikh, Ayoub A.] King Khalid Univ, Dept Family &amp; Community Med, Abha, Saudi Arabia</t>
  </si>
  <si>
    <t>Umm Al Qura University; Egyptian Knowledge Bank (EKB); Alexandria University; King Khalid University</t>
  </si>
  <si>
    <t>Alzubaidi, HAA (corresponding author), Umm Al Qura Univ, Dept Med &amp; Surg, Al Qunfudhah, Saudi Arabia.</t>
  </si>
  <si>
    <t>hassanalzubaidi112@gmail.com</t>
  </si>
  <si>
    <t>Ghazy, Ramy/AAH-4373-2019</t>
  </si>
  <si>
    <t>e49543</t>
  </si>
  <si>
    <t>10.7759/cureus.49543</t>
  </si>
  <si>
    <t>CF5W1</t>
  </si>
  <si>
    <t>WOS:001123858700014</t>
  </si>
  <si>
    <t>Li, DM; Chow, UT; Cheong, CYM</t>
  </si>
  <si>
    <t>Li, Dongmei; Chow, Ung T'chiang; Cheong, Cecilia Yin Mei</t>
  </si>
  <si>
    <t>A Critical Genre Analysis of Covert Advertising Through Short-Videos in Douyin: The Chinese Version of Tik-Tok</t>
  </si>
  <si>
    <t>critical genre analysis; short-video advertisements; Douyin; covert advertising; new media genres</t>
  </si>
  <si>
    <t>PERSUASION KNOWLEDGE; SPONSORSHIP TRANSPARENCY; CONSUMERS ATTITUDES; PRODUCT PLACEMENTS; DISCLOSURE; INTERDISCURSIVITY; RECOGNITION; INTENTION; DECEPTION; MEMORY</t>
  </si>
  <si>
    <t>Short-video social media is becoming a major advertising tool in the digital age. Covert advertising is increasingly used as a major strategy to effectively promote a product. This study aims to explore the genre of covert short-video advertisements launched in Douyin-the Chinese version of TikTok. It integrates Bhatia's critical genre analysis approach with Kress and van Leeuwen's Multimodal Discourse Analysis approach as the conceptual framework. The researchers selected 100 covert short-video advertisements in Douyin for analysis. The findings demonstrate how this genre is manipulated to exploit consumerism, to shape consumer culture and to drive business growth through rhetorical moves, interdiscursivity and exploitation of multimodal resources. This study not only gives insight into the less explored deceptive new media genre but also contributes to recognition of covert short-video advertising and methods in analyzing genres in the age of new media.</t>
  </si>
  <si>
    <t>[Li, Dongmei; Chow, Ung T'chiang; Cheong, Cecilia Yin Mei] Univ Malaya, Fac Languages &amp; Linguist, Kuala Lumpur 50603, Malaysia</t>
  </si>
  <si>
    <t>Chow, UT (corresponding author), Univ Malaya, Fac Languages &amp; Linguist, Kuala Lumpur 50603, Malaysia.</t>
  </si>
  <si>
    <t>chowut@um.edu.my</t>
  </si>
  <si>
    <t>CHOW, UNG T'CHIANG/B-8409-2010; Cheong, Cecilia Yin Mei/B-8343-2010</t>
  </si>
  <si>
    <t>Li, Dongmei/0000-0001-8599-5913; Cheong, Cecilia Yin Mei/0000-0003-1674-5763; Chow, Ung T'chiang/0000-0002-2795-0773</t>
  </si>
  <si>
    <t>10.1177/21582440221134608</t>
  </si>
  <si>
    <t>7S9KB</t>
  </si>
  <si>
    <t>WOS:000911068800001</t>
  </si>
  <si>
    <t>Mittmann, G; Woodcock, K; Dörfler, S; Krammer, I; Pollak, I; Schrank, B</t>
  </si>
  <si>
    <t>Mittmann, Gloria; Woodcock, Kate; Doerfler, Sylvia; Krammer, Ina; Pollak, Isabella; Schrank, Beate</t>
  </si>
  <si>
    <t>TikTok Is My Life and Snapchat Is My Ventricle: A Mixed-Methods Study on the Role of Online Communication Tools for Friendships in Early Adolescents</t>
  </si>
  <si>
    <t>JOURNAL OF EARLY ADOLESCENCE</t>
  </si>
  <si>
    <t>friendship; academic; school transitions; communication; media &amp; technology; peer relationships</t>
  </si>
  <si>
    <t>SOCIAL NETWORKING; DEVELOPMENTAL-CHANGES; PEER RELATIONS; MEDIA USE; FACEBOOK; ANXIETY; PREADOLESCENTS; PERCEPTIONS; ISSUES</t>
  </si>
  <si>
    <t>Early adolescents are frequent users of online communication tools (OCTs). Yet, we have limited knowledge about how OCTs influence this population and their friendships. We sought opinions of 938 Austrian early adolescents on the role of OCTs for their friendships via a questionnaire and 207 focus groups. Thematic analysis was used to analyze the focus groups. We found that despite the emergence of some online-specific aggression, OCTs are perceived as beneficial for friendships. Early adolescents use online spaces naturally and differentiate little between online and offline communication. Only when it comes to high levels of intimacy, early adolescents also need an offline setting to fulfill their communication need. Online communication tools, especially newer forms such as online gaming, can surpass a mere communicative function and provide a space for building and maintaining friendships. In the future, OCTs should be considered as a tool to facilitate positive development in early adolescents.</t>
  </si>
  <si>
    <t>[Mittmann, Gloria; Doerfler, Sylvia; Krammer, Ina; Pollak, Isabella; Schrank, Beate] Karl Landsteiner Univ Hlth Sci, Ludwig Boltzmann Soc, DOT Res Grp Mental Hlth Children &amp; Adolescents, Dr Karl Dorrek Str 30, A-3500 Krems On The Danube, Austria; [Woodcock, Kate; Pollak, Isabella] Univ Birmingham, Sch Psychol, Ctr Appl Psychol, Birmingham, W Midlands, England; [Schrank, Beate] Karl Landsteiner Univ Hlth Sci, Univ Hosp Tulln, Dept Psychiat &amp; Psychotherapy, Tulln, Austria</t>
  </si>
  <si>
    <t>Ludwig Boltzmann Institute; University of Birmingham</t>
  </si>
  <si>
    <t>Mittmann, G (corresponding author), Karl Landsteiner Univ Hlth Sci, Ludwig Boltzmann Soc, DOT Res Grp Mental Hlth Children &amp; Adolescents, Dr Karl Dorrek Str 30, A-3500 Krems On The Danube, Austria.</t>
  </si>
  <si>
    <t>gloria.mittmann@kl.ac.at</t>
  </si>
  <si>
    <t>Woodcock, Kate/AAH-6046-2019</t>
  </si>
  <si>
    <t>Mittmann, Gloria/0000-0003-2750-7779; Krammer, Ina/0000-0002-7514-3925; Pollak, Isabella/0000-0001-9842-0385; Woodcock, Kate/0000-0002-8884-2020</t>
  </si>
  <si>
    <t>Ludwig Boltzmann Society; Karl Landsteiner University</t>
  </si>
  <si>
    <t>The author(s) disclosed receipt of the following financial support for the research, authorship, and/or publication of this article: This research was supported by Ludwig Boltzmann Society and Karl Landsteiner University.</t>
  </si>
  <si>
    <t>0272-4316</t>
  </si>
  <si>
    <t>1552-5449</t>
  </si>
  <si>
    <t>J EARLY ADOLESCENCE</t>
  </si>
  <si>
    <t>J. Early Adolesc.</t>
  </si>
  <si>
    <t>10.1177/02724316211020368</t>
  </si>
  <si>
    <t>Family Studies; Psychology, Developmental</t>
  </si>
  <si>
    <t>YM9AN</t>
  </si>
  <si>
    <t>WOS:000657978400001</t>
  </si>
  <si>
    <t>Liu, H; Miao, CZ</t>
  </si>
  <si>
    <t>Liu, Hong; Miao, Chunzi</t>
  </si>
  <si>
    <t>Digital geopolitics in a VUCA world: China encounters a new global order</t>
  </si>
  <si>
    <t>GLOBAL POLICY</t>
  </si>
  <si>
    <t>TD-SCDMA; MODEL; GLOBALIZATION; STANDARD</t>
  </si>
  <si>
    <t>This article examines the evolving landscape of digital geopolitics, with a focus on the intensifying technological rivalry between the United States and China. It discusses how digital transformation is reshaping global power structures, influenced by and contributing to the bifurcation of the world through strategic initiatives and differing digital ecosystems. The article distinguishes digital geopolitics from conventional geopolitics and techno-nationalism on several fronts: the shift from hard power centred on territorial control to digital dominance; the transcendence of geographical boundaries that have conventionally defined geopolitical conflicts; the evolution from traditional political alliances to strategic technological partnerships; and the competition over setting international standards. Additionally, it addresses how corporate power plays a pivotal role in this new era, contributing to the shaping of the digital geopolitical landscape. Through case studies of Huawei and TikTok, this article demonstrates the influence of digital geopolitics on international business (and vice versa) as well as the intensified bifurcation of the digital ecosystems. The article concludes by arguing that digital geopolitics serves as both the by-product of and contributor to the volatile, uncertain, complex and ambiguous (VUCA) world in which China is encountering a new global order.</t>
  </si>
  <si>
    <t>[Liu, Hong; Miao, Chunzi] Nanyang Technol Univ, 50 Nanyang Ave, Singapore 639798, Singapore</t>
  </si>
  <si>
    <t>Miao, CZ (corresponding author), Nanyang Technol Univ, 50 Nanyang Ave, Singapore 639798, Singapore.</t>
  </si>
  <si>
    <t>chunzi001@e.ntu.edu.sg</t>
  </si>
  <si>
    <t>Liu, Hong/0000-0003-3328-8429</t>
  </si>
  <si>
    <t>Nanyang Technological University; Nanyang Technological University Singapore</t>
  </si>
  <si>
    <t>Nanyang Technological University(Nanyang Technological University); Nanyang Technological University Singapore(Nanyang Technological University)</t>
  </si>
  <si>
    <t>The authors thank Professor Jinghan Zeng for his constructive comments on the earlier version of this paper. Hong Liu acknowledges the funding support from Nanyang Technological University Singapore for a research grant entitled 'A Globalising China in a VUCA World'. The authors are solely responsible for the views expressed in the article.</t>
  </si>
  <si>
    <t>1758-5880</t>
  </si>
  <si>
    <t>1758-5899</t>
  </si>
  <si>
    <t>GLOB POLICY</t>
  </si>
  <si>
    <t>Glob. Policy</t>
  </si>
  <si>
    <t>10.1111/1758-5899.13435</t>
  </si>
  <si>
    <t>J6Q7X</t>
  </si>
  <si>
    <t>WOS:001338300200008</t>
  </si>
  <si>
    <t>Ren, QT</t>
  </si>
  <si>
    <t>Ren, Qitian</t>
  </si>
  <si>
    <t>Advertising and Content Creation on Digital Content Platforms</t>
  </si>
  <si>
    <t>advertising; revenue sharing; digital platforms; content creation; creator economy; game theory</t>
  </si>
  <si>
    <t>MEDIA; COMPETITION</t>
  </si>
  <si>
    <t>This paper investigates the interplay between advertising and decentralized content creation on digital content platforms, such as YouTube, TikTok, and Instagram. Unlike traditional media, content on these platforms is produced by numerous creators competing for viewer attention. This study addresses how a platform's advertising policy (specifically, the level of advertising embedded in organic content) and various market factors, including viewers' satiation rates and their distaste for ads, influence decentralized content creation, exploring the ensuing implications for the platform's advertising and revenue-sharing policy design. Using a game-theoretical model, the research reveals that the level of advertising, viewers' satiation rates, and their distaste for ads can have a nonmonotonic impact on the equilibrium content quality. Contrary to conventional wisdom, a low level of advertising could be advantageous for platforms when viewers are inclined to consume high volumes of content, factoring in the strategic influence on content creation. Additionally, revenue sharing with creators depends on factors such as the viewers' satiation rates and the creators' creative costs. This study offers content platforms strategic guidance on refining their advertising and revenue-sharing policies in the creator economy.</t>
  </si>
  <si>
    <t>[Ren, Qitian] Chinese Univ Hong Kong, Mkt, Shenzhen 518172, Peoples R China</t>
  </si>
  <si>
    <t>The Chinese University of Hong Kong, Shenzhen</t>
  </si>
  <si>
    <t>Ren, QT (corresponding author), Chinese Univ Hong Kong, Mkt, Shenzhen 518172, Peoples R China.</t>
  </si>
  <si>
    <t>renqitian@cuhk.edu.cn</t>
  </si>
  <si>
    <t>Ren, Qitian/0000-0001-9935-7883</t>
  </si>
  <si>
    <t>National Natural Science Foundation of China [72332004]</t>
  </si>
  <si>
    <t>Funding: This work was supported by the National Natural Science Foundation of China [Grant 72332004] .</t>
  </si>
  <si>
    <t>10.1287/mksc.2022.0387</t>
  </si>
  <si>
    <t>ZO7T1</t>
  </si>
  <si>
    <t>WOS:001120949300001</t>
  </si>
  <si>
    <t>Hu, J; Liao, X; Wang, W; Qin, Z</t>
  </si>
  <si>
    <t>Hu, Juan; Liao, Xin; Wang, Wei; Qin, Zheng</t>
  </si>
  <si>
    <t>Detecting Compressed Deepfake Videos in Social Networks Using Frame-Temporality Two-Stream Convolutional Network</t>
  </si>
  <si>
    <t>IEEE TRANSACTIONS ON CIRCUITS AND SYSTEMS FOR VIDEO TECHNOLOGY</t>
  </si>
  <si>
    <t>Videos; Information integrity; Feature extraction; Streaming media; Faces; Forensics; Social networking (online); Video forensics; compressed Deepfake videos; frame-level stream; temporality-level stream</t>
  </si>
  <si>
    <t>FORENSICS</t>
  </si>
  <si>
    <t>The development of technologies that can generate Deepfake videos is expanding rapidly. These videos are easily synthesized without leaving obvious traces of manipulation. Though forensically detection in high-definition video datasets has achieved remarkable results, the forensics of compressed videos is worth further exploring. In fact, compressed videos are common in social networks, such as videos from Instagram, Wechat, and Tiktok. Therefore, how to identify compressed Deepfake videos becomes a fundamental issue. In this paper, we propose a two-stream method by analyzing the frame-level and temporality-level of compressed Deepfake videos. Since the video compression brings lots of redundant information to frames, the proposed frame-level stream gradually prunes the network to prevent the model from fitting the compression noise. Aiming at the problem that the temporal consistency in Deepfake videos might be ignored, we apply a temporality-level stream to extract temporal correlation features. When combined with scores from the two streams, our proposed method performs better than the state-of-the-art methods in compressed Deepfake videos detection.</t>
  </si>
  <si>
    <t>[Hu, Juan; Liao, Xin; Qin, Zheng] Hunan Univ, Coll Comp Sci &amp; Elect Engn, Changsha 410082, Peoples R China; [Liao, Xin] Chinese Acad Sci, Inst Informat Engn, State Key Lab Informat Secur, Beijing 100093, Peoples R China; [Wang, Wei] Chinese Acad Sci, Inst Automat, Natl Lab Pattern Recognit, Beijing 100190, Peoples R China</t>
  </si>
  <si>
    <t>Hunan University; Chinese Academy of Sciences; Institute of Information Engineering, CAS; Chinese Academy of Sciences; Institute of Automation, CAS</t>
  </si>
  <si>
    <t>Liao, X (corresponding author), Hunan Univ, Coll Comp Sci &amp; Elect Engn, Changsha 410082, Peoples R China.;Liao, X (corresponding author), Chinese Acad Sci, Inst Informat Engn, State Key Lab Informat Secur, Beijing 100093, Peoples R China.</t>
  </si>
  <si>
    <t>hujuan@hnu.edu.cn; xinliao@hnu.edu.cn; wwang@nlpr.ia.ac.cn; zqin@hnu.edu.cn</t>
  </si>
  <si>
    <t>Wang, Wei/B-1793-2013; Liao, Xin/ITT-1021-2023</t>
  </si>
  <si>
    <t>Wang, Wei/0000-0002-8598-0831; Qin, Zheng/0000-0003-0877-3887; Liao, Xin/0000-0002-9131-0578</t>
  </si>
  <si>
    <t>National Natural Science Foundation of China [61972142, 61972395, 61772191]; Hunan Provincial Natural Science Foundation of China [2020JJ4212]; Key Lab of Information Network Security, Ministry of Public Security [C20611]; Science and Technology Program of Changsha [kq2004021]</t>
  </si>
  <si>
    <t>National Natural Science Foundation of China(National Natural Science Foundation of China (NSFC)); Hunan Provincial Natural Science Foundation of China(Natural Science Foundation of Hunan Province); Key Lab of Information Network Security, Ministry of Public Security; Science and Technology Program of Changsha</t>
  </si>
  <si>
    <t>This work was supported in part by the National Natural Science Foundation of China under Grant 61972142, Grant 61972395, and Grant 61772191; in part by the Hunan Provincial Natural Science Foundation of China under Grant 2020JJ4212; in part by the Key Lab of Information Network Security, Ministry of Public Security under Grant C20611; and in part by the Science and Technology Program of Changsha under Grant kq2004021. This article was recommended by Associate Editor J.-M. Guo.</t>
  </si>
  <si>
    <t>1051-8215</t>
  </si>
  <si>
    <t>1558-2205</t>
  </si>
  <si>
    <t>IEEE T CIRC SYST VID</t>
  </si>
  <si>
    <t>IEEE Trans. Circuits Syst. Video Technol.</t>
  </si>
  <si>
    <t>10.1109/TCSVT.2021.3074259</t>
  </si>
  <si>
    <t>ZP8XH</t>
  </si>
  <si>
    <t>WOS:000766700400017</t>
  </si>
  <si>
    <t>Irfan, E; Ali, Y; Sabir, M</t>
  </si>
  <si>
    <t>Irfan, Erum; Ali, Yousaf; Sabir, Muhammad</t>
  </si>
  <si>
    <t>Analysing role of businesses' investment in digital literacy: A case of Pakistan</t>
  </si>
  <si>
    <t>Digital; Economy; Literacy; ICT; MRA; Pakistan</t>
  </si>
  <si>
    <t>The digital economy in Pakistan holds abundant potential, yet its existence is far from commonplace for ordinary Pakistani citizens. Understanding and implementing strategies to expedite the onboarding of masses onto digital platforms is paramount for Pakistan's digital economy. This study aims to examine and confirm whether digital transactions can be increased by improved digital literacy of customers. The idea is to find whether companies that invest in digital literacy can reap benefits in the form of increased transactions. The novelty of this research topic lies in the fact that research about digital literacy and the digital economy, especially in association with one another, is scarce worldwide. The subject provides a theoretical foundation for developing countries like Pakistan, where digital technologies, unsatisfactory literacy rates, and low internet penetration exist. The study uses multiple linear regression models and found that digital literacy and digital media usage enablers influence digital sales and transactions in Pakistan. The practical implication of the finding can be linked with digital economy development in Pakistan in the form of the establishment of various new apps and businesses in transportation (Careem, Bykea), food (Foodpanda) and social media (TikTok).</t>
  </si>
  <si>
    <t>[Irfan, Erum] Ghulam Ishaq Khan Inst Engn Sci &amp; Technol, Sch Management Sci, Engn Management, Swabi, Kpk, Pakistan; [Ali, Yousaf] Ghulam Ishaq Khan Inst Engn Sci &amp; Technol, Sch Management Sci, Swabi, Kpk, Pakistan; [Sabir, Muhammad] Natl Univ Sci &amp; Technol, NUST Business Sch, Islamabad, Pakistan</t>
  </si>
  <si>
    <t>GIK Institute Engineering Science &amp; Technology; GIK Institute Engineering Science &amp; Technology; National University of Sciences &amp; Technology - Pakistan</t>
  </si>
  <si>
    <t>Ali, Y (corresponding author), Ghulam Ishaq Khan Inst Engn Sci &amp; Technol, Sch Management Sci, Swabi, Kpk, Pakistan.</t>
  </si>
  <si>
    <t>yousafkhan@giki.edu.pk</t>
  </si>
  <si>
    <t>Sabir, Muhammad/AAE-7923-2019; Ali, Yousaf/ABJ-3633-2022</t>
  </si>
  <si>
    <t>10.1016/j.techfore.2022.121484</t>
  </si>
  <si>
    <t>1M1XL</t>
  </si>
  <si>
    <t>WOS:000799768700030</t>
  </si>
  <si>
    <t>Vélez, JRR; Caro, LCE</t>
  </si>
  <si>
    <t>Velez, Jairo Rolando Rizo; Caro, Lazaro Clodoaldo Enriquez</t>
  </si>
  <si>
    <t>Impact of Social Networks on Communications among Adolescents. Case Study in the ?Pedro Zambrano Barcia? Educational Unit in Portoviejo, Ecuador</t>
  </si>
  <si>
    <t>comunication; education; social media</t>
  </si>
  <si>
    <t>The participation of adolescents in social networks is increasing among students from different educational centers in Ecuador. Facebook, Twitter, TikTok and WhatsApp are some examples of these types of sites that are gaining popularity among these ages every day. The irruption of technology continues to pose challenges to education, especially in the area related to the ways and styles in which today's digital natives communicate with each other and share tastes, interests and motivations in a mostly virtual space. This article aims to analyze the impact of social networks on communication among adolescents of the Pedro Zambrano Barcia Educational Unit in Portoviejo. For them, a descriptive survey design applied to 250 students of the mentioned institution with ages between 13 and 18 years was used. From the very particular perspective of the adolescent objects of study, the impacts of social networks on their social life and on education were positive, however, teachers must take this issue into account within their focus of attention in the face of training. of students at these ages, since it could be compromised in some cases by excessive immersion in them.</t>
  </si>
  <si>
    <t>[Velez, Jairo Rolando Rizo] Univ Tecn Manabi, Educ Maestria Educ Menc Comunicac Educ, Inst Posgrad, Portoviejo, Ecuador; [Caro, Lazaro Clodoaldo Enriquez] Univ Tecn Manabi, Fac Filosofia Letras &amp; Ciencias Educ, Portoviejo, Ecuador</t>
  </si>
  <si>
    <t>Universidad Tecnica de Manabi; Universidad Tecnica de Manabi</t>
  </si>
  <si>
    <t>Vélez, JRR (corresponding author), Univ Tecn Manabi, Educ Maestria Educ Menc Comunicac Educ, Inst Posgrad, Portoviejo, Ecuador.</t>
  </si>
  <si>
    <t>jairorizo24@hotmail.com; azarocenriquezcaro@gmail.com</t>
  </si>
  <si>
    <t>C8OU2</t>
  </si>
  <si>
    <t>WOS:000964454800007</t>
  </si>
  <si>
    <t>Adriaansen, RJ</t>
  </si>
  <si>
    <t>Adriaansen, Robbert-Jan</t>
  </si>
  <si>
    <t>Dark Academia: Curating Affective History in a COVID-Era Internet Aesthetic</t>
  </si>
  <si>
    <t>INTERNATIONAL PUBLIC HISTORY</t>
  </si>
  <si>
    <t>dark academia; affect; curation; memory</t>
  </si>
  <si>
    <t>Dark academia is an 'internet aesthetic,' an aesthetic style used in posts on platforms such as TikTok, Instagram, and Tumblr that resonates the atmosphere of life in boarding schools, prep schools, and (Ivy League) colleges from the last decades of the nineteenth century up until the 1940s. It expresses a fascination with (neo-)gothic architecture; with tweed, lace, wool, and leather; with literature and art, and Romantic longing. Having been a main trend on social media platforms throughout the coronavirus pandemic, dark academia captures and facilitates cultural engagement in times of social isolation and closed college campuses. This article studies the dark academia aesthetic as a mnemonic curatorial practice with tendencies to counter hegemonic norms and narratives. Focusing on the affective dimensions of dark academia, this article argues that the aim of this internet aesthetic is to annul historical distance by capturing a mood and atmosphere associated with early twentieth-century campuses through the means of curated social media representations. This de-historicization allows for the renegotiation of values, like inscribing queerness - associated with secret queer romantics at gender-divided schools - into its representational language, without having to reassert historical gender binaries.</t>
  </si>
  <si>
    <t>[Adriaansen, Robbert-Jan] Erasmus Univ, Ctr Hist Culture, Erasmus Sch Hist Culture &amp; Commun, Rotterdam, Netherlands</t>
  </si>
  <si>
    <t>Erasmus University Rotterdam; Erasmus University Rotterdam - Excl Erasmus MC</t>
  </si>
  <si>
    <t>Adriaansen, RJ (corresponding author), Erasmus Univ, Ctr Hist Culture, Erasmus Sch Hist Culture &amp; Commun, Rotterdam, Netherlands.</t>
  </si>
  <si>
    <t>adriaansen@eshcc.eur.nl</t>
  </si>
  <si>
    <t>2567-1111</t>
  </si>
  <si>
    <t>INT PUBLIC HIST</t>
  </si>
  <si>
    <t>Int. Public HIst.</t>
  </si>
  <si>
    <t>DEC 30</t>
  </si>
  <si>
    <t>10.1515/iph-2022-2047</t>
  </si>
  <si>
    <t>History</t>
  </si>
  <si>
    <t>7G2QG</t>
  </si>
  <si>
    <t>WOS:000895462700001</t>
  </si>
  <si>
    <t>Duffy, BE; Meisner, C</t>
  </si>
  <si>
    <t>Duffy, Brooke Erin; Meisner, Colten</t>
  </si>
  <si>
    <t>Platform governance at the margins: Social media creators' experiences with algorithmic (in)visibility</t>
  </si>
  <si>
    <t>algorithms; creators; identity; platform governance; social media; visibility; work and labor</t>
  </si>
  <si>
    <t>INFLUENCERS; VISIBILITY; YOUTUBE; IF</t>
  </si>
  <si>
    <t>While champions of the new creative economy consistently hype the career possibilities furnished by YouTube, Instagram, TikTok, and the like, critics have cast a spotlight on the less auspicious elements of platform-dependent creative labor: exploitation, insecurity, and a culture of overwork. Social media creators are, moreover, beholden to the vagaries of platforms' inscrutable socio-technical systems, particularly the algorithms that enable (or - conversely - thwart) their visibility. This article draws upon in-depth interviews with 30 social media creators - sampled from historically marginalized identities and/or stigmatized content genres - to explore their perceptions of, and experiences with, algorithmic (in)visibility. Together, their accounts evince a shared understanding that platforms enact governance unevenly - be it through formal (human and/or automated content moderation) or informal (shadowbans, biased algorithmic boosts) means. Creators' understandings are implicated in experiential practices ranging from self-censorship to concerted efforts to circumvent algorithmic intervention. In closing, we consider how the regimes of discipline and punishment that structure the social media economy systematically disadvantage marginalized creators and cultural expressions deemed non-normative.</t>
  </si>
  <si>
    <t>[Duffy, Brooke Erin; Meisner, Colten] Cornell Univ, Mann Lib Bldg, Ithaca, NY 14853 USA</t>
  </si>
  <si>
    <t>Duffy, BE (corresponding author), Cornell Univ, Mann Lib Bldg, Ithaca, NY 14853 USA.</t>
  </si>
  <si>
    <t>bduffy@cornell.edu</t>
  </si>
  <si>
    <t>Duffy, Brooke/P-8567-2014</t>
  </si>
  <si>
    <t>Duffy, Brooke/0000-0001-6314-8027; Meisner, Colten/0000-0001-7398-2269</t>
  </si>
  <si>
    <t>Cornell Center for Social Sciences through a Collaborative Project Grant on Algorithms, Big Data, and Inequality</t>
  </si>
  <si>
    <t>The author(s) disclosed receipt of the following financial support for the research, authorship, and/or publication of this article: This work was supported by the Cornell Center for Social Sciences through a Collaborative Project Grant on Algorithms, Big Data, and Inequality.</t>
  </si>
  <si>
    <t>10.1177/01634437221111923</t>
  </si>
  <si>
    <t>WOS:000829117200001</t>
  </si>
  <si>
    <t>Navarro, C; Peres-Neto, L</t>
  </si>
  <si>
    <t>Navarro, Celina; Peres-Neto, Luiz</t>
  </si>
  <si>
    <t>Hair for Freedom Movement in Iran: Interreligious Dialogue in Social Media Activism?</t>
  </si>
  <si>
    <t>interreligious dialogue; social media; Iran; Masha Amini; hair for freedom</t>
  </si>
  <si>
    <t>NUMBER-METOO; TWITTER; INTERSECTIONALITY; AGENCY</t>
  </si>
  <si>
    <t>After the death of Masha Amini at the hands of the Iranian Morality Police for not wearing the hijab, in accordance with what they considered appropriate in September 2022, a social media campaign called Hair for Freedom was sparked on different platforms, with videos of women cutting their hair in protest over Iranian women's rights and Amini's death. This paper analyzes whether this digital feminist movement enacted an interreligious dialogue (IRD). Based on content analysis and topic modeling of the publications retrieved from three major platforms, Twitter, Instagram, and TikTok, the results indicate that this was mainly a Western movement focused on women's bodies as a political symbol in authoritarian Islamic regimes and has not achieved an IRD since most social media posts reproduced the hashtag #HairForFredom without opening a religious discussion. As observed in other digital movements, conclusions indicate that social media activism does not offer an opportunity to engage in dialogues to enlighten the public sphere. On the contrary, the focus appears to provide users with the opportunity to enhance their reputation by engaging in popular social media campaigns that promote social change.</t>
  </si>
  <si>
    <t>[Navarro, Celina] Autonomous Univ Barcelona, Dept Audiovisual Commun, Barcelona 08193, Spain; [Peres-Neto, Luiz] Autonomous Univ Barcelona, Dept Journalism &amp; Commun Sci, Barcelona 08193, Spain; [Peres-Neto, Luiz] Autonomous Univ Barcelona, Inst Commun, Barcelona 08193, Spain</t>
  </si>
  <si>
    <t>Autonomous University of Barcelona; Autonomous University of Barcelona; Autonomous University of Barcelona</t>
  </si>
  <si>
    <t>Navarro, C (corresponding author), Autonomous Univ Barcelona, Dept Audiovisual Commun, Barcelona 08193, Spain.</t>
  </si>
  <si>
    <t>celina.navarro@uab.cat</t>
  </si>
  <si>
    <t>Navarro, Celina/H-5958-2015; Peres-Neto, Luiz/ABF-8201-2021</t>
  </si>
  <si>
    <t>Peres-Neto, Luiz/0000-0001-8190-8720</t>
  </si>
  <si>
    <t>10.3390/rel14050602</t>
  </si>
  <si>
    <t>H7SY6</t>
  </si>
  <si>
    <t>WOS:000997929000001</t>
  </si>
  <si>
    <t>Malawer, SS</t>
  </si>
  <si>
    <t>Malawer, Stuart S.</t>
  </si>
  <si>
    <t>Trump, Recent Court Cases and the 2020 Presidential Election</t>
  </si>
  <si>
    <t>CHINA AND WTO REVIEW</t>
  </si>
  <si>
    <t>Section 232; National Security; Trade and National Emergencies; US Court of International Trade; 2020 Presidential Elections; John Bolton; TikTok; WeChat; CFIUS; Huawei</t>
  </si>
  <si>
    <t>In this essay, the author will discuss recent United States Supreme Court cases as well as international trade cases decided this year by the specialized international trade courts in the United States. Let me then discuss recent U.S. trade action concerning China and put this in the context of President Trump's generalized approach to China and international trade. This article will conclude with a few observations pertaining to the upcoming presidential election in the United States. The. Supreme Court recently ruled on two highly politicized and historic cases on executive power. What has been almost totally overlooked is an international trade decision by a three-judge panel of the United States Court of International Trade. That case and earlier trade cases indicate the start of a multifaceted attempt to restrict the president's trade policies. Either the 2020 presidential election will put a stop to President Trump's reliance on national security to establish disastrous trade policies, or the country will be in this mess for years to come.</t>
  </si>
  <si>
    <t>[Malawer, Stuart S.] 3351 Fairfax Dr,MS 3B1, Arlington, VA 22201 USA</t>
  </si>
  <si>
    <t>Malawer, SS (corresponding author), 3351 Fairfax Dr,MS 3B1, Arlington, VA 22201 USA.</t>
  </si>
  <si>
    <t>StuartMalawer@msn.com</t>
  </si>
  <si>
    <t>YIJUN INST INT LAW</t>
  </si>
  <si>
    <t>562 GWANGNARURO, KWANGJIN-GU, NO 201 KYUNGWOO BD, SEOUL, 05033, SOUTH KOREA</t>
  </si>
  <si>
    <t>2383-8221</t>
  </si>
  <si>
    <t>2384-4388</t>
  </si>
  <si>
    <t>CHINA WTO REV</t>
  </si>
  <si>
    <t>China WTO Rev.</t>
  </si>
  <si>
    <t>10.14330/cwr.2020.6.2.08</t>
  </si>
  <si>
    <t>NG2CB</t>
  </si>
  <si>
    <t>WOS:000563791900009</t>
  </si>
  <si>
    <t>Baggett, HC; Selman, KJ</t>
  </si>
  <si>
    <t>Baggett, Hannah Carson; Selman, Kaitlyn J.</t>
  </si>
  <si>
    <t>School Copaganda in the US South: Tinsel, twinkle, and police-youth programming</t>
  </si>
  <si>
    <t>CRIME MEDIA CULTURE</t>
  </si>
  <si>
    <t>Abolition; Copaganda; police PR; schools; youth programming</t>
  </si>
  <si>
    <t>EXCLUSION; SECURITY</t>
  </si>
  <si>
    <t>Told in schools across the US for decades, Officer Friendly is a story about policing. Through the literal reading of books like Miss Frances' 1953 Your Friend the Policeman, visits from McGruff the Crime Dog, and even the ever-expanding TikTok world of dancing SROs, the story remains the same: police keep us safe from the bad guys. In this paper, we draw on data from school and police social media accounts in a community in Alabama to expose the bad faith underpinnings of this story, and how it functions through 'friendly' police-youth programming in schools. This story relies on at least three narrative devices to move the plot forward: humanising the violent equipment/tools that police use to harass, maim, and wage death; legitimising the authority of the police through mentorship and education; and naturalising surveillance and suspicion by deputising a naughty pair of Elves on a Shelf. We conclude by proposing that the ultimate function of what we've detailed here - the rationale behind deploying these three narrative devices - is to construct a story through which, by the end, we've all been recruited into the 'pig majority'.</t>
  </si>
  <si>
    <t>[Baggett, Hannah Carson] Auburn Univ, Educ Res, Auburn, AL USA; [Selman, Kaitlyn J.] Illinois State Univ, Criminal Justice Sci, Normal, IL 61761 USA; [Selman, Kaitlyn J.] Illinois State Univ, Normal, IL 61761 USA</t>
  </si>
  <si>
    <t>Auburn University System; Auburn University; Illinois State University; Illinois State University</t>
  </si>
  <si>
    <t>Selman, KJ (corresponding author), Illinois State Univ, Normal, IL 61761 USA.</t>
  </si>
  <si>
    <t>kjselma@ilstu.edu</t>
  </si>
  <si>
    <t>Selman, Kaitlyn/0000-0001-5172-2941</t>
  </si>
  <si>
    <t>1741-6590</t>
  </si>
  <si>
    <t>1741-6604</t>
  </si>
  <si>
    <t>CRIME MEDIA CULT</t>
  </si>
  <si>
    <t>Crime Media Cult.</t>
  </si>
  <si>
    <t>10.1177/17416590241259662</t>
  </si>
  <si>
    <t>Criminology &amp; Penology; Sociology</t>
  </si>
  <si>
    <t>UE4X3</t>
  </si>
  <si>
    <t>WOS:001246383000001</t>
  </si>
  <si>
    <t>Sandoval-Almazan, R; Huelga, KN; Valle-Cruz, D</t>
  </si>
  <si>
    <t>Liao, HC; Cid, DD; Macadar, MA; Bernardini, F</t>
  </si>
  <si>
    <t>Sandoval-Almazan, Rodrigo; Huelga, Karla Negrete; Valle-Cruz, David</t>
  </si>
  <si>
    <t>Social media and Political Debates: the case of the State of Mexico election Social Media &amp; Political Debates: the case of Mexico 2023</t>
  </si>
  <si>
    <t>PROCEEDINGS OF THE 25TH ANNUAL INTERNATIONAL CONFERENCE ON DIGITAL GOVERNMENT RESEARCH, DGO 2024</t>
  </si>
  <si>
    <t>25th Annual International Conference on Digital Government Research (DGO) - Internet of Beings - Transforming Public Governance</t>
  </si>
  <si>
    <t>JUN 11-14, 2024</t>
  </si>
  <si>
    <t>Taipei, TAIWAN</t>
  </si>
  <si>
    <t>Digital Govt Soc,Natl Taiwan Univ, Coll Social Sci,Taipei City Govt, Dept Informat Technol,Natl Inst Cyber Secur,Natl Taiwan Univ, Dept Polit Sci,Natl Taiwan Univ, Grad Inst Publ Affairs,Natl Taiwan Univ, Taiwan Social Resilience Res Ctr,Acad Sinica, Inst Polit Sci,Natl Chengchi Univ, Dept Publ Adm,Chung Hua Univ, Dept Publ Adm,Minist Digital Affairs,Natl Sci &amp; Technol Council,Natl Taiwan Univ, Off Int Affairs,Taiwan Fdn Democracy,Minist Educ, YuShan Fellow Program,Elsevier,Emerald Publishing, Journal Transforming Govt People, Process &amp; Policy</t>
  </si>
  <si>
    <t>political debates; interaction networks; political communication; election campaigns</t>
  </si>
  <si>
    <t>The influence of social media platforms such as Facebook, Instagram, X, and TikTok on voters' opinions has been extensively examined by other researchers. While some studies have focused on voting intentions and candidates' perceptions, there have been few investigations into political debates during political campaigns. This study aims to present evidence of the perceived changes in voters' behavior using X during the local campaign in the central State of Mexico, the most populous state in the country. We closely followed the 2023 gubernatorial campaign between Alejandra Del Moral (PRI-PAN-PRD) and Delfina Gomez (MORENA) and measured the impact on the political debate. By utilizing the Netlytic tool, we conducted a graphical analysis of the formation of content nodes and the behavior of political influencers. Our findings reveal two key points: there were no significant changes in the preferences reported by the followers of each candidate, but the debate did influence the number of interactions among the candidates' followers. We hope that our research will contribute to the field of social media analysis in the context of political debates.</t>
  </si>
  <si>
    <t>[Sandoval-Almazan, Rodrigo; Huelga, Karla Negrete; Valle-Cruz, David] Autonomous Univ State Mexico, Toluca, Mexico</t>
  </si>
  <si>
    <t>Universidad Autonoma del Estado de Mexico</t>
  </si>
  <si>
    <t>Sandoval-Almazan, R (corresponding author), Autonomous Univ State Mexico, Toluca, Mexico.</t>
  </si>
  <si>
    <t>rsandovala@uaemex.mx; karla.negrete@uaq.mx; davacr@uaemex.mx</t>
  </si>
  <si>
    <t>Valle-Cruz, David/AAF-7198-2020</t>
  </si>
  <si>
    <t>979-8-4007-0988-3</t>
  </si>
  <si>
    <t>10.1145/3657054.3657251</t>
  </si>
  <si>
    <t>Computer Science, Artificial Intelligence; Computer Science, Information Systems; Computer Science, Interdisciplinary Applications; Political Science; Public Administration</t>
  </si>
  <si>
    <t>Computer Science; Government &amp; Law; Public Administration</t>
  </si>
  <si>
    <t>BX0UV</t>
  </si>
  <si>
    <t>WOS:001238979900017</t>
  </si>
  <si>
    <t>Zhou, ZY; Xiao, XG; Hou, TX; Hu, YK; Gu, DW</t>
  </si>
  <si>
    <t>Tsudik, G; Conti, M; Liang, K; Smaragdakis, G</t>
  </si>
  <si>
    <t>Zhou, Ziyi; Xiao, Xuangan; Hou, Tianxiao; Hu, Yikun; Gu, Dawu</t>
  </si>
  <si>
    <t>On the (In)Security of Manufacturer-Provided Remote Attestation Frameworks in Android</t>
  </si>
  <si>
    <t>COMPUTER SECURITY - ESORICS 2023, PT IV</t>
  </si>
  <si>
    <t>28th European Symposium on Research in Computer Security (ESORICS)</t>
  </si>
  <si>
    <t>SEP 25-29, 2023</t>
  </si>
  <si>
    <t>The Hague, NETHERLANDS</t>
  </si>
  <si>
    <t>Remote Attestation; Android Device Integrity; Android App Integrity</t>
  </si>
  <si>
    <t>To provide a tamper-proof mechanism for mobile apps to check the integrity of the device and their own code/data, Android phone manufacturers have introduced Manufacturer-provided Android Remote Attestation (MARA) frameworks. The MARA framework helps an app conduct a series of integrity checks, signs the check results, and sends them to remote servers for a remote attestation. Nonetheless, we observe that real-world MARA frameworks often adopt two implementations of integrity check (hardware-based and software-based) for compatibility consideration, and this allows an attacker to easily conduct a downgrade attack to force the app to utilize the software-based integrity check and forge checking results, even if the Android device is able to employ hardware-supported remote attestation securely. We demonstrate our MARA bypass approach against MARA frameworks (i.e., Google SafetyNet and Huawei SafetyDetect) on real Android devices, and design an automated measurement pipeline to analyze 35,245 popular Android apps, successfully attacking all 104 apps that use these MARA services, including well-known apps and games such as TikTok Lite, Huawei Wallet, and Pok ' emon GO. Our study reveals the significant risks against MARA frameworks in use.</t>
  </si>
  <si>
    <t>[Zhou, Ziyi; Xiao, Xuangan; Hou, Tianxiao; Hu, Yikun; Gu, Dawu] Shanghai Jiao Tong Univ, Shanghai, Peoples R China</t>
  </si>
  <si>
    <t>Hu, YK; Gu, DW (corresponding author), Shanghai Jiao Tong Univ, Shanghai, Peoples R China.</t>
  </si>
  <si>
    <t>jou.dzyi@sjtu.edu.cn; xgxiao@sjtu.edu.cn; tomhou2002@sjtu.edu.cn; yikunh@sjtu.edu.cn; dwgu@sjtu.edu.cn</t>
  </si>
  <si>
    <t>Shanghai Pujiang Program [22PJ1405700]; National Key Research and Development Program of China [2021YFB3101402]; Project of Shanghai Science and Technology Innovation Action Program [22511101300]; ZhiXun Crypto Testing Group</t>
  </si>
  <si>
    <t>Shanghai Pujiang Program(Shanghai Pujiang Program); National Key Research and Development Program of China(National Key Research &amp; Development Program of China); Project of Shanghai Science and Technology Innovation Action Program; ZhiXun Crypto Testing Group</t>
  </si>
  <si>
    <t>The authors would like to thank the anonymous reviewers for their valuable feedback to improve the manuscript. This work is partially supported by Shanghai Pujiang Program (No. 22PJ1405700), the National Key Research and Development Program of China (No. 2021YFB3101402) and the Project of Shanghai Science and Technology Innovation Action Program under Grant (No. 22511101300). The authors would like to thank the support from the ZhiXun Crypto Testing Group as well. We also express our sincere appreciation to Professor Douglas Leith from Trinity College Dublin for his patient and detailed responses to our emails. He addressed our confusion regarding his previous research works and generously shared his experimental details with us. Furthermore, we are grateful to Professor Lei Xue from Sun Yat-sen University for his extensive expertise and patient assistance in resolving the technical difficulties we encountered during the experiments. Their contributions have been instrumental in the successful implementation of this study.</t>
  </si>
  <si>
    <t>978-3-031-51481-4; 978-3-031-51482-1</t>
  </si>
  <si>
    <t>10.1007/978-3-031-51482-1_13</t>
  </si>
  <si>
    <t>Computer Science, Artificial Intelligence; Computer Science, Information Systems; Computer Science, Theory &amp; Methods; Telecommunications</t>
  </si>
  <si>
    <t>BW8YT</t>
  </si>
  <si>
    <t>WOS:001208360100013</t>
  </si>
  <si>
    <t>Abkenar, SP; Vanani, IR; Sohrabi, B; Manian, A</t>
  </si>
  <si>
    <t>Abkenar, Saeedeh Poormoosa; Vanani, Iman Raeesi; Sohrabi, Babak; Manian, Amir</t>
  </si>
  <si>
    <t>Social Commerce Mobile Application Enhancement: a hybrid text clustering-topic modeling business model analysis</t>
  </si>
  <si>
    <t>Social Commerce; Mobile Application; Business model; Text analytics</t>
  </si>
  <si>
    <t>SOCIOMATERIALITY; TECHNOLOGY; APP</t>
  </si>
  <si>
    <t>Social Commerce (S-commerce) is an emerging subset of e-commerce, enabled by Web 2.0, which is getting more attention due to the growing interest in social media. Along with the worldwide penetration of smartphones, their usability is boosted via mobile applications. In this research we have investigated the components of a social commerce mobile application business model using a text-analytics approach. The data is gathered from previous journal articles, and users reviews about selected mobile applications (Facebook, Instagram, Etsy, Pinterest, TikTok). Considering mobile applications as a platform for social commerce transactions and with Osterwalder Business Model Canvas as our reference model, we have identified business model building block components and three main aspects to develop a model for social commerce mobile businesses. The proposed model is presented with 3 aspects (Social, Commercial, Technological), 9 building blocks and 26 components. Model verification is done by expert interviews and its validation is done by reviewing two businesses. We have finally looked at the results from the lens of three theories including Design Theory, Sociomateriality Theory, and Stakeholder Theory to provide theoretical implications.</t>
  </si>
  <si>
    <t>[Abkenar, Saeedeh Poormoosa; Sohrabi, Babak; Manian, Amir] Univ Tehran, Management Sch, Tehran, Iran; [Vanani, Iman Raeesi] Allameh Tabatabai Univ, Fac Management &amp; Accounting, Tehran, Iran</t>
  </si>
  <si>
    <t>University of Tehran; Allameh Tabataba'i University</t>
  </si>
  <si>
    <t>Sohrabi, B (corresponding author), Univ Tehran, Management Sch, Tehran, Iran.</t>
  </si>
  <si>
    <t>poormoosa@ut.ac.ir; imanraeesi@atu.ac.ir; bsohrabi@ut.ac.ir; amanian@ut.ac.ir</t>
  </si>
  <si>
    <t>Raeesi Vanani, Iman/ABE-7788-2021</t>
  </si>
  <si>
    <t>Raeesi Vanani, Iman/0000-0001-8324-9896</t>
  </si>
  <si>
    <t>10.1007/s10660-022-09596-y</t>
  </si>
  <si>
    <t>H1K7B</t>
  </si>
  <si>
    <t>WOS:000846238100001</t>
  </si>
  <si>
    <t>Couteau, C; Girard, E; Coiffard, L</t>
  </si>
  <si>
    <t>Couteau, Celine; Girard, Emma; Coiffard, Laurence</t>
  </si>
  <si>
    <t>Analysis of 275 DIY recipes for eye cosmetics and their possible safety issues</t>
  </si>
  <si>
    <t>INTERNATIONAL JOURNAL OF COSMETIC SCIENCE</t>
  </si>
  <si>
    <t>do it yourself; eye; periocular area; recipes</t>
  </si>
  <si>
    <t>CONTACT-DERMATITIS; BLEPHAROCONJUNCTIVITIS; KOHL; GEL</t>
  </si>
  <si>
    <t>Some consumers have become very suspicious of certain health products such as medicines, medical devices and cosmetics. This can lead them to choose to make such products themselves. The aim of this work was therefore to analyse recipes for eye makeup and makeup removal products, as well as eyelash and eye contour care products. We collected recipes for do-it-yourself products found on blogs and social media (YouTube channels, Facebook, Pinterest, Instagram and TikTok) in French and English and then analyse their composition as well as how practical it is to make these recipes. We compiled and studied 275 recipes for products that can be used in or around the eye (periocular area). This work has shown that the quantities of the various ingredients are very imprecise, that the proposed substances are not suitable for the intended use and that the preservation of the finished products is not sufficiently guaranteed. The results obtained suggest that recipes for products intended for use in the eye or in the periocular area are not safe to use and that their use is likely to have relatively serious consequences.</t>
  </si>
  <si>
    <t>[Couteau, Celine; Girard, Emma; Coiffard, Laurence] Univ Nantes, Fac Pharm, Nantes, France</t>
  </si>
  <si>
    <t>Nantes Universite</t>
  </si>
  <si>
    <t>Coiffard, L (corresponding author), Fac Pharm, 9 Rue Bias, F-44000 Nantes, France.</t>
  </si>
  <si>
    <t>laurence.coiffard@univ-nantes.fr</t>
  </si>
  <si>
    <t>noreen, saima/AAE-2541-2021</t>
  </si>
  <si>
    <t>Coiffard, Laurence/0000-0001-6233-0409</t>
  </si>
  <si>
    <t>0142-5463</t>
  </si>
  <si>
    <t>1468-2494</t>
  </si>
  <si>
    <t>INT J COSMETIC SCI</t>
  </si>
  <si>
    <t>Int. J. Cosmetic Sci.</t>
  </si>
  <si>
    <t>10.1111/ics.12776</t>
  </si>
  <si>
    <t>Chemistry, Applied; Dermatology</t>
  </si>
  <si>
    <t>Chemistry; Dermatology</t>
  </si>
  <si>
    <t>3Q8VS</t>
  </si>
  <si>
    <t>WOS:000827307200001</t>
  </si>
  <si>
    <t>Asplund, SB; Egeland, BL; Olin-Scheller, C</t>
  </si>
  <si>
    <t>Asplund, Stig-Borje; Egeland, Birgitta Ljung; Olin-Scheller, Christina</t>
  </si>
  <si>
    <t>Sharing is caring: young people's narratives about BookTok and volitional reading</t>
  </si>
  <si>
    <t>LANGUAGE AND EDUCATION</t>
  </si>
  <si>
    <t>BookTok; literacy; reader identity; reading; volitional reading</t>
  </si>
  <si>
    <t>PLEASURE</t>
  </si>
  <si>
    <t>This paper explores young people's narratives about BookTok and volitional reading. The data consist of narrative interviews with eight students (all girls) from two different classes in year 1 and year 2 of a preparatory programme for higher education, that is, students aged 17-18 years old. Using the framework of Wenger's notion of communities of practice and Bamberg's theory of narrative positioning, the findings indicate that the volitional reading practices described by the participants are strongly characterised by social, physical, and emotional dimensions that are generated and made possible by the book as an artefact. The findings also show that young people use the digital media platform TikTok and its subcommunity BookTok as a resource in constructing their own volitional reading practices and as a means to strengthen their reader identities. In view of their use of BookTok, this article contributes insights into young people's volitional reading practices and the construction of reader identities outside of school. The results also contribute to the ongoing discussion about how to support and motivate young people to read literature.</t>
  </si>
  <si>
    <t>[Asplund, Stig-Borje; Egeland, Birgitta Ljung; Olin-Scheller, Christina] Karlstad Univ, Karlstad, Sweden</t>
  </si>
  <si>
    <t>Karlstad University</t>
  </si>
  <si>
    <t>Asplund, SB (corresponding author), Karlstad Univ, Karlstad, Sweden.</t>
  </si>
  <si>
    <t>stig-borje.asplund@kau.se</t>
  </si>
  <si>
    <t>Olin-Scheller, Christina/0000-0002-2872-4102; Asplund, Stig-Borje/0000-0002-2231-6386</t>
  </si>
  <si>
    <t>0950-0782</t>
  </si>
  <si>
    <t>1747-7581</t>
  </si>
  <si>
    <t>LANG EDUC-UK</t>
  </si>
  <si>
    <t>Lang. Educ.</t>
  </si>
  <si>
    <t>10.1080/09500782.2024.2324947</t>
  </si>
  <si>
    <t>XP0S1</t>
  </si>
  <si>
    <t>WOS:001187495800001</t>
  </si>
  <si>
    <t>Jaouadi, M; Ben Romdhane, L</t>
  </si>
  <si>
    <t>Jaouadi, Myriam; Ben Romdhane, Lotfi</t>
  </si>
  <si>
    <t>A survey on influence maximization models</t>
  </si>
  <si>
    <t>EXPERT SYSTEMS WITH APPLICATIONS</t>
  </si>
  <si>
    <t>Influence maximization; Social networks; Static networks; Dynamic networks; Influential nodes</t>
  </si>
  <si>
    <t>ALGORITHM; NETWORKS; RANKING</t>
  </si>
  <si>
    <t>Influence maximization is an important research area in social network analysis where researchers are concerned with detecting influential nodes. The detection of influential nodes is of great interest in several disciplines including computer science, opinion propagation, political movements, or economics, where systems are often modeled as graphs. The Influence Maximization problem is proved NP -hard. This computational complexity is justified by two main factors. The first factor is about the important size of social networks. Modern social networks like TikTok and Facebook have reached an unprecedented number of users. Dynamic social networks, whose topology or/and informational content is able to evolve, represent the second factor. Maximizing influence in such networks remains a significant task. In this light, several methods have been proposed. Being motivated by this fact, we provide in this paper a detailed survey of influence maximization approaches. Our main concern is to provide a taxonomy of existing models in both static and dynamic networks. In addition, we provide a comparison of the state-of-the-art approaches according to a clear categorization. New trends for detecting influential nodes are also discussed. We provide then some challenges as well as future directions.</t>
  </si>
  <si>
    <t>[Jaouadi, Myriam; Ben Romdhane, Lotfi] Univ Sousse, MARS Res Lab, LR17ES05, Higher Inst Comp Sci &amp; Telecom ISITCom, Sousse, Tunisia</t>
  </si>
  <si>
    <t>Universite de Sousse</t>
  </si>
  <si>
    <t>Jaouadi, M (corresponding author), Univ Sousse, MARS Res Lab, LR17ES05, Higher Inst Comp Sci &amp; Telecom ISITCom, Sousse, Tunisia.</t>
  </si>
  <si>
    <t>jaouadimaryem@gmail.com; lotfi.BenRomdhane@isitc.u-sousse.tn</t>
  </si>
  <si>
    <t>0957-4174</t>
  </si>
  <si>
    <t>1873-6793</t>
  </si>
  <si>
    <t>EXPERT SYST APPL</t>
  </si>
  <si>
    <t>Expert Syst. Appl.</t>
  </si>
  <si>
    <t>10.1016/j.eswa.2024.123429</t>
  </si>
  <si>
    <t>Computer Science, Artificial Intelligence; Engineering, Electrical &amp; Electronic; Operations Research &amp; Management Science</t>
  </si>
  <si>
    <t>Computer Science; Engineering; Operations Research &amp; Management Science</t>
  </si>
  <si>
    <t>LM4O0</t>
  </si>
  <si>
    <t>WOS:001187206400001</t>
  </si>
  <si>
    <t>Murray, S</t>
  </si>
  <si>
    <t>Murray, Simone</t>
  </si>
  <si>
    <t>Dark Academia: Bookishness, Readerly Self-fashioning and the Digital Afterlife of Donna Tartt's The Secret History</t>
  </si>
  <si>
    <t>ENGLISH STUDIES</t>
  </si>
  <si>
    <t>Dark Academia; bookishness; TikTok; Donna Tartt; digital reading; internet</t>
  </si>
  <si>
    <t>Dark Academia (DA) is a vibrant online subculture centred upon readers' performances of bookishness. Practitioners create audio-visual assemblages of leather-bound books, dusty libraries, (neo)gothic university quadrangles and various poetic accoutrements. The ur-text of the aesthetic is Donna Tartt's The Secret History (1992), especially its idealisation of a retrograde version of Anglo-American university life. DA mimics The Secret History's rejection of 1980s media technologies, but this spurning of contemporary media is a ruse. DA creators display great digital savvy: manipulating images and soundtracks via video-editing, choosing tagging vocabularies to maximise discoverability, and optimising posting times in order to game a platform's algorithm. Hence digital media makes possible the existence of DA but simultaneously dare[s] not speak its name-a paradox here dubbed digital denialism. The article exemplifies the potential of combining literary-studies close-reading with media-studies methods of content analysis and attention to medial specificity. It extends Jessica Pressman's concept of bookishness to demonstrate how English studies can adapt to engage with the life of books online.</t>
  </si>
  <si>
    <t>[Murray, Simone] Monash Univ, Sch Languages Literatures Cultures &amp; Linguist, Melbourne, Australia</t>
  </si>
  <si>
    <t>Monash University</t>
  </si>
  <si>
    <t>Murray, S (corresponding author), Monash Univ, Sch Languages Literatures Cultures &amp; Linguist, Melbourne, Australia.</t>
  </si>
  <si>
    <t>simone.murray@monash.edu</t>
  </si>
  <si>
    <t>Murray, Simone/0000-0001-6213-2146</t>
  </si>
  <si>
    <t>0013-838X</t>
  </si>
  <si>
    <t>1744-4217</t>
  </si>
  <si>
    <t>ENGL STUD</t>
  </si>
  <si>
    <t>Engl. Stud.</t>
  </si>
  <si>
    <t>10.1080/0013838X.2023.2170596</t>
  </si>
  <si>
    <t>C1HO4</t>
  </si>
  <si>
    <t>WOS:000930333700001</t>
  </si>
  <si>
    <t>Shuey, R; Sann, S; Chhi, K; Kong, S</t>
  </si>
  <si>
    <t>Shuey, Ray; Sann, Socheata; Chhi, Kolbotra; Kong, Sovann</t>
  </si>
  <si>
    <t>Transferring road safety knowledge from road safety specialists empowering peer influencers in Cambodia: turning adversity into success during the pandemic</t>
  </si>
  <si>
    <t>JOURNAL OF ROAD SAFETY-JRS</t>
  </si>
  <si>
    <t>Youth empowerment; road safety knowledge transfer; peer influencers; virtual training; on-line collaboration</t>
  </si>
  <si>
    <t>During the global pandemic, an international road safety on-line collaboration between Australia and Cambodia was initiated to design, develop and deliver a virtual training course in June/July 2021. Ten highly experienced Australian and Cambodian road safety practitioners voluntarily combined with the enthusiasm and dedication of 53 committed Cambodian young peer influencers to achieve highly productive results. In the month following the training sessions, the youth syndicates produced promotional leaflets, banners, infographics and 10 short videos to deliver tailored messages to over 26,000 community members in villages and cities in Cambodia. The communications media included Facebook and TikTok as well as workshops and direct messaging at vaccination points. This program epitomises what can be achieved with the goodwill of road safety professionals using an international network to combine with enthusiastic, dedicated and committed youth peer influencers, all within a framework of voluntary community services. Actions, outcomes and the impact of this knowledge-transfer and youth empowerment initiative is presented as an example of a successful road safety intervention.</t>
  </si>
  <si>
    <t>[Shuey, Ray] Int Safety Fdn Inc, Melbourne, Vic, Australia; [Chhi, Kolbotra] Union Youth Federat Cambodia, Phnom Penh, Cambodia; [Kong, Sovann] Cambodia Safety Solut, Phnom Penh, Cambodia</t>
  </si>
  <si>
    <t>Melbourne Genomics Health Alliance</t>
  </si>
  <si>
    <t>Shuey, R (corresponding author), POB 6065, Vermont South, Vic 3133, Australia.</t>
  </si>
  <si>
    <t>rs@isf.org.au</t>
  </si>
  <si>
    <t>AUSTRALASIAN COLL ROAD SAFETY</t>
  </si>
  <si>
    <t>MAWSON</t>
  </si>
  <si>
    <t>PO BOX 198, MAWSON, ACT 2607, AUSTRALIA</t>
  </si>
  <si>
    <t>2652-4260</t>
  </si>
  <si>
    <t>2652-4252</t>
  </si>
  <si>
    <t>J ROAD SAF-JRS</t>
  </si>
  <si>
    <t>J. Road Saf.-JRS</t>
  </si>
  <si>
    <t>10.33492/JRS-D-21-00068</t>
  </si>
  <si>
    <t>Transportation</t>
  </si>
  <si>
    <t>CF4U4</t>
  </si>
  <si>
    <t>WOS:001123830900005</t>
  </si>
  <si>
    <t>Spreading optics awareness through short-form video on social media</t>
  </si>
  <si>
    <t>OPTICAL ENGINEERING</t>
  </si>
  <si>
    <t>optics; education; outreach; social media; photonics</t>
  </si>
  <si>
    <t>Public educational outreach is critical for introducing students to the field of optics. Video-sharing platforms, including YouTube and TikTok, are powerful tools for introducing optics to young students, especially as video consumption rates continue to rise. The proliferation of short, casual videos shot vertically on a cell phone on these applications and other social media platforms has greatly reduced the barriers to entry for educating through video. This work will cover the strategies and tactics used by Edmund Optics in recent years to establish and rapidly scale up a video-based outreach program that now reaches up to 13 million views per month. While this scale may at first seem unattainable, short-form video on social media provides a low-cost, low-time-requirement method for achieving this level of reach. In addition to practical guidance for educational video creation, the benefits of such an effort to the company or institution who sponsors it and tips to get buy-in from organizational leadership will be shared. A digital video-based optics outreach program can serve as the foundation for a larger outreach effort that develops the future photonics workforce.</t>
  </si>
  <si>
    <t>[Boone, Cory S.] Edmund Opt, Barrington, NJ 08007 USA</t>
  </si>
  <si>
    <t>Boone, CS (corresponding author), Edmund Opt, Barrington, NJ 08007 USA.</t>
  </si>
  <si>
    <t>cboone@edmundoptics.com</t>
  </si>
  <si>
    <t>0091-3286</t>
  </si>
  <si>
    <t>1560-2303</t>
  </si>
  <si>
    <t>OPT ENG</t>
  </si>
  <si>
    <t>Opt. Eng.</t>
  </si>
  <si>
    <t>10.1117/1.OE.63.7.071407</t>
  </si>
  <si>
    <t>Optics</t>
  </si>
  <si>
    <t>F4F5B</t>
  </si>
  <si>
    <t>WOS:001309392800012</t>
  </si>
  <si>
    <t>Al-Tarawneh, AAR; Barham, FA</t>
  </si>
  <si>
    <t>Al-Tarawneh, Abdullah Abdel Razzaq; Barham, Faten abdelRahim</t>
  </si>
  <si>
    <t>USAGE AND AWARENESS OF SOCIAL MEDIA IN PRESCHOOL CHILDREN IN JORDAN</t>
  </si>
  <si>
    <t>REVISTA IBEROAMERICANA DE PSICOLOGIA DEL EJERCICIO Y EL DEPORTE</t>
  </si>
  <si>
    <t>Social Media; Preschool Children; Facebook; YouTube; WhatsApp</t>
  </si>
  <si>
    <t>The study aimed to identify the most social media applications used by preschool children and seeks to determine the level of usage and awareness of social media among pre-school children, the sample of the study consisted of (163) from an independent Kindergarten during the second semester of the 2023-2024 academic year in Jordan, distributed among the age groups (25 children from three-year- old, 62 children from four-year- old and 76 children from five-year- old). Research data collected to assess preschool children's awareness of social media by a picture card with (30 x 30 cm) presenting social media application Facebook, YouTube, Whatsapp, TikTok, and Messenger, logos are prepared. Five kids from each age group who could identify the logos on the cards were interviewed face-to-face. The kids were asked open-ended questions about the purpose of the application. The research data was analyzed using the descriptive analysis technique. According to research, the majority of kids are aware of social media apps. The most popular and widely used app is YouTube, which kids use to view movies and cartoons.</t>
  </si>
  <si>
    <t>[Al-Tarawneh, Abdullah Abdel Razzaq; Barham, Faten abdelRahim] Al Balqa Appl Univ, Basic Sci Dept, Salt, Jordan</t>
  </si>
  <si>
    <t>Al-Balqa Applied University</t>
  </si>
  <si>
    <t>Al-Tarawneh, AAR (corresponding author), Al Balqa Appl Univ, Basic Sci Dept, Salt, Jordan.</t>
  </si>
  <si>
    <t>dr.altarawneh@bau.edu.jo</t>
  </si>
  <si>
    <t>REVISTA IBEROAMERICANA PSICOLOGIA EJERCICIO &amp; DEPORTE</t>
  </si>
  <si>
    <t>SEVILLE</t>
  </si>
  <si>
    <t>REVISTA IBEROAMERICANA PSICOLOGIA EJERCICIO &amp; DEPORTE, SEVILLE, 00000, SPAIN</t>
  </si>
  <si>
    <t>1886-8576</t>
  </si>
  <si>
    <t>2340-7700</t>
  </si>
  <si>
    <t>REV IBEROAM PSICOL E</t>
  </si>
  <si>
    <t>Rev. Iberoam. Psicol. Ejerc. Deporte</t>
  </si>
  <si>
    <t>D4T1R</t>
  </si>
  <si>
    <t>WOS:001296115600010</t>
  </si>
  <si>
    <t>Mazlan, CAN; Abdullah, MH; Sulong, MA; Abas, A; Ramdan, MR; Safian, AR; Fuad, DRSM</t>
  </si>
  <si>
    <t>Mazlan, Chamil Arkhasa Nikko; Abdullah, Mohd Hassan; Sulong, Mohd Azam; Abas, Ashardi; Ramdan, Mohamad Rohieszan; Safian, Abdul Rahman; Fuad, Dayang Rafidah Syariff M.</t>
  </si>
  <si>
    <t>Exploring the integration of bite-sized learning: A scoping review of research in education and related disciplines</t>
  </si>
  <si>
    <t>CONTEMPORARY EDUCATIONAL TECHNOLOGY</t>
  </si>
  <si>
    <t>bite-sized learning; music education; pedagogue; teaching and learning approach; 21st century learning</t>
  </si>
  <si>
    <t>SUPPORT</t>
  </si>
  <si>
    <t>This scoping review investigates the potential of bite-sized learning approach in music education. The review identified articles from Scopus and ERIC databases, revealing that bitesized learning is widely discussed in the field of ICT, mathematics, and medicine. Bite-sized learning is pedagogical and pragmatic, providing easy access, convenience, and reducing cognitive load. The study suggests that music educators can incorporate bite-sized learning by refining music content into manageable small units, utilizing flexible platforms such as TikTok, and tailoring the approach according to learner interests. Bite-sized learning can improve the quality of learning by creating an enjoyable, useful, and understandable learning session, reducing time to mastery, and improving mental health. Moreover, bite-sized learning can align with the 21st century learning traits such as personalization. This review highlights the potential of bite-sized learning in music education and recommends further research to examine its effectiveness in various instruments and related subjects. The study concludes that bite-sized learning can be recognized as a pragmatic, flexible, brevity and personalized learning approach that aligns with the needs of modern learners for the 21st century.</t>
  </si>
  <si>
    <t>[Mazlan, Chamil Arkhasa Nikko; Abdullah, Mohd Hassan; Sulong, Mohd Azam; Abas, Ashardi; Ramdan, Mohamad Rohieszan; Safian, Abdul Rahman; Fuad, Dayang Rafidah Syariff M.] Univ Pendidikan Sultan Idris, Tanjung Malim, Perak, Malaysia</t>
  </si>
  <si>
    <t>Universiti Pendidikan Sultan Idris</t>
  </si>
  <si>
    <t>Mazlan, CAN (corresponding author), Univ Pendidikan Sultan Idris, Tanjung Malim, Perak, Malaysia.</t>
  </si>
  <si>
    <t>chamil@fmsp.upsi.edu.my</t>
  </si>
  <si>
    <t>Syariff M Fuad, Dayang Rafidah/KDN-0182-2024; Ramdan, Mohamad Rohieszan/GOK-0213-2022; SAFIAN, ABDUL RAHMAN/JZT-6196-2024; Mazlan, Chamil Arkhasa Nikko/HOC-4192-2023</t>
  </si>
  <si>
    <t>SAFIAN, ABDUL RAHMAN/0009-0004-5864-974X; Mazlan, Chamil Arkhasa Nikko/0000-0002-0088-3849; Abas, ashardi/0000-0003-0254-4717</t>
  </si>
  <si>
    <t>Universiti Pendidikan Sultan Idris (UPSI) through the Fundamental University Research Grant (GPUF) [2021-0213-106-01]</t>
  </si>
  <si>
    <t>Universiti Pendidikan Sultan Idris (UPSI) through the Fundamental University Research Grant (GPUF)</t>
  </si>
  <si>
    <t>This article was supported by the Universiti Pendidikan Sultan Idris (UPSI) through the Fundamental University Research Grant (GPUF), project code 2021-0213-106-01.</t>
  </si>
  <si>
    <t>BASTAS PUBL LTD - UK</t>
  </si>
  <si>
    <t>Bastas Headquarters, 71-75 Shelton St, Convent Garden, London, UNITED KINGDOM</t>
  </si>
  <si>
    <t>1309-517X</t>
  </si>
  <si>
    <t>CONTEMP EDUC TECHNOL</t>
  </si>
  <si>
    <t>Contemp. Educ. Technol.</t>
  </si>
  <si>
    <t>ep468</t>
  </si>
  <si>
    <t>10.30935/cedtech/13622</t>
  </si>
  <si>
    <t>FC7D5</t>
  </si>
  <si>
    <t>WOS:001143606500022</t>
  </si>
  <si>
    <t>Steele, CK; Hardy, A</t>
  </si>
  <si>
    <t>Steele, Catherine Knight; Hardy, Alisa</t>
  </si>
  <si>
    <t>I Wish I Could Give You This Feeling: Black Digital Commons and the Rhetoric of The Corner</t>
  </si>
  <si>
    <t>Black; African American rhetoric; digital commons; digital rhetoric; social media</t>
  </si>
  <si>
    <t>MISOGYNOIR; DISCOURSE</t>
  </si>
  <si>
    <t>The unique experience of Black Americans in the United States produces a physical and cultural space with a long history of misuse, commodification, and theft of the Black imagination and Black culture. These spaces, which also historically complicate notions of privatization and ownership, are replicated online today. In this essay, we propose the corner as a lens through which to interrogate whether Black networks online potentially produce a rhetorical digital commons and, further, whether the theory and practice of the commons adequately make space for the particular historical reality of Black America. To do so, we focus on three social media platforms wherein Black digital praxis meets the possibility of the corner: TikTok, Twitter, and Black Planet. These digital corners provide lessons that center the Black experience on- and offline, and point toward possibilities and limitations in our digital future. Ultimately we argue that the corner contradicts hegemonic modes of white supremacy in public spaces while also spotlighting the brutal realities of gentrification, commodification, and theft that fortify the exploitation of Black communities.</t>
  </si>
  <si>
    <t>[Steele, Catherine Knight] Univ Maryland, Dept Commun, 2130 Skinner Bldg, College Pk, MD 20742 USA; [Hardy, Alisa] Univ Maryland, Dept Commun, Chapel Dr, College Pk, MD 20742 USA</t>
  </si>
  <si>
    <t>University System of Maryland; University of Maryland College Park; University System of Maryland; University of Maryland College Park</t>
  </si>
  <si>
    <t>Steele, CK (corresponding author), Univ Maryland, Dept Commun, 2130 Skinner Bldg, College Pk, MD 20742 USA.</t>
  </si>
  <si>
    <t>cksteel@umd.edu; adhardy@umd.edu</t>
  </si>
  <si>
    <t>Hardy, Alisa/0000-0002-2853-1941</t>
  </si>
  <si>
    <t>10.1080/02773945.2023.2200704</t>
  </si>
  <si>
    <t>K3KM1</t>
  </si>
  <si>
    <t>WOS:000998927100001</t>
  </si>
  <si>
    <t>Wang, CQ; Ye, ZY; Feng, Z; Badanidiyuru, A; Xu, HF</t>
  </si>
  <si>
    <t>Oh, A; Neumann, T; Globerson, A; Saenko, K; Hardt, M; Levine, S</t>
  </si>
  <si>
    <t>Wang, Chaoqi; Ye, Ziyu; Feng, Zhe; Badanidiyuru, Ashwinkumar; Xu, Haifeng</t>
  </si>
  <si>
    <t>Follow-ups Also Matter: Improving Contextual Bandits via Post-serving Contexts</t>
  </si>
  <si>
    <t>ADVANCES IN NEURAL INFORMATION PROCESSING SYSTEMS 36 (NEURIPS 2023)</t>
  </si>
  <si>
    <t>Advances in Neural Information Processing Systems</t>
  </si>
  <si>
    <t>37th Conference on Neural Information Processing Systems (NeurIPS)</t>
  </si>
  <si>
    <t>DEC 10-16, 2023</t>
  </si>
  <si>
    <t>ALGORITHM</t>
  </si>
  <si>
    <t>Standard contextual bandit problem assumes that all the relevant contexts are observed before the algorithm chooses an arm. This modeling paradigm, while useful, often falls short when dealing with problems in which valuable additional context can be observed after arm selection. For example, content recommendation platforms like Youtube, Instagram, Tiktok also observe valuable follow-up information pertinent to the user's reward after recommendation (e.g., how long the user stayed, what is the user's watch speed, etc.). To improve online learning efficiency in these applications, we study a novel contextual bandit problem with post-serving contexts and design a new algorithm, poLinUCB, that achieves tight regret under standard assumptions. Core to our technical proof is a robustified and generalized version of the well-known Elliptical Potential Lemma (EPL), which can accommodate noise in data. Such robustification is necessary for tackling our problem, and we believe it could also be of general interest. Extensive empirical tests on both synthetic and real-world datasets demonstrate the significant benefit of utilizing post-serving contexts as well as the superior performance of our algorithm over the state-of-the-art approaches.</t>
  </si>
  <si>
    <t>[Wang, Chaoqi; Ye, Ziyu; Xu, Haifeng] Univ Chicago, Chicago, IL 60637 USA; [Feng, Zhe] Google Res, Mountain View, CA USA; [Badanidiyuru, Ashwinkumar] Google, Mountain View, CA 94043 USA</t>
  </si>
  <si>
    <t>University of Chicago; Google Incorporated; Google Incorporated</t>
  </si>
  <si>
    <t>Wang, CQ (corresponding author), Univ Chicago, Chicago, IL 60637 USA.</t>
  </si>
  <si>
    <t>chaoqi@uchicago.edu; ziyuye@uchicago.edu; zhef@google.com; ashwinkumarbv@google.com; haifengxu@uchicago.edu</t>
  </si>
  <si>
    <t>NSF [CCF-2303372]; Army Research Office Award [W911NF-23-1-0030]; Office of Naval Research Award [N00014-23-1-2802]</t>
  </si>
  <si>
    <t>NSF(National Science Foundation (NSF)); Army Research Office Award; Office of Naval Research Award(United States Department of DefenseUnited States NavyOffice of Naval Research)</t>
  </si>
  <si>
    <t>This work is supported by an NSF Award CCF-2303372, an Army Research Office Award W911NF-23-1-0030, and an Office of Naval Research Award N00014-23-1-2802.</t>
  </si>
  <si>
    <t>NEURAL INFORMATION PROCESSING SYSTEMS (NIPS)</t>
  </si>
  <si>
    <t>LA JOLLA</t>
  </si>
  <si>
    <t>10010 NORTH TORREY PINES RD, LA JOLLA, CALIFORNIA 92037 USA</t>
  </si>
  <si>
    <t>1049-5258</t>
  </si>
  <si>
    <t>ADV NEUR IN</t>
  </si>
  <si>
    <t>BW9YL</t>
  </si>
  <si>
    <t>WOS:001224281500020</t>
  </si>
  <si>
    <t>Qu, YT; Du, SG; Li, SF; Meng, Y; Zhang, L; Zhu, HJ</t>
  </si>
  <si>
    <t>Qu, Yiting; Du, Suguo; Li, Shaofeng; Meng, Yan; Zhang, Le; Zhu, Haojin</t>
  </si>
  <si>
    <t>Automatic Permission Optimization Framework for Privacy Enhancement of Mobile Applications</t>
  </si>
  <si>
    <t>IEEE INTERNET OF THINGS JOURNAL</t>
  </si>
  <si>
    <t>Privacy; Internet of Things; Mobile applications; Navigation; Risk management; Optimization; Cameras; Mobile application; permission management; privacy protection; risk estimation</t>
  </si>
  <si>
    <t>Mobile applications play a crucial role in the IoT system, which is experiencing unprecedented growth. However, users possessing little knowledge of permission configurations often accept app permission requests without reading them, which opens a backdoor for the potential adversaries to launch the future attacks. Proposing an automatic permission management scheme is an attractive solution to solve this issue, but since users have varying attitudes toward privacy, such a scheme would be neither straightforward nor user friendly. In this study, an automatic permission optimization framework, Permizer, is proposed to recommend different app permission configurations to users with different privacy preferences. Permizer estimates the permission risks and builds the permission-functionality mapping to each app, then regulates the relationship between permission and app functionality. Permizer is the first module to achieve a balance between privacy protection and app functionality under the personal privacy preference condition. Finally, we develop Permizer as a one-button service on the real-world Android OS with 58 apps. Case studies conducted on TikTok and Amazon Alexa also demonstrate its practicability and effectiveness.</t>
  </si>
  <si>
    <t>[Qu, Yiting; Du, Suguo] Shanghai Jiao Tong Univ, Antai Coll Econ &amp; Management, Shanghai 200240, Peoples R China; [Li, Shaofeng; Meng, Yan; Zhang, Le; Zhu, Haojin] Shanghai Jiao Tong Univ, Dept Comp Sci &amp; Engn, Shanghai Key Lab Scalable Comp &amp; Syst, Shanghai 200240, Peoples R China</t>
  </si>
  <si>
    <t>Shanghai Jiao Tong University; Shanghai Jiao Tong University</t>
  </si>
  <si>
    <t>Du, SG (corresponding author), Shanghai Jiao Tong Univ, Antai Coll Econ &amp; Management, Shanghai 200240, Peoples R China.</t>
  </si>
  <si>
    <t>yiting001@sjtu.edu.cn; sgdu@sjtu.edu.cn; shaofengli@sjtu.edu.cn; yan_meng@sjtu.edu.cn; sj-16-zl@sjtu.edu.cn; zhu-hj@cs.sjtu.edu.cn</t>
  </si>
  <si>
    <t>Zhu, Haojin/AFM-0905-2022</t>
  </si>
  <si>
    <t>Li, Shaofeng/0000-0002-1491-4319; Zhu, Haojin/0000-0001-5079-4556; Meng, Yan/0000-0001-5445-0347</t>
  </si>
  <si>
    <t>National Natural Science Foundation of China [71671114, 61972453, 61672350]</t>
  </si>
  <si>
    <t>This work was supported in part by the National Natural Science Foundation of China under Grant 71671114, Grant 61972453, and Grant 61672350.</t>
  </si>
  <si>
    <t>2327-4662</t>
  </si>
  <si>
    <t>IEEE INTERNET THINGS</t>
  </si>
  <si>
    <t>IEEE Internet Things J.</t>
  </si>
  <si>
    <t>10.1109/JIOT.2020.3039472</t>
  </si>
  <si>
    <t>RQ9XY</t>
  </si>
  <si>
    <t>WOS:000642765500024</t>
  </si>
  <si>
    <t>Towner, TL; Muñoz, CL</t>
  </si>
  <si>
    <t>Towner, Terri L.; Munoz, Caroline L.</t>
  </si>
  <si>
    <t>Tell Me an Instagram Story: Ephemeral Communication and the 2018 Gubernatorial Elections</t>
  </si>
  <si>
    <t>Instagram; story; narrative theory; impression management; social media</t>
  </si>
  <si>
    <t>SOCIAL MEDIA; CANDIDATES; GENDER; TIKTOK; STYLE</t>
  </si>
  <si>
    <t>Political campaigns are embracing the visual social media platform Instagram. One digital feature, the Story, has taken over feed sharing across social media. A Story is a sequence of images or videos uploaded to a profile that disappear after 24 hours. The Story is a novel feature relatively unexamined in political communications and marketing research. Specifically, it is unclear how Gubernatorial candidates employ the Instagram Story feature in campaigning. To address this gap, we content analyze 730 Instagram Stories drawn from 20 Gubernatorial candidate accounts one week before and after Election Day 2018. Results reveal that over half of the candidates employed the Story feature over the two-week period. The Story content primarily included indoor rallies and speeches rather than outdoor canvassing. Campaigns featured more static images than video in Stories and rarely used interactive features, such as animation, location tags, and emojis. Stories were also geared toward mobilization messages rather than voter support, behind-the-scenes looks, and attack ads. Last, some gender and political party differences were evident, as women and Democratic candidates utilized Instagram more.</t>
  </si>
  <si>
    <t>[Towner, Terri L.] Oakland Univ, Polit Sci, Rochester, MI USA; [Munoz, Caroline L.] Univ North Georgia, Mkt, Dahlonega, GA USA; [Towner, Terri L.] Oakland Univ, Polit Sci, Anibal House,Room 202, Rochester, MI 48309 USA</t>
  </si>
  <si>
    <t>Oakland University; University of North Georgia; Oakland University</t>
  </si>
  <si>
    <t>Towner, TL (corresponding author), Oakland Univ, Polit Sci, Anibal House,Room 202, Rochester, MI 48309 USA.</t>
  </si>
  <si>
    <t>towner@oakland.edu</t>
  </si>
  <si>
    <t>10.1177/08944393241227554</t>
  </si>
  <si>
    <t>L4P4D</t>
  </si>
  <si>
    <t>WOS:001157058500001</t>
  </si>
  <si>
    <t>Sang, VM; Khuong, BD; Nhi, LY; Han, LG; Giau, TM; Ngoan, NTT</t>
  </si>
  <si>
    <t>Sang, Vo Minh; Duy Khuong, Bui; Yen Nhi, Ly; Gia Han, Luong; Minh Giau, Thach; Thi Tuyet Ngoan, Nguyen</t>
  </si>
  <si>
    <t>The impact of food reviewers on purchase intention in the food and beverage industry: the mediating role of user interaction</t>
  </si>
  <si>
    <t>COGENT BUSINESS &amp; MANAGEMENT</t>
  </si>
  <si>
    <t>Affiliate marketing; food reviewer; user interaction; purchase intention; food and beverage; Business, Management and Accounting; Consumer Psychology; Economics; Digital Marketing</t>
  </si>
  <si>
    <t>This study examines the influence of food reviewers on user engagement and purchase intention in the food and beverage (F&amp;B) sector. Findings indicate that food reviewers positively impact both user interaction and purchase intention, with three key factors emerging: reviewer reputation, video content, and video quality. However, the reviewers' expertise showed no significant effect on engagement or purchase intention. User engagement was also found to mediate the relationship between food reviewers and purchase intention, underscoring connections within the value chain linking food reviewers, user engagement, and purchase intention. The study provides theoretical insights by offering a framework to assess how TikTok food reviews affect young Vietnamese consumers' engagement and purchasing behaviors. It highlights user interaction's mediating role between food review components and purchase intention and supports the relevance of affiliate marketing theory in the F&amp;B industry. Practical implications include strategies to enhance brand visibility through affiliate marketing with food reviewers and implementing food reviewer-driven marketing communication initiatives tailored for the F&amp;B sector.</t>
  </si>
  <si>
    <t>[Sang, Vo Minh; Duy Khuong, Bui; Yen Nhi, Ly; Gia Han, Luong; Minh Giau, Thach; Thi Tuyet Ngoan, Nguyen] FPT Univ, Fac Business, Danang, Vietnam</t>
  </si>
  <si>
    <t>Sang, VM (corresponding author), FPT Univ, Fac Business, Danang, Vietnam.</t>
  </si>
  <si>
    <t>2331-1975</t>
  </si>
  <si>
    <t>COGENT BUS MANAG</t>
  </si>
  <si>
    <t>Cogent Bus. Manag.</t>
  </si>
  <si>
    <t>10.1080/23311975.2024.2425706</t>
  </si>
  <si>
    <t>L3Y7D</t>
  </si>
  <si>
    <t>WOS:001350116400001</t>
  </si>
  <si>
    <t>Raaper, R; Hardey, M; Tiidenberg, K; Aad, S</t>
  </si>
  <si>
    <t>Raaper, Rille; Hardey, Mariann; Tiidenberg, Katrin; Aad, Samar</t>
  </si>
  <si>
    <t>Negotiating authenticity: experiences of student influencers on social media</t>
  </si>
  <si>
    <t>UNIVERSITY; WORK</t>
  </si>
  <si>
    <t>Research has shown that contemporary youth face a variety of challenges, ranging from social belonging to striving towards perfection in body image and personal achievements in all areas of life. Student life is expected to add further complexities, reflected in a need to negotiate new social connections, spatial environments and academic and future-oriented challenges. This project engaged with a unique and hard-to-reach group of students who define themselves and are defined by others as social media influencers. The objective was to explore the ways in which the participants' experiences of the influencer marketing industry and its pressures for authenticity intersect with the experiences of being a student. The article draws on 13 in-depth interviews with UK-based student influencers with profiles on different platforms (including TikTok, Instagram, YouTube and the Little Red Book) and discusses how these students navigate the increasingly complex field of monetisation of their content, while maintaining a sense of authenticity and success as a student. It reveals the moments of transition encountered by students when constructing oneself as a successful student who produces content that has strong educational value, and the intricate processes entailed in preserving one's brand on social media platforms.</t>
  </si>
  <si>
    <t>[Raaper, Rille] Univ Durham, Sch Educ, Lower Mountjoy, Stockton Rd, Durham DH1 3LE, England; [Hardey, Mariann] Univ Durham, Business Sch, Durham, England; [Tiidenberg, Katrin] Tallinn Univ, Balt Film Media &amp; Arts Sch, Tallinn, Estonia; [Aad, Samar] Lebanese Amer Univ, Adnan Kassar Sch Business, Beirut, Lebanon</t>
  </si>
  <si>
    <t>Durham University; Durham University; Tallinn University; Lebanese American University</t>
  </si>
  <si>
    <t>Raaper, R (corresponding author), Univ Durham, Sch Educ, Lower Mountjoy, Stockton Rd, Durham DH1 3LE, England.</t>
  </si>
  <si>
    <t>rille.raaper@durham.ac.uk</t>
  </si>
  <si>
    <t>Hardey, Mariann/L-6071-2017</t>
  </si>
  <si>
    <t>Durham University's Institute of Advanced Study, Durham University</t>
  </si>
  <si>
    <t>This work was supported by Durham University's Institute of Advanced Study, Durham University, that funded the major project entitled Risks to Youth and Studenthood in Digital Spaces in 2022/23.</t>
  </si>
  <si>
    <t>2024 OCT 26</t>
  </si>
  <si>
    <t>10.1080/13676261.2024.2419085</t>
  </si>
  <si>
    <t>K4V9N</t>
  </si>
  <si>
    <t>WOS:001343880000001</t>
  </si>
  <si>
    <t>Lookingbill, V; Mohammadi, E; Cai, YZ</t>
  </si>
  <si>
    <t>Lookingbill, Valerie; Mohammadi, Ehsan; Cai, Yizhou</t>
  </si>
  <si>
    <t>Assessment of Accuracy, User Engagement, and Themes of Eating Disorder Content in Social Media Short Videos</t>
  </si>
  <si>
    <t>JAMA NETWORK OPEN</t>
  </si>
  <si>
    <t>INFORMATION; MISINFORMATION; WRITTEN; TIKTOK</t>
  </si>
  <si>
    <t>IMPORTANCE Social media is simultaneously home to communities of users who promote eating disorders as a lifestyle and users who advocate for recovery. As studies have confirmed an association between exposure to pro-eating disorder content and engaging in disordered eating behaviors, an examination of the accuracy of and interactions with information shared in these complex and contradictory communities can provide insights into content available to users at risk. ObjectiveTo determine the associations among themes, accuracy of information, and user engagement of eating disorder content on a short video-sharing social media platform. DESIGN, SETTING, AND PARTICIPANTS This qualitative study included a thematic analysis of a sample of 200 TikTok videos, as well as user engagement metrics and content creator characteristics, between February and June 2022. Data were analyzed from March to June 2022. Main Outcomes and MeasuresContent themes, accuracy of information, user engagement, and the associations among these factors were identified in a sample of eating disorder videos on a social media platform. Data were analyzed with Pearson chi(2), analysis of variance, linear regression, and random permutation tests. RESULTS Among the 200 videos assessed, 124 (62.0%) covered prorecovery content, 59 (29.5%) included pro-eating disorder content, and 17 (8.5%) contained anti-eating disorder content. Thematic analysis revealed 4 high-level themes: (1) encouraging the development or sustainment of eating disorders, (2) sharing physical or emotional experiences with eating disorders, (3) sharing narratives of recovery, and (4) social support. While the results of Pearson chi(2) test indicated that videos in the prorecovery domain contained more accurate content than videos categorized in the pro-eating disorder and anti-eating disorder domains (chi(2)(4)=157.92; P&lt;.001), the results of analysis of variance demonstrated that there was no significant difference in user engagement between informative and misleading content (likes: F=0.110; P=.95; comments: F=2.031; P=.13; views: F=0.534; P=.59; shares: F=0.691; P=.50). Results of the 10000 random permutation tests, in which all P values were between .40 and .60 regardless of the distances, suggested that there was no significant difference in user engagement among the 3 domains. CONCLUSIONS AND RELEVANCE This mixed-methods qualitative analysis of misleading eating disorder information on social media found that pro-eating disorder and prorecovery communities were prevalent. However, social media users in the prorecovery community created more informative than misleading content. Furthermore, the study found no significant difference between users' engagement with accurate vs misleading videos, which may suggest that false information alone does not influence the virality of videos.</t>
  </si>
  <si>
    <t>[Lookingbill, Valerie; Mohammadi, Ehsan] Univ South Carolina, Sch Informat Sci, Columbia, SC USA; [Cai, Yizhou] Univ South Carolina, Dept Stat, Columbia, SC USA</t>
  </si>
  <si>
    <t>Mohammadi, E (corresponding author), Univ South Carolina, Sch Informat Sci, Columbia, SC USA.;Mohammadi, E (corresponding author), Univ South Carolina, Sch Informat Sci, 1501 Greene St, Columbia, SC 29208 USA.</t>
  </si>
  <si>
    <t>ehsan2@mailbox.sc.edu</t>
  </si>
  <si>
    <t>Zhou, Yeling/AAK-6264-2021; Mohammadi, Ehsan/V-3149-2019</t>
  </si>
  <si>
    <t>Mohammadi, Ehsan/0000-0003-3481-6991; Lookingbill, Valerie/0000-0003-1453-2633</t>
  </si>
  <si>
    <t>2574-3805</t>
  </si>
  <si>
    <t>JAMA NETW OPEN</t>
  </si>
  <si>
    <t>JAMA Netw. Open</t>
  </si>
  <si>
    <t>e238897</t>
  </si>
  <si>
    <t>10.1001/jamanetworkopen.2023.8897</t>
  </si>
  <si>
    <t>O9OW4</t>
  </si>
  <si>
    <t>WOS:001047049600006</t>
  </si>
  <si>
    <t>Terhorst, C; Rommes, E; van den Bogert, K; Verharen, L</t>
  </si>
  <si>
    <t>Terhorst, Carolien; Rommes, Els; van den Bogert, Kathrine; Verharen, Lisbeth</t>
  </si>
  <si>
    <t>The everyday civic engagement of social work students</t>
  </si>
  <si>
    <t>SOCIAL WORK EDUCATION</t>
  </si>
  <si>
    <t>Social work students; civic engagement; social media; Social work; digital skills</t>
  </si>
  <si>
    <t>Processes like globalization and digitalization are changing the way people civically engage, but policies and organizations that aim to cultivate or promote civic engagement have not yet acknowledged these new forms of participation. Social work is a profession that aims to foster civic engagement as a way to strengthen social cohesion. In this article, the civic engagement of social work students is examined. As young people they use contemporary means of engagement, and as students they are preparing for a professional future in which they will foster civic engagement. With the help of participant observations, we gathered data that shows where students' civic engagement takes place, how they engage, and how they perceive this engagement. We found that students mainly engage through informal and short-term online communication on social media applications like Instagram and TikTok. However, instead of perceiving those actions as civic engagement, they see them as leisure activities or even a waste of time. The insights from this article can help to develop and improve social work education and social work strategies to foster the civic engagement of citizens now and in the future.</t>
  </si>
  <si>
    <t>[Terhorst, Carolien; Rommes, Els] Radboud Univ Nijmegen, Gender &amp; Divers Studies, Nijmegen, Netherlands; [Terhorst, Carolien; Verharen, Lisbeth] HAN Univ Appl Sci, Res Grp Strengthening Social Qual, Nijmegen, Netherlands; [van den Bogert, Kathrine] Univ Utrecht, Sch Governance, Utrecht, Netherlands; [Terhorst, Carolien] Hogesch Arnhem &amp; Nijmegen, Social Work &amp; Gender &amp; Divers RU, Nijmegen, Netherlands</t>
  </si>
  <si>
    <t>Radboud University Nijmegen; Utrecht University</t>
  </si>
  <si>
    <t>Terhorst, C (corresponding author), Hogesch Arnhem &amp; Nijmegen, Social Work &amp; Gender &amp; Divers RU, Nijmegen, Netherlands.</t>
  </si>
  <si>
    <t>Carolien.Terhorst@han.nl</t>
  </si>
  <si>
    <t>Terhorst, Carolien/KFQ-0901-2024</t>
  </si>
  <si>
    <t>Terhorst, Carolien/0009-0002-1797-3856; van den Bogert, Kathrine/0000-0002-7583-2288</t>
  </si>
  <si>
    <t>0261-5479</t>
  </si>
  <si>
    <t>1470-1227</t>
  </si>
  <si>
    <t>SOC WORK EDUC</t>
  </si>
  <si>
    <t>Soc. Work Educ.</t>
  </si>
  <si>
    <t>2024 JAN 29</t>
  </si>
  <si>
    <t>10.1080/02615479.2024.2308681</t>
  </si>
  <si>
    <t>GD2X8</t>
  </si>
  <si>
    <t>WOS:001150673900001</t>
  </si>
  <si>
    <t>Shaengchart, Y; Kraiwanit, T; Butcharoen, S</t>
  </si>
  <si>
    <t>Shaengchart, Yarnaphat; Kraiwanit, Tanpat; Butcharoen, Smich</t>
  </si>
  <si>
    <t>Factors influencing the effects of the Starlink Satellite Project on the internet service provider market in Thailand</t>
  </si>
  <si>
    <t>Starlink satellite project; Internet provider; Service; Market structure competition</t>
  </si>
  <si>
    <t>This quantitative study explores the impact of the Starlink project on the internet service provider market in Thailand. A convenience sampling technique was used to recruit 617 participants, who completed an online questionnaire. The study examined several independent variables, including demographic factors, such as gender, age, education, status and income, and user behaviour, such as devices used for internet access, time spent online and social media platforms used. Binary regression was used to analyse the data. The results showed that the Starlink project had a significant impact on the competitive structure of the internet service provider market in Thailand. This impact was influenced by factors such as age, education, income, internet duration, mobile internet use, Facebook and TikTok. The study recommends that businesses develop effective strategies to meet the needs and expectations of their customers. Organisations with internet access have the opportunity to collect data to develop new products, which can give them a competitive edge. It is important to maintain a competitive environment to prevent artificially low collection rates or exorbitant prices due to collusion or tacit pricing agreements.</t>
  </si>
  <si>
    <t>[Shaengchart, Yarnaphat; Kraiwanit, Tanpat] Rangsit Univ, Fac Econ, Digital Econ Program, Pathum Thani, Thailand; [Butcharoen, Smich] Natl Telecom Publ Co Ltd, Bangkok, Thailand</t>
  </si>
  <si>
    <t>Rangsit University</t>
  </si>
  <si>
    <t>Kraiwanit, T (corresponding author), Rangsit Univ, Fac Econ, Digital Econ Program, Pathum Thani, Thailand.</t>
  </si>
  <si>
    <t>yarnaphat.s64@rsu.ac.th; tanpat.k@rsu.ac.th; smichb@ntplc.co.th</t>
  </si>
  <si>
    <t>Kraiwanit, Tanpat/ACR-7031-2022</t>
  </si>
  <si>
    <t>Kraiwanit, Tanpat/0000-0002-5130-6427; Shaengchart, Dr.Yarnaphat/0000-0002-0157-3682</t>
  </si>
  <si>
    <t>10.1016/j.techsoc.2023.102279</t>
  </si>
  <si>
    <t>K3HZ7</t>
  </si>
  <si>
    <t>WOS:001015395100001</t>
  </si>
  <si>
    <t>Liao, JH; Duan, HH; Zhao, WB; Yang, YB; Chen, LY</t>
  </si>
  <si>
    <t>Liao, Junhua; Duan, Haihan; Zhao, Wanbin; Yang, Yanbing; Chen, Liangyin</t>
  </si>
  <si>
    <t>A LIGHT WEIGHT MODEL FOR VIDEO SHOT OCCLUSION DETECTION</t>
  </si>
  <si>
    <t>2022 IEEE INTERNATIONAL CONFERENCE ON ACOUSTICS, SPEECH AND SIGNAL PROCESSING (ICASSP)</t>
  </si>
  <si>
    <t>International Conference on Acoustics Speech and Signal Processing ICASSP</t>
  </si>
  <si>
    <t>47th IEEE International Conference on Acoustics, Speech and Signal Processing (ICASSP)</t>
  </si>
  <si>
    <t>MAY 22-27, 2022</t>
  </si>
  <si>
    <t>Singapore, SINGAPORE</t>
  </si>
  <si>
    <t>Inst Elect &amp; Elect Engineers,Inst Elect &amp; Elect Engineers Signal Proc Soc</t>
  </si>
  <si>
    <t>Occlusion Detection; Automatic Video Editing; Human-centered Computing; Deep Learning</t>
  </si>
  <si>
    <t>The popularity of video social platforms (TikTok, etc.) shows that video is a popular information carrier at present. However, shot occlusion frequently occurs when people are shooting videos to record information. Since the shot occlusion seriously affects the viewers' experience, the video editors need to find and delete such segments from the video material during post-processing. However, finding the shot occlusion from the video is a time-consuming and laborious task. To reduce the workload of editors, previous researchers proposed a shot occlusion detection algorithm using deep learning technology, which has promotion space in both recognition accuracy and computational efficiency. In this paper, we propose a neural network module, named SAT module, which can effectively extract spatio-temporal information with fewer parameters. We apply SAT module to construct a novel occlusion detection model, and improve the existing occlusion detection loss function for model training. The experimental results on the public dataset show that our method achieves the state-of-the-art performance of 88.25% accuracy and FPS of 130 with the least parameters. Code and models will be available at https://github.com/Junhua-Liao/ICASSP22- OcclusionDetection.</t>
  </si>
  <si>
    <t>[Liao, Junhua; Zhao, Wanbin; Yang, Yanbing; Chen, Liangyin] Sichuan Univ, Coll Comp Sci, Chengdu, Peoples R China; [Duan, Haihan] Chinese Univ Hong Kong, Shenzhen, Peoples R China; [Duan, Haihan] Shenzhen Inst Artificial Intelligence &amp; Robot Soc, Shenzhen, Peoples R China; [Yang, Yanbing; Chen, Liangyin] Sichuan Univ, Inst Ind Internet Res, Chengdu, Peoples R China</t>
  </si>
  <si>
    <t>Sichuan University; The Chinese University of Hong Kong, Shenzhen; Shenzhen Institute of Artificial Intelligence &amp; Robotics for Society; Sichuan University</t>
  </si>
  <si>
    <t>Liao, JH (corresponding author), Sichuan Univ, Coll Comp Sci, Chengdu, Peoples R China.</t>
  </si>
  <si>
    <t>Yang, Yanbing/AGS-3267-2022</t>
  </si>
  <si>
    <t>Liao, Junhua/0000-0002-3374-0289</t>
  </si>
  <si>
    <t>National Natural Science Foundation of China [62072319]; Sichuan Science and Technology Program [2019JDTD0001]</t>
  </si>
  <si>
    <t>National Natural Science Foundation of China(National Natural Science Foundation of China (NSFC)); Sichuan Science and Technology Program</t>
  </si>
  <si>
    <t>This work is supported in part by the National Natural Science Foundation of China under Grant 62072319; in part by the Sichuan Science and Technology Program under Grant 2019JDTD0001.</t>
  </si>
  <si>
    <t>1520-6149</t>
  </si>
  <si>
    <t>978-1-6654-0540-9</t>
  </si>
  <si>
    <t>INT CONF ACOUST SPEE</t>
  </si>
  <si>
    <t>10.1109/ICASSP43922.2022.9746742</t>
  </si>
  <si>
    <t>Acoustics; Computer Science, Artificial Intelligence; Engineering, Electrical &amp; Electronic</t>
  </si>
  <si>
    <t>Acoustics; Computer Science; Engineering</t>
  </si>
  <si>
    <t>BT9UB</t>
  </si>
  <si>
    <t>WOS:000864187903088</t>
  </si>
  <si>
    <t>Semova, DJ; Alonso, GT; García, NV; Mediavilla, JC; Escuredo, AC; Reyes, A</t>
  </si>
  <si>
    <t>Semova, Dimitrina J.; Alonso, Gemma Teso; Garcia, Nuria Villagra; Mediavilla, Jorge Clemente; Escuredo, Alejandro Costa; Reyes, Ana</t>
  </si>
  <si>
    <t>Young audiences and climate change. Communication analysis in different public arenas</t>
  </si>
  <si>
    <t>VISIONS FOR SUSTAINABILITY</t>
  </si>
  <si>
    <t>public arenas; climate change; young audiences; environmental activism; social platforms</t>
  </si>
  <si>
    <t>ISSUE-ATTENTION; FRAMES</t>
  </si>
  <si>
    <t>This article focuses on the agenda on the different public arenas in relation to the climate change discourse from the perspective of the young audiences: mass media arena, collaborative-activist arena, personal arena, and discussion arena. The variables represent the different axes of environmental sustainability, summarizing the Sustainable Development Goals of the 2030 Agenda and applied to the field of the media and communication. Research questions are related to thematic categories and level of engagement both, on the traditional media arena where young audiences are mere users of news and messages, and the public arenas where they turn out to be generators of information. The results show that mainstream media pay less attention to environmental issues from the perspective of activism, social justice or culture, and this can be a problem when it comes to connecting with young audiences which are very active and gives widely feedback for issues that have to do with these particular approaches and which are predominant on other arenas formed by social networks such as Instagram, Twitter and TikTok. Activism (climate action) turned out to be the topic that generates the highest level of response/engagement.</t>
  </si>
  <si>
    <t>[Semova, Dimitrina J.; Alonso, Gemma Teso; Garcia, Nuria Villagra; Mediavilla, Jorge Clemente; Escuredo, Alejandro Costa] Univ Complutense Madrid, Madrid, Spain; [Reyes, Ana] Rey Juan Carlos Univ, Madrid, Spain</t>
  </si>
  <si>
    <t>Complutense University of Madrid; Universidad Rey Juan Carlos</t>
  </si>
  <si>
    <t>Semova, DJ (corresponding author), Univ Complutense Madrid, Madrid, Spain.</t>
  </si>
  <si>
    <t>djivkova@ucm.es</t>
  </si>
  <si>
    <t>CLEMENTE MEDIAVILLA, JORGE/K-3294-2016</t>
  </si>
  <si>
    <t>COSTA ESCUREDO, ALEX/0000-0002-1424-364X</t>
  </si>
  <si>
    <t>UNIVERSITA DEGLI STUDI DI TORINO</t>
  </si>
  <si>
    <t>TORINO</t>
  </si>
  <si>
    <t>VIA VERDI, TORINO, 10124, ITALY</t>
  </si>
  <si>
    <t>2384-8677</t>
  </si>
  <si>
    <t>VISIONS SUST</t>
  </si>
  <si>
    <t>Visions Sustain.</t>
  </si>
  <si>
    <t>10.13135/2384-8677/8014</t>
  </si>
  <si>
    <t>Green &amp; Sustainable Science &amp; Technology; Environmental Studies</t>
  </si>
  <si>
    <t>F3P1A</t>
  </si>
  <si>
    <t>WOS:001308965900003</t>
  </si>
  <si>
    <t>Liang, MY</t>
  </si>
  <si>
    <t>Liang, Mei-Ya</t>
  </si>
  <si>
    <t>Contingent (dis)agreement and emotional expressiveness in online responsive discourse</t>
  </si>
  <si>
    <t>JOURNAL OF PRAGMATICS</t>
  </si>
  <si>
    <t>Agreement; Affect; Computer -mediated communication; Conversational humor; ELF; Emoji; Facebook</t>
  </si>
  <si>
    <t>DISAGREEMENT; STANCE; IDENTITY; EMOJI; (IM)POLITENESS; AGREEMENTS; EMOTICONS; SEQUENCE; HUMOR; FACE</t>
  </si>
  <si>
    <t>This article focuses on culturally diverse university students' online (dis)agreement with affective expressions in English as a lingua franca (ELF). A private intercultural group on the social media site Facebook was used for the online discussions. This study analyzed online participants' comments on controversial sociopolitical issues about the TikTok ban and the Mulan boycott. Through content analyses of online responsive discourse, a range of discursive strategies used by the participants to express (dis)agreement were identified. The participants tended to give contingent (dis)agreements with mitigating expressions and supporting grounds, and the moderators frequently used reported speech, gave opposite opinions, and questioned the claims for alternative positionings. Discourse -pragmatic analyses of emoji-mediated communication also revealed creative and diverse uses of emojis and other nonverbal interactional resources in the coconstruction of humorous discourse and transformation between positive and negative affect stances. This study contributes to a deeper understanding of ELF users' pragmatic and emotive capability to participate in the online social argumentative practice of affective stance-taking.(c) 2023 Elsevier B.V. All rights reserved.</t>
  </si>
  <si>
    <t>[Liang, Mei-Ya] Natl Cent Univ, Grad Inst Environm Engn, Zhongda Rd, Taoyuan 320317, Taiwan</t>
  </si>
  <si>
    <t>National Central University</t>
  </si>
  <si>
    <t>Liang, MY (corresponding author), Natl Cent Univ, Grad Inst Environm Engn, Zhongda Rd, Taoyuan 320317, Taiwan.</t>
  </si>
  <si>
    <t>mliang@cc.ncu.edu.tw</t>
  </si>
  <si>
    <t>Liang, Mei-Ya/0000-0002-7010-8100</t>
  </si>
  <si>
    <t>National Science Council Taiwan</t>
  </si>
  <si>
    <t>National Science Council Taiwan(Ministry of Science and Technology, Taiwan)</t>
  </si>
  <si>
    <t>Acknowledgments This study has been supported by grants from the National Science Council Taiwan. I would like to thank Chung -Yu Hung for his assistance in coding data. I am also grateful to the editors and reviewers of this journal for their valuable comments and suggestions.</t>
  </si>
  <si>
    <t>0378-2166</t>
  </si>
  <si>
    <t>1879-1387</t>
  </si>
  <si>
    <t>J PRAGMATICS</t>
  </si>
  <si>
    <t>J. Pragmat.</t>
  </si>
  <si>
    <t>10.1016/j.pragma.2023.11.007</t>
  </si>
  <si>
    <t>DW5V8</t>
  </si>
  <si>
    <t>WOS:001135142100001</t>
  </si>
  <si>
    <t>Li, J; Zhang, YL; Mou, J</t>
  </si>
  <si>
    <t>Li, Jin; Zhang, Yulan; Mou, Jian</t>
  </si>
  <si>
    <t>Understanding information disclosures and privacy sensitivity on short-form video platforms: An empirical investigation</t>
  </si>
  <si>
    <t>Short-form video app; Information disclosure; Privacy paradox; Privacy sensitivity; Privacy protection</t>
  </si>
  <si>
    <t>ONLINE SOCIAL NETWORKS; WORD-OF-MOUTH; MEDIA; ENGAGEMENT; BEHAVIOR; CONCEPTUALIZATION; COMMUNICATION; DETERMINANTS; ANTECEDENTS; POPULARITY</t>
  </si>
  <si>
    <t>As a new social media platform, short-form video apps integrate the dual functions of e-commerce and social networking. The proliferation and high penetration rate of this kind of app have resulted in online user concerns about the privacy security problems exposed by such platforms. This study focuses on better understanding the impact mechanism of private information disclosure behaviors and obtained benefits on privacy concerns of short-form video platform users. We analyzed the behavioral and privacy setting data of 35,456 users registered on the TikTok platform. The results demonstrated a correlation between use behaviors (e.g., participation and interest) and privacy sensitivity, among which popularity, as a form of external feedback, played a mediating role. In addition, the official certification provided to users by the platform moderated the impact of user popularity on privacy sensitivity. This study enriches the understanding of the correlation between privacy concerns and information disclosure behavior and suggests practical implications for the design of privacy set- tings and protections by short-form video platforms.</t>
  </si>
  <si>
    <t>[Li, Jin] Xi An Jiao Tong Univ, Sch Management, Xian, Peoples R China; [Zhang, Yulan] Xidian Univ, Sch Econ &amp; Management, Xian, Peoples R China; [Mou, Jian] Pusan Natl Univ, Sch Business, Busan, South Korea</t>
  </si>
  <si>
    <t>Xi'an Jiaotong University; Xidian University; Pusan National University</t>
  </si>
  <si>
    <t>Mou, J (corresponding author), Pusan Natl Univ, Sch Business, Busan, South Korea.</t>
  </si>
  <si>
    <t>jinlimis@xjtu.edu.cn; zzyulan@163.com; jian.mou@pusan.ac.kr</t>
  </si>
  <si>
    <t>National Natural Science Foundation of China [71901169, T2293774]; Shaanxi Province Innovative Talents Promotion Plan-Youth Science and Technology Nova Project [2022KJXX-50]; Youth Talent Promotion Project of China Association for Science and Technology [YESS20200072]</t>
  </si>
  <si>
    <t>National Natural Science Foundation of China(National Natural Science Foundation of China (NSFC)); Shaanxi Province Innovative Talents Promotion Plan-Youth Science and Technology Nova Project; Youth Talent Promotion Project of China Association for Science and Technology</t>
  </si>
  <si>
    <t>This work was supported by National Natural Science Foundation of China (71901169, T2293774) , Shaanxi Province Innovative Talents Promotion Plan-Youth Science and Technology Nova Project (2022KJXX-50) , Youth Talent Promotion Project of China Association for Science and Technology (YESS20200072) .</t>
  </si>
  <si>
    <t>10.1016/j.jretconser.2023.103292</t>
  </si>
  <si>
    <t>9V4ZN</t>
  </si>
  <si>
    <t>WOS:000948402500001</t>
  </si>
  <si>
    <t>Guillén-Gámez, FD; Mayorga-Fernández, MJ</t>
  </si>
  <si>
    <t>David Guillen-Gamez, Francisco; Jose Mayorga-Fernandez, Maria</t>
  </si>
  <si>
    <t>Measuring Rural Teachers' Digital Competence to Communicate with the Educational Community</t>
  </si>
  <si>
    <t>RURAL EDUCATION; EDUCATIONAL TECHNOLOGY; TEACHERS; COMPUTER LITERACY</t>
  </si>
  <si>
    <t>TECHNOLOGY; SCHOOLS; ICT</t>
  </si>
  <si>
    <t>Teachers' communication with the educational community (students, families and teachers) may be different depending on the place where they reside. We ask ourselves whether teachers in rural areas are sufficiently prepared to carry out this communication through digital media. Thus, this study had as its aims to: (1) ascertain teachers' digital competence self-assessment about the utilisation of ICT resources to communicate with other teachers, students and families, according to gender, type of school, age and years of teaching experience; (2) analyse comparatively if significant differences exist in terms of digital competence level between the internal categories of each variable; (3) identify which digital resources are significant predictors. A non-experimental design was used with 847 rural teachers from different rural areas in Spain. The results showed an integrating attitude of every teacher-expert in their digital skills, regarding communication both with students and their families and with the other colleagues at the educational centre. We found differences in teachers' scores when comparing by gender and type of centre. Furthermore, we checked those applications such as Blogs, TikTok, Twitter and Moodle served were relevant predictors.</t>
  </si>
  <si>
    <t>[David Guillen-Gamez, Francisco] Univ Cordoba, Dept Didact &amp; Sch Org, Cordoba, Spain; [Jose Mayorga-Fernandez, Maria] Univ Malaga, Dept Didact &amp; Sch Org, Malaga, Spain</t>
  </si>
  <si>
    <t>Universidad de Cordoba; Universidad de Malaga</t>
  </si>
  <si>
    <t>Guillén-Gámez, FD (corresponding author), Univ Cordoba, Fac Ciencias Educ, Calle San Alberto Magno S-N, Cordoba 14071, Spain.</t>
  </si>
  <si>
    <t>dguillen@uco.es</t>
  </si>
  <si>
    <t>Guillen-Gamez, Francisco D./K-8187-2017</t>
  </si>
  <si>
    <t>Guillen-Gamez, Francisco D./0000-0001-6470-526X; Mayorga, Maria Jose/0000-0003-3749-1264</t>
  </si>
  <si>
    <t>10.7821/naer.2022.7.1053</t>
  </si>
  <si>
    <t>3C0NY</t>
  </si>
  <si>
    <t>WOS:000828330300001</t>
  </si>
  <si>
    <t>Wang, JH; Wang, YH; Weng, NN; Chai, TR; Li, AN; Zhang, FX; Yu, SS</t>
  </si>
  <si>
    <t>Wang, Jiahao; Wang, Yunhong; Weng, Nina; Chai, Tianrui; Li, Annan; Zhang, Faxi; Yu, Sansi</t>
  </si>
  <si>
    <t>Will You Ever Become Popular? Learning to Predict Virality of Dance Clips</t>
  </si>
  <si>
    <t>ACM TRANSACTIONS ON MULTIMEDIA COMPUTING COMMUNICATIONS AND APPLICATIONS</t>
  </si>
  <si>
    <t>Dance challenge; virality prediction; multi-modal approach</t>
  </si>
  <si>
    <t>Dance challenges are going viral in video communities like TikTok nowadays. Once a challenge becomes popular, thousands of short-form videos will be uploaded within a couple of days. Therefore, virality prediction from dance challenges is of great commercial value and has a wide range of applications, such as smart recommendation and popularity promotion. In this article, a novel multi-modal framework that integrates skeletal, holistic appearance, facial and scenic cues is proposed for comprehensive dance vitality prediction. To model body movements, we propose a pyramidal skeleton graph convolutional network (PSGCN) that hierarchically refines spatio-temporal skeleton graphs. Meanwhile, we introduce a relational temporal convolutional network (RTCN) to exploit appearance dynamics with non-local temporal relations. An attentive fusion approach is finally proposed to adaptively aggregate predictions from different modalities. To validate our method, we introduce a large-scale viral dance video (VDV) dataset, which contains over 4,000 dance clips of eight viral dance challenges. Extensive experiments on the VDV dataset well demonstrate the effectiveness of our approach. Furthermore, we show that short video applications such as multi-dimensional recommendation and action feedback can be derived from our model.</t>
  </si>
  <si>
    <t>[Wang, Jiahao; Wang, Yunhong; Weng, Nina; Chai, Tianrui; Li, Annan] Beihang Univ, State Key Lab Virtual Real Technol &amp; Syst, Beijing, Peoples R China; [Zhang, Faxi; Yu, Sansi] Tencent, Shenzhen 518054, Peoples R China</t>
  </si>
  <si>
    <t>Beihang University; Tencent</t>
  </si>
  <si>
    <t>Li, AN (corresponding author), Beihang Univ, State Key Lab Virtual Real Technol &amp; Syst, Beijing, Peoples R China.</t>
  </si>
  <si>
    <t>jhwang@buaa.edu.cn; yhwang@buaa.edu.cn; wengnn@buaa.edu.cn; trchai@buaa.edu.cn; liannan@buaa.edu.cn; micahzhang@tencent.com; mionyu@tencent.com</t>
  </si>
  <si>
    <t>Weng, Nina/0009-0006-4635-0438; Li, Annan/0000-0003-3497-5052</t>
  </si>
  <si>
    <t>National Natural Science Foundation of China [U20B2069]; Foundation for Innovative Research Groups through the National Natural Science Foundation of China [61421003]; CCF-Tencent Rhino-Bird Research Fund</t>
  </si>
  <si>
    <t>National Natural Science Foundation of China(National Natural Science Foundation of China (NSFC)); Foundation for Innovative Research Groups through the National Natural Science Foundation of China(National Natural Science Foundation of China (NSFC)); CCF-Tencent Rhino-Bird Research Fund</t>
  </si>
  <si>
    <t>This work was supported by National Natural Science Foundation of China (Grant No. U20B2069), Foundation for Innovative Research Groups through the National Natural Science Foundation of China (Grant No. 61421003), and CCF-Tencent Rhino-Bird Research Fund.</t>
  </si>
  <si>
    <t>1551-6857</t>
  </si>
  <si>
    <t>1551-6865</t>
  </si>
  <si>
    <t>ACM T MULTIM COMPUT</t>
  </si>
  <si>
    <t>ACM Trans. Multimed. Comput. Commun. Appl.</t>
  </si>
  <si>
    <t>10.1145/3477533</t>
  </si>
  <si>
    <t>Computer Science, Information Systems; Computer Science, Software Engineering; Computer Science, Theory &amp; Methods</t>
  </si>
  <si>
    <t>0A0YT</t>
  </si>
  <si>
    <t>WOS:000773689400011</t>
  </si>
  <si>
    <t>Yang, MS; Zhang, WS; Ruangkanjanases, A; Zhang, Y</t>
  </si>
  <si>
    <t>Yang, MaoSheng; Zhang, WenSong; Ruangkanjanases, Athapol; Zhang, Yue</t>
  </si>
  <si>
    <t>Understanding the Mechanism of Social Attachment Role in Social Media: A Qualitative Analysis</t>
  </si>
  <si>
    <t>attachment theory; social media; grounded theory; social attachment; qualitative analysis</t>
  </si>
  <si>
    <t>PRODUCT DESIGN; NETWORKING SITES; FACEBOOK; CONTINUANCE; MOTIVATIONS; INTENTION; ADOPTION; LOYALTY; MODEL</t>
  </si>
  <si>
    <t>Qualitative research method was used to explore the formation and development of the attachment relationship between users and social media in the process of using social media. Based on the attachment theory, this study selected three representative social media platforms, namely, TikTok, WeChat, and MicroBlog, as theoretical samples, and this study adopted NVivo12.0 to root, theorize, and construct the original data. Research shows that users are stimulated by co-creation value to stimulate changes in their psychological needs and self-expression, leading to the formation of social attachment. Among them, user participation is a prerequisite for driving the occurrence of co-creation value, creating a continuous-use scenario for the attachment relationship between individuals and social media. Further, psychological needs and self-expression play mediating roles between co-creation of value and social attachment and promote the occurrence of personal belonging to software platforms. The findings of this research better our understandings about the mechanism of developing social attachment from continuous use of social media and offer practical implications for commercial uses of social media platforms.</t>
  </si>
  <si>
    <t>[Yang, MaoSheng; Zhang, WenSong; Zhang, Yue] Beijing Jiaotong Univ, Sch Econ &amp; Management, Beijing, Peoples R China; [Ruangkanjanases, Athapol] Chulalongkorn Univ, Chulalongkorn Business Sch, Bangkok, Thailand</t>
  </si>
  <si>
    <t>Beijing Jiaotong University; Chulalongkorn University</t>
  </si>
  <si>
    <t>Yang, MS (corresponding author), Beijing Jiaotong Univ, Sch Econ &amp; Management, Beijing, Peoples R China.;Ruangkanjanases, A (corresponding author), Chulalongkorn Univ, Chulalongkorn Business Sch, Bangkok, Thailand.</t>
  </si>
  <si>
    <t>17113180@bjtu.edu.cn; athapol@cbs.chula.ac.th</t>
  </si>
  <si>
    <t>Ruangkanjanases, Athapol/LQJ-0720-2024</t>
  </si>
  <si>
    <t>AUG 6</t>
  </si>
  <si>
    <t>10.3389/fpsyg.2021.720880</t>
  </si>
  <si>
    <t>UE0UR</t>
  </si>
  <si>
    <t>WOS:000687614000001</t>
  </si>
  <si>
    <t>Rizzo, GLC; Ordenes, FV; Pozharliev, R; De Angelis, M; Costabile, M</t>
  </si>
  <si>
    <t>Rizzo, Giovanni Luca Cascio; Ordenes, Francisco Villarroel; Pozharliev, Rumen; De Angelis, Matteo; Costabile, Michele</t>
  </si>
  <si>
    <t>How High-Arousal Language Shapes Micro- Versus Macro-Influencers' Impact</t>
  </si>
  <si>
    <t>JOURNAL OF MARKETING</t>
  </si>
  <si>
    <t>language arousal; micro- and macro-influencers; unstructured data analysis; engagement; social media; persuasion knowledge</t>
  </si>
  <si>
    <t>WORD-OF-MOUTH; PERSUASION KNOWLEDGE; SOCIAL MEDIA; PERCEPTIONS; EMOTIONS; VALENCE; QUESTIONS; EXPERTISE; EXTREMITY; SENTIMENT</t>
  </si>
  <si>
    <t>Influencer marketing is a popular strategy to connect with consumers. However, influencers' use of overly high-arousal language in promoting products (e.g., it's totally AMAZING!) has raised questions about their true motivations. This article investigates how high-arousal language in micro- versus macro-influencers' sponsored posts might shape engagement. A multimethod approach, combining automated text, image, video, and audio analyses of thousands of Instagram and TikTok posts with controlled experiments, demonstrates that high-arousal language increases engagement with micro-influencers, but it decreases engagement with macro-influencers, seemingly because it makes micro- (macro-) influencers appear more (less) trustworthy. Yet the negative effect of arousal for macro-influencers can be mitigated if their posts provide counterbalanced valence (both positive and negative assessments) or if they indicate an informative, rather than commercial, goal. These findings deepen understanding of how language arousal shapes consumer responses, reveal a psychological mechanism through which language arousal affects perceptions, and provide actionable insights for crafting more effective social media content.</t>
  </si>
  <si>
    <t>[Rizzo, Giovanni Luca Cascio; Ordenes, Francisco Villarroel; Pozharliev, Rumen; De Angelis, Matteo; Costabile, Michele] LUISS Guido Carli Univ, Mkt, Rome, Italy</t>
  </si>
  <si>
    <t>Luiss Guido Carli University</t>
  </si>
  <si>
    <t>Rizzo, GLC (corresponding author), LUISS Guido Carli Univ, Mkt, Rome, Italy.</t>
  </si>
  <si>
    <t>glcasciorizzo@luiss.it; fvillarroel@luiss.it; rpozharliev@luiss.it; mdeangelis@luiss.it; mcostabile@luiss.it</t>
  </si>
  <si>
    <t>De+Angelis, Matteo/AAJ-8873-2020</t>
  </si>
  <si>
    <t>Rotterdam School of Management lunch club</t>
  </si>
  <si>
    <t>The authors acknowledge their collaboration on this research with Buzzoole S.p.a.. They also thank Ann Kronrod, Andrea Luangrath, Stephan Ludwig, and Stefano Puntoni for their valuable feedback, and participants at EMAC 2023, the Rotterdam School of Management lunch club, and the SIM doctoral consortium 2022 for their helpful comments.</t>
  </si>
  <si>
    <t>0022-2429</t>
  </si>
  <si>
    <t>1547-7185</t>
  </si>
  <si>
    <t>J MARKETING</t>
  </si>
  <si>
    <t>J. Mark.</t>
  </si>
  <si>
    <t>10.1177/00222429231207636</t>
  </si>
  <si>
    <t>TS7F9</t>
  </si>
  <si>
    <t>WOS:001139696900001</t>
  </si>
  <si>
    <t>Freuler, JO</t>
  </si>
  <si>
    <t>Freuler, Juan Ortiz</t>
  </si>
  <si>
    <t>Unveiling Gatekeeping Practices in Mobile Environments: A Comparative Analysis of Operating Systems and App Gardens</t>
  </si>
  <si>
    <t>mobile operating system; iOS; app stores; mobile apps; competition; privacy; browser choice; gatekeeping</t>
  </si>
  <si>
    <t>Mobile applications are shaping information sharing, cultural expression, and social engagement. Employing a walkthrough methodology, this study examines the handling of user requests to access Web content via hyperlinks within 27 mobile apps operating in the Apple iOS ecosystem. The research reveals notable distinctions: traditional news media apps like CNN and BBC facilitate users' direct access to Web content through their preferred mobile browsers with a single click, whereas many social media platforms confine users to in-app browsers. Tech giants like Alphabet and Microsoft trigger banner advertisements for their browsers when users click on a hyperlink within their e-mail apps. This approach allows them to capitalize on their dominant positions in one market to drive the visibility and adoption of products in adjacent markets. Moreover, emerging social media apps like TikTok adopt a policy of rendering hyperlinks unclickable, indicating a broader trend toward tightened control over information dissemination. These gatekeeping choices have far-reaching implications for user privacy, the equitable distribution of value between content creators and app administrators, and the future of the open Web.</t>
  </si>
  <si>
    <t>[Freuler, Juan Ortiz] Annenberg Sch Commun, Philadelphia, PA 19104 USA; [Freuler, Juan Ortiz] Berkman Klein Ctr Internet &amp; Soc, Cambridge, MA 02138 USA</t>
  </si>
  <si>
    <t>Freuler, JO (corresponding author), Annenberg Sch Commun, Philadelphia, PA 19104 USA.;Freuler, JO (corresponding author), Berkman Klein Ctr Internet &amp; Soc, Cambridge, MA 02138 USA.</t>
  </si>
  <si>
    <t>ortizfre@usc.edu</t>
  </si>
  <si>
    <t>Ortiz-Freuler, Juan/JXL-9198-2024</t>
  </si>
  <si>
    <t>Open Society Foundations</t>
  </si>
  <si>
    <t>I would like to express my gratitude to Ignacio Guerineau for his invaluable contributions in the creation of the figures included in this article. I extend my appreciation to the anonymous reviewers, Carlos Iglesias, Troy M., Rohan Grover, and the participants of the TPRC and Global Digital Cultures conferences for their insightful feedback on earlier drafts. Additionally, I acknowledge the seed funding of $5,000 provided by the Open Society Foundations, which played a pivotal role in making this project a reality.</t>
  </si>
  <si>
    <t>WOS:001111205800041</t>
  </si>
  <si>
    <t>Wei, YW; Liu, WQ; Liu, F; Wang, X; Nie, LQ; Chua, TS</t>
  </si>
  <si>
    <t>Wei, Yinwei; Liu, Wenqi; Liu, Fan; Wang, Xiang; Nie, Liqiang; Chua, Tat-Seng</t>
  </si>
  <si>
    <t>LightGT: A Light Graph Transformer for Multimedia Recommendation</t>
  </si>
  <si>
    <t>PROCEEDINGS OF THE 46TH INTERNATIONAL ACM SIGIR CONFERENCE ON RESEARCH AND DEVELOPMENT IN INFORMATION RETRIEVAL, SIGIR 2023</t>
  </si>
  <si>
    <t>46th International ACM SIGIR Conference on Research and Development in Information Retrieval (SIGIR)</t>
  </si>
  <si>
    <t>JUL 23-27, 2023</t>
  </si>
  <si>
    <t>Assoc Comp Machinery,ACM Special Interest Grp Informat Retrieval</t>
  </si>
  <si>
    <t>Multimedia Recommendation; Transformer; Graph Convolutional Network; Recommender System</t>
  </si>
  <si>
    <t>Multimedia recommendation methods aim to discover the user preference on the multi-modal information to enhance the collaborative filtering (CF) based recommender system. Nevertheless, they seldom consider the impact of feature extraction on the user preference modeling and prediction of the user-item interaction, as the extracted features contain excessive information irrelevant to the recommendation. To capture the informative features from the extracted ones, we resort to Transformer model to establish the correlation between the items historically interacted by the same user. Considering its challenges in effectiveness and efficiency, we propose a novel Transformer-based recommendation model, termed as Light Graph Transformer model (LightGT). Therein, we develop a modal-specific embedding and a layer-wise position encoder for the effective similarity measurement, and present a light self-attention block to improve the efficiency of self-attention scoring. Based on these designs, we can effectively and efficiently learn the user preference from the off-the-shelf items' features to predict the user-item interactions. Conducting extensive experiments on Movielens, Tiktok and Kwai datasets, we demonstrate that LigthGT significantly outperforms the state-of-the-art baselines with less time. Our code is publicly available at: https://github.com/Liuwqbit/LightGT.</t>
  </si>
  <si>
    <t>[Wei, Yinwei; Liu, Fan; Chua, Tat-Seng] Natl Univ Singapore, Singapore, Singapore; [Liu, Wenqi] Shandong Univ, Jinan, Shandong, Peoples R China; [Wang, Xiang] Univ Sci &amp; Technol China, Hefei, Anhui, Peoples R China; [Nie, Liqiang] Harbin Inst Technol Shenzhen, Shenzhen, Peoples R China; [Wang, Xiang] Hefei Comprehens Natl Sci Ctr, Inst Dataspace, Inst Artificial Intelligence, Hefei, Peoples R China</t>
  </si>
  <si>
    <t>National University of Singapore; Shandong University; Chinese Academy of Sciences; University of Science &amp; Technology of China, CAS; Harbin Institute of Technology</t>
  </si>
  <si>
    <t>Wei, YW (corresponding author), Natl Univ Singapore, Singapore, Singapore.</t>
  </si>
  <si>
    <t>weyinwei@hotmail.com; liuwq_bit@outlook.com; liufancs@gmail.com; xiangwang@u.nus.edu; nieliqiang@gmail.com; dcscts@nus.edu.sg</t>
  </si>
  <si>
    <t>Wei, Yinwei/JHX-9398-2023; Liu, Wenqi/T-1712-2019</t>
  </si>
  <si>
    <t>Liu, Fan/0000-0002-4547-3982</t>
  </si>
  <si>
    <t>National Natural Science Foundation of China [9227010114, U1936203, :62236003]; Shenzhen College Stability Support Plan [GXWD20220817144428005]; University Synergy Innovation Program of Anhui Province [GXXT-2022-040]</t>
  </si>
  <si>
    <t>National Natural Science Foundation of China(National Natural Science Foundation of China (NSFC)); Shenzhen College Stability Support Plan; University Synergy Innovation Program of Anhui Province</t>
  </si>
  <si>
    <t>This research is supported by the National Natural Science Foundation of China No.: 9227010114, No.:U1936203 and No.:62236003; Shenzhen College Stability Support Plan, No.: GXWD20220817144428005; and the University Synergy Innovation Program of Anhui Province (GXXT-2022-040).</t>
  </si>
  <si>
    <t>978-1-4503-9408-6</t>
  </si>
  <si>
    <t>10.1145/3539618.3591716</t>
  </si>
  <si>
    <t>BW2LG</t>
  </si>
  <si>
    <t>WOS:001118084001056</t>
  </si>
  <si>
    <t>Russo, GI; Asmundo, MG; Durukan, E; Fode, M</t>
  </si>
  <si>
    <t>Russo, Giorgio Ivan; Asmundo, Maria Giovanna; Durukan, Emil; Fode, Mikkel</t>
  </si>
  <si>
    <t>Quality and benefits of the erectile dysfunction information on websites, social-media, and applications</t>
  </si>
  <si>
    <t>EUROPEAN ASSOCIATION; PRIMARY-CARE; GUIDELINES</t>
  </si>
  <si>
    <t>Erectile Dysfunction (ED) is defined as the persistent inability to obtain and maintain an erection that enables satisfactory sexual intercourse. ED prevalence vary across age groups, affecting approximately 1-9% of men under 40, 2-9% of those aged 40-59, and increasing to 20-40% for those aged 60-69. However, it remains a frequently untreated or insufficiently treated condition. Especially due to the feeling of discomfort and guilt, patients often avoid consulting their physicians; in this context, digital innovation could potentially play a pivotal role in the diagnosis and management of ED. This narrative review depicts the ongoing status of digital innovations in ED focusing on websites, social media platforms and mobile health applications (MHA). We examined Google, social media platforms (Facebook, Twitter, YouTube, and TikTok), and the recently developed MHA apps on Google Play Store and Apple App Store. Websites provide readily available but sometimes difficult to understand information, while social media is easy to understand and act on. MHA apps are the most complete and trustworthy tool for self-care management. In conclusion, digital innovations are a continuously growing source of information and therapeutic tools.</t>
  </si>
  <si>
    <t>[Russo, Giorgio Ivan; Asmundo, Maria Giovanna] Univ Catania, Dept Surg, Urol Sect, Catania, Italy; [Durukan, Emil; Fode, Mikkel] Copenhagen Univ Hosp, Herlev &amp; Gentofte Hosp, Dept Urol, Herlev, Denmark; [Fode, Mikkel] Univ Copenhagen, Fac Hlth &amp; Med Sci, Dept Clin Med, Copenhagen, Denmark</t>
  </si>
  <si>
    <t>University of Catania; University of Copenhagen; University of Copenhagen</t>
  </si>
  <si>
    <t>Russo, GI (corresponding author), Univ Catania, Dept Surg, Urol Sect, Catania, Italy.</t>
  </si>
  <si>
    <t>giorgioivan.russo@unict.it</t>
  </si>
  <si>
    <t>Asmundo, Maria Giovanna/JUU-2440-2023</t>
  </si>
  <si>
    <t>Durukan, Emil/0000-0001-9221-8944; Russo, Giorgio Ivan/0000-0003-4687-7353</t>
  </si>
  <si>
    <t>10.1038/s41443-023-00725-1</t>
  </si>
  <si>
    <t>WOS:001017716600001</t>
  </si>
  <si>
    <t>Gudiño, D; Fernández-Sánchez, MJ; Becerra-Traver, MT; Sánchez, S</t>
  </si>
  <si>
    <t>Gudino, Diego; Fernandez-Sanchez, Maria Jesus; Becerra-Traver, Maria Teresa; Sanchez, Susana</t>
  </si>
  <si>
    <t>Social Media and the Pandemic: Consumption Habits of the Spanish Population before and during the COVID-19 Lockdown</t>
  </si>
  <si>
    <t>social media; COVID-19; email surveys; usage studies</t>
  </si>
  <si>
    <t>NETWORKING SITES; INTERNET USE; ATTITUDES</t>
  </si>
  <si>
    <t>The confinement of the Spanish population due to the COVID-19 pandemic triggered a change in patterns of electronic device usage, leading to an increase in internet traffic. This study sought to evaluate the use of social media by the Spanish population before and during the COVID-19 lockdown. An extensive ad hoc questionnaire was prepared and distributed to a total of 397 people of different ages from different Spanish provinces. The questionnaire was previously validated and was found to be reliable. The results showed that during the lockdown, the most frequently used social networks were WhatsApp and Facebook, although others, such as Telegram and TikTok, also experienced a significant increase in user registrations. There was also an increase in the number of hours spent per week using social media, especially Facebook, WhatsApp and YouTube, to share images, videos and audio messages, with a significant increase in document sharing and knowledge acquisition. The final section discusses some of the results and concludes by highlighting the importance of analyzing social behavior in times of crisis in order to design more effective and personalized communication strategies.</t>
  </si>
  <si>
    <t>[Gudino, Diego; Fernandez-Sanchez, Maria Jesus; Becerra-Traver, Maria Teresa] Univ Extremadura, Fac Educ, Dept Ciencias Educ, Badajoz 06006, Spain; [Sanchez, Susana] Univ Extremadura, Fac Educ, Dept Psicol &amp; Antropol, Avda Elvas S-N, Badajoz 06006, Spain</t>
  </si>
  <si>
    <t>Universidad de Extremadura; Universidad de Extremadura</t>
  </si>
  <si>
    <t>Sánchez, S (corresponding author), Univ Extremadura, Fac Educ, Dept Psicol &amp; Antropol, Avda Elvas S-N, Badajoz 06006, Spain.</t>
  </si>
  <si>
    <t>dgudiza@unex.es; mafernandezs@unex.es; mbectra@unex.es; ssanchez@unex.es</t>
  </si>
  <si>
    <t>Fernández, María Jesús/AAH-5954-2019</t>
  </si>
  <si>
    <t>Gudino Zahinos, Diego/0000-0003-0383-9816; Fernandez, Maria Jesus/0000-0003-3891-8872</t>
  </si>
  <si>
    <t>European Regional Development Fund (A Way to Make Europe); Government of Extremadura (Junta de Extremadura) [Exp. GR21157]</t>
  </si>
  <si>
    <t>European Regional Development Fund (A Way to Make Europe)(European Union (EU)); Government of Extremadura (Junta de Extremadura)</t>
  </si>
  <si>
    <t>This study was funded by the European Regional Development Fund (A Way to Make Europe) and the Government of Extremadura (Junta de Extremadura) (No Exp. GR21157).</t>
  </si>
  <si>
    <t>10.3390/su14095490</t>
  </si>
  <si>
    <t>1G9OK</t>
  </si>
  <si>
    <t>WOS:000796176700001</t>
  </si>
  <si>
    <t>Yang, MS; Suanpong, K; Ruangkanjanases, A; Yu, W; Xu, HY</t>
  </si>
  <si>
    <t>Yang, Maosheng; Suanpong, Kwanrat; Ruangkanjanases, Athapol; Yu, Wei; Xu, Hongyu</t>
  </si>
  <si>
    <t>Development and Validity Test of Social Attachment Multidimensional Scale</t>
  </si>
  <si>
    <t>attachment theory; social attachment; scale development; social media; reliability and validity</t>
  </si>
  <si>
    <t>PLACE ATTACHMENT; BRAND ATTACHMENT; EMOTIONAL ATTACHMENT; SATISFACTION; ANTECEDENTS; CONSUMERS; LOYALTY; FIT; PERSONALITY; INVOLVEMENT</t>
  </si>
  <si>
    <t>Social attachment can explain well the bond between users and social media, but existing research lacks measures of social attachment scales. To this end, this study takes attachment theory as the basis for scale development. On the basis of the development of multidimensional scales for adult, brand, and local attachment, it combines existing relevant studies on social attachment, selects three representative social media such as TikTok, WeChat, and MicroBlog as theoretical samples, explores the concept and structure of social attachment, and develops a social attachment scale through qualitative interviews and open-ended questionnaires. This study applied SPSS 24.0 and Mplus 7.0 to test the social attachment scale. The findings reveal that social attachment consists of three constructs: social connection, social dependence and social identity, and the scale possesses high reliability and validity. This study has developed and validated a social attachment scale in the context of social software use, realizing a quantitative study of social attachment and providing a basis for future empirical research related to social attachment.</t>
  </si>
  <si>
    <t>[Yang, Maosheng] Beijing Jiaotong Univ, Sch Econ &amp; Management, Beijing, Peoples R China; [Suanpong, Kwanrat; Ruangkanjanases, Athapol] Chulalongkorn Univ, Chulalongkorn Business Sch, Bangkok, Thailand; [Yu, Wei] Jiangxi Sci &amp; Technol Normal Univ, Sch Econ &amp; Management, Nanchang, Peoples R China; [Xu, Hongyu] Beijing Jiaotong Univ, Finance Off, Beijing, Peoples R China</t>
  </si>
  <si>
    <t>Beijing Jiaotong University; Chulalongkorn University; Jiangxi Science &amp; Technology Normal University; Beijing Jiaotong University</t>
  </si>
  <si>
    <t>Yang, MS (corresponding author), Beijing Jiaotong Univ, Sch Econ &amp; Management, Beijing, Peoples R China.;Suanpong, K (corresponding author), Chulalongkorn Univ, Chulalongkorn Business Sch, Bangkok, Thailand.</t>
  </si>
  <si>
    <t>17113180@bjtu.edu.cn; kwanrat@cbs.chula.ac.th</t>
  </si>
  <si>
    <t>10.3389/fpsyg.2021.757777</t>
  </si>
  <si>
    <t>YL2CA</t>
  </si>
  <si>
    <t>WOS:000745703800001</t>
  </si>
  <si>
    <t>Al-Zaman, MS; Noman, MMS</t>
  </si>
  <si>
    <t>Al-Zaman, Md. Sayeed; Noman, Mridha Md. Shiblee</t>
  </si>
  <si>
    <t>Rise of Digital Authoritarianism? Exploring Global Motivations Behind Governmental Social Media Censorship</t>
  </si>
  <si>
    <t>JAVNOST-THE PUBLIC</t>
  </si>
  <si>
    <t>social media; governmental censorship; internet; online; freedom of speech</t>
  </si>
  <si>
    <t>INTERNET CENSORSHIP; RELIGION</t>
  </si>
  <si>
    <t>Social media has been a crucial online space, yet our comprehension of government censorship remains limited by insufficient research. This study addresses this scholarly gap by probing two key inquiries: censorship's motives and evolutionary course. An analysis of 360 censorship incidents from 2006 to 2023 across 76 countries examines three primary rationales: political, social, and security, with political motives prevailing. The reasons for censorship vary across platforms and years, with political and social factors predominantly impacting Facebook and YouTube, while security concerns notably affect TikTok and Telegram. Regional disparities in censorship underscore the prevalence of political motives in Asia and Africa, social factors in South Asia and the MENA region, and security concerns in North America, Europe, and Oceania-the entirety of the Western world. The escalating social media censorship, particularly driven by political and social considerations since 2015, underscores a broader trend of dwindling democracy and burgeoning digital authoritarianism globally. We presume that a nation's democratic environment indicates its social media censorship practices, suggesting the nexus of local and global politics with technology complicates the understanding of social media censorship.</t>
  </si>
  <si>
    <t>[Al-Zaman, Md. Sayeed; Noman, Mridha Md. Shiblee] Jahangirnagar Univ, Dept Journalism &amp; Media Studies, Dhaka, Bangladesh</t>
  </si>
  <si>
    <t>Jahangirnagar University</t>
  </si>
  <si>
    <t>Al-Zaman, MS (corresponding author), Jahangirnagar Univ, Dept Journalism &amp; Media Studies, Dhaka, Bangladesh.</t>
  </si>
  <si>
    <t>msalzaman@juniv.edu; shibleenoman@juniv.edu</t>
  </si>
  <si>
    <t>ZAMAN, MD SAYEED AL/AGH-8707-2022</t>
  </si>
  <si>
    <t>Noman, Mridha Md. Shiblee/0000-0002-8519-4179; Al-Zaman, Md. Sayeed/0000-0003-1433-7387</t>
  </si>
  <si>
    <t>1318-3222</t>
  </si>
  <si>
    <t>1854-8377</t>
  </si>
  <si>
    <t>JAVNOST-PUBLIC</t>
  </si>
  <si>
    <t>Javnost-Public</t>
  </si>
  <si>
    <t>10.1080/13183222.2024.2396211</t>
  </si>
  <si>
    <t>L8I7O</t>
  </si>
  <si>
    <t>WOS:001338227000001</t>
  </si>
  <si>
    <t>Tan, S</t>
  </si>
  <si>
    <t>Tan, Si</t>
  </si>
  <si>
    <t>How to interact with consumers to enhance their purchase intention? Evidence from China's agricultural products live streaming commerce</t>
  </si>
  <si>
    <t>BRITISH FOOD JOURNAL</t>
  </si>
  <si>
    <t>Live streaming commerce; Agricultural products; Interaction; Perceived values; Purchase intention</t>
  </si>
  <si>
    <t>SOCIAL COMMERCE; ONLINE MARKETPLACES; PLS-SEM; CUSTOMERS; TRUST; BEHAVIOR; ADOPTION; VALUES; IMPACT</t>
  </si>
  <si>
    <t>PurposeThis study aims to investigate the effects of interaction in agricultural product live rooms, including personalization, responsiveness, and entertainment, on consumers' purchase intention.Design/methodology/approachThe SOR model has been applied to formulate hypotheses. This study is based on an online survey conducted with a sample of 433 valid questionnaires from Chinese consumers on the TikTok agricultural products live platform. A partial least squares structural equation modeling (PLS-SEM) is used to test the hypotheses.FindingsThe findings indicate that (1) interactions (personalization, responsiveness, and entertainment) in the agricultural products live room have a positive effect on perceived values (utilitarian value, symbolic value, and entertainment value); (2) utilitarian value positively affects purchase intention and mediates the effects of personalization and entertainment interactions on purchase intention, respectively; (3) entertainment value positively influences purchase intention and mediates the influence of entertainment interaction on purchase intention.Originality/valueThis study offers theoretical insights into live marketing of agricultural products and practical implications for practitioners of agricultural products in live streaming commerce.</t>
  </si>
  <si>
    <t>[Tan, Si] Beijing Technol &amp; Business Univ, Beijing, Peoples R China</t>
  </si>
  <si>
    <t>Beijing Technology &amp; Business University</t>
  </si>
  <si>
    <t>Tan, S (corresponding author), Beijing Technol &amp; Business Univ, Beijing, Peoples R China.</t>
  </si>
  <si>
    <t>tansi1030@163.com</t>
  </si>
  <si>
    <t>Tan, Si/0000-0002-3523-9316</t>
  </si>
  <si>
    <t>Chinese National Natural Science Foundation [72073136, 72373158]; National Social Science Foundation China [21ZDA055]; Beijing Technology and Business University Young Teachers Scientific Research Starting Fund [QNJJ2021-45]</t>
  </si>
  <si>
    <t>Chinese National Natural Science Foundation(National Natural Science Foundation of China (NSFC)); National Social Science Foundation China; Beijing Technology and Business University Young Teachers Scientific Research Starting Fund</t>
  </si>
  <si>
    <t>This study was funded by the Chinese National Natural Science Foundation grants (No. 72073136 and No. 72373158), the National Social Science Foundation China (21ZDA055) and the Beijing Technology and Business University Young Teachers Scientific Research Starting Fund (No. QNJJ2021-45). The interpretations, conclusions and recommendations, however, are the author's and do not necessarily represent the positions of the institution. No conflict of interest exists in the submission of this manuscript, and the manuscript is approved by the author for publication.</t>
  </si>
  <si>
    <t>0007-070X</t>
  </si>
  <si>
    <t>1758-4108</t>
  </si>
  <si>
    <t>BRIT FOOD J</t>
  </si>
  <si>
    <t>Br. Food J.</t>
  </si>
  <si>
    <t>10.1108/BFJ-09-2023-0815</t>
  </si>
  <si>
    <t>Agricultural Economics &amp; Policy; Food Science &amp; Technology</t>
  </si>
  <si>
    <t>Agriculture; Food Science &amp; Technology</t>
  </si>
  <si>
    <t>PO6U9</t>
  </si>
  <si>
    <t>WOS:001195236400001</t>
  </si>
  <si>
    <t>Wang, Z; Gao, P; Chu, XN</t>
  </si>
  <si>
    <t>Wang, Zheng; Gao, Peng; Chu, Xuening</t>
  </si>
  <si>
    <t>Sentiment analysis from Customer-generated online videos on product review using topic modeling and Multi-attention BLSTM</t>
  </si>
  <si>
    <t>ADVANCED ENGINEERING INFORMATICS</t>
  </si>
  <si>
    <t>Sentiment analysis; Online video; Topic modeling; Deep learning; Product improvement</t>
  </si>
  <si>
    <t>SPEECH; RECOGNITION; FUSION</t>
  </si>
  <si>
    <t>With the popularity of social websites and mobile applications including Instagram, YouTube, TikTok, etc., online videos shared by customers presenting their thoughts and reviews on products are posted daily in increasing numbers. Such online videos containing Voice of Customer (VOC) are precious for product designers or managers to capture customer sentiment and understand customer preference. For this purpose, we propose a novel method for analyzing customer sentiment from online videos on product review. Firstly, latent Dirichlet allocation (LDA) modeling is applied to identify the topics from the online videos after data preprocessing. Then sentiment polarity corresponding to each topic of each speaker in videos can be identified using our newly designed multi-attention bi-directional LSTM (BLSTM(MA)), which can better mine complex relationships among a speaker's sentiments on different topics. This paper is of great practical value for company managers and researchers to better understand a large number of customer opinions on specific products. To explain the application of this method and prove its effectiveness, two cases respectively on smartphones and several pub-lished datasets are developed finally.</t>
  </si>
  <si>
    <t>[Wang, Zheng; Chu, Xuening] Shanghai Jiao Tong Univ, Sch Mech Engn, Shanghai, Peoples R China; [Gao, Peng] Shanghai Jiao Tong Univ, Sch Elect Informat &amp; Elect Engn, Shanghai, Peoples R China</t>
  </si>
  <si>
    <t>Chu, XN (corresponding author), Shanghai Jiao Tong Univ, Sch Mech Engn, Shanghai, Peoples R China.</t>
  </si>
  <si>
    <t>xnchu@sjtu.edu.cn</t>
  </si>
  <si>
    <t>National Natural Science Foundation of China [51875345, 51475290]</t>
  </si>
  <si>
    <t>Funding This work was financially supported by the National Natural Science Foundation of China [grant number 51875345] , [grant number 51475290] .</t>
  </si>
  <si>
    <t>1474-0346</t>
  </si>
  <si>
    <t>1873-5320</t>
  </si>
  <si>
    <t>ADV ENG INFORM</t>
  </si>
  <si>
    <t>Adv. Eng. Inform.</t>
  </si>
  <si>
    <t>10.1016/j.aei.2022.101588</t>
  </si>
  <si>
    <t>Computer Science, Artificial Intelligence; Engineering, Multidisciplinary</t>
  </si>
  <si>
    <t>1K1FL</t>
  </si>
  <si>
    <t>WOS:000798355000003</t>
  </si>
  <si>
    <t>Ivanova, A; Ibryamova, E</t>
  </si>
  <si>
    <t>Ivanova, Aneliya; Ibryamova, Elitsa</t>
  </si>
  <si>
    <t>THE ROLE OF SOCIAL NETWORKS AND MICRO-LEARNING IN THE DIGITALIZATION OF EDUCATION</t>
  </si>
  <si>
    <t>STRATEGIES FOR POLICY IN SCIENCE AND EDUCATION-STRATEGII NA OBRAZOVATELNATA I NAUCHNATA POLITIKA</t>
  </si>
  <si>
    <t>Bulgarian</t>
  </si>
  <si>
    <t>digital transformation; learning in a social network; micro-learning; micro-learning content; micro-learning resource; infographic</t>
  </si>
  <si>
    <t>As social networks have evolved beyond their original purpose, and have proven to be a successful platform even for business and politics, it was only natural for the educational process to find its place in this virtual realm. As early as 2019, Facebook introduced the Social Learning mode, which provided excellent opportunities for publishing and structuring educational content within closed groups, taking the utilization of this social network to a new level in the learning process. It can hardly be disputed that social networks have the potential to offer rich access to a variety of educational resources, but recently, there has been a persistent migration of students from the digital generation to platforms such as Instagram, TikTok, Pinterest, where digital content in the form of small portions of visual and video information circulates. This trend leads to the need for a fresh interpretation of the concept of micro-learning and micro-content in the context of social networks, as well as the need to explore learners' attitudes towards such type of learning.</t>
  </si>
  <si>
    <t>[Ivanova, Aneliya; Ibryamova, Elitsa] Angel Kanchev Univ Ruse, Ruse 7017, Bulgaria</t>
  </si>
  <si>
    <t>University of Ruse</t>
  </si>
  <si>
    <t>Ivanova, A (corresponding author), Angel Kanchev Univ Ruse, Ruse 7017, Bulgaria.</t>
  </si>
  <si>
    <t>aivanova@uni-ruse.bg; eibryamova@uni-ruse.bg</t>
  </si>
  <si>
    <t>Ivanova, Aneliya/0000-0002-3859-2879</t>
  </si>
  <si>
    <t>NATL IZDATELSTVO AZ BUKI</t>
  </si>
  <si>
    <t>SOFIA</t>
  </si>
  <si>
    <t>BUL TSARIGRADSKO SHOSE, 125, BL 5, SOFIA, 1113, BULGARIA</t>
  </si>
  <si>
    <t>1310-0270</t>
  </si>
  <si>
    <t>1314-8575</t>
  </si>
  <si>
    <t>STRATEG POLICY SCI E</t>
  </si>
  <si>
    <t>Strateg. Policy Sci. Educ.</t>
  </si>
  <si>
    <t>10.53656/str2023-4s-10-the</t>
  </si>
  <si>
    <t>Q3XT4</t>
  </si>
  <si>
    <t>WOS:001056888600010</t>
  </si>
  <si>
    <t>Arnot, G; Pitt, H; McCarthy, S; Cordedda, C; Marko, S; Thomas, SL</t>
  </si>
  <si>
    <t>Arnot, Grace; Pitt, Hannah; McCarthy, Simone; Cordedda, Chloe; Marko, Sarah; Thomas, Samantha L.</t>
  </si>
  <si>
    <t>Australian youth perspectives on the role of social media in climate action</t>
  </si>
  <si>
    <t>AUSTRALIAN AND NEW ZEALAND JOURNAL OF PUBLIC HEALTH</t>
  </si>
  <si>
    <t>Climate crisis; climate change; climate justice; qualitative; social media; young people</t>
  </si>
  <si>
    <t>ADVOCACY; IDENTITY; CHILDREN; FUTURE; HEALTH</t>
  </si>
  <si>
    <t>Objective: The climate crisis poses a significant public health threat to current and future generations. Limited research has examined young people's perspectives about the role of social media for climate awareness, action, and policy change. Methods: Qualitatively led online survey of n=500 young Australians (aged 15-24). Questions focused on the effectiveness of social media platforms in communicating the need for climate action, with TikTok videos used to prompt about appeal strategies and campaigns. Data were analysed using a reflexive approach to thematic analysis. Results: Participants perceived that social media platforms were a powerful and inclusive communication mechanism for climate action. Social media had the ability to reach diverse audiences and connect young people globally. Limitations included influencing key decision makers and risks associated with misinformation and disinformation. Participants supported messages that highlighted the urgent need for action, trusted celebrity and youth voices, and practical information to engage in action. Conclusions: Social media presents a powerful opportunity for engaging young people in discussions and decisions made about the climate crisis.</t>
  </si>
  <si>
    <t>[Arnot, Grace; Pitt, Hannah; McCarthy, Simone; Cordedda, Chloe; Marko, Sarah; Thomas, Samantha L.] Deakin Univ, Inst Hlth Transformat, Geelong, Vic, Australia; [Thomas, Samantha L.] Curtin Univ, Curtin Sch Populat Hlth, Perth, Australia; [Arnot, Grace] Deakin Univ, Inst Hlth Transformat, Fac Hlth, 1 Geringhap St, Geelong, Vic 3220, Australia</t>
  </si>
  <si>
    <t>Arnot, G (corresponding author), Deakin Univ, Inst Hlth Transformat, Fac Hlth, 1 Geringhap St, Geelong, Vic 3220, Australia.</t>
  </si>
  <si>
    <t>g.arnot@deakin.edu.au</t>
  </si>
  <si>
    <t>Pitt, Hannah/X-9882-2019; McCarthy, Simone/X-5088-2019; Marko, Sarah/ITW-1916-2023; Simpatico, Thomas/O-1971-2019</t>
  </si>
  <si>
    <t>McCarthy, Simone/0000-0003-2671-3511; Arnot, Grace/0000-0002-5646-6366; Marko, Sarah/0000-0002-1388-3944; Pitt, Hannah/0000-0002-4259-6186</t>
  </si>
  <si>
    <t>Australian Government Research Training Program Scholarship; VicHealth Early Career Research Fellowship</t>
  </si>
  <si>
    <t>Australian Government Research Training Program Scholarship(Australian GovernmentDepartment of Industry, Innovation and Science); VicHealth Early Career Research Fellowship</t>
  </si>
  <si>
    <t>This project was funded via a research support account held by ST. GA is funded by an Australian Government Research Training Program Scholarship. HP is a recipient of a VicHealth Early Career Research Fellowship.</t>
  </si>
  <si>
    <t>1326-0200</t>
  </si>
  <si>
    <t>1753-6405</t>
  </si>
  <si>
    <t>AUST NZ J PUBL HEAL</t>
  </si>
  <si>
    <t>Aust. N.Z. J. Publ. Health</t>
  </si>
  <si>
    <t>10.1016/j.anzjph.2023.100111</t>
  </si>
  <si>
    <t>EV1B1</t>
  </si>
  <si>
    <t>WOS:001141605200001</t>
  </si>
  <si>
    <t>Pozdnyakov, A; Alabousi, M; Patlas, MN</t>
  </si>
  <si>
    <t>Pozdnyakov, Alex; Alabousi, Mostafa; Patlas, Michael N.</t>
  </si>
  <si>
    <t>The growing role of social media for research and education in radiology</t>
  </si>
  <si>
    <t>DIAGNOSTIC AND INTERVENTIONAL IMAGING</t>
  </si>
  <si>
    <t>Altmetrics; Bibliometrics; Citation; Scholarly communication; Social media; Twitter</t>
  </si>
  <si>
    <t>TWITTER; ALTMETRICS; INSTAGRAM; NETWORKING; PLATFORM; YOUTUBE; TRENDS; TIKTOK; IMPACT</t>
  </si>
  <si>
    <t>While the adoption of social media platforms has become commonplace for personal life use, its practice has tremendously grown for professional usage in medicine, and particularly in the field of radiology. The use of alternative metrics, or altmetrics, scores have developed in an effort to quantify the impact of research beyond traditional metrics, such as citation rate and journal impact factor, particularly to recognize the impact of social media on dissemination and promotion of research. Social media usage in the realm of radiology has expect-edly been adopted for the purposes of medical education, research, networking, and advocacy. However, some platforms have been used as a medium to discuss and share the day-to-day nature in the field of radiology, burnout in radiology, as well as radiology-themed humor. The purpose of this review article was discuss the role of altmetrics, as well as the specific uses of social media platforms including Twitter, Instagram, Facebook, Youtube, and more. The role of ethics in social media practice related to radiology are discussed.(c) 2023 Societe francaise de radiologie. Published by Elsevier Masson SAS. All rights reserved.</t>
  </si>
  <si>
    <t>[Pozdnyakov, Alex; Patlas, Michael N.] McMaster Univ, Hamilton Gen Hosp, Dept Radiol, Hamilton, ON L8L 2X2, Canada; [Alabousi, Mostafa] Univ Toronto, Univ Hlth Network, Joint Dept Med Imaging, Toronto, ON M5T 1W7, Canada</t>
  </si>
  <si>
    <t>McMaster University; University of Toronto; University Health Network Toronto</t>
  </si>
  <si>
    <t>Alabousi, M (corresponding author), Univ Toronto, Univ Hlth Network, Joint Dept Med Imaging, Toronto, ON M5T 1W7, Canada.</t>
  </si>
  <si>
    <t>mostafa.alabousi@medportal.ca</t>
  </si>
  <si>
    <t>Alabousi, Mostafa/AAE-5841-2021</t>
  </si>
  <si>
    <t>Pozdnyakov, Alex/0000-0002-5837-3155; Patlas, Michael/0000-0001-9304-6355; Alabousi, Mostafa/0000-0003-4023-0559</t>
  </si>
  <si>
    <t>ELSEVIER MASSON, CORP OFF</t>
  </si>
  <si>
    <t>65 CAMILLE DESMOULINS CS50083 ISSY-LES-MOULINEAUX, 92442 PARIS, FRANCE</t>
  </si>
  <si>
    <t>2211-5684</t>
  </si>
  <si>
    <t>DIAGN INTERV IMAG</t>
  </si>
  <si>
    <t>Diagn. Interv. Imaging</t>
  </si>
  <si>
    <t>10.1016/j.diii.2023.01.007</t>
  </si>
  <si>
    <t>J5ZB9</t>
  </si>
  <si>
    <t>WOS:001010386000001</t>
  </si>
  <si>
    <t>Batmunkh, A</t>
  </si>
  <si>
    <t>Batmunkh, Altanshagai</t>
  </si>
  <si>
    <t>Carbon Footprint of The Most Popular Social Media Platforms</t>
  </si>
  <si>
    <t>sustainable; internet; carbon dioxide; emission</t>
  </si>
  <si>
    <t>The advent of easily accessible technology, e-commerce, online streaming, and social networking platforms has led to massive amounts of data being stored and processed every second. The IT infrastructures needed to support this digital age consume a large amount of energy and have a negative impact on the environment. There have been several different efforts to estimate the carbon footprint of the internet, but there is no proven exact method for it. Therefore, the goals of this paper are, first-to critically review the carbon emission calculation methods and compare the results, and second-to publicize the environmental impact of our daily simple habit of internet usage. We calculated the carbon footprint of the most popular four online services (TikTok, Facebook, Netflix, and YouTube) by using top-cited methods such those from Obringer, the Shift Project, Andrae, and Hintemann and Hinterholze. When comparing the emitted carbon dioxide, the weighted average of online video streaming usage per day is 51 times more than 14 h of an airplane ride. Netflix generates the highest CO2 emissions among the four applications due to its high-resolution video delivery and its number of users.</t>
  </si>
  <si>
    <t>[Batmunkh, Altanshagai] Hungarian Univ Agr &amp; Life Sci MATE, Doctoral Sch Econ &amp; Reg Sci, Pater Karoly Utca 1, H-2100 Godollo, Hungary</t>
  </si>
  <si>
    <t>Hungarian University of Agriculture &amp; Life Sciences</t>
  </si>
  <si>
    <t>Batmunkh, A (corresponding author), Hungarian Univ Agr &amp; Life Sci MATE, Doctoral Sch Econ &amp; Reg Sci, Pater Karoly Utca 1, H-2100 Godollo, Hungary.</t>
  </si>
  <si>
    <t>batmunkh.altanshagai@phd.uni-mate.hu</t>
  </si>
  <si>
    <t>Batmunkh, Altanshagai/GRS-8557-2022</t>
  </si>
  <si>
    <t>Batmunkh, Altanshagai/0000-0003-4514-1985</t>
  </si>
  <si>
    <t>10.3390/su14042195</t>
  </si>
  <si>
    <t>ZR7YA</t>
  </si>
  <si>
    <t>WOS:000767994000001</t>
  </si>
  <si>
    <t>Saud, S; Traboco, L; Gupta, L</t>
  </si>
  <si>
    <t>Saud, Sarah; Traboco, Lisa; Gupta, Latika</t>
  </si>
  <si>
    <t>Harnessing the True Power of Altmetrics to Track Engagement</t>
  </si>
  <si>
    <t>JOURNAL OF KOREAN MEDICAL SCIENCE</t>
  </si>
  <si>
    <t>Altmetrics; Social Media; Research; Databases; Technology</t>
  </si>
  <si>
    <t>Altmetrics has recently been at the forefront of tracking medical literature propagation on social media in the modern era. With the rapidly evolving landscape of social media for academia, there's room to revise the approach. The authors discuss current limitations and suggest changes to make online attention trackers more robust and wholesome. Medical literature propagated on currently popular social media platforms like Instagram or TikTok are not accounted for by altmetrics. For altmetrics to become a more robust tool it is vital that it keeps up with the times and accounts for representation of data from these platforms as well. Greater inclusivity, dynamic weightage of different social media platforms based on location dependant availability and usage, and period re-evaluation based on prevailing trends may help metrics reflect the true attention garnered by published research. Besides, development of hybrid scores with separate components to reflect online attention and traditional citations may provide readers a more fair and balanced perception of the actual importance of an article. With the changes proposed, altmetrics has the potential to become a much more inclusive and reflective tool in times to come.</t>
  </si>
  <si>
    <t>[Saud, Sarah] Natl Univ Ireland, Dept Med, Galway, Ireland; [Traboco, Lisa] St Lukes Med Ctr Global City, Sect Rheumatol, Dept Med, Taguig, Philippines; [Gupta, Latika] Royal Wolverhampton Hosp NHS Trust, Dept Rheumatol, Wolverhampton Rd, Wolverhampton WV10 0QP, England; [Gupta, Latika] Sanjay Gandhi Postgrad Inst Med Sci, Dept Clin Immunol &amp; Rheumatol, Lucknow, Uttar Pradesh, India</t>
  </si>
  <si>
    <t>Ollscoil na Gaillimhe-University of Galway; Sanjay Gandhi Postgraduate Institute of Medical Sciences</t>
  </si>
  <si>
    <t>Gupta, L (corresponding author), Royal Wolverhampton Hosp NHS Trust, Dept Rheumatol, Wolverhampton Rd, Wolverhampton WV10 0QP, England.</t>
  </si>
  <si>
    <t>drlatikagupta@gmail.com</t>
  </si>
  <si>
    <t>Gupta, Latika/C-9507-2018</t>
  </si>
  <si>
    <t>Traboco, Lisa/0000-0002-1952-7879; Saud, Sarah/0000-0002-2536-9707</t>
  </si>
  <si>
    <t>KOREAN ACAD MEDICAL SCIENCES</t>
  </si>
  <si>
    <t>302 75 DONG DU ICHON, DONG YONGSAN KU, SEOUL 140 031, SOUTH KOREA</t>
  </si>
  <si>
    <t>1011-8934</t>
  </si>
  <si>
    <t>1598-6357</t>
  </si>
  <si>
    <t>J KOREAN MED SCI</t>
  </si>
  <si>
    <t>J. Korean Med. Sci.</t>
  </si>
  <si>
    <t>DEC 13</t>
  </si>
  <si>
    <t>e330</t>
  </si>
  <si>
    <t>10.3346/jkms.2021.36.e330</t>
  </si>
  <si>
    <t>XQ3PI</t>
  </si>
  <si>
    <t>WOS:000731459700003</t>
  </si>
  <si>
    <t>Vardeman, J; Mandell, L; Spiers, A; Saad, N</t>
  </si>
  <si>
    <t>Vardeman, Jennifer; Mandell, Lyric; Spiers, Alaina; Saad, Natasha</t>
  </si>
  <si>
    <t>A feminist new materialism analysis of pelvic floor digital health messages</t>
  </si>
  <si>
    <t>Digital messages; feminist new materialism; shame resilience theory; thematic analysis; women's health</t>
  </si>
  <si>
    <t>SHAME; COMMUNICATION; SEEKING; STRESS; GENDER</t>
  </si>
  <si>
    <t>This interdisciplinary study examines digital communication strategies used by advocacy groups/social media influencers about a stigmatized women's health issue. Pelvic floor disorders (PFDs) affect one in three women, but many women lack knowledge about and do not discuss PFDs. Women report feelings of isolation, shame, embarrassment, and dirtiness. To combat this, advocacy organizations recently implemented campaigns to educate women of varying ages about PFDs. Theories of shame resilience, digital communication advocacy and health activism, and feminist new materialisms framed this study. This thematic analysis questioned how women's bodies are represented and transformed in digital environments, and in doing so, messages from three PFD advocacy organizations and PFD influencers on TikTok were examined. Findings illustrate that pelvic messages of shame resilience encourage talking about it, embrace stigmatized language, emphasize the need to reform inadequate policies, and incite gendered commitments to shame resilience, and distinguish commonality from abnormality. Additionally, in exploring new understandings of matter and embodiment, findings show that digital health messages encourage women to partake in digital self-administration of care, normalize vaginal rhetoric, and avoid having their social media content shadowbanned.</t>
  </si>
  <si>
    <t>[Vardeman, Jennifer; Saad, Natasha] Univ Houston, Valenti Dept Commun, Houston, TX USA; [Mandell, Lyric] Louisiana State Univ, Manship Sch Mass Commun, Baton Rouge, LA USA; [Spiers, Alaina] Texas A&amp;M Univ, Dept Commun, College Stn, TX USA; [Vardeman, Jennifer] Univ Houston, Houston, TX 77204 USA</t>
  </si>
  <si>
    <t>University of Houston System; University of Houston; Louisiana State University System; Louisiana State University; Texas A&amp;M University System; Texas A&amp;M University College Station; University of Houston System; University of Houston</t>
  </si>
  <si>
    <t>Vardeman, J (corresponding author), Univ Houston, Houston, TX 77204 USA.</t>
  </si>
  <si>
    <t>jvardeman@uh.edu</t>
  </si>
  <si>
    <t>Vardeman, Jennifer/ITV-8886-2023</t>
  </si>
  <si>
    <t>Mandell, Lyric/0000-0003-2387-8484; Vardeman-Winter, Jennifer/0000-0001-7523-8281</t>
  </si>
  <si>
    <t>2024 MAR 2</t>
  </si>
  <si>
    <t>10.1080/14680777.2024.2320684</t>
  </si>
  <si>
    <t>JW1Q3</t>
  </si>
  <si>
    <t>WOS:001176111400001</t>
  </si>
  <si>
    <t>Raza, A; Ishaq, MI; Khan, A; Ahmad, R; Salem, NH</t>
  </si>
  <si>
    <t>Raza, Ali; Ishaq, Muhammad Ishtiaq; Khan, Ayesha; Ahmad, Rehan; Salem, Narjes Haj</t>
  </si>
  <si>
    <t>How fashion cewebrity influences customer engagement behavior in emerging economy? Social network influence as moderator</t>
  </si>
  <si>
    <t>Fashion cewebrity; Opinion leader; Customer engagement behavior; Apparel &amp; textile industry; Pakistan</t>
  </si>
  <si>
    <t>WORD-OF-MOUTH; OPINION LEADERSHIP; MEDIA; LUXURY; IMPACT; COMMUNICATION; PERCEPTIONS; INTENTIONS; CONSUMERS; INTIMACY</t>
  </si>
  <si>
    <t>Social media provides opportunities for individuals to become cewebrities by gaining fame via their presence on different platforms such as Instagram, Facebook, and TikTok. But, how cewebrities are engaging consumers is an under-developed research area that needs researchers' attention. Therefore, this research aims to determine the influence of fashion cewebrity on opinion leaders and customer engagement behaviors in the apparel fashion industry. Also, the moderating role of social networking influence in the relationship between opinion leadership and customer engagement is tested. The data was collected from 472 consumers following fashion cewebrities of five luxury apparel brands, and hypotheses were tested using structural equation modeling. The results confirmed the validity of the newly established scale of fashion cewebrity and endorsed the fashion cewebrity's impact on opinion leadership while opinion leadership mediates the fashion cewebrity - customer engagement behavior relationship. This study proposes that the managers should involve fashion cewebrities during all product development and promotion stages and establish collaboration to reap profit and create strong brand equity.</t>
  </si>
  <si>
    <t>[Raza, Ali] Excelia Business Sch, La Rochelle, France; [Ishaq, Muhammad Ishtiaq] Quaid I Azam Univ Islamabad, Sch Management Sci, Islamabad, Pakistan; [Khan, Ayesha] Natl Univ Comp &amp; Emerging Sci FAST, Islamabad, Pakistan; [Ahmad, Rehan] Imperial Coll Business Studies Lahore, Lahore, Pakistan; [Salem, Narjes Haj] Univ Sharjah, Sharjah, U Arab Emirates</t>
  </si>
  <si>
    <t>Quaid I Azam University; University of Sharjah</t>
  </si>
  <si>
    <t>Ishaq, MI (corresponding author), Quaid I Azam Univ Islamabad, Sch Management Sci, Islamabad, Pakistan.</t>
  </si>
  <si>
    <t>alirazaphd@hotmail.com; ishaq.muhammadishtiaq@gmail.com; ayesha.nkhan95@gmail.com; rahmad05@gmail.com; najsalem@sharjah.ac.ae</t>
  </si>
  <si>
    <t>Raza, Ali/JSK-1570-2023; Ahmad, Rehan/G-6586-2016; Ishaq, Muhammad Ishtiaq/AAA-7550-2021</t>
  </si>
  <si>
    <t>Ahmad, Rehan/0000-0003-0823-8657; Raza, Ali/0000-0001-5563-1692; Ishaq, Muhammad Ishtiaq/0000-0002-6955-367X</t>
  </si>
  <si>
    <t>10.1016/j.jretconser.2023.103392</t>
  </si>
  <si>
    <t>G7GN0</t>
  </si>
  <si>
    <t>WOS:000990800000001</t>
  </si>
  <si>
    <t>Verdoodt, V; Lievens, E; Chatzinikolaou, A</t>
  </si>
  <si>
    <t>Verdoodt, Valerie; Lievens, Eva; Chatzinikolaou, Argyro</t>
  </si>
  <si>
    <t>The EU Approach to Safeguard Children's Rights on Video-Sharing Platforms: Jigsaw or Maze?</t>
  </si>
  <si>
    <t>video-sharing platforms; audiovisual content; children's rights; legislation</t>
  </si>
  <si>
    <t>Children are keen consumers of audiovisual media content. Video-sharing platforms (VSPs), such as YouTube and TikTok, offer a wealth of child-friendly or child-appropriate content but also content which-depending on the age of the child-might be considered inappropriate or potentially harmful. Moreover, such VSPs often deploy algorithmic recommender systems to personalise the content that children are exposed to (e.g., through auto-play features), leading to concerns about diversity of content or spirals of content related to, for instance, eating disorders or self-harm. This article explores the responsibilities of VSPs with respect to children that are imposed by existing, recently adopted, and proposed EU legislation. Instruments that we investigate include the Audiovisual Media Services Directive, the General Data Protection Regulation, the Digital Services Act, and the proposal for an Artificial Intelligence Act. Based on a legal study of policy documents, legislation, and scholarship, this contribution investigates to what extent this legislative framework sets obligations for VSPs to safeguard children's rights and discusses how these obligations align across different legislative instruments.</t>
  </si>
  <si>
    <t>[Verdoodt, Valerie; Lievens, Eva; Chatzinikolaou, Argyro] Univ Ghent, Law &amp; Technol Res Grp, Ghent, Belgium</t>
  </si>
  <si>
    <t>Verdoodt, V (corresponding author), Univ Ghent, Law &amp; Technol Res Grp, Ghent, Belgium.</t>
  </si>
  <si>
    <t>valerie.verdoodt@ugent.be</t>
  </si>
  <si>
    <t>Verdoodt, Valerie/AAX-5856-2020</t>
  </si>
  <si>
    <t>Verdoodt, Valerie/0000-0002-3774-632X</t>
  </si>
  <si>
    <t>Special Research Fund of Ghent University [BOF.PDO.2021.0034.01]; European Union's Horizon 2020 research and innovation programme [870612]</t>
  </si>
  <si>
    <t>Special Research Fund of Ghent University(Ghent University); European Union's Horizon 2020 research and innovation programme(Horizon 2020)</t>
  </si>
  <si>
    <t>Valerie Verdoodt's contribution to this article was funded and created in the context of the BOF post-doctoral research project Children's Rights and the Monetisation of Play in the Digital Environment, funded by the Special Research Fund of Ghent University (grant no. BOF.PDO.2021.0034.01). Argyro Chatzinikolaou's contribution to this article was funded and created in the context of the ySKILLS project, funded by the European Union's Horizon 2020 research and innovation programme under grant agreement no. 870612.</t>
  </si>
  <si>
    <t>10.17645/mac.v11i4.7059</t>
  </si>
  <si>
    <t>WOS:001157268200004</t>
  </si>
  <si>
    <t>Chen, MY; Monroy-Hernández, A; Sra, M</t>
  </si>
  <si>
    <t>Marchal, M; Ventura, J; Olivier, AH; Wang, L; Radkowski, R</t>
  </si>
  <si>
    <t>Chen, Mengyu; Monroy-Hernandez, Andres; Sra, Misha</t>
  </si>
  <si>
    <t>SceneAR: Scene-based Micro Narratives for Sharing and Remixing in Augmented Reality</t>
  </si>
  <si>
    <t>2021 IEEE INTERNATIONAL SYMPOSIUM ON MIXED AND AUGMENTED REALITY (ISMAR 2021)</t>
  </si>
  <si>
    <t>International Symposium on Mixed and Augmented Reality</t>
  </si>
  <si>
    <t>20th IEEE International Symposium on Mixed and Augmented Reality (ISMAR)</t>
  </si>
  <si>
    <t>OCT 04-08, 2021</t>
  </si>
  <si>
    <t>IEEE,IEEE Comp Soc,IEEE VGTC,ACM SIGARCH,Qualcomm,Hevolus Innovat,Hakuhodo DY Holdings,Masmec,Intuitive</t>
  </si>
  <si>
    <t>Human-centered computing; Visualization; Visualization techniques; Treemaps; Human-centered computing; Visualization; Visualization design and evaluation methods</t>
  </si>
  <si>
    <t>Short-form digital storytelling has become a popular medium for millions of people to express themselves. Traditionally, this medium uses primarily 2D media such as text (e.g., memes), images (e.g., Instagram), GIFs (e.g., Giphy), and videos (e.g., TikTok, Snapchat). To expand the modalities from 2D to 3D media, we present SceneAR, a smartphone application for creating sequential scene-based micro narratives in augmented reality (AR). What sets SceneAR apart from prior work is its ability to share the scene-based stories as AR content. No longer limited to sharing images or videos, users can now experience narratives in their own physical environments. Additionally, SceneAR affords users the ability to remix AR content, empowering them to collectively build on others' creations. We asked 18 people to use SceneAR in a three-day study, and based on user interviews, analyses of screen recordings, and the stories they created, we extracted three themes. From these themes and the study overall, we derived six strategies for designers interested in supporting short-form AR narratives.</t>
  </si>
  <si>
    <t>[Chen, Mengyu; Sra, Misha] Univ Calif Santa Barbara, Santa Barbara, CA 93106 USA; [Monroy-Hernandez, Andres] Snap Inc, Santa Monica, CA USA</t>
  </si>
  <si>
    <t>University of California System; University of California Santa Barbara</t>
  </si>
  <si>
    <t>Chen, MY (corresponding author), Univ Calif Santa Barbara, Santa Barbara, CA 93106 USA.</t>
  </si>
  <si>
    <t>mengyuchen@ucsb.edu; amh@snap.com; sra@cs.ucsb.edu</t>
  </si>
  <si>
    <t>Monroy-Hernandez, Andres/V-4609-2019</t>
  </si>
  <si>
    <t>Monroy-Hernandez, Andres/0000-0003-4889-9484</t>
  </si>
  <si>
    <t>1554-7868</t>
  </si>
  <si>
    <t>978-1-6654-0158-6</t>
  </si>
  <si>
    <t>INT SYM MIX AUGMENT</t>
  </si>
  <si>
    <t>10.1109/ISMAR52148.2021.00045</t>
  </si>
  <si>
    <t>Computer Science, Artificial Intelligence; Computer Science, Cybernetics; Imaging Science &amp; Photographic Technology</t>
  </si>
  <si>
    <t>Computer Science; Imaging Science &amp; Photographic Technology</t>
  </si>
  <si>
    <t>BS7BF</t>
  </si>
  <si>
    <t>WOS:000758216700031</t>
  </si>
  <si>
    <t>López-Gil, JF; Chen, ST; Jiménez-López, E; Abellán-Huerta, J; Herrera-Gutiérrez, E; Royo, JMP; Mesas, AE; Tárraga-López, PJ</t>
  </si>
  <si>
    <t>Lopez-Gil, Jose Francisco; Chen, Sitong; Jimenez-Lopez, Estela; Abellan-Huerta, Jose; Herrera-Gutierrez, Eva; Royo, Josefa Maria Panisello; Mesas, Arthur Eumann; Tarraga-Lopez, Pedro J.</t>
  </si>
  <si>
    <t>Are the Use and Addiction to Social Networks Associated with Disordered Eating Among Adolescents? Findings from the EHDLA Study</t>
  </si>
  <si>
    <t>Social media; Eating disorders; Youths; Adolescence; Mental health</t>
  </si>
  <si>
    <t>BODY-IMAGE CONCERNS; SCOFF QUESTIONNAIRE; INSTAGRAM USE; MEDIA; VALIDATION; VERSION; IMPACT; RISK</t>
  </si>
  <si>
    <t>The objective of this study was to examine whether the use and addiction of social networks are associated with disordered eating in Spanish adolescents. A cross-sectional study was carried out using data from the Eating Healthy and Daily Life Activities study. The final sample included 653 adolescents (44.0% boys). Social network use (i.e., Facebook, Twitter, Instagram, Snapchat, TikTok) was evaluated by a single item scale with multiple response options. The Short Social Networks Addiction Scale-6 Symptoms was used to determine addiction to social networks. Disordered eating behaviors were assessed with the Sick, Control, One, Fat, Food scale. Adolescents with high social network use had greater odds of disordered eating (odds ratio [OR] = 1.88, 95% confidence intervals [CI] 1.17-3.02). Adolescents with high social network addictive behaviors also showed a higher likelihood of presenting disordered eating (OR = 2.04, 95% CI 1.34-3.12). Social network use and addiction must be considered factors related to disordered eating among adolescents.</t>
  </si>
  <si>
    <t>[Lopez-Gil, Jose Francisco] Univ Publ Navarra, Hosp Univ Navarra, Navarrabiomed, IdiSNA, Pamplona, Navarra, Spain; [Lopez-Gil, Jose Francisco] Harvard Univ, Harvard TH Chan Sch Publ Hlth, Dept Environm Hlth, Boston, MA 02115 USA; [Lopez-Gil, Jose Francisco] Univ Amer, One Hlth Res Grp, Quito, Ecuador; [Chen, Sitong] Victoria Univ, Inst Hlth &amp; Sport, Melbourne, Australia; [Jimenez-Lopez, Estela; Mesas, Arthur Eumann] Univ Castilla La Mancha, Hlth &amp; Social Res Ctr, Cuenca, Spain; [Abellan-Huerta, Jose] Hosp Gen Univ Santa Lucia, Dept Cardiol, Cartagena, Spain; [Herrera-Gutierrez, Eva] Univ Murcia, Fac Psychol, Dept Dev &amp; Educ Psychol, Espinardo Campus, Murcia, Spain; [Royo, Josefa Maria Panisello] DigimEvo, Barcelona, Spain; [Mesas, Arthur Eumann] Univ Estadual Londrina, Postgrad Program Publ Hlth, Londrina, Brazil; [Tarraga-Lopez, Pedro J.] Univ Castilla La Mancha, Fac Med, Dept Ciencias Med, Albacete, Spain</t>
  </si>
  <si>
    <t>Navarrabiomed; Universidad Publica de Navarra; Servicio Navarro de Salud - Osasunbidea; Harvard University; Harvard T.H. Chan School of Public Health; Universidad de Las Americas - Ecuador; Victoria University; Universidad de Castilla-La Mancha; University of Murcia; Universidade Estadual de Londrina; Universidad de Castilla-La Mancha</t>
  </si>
  <si>
    <t>López-Gil, JF (corresponding author), Univ Publ Navarra, Hosp Univ Navarra, Navarrabiomed, IdiSNA, Pamplona, Navarra, Spain.;López-Gil, JF (corresponding author), Harvard Univ, Harvard TH Chan Sch Publ Hlth, Dept Environm Hlth, Boston, MA 02115 USA.;López-Gil, JF (corresponding author), Univ Amer, One Hlth Res Grp, Quito, Ecuador.</t>
  </si>
  <si>
    <t>josefranciscolopezgil@gmail.com</t>
  </si>
  <si>
    <t>Herrera Gutierrez, Eva/KQU-9531-2024; de Investigación y Vinculación, Dirección General/AAN-5618-2020; Jiménez López, Estela/AHE-5039-2022; Mesas, Arthur/AAK-3361-2021; Mesas, Arthur/P-5879-2018; Chen, Sitong/I-8176-2016</t>
  </si>
  <si>
    <t>Mesas, Arthur/0000-0002-0088-8607; Lopez-Gil, Jose Francisco/0000-0002-7412-7624; Jimenez Lopez, Estela/0000-0001-8553-7701; Chen, Sitong/0000-0002-8975-7565</t>
  </si>
  <si>
    <t>2023 MAY 26</t>
  </si>
  <si>
    <t>10.1007/s11469-023-01081-3</t>
  </si>
  <si>
    <t>H1UR7</t>
  </si>
  <si>
    <t>WOS:000993890100001</t>
  </si>
  <si>
    <t>Ou, NR; Yu, L; Li, HY; Du, QH; Xiang, JY; Gong, W</t>
  </si>
  <si>
    <t>Ou, Ningrui; Yu, Li; Li, Huiyuan; Du, Qihan; Xiang, Junyao; Gong, Wei</t>
  </si>
  <si>
    <t>MTAF: SHOPPING GUIDE MICRO-VIDEOS POPULARITY PREDICTION USING MULTIMODAL AND TEMPORAL ATTENTION FUSION APPROACH</t>
  </si>
  <si>
    <t>Micro-videos; popularity prediction; multimodal fusion; deep learning; attention mechanism</t>
  </si>
  <si>
    <t>Predicting the popularity of shopping guide micro-videos incorporating merchandise is crucial for online advertising. What are the significant factors affecting the popularity of the micro-video? How to extract and effectively fuse multiple modalities for the micro-video popularity prediction? This is a question that needs to be urgently answered to better provide insights for advertisers. In this paper, we propose a Multimodal and Temporal Attention Fusion (MTAF) framework to represent and combine multi-modal features. Specifically, we first explore the importance of the micro-video content-agnostic factors using two existing tree-based ensemble methods. Furthermore, we employ three state-of-the-art pre-trained models, BERT, VGGish and ResNet152, to obtain high-level multimodal content representations, including uploaders' description of products, vocal emotion, facial attractiveness, respectively. In addition, a bi-directional GRU is used to learn early popularity trend characteristics of the micro-video. Finally, a multimodal and temporal attention mechanism layer is designed to combine all features from the multiple sources. Comprehensive experiments are conducted on TikTok e-commerce micro-video dataset to evaluate the effectiveness of our model and different modalities.</t>
  </si>
  <si>
    <t>[Ou, Ningrui; Yu, Li; Li, Huiyuan; Du, Qihan; Xiang, Junyao; Gong, Wei] Renmin Univ China, Beijing, Peoples R China</t>
  </si>
  <si>
    <t>Yu, L (corresponding author), Renmin Univ China, Beijing, Peoples R China.</t>
  </si>
  <si>
    <t>LI, Huiyuan/GZK-8715-2022; du, qihan/JBS-2001-2023</t>
  </si>
  <si>
    <t>Fundamental Research Funds for the Central Universities; Research Funds of Renmin University of China [2020030228]</t>
  </si>
  <si>
    <t>Fundamental Research Funds for the Central Universities(Fundamental Research Funds for the Central Universities); Research Funds of Renmin University of China</t>
  </si>
  <si>
    <t>This work is supported by the Fundamental Research Funds for the Central Universities, and the Research Funds of Renmin University of China (No.2020030228).</t>
  </si>
  <si>
    <t>10.1109/ICASSP43922.2022.9746567</t>
  </si>
  <si>
    <t>WOS:000864187904166</t>
  </si>
  <si>
    <t>Raut, R; Spezzano, F</t>
  </si>
  <si>
    <t>Raut, Rohan; Spezzano, Francesca</t>
  </si>
  <si>
    <t>Enhancing hate speech detection with user characteristics</t>
  </si>
  <si>
    <t>INTERNATIONAL JOURNAL OF DATA SCIENCE AND ANALYTICS</t>
  </si>
  <si>
    <t>Hate speech; Tweet text classification; User information and behavior</t>
  </si>
  <si>
    <t>Social media provide users with a powerful platform to share their ideas. Using one's right to expression to incite hate toward a particular group of people is inappropriate. However, hate speech is pervasive in our society. Spreading hate through online social networks like Facebook, Twitter, Tiktok, and Instagram is commonplace in today's milieu. One such case is the unprecedented COVID-19 pandemic, which engendered anti-Asian hate. In the current literature, there is limited study on using user features in conjunction with textual features to detect hate speech. In this paper, we propose to combine tweet textual features with a variety of user features to improve the state-of-the-art hate speech detection techniques. The user feature we propose consists of demographic, behavioral-based, network-based, emotions, personality, readability, and writing style. To test our approach, we used four different English datasets gathered from Twitter and available in the public domain. Our results show that combining tweet textual features with the proposed user features improves hate speech detection up to +0.32 in F1 score and beats previously proposed approaches that use a limited number of user features. The analysis of the most important features confirms that hateful tweets or their authors express more negative emotions and use more swear words.</t>
  </si>
  <si>
    <t>[Raut, Rohan; Spezzano, Francesca] Boise State Univ, Boise, ID 83725 USA</t>
  </si>
  <si>
    <t>Boise State University</t>
  </si>
  <si>
    <t>Spezzano, F (corresponding author), Boise State Univ, Boise, ID 83725 USA.</t>
  </si>
  <si>
    <t>rohanraut@u.boisestate.edu; francescaspezzano@boisestate.edu</t>
  </si>
  <si>
    <t>2364-415X</t>
  </si>
  <si>
    <t>2364-4168</t>
  </si>
  <si>
    <t>INT J DATA SCI ANAL</t>
  </si>
  <si>
    <t>Int. J, Data Sci. Anal.</t>
  </si>
  <si>
    <t>10.1007/s41060-023-00437-1</t>
  </si>
  <si>
    <t>I2F7P</t>
  </si>
  <si>
    <t>WOS:001050945700002</t>
  </si>
  <si>
    <t>Pramaggiore, M; Kerrigan, P</t>
  </si>
  <si>
    <t>Pramaggiore, Maria; Kerrigan, Paraic</t>
  </si>
  <si>
    <t>Streaming bloody murder: documentary celebrity and Sophie Toscan Du Plantier anniversary media (SAM)</t>
  </si>
  <si>
    <t>CELEBRITY STUDIES</t>
  </si>
  <si>
    <t>Documentary; celebrity; streaming; true crime; Sophie Toscan du Plantier</t>
  </si>
  <si>
    <t>SERIAL; GENRE</t>
  </si>
  <si>
    <t>In 2021, three documentary series revitalised the unsolved murder of Sophie Toscan du Plantier in 1996 in West Cork, Ireland, for a global audience of true crime enthusiasts. This article analyses the podcast West Cork (Audible 2018/iTunes 2021) and two streaming series, Murder at the Cottage: The Search for Justice for Sophie (Sky Crime 2021) and Sophie: A Murder in West Cork (Netflix 2021) and argues that they conferred documentary celebrity on their central figures, Sophie Toscan du Plantier and Ian Bailey. The celebritisation of these individuals as victim and villain, was achieved through the development of a convergent narrative across the three series, one salted with the plot twists, end-of-episode cliff hangers, emotional confrontations and supernatural speculation familiar to viewers of true crime, reality television and serial drama.Moreover, the gendered discourse deployed by these documentaries posthumously transformed Sophie Toscan du Plantier into a world-famous victim while providing an opportunity for Ian Bailey, who remains the prime suspect, to self-brand as a Gothic villain. Bailey's 2022 announcement that he would launch a podcast and television series and his self-promotional activity on TikTok confirm the cultural capital associated with documentary celebrity, even, or especially, for the infamous.</t>
  </si>
  <si>
    <t>[Pramaggiore, Maria] Appalachian State Univ, Dept Interdisciplinary Studies, Boone, NC USA; [Kerrigan, Paraic] Univ Coll Dublin, Sch Informat &amp; Commun Studies, Dublin, Ireland; [Kerrigan, Paraic] Univ Coll Dublin, Dublin, Ireland</t>
  </si>
  <si>
    <t>University of North Carolina; Appalachian State University; University College Dublin; University College Dublin</t>
  </si>
  <si>
    <t>Kerrigan, P (corresponding author), Univ Coll Dublin, Dublin, Ireland.</t>
  </si>
  <si>
    <t>paraic.kerrigan@ucd.ie</t>
  </si>
  <si>
    <t>Kerrigan, Páraic/ABC-7175-2020</t>
  </si>
  <si>
    <t>1939-2397</t>
  </si>
  <si>
    <t>1939-2400</t>
  </si>
  <si>
    <t>CELEBR STUD</t>
  </si>
  <si>
    <t>Celebr. Stud.</t>
  </si>
  <si>
    <t>10.1080/19392397.2023.2207743</t>
  </si>
  <si>
    <t>D2H0A</t>
  </si>
  <si>
    <t>WOS:000982910600001</t>
  </si>
  <si>
    <t>Shen, B; Cheng, M; He, RL; Yang, ML</t>
  </si>
  <si>
    <t>Shen, Bin; Cheng, Ming; He, Renlong; Yang, Minglei</t>
  </si>
  <si>
    <t>Selling through social media influencers in influencer marketing: participation-based contract versus sales-based contract</t>
  </si>
  <si>
    <t>Influencer marketing; Social media; Sales-based contract; Participation-based contract</t>
  </si>
  <si>
    <t>PLATFORM; NETWORK; ECONOMY</t>
  </si>
  <si>
    <t>With the rise of social media, social media platforms such as Instagram, TikTok, YouTube, and Twitter have been the venues to promote products in the era of digitalization. We develop game-theoretical models to investigate the impacts of the participation-based contract (PBC) and sales-based contract (SBC) on the sales of new experience products that are promoted through social media influencers (hereafter referred to as influencers). We find that both the firm and influencers can achieve a win-win outcome with the use of the SBC (PBC) if product quality is sufficiently low (high), but they cannot reach a consensus on using the same contract when selling the products that fall into a moderate range. Moreover, with the increased network overlapping effect, that is, endorsed influencers comprise a group with a larger number of similar followers, both the firm and influencers are more (less) likely to use the SBC (PBC); a stronger followership traffic effect, quantified by the number of followers, may cause difficulty in alignment of interests in influencer marketing contracting. Results provide managerial insights into designing product quality-based and influencer attributes-based influencer marketing contracts.</t>
  </si>
  <si>
    <t>[Shen, Bin; Cheng, Ming] Donghua Univ, Glorious Sun Sch Business &amp; Management, Shanghai, Peoples R China; [He, Renlong] Shanghai Innovat Inst Smart Proc Mfg, Shanghai, Peoples R China; [Yang, Minglei] East China Univ Sci &amp; Technol, Key Lab Smart Mfg Energy Chem Proc, Minist Educ, Shanghai, Peoples R China</t>
  </si>
  <si>
    <t>Donghua University; East China University of Science &amp; Technology</t>
  </si>
  <si>
    <t>Yang, ML (corresponding author), East China Univ Sci &amp; Technol, Key Lab Smart Mfg Energy Chem Proc, Minist Educ, Shanghai, Peoples R China.</t>
  </si>
  <si>
    <t>mlyang@ecust.edu.cn</t>
  </si>
  <si>
    <t>Shen, Bin/KHT-9523-2024</t>
  </si>
  <si>
    <t>National Natural Science Foundation of China [72271050, 71871051, 71832001]</t>
  </si>
  <si>
    <t>The authors sincerely thank the editor and reviewers for their constructive comments. This paper was partially supported by the National Natural Science Foundation of China (grant numbers 72271050, 71871051, 71832001).</t>
  </si>
  <si>
    <t>10.1007/s10660-022-09600-5</t>
  </si>
  <si>
    <t>ZG3V4</t>
  </si>
  <si>
    <t>WOS:000857810300001</t>
  </si>
  <si>
    <t>Ramteke, A; Lamture, Y</t>
  </si>
  <si>
    <t>Ramteke, Anshuta; Lamture, Yashwant</t>
  </si>
  <si>
    <t>Tics and Tourette Syndrome: A Literature Review of Etiological, Clinical, and Pathophysiological Aspects</t>
  </si>
  <si>
    <t>functional psychogenic tics; tiktok tics; deep brain stimulation; basal ganglia; immunological dysfunction; tic disorders; tourette syndrome</t>
  </si>
  <si>
    <t>DEEP BRAIN-STIMULATION; HISTIDINE-DECARBOXYLASE; MOTOR TICS; DISORDERS; PREVALENCE; MECHANISMS; DISEASE</t>
  </si>
  <si>
    <t>Tourette syndrome (TS) is a condition characterized by tics produced because of neuropsychiatric malfunctioning occurring in childhood, which becomes less severe in adulthood, followed by a difference in the severity of tics between two persons. TS is a diverse variable in which symptoms vary in different patients. It is associated with comorbidities like obsessive-compulsive disorder (OCD), attention deficit hyperactivity disorder (ADHD), and depression, and hampers the quality of life. Comorbid disorders must be investigated and treated as part of the clinical approach for all TS patients. Clinicians should be aware of the infrequent but serious neurological problems that can occur in these patients and recommend aggressively treating tics. Currently, there is more emphasis on symptom-based treatments by medicines, but as etiological knowledge improves, we will divert to disease-modifying medications in the future. Behavioral, pharmacological, and surgical methods can treat TS. Neuroleptics, other drugs, and behavioral therapies are the first-line options. Deep brain stimulation is evolving but has its pros and cons. The main focus of this review is on tics characteristics, how to manage and assess them, and limitations in the clinical spectrum.</t>
  </si>
  <si>
    <t>[Ramteke, Anshuta] Jawaharlal Nehru Med Coll, Datta Meghe Inst Med Sci, Paediat, Wardha, India; [Lamture, Yashwant] Jawaharlal Nehru Med Coll, Datta Meghe Inst Med Sci, Gen Surg, Wardha, India</t>
  </si>
  <si>
    <t>Ramteke, A (corresponding author), Jawaharlal Nehru Med Coll, Datta Meghe Inst Med Sci, Paediat, Wardha, India.</t>
  </si>
  <si>
    <t>anshuta21@gmail.com</t>
  </si>
  <si>
    <t>AUG 30</t>
  </si>
  <si>
    <t>10.7759/cureus.28575</t>
  </si>
  <si>
    <t>5A4KU</t>
  </si>
  <si>
    <t>WOS:000862858700030</t>
  </si>
  <si>
    <t>Sun, JL; Su, T; Liu, K; Peng, C; Zhang, Z; Pu, GG; Xie, T; Su, ZD</t>
  </si>
  <si>
    <t>Sun, Jingling; Su, Ting; Liu, Kai; Peng, Chao; Zhang, Zhao; Pu, Geguang; Xie, Tao; Su, Zhendong</t>
  </si>
  <si>
    <t>Characterizing and Finding System Setting-Related Defects in Android Apps</t>
  </si>
  <si>
    <t>IEEE TRANSACTIONS ON SOFTWARE ENGINEERING</t>
  </si>
  <si>
    <t>Testing; Graphical user interfaces; Correlation; Static analysis; Codes; Software development management; Airplanes; Empirical study; system settings; Index Terms; Android apps; GUI testing; static analysis</t>
  </si>
  <si>
    <t>Android, the most popular mobile system, offers a number of user-configurable system settings (e.g., network, location, and permission) for controlling devices and apps. Even popular, well-tested apps may fail to properly adapt their behaviors to diverse setting changes, thus frustrating their users. However, there exists no effort to systematically investigate such defects. To this end, we conduct the first large-scale empirical study to understand and characterize these system setting-related defects (in short as setting defects), which reside in apps and are triggered by system setting changes. We devote substantial manual effort (over four person-months) to analyze 1,074 setting defects from 180 popular apps on GitHub. We investigate the impact, root causes, and consequences of these setting defects and their correlations. We find that (1) setting defects have a wide impact on apps' correctness with diverse root causes, (2) the majority of these defects ($\approx$approximate to 70.7%) cause non-crashing (logic) failures, and (3) some correlations exist between the setting categories, root causes, and consequences. Motivated and informed by these findings, we propose two bug-finding techniques that can synergistically detect setting defects from both the GUI and code levels. Specifically, at the GUI level, we design and introduce setting-wise metamorphic fuzzing, the first automated dynamic testing technique to detect setting defects (causing crash and non-crashing failures, respectively) for Android apps. We implement this technique as an end-to-end, automated GUI testing tool named SetDroid. At the code level, we distill two major fault patterns and implement a static analysis tool named SetChecker to identify potential setting defects. We evaluate SetDroid and SetChecker on 26 popular, open-source Android apps, and they find 48 unique, previously-unknown setting defects. To date, 35 have been confirmed and 21 have been fixed by app developers. We also apply SetDroid and SetChecker on five highly popular industrial apps, namely WeChat, QQMail, TikTok, CapCut, and AlipayHK, all of which each have billions of monthly active users. SetDroid successfully detects 17 previously unknown setting defects in these apps' latest releases, and all defects have been confirmed and fixed by the app vendors. After that, we collaborate with ByteDance and deploy these two bug-finding techniques internally to stress-test TikTok, one of its major app products. Within a two-month testing campaign, SetDroid successfully finds 53 setting defects, and SetChecker finds 22 ones. So far, 59 have been confirmed and 31 have been fixed. All these defects escaped from prior developer testing. By now, SetDroid has been integrated into ByteDance's official app testing infrastructure named FastBot for daily testing. These results demonstrate the strong effectiveness and practicality of our proposed techniques.</t>
  </si>
  <si>
    <t>[Sun, Jingling; Su, Ting; Pu, Geguang] East China Normal Univ, Shanghai Key Lab Trustworthy Comp, Shanghai 200050, Peoples R China; [Liu, Kai] East China Normal Univ, Shanghai Key Lab Trustworthy Comp, Shanghai, Peoples R China; [Peng, Chao; Zhang, Zhao] Bytedance Network Technol, Prod RD &amp; Infrastruct, Beijing 100098, Peoples R China; [Xie, Tao] Peking Univ, Key Lab High Confidence Software Technol, Beijing 100871, Peoples R China; [Su, Zhendong] Swiss Fed Inst Technol, Dept Comp Sci, Zurich, Switzerland</t>
  </si>
  <si>
    <t>East China Normal University; East China Normal University; Peking University; Swiss Federal Institutes of Technology Domain; ETH Zurich</t>
  </si>
  <si>
    <t>Su, T; Pu, GG (corresponding author), East China Normal Univ, Shanghai Key Lab Trustworthy Comp, Shanghai 200050, Peoples R China.</t>
  </si>
  <si>
    <t>jingling.sun910@gmail.com; tsu@sei.ecnu.edu.cn; liukai.0914@bytedance.com; pengchao.x@bytedance.com; zhangzhao.a@bytedance.com; ggpu@sei.ecnu.edu.cn; taoxie@pku.edu.cn; zhendong.su@inf.ethz.ch</t>
  </si>
  <si>
    <t>Peng, Chao/JGD-8256-2023; Liu, Kai/IQU-9113-2023; yilin, sun/GYR-2603-2022</t>
  </si>
  <si>
    <t>Peng, Chao/0000-0003-2843-0689; Su, Zhendong/0000-0002-2970-1391</t>
  </si>
  <si>
    <t>NSFC [62072178]; Digital Silk Road Shanghai International Joint Lab of Trustworthy Intelligent Software [22510750100]; National Key Research and Development Program [2020AAA0107800]; Shanghai Collaborative Innovation Center of Trusted Industry Internet Software; National Natural Science Foundation of China [62161146003]; Tencent Foundation/XPLORER PRIZE; Google Faculty Research Award</t>
  </si>
  <si>
    <t>NSFC(National Natural Science Foundation of China (NSFC)); Digital Silk Road Shanghai International Joint Lab of Trustworthy Intelligent Software; National Key Research and Development Program(National Key Research &amp; Development Program of China); Shanghai Collaborative Innovation Center of Trusted Industry Internet Software; National Natural Science Foundation of China(National Natural Science Foundation of China (NSFC)); Tencent Foundation/XPLORER PRIZE; Google Faculty Research Award(Google Incorporated)</t>
  </si>
  <si>
    <t>The work of Ting Su was supported in part by NSFC under Grant 62072178, in part by the Digital Silk Road Shanghai International Joint Lab of Trustworthy Intelligent Software under Grant 22510750100. The work of Geguang Pu was supported in part by National Key Research and Development Program under Grant 2020AAA0107800, in part by the Shanghai Collaborative Innovation Center of Trusted Industry Internet Software. The work of Tao Xie was supported in part by the National Natural Science Foundation of China under Grant 62161146003, and in part by the Tencent Foundation/XPLORER PRIZE. The work of Zhendong Su and Ting Su were supported in part by a Google Faculty Research Award. Recommended for acceptance by Dr. N. Meng.</t>
  </si>
  <si>
    <t>0098-5589</t>
  </si>
  <si>
    <t>1939-3520</t>
  </si>
  <si>
    <t>IEEE T SOFTWARE ENG</t>
  </si>
  <si>
    <t>IEEE Trans. Softw. Eng.</t>
  </si>
  <si>
    <t>10.1109/TSE.2023.3236449</t>
  </si>
  <si>
    <t>Computer Science, Software Engineering; Engineering, Electrical &amp; Electronic</t>
  </si>
  <si>
    <t>E9NM9</t>
  </si>
  <si>
    <t>WOS:000978723600086</t>
  </si>
  <si>
    <t>van den Boom, J</t>
  </si>
  <si>
    <t>van den Boom, Jasper</t>
  </si>
  <si>
    <t>Incumbent or Challenger?-Assessing Ecosystem Competition in the DMA</t>
  </si>
  <si>
    <t>JOURNAL OF COMPETITION LAW &amp; ECONOMICS</t>
  </si>
  <si>
    <t>This article examines the role of ecosystem competition and ecosystem power in designating gatekeepers under the Digital Markets Act (DMA). The study is prompted by ByteDance's objections to its designation, where it describes itself as a challenger instead of a gatekeeper. The article highlights the differing perspectives of ByteDance, TikTok's parent company, and the European Commission. ByteDance's 'challenger defence' rests on the idea that they lack ecosystem power. Despite its success within the core platform service, the size of their ecosystem of products is small in comparison to other gatekeepers. This would indicate that they are not entrenched. The Commission focuses on gatekeeper power, and views ByteDance as another incumbent gatekeeper. The Commission currently conducts a very limited assessment of ecosystem power when designating gatekeepers, making it difficult to determine the validity of the 'challenger defence'. Incorporating amore extensive assessment of ecosystem power and competition between ecosystem operators could enhance fairness and market contestability. Ignoring this aspect could lead to negative consequences and produce negative effects for users and competition in the long-term. The article proposes that there are benefits to contestability if the Commission expands its assessment to include ecosystem competition and offers suggestions on procedural implementation and effectuation of this broader analysis.</t>
  </si>
  <si>
    <t>[van den Boom, Jasper] Heinrich Heine Univ, Univ Str 1, D-40204 Dusseldorf, Germany</t>
  </si>
  <si>
    <t>van den Boom, J (corresponding author), Heinrich Heine Univ, Univ Str 1, D-40204 Dusseldorf, Germany.</t>
  </si>
  <si>
    <t>1744-6414</t>
  </si>
  <si>
    <t>1744-6422</t>
  </si>
  <si>
    <t>J COMPET LAW ECON</t>
  </si>
  <si>
    <t>J. Compet. Law Econ.</t>
  </si>
  <si>
    <t>10.1093/joclec/nhae017</t>
  </si>
  <si>
    <t>Economics; Law</t>
  </si>
  <si>
    <t>Business &amp; Economics; Government &amp; Law</t>
  </si>
  <si>
    <t>K7S6G</t>
  </si>
  <si>
    <t>WOS:001345838100001</t>
  </si>
  <si>
    <t>Wood, JL; Stringham, N</t>
  </si>
  <si>
    <t>Wood, Jamie L.; Stringham, Nicole</t>
  </si>
  <si>
    <t>The UnEssay project as an enriching alternative to practical exams in pre-professional and graduate education</t>
  </si>
  <si>
    <t>JOURNAL OF BIOLOGICAL EDUCATION</t>
  </si>
  <si>
    <t>Assessment; basic science; histology; team-based learning; practical exams; curriculum design</t>
  </si>
  <si>
    <t>MEDICAL-EDUCATION</t>
  </si>
  <si>
    <t>The COVID-19 pandemic necessitated changes in educational strategy, including modification of assessments. Students in the Master of Biomedical Sciences (MBS) program at Duke University School of Medicine are required to take a course entitled Organ Systems (OS), which includes organ histology. In pre-pandemic circumstances, cumulative histology knowledge was assessed in the form of a practical exam. This year we used the UnEssay Project in lieu of the practical exam to assess student competency in organ system histology. Students worked within their team-based learning (TBL) teams and submitted unique UnEssay projects in a variety of formats. Notable examples of submitted projects include: a histological poetry slam, a histological travel guide, a TikTok histology tutorial, and histology Jeopardy. Student feedback on the project was overwhelmingly positive and each team met the main project objectives. We utilised the UnEssay Project as a means to assess student knowledge and competency in identification of histological features and organs. We applied this project format as a means for assessment, but believe that other applications within basic science education, including graduate courses, would be equally as successful. Based on positive student feedback, we plan to use the UnEssay Project again in the 2021-2022 academic year.</t>
  </si>
  <si>
    <t>[Wood, Jamie L.; Stringham, Nicole] Duke Univ, Sch Med, Dept Med Educ, Practice Med Educ, Durham, NC 27707 USA</t>
  </si>
  <si>
    <t>Wood, JL (corresponding author), Duke Univ, Sch Med, Dept Med Educ, Practice Med Educ, Durham, NC 27707 USA.</t>
  </si>
  <si>
    <t>jamie.wood@duke.edu</t>
  </si>
  <si>
    <t>Stringham, Nicole/0000-0003-1721-7882</t>
  </si>
  <si>
    <t>0021-9266</t>
  </si>
  <si>
    <t>2157-6009</t>
  </si>
  <si>
    <t>J BIOL EDUC</t>
  </si>
  <si>
    <t>J. Biol. Educ.</t>
  </si>
  <si>
    <t>10.1080/00219266.2022.2047098</t>
  </si>
  <si>
    <t>Biology; Education &amp; Educational Research; Education, Scientific Disciplines</t>
  </si>
  <si>
    <t>Life Sciences &amp; Biomedicine - Other Topics; Education &amp; Educational Research</t>
  </si>
  <si>
    <t>ML5G0</t>
  </si>
  <si>
    <t>WOS:000778236400001</t>
  </si>
  <si>
    <t>Chen, MJ; Tang, PZ; Wang, ZH; Xiao, SK; Yang, XW</t>
  </si>
  <si>
    <t>Cussens, J; Zhang, K</t>
  </si>
  <si>
    <t>Chen, Mengjing; Tang, Pingzhong; Wang, Zihe; Xiao, Shenke; Yang, Xiwang</t>
  </si>
  <si>
    <t>A Competitive Analysis of Online Failure-Aware Assignment</t>
  </si>
  <si>
    <t>UNCERTAINTY IN ARTIFICIAL INTELLIGENCE, VOL 180</t>
  </si>
  <si>
    <t>Proceedings of Machine Learning Research</t>
  </si>
  <si>
    <t>38th Conference on Uncertainty in Artificial Intelligence (UAI)</t>
  </si>
  <si>
    <t>AUG 01-05, 2022</t>
  </si>
  <si>
    <t>Eindhoven, NETHERLANDS</t>
  </si>
  <si>
    <t>Motivated by a new generation of Internet advertising that has emerged in the live streaming ecommerce markets (e.g., Tiktok) over the past five years, we study a variant of online bipartite matching problem: advertisers send ad requests to influencers (aka, key opinion leaders) on a social media platform. Each influencer has a maximum number of ad requests she can accommodate. We assign a fixed number of influencers to an advertiser when she enters the platform. The advertiser then matches with each of the assigned influencers with a probability, which can be thought of as a set of negotiations between the advertiser and the set of assigned influencers. Unlike the standard online assignment problems, the outcome of any of these matches is not revealed throughout the session (negotiations take time). Our goal is to maximize the expected number of matches between advertisers and influencers. We put forward a new deterministic algorithm with a competitive ratio of 1/2 and prove that no deterministic algorithm can achieve a better competitive ratio. We also show that the competitive ratio can be improved when randomness is allowed. We then study a setting where a match is successful with either probability 0 or a fixed p. We present an optimal randomized algorithm that achieves achieves a competitive ratio of 1-1/epsilon in this setting.</t>
  </si>
  <si>
    <t>[Chen, Mengjing; Tang, Pingzhong; Xiao, Shenke] Tsinghua Univ, Inst Interdisciplinary Informat Sci, Beijing, Peoples R China; [Wang, Zihe] Renmin Univ China, Gaoling Sch Artificial Intelligence, Beijing, Peoples R China; [Wang, Zihe] Beijing Key Lab Big Data Management &amp; Anal Method, Beijing, Peoples R China; [Yang, Xiwang] Bytedance, Beijing, Peoples R China</t>
  </si>
  <si>
    <t>Tsinghua University; Renmin University of China</t>
  </si>
  <si>
    <t>Tang, PZ (corresponding author), Tsinghua Univ, Inst Interdisciplinary Informat Sci, Beijing, Peoples R China.;Wang, ZH (corresponding author), Renmin Univ China, Gaoling Sch Artificial Intelligence, Beijing, Peoples R China.;Wang, ZH (corresponding author), Beijing Key Lab Big Data Management &amp; Anal Method, Beijing, Peoples R China.</t>
  </si>
  <si>
    <t>National Key Research and Development Program of China [2020AAA0103401]; National Natural Science Foundation of China [62172422]; Beijing Outstanding Young Scientist Program [BJJWZYJH012019100020098]; Intelligent Social Governance Interdisciplinary Platform, Major Innovation &amp; Planning Interdisciplinary Platform for the Double-First Class Initiative, Renmin University of China</t>
  </si>
  <si>
    <t>National Key Research and Development Program of China(National Key Research &amp; Development Program of China); National Natural Science Foundation of China(National Natural Science Foundation of China (NSFC)); Beijing Outstanding Young Scientist Program; Intelligent Social Governance Interdisciplinary Platform, Major Innovation &amp; Planning Interdisciplinary Platform for the Double-First Class Initiative, Renmin University of China</t>
  </si>
  <si>
    <t>This work was partially supported by National Key Research and Development Program of China under (Grant No. 2020AAA0103401); National Natural Science Foundation of China (Grant No. 62172422); Beijing Outstanding Young Scientist Program (No. BJJWZYJH012019100020098); Intelligent Social Governance Interdisciplinary Platform, Major Innovation &amp; Planning Interdisciplinary Platform for the Double-First Class Initiative, Renmin University of China.</t>
  </si>
  <si>
    <t>JMLR-JOURNAL MACHINE LEARNING RESEARCH</t>
  </si>
  <si>
    <t>1269 LAW ST, SAN DIEGO, CA, UNITED STATES</t>
  </si>
  <si>
    <t>2640-3498</t>
  </si>
  <si>
    <t>PR MACH LEARN RES</t>
  </si>
  <si>
    <t>Computer Science, Artificial Intelligence; Computer Science, Information Systems; Statistics &amp; Probability</t>
  </si>
  <si>
    <t>BX0CV</t>
  </si>
  <si>
    <t>WOS:001228408900031</t>
  </si>
  <si>
    <t>Porter, E; Murphy, M; O'Connor, C</t>
  </si>
  <si>
    <t>Porter, Emma; Murphy, Michelle; O'Connor, Cathal</t>
  </si>
  <si>
    <t>Crying Wolf: A Qualitative Review of Misinformation and Conspiracy Theories in Lupus Erythematosus</t>
  </si>
  <si>
    <t>LUPUS</t>
  </si>
  <si>
    <t>lupus; misinformation; disinformation; conspiracy theories</t>
  </si>
  <si>
    <t>CANNABIS</t>
  </si>
  <si>
    <t>Background Lupus comprises a complex group of inflammatory disorders including cutaneous lupus erythematosus (CLE) and systemic lupus erythematosus (SLE). The issue of health misinformation is increasingly problematic, although the content of misinformation related to lupus available online has not been deeply explored. This study aimed to qualitatively assess the type of misinformation related to lupus available online. Methods A literature search on PubMed was conducted, using search terms cutaneous lupus OR discoid lupus OR lupus AND misinformation OR conspiracy OR disinformation. Further searches were also performed on Google, YouTube, Twitter, Facebook, Instagram, and TikTok. Results Published literature describing lupus-related misinformation was minimal, with only three manuscripts identified. Conversely, a variety of points of misinformation were identified online and on social media. Key themes identified in online content included suggestion of incorrect causes such as infection or aspartame consumption, false risk assessments such as lupus never developing in males, false claims about conventional treatments, and promotion of alternative treatments or cures without evidence. Conclusion Dermatologists, rheumatologists, and all clinicians treating patients with lupus play an essential role in dispelling the pervasive misinformation surrounding the disease and its treatments, encouraging patients to seek reliable sources of information, and advocating for evidence-based guidance.</t>
  </si>
  <si>
    <t>[Porter, Emma; Murphy, Michelle; O'Connor, Cathal] South Infirm Victoria Univ Hosp, Dermatol, Cork, Ireland; [Murphy, Michelle; O'Connor, Cathal] Univ Coll Cork, Med, Cork, Ireland; [O'Connor, Cathal] Univ Coll Cork, INFANT Research Ctr, Cork, Ireland</t>
  </si>
  <si>
    <t>University College Cork; University College Cork</t>
  </si>
  <si>
    <t>O'Connor, C (corresponding author), South Infirm Victoria Univ Hosp, Dermatol, Cork, Ireland.;O'Connor, C (corresponding author), Univ Coll Cork, Med, Cork, Ireland.;O'Connor, C (corresponding author), Univ Coll Cork, INFANT Research Ctr, Cork, Ireland.</t>
  </si>
  <si>
    <t>O'Connor, Cathal/0000-0001-7084-5293; Porter, Emma/0000-0002-5532-5799</t>
  </si>
  <si>
    <t>0961-2033</t>
  </si>
  <si>
    <t>1477-0962</t>
  </si>
  <si>
    <t>Lupus</t>
  </si>
  <si>
    <t>10.1177/09612033231174423</t>
  </si>
  <si>
    <t>Rheumatology</t>
  </si>
  <si>
    <t>J4ID0</t>
  </si>
  <si>
    <t>WOS:000986263300001</t>
  </si>
  <si>
    <t>Alafwan, B; Siallagan, M; Putro, US</t>
  </si>
  <si>
    <t>Alafwan, Brian; Siallagan, Manahan; Putro, Utomo Sarjono</t>
  </si>
  <si>
    <t>Comments Analysis on Social Media: A Review</t>
  </si>
  <si>
    <t>EAI ENDORSED TRANSACTIONS ON SCALABLE INFORMATION SYSTEMS</t>
  </si>
  <si>
    <t>Online Comment; Social Media Communication; Social Media; Systematic Literature Review.</t>
  </si>
  <si>
    <t>DISCOURSE-ANALYSIS; YOUTUBE VIDEOS; ONLINE; PERCEPTIONS; INCIVILITY; DISCUSSIONS; PATTERNS; CIVILITY; CLASSIFICATION; INTERACTIVITY</t>
  </si>
  <si>
    <t>As the number of people using and participating in social media grows, academics become interest in studying this new media, specifically comment analysis, in order to comprehend public opinion and user behavior. However, there are no studies that map the development of comment analysis domain, which would be valuable for future research. To address the issue, we examine prior publications using PRISMA approach, and offer suggestions for further research. An investigation was conducted to locate pertinent publications published in databases between 2010 and 2022. On the basis of our examination of 115 relevant articles, we found that, within the scope of methodology, prior researches employ two methods (sentiment and content analysis) and three tools (human, software, and mixed coders), and the majority of them concentrate on gathering data from western countries, covering numerous platforms and topics. Based on these findings, we recommend that future research in comment analysis should synthesize methods and instruments. In addition, examine areas that have not been fully explore in terms of platforms (e.g., Instagram and Tiktok), topic (e.g., local government), and regions (e.g., eastern countries) that would be valuable in order to enhance the body of knowledge in this domain.</t>
  </si>
  <si>
    <t>[Alafwan, Brian; Siallagan, Manahan; Putro, Utomo Sarjono] Inst Teknol Bandung, Bandung, Indonesia</t>
  </si>
  <si>
    <t>Institute Technology of Bandung</t>
  </si>
  <si>
    <t>Alafwan, B (corresponding author), Inst Teknol Bandung, Bandung, Indonesia.</t>
  </si>
  <si>
    <t>brian.alafwan@sbm-itb.ac.id</t>
  </si>
  <si>
    <t>INST COMPUTER SCIENCES, SOCIAL INFORMATICS &amp; TELECOMMUNICATIONS ENG-ICST</t>
  </si>
  <si>
    <t>GHENT</t>
  </si>
  <si>
    <t>BEGIJNHOFLAAN 93, GHENT, 90000, BELGIUM</t>
  </si>
  <si>
    <t>2032-9407</t>
  </si>
  <si>
    <t>EAI ENDORSED TRANS S</t>
  </si>
  <si>
    <t>EAI Endorsed Trans. Scalable Inform. Syst.</t>
  </si>
  <si>
    <t>10.4108/eetsis.3843</t>
  </si>
  <si>
    <t>U4SV9</t>
  </si>
  <si>
    <t>WOS:001084724200033</t>
  </si>
  <si>
    <t>Galloway, K</t>
  </si>
  <si>
    <t>Galloway, Kate</t>
  </si>
  <si>
    <t>Sensing, Sharing, and Listening to Musicking Animals across the Sonic Environments of Social Media</t>
  </si>
  <si>
    <t>This article explores the strategies employed by user-creators as they listen to, sense, make, and share digital audiovisual memes of musicking non-human animals on social media. Memes, reels, and other forms of audiovisual social media posts are a form of cultural expression that reveals the varied ways humans relate to, connect with, and represent non-human animals - especially their pets - through sound, music, and the moving image. By listening to the plurality of musicking animals circulating on social media platforms and networks, I argue that user-creators conspicuously use music and performance to express alternative ideas of what it means to be musical, to feel closer to and connect with the important animals in their lives, and to explore the ways they can represent non-human animals using sound and music to explore musical concepts. Using a varied selection of viral musicking animal memes shared across social media platforms such as TikTok, Instagram, and Twitter, I frame musicking animal participatory media as a creative space for exploring different approaches to listening, performing with, and scoring sound and music to the behaviour, movement, and acoustic communication of the non-human animal. Non-human animal musicking takes a variety of forms across this particular kind of participatory media making by online user-creators.</t>
  </si>
  <si>
    <t>gallok2@rpi.edu</t>
  </si>
  <si>
    <t>Galloway, Kate/0000-0003-2570-3135</t>
  </si>
  <si>
    <t>PII S1478572222000251</t>
  </si>
  <si>
    <t>10.1017/S1478572222000251</t>
  </si>
  <si>
    <t>WOS:000891448600004</t>
  </si>
  <si>
    <t>López, ITB; Pastor-Seller, E</t>
  </si>
  <si>
    <t>Lopez, Inmaculada Trinidad Banos; Pastor-Seller, Enrique</t>
  </si>
  <si>
    <t>IMPACT OF SOCIAL NETWORKS ON COMMUNITY PROJECTS IN THE REGION OF MURCIA</t>
  </si>
  <si>
    <t>Community projects; community work; social networks; social innovation; community synergies; social participation</t>
  </si>
  <si>
    <t>SERVICES; PARTICIPATION; WORK</t>
  </si>
  <si>
    <t>This article presents the results of an empirical investigation aimed at analyzing the influence of social networks on community projects promoted in neighborhoods in situations of vulnerability and/ or social exclusion. First, the universe of community projects in a delimited territorial context (region of Murcia, Spain) is characterized and, subsequently, the impacts that social networks have had on them (content, typology, linkage, internal/external communication plan, aims, scope, participation, competencies, training and proposals) are analyzed. As for the procedure, the 22 community projects were analyzed from their inception (2021) to (2023), through documentary analysis (projects, memories) and digital/social networks and/or platforms (Instagram, Facebook, X, Tiktok, Youtube and Web); 1282 documents/graphs were analyzed. Subsequently, semi-structured interviews were conducted with the professionals responsible for the universe of community projects, questionnaires were applied and a discussion group was formed with the professionals involved. The data collection instruments were previously validated. The results obtained show the importance and impact of social networks in the projects, becoming virtual community spaces that generate citizen participation, favoring the dissemination of actions and processes, the visibility of participants and results, the transparency of participatory processes, actions and decisions, as well as the promotion of community synergies.</t>
  </si>
  <si>
    <t>[Lopez, Inmaculada Trinidad Banos; Pastor-Seller, Enrique] Univ Murcia, Murcia, Spain</t>
  </si>
  <si>
    <t>University of Murcia</t>
  </si>
  <si>
    <t>López, ITB (corresponding author), Univ Murcia, Murcia, Spain.</t>
  </si>
  <si>
    <t>INMA.BL14@GMAIL.COM; EPASTOR@UM.ES</t>
  </si>
  <si>
    <t>10.14198/MEDCOM.22115</t>
  </si>
  <si>
    <t>D1J0C</t>
  </si>
  <si>
    <t>WOS:001293805600013</t>
  </si>
  <si>
    <t>Li, Q; Shao, XL</t>
  </si>
  <si>
    <t>Li, Qi; Shao, Xiaoli</t>
  </si>
  <si>
    <t>THE IMPACT OF ANCHOR CHARACTERISTICS ON CUSTOMERS' SUSTAINABLE FOLLOW IN E-COMMERCE LIVE BROADCAST-BASED ON THE SURVEY OF TIKTOK USERS IN CHINA</t>
  </si>
  <si>
    <t>anchor characteristics; sustainable follow; perceived value; flow experience</t>
  </si>
  <si>
    <t>FLOW; ONLINE; MODEL</t>
  </si>
  <si>
    <t>With the development of Internet commerce, live broadcast has become a new e-commerce milestone. This study uses SOR model for reference, taking customer perceived value and customer flow experience as intermediary variables, to explore the impact of anchor characteristics on the sustainable follow of customers in the live broadcast room. The research findings demonstrate that the credibility, professionalism, interactivity, and attractiveness of e-commerce anchors have a significant positive impact on customer perceived value and customer flow experience. Customer perceived value and customer flow experience positively influence the sustainable retention of customers in live broadcast rooms. Moreover, these factors act as mediators between the characteristics of e-commerce anchors and the sustainable retention of customers. Therefore, it is imperative for live broadcast e-commerce merchants to adapt their strategies based on anchor attributes in order to enhance customer perceived value and improve customer flow experience. This will effectively guide customers towards sustained engagement and yield favorable marketing outcomes. It is helpful for e-commerce anchors to effectively reduce customer loss and form customer loyalty, and also provides a reference for enterprises to use live broadcast e-commerce for product sales and brand promotion.</t>
  </si>
  <si>
    <t>[Li, Qi] Yi Li Normal Univ, Horgos Business Sch, Yining City, Peoples R China; [Shao, Xiaoli] Al Farabi Kazakh Natl Univ, Alma Ata, Kazakhstan; [Li, Qi] Yi Li Normal Univ, 448 Jiefang West Rd, Yining City, Peoples R China</t>
  </si>
  <si>
    <t>Al-Farabi Kazakh National University</t>
  </si>
  <si>
    <t>Li, Q (corresponding author), Yi Li Normal Univ, 448 Jiefang West Rd, Yining City, Peoples R China.</t>
  </si>
  <si>
    <t>50456749@qq.com</t>
  </si>
  <si>
    <t>Project of Xinjiang Port Economic Development and Management Research Center; Study on Cross-border E-commerce Marketing Strategies for Small and Medium Enterprises in Xinjiang Pilot Free Trade Zone [YSKAYB202401]; Doctoral Research Initiation Fund; Study on the Advancement of New Media Live Streaming in Cross-border E-commerce [2022RCYJ07]</t>
  </si>
  <si>
    <t>Project of Xinjiang Port Economic Development and Management Research Center; Study on Cross-border E-commerce Marketing Strategies for Small and Medium Enterprises in Xinjiang Pilot Free Trade Zone; Doctoral Research Initiation Fund; Study on the Advancement of New Media Live Streaming in Cross-border E-commerce</t>
  </si>
  <si>
    <t>The research was supported by the Project of Xinjiang Port Economic Development and Management Research Center. A Study on Cross-border E-commerce Marketing Strategies for Small and Medium Enterprises in Xinjiang Pilot Free Trade Zone (YSKAYB202401) .The research was also supported by the Doctoral Research Initiation Fund. A Study on the Advancement of New Media Live Streaming in Cross-border E-commerce (2022RCYJ07) .</t>
  </si>
  <si>
    <t>10.33736/ijbs.6919.2024</t>
  </si>
  <si>
    <t>WB1S9</t>
  </si>
  <si>
    <t>WOS:001252323500018</t>
  </si>
  <si>
    <t>Yi, ZX; Wang, X; Ounis, I; Macdonald, C</t>
  </si>
  <si>
    <t>Yi, Zixuan; Wang, Xi; Ounis, Iadh; Macdonald, Craig</t>
  </si>
  <si>
    <t>Multi-modal Graph Contrastive Learning for Micro-video Recommendation</t>
  </si>
  <si>
    <t>PROCEEDINGS OF THE 45TH INTERNATIONAL ACM SIGIR CONFERENCE ON RESEARCH AND DEVELOPMENT IN INFORMATION RETRIEVAL (SIGIR '22)</t>
  </si>
  <si>
    <t>45th International ACM SIGIR Conference on Research and Development in Information Retrieval (SIGIR)</t>
  </si>
  <si>
    <t>JUL 11-15, 2022</t>
  </si>
  <si>
    <t>Madrid, SPAIN</t>
  </si>
  <si>
    <t>Multi-modal; Self-supervised Learning; Graph Neural Network</t>
  </si>
  <si>
    <t>Recently micro-videos have become more popular in social media platforms such as TikTok and Instagram. Engagements in these platforms are facilitated by multi-modal recommendation systems. Indeed, such multimedia content can involve diverse modalities, often represented as visual, acoustic, and textual features to the recommender model. Existing works in micro-video recommendation tend to unify the multi-modal channels, thereby treating each modality with equal importance. However, we argue that these approaches are not sufficient to encode item representations with multiple modalities, since the used methods cannot fully disentangle the users' tastes on different modalities. To tackle this problem, we propose a novel learning method named Multi-Modal Graph Contrastive Learning (MMGCL), which aims to explicitly enhance multi-modal representation learning in a self-supervised learning manner. In particular, we devise two augmentation techniques to generate the multiple views of a user/item: modality edge dropout and modality masking. Furthermore, we introduce a novel negative sampling technique that allows to learn the correlation between modalities and ensures the effective contribution of each modality. Extensive experiments conducted on two micro-video datasets demonstrate the superiority of our proposed MMGCL method over existing state-of-the-art approaches in terms of both recommendation performance and training convergence speed.</t>
  </si>
  <si>
    <t>[Yi, Zixuan; Wang, Xi; Ounis, Iadh; Macdonald, Craig] Univ Glasgow, Glasgow, Lanark, Scotland</t>
  </si>
  <si>
    <t>University of Glasgow</t>
  </si>
  <si>
    <t>Yi, ZX (corresponding author), Univ Glasgow, Glasgow, Lanark, Scotland.</t>
  </si>
  <si>
    <t>z.yi.1@research.gla.ac.uk; x.wang.6@research.gla.ac.uk; iadh.ounis@glasgow.ac.uk; craig.macdonald@glasgow.ac.uk</t>
  </si>
  <si>
    <t>Macdonald, Craig/G-3106-2011</t>
  </si>
  <si>
    <t>WANG, XI/0000-0001-5936-9919</t>
  </si>
  <si>
    <t>978-1-4503-8732-3</t>
  </si>
  <si>
    <t>10.1145/3477495.3532027</t>
  </si>
  <si>
    <t>BT8CB</t>
  </si>
  <si>
    <t>WOS:000852715901083</t>
  </si>
  <si>
    <t>Zhao, HG; Liu, YX; Wang, YH</t>
  </si>
  <si>
    <t>Huang, DS; Jo, KH; Jing, J; Premaratne, P; Bevilacqua, V; Hussain, A</t>
  </si>
  <si>
    <t>Zhao, Hongguo; Liu, Yunxia; Wang, Yonghao</t>
  </si>
  <si>
    <t>A Novel Two-Dimensional Histogram Shifting Video Steganography Algorithm for Video Protection in H.265/HEVC</t>
  </si>
  <si>
    <t>INTELLIGENT COMPUTING METHODOLOGIES, PT III</t>
  </si>
  <si>
    <t>18th International Conference on Intelligent Computing (ICIC)</t>
  </si>
  <si>
    <t>AUG 07-11, 2022</t>
  </si>
  <si>
    <t>Xian, PEOPLES R CHINA</t>
  </si>
  <si>
    <t>EIT Inst Adv Study,Xian Polytechn Univ,Shenzhen Univ,Guangxi Acad Sci,Int Neural Network Soc,Natl Sci Fdn China</t>
  </si>
  <si>
    <t>Video steganography; Histogram shifting; DST coefficients; 4 x 4 intra/inter blocks</t>
  </si>
  <si>
    <t>EFFICIENCY</t>
  </si>
  <si>
    <t>Video security is becoming a significant issue in multimedia industry while considering the increasingly prosperous TikTok and video conference. The video steganography technique which plays a key role in protecting video security has been a hot research area in recent years. In this paper, we provide a novel two-dimension histogram shifting video steganography algorithm for H.265/HEVC based video applications. In this two-dimension histogram shifting scheme, we can achieve embedding 4-bits metadata (secret data) while at most modifying only one-bit QDST coefficient. In order to eliminate the embedding error for carrier videos, the embedded carrier is limited to 4 x 4 block QDST coefficients. First, the high frequency coefficients in 4 x 4 blocks are selected to form an embedded coefficient pair, which are divided into 19 non-intersecting sets according to the value of the coefficient pair. Second, according to the set of embedding coefficient pair, the metadata is embedded by provided two-dimensional histogram shifting rules. Finally, the embedded carrier block is encoded into bitstream by entropy encoding, and the metadata is extracted by inverse process corresponding to embedding. The experimental results have been proven the superiority of efficiency and performance about the proposed algorithm.</t>
  </si>
  <si>
    <t>[Zhao, Hongguo; Liu, Yunxia] Zhengzhou Normal Univ, Coll Informat Sci &amp; Technol, Zhengzhou, Peoples R China; [Wang, Yonghao] Birmingham City Univ, Comp &amp; Digital Technol, Birmingham, W Midlands, England</t>
  </si>
  <si>
    <t>Zhengzhou Normal University; Birmingham City University</t>
  </si>
  <si>
    <t>Liu, YX (corresponding author), Zhengzhou Normal Univ, Coll Informat Sci &amp; Technol, Zhengzhou, Peoples R China.</t>
  </si>
  <si>
    <t>liuyunxia0110@hust.edu.cn</t>
  </si>
  <si>
    <t>Liu, Yu/ABD-7411-2020; wang, hao/AAX-7912-2021</t>
  </si>
  <si>
    <t>National Natural Science Foundation of China (NSFC) [61572447]; Henan International Joint Laboratory of Blockchain and Audio/Video Security, Zhengzhou Key Laboratory of Blockchain and CyberSecurity</t>
  </si>
  <si>
    <t>National Natural Science Foundation of China (NSFC)(National Natural Science Foundation of China (NSFC)); Henan International Joint Laboratory of Blockchain and Audio/Video Security, Zhengzhou Key Laboratory of Blockchain and CyberSecurity</t>
  </si>
  <si>
    <t>This paper is sponsored by the National Natural Science Foundation of China (NSFC, Grant No. 61572447), Henan International Joint Laboratory of Blockchain and Audio/Video Security, Zhengzhou Key Laboratory of Blockchain and CyberSecurity.</t>
  </si>
  <si>
    <t>978-3-031-13832-4; 978-3-031-13831-7</t>
  </si>
  <si>
    <t>10.1007/978-3-031-13832-4_55</t>
  </si>
  <si>
    <t>BU0LZ</t>
  </si>
  <si>
    <t>WOS:000870337200055</t>
  </si>
  <si>
    <t>Frost-Arnold, K</t>
  </si>
  <si>
    <t>Frost-Arnold, Karen</t>
  </si>
  <si>
    <t>Beyond Corporate Social Media Platforms: The Epistemic Promises and Perils of Alternative Social Media</t>
  </si>
  <si>
    <t>TOPOI-AN INTERNATIONAL REVIEW OF PHILOSOPHY</t>
  </si>
  <si>
    <t>Social media; Social epistemology; Corporate social media; Alternative social media; Open-source; Federation; Mastodon; Moderation; Promises and perils; Veritism; Ignorance; Objectivity; Epistemic injustice; Virtue epistemology; Ontological expansiveness</t>
  </si>
  <si>
    <t>In recent years, we have witnessed increased interest in alternatives to the dominant corporate social media sites, such as Facebook, Twitter (now X), and TikTok. Tired of disinformation, harassment, privacy violations, and the general degradation of platforms, users and technologists have looked for non-corporate alternatives. Not-for-profit social media platforms emerging from free/libre and open-source software (FLOSS) communities based on non-centralized infrastructure have emerged as promising alternatives. For applied epistemology of the internet, these alternative social media platforms present an opportunity to study different ways of producing knowledge together online. This paper evaluates the epistemic potential for such alternative, non-corporate social media. I present an epistemological framework for analyzing the epistemic promises and perils of alternative social media. Then I apply this framework to the case of Mastodon, a federated, open-source microblogging platform. Mastodon's structure and culture of openness present opportunities to avoid many of the epistemic perils of biased and untrustworthy large corporate platforms. However, Mastodon's risks include techno-elitism, white ignorance, and isolated, epistemically toxic communities.</t>
  </si>
  <si>
    <t>[Frost-Arnold, Karen] Hobart &amp; William Smith Coll, Philosophy, 300 Pulteney St, Geneva, NY 14456 USA; [Frost-Arnold, Karen] Univ Johannesburg, African Ctr Epistemol &amp; Philosophy Sci, Johannesburg, South Africa</t>
  </si>
  <si>
    <t>Frost-Arnold, K (corresponding author), Hobart &amp; William Smith Coll, Philosophy, 300 Pulteney St, Geneva, NY 14456 USA.;Frost-Arnold, K (corresponding author), Univ Johannesburg, African Ctr Epistemol &amp; Philosophy Sci, Johannesburg, South Africa.</t>
  </si>
  <si>
    <t>frost-arnold@hws.edu</t>
  </si>
  <si>
    <t>The author would like to thank audiences at the University of Johannesburg, Skidmore College, Middlebury College, Hobart &amp; William Smith Colleges, the Graduate Student Workshop in Applied Philosophy at Bowling Green University, the Seminar in Formal and Social Epistemology at Sorbonne Universite, INTERACT! New Forms of Social Interaction with Intelligent Systems at Ruhr-University Bochum, A Social Epistemology of Social Media Workshop at TU Berlin, and two anonymous reviewers for this journal for feedback on earlier versions of this paper.</t>
  </si>
  <si>
    <t>0167-7411</t>
  </si>
  <si>
    <t>1572-8749</t>
  </si>
  <si>
    <t>TOPOI-INT REV PHILOS</t>
  </si>
  <si>
    <t>Topoi-Int. Rev. Philos.</t>
  </si>
  <si>
    <t>10.1007/s11245-024-10102-2</t>
  </si>
  <si>
    <t>I4E9J</t>
  </si>
  <si>
    <t>WOS:001329813600002</t>
  </si>
  <si>
    <t>Yeung, AWK; Tosevska, A; Klager, E; Eibensteiner, F; Tsagkaris, C; Parvanov, ED; Nawaz, FA; Völkl-Kernstock, S; Schaden, E; Kletecka-Pulker, M; Willschke, H; Atanasov, AG</t>
  </si>
  <si>
    <t>Yeung, Andy Wai Kan; Tosevska, Anela; Klager, Elisabeth; Eibensteiner, Fabian; Tsagkaris, Christos; Parvanov, Emil D.; Nawaz, Faisal A.; Voelkl-Kernstock, Sabine; Schaden, Eva; Kletecka-Pulker, Maria; Willschke, Harald; Atanasov, Atanas G.</t>
  </si>
  <si>
    <t>Medical and Health-Related Misinformation on Social Media: Bibliometric Study of the Scientific Literature</t>
  </si>
  <si>
    <t>COVID-19; Twitter; health; social media; bibliometric; dissemination; knowledge exchange</t>
  </si>
  <si>
    <t>INFORMATION; YOUTUBE; EBOLA</t>
  </si>
  <si>
    <t>Background: Social media has been extensively used for the communication of health-related information and consecutively for the potential spread of medical misinformation. Conventional systematic reviews have been published on this topic to identify original articles and to summarize their methodological approaches and themes. A bibliometric study could complement their findings, for instance, by evaluating the geographical distribution of the publications and determining if they were well cited and disseminated in high-impact journals. Objective: The aim of this study was to perform a bibliometric analysis of the current literature to discover the prevalent trends and topics related to medical misinformation on social media. Methods: The Web of Science Core Collection electronic database was accessed to identify relevant papers with the following search string: ALL=(misinformati* OR wrong informati* OR disinformati* OR misleading informati* OR fake news*) AND ALL=(medic* OR illness* OR disease* OR health* OR pharma* OR drug* OR therap*) AND ALL=(social media* OR Facebook* OR Twitter* OR Instagram* OR YouTube* OR Weibo* OR Whatsapp* OR Reddit* OR TikTok* OR WeChat*). Full records were exported to a bibliometric software, VOSviewer, to link bibliographic information with citation data. Term and keyword maps were created to illustrate recurring terms and keywords. Results: Based on an analysis of 529 papers on medical and health-related misinformation on social media, we found that the most popularly investigated social media platforms were Twitter (n=90), YouTube (n=67), and Facebook (n=57). Articles targeting these 3 platforms had higher citations per paper (&gt;13.7) than articles covering other social media platforms (Instagram, Weibo, WhatsApp, Reddit, and WeChat; citations per paper &lt;8.7). Moreover, social media platform-specific papers accounted for 44.1% (233/529) of all identified publications. Investigations on these platforms had different foci. Twitter-based research explored cyberchondria and hypochondriasis, YouTube-based research explored tobacco smoking, and Facebook-based research studied vaccine hesitancy related to autism. COVID-19 was a common topic investigated across all platforms. Overall, the United States contributed to half of all identified papers, and 80% of the top 10 most productive institutions were based in this country. The identified papers were mostly published in journals of the categories public environmental and occupational health, communication, health care sciences services, medical informatics, and medicine general internal, with the top journal being the Journal of Medical Internet Research. Conclusions: There is a significant platform-specific topic preference for social media investigations on medical misinformation. With a large population of internet users from China, it may be reasonably expected that Weibo, WeChat, and TikTok (and its Chinese version Douyin) would be more investigated in future studies. Currently, these platforms present research gaps that leave their usage and information dissemination warranting further evaluation. Future studies should also include social platforms targeting non-English users to provide a wider global perspective.</t>
  </si>
  <si>
    <t>[Yeung, Andy Wai Kan] Univ Hong Kong, Fac Dent, Appl Oral Sci &amp; Community Dent Care, Oral &amp; Maxillofacial Radiol, Hong Kong, Peoples R China; [Yeung, Andy Wai Kan; Tosevska, Anela; Klager, Elisabeth; Eibensteiner, Fabian; Parvanov, Emil D.; Voelkl-Kernstock, Sabine; Schaden, Eva; Kletecka-Pulker, Maria; Willschke, Harald; Atanasov, Atanas G.] Med Univ Vienna, Ludwig Boltzmann Inst Digital Hlth &amp; Patient Safe, Spitalgasse 23, A-1090 Vienna, Austria; [Tosevska, Anela] Univ Calif Los Angeles, Dept Mol Cell &amp; Dev Biol, Los Angeles, CA USA; [Eibensteiner, Fabian] Med Univ Vienna, Comprehens Ctr Pediat, Div Pediat Nephrol &amp; Gastroenterol, Vienna, Austria; [Tsagkaris, Christos] Univ Crete, Fac Med, Iraklion, Greece; [Parvanov, Emil D.] Med Univ Varna, Dept Translat Stem Cell Biol, Varna, Bulgaria; [Nawaz, Faisal A.] Mohammed Bin Rashid Univ Med &amp; Hlth Sci, Coll Med, Dubai, U Arab Emirates; [Schaden, Eva; Willschke, Harald] Med Univ Vienna, Dept Anaesthesia Intens Care Med &amp; Pain Med, Vienna, Austria; [Atanasov, Atanas G.] Polish Acad Sci, Inst Genet &amp; Anim Biotechnol, Jastrzebiec, Poland</t>
  </si>
  <si>
    <t>University of Hong Kong; Medical University of Vienna; University of California System; University of California Los Angeles; Medical University of Vienna; University of Crete; Medical University Varna; Medical University of Vienna; Polish Academy of Sciences; Institute of Genetics &amp; Animal Biotechnology, Polish Academy of Sciences</t>
  </si>
  <si>
    <t>Atanasov, AG (corresponding author), Med Univ Vienna, Ludwig Boltzmann Inst Digital Hlth &amp; Patient Safe, Spitalgasse 23, A-1090 Vienna, Austria.</t>
  </si>
  <si>
    <t>Atanas.Atanasov@dhps.lbg.ac.at</t>
  </si>
  <si>
    <t>NAWAZ, Faisal/JUU-9174-2023; Tsagkaris, Christos/Y-5951-2019; Yeung, Andy Wai Kan/M-4332-2019; Atanasov, Atanas/C-5535-2013</t>
  </si>
  <si>
    <t>Yeung, Andy Wai Kan/0000-0003-3672-357X; Willschke, Harald/0000-0002-9093-7563; Eibensteiner, Fabian/0000-0001-5012-3082; Klager, Elisabeth/0000-0003-0722-1255; Parvanov, Emil/0000-0001-6744-0949; Tsagkaris, Christos/0000-0002-4250-574X; Tosevska, Anela/0000-0002-0892-7068; Nawaz, Faisal/0000-0002-0701-7628; Atanasov, Atanas/0000-0003-2545-0967; Schaden, Eva/0000-0001-7571-8680</t>
  </si>
  <si>
    <t>e28152</t>
  </si>
  <si>
    <t>10.2196/28152</t>
  </si>
  <si>
    <t>ZQ0CE</t>
  </si>
  <si>
    <t>WOS:000766781300003</t>
  </si>
  <si>
    <t>Su, N</t>
  </si>
  <si>
    <t>Su, Nan</t>
  </si>
  <si>
    <t>Promoting by Looking Into Friend Circles: An Inadequately-Labeled and Socially-Aware Financial Technique for Products Recommendation</t>
  </si>
  <si>
    <t>Social networking (online); Analytical models; Probabilistic logic; Feature extraction; Sports; Semantics; Focusing; Accuracy; Optimization; Genre; online products; weak supervision; graph mining; social connection; purchasing preference</t>
  </si>
  <si>
    <t>PERSONALITY-TRAITS; USER INTERESTS; NETWORKS; HISTOGRAMS; TAXONOMY</t>
  </si>
  <si>
    <t>We have developed a classification method that segments a large group of Amazon or TikTok users into distinct categories, or genres, based on their shared purchasing behaviors, such as preferences for consumer electronics or household items. Our approach uses a geometry-based feature selection strategy to accurately capture each user's buying patterns, which are characterized by a range of features, including those learned under weak supervision. These features are then refined through two feature selection processes tailored to different application needs. We also use a probabilistic model to represent each user's buying preferences as a distribution within a hidden feature space. To map the purchasing connections between users, we construct a graph and apply a specialized algorithm to identify tightly connected subgroups. These subgroups reflect shared purchasing habits, allowing us to categorize users into specific genres. Finally, a ranking model is used to recommend products to users based on these genres. We validated the effectiveness of our recommendation system using a dataset of over one million Amazon users, showing that it accurately identifies and classifies distinct purchasing genres.</t>
  </si>
  <si>
    <t>[Su, Nan] Zhengzhou Shengda Univ, Sch Finance &amp; Trade, Zhengzhou 451191, Henan, Peoples R China</t>
  </si>
  <si>
    <t>Su, N (corresponding author), Zhengzhou Shengda Univ, Sch Finance &amp; Trade, Zhengzhou 451191, Henan, Peoples R China.</t>
  </si>
  <si>
    <t>100259@shengda.edu.cn</t>
  </si>
  <si>
    <t>10.1109/ACCESS.2024.3488072</t>
  </si>
  <si>
    <t>L3L2O</t>
  </si>
  <si>
    <t>WOS:001349762500001</t>
  </si>
  <si>
    <t>Yang, ZX; Liu, X; Ying, L</t>
  </si>
  <si>
    <t>Yang, Zixian; Liu, Xin; Ying, Lei</t>
  </si>
  <si>
    <t>Exploration, Exploitation, and Engagement in Multi-Armed Bandits with Abandonment</t>
  </si>
  <si>
    <t>JOURNAL OF MACHINE LEARNING RESEARCH</t>
  </si>
  <si>
    <t>multi-armed bandit; abandonment; exploration; exploitation; regret bound</t>
  </si>
  <si>
    <t>The traditional multi-armed bandit (MAB) model for recommendation systems assumes the user stays in the system for the entire learning horizon. In new online education platforms such as ALEKS or new video recommendation systems such as TikTok, the amount of time a user spends on the app depends on how engaging the recommended contents are. Users may temporarily leave the system if the recommended items cannot engage the users. To understand the exploration, exploitation, and engagement in these systems, we propose a new model, called MAB-A where A stands for abandonment and the abandonment probability depends on the current recommended item and the user's past experience (called state). We propose two algorithms, ULCB and KL-ULCB, both of which do more exploration (being optimistic) when the user likes the previous recommended item and less exploration (being pessimistic) when the user does not. We prove that both ULCB and KL-ULCB achieve logarithmic regret, Oplog Kq, where K is the number of visits (or episodes). Furthermore, the regret bound under KL-ULCB is asymptotically sharp. We also extend the proposed algorithms to the general-state setting. Simulation results show that the proposed algorithms have significantly lower regret than the traditional UCB and KL-UCB, and Q-learning-based algorithms.</t>
  </si>
  <si>
    <t>[Yang, Zixian; Ying, Lei] Univ Michigan, Elect Engn &amp; Comp Sci, Ann Arbor, MI 48109 USA; [Liu, Xin] ShanghaiTech Univ, Sch Informat Sci &amp; Technol, Shanghai, Peoples R China</t>
  </si>
  <si>
    <t>University of Michigan System; University of Michigan; ShanghaiTech University</t>
  </si>
  <si>
    <t>Yang, ZX (corresponding author), Univ Michigan, Elect Engn &amp; Comp Sci, Ann Arbor, MI 48109 USA.</t>
  </si>
  <si>
    <t>ZIXIAN@UMICH.EDU; LIUXIN7@SHANGHAITECH.EDU.CN; LEIYING@UMICH.EDU</t>
  </si>
  <si>
    <t>Yang, Zixian/H-6969-2019</t>
  </si>
  <si>
    <t>NSF [2002608, 2001687]</t>
  </si>
  <si>
    <t>The work of Zixian Yang and Lei Ying is supported in part by NSF under grants 2002608 and 2001687.</t>
  </si>
  <si>
    <t>MICROTOME PUBL</t>
  </si>
  <si>
    <t>BROOKLINE</t>
  </si>
  <si>
    <t>31 GIBBS ST, BROOKLINE, MA 02446 USA</t>
  </si>
  <si>
    <t>1532-4435</t>
  </si>
  <si>
    <t>J MACH LEARN RES</t>
  </si>
  <si>
    <t>J. Mach. Learn. Res.</t>
  </si>
  <si>
    <t>IT2U0</t>
  </si>
  <si>
    <t>WOS:001168526500001</t>
  </si>
  <si>
    <t>Beck, B; Koskie, MM; Locander, W</t>
  </si>
  <si>
    <t>Beck, Brittany; Koskie, Melanie Moore; Locander, William</t>
  </si>
  <si>
    <t>How electronic word of mouth (eWOM) shapes consumer social media shopping</t>
  </si>
  <si>
    <t>JOURNAL OF CONSUMER MARKETING</t>
  </si>
  <si>
    <t>Electronic word of mouth; Retailing on social media; Social commerce; Trust; Shopping</t>
  </si>
  <si>
    <t>E-COMMERCE; TRUST TRANSFER; WEAK TIES; INTENTION; RISK; PARTICIPATION; SATISFACTION; INFORMATION; ENGAGEMENT; PLATFORMS</t>
  </si>
  <si>
    <t>PurposeThis study aims to contribute to the ongoing discussion of how consumers approach shopping directly via social media by explicating decisions related to trust on social media and how various types of electronic word of mouth (eWOM; ratings and reviews, recommendations and referrals and social media communities) contribute to these decisions.Design/methodology/approachA total of 198 respondents with experience shopping directly via social media were instructed to select the platform on which they had the most shopping experience (Facebook, Instagram, TikTok, Pinterest, etc.) to answer relevant survey questions. Structural equation modeling (SEM) was used for analyzing the results.FindingsFindings reveal that eWOM provided by strong ties (recommendations and referrals; social media communities) is superior to weak ties (ratings and reviews). Surprisingly, ratings and reviews do not significantly relate to trust in the retailer, suggesting that this information may be necessary but not sufficient for trusting retailers on social media.Originality/valueThis research distinguishes trust decisions related to shopping on social media and clarifies how each type of eWOM uniquely influences trust in the retailer by using tie strength theory.</t>
  </si>
  <si>
    <t>[Beck, Brittany] Louisiana Tech Univ, Dept Mkt &amp; Supply Chain Management, Ruston, LA 71272 USA; [Koskie, Melanie Moore; Locander, William] Louisiana Tech Univ, Dept Mkt &amp; Anal, Ruston, LA USA</t>
  </si>
  <si>
    <t>University of Louisiana System; Louisiana Technical University; University of Louisiana System; Louisiana Technical University</t>
  </si>
  <si>
    <t>Beck, B (corresponding author), Louisiana Tech Univ, Dept Mkt &amp; Supply Chain Management, Ruston, LA 71272 USA.</t>
  </si>
  <si>
    <t>beckbb@appstate.edu</t>
  </si>
  <si>
    <t>Koskie, Melanie/ADT-7862-2022</t>
  </si>
  <si>
    <t>Moore Koskie, Melanie/0000-0003-0487-5288</t>
  </si>
  <si>
    <t>0736-3761</t>
  </si>
  <si>
    <t>2052-1200</t>
  </si>
  <si>
    <t>J CONSUM MARK</t>
  </si>
  <si>
    <t>J. Consum. Mark.</t>
  </si>
  <si>
    <t>NOV 27</t>
  </si>
  <si>
    <t>10.1108/JCM-01-2023-5817</t>
  </si>
  <si>
    <t>GZ5J1</t>
  </si>
  <si>
    <t>WOS:001103721900001</t>
  </si>
  <si>
    <t>Gao, YC; Liu, FM; Gao, L</t>
  </si>
  <si>
    <t>Gao, Yichang; Liu, Fengming; Gao, Lei</t>
  </si>
  <si>
    <t>Echo chamber effects on short video platforms</t>
  </si>
  <si>
    <t>SOCIAL MEDIA; TWITTER</t>
  </si>
  <si>
    <t>In recent years, short videos have become an increasingly vital source of information. To compete for users' attention, short video platforms have been overusing algorithmic technology, making the group polarization intensify, which is likely to push users into the homogeneous echo chamber. However, echo chambers can contribute to the spread of misleading information, false news, or rumors, which have negative social impacts. Therefore, it is necessary to explore echo chamber effects in short video platforms. Moreover, the communication paradigms between users and feed algorithms greatly vary across short video platforms. This paper investigated echo chamber effects of three popular short video platforms (Douyin, TikTok, and Bilibili) using social network analysis and explored how user features influenced the generation of echo chambers. We quantified echo chamber effects through two primary ingredients: selective exposure and homophily, in both platform and topic dimensions. Our analyses indicate that the gathering of users into homogeneous groups dominates online interactions on Douyin and Bilibili. We performed performance comparison of echo chamber effects and found that echo chamber members tend to display themselves to attract the attention of their peers and that cultural differences can prevent the development of echo chambers. Our findings are of great value in designing targeted management strategies to prevent the spread of misleading information, false news, or rumors.</t>
  </si>
  <si>
    <t>[Gao, Yichang; Liu, Fengming] Shandong Normal Univ, Business Sch, Jinan 250014, Peoples R China; [Gao, Yichang; Gao, Lei] Commonwealth Sci &amp; Ind Res Org CSIRO, Waite Campus, Urrbrae, SA 5064, Australia</t>
  </si>
  <si>
    <t>Shandong Normal University; Commonwealth Scientific &amp; Industrial Research Organisation (CSIRO)</t>
  </si>
  <si>
    <t>Liu, FM (corresponding author), Shandong Normal Univ, Business Sch, Jinan 250014, Peoples R China.;Gao, L (corresponding author), Commonwealth Sci &amp; Ind Res Org CSIRO, Waite Campus, Urrbrae, SA 5064, Australia.</t>
  </si>
  <si>
    <t>liufm@sdnu.edu.cn; lei.gao@csiro.au</t>
  </si>
  <si>
    <t>Gao, Yichang/0000-0001-9127-5330</t>
  </si>
  <si>
    <t>APR 18</t>
  </si>
  <si>
    <t>10.1038/s41598-023-33370-1</t>
  </si>
  <si>
    <t>F9GO4</t>
  </si>
  <si>
    <t>WOS:000985360700016</t>
  </si>
  <si>
    <t>Moghaddam, MM; Esmaeilpour, F</t>
  </si>
  <si>
    <t>Moghaddam, Mostafa Morady; Esmaeilpour, Faeze</t>
  </si>
  <si>
    <t>Persuasive Language in ELT-Related Ads on Social Media</t>
  </si>
  <si>
    <t>JOURNAL OF PSYCHOLINGUISTIC RESEARCH</t>
  </si>
  <si>
    <t>Communication psychology; English language teaching (ELT); Mobile learning; Persuasive language; Social media</t>
  </si>
  <si>
    <t>MOBILE; COMMUNICATION; TEACHERS; CHOICE; TOO</t>
  </si>
  <si>
    <t>In line with the concept of mobile learning in English Language Teaching (ELT), the aim of this research is to explore how Iranian ELT practitioners take advantage of social media to propose supportive and impactful language learning programs by adhering to persuasive linguistic devices. The research design is nonexperimental and explorative. ELT-related commercial videos and pictures were identified on social media platforms, including Instagram, Facebook, TikTok, and YouTube. We delved into the syntactic and pragmatic features of the data on ELT-related ads to identify the persuasive techniques and strategies these ads resort to for attracting language learners to online classes and services. To analyze the data, the widely-used and acknowledged Cialdini's (The psychology of persuasion, Quill William Morrow, 1984) principles of persuasion are employed. The results manifested that 'reciprocity' and 'scarcity' were the most used persuasive strategies, while 'commitment and consistency' and 'consensus' were the least favorable persuasion principles in these ads. The analysis of the Iranian ELT-related ads indicated that the language used within this context is purposeful and strategic. A contextual investigation of the ELT-related ads on social media can meaningfully contribute to social practices underlying English language pedagogy and digital literacy.</t>
  </si>
  <si>
    <t>[Moghaddam, Mostafa Morady; Esmaeilpour, Faeze] Shahrood Univ Technol, Dept English, Shahrood, Iran</t>
  </si>
  <si>
    <t>Shahrood University of Technology</t>
  </si>
  <si>
    <t>Moghaddam, MM (corresponding author), Shahrood Univ Technol, Dept English, Shahrood, Iran.</t>
  </si>
  <si>
    <t>mmoghaddam@shahroodut.ac.ir; faeze.esmaeilpour@gmail.com</t>
  </si>
  <si>
    <t>Morady Moghaddam, Mostafa/AAM-8019-2021</t>
  </si>
  <si>
    <t>Morady Moghaddam, Mostafa/0000-0002-7939-7105</t>
  </si>
  <si>
    <t>0090-6905</t>
  </si>
  <si>
    <t>1573-6555</t>
  </si>
  <si>
    <t>J PSYCHOLINGUIST RES</t>
  </si>
  <si>
    <t>J. Psycholinguist. Res.</t>
  </si>
  <si>
    <t>10.1007/s10936-023-09942-7</t>
  </si>
  <si>
    <t>Linguistics; Psychology, Experimental</t>
  </si>
  <si>
    <t>Linguistics; Psychology</t>
  </si>
  <si>
    <t>O9IT0</t>
  </si>
  <si>
    <t>WOS:000940730800001</t>
  </si>
  <si>
    <t>Ovalles-Pabon, FO; Ibarra-Caceres, TY; Gomez-Peñuela, JA; Peña-Peña, LA; Leal-Molina, LP; Haro-Martinez, ML; Cortes-Gonzalez, Y; Hernandez-Quintero, AF; Chacon-Chinchilla, AE; Arevalo-Caceres, DJ; Echeverry-Bustamante, E; Ortega-Rozo, W</t>
  </si>
  <si>
    <t>Ovalles-Pabon, F. O.; Ibarra-Caceres, T. Y.; Gomez-Penuela, J. A.; Pena-Pena, L. A.; Leal-Molina, L. P.; Haro-Martinez, M. L.; Cortes-Gonzalez, Y.; Hernandez-Quintero, A. F.; Chacon-Chinchilla, A. E.; Arevalo-Caceres, D. J.; Echeverry-Bustamante, E.; Ortega-Rozo, W.</t>
  </si>
  <si>
    <t>Implementation of a Communication and Multimedia Integration Tool to Promote the Birdwatching Tourism Product in the Municipality of Arboledas in Norte de Santander, Colombia</t>
  </si>
  <si>
    <t>Norte de Santander has 747 bird species registered, that is, this region has 7.5% of the existing birds on earth. However, to date, there is no innovative development involving a process of research and survey of the ornithological digital record of any region of our department so that a tourist service provider can professionally and responsibly offer to the national or international market. Norte de Santander has 39.5% of the bird species recorded in the country, and Colombia has approximately 20% of the world's birds, being the number one in this biodiversity. The general purpose of this work is to develop an application of multimedia integration and digital communication to promote bird-based tourism through the characterization of a Digital Ornithological Inventory. The methodology used is based on the logical framework matrix with elements of the adjusted general methodology (AMM) for public investment projects, and the main results obtained are: the characterization of three (3) trails and more than 30 species of birds for communication and construction of the website pajareando.co and its integration with social networks Facebook, Instagram, YouTube and TikTok in image products in photography, audio podcasts and video as reels, IGTV, Facebook watch and vlog.</t>
  </si>
  <si>
    <t>[Ovalles-Pabon, F. O.; Ibarra-Caceres, T. Y.; Gomez-Penuela, J. A.; Haro-Martinez, M. L.; Arevalo-Caceres, D. J.] Serv Nacl Aprendizaje SENA, Cucuta, Colombia; [Pena-Pena, L. A.] Univ Pamplona, Pamplona, Colombia; [Leal-Molina, L. P.] El Medio Proyectos Audiovisuales, Cucuta, Colombia; [Cortes-Gonzalez, Y.; Hernandez-Quintero, A. F.; Chacon-Chinchilla, A. E.] Fdn Estudios Super Comfanorte FESC, Cucuta, Colombia; [Ortega-Rozo, W.] Pajareando Co, Cucuta, Colombia</t>
  </si>
  <si>
    <t>Servicio Nacional de Aprendizaje</t>
  </si>
  <si>
    <t>Ovalles-Pabon, FO (corresponding author), Serv Nacl Aprendizaje SENA, Cucuta, Colombia.</t>
  </si>
  <si>
    <t>fovallesp@sena.edu.co; tibarra@sena.edu.co; jagomez5095@misena.edu.co; luis.pena21@unipamplona.edu.co; mlharo@misena.edu.co; turismo@fesc.edu.co; est_af_hernandez@fesc.edu.co; est_ae_chacon@fesc.edu.co; djarevalo7@misena.edu.co; gerencia@viajesjumbo.com</t>
  </si>
  <si>
    <t>Pena, Luis Alberto/0000-0002-9110-2664</t>
  </si>
  <si>
    <t>2021 SGPS call of Sennova SENA [8134]</t>
  </si>
  <si>
    <t>2021 SGPS call of Sennova SENA</t>
  </si>
  <si>
    <t>This project was carried out with financial resources from the 2021 SGPS call of Sennova SENA with id. 8134 for an approximate value of USD $20000 with the participation of the partners Servicio Nacional de Aprendizaje SENA, Fundacion de Estudios Superiores de Comfanorte FESC, Viajes Jumbo and the Mayor's Office of Arboledas.</t>
  </si>
  <si>
    <t>10.1007/978-981-19-6347-6_9</t>
  </si>
  <si>
    <t>WOS:000921943800009</t>
  </si>
  <si>
    <t>Guo, FP; Wang, ZF; Wang, XP; Lu, QB; Ji, SB</t>
  </si>
  <si>
    <t>Guo, Feipeng; Wang, Zifan; Wang, Xiaopeng; Lu, Qibei; Ji, Shaobo</t>
  </si>
  <si>
    <t>Dual-view multi-modal contrastive learning for graph-based recommender systems</t>
  </si>
  <si>
    <t>COMPUTERS &amp; ELECTRICAL ENGINEERING</t>
  </si>
  <si>
    <t>Multi -modal; Self -supervised learning; Recommender systems; Contrastive learning; Graph neural network</t>
  </si>
  <si>
    <t>Personalized recommender systems play a crucial role in various online content-sharing platforms (e.g., TikTok). The learning of representations for multi-modal content is pivotal in current graphbased recommender systems. Existing works aim to enhance recommendation accuracy by leveraging multi-modal features (e.g., image, sound, text) as side information for items. However, this approach falls short in fully discerning users' fine-grained preferences across different modalities. To tackle this limitation, this paper introduces the Dual-view Multi-Modal contrastive learning Recommendation model (DMM-Rec). DMM-Rec employs self-supervised learning to guide the learning of user and item representations within the multi-modal context. Specifically, to capture users' preferences for different modalities, we propose specific-modal contrastive learning. Simultaneously, to capture users' cross-modal preferences, cross-modal contrastive learning is introduced to uncover interdependencies in users' preferences across modalities. The contrastive learning tasks not only adaptively explore potential relations between modalities but also address the data sparsity challenge in recommender systems. Extensive experiments conducted on three datasets and compared against ten baselines demonstrate that DMM-Rec outperforms the strongest baseline by an average of 6.81%. These results underscore the effectiveness of considering multi-modal content in improving recommender systems.</t>
  </si>
  <si>
    <t>[Guo, Feipeng; Wang, Zifan] Zhejiang Gongshang Univ, Sch Management &amp; E Business, Hangzhou 310018, Peoples R China; [Guo, Feipeng; Wang, Zifan; Wang, Xiaopeng] Zhejiang Gongshang Univ, Modern Business Res Ctr, Hangzhou 310018, Peoples R China; [Wang, Xiaopeng] Zhejiang Gongshang Univ, Sch Business Adm, Hangzhou 310018, Peoples R China; [Lu, Qibei] Zhejiang Int Studies Univ, Sch Int Business, Hangzhou 310023, Peoples R China; [Ji, Shaobo] Carleton Univ, Sprott Sch Business, Ottawa, ON K1S 5B6, Canada</t>
  </si>
  <si>
    <t>Zhejiang Gongshang University; Zhejiang Gongshang University; Zhejiang Gongshang University; Zhejiang International Studies University; Carleton University</t>
  </si>
  <si>
    <t>Wang, ZF (corresponding author), Zhejiang Gongshang Univ, Sch Management &amp; E Business, Hangzhou 310018, Peoples R China.</t>
  </si>
  <si>
    <t>21020200029@pop.zjgsu.edu.cn</t>
  </si>
  <si>
    <t>Ji, Shaobo/V-8302-2018</t>
  </si>
  <si>
    <t>National Social Science Fund of China [23BGL306]</t>
  </si>
  <si>
    <t>Acknowledgements This work was supported by the National Social Science Fund of China (No. 23BGL306) .</t>
  </si>
  <si>
    <t>0045-7906</t>
  </si>
  <si>
    <t>1879-0755</t>
  </si>
  <si>
    <t>COMPUT ELECTR ENG</t>
  </si>
  <si>
    <t>Comput. Electr. Eng.</t>
  </si>
  <si>
    <t>10.1016/j.compeleceng.2024.109213</t>
  </si>
  <si>
    <t>Computer Science, Hardware &amp; Architecture; Computer Science, Interdisciplinary Applications; Engineering, Electrical &amp; Electronic</t>
  </si>
  <si>
    <t>QL6S6</t>
  </si>
  <si>
    <t>WOS:001221074600001</t>
  </si>
  <si>
    <t>Endo, K; Tsuchida, S; Fukusato, T; Igarashi, T</t>
  </si>
  <si>
    <t>Endo, Koki; Tsuchida, Shuhei; Fukusato, Tsukasa; Igarashi, Takeo</t>
  </si>
  <si>
    <t>Automatic Dance Video Segmentation for Understanding Choreography</t>
  </si>
  <si>
    <t>PROCEEDINGS OF THE 9TH INTERNATIONAL CONFERENCE ON MOVEMENT AND COMPUTING, MOCO 2024</t>
  </si>
  <si>
    <t>9th International Conference on Movement and Computing (MOCO) - Beyond Control</t>
  </si>
  <si>
    <t>MAY 30-JUN 02, 2024</t>
  </si>
  <si>
    <t>Utrecht Univ, Utrecht, NETHERLANDS</t>
  </si>
  <si>
    <t>Dept Media &amp; Culture Studies,Res Grp Media &amp; Performance,Utrecht Univ, Inst Cultural Inquiry,SPRING Performing Arts Festival</t>
  </si>
  <si>
    <t>Utrecht Univ</t>
  </si>
  <si>
    <t>dance practice; video segmentation; temporal convolutional networks</t>
  </si>
  <si>
    <t>Segmenting dance video into short movements is a popular way to easily understand dance choreography. However, it is currently done manually and requires a significant amount of effort by experts. That is, even if many dance videos are available on social media (e.g., TikTok and YouTube), it remains difficult for people, especially novices, to casually watch short video segments to practice dance choreography. In this paper, we propose a method to automatically segment a dance video into each movement. Given a dance video as input, we first extract visual and audio features: the former is computed from the keypoints of the dancer in the video, and the latter is computed from the Mel spectrogram of the music in the video. Next, these features are passed to a Temporal Convolutional Network (TCN), and segmentation points are estimated by picking peaks of the network output. To build our training dataset, we annotate segmentation points to dance videos in the AIST Dance Video Database, which is a shared database containing original street dance videos with copyright-cleared dance music. The evaluation study shows that the proposed method (i.e., combining the visual and audio features) can estimate segmentation points with high accuracy. In addition, we developed an application to help dancers practice choreography using the proposed method.</t>
  </si>
  <si>
    <t>[Endo, Koki; Igarashi, Takeo] Univ Tokyo, Tokyo, Japan; [Tsuchida, Shuhei] Ochanomizu Univ, Tokyo, Japan; [Fukusato, Tsukasa] Waseda Univ, Tokyo, Japan</t>
  </si>
  <si>
    <t>University of Tokyo; Ochanomizu University; Waseda University</t>
  </si>
  <si>
    <t>Endo, K (corresponding author), Univ Tokyo, Tokyo, Japan.</t>
  </si>
  <si>
    <t>endo-koki@is.s.u-tokyo.ac.jp; tsuchida.shuhei@ocha.ac.jp; tsukasafukusato@waseda.jp; takeo@acm.org</t>
  </si>
  <si>
    <t>; Tsuchida, Shuhei/F-2607-2017</t>
  </si>
  <si>
    <t>Endo, Koki/0009-0003-4072-525X; Fukusato, Tsukasa/0000-0002-5090-1443; Tsuchida, Shuhei/0000-0003-1635-2257</t>
  </si>
  <si>
    <t>JST, CREST [JP-MJCR17A1]; JSPS [23K17022]</t>
  </si>
  <si>
    <t>JST, CREST(Japan Science &amp; Technology Agency (JST)Core Research for Evolutional Science and Technology (CREST)); JSPS(Ministry of Education, Culture, Sports, Science and Technology, Japan (MEXT)Japan Society for the Promotion of Science)</t>
  </si>
  <si>
    <t>This work was supported by JST, CREST Grant Number JP-MJCR17A1, and JSPS Grant-in-Aid 23K17022, Japan.</t>
  </si>
  <si>
    <t>979-8-4007-0994-4</t>
  </si>
  <si>
    <t>10.1145/3658852.3659076</t>
  </si>
  <si>
    <t>Computer Science, Artificial Intelligence; Computer Science, Cybernetics; Dance</t>
  </si>
  <si>
    <t>Computer Science; Dance</t>
  </si>
  <si>
    <t>BX2KM</t>
  </si>
  <si>
    <t>WOS:001263801200006</t>
  </si>
  <si>
    <t>Smith, C; Mansouri, M</t>
  </si>
  <si>
    <t>Smith, Cole; Mansouri, Mo</t>
  </si>
  <si>
    <t>Understanding the Social Media Problem: A Systems Thinking Exercise</t>
  </si>
  <si>
    <t>18TH ANNUAL IEEE INTERNATIONAL SYSTEMS CONFERENCE, SYSCON 2024</t>
  </si>
  <si>
    <t>Annual IEEE Systems Conference</t>
  </si>
  <si>
    <t>18th Annual IEEE International Systems Conference (SysCon)</t>
  </si>
  <si>
    <t>APR 15-18, 2024</t>
  </si>
  <si>
    <t>Montreal, CANADA</t>
  </si>
  <si>
    <t>Social Media; stakeholder analysis; systems thinking</t>
  </si>
  <si>
    <t>This paper applies a Systems Thinking methodology to analyze the emerging Social Media System of Systems (SoS). Since the rise of platforms like Facebook, X (formerly known as Twitter), Instagram and TikTok, the overall effects of them on society at large remain unclear. While there have been numerous studies that outline their potential effects on individuals and populations, few examine the landscape that has created this failing system in the first place. Identifying and understanding the key stakeholders involved in this complex System of Systems is ultimately the first step in beginning to develop a clear path forward. Through the agent-based analysis identified in this paper, a simplified picture of the system can be developed - one where current gaps are made apparent. Through the collection of inherent self-interests, stakeholder goal alignment, and available technology, it is made clear how the system came to be. In addition, this paper also discusses real-time case studies involving the Social Media platforms X and Reddit, that will ultimately test the framework established in this paper. By identifying the complex relationships underpinning the Social Media System of Systems, it is hoped that corrective actions can be taken to prevent the failed system from sliding further.</t>
  </si>
  <si>
    <t>[Smith, Cole; Mansouri, Mo] Stevens Inst Technol, Hoboken, NJ 07030 USA</t>
  </si>
  <si>
    <t>Smith, C (corresponding author), Stevens Inst Technol, Hoboken, NJ 07030 USA.</t>
  </si>
  <si>
    <t>csmith17@stevens.edu; mo.mansouri@stevens.edu</t>
  </si>
  <si>
    <t>1944-7620</t>
  </si>
  <si>
    <t>979-8-3503-5881-0; 979-8-3503-5880-3</t>
  </si>
  <si>
    <t>ANN IEEE SYST CONF</t>
  </si>
  <si>
    <t>10.1109/SysCon61195.2024.10553468</t>
  </si>
  <si>
    <t>Computer Science, Theory &amp; Methods; Engineering, Multidisciplinary</t>
  </si>
  <si>
    <t>BX2EY</t>
  </si>
  <si>
    <t>WOS:001259228200035</t>
  </si>
  <si>
    <t>Fitzgerald, K; Vandenbosch, L; Tabruyn, T</t>
  </si>
  <si>
    <t>Fitzgerald, Kaitlin; Vandenbosch, Laura; Tabruyn, Toon</t>
  </si>
  <si>
    <t>Adolescent Emotional Expression on Social Media: A Data Donation Study Across Three European Countries</t>
  </si>
  <si>
    <t>AFFECTIVE SCIENCE</t>
  </si>
  <si>
    <t>Adolescent; Emotion; Social media; Data donation</t>
  </si>
  <si>
    <t>SELF-PRESENTATION; NETWORK SITES; ONLINE; INSTAGRAM; FACEBOOK; WOMEN</t>
  </si>
  <si>
    <t>This data donation study explores how adolescents express emotions on social media, and how this expression varies by platform (Instagram, Snapchat, and TikTok) and posting modality (permanent and ephemeral content). Adolescents from Belgium (n = 115), France (n = 146), and Slovenia (n = 119) donated screenshots from their social media accounts, including their bios, most recent posts, and most recent stories. These screenshots were coded for both textual references to positive and negative emotion words and emojis, and visual expressions of positive and negative emotion. This data was then linked to the adolescents' survey responses about their life satisfaction. The results showed a prevalence of positive emotional displays, both in text and visuals. Gender differences were evident, with girls more likely than boys to reference and express positive emotions. Additionally, a marginal difference was observed among countries: Slovenian participants showed fewer positive emotional references compared to Belgian and French participants. No significant links were found between online emotional expressions and life satisfaction. While this study offers initial insights into adolescents' real online emotional behavior, future research should explore motivations and sociocultural influences, addressing gaps in understanding how individual and contextual factors impact social media use among adolescents.</t>
  </si>
  <si>
    <t>[Fitzgerald, Kaitlin] Cornell Univ, Coll Human Ecol, Ithaca, NY 14850 USA; [Vandenbosch, Laura; Tabruyn, Toon] Katholieke Univ Leuven, Mediapsychol Lab, Leuven, Belgium</t>
  </si>
  <si>
    <t>Cornell University; KU Leuven</t>
  </si>
  <si>
    <t>Fitzgerald, K (corresponding author), Cornell Univ, Coll Human Ecol, Ithaca, NY 14850 USA.</t>
  </si>
  <si>
    <t>kf368@cornell.edu</t>
  </si>
  <si>
    <t>Tabruyn, Toon/0009-0005-7957-4203; Vandenbosch, Laura/0000-0001-6834-8386</t>
  </si>
  <si>
    <t>European Research Council [852317]; European Research Council (ERC) [852317] Funding Source: European Research Council (ERC)</t>
  </si>
  <si>
    <t>This work was supported by the European Research Council (Grant agreement No. 852317; see www. proje ctmim ic. eu for more information about this project)</t>
  </si>
  <si>
    <t>2662-2041</t>
  </si>
  <si>
    <t>2662-205X</t>
  </si>
  <si>
    <t>AFFECT SCI</t>
  </si>
  <si>
    <t>Affect. Sci.</t>
  </si>
  <si>
    <t>10.1007/s42761-024-00259-9</t>
  </si>
  <si>
    <t>Psychology; Psychology, Experimental</t>
  </si>
  <si>
    <t>E9M3N</t>
  </si>
  <si>
    <t>WOS:001306164000001</t>
  </si>
  <si>
    <t>Callesano, S</t>
  </si>
  <si>
    <t>Callesano, Salvatore</t>
  </si>
  <si>
    <t>Mediated Bricolage and the Sociolinguistic Co-Construction of No Sabo Kids</t>
  </si>
  <si>
    <t>LANGUAGES</t>
  </si>
  <si>
    <t>indexicality; enregisterment; bricolage; Latinx language; heritage Spanish; hashtag community; bilingualism</t>
  </si>
  <si>
    <t>LANGUAGE; SPANISH; ENREGISTERMENT; IDEOLOGIES; DIVERSITY; STYLE</t>
  </si>
  <si>
    <t>Sociolinguistic styles and the resultant ascribed identities are understood as the product of simultaneous variables, leading to the notion of bricolage, or the co-occurrence of variables and their collective indexical meanings. Relatively little attention has been paid to these processes as they manifest on social media platforms. The goal of the current paper is to understand which linguistic and thematic features co-occur in the online production of the no sabo kid style and identity, which manifests as a form of linguistic discrimination towards U.S. Latinx youth. Hashtag communities were used to locate posts about no sabo kids on TikTok (N = 95), and videos were automatically and manually coded for salient linguistic and discursive resources in the online no sabo kid community. The results show the co-occurrence of code-switching and phonological and lexical variation, alongside discursive themes, namely 'proficiency', 'ethnicity', and 'performative lexical gaps'. I argue that the no sabo kid hashtag community is a mediated manifestation of ideologies surrounding U.S. Latinx bilinguals, where a supposed lack of proficiency in Spanish and grammatical blending of Spanish and English index inauthentic ethnicity. Mediated instantiations of sociolinguistic styles shed light on how linguistic features become enregistered through multimodality and semiotic bricolage.</t>
  </si>
  <si>
    <t>[Callesano, Salvatore] Univ Illinois, Dept Spanish &amp; Portuguese, Urbana, IL 61801 USA</t>
  </si>
  <si>
    <t>Callesano, S (corresponding author), Univ Illinois, Dept Spanish &amp; Portuguese, Urbana, IL 61801 USA.</t>
  </si>
  <si>
    <t>scalle@illinois.edu</t>
  </si>
  <si>
    <t>Callesano, Salvatore/AAA-4883-2021</t>
  </si>
  <si>
    <t>Callesano, Salvatore/0000-0002-6312-9608</t>
  </si>
  <si>
    <t>I extend my gratitude to Joshua Brown for his assistance with Python and the computational tools used for data collection and coding. I am also grateful to the two anonymous reviewers, as well as Whitney Chappell and Sonia Barnes, for their constructive fe</t>
  </si>
  <si>
    <t>I extend my gratitude to Joshua Brown for his assistance with Python and the computational tools used for data collection and coding. I am also grateful to the two anonymous reviewers, as well as Whitney Chappell and Sonia Barnes, for their constructive feedback.</t>
  </si>
  <si>
    <t>2226-471X</t>
  </si>
  <si>
    <t>LANGUAGES-BASEL</t>
  </si>
  <si>
    <t>Languages-Basel</t>
  </si>
  <si>
    <t>10.3390/languages8030206</t>
  </si>
  <si>
    <t>T5JF6</t>
  </si>
  <si>
    <t>WOS:001078341300001</t>
  </si>
  <si>
    <t>Dera, J; Brouwer, S; Welling, A</t>
  </si>
  <si>
    <t>Dera, Jeroen; Brouwer, Susanne; Welling, Anna</t>
  </si>
  <si>
    <t>#BookTok's appeal on ninth-grade students: An inquiry into students' responses on a social media revelation</t>
  </si>
  <si>
    <t>#BookTok; literacy promotion; online reading cultures; recreational reading</t>
  </si>
  <si>
    <t>READING MOTIVATION; SELF-DETERMINATION</t>
  </si>
  <si>
    <t>Over the last years, the hashtag #BookTok has been viewed more than 100 billion times on TikTok. Hence, both scholars and practitioners have plead for integrating #BookTok in the literacy classroom, expressing the hope that this digital subculture might flip adolescents' conceptions of reading and improve their reading motivation. This article presents the first empirical inquiry into students' evaluations of #BookTok in an educational context. Reporting a survey study among 142 ninth-grade students in the Netherlands, who were introduced to #BookTok through a compilation video featuring the most popular Dutch #BookTokers, the article shows that the phenomenon especially appeals to students who already read for pleasure frequently. Evaluations by book avoiders, on the other hand, were overwhelmingly negative. Promisingly, though, students who can be described as book doubters, who do not read often despite a relatively positive reading attitude, frequently reported an intention to use #BookTok, both in leisurely and educational settings. Hence, the article argues that integrating #BookTok in literacy education might especially serve students fitting the book doubter persona. At the same time, the results underline the importance of differentiation in the literacy classroom, also regarding the use of #BookTok.</t>
  </si>
  <si>
    <t>[Dera, Jeroen; Brouwer, Susanne; Welling, Anna] Radboud Univ Nijmegen, Dept Modern Languages &amp; Cultures, Nijmegen, Netherlands</t>
  </si>
  <si>
    <t>Radboud University Nijmegen</t>
  </si>
  <si>
    <t>Dera, J (corresponding author), Radboud Univ Nijmegen, Dept Modern Languages &amp; Cultures, Nijmegen, Netherlands.</t>
  </si>
  <si>
    <t>jeroen.dera@ru.nl; susanne.brouwer@ru.nl; anna.welling@ru.nl</t>
  </si>
  <si>
    <t>Brouwer, Susanne/AEU-3989-2022</t>
  </si>
  <si>
    <t>Dutch Research Council (NWO) [VI.Veni.201C.046]</t>
  </si>
  <si>
    <t>&amp; nbsp;This study (publication) is part of the project Uses of Literature in Classroom: Legitimizing Literature in Upper-Secondary Education (with project number VI.Veni.201C.046 of the research programme VENI-SGW) which is (partly) financed by the Dutch Research Council (NWO).</t>
  </si>
  <si>
    <t>2023 JUL 19</t>
  </si>
  <si>
    <t>10.1002/jaal.1303</t>
  </si>
  <si>
    <t>M7KH4</t>
  </si>
  <si>
    <t>WOS:001031963800001</t>
  </si>
  <si>
    <t>Lindholm, J; Eklund, J; Strandberg, K; Carlson, T; Andersson, S</t>
  </si>
  <si>
    <t>Lindholm, Jenny; Eklund, Jesper; Strandberg, Kim; Carlson, Tom; Andersson, Soeren</t>
  </si>
  <si>
    <t>Beyond negativity? A laboratory study on emotional responses to populist strategies on social media</t>
  </si>
  <si>
    <t>right-wing populism; social media; laboratory study; emotional responses; facial expression; self-reports</t>
  </si>
  <si>
    <t>POLITICAL COMMUNICATION STYLE; AFFECTIVE POLARIZATION; FACIAL EXPRESSION; PERSONALIZATION; PERCEPTION; IDENTITY; LEADERS</t>
  </si>
  <si>
    <t>This exploratory laboratory study analyzes emotional responses to two types of populist strategies on social media platforms. We focus on emotional responses to content expressing ordinariness (on Instagram) and victimhood (on TikTok), where the content creator is a right-wing populist leader who is unfavorably perceived by the respondents in the study. Thus, the study critically tests the effectiveness of de-demonization strategies used by populist leaders to diversify the electorate. The research employs a combination of facial expressions analysis and two self-report measures of emotions to investigate the emotional responses elicited by populist strategies in individuals belonging to an out-group. Additionally, we examine the interrelation between psychophysiological measures and self-reported emotions. In doing so, the study makes a methodological contribution by advancing our understanding of emotional response processes and the methodologies employed to measure emotional responses. The results reveal positive and negative emotional responses, challenging the prevailing emphasis on negative emotions in response to out-group communication. However, the facial expressions and the self-reported emotions do not correlate. Our interpretation underscores the role of cognitive reasoning processes in differentiating emotional responses to political out-group social media content.</t>
  </si>
  <si>
    <t>[Lindholm, Jenny; Eklund, Jesper; Strandberg, Kim; Carlson, Tom] Abo Akad Univ, Dept Polit Sci Media &amp; Commun, Vaasa, Finland; [Andersson, Soeren] Abo Akad Univ, Experience Lab, Vaasa, Finland</t>
  </si>
  <si>
    <t>Abo Akademi University; Abo Akademi University</t>
  </si>
  <si>
    <t>Lindholm, J (corresponding author), Abo Akad Univ, Dept Polit Sci Media &amp; Commun, Vaasa, Finland.</t>
  </si>
  <si>
    <t>jenny.lindholm@abo.fi</t>
  </si>
  <si>
    <t>Lindholm, Jenny/KGL-2349-2024</t>
  </si>
  <si>
    <t>Lindholm, Jenny/0000-0001-5168-6274; Eklund, Jesper/0009-0004-1355-6080; Andersson, Soren/0000-0003-0418-185X</t>
  </si>
  <si>
    <t>Research Council of Finland</t>
  </si>
  <si>
    <t>Research Council of Finland(Research Council of Finland)</t>
  </si>
  <si>
    <t>10.3389/fpos.2024.1415403</t>
  </si>
  <si>
    <t>YM0G6</t>
  </si>
  <si>
    <t>WOS:001268781200001</t>
  </si>
  <si>
    <t>Zitri, I; Rifaid; Lestanata, Y; Kurniawan, C</t>
  </si>
  <si>
    <t>Zitri, Ilham; Rifaid; Lestanata, Yudhi; Kurniawan, Cahyadi</t>
  </si>
  <si>
    <t>Navigating digital tourism governance: a case study of branding strategies in the Mandalika special economic zones</t>
  </si>
  <si>
    <t>branding; digital tourism governance; special economic zone</t>
  </si>
  <si>
    <t>The purpose of this research is to analyze how digital Tourism on Branding the Mandalika Special Region in West Nusa Tenggara; this investigation uses a descriptive methodology combined with a qualitative approach, as well as previously published literature and online news sources as well as secondary data obtained from related agencies. Most importantly, take advantage of the Nvivo 12 plus program to analyze the data results. The findings of this study indicate that the use of information and communication technology to promote Special Economic Zones through digital tourism, utilizing platforms such as websites, YouTube, Facebook, TikTok, Instagram, and the West Nusa Tenggara Tourism Office website, is a viable strategy for increasing tourism. Indonesian tourism industry. ITDC and National Council of Special Economic Zones websites. Government Regulation Number 52 of 2014 identifies two main focus topics, namely tourism areas and special economic areas, and prioritizes several initiatives. Development management in accordance with statutory regulations. PP Number 40 of 2021 discusses three important things: human resources and infrastructure, two facilities, and SEZ convenience for three commercial organizations. The finding of human resources and infrastructure is considered to be the main driver for branding the Mandalika Special Economic Zone in this policy.</t>
  </si>
  <si>
    <t>[Zitri, Ilham; Rifaid; Lestanata, Yudhi; Kurniawan, Cahyadi] Univ Muhammadiyah Mataram, Dept Govt Studies, Mataram, Indonesia</t>
  </si>
  <si>
    <t>Universitas Muhammadiyah Mataram</t>
  </si>
  <si>
    <t>Zitri, I (corresponding author), Univ Muhammadiyah Mataram, Dept Govt Studies, Mataram, Indonesia.</t>
  </si>
  <si>
    <t>ilham.zitri@ummat.ac.id</t>
  </si>
  <si>
    <t>Zitri, Ilham/AEH-4780-2022</t>
  </si>
  <si>
    <t>Ministry of Education, Research and Technology [0557/E5.5/AL.04/2023]</t>
  </si>
  <si>
    <t>Ministry of Education, Research and Technology</t>
  </si>
  <si>
    <t>Thank you to the research team who helped complete this research process, and thank you also to the Ministry of Education, Research and Technology. Announcement number 0557/E5.5/AL.04/2023 has supported the budget so that this research can be carried out quickly.</t>
  </si>
  <si>
    <t>10.26618/ojip.v14i1.12423</t>
  </si>
  <si>
    <t>QN7T7</t>
  </si>
  <si>
    <t>WOS:001221624100001</t>
  </si>
  <si>
    <t>Tian, XX; Bi, XH; Chen, H</t>
  </si>
  <si>
    <t>Tian, Xiaoxu; Bi, Xinhua; Chen, Hao</t>
  </si>
  <si>
    <t>How short-form video features influence addiction behavior? Empirical research from the opponent process theory perspective</t>
  </si>
  <si>
    <t>INFORMATION TECHNOLOGY &amp; PEOPLE</t>
  </si>
  <si>
    <t>Internet addiction; Empirical study; Social media; Partial least squares; Interactive media; Social networking</t>
  </si>
  <si>
    <t>ONLINE GAME ADDICTION; INFORMATION-SYSTEMS; SOCIAL NETWORKING; GAMIFICATION; MOTIVATION; SELF; SATISFACTION; TECHNOLOGY; BENEFITS; FEEDBACK</t>
  </si>
  <si>
    <t>Purpose Considering the popularity and addictive attributes of short-form videos, this study aims to determine mechanisms by which short-form video features affect addiction. Design/methodology/approach This study conducts empirical research using data collected from 382 Chinese TikTok users. Based on the stimulus-organism-response framework, the research model was constructed from the opponent process theory (OPT) perspective through features and emotional elements. Findings The results show that short-form video features influence addiction by activating users' perceived enjoyment and feeling of withdrawal. Based on the positive and negative reinforcement of the OPT, users must repeatedly interact with short-form videos to maintain positive emotions or reduce negative emotions. Eventually, this practice will lead to addiction. Additionally, users' procrastination moderates the relationship between feeling of withdrawal and addiction. Originality/value This study discussed how features influence addiction through opponent emotions on short-form video from the OPT perspective, enriching scholars' research on social media addiction. Furthermore, this study examined the moderating effects of procrastination and identifies unique features of short-form videos.</t>
  </si>
  <si>
    <t>[Tian, Xiaoxu; Bi, Xinhua; Chen, Hao] Jilin Univ, Changchun, Peoples R China</t>
  </si>
  <si>
    <t>Jilin University</t>
  </si>
  <si>
    <t>Bi, XH (corresponding author), Jilin Univ, Changchun, Peoples R China.</t>
  </si>
  <si>
    <t>bixhjlu@163.com</t>
  </si>
  <si>
    <t>Chen, Hao/0000-0002-7092-5506</t>
  </si>
  <si>
    <t>0959-3845</t>
  </si>
  <si>
    <t>1758-5813</t>
  </si>
  <si>
    <t>INFORM TECHNOL PEOPL</t>
  </si>
  <si>
    <t>Inf. Technol. People</t>
  </si>
  <si>
    <t>JAN 13</t>
  </si>
  <si>
    <t>10.1108/ITP-04-2020-0186</t>
  </si>
  <si>
    <t>7U7DN</t>
  </si>
  <si>
    <t>WOS:000763388300001</t>
  </si>
  <si>
    <t>Lu, HR; Xing, LY; Xiao, Y; Zhang, YF; Liao, XJ; Wang, XF; Wang, XA</t>
  </si>
  <si>
    <t>Lu, Haoran; Xing, Luyi; Xiao, Yue; Zhang, Yifan; Liao, Xiaojing; Wang, XiaoFeng; Wang, Xuegiang</t>
  </si>
  <si>
    <t>Demystifying Resource Management Risks in Emerging Mobile App-in-App Ecosystems</t>
  </si>
  <si>
    <t>CCS '20: PROCEEDINGS OF THE 2020 ACM SIGSAC CONFERENCE ON COMPUTER AND COMMUNICATIONS SECURITY</t>
  </si>
  <si>
    <t>ACM SIGSAC Conference on Computer and Communications Security (ACM CCS)</t>
  </si>
  <si>
    <t>NOV 09-13, 2020</t>
  </si>
  <si>
    <t>ACM SIGSAC,Assoc Comp Machinery</t>
  </si>
  <si>
    <t>App-in-App; Access Control; Permission Model; Resource Management; Security Analysis</t>
  </si>
  <si>
    <t>PERMISSIONS</t>
  </si>
  <si>
    <t>App-in-app is a new and trending mobile computing paradigm in which native app-like software modules, called sub-apps, are hosted by popular mobile apps such as Wechat, Baidu, TikTok and Chrome, to enrich the host app's functionalities and to form an all-in-one app ecosystem. Sub-apps access system resources through the host, and their functionalities come close to regular mobile apps (taking photos, recording voices, banking, shopping, etc.). Less clear, however, is whether the host app, typically a third-party app, is capable of securely managing sub-apps and their access to system resources. In this paper, we report the first systematic study on the resource management in app-in-app systems. Our study reveals high-impact security flaws, which allow the adversary to stealthily escalate privilege (e.g., accessing the camera, photo gallery, microphone, etc.) or acquire sensitive data (e.g., location, passwords of Amazon, Google, etc.). To understand the impacts of those flaws, we developed an analysis tool that automatically assesses 11 popular app-in-app platforms on both Android and iOS. Our results brought to light the prevalence of the security flaws. We further discuss the lessons learned and propose mitigation strategies.</t>
  </si>
  <si>
    <t>[Lu, Haoran; Xing, Luyi; Xiao, Yue; Zhang, Yifan; Liao, Xiaojing; Wang, XiaoFeng; Wang, Xuegiang] Indiana Univ, Bloomington, IN 47405 USA</t>
  </si>
  <si>
    <t>Xing, LY (corresponding author), Indiana Univ, Bloomington, IN 47405 USA.</t>
  </si>
  <si>
    <t>haorlu@indiana.edu; luyixing@indiana.edu; xiaoyue@indiana.edu; yz113@indiana.edu; xliao@indiana.edu; xw7@indiana.edu; xw48@indiana.edu</t>
  </si>
  <si>
    <t>Hu, Shaolin/N-1791-2018</t>
  </si>
  <si>
    <t>Wang, Xueqiang/0000-0002-9038-4460; Wang, XiaoFeng/0000-0002-0607-4946</t>
  </si>
  <si>
    <t>NSF [CNS-1618493, 1801432, 1838083]; Direct For Computer &amp; Info Scie &amp; Enginr; Division Of Computer and Network Systems [1801432] Funding Source: National Science Foundation; Div Of Information &amp; Intelligent Systems; Direct For Computer &amp; Info Scie &amp; Enginr [1838083] Funding Source: National Science Foundation</t>
  </si>
  <si>
    <t>NSF(National Science Foundation (NSF)); Direct For Computer &amp; Info Scie &amp; Enginr; Division Of Computer and Network Systems(National Science Foundation (NSF)NSF - Directorate for Computer &amp; Information Science &amp; Engineering (CISE)); Div Of Information &amp; Intelligent Systems; Direct For Computer &amp; Info Scie &amp; Enginr(National Science Foundation (NSF)NSF - Directorate for Computer &amp; Information Science &amp; Engineering (CISE)NSF - Division of Information &amp; Intelligent Systems (IIS))</t>
  </si>
  <si>
    <t>We would like to thank our shepherd Yanick Fratantonio and the anonymous reviewers for their insightful comments. This work is supported in part by the NSF CNS-1618493, 1801432, 1838083.</t>
  </si>
  <si>
    <t>978-1-4503-7089-9</t>
  </si>
  <si>
    <t>10.1145/3372297.3417255</t>
  </si>
  <si>
    <t>BS7XQ</t>
  </si>
  <si>
    <t>WOS:000768470400037</t>
  </si>
  <si>
    <t>Chen, C; Chen, G; Yin, YR; Li, W; Zhang, DX; Zhong, X</t>
  </si>
  <si>
    <t>Chen, Chang; Chen, Ge; Yin, Yiran; Li, Wen; Zhang, Dexiang; Zhong, Xiao</t>
  </si>
  <si>
    <t>Quality assessment of online osteosarcoma-related videos in Mainland China: A cross-sectional study</t>
  </si>
  <si>
    <t>JOURNAL OF ORTHOPAEDIC SURGERY</t>
  </si>
  <si>
    <t>internet; orthopedics; osteosarcoma; TikTok; video platform; level II; cross-sectional study</t>
  </si>
  <si>
    <t>BackgroundInformation about orthopedics diseases on the Internet has not been extensively assessed. Our purpose was to evaluate the quality of online information of osteosarcoma on current video-sharing platforms in mainland China.MethodTikTok and Bilibili were independently queried from June to July 2023 by four independent researchers using the Microsoft Edge web browser. Information about the videos and creators was recorded, and descriptive analyses were conducted.ResultsAfter data extraction, a total of 95 videos were included, in which 43 videos were uploaded by certified doctors (45.3%), with 35 videos (36.8%) uploaded by certified orthopedic surgeons. Of the content of these videos, 78.9% were introduction (n = 75), 64.2% were on professional knowledge (n = 61), 28.4% were on treatment (n = 27), while 5.3% were on surgical techniques (n = 5). The mean DISCERN total score was 43.8 +/- 13.4, and the mean JAMA score was 3.8 +/- 0.3.ConclusionsVideos about osteosarcoma on current video-sharing platforms were extensive, but were not comprehensive and professional. Although current online videos have the potential to improve public awareness on osteosarcoma, due to their quality and content, were not assessed to be good sources for medical education.</t>
  </si>
  <si>
    <t>[Chen, Chang; Li, Wen; Zhang, Dexiang; Zhong, Xiao] Sichuan Univ, People Hosp Ziyang 1, Dept Orthoped, Dept Orthoped,Ziyang Hosp,West China Hosp, Ziyang, Peoples R China; [Chen, Ge; Yin, Yiran] Southwest Med Univ, Dept Orthoped, Affiliated Hosp, Luzhou, Peoples R China; [Chen, Ge] Southwest Med Univ, Dept Orthoped, Affiliated Hosp, 25 Taiping St, Luzhou 646000, Peoples R China</t>
  </si>
  <si>
    <t>Sichuan University; Southwest Medical University; Southwest Medical University</t>
  </si>
  <si>
    <t>Chen, G (corresponding author), Southwest Med Univ, Dept Orthoped, Affiliated Hosp, 25 Taiping St, Luzhou 646000, Peoples R China.</t>
  </si>
  <si>
    <t>1707142602@qq.com</t>
  </si>
  <si>
    <t>1022-5536</t>
  </si>
  <si>
    <t>2309-4990</t>
  </si>
  <si>
    <t>J ORTHOP SURG-HONG K</t>
  </si>
  <si>
    <t>J. Orthop. Surg.</t>
  </si>
  <si>
    <t>10.1177/10225536231224833</t>
  </si>
  <si>
    <t>Orthopedics; Surgery</t>
  </si>
  <si>
    <t>ER6W3</t>
  </si>
  <si>
    <t>WOS:001140699700001</t>
  </si>
  <si>
    <t>Shafirova, L; Sa, MHAE</t>
  </si>
  <si>
    <t>Shafirova, Liudmila; Sa, Maria Helena Araujo e</t>
  </si>
  <si>
    <t>Multilingual encounters in online video practices: the case of Portuguese university students</t>
  </si>
  <si>
    <t>INTERNATIONAL JOURNAL OF MULTILINGUALISM</t>
  </si>
  <si>
    <t>Plurilingual competence; informal learning; multimodal language learning; multilingual videos</t>
  </si>
  <si>
    <t>Watching Netflix, YouTube or TikTok videos are day-to-day activities of young people which can produce different language encounters. We argue that watching videos online opens opportunities for students to use their plurilingual repertoires through different and combined modalities and analysing these practices is useful to construct the multi-situated learning in the classroom. This is an exploratory study that aims to document how Portuguese university students engage in video practices, meaning watching videos, reacting to videos and commenting on videos. In 2022, we issued a questionnaire aimed at all students at the University of Aveiro, collected 212 full responses, and analysed it through descriptive statistics. The results attest to the language diversity of the new media, where English, though dominating, is not the only foreign language used by participants, featuring Spanish, French, Korean and Japanese. To understand these languages, the participants mostly used subtitles in different languages and intercomprehension strategies. The students were confident that they learnt different languages through video practices, especially English and Romance languages. These results indicate that online video practices frequently lead to valuable multilingual and multimodal encounters, hence they could be beneficial to use in the classroom to enrich students' plurilingual repertoires and multiliteracies.</t>
  </si>
  <si>
    <t>[Shafirova, Liudmila; Sa, Maria Helena Araujo e] Univ Aveiro, Educ &amp; Psychol Dept, Aveiro, Portugal; [Shafirova, Liudmila] Univ Aveiro, Educ &amp; Psychol Dept, P-3810193 Aveiro, Portugal</t>
  </si>
  <si>
    <t>Universidade de Aveiro; Universidade de Aveiro</t>
  </si>
  <si>
    <t>Shafirova, L (corresponding author), Univ Aveiro, Educ &amp; Psychol Dept, P-3810193 Aveiro, Portugal.</t>
  </si>
  <si>
    <t>liudmila.shafirova@ua.pt</t>
  </si>
  <si>
    <t>Shafirova, Liudmila/ABH-9418-2020; Araujo e Sa, Maria Helena/C-4252-2014</t>
  </si>
  <si>
    <t>Araujo e Sa, Maria Helena/0000-0002-6623-9642; Shafirova, Liudmila/0000-0003-3743-2029</t>
  </si>
  <si>
    <t>FCT - Fundacao para a Ciencia e a Tecnologia, I.P. [9651/BIPD/CIDTFF/2021, CIDTFF UIDB/00194/2020]; University of Malaga, Spain [B1-2021_33]; Ministry of Science and Innovation, Spain [TED2021-129984A-I00]</t>
  </si>
  <si>
    <t>FCT - Fundacao para a Ciencia e a Tecnologia, I.P.(Fundacao para a Ciencia e a Tecnologia (FCT)); University of Malaga, Spain; Ministry of Science and Innovation, Spain(Ministry of Science and Innovation, Spain (MICINN)Spanish Government)</t>
  </si>
  <si>
    <t>This work is financially supported by National Funds through FCT - Fundacao para a Ciencia e a Tecnologia, I.P. under the postdoctoral fellowship 9651/BIPD/CIDTFF/2021, financed by the CIDTFF - UIDB/00194/2020. This research was also partly supported by the following research projects: SEGUE: Social Media and Video Games in language learning and teaching of student teachers (reference no.: B1-2021_33, University of Malaga, Spain), and DEFINERS: Digital language learning of language teachers (TED2021-129984A-I00, Ministry of Science and Innovation, Spain).</t>
  </si>
  <si>
    <t>1479-0718</t>
  </si>
  <si>
    <t>1747-7530</t>
  </si>
  <si>
    <t>INT J MULTILING</t>
  </si>
  <si>
    <t>Int. J. Multiling.</t>
  </si>
  <si>
    <t>10.1080/14790718.2023.2205142</t>
  </si>
  <si>
    <t>YS2P7</t>
  </si>
  <si>
    <t>WOS:000988230400001</t>
  </si>
  <si>
    <t>Overell, R</t>
  </si>
  <si>
    <t>Overell, Rosemary</t>
  </si>
  <si>
    <t>Don't Worry Darling: The anxious question of what women want after #MeToo?</t>
  </si>
  <si>
    <t>PSYCHOANALYSIS CULTURE &amp; SOCIETY</t>
  </si>
  <si>
    <t>#MeToo; anxiety; Lacanian psychoanalysis; feminism; film theory</t>
  </si>
  <si>
    <t>This article considers 'post-MeToo' media culture through a close reading of Olivia Wilde's 2022 film Don't Worry Darling by drawing primarily on Jacques Lacan's approach to anxiety. #MeToo indexed, in its marking of '#', in its saying, in its hashing out, that the 'me' of feminist subjectivity and the 'too' of a collective form of that subjectivity always bears a marked remainder. There is something which the symbolic will always miss; so too do fantasies of a united feminism, under the signifier '#MeToo' lack. Some years after the #MeToo moment, the movement which it appeared to promise wanes. Revanchist patriarchy surges forth with eruption of #TradWives on TikTok, and the exhaustion of #MeToo in the wake of clapbacks and callouts of 'cancel culture'. This paper returns to the original site where #MeToo irrupted - Hollywood - through a consideration of Don't Worry Darling. Branded a 'feminist psychological thriller in the wake of #MeToo' by director Olivia Wilde, the film presents a trad wife dreamworld governed by a Jordan Peterson like guru. Drawing on Lacan, I argue that Don't Worry Darling, in its spectacular box office failure, surrounding sexual scandal, and in the narrative itself, works as an index of feminist, but also patriarchal, anxieties after #MeToo.</t>
  </si>
  <si>
    <t>[Overell, Rosemary] Univ Otago, Media Film &amp; Commun Programme, Dunedin Otepoti, New Zealand</t>
  </si>
  <si>
    <t>Overell, R (corresponding author), Univ Otago, Media Film &amp; Commun Programme, Dunedin Otepoti, New Zealand.</t>
  </si>
  <si>
    <t>rosemary.overell@otago.ac.nz</t>
  </si>
  <si>
    <t>Overell, Rosemary/E-9854-2015</t>
  </si>
  <si>
    <t>Overell, Rosemary/0000-0001-8808-7638</t>
  </si>
  <si>
    <t>Many thanks to Clint Burnham and Brett Nicholls for their engaged readings of drafts of this article, and colleagues Olivier Jutel, Sabrina Moro, Yuki Watanabe and Catherine Fowler for their inclusion in discussions on all matters #MeToo.</t>
  </si>
  <si>
    <t>1088-0763</t>
  </si>
  <si>
    <t>1543-3390</t>
  </si>
  <si>
    <t>PSYCHOANAL CULT SOC</t>
  </si>
  <si>
    <t>Psychoanal. Cult. Soc.</t>
  </si>
  <si>
    <t>10.1057/s41282-024-00461-5</t>
  </si>
  <si>
    <t>D0P9A</t>
  </si>
  <si>
    <t>WOS:001272941900001</t>
  </si>
  <si>
    <t>Gaenssle, S</t>
  </si>
  <si>
    <t>Gaenssle, Sophia</t>
  </si>
  <si>
    <t>Income distribution and nudity on social media: Attention economics of Instagram stars</t>
  </si>
  <si>
    <t>KYKLOS</t>
  </si>
  <si>
    <t>SEX; COMPETITION; INFORMATION; CREATION; TALENT</t>
  </si>
  <si>
    <t>Social media stars gain star-status with uploads on social media pages like YouTube, TikTok, or Instagram. One of the most popular platforms is Instagram owned by Meta/Facebook. The growing social, cultural, and economic power of so-called influencers raises questions about key drivers of success and, moreover, distribution of income on social media platforms. Instagram has been accused of strategically favoring images with nude content. In order to shed light on this socio-critical aspect, this paper examines the following research questions: Does body exposure drive income success on Instagram? Is there a difference between male and female content in this regard? This paper empirically analyzes 500 top Instagram stars within the categories (1) fashion and beauty, (2) fitness and sports, (3) music, (4) photo and arts, and (5) food and vegan. The data provide information on popularity, posting behavior, and price estimates per post. Using hybrid regression models, the results show indeed positive impact of body exposure on monetary success. Accounts with high level of body exposure achieve higher prices and advertising revenues than accounts with less nudity, regardless of the gender. Regarding gender differences, male content achieves on average higher advertising prices, whereas female accounts provide more branded content and eventually achieve higher advertising revenues.</t>
  </si>
  <si>
    <t>[Gaenssle, Sophia] Erasmus Univ, Erasmus Sch Hist Culture &amp; Commun, Rotterdam, Netherlands</t>
  </si>
  <si>
    <t>Erasmus University Rotterdam - Excl Erasmus MC; Erasmus University Rotterdam</t>
  </si>
  <si>
    <t>Gaenssle, S (corresponding author), Erasmus Univ, Erasmus Sch Hist Culture &amp; Commun, Rotterdam, Netherlands.</t>
  </si>
  <si>
    <t>gaenssle@eshcc.eur.nl</t>
  </si>
  <si>
    <t>Gaenssle, Sophia/AAA-2838-2021</t>
  </si>
  <si>
    <t>Gaenssle, Sophia/0000-0003-1283-3862</t>
  </si>
  <si>
    <t>Ilmenau University of Technology</t>
  </si>
  <si>
    <t>0023-5962</t>
  </si>
  <si>
    <t>1467-6435</t>
  </si>
  <si>
    <t>Kyklos</t>
  </si>
  <si>
    <t>10.1111/kykl.12363</t>
  </si>
  <si>
    <t>EJ4M4</t>
  </si>
  <si>
    <t>WOS:001101728400001</t>
  </si>
  <si>
    <t>Suarez-Alvarez, R; Garcia-Jimenez, A; Catalina-Garcia, B</t>
  </si>
  <si>
    <t>Suarez-Alvarez, Rebeca; Garcia-Jimenez, Antonio; Catalina-Garcia, Beatriz</t>
  </si>
  <si>
    <t>Understanding young's preferences and motivations for following influencers</t>
  </si>
  <si>
    <t>FONSECA-JOURNAL OF COMMUNICATION</t>
  </si>
  <si>
    <t>influencers; social media; young; gender; typology; motivations</t>
  </si>
  <si>
    <t>DIGITAL INFLUENCERS; OPINION LEADER; SOCIAL MEDIA; CELEBRITY; CREDIBILITY; INSTAGRAM; YOUTUBE; GENDER; TIKTOK</t>
  </si>
  <si>
    <t>Thousands of young people are gathering around the content of influencers whose spend hours watching their recommendations and comments on their screens. Thus, the question arises: what types of influencers are they most interested in, what characteristics do influencers possess that motivate them to follow their content, and what are their motivations for doing so? The survey was conducted among 290 young adults (54% boys, 46% girls) between the ages of 18 and 24 between 2 February and 3 March 2022 in order to answer these questions. According to the find ings, boys tend to follow streamers and gamers, whereas girls tend to follow influencers who offer content related to beauty and fashion. Influencers who provide humorous or humorous content are preferred by both genders. Identification with influencers and the possibility of learning from them through their content are the main characteristics valued by boys and girls. A trend can be detected in the way young people are informed, who get information current events through the content offered by influencers . The main motivations are linked to the type of influencer . Boys and girls do it for fun, to pass the time and to learn how to do new things.</t>
  </si>
  <si>
    <t>[Suarez-Alvarez, Rebeca] Univ Rey Juan Carlos, Mostoles, Spain; [Garcia-Jimenez, Antonio] Univ Rey Juan Carlos, Catedrat Periodismo, Mostoles, Spain; [Catalina-Garcia, Beatriz] Univ Rey Juan Carlos, Periodismo, Mostoles, Spain</t>
  </si>
  <si>
    <t>Universidad Rey Juan Carlos; Universidad Rey Juan Carlos; Universidad Rey Juan Carlos</t>
  </si>
  <si>
    <t>Suarez-Alvarez, R (corresponding author), Univ Rey Juan Carlos, Mostoles, Spain.</t>
  </si>
  <si>
    <t>Catalina Garcia, Beatriz/C-1727-2015</t>
  </si>
  <si>
    <t>Plaza de San Benito, 2, SALAMANCA, SPAIN</t>
  </si>
  <si>
    <t>2172-9077</t>
  </si>
  <si>
    <t>FONSECA</t>
  </si>
  <si>
    <t>Fonseca</t>
  </si>
  <si>
    <t>10.48047/fjc.27.01.13</t>
  </si>
  <si>
    <t>WH3Q9</t>
  </si>
  <si>
    <t>WOS:001253944000011</t>
  </si>
  <si>
    <t>Wang, J; Yuan, FJ; Cheng, MY; Jose, JM; Yu, CY; Kong, BB; Wang, ZJ; Hu, B; Li, Z</t>
  </si>
  <si>
    <t>Zhang, W; Tung, A; Zheng, Z; Yang, Z; Wang, X; Guo, H</t>
  </si>
  <si>
    <t>Wang, Jie; Yuan, Fajie; Cheng, Mingyue; Jose, Joemon M.; Yu, Chenyun; Kong, Beibei; Wang, Zhijin; Hu, Bo; Li, Zang</t>
  </si>
  <si>
    <t>TransRec: Learning Transferable Recommendation from Mixture-of-Modality Feedback</t>
  </si>
  <si>
    <t>WEB AND BIG DATA, APWEB-WAIM 2024, PT II</t>
  </si>
  <si>
    <t>8th International Joint Conference on Web and Big Data and Web-Age Information Management (APWeb-WAIM)</t>
  </si>
  <si>
    <t>AUG 30-SEP 01, 2024</t>
  </si>
  <si>
    <t>Jinhua, PEOPLES R CHINA</t>
  </si>
  <si>
    <t>Generic recommendation models; Transfer learning; Mixture-of-modality; Cross-modal recommendation; End-to-end learning</t>
  </si>
  <si>
    <t>As multimedia systems like Tiktok and Youtube become increasingly prevalent, there is a growing demand for effective recommendation techniques. However, current recommendation methods often rely on categorical identity features that cannot be shared between different platforms, making fine-tuning models for new scenarios challenging. Displayed content on these platforms often contain multimedia information, leading to a mixture-of-modality (MoM) feedback scenario. In addition, building an effective RS in platforms with smaller data footprints is challenging. To address these challenges, we propose TransRec, a general-purpose model pre-trained on a large-scale recommendation dataset to learn directly from MoM feedback in an end-to-end training approach. TransRec enables transfer learning across various scenarios without relying on shared users or items and can transfer knowledge across modalities, thereby expanding the range of recommendation tasks it can accomplish. We empirically study TransRec's transferring ability in four real-world recommendation settings from distinct platforms, examining its effects by scaling source and target data size. Our results show that learning neural recommendation models from MoM feedback can realize a promising way to create general-purpose recommender systems. Additionally, we build an MoM dataset (https://github.com/jieWANGforwork/TransRec) for research.</t>
  </si>
  <si>
    <t>[Wang, Jie; Jose, Joemon M.] Univ Glasgow, Glasgow, Lanark, Scotland; [Yuan, Fajie] Westlake Univ, Hangzhou, Peoples R China; [Kong, Beibei; Hu, Bo; Li, Zang] Tencent, PCG, Shenzhen, Peoples R China; [Cheng, Mingyue] USTC, Hefei, Peoples R China; [Wang, Zhijin] Jimei Univ, Xiamen, Peoples R China; [Yu, Chenyun] Sun Yat Sen Univ, Guangzhou, Peoples R China</t>
  </si>
  <si>
    <t>University of Glasgow; Westlake University; Tencent; Chinese Academy of Sciences; University of Science &amp; Technology of China, CAS; Jimei University; Sun Yat Sen University</t>
  </si>
  <si>
    <t>Yuan, FJ (corresponding author), Westlake Univ, Hangzhou, Peoples R China.</t>
  </si>
  <si>
    <t>j.wang.9@research.gla.ac.uk; yuanfajie@westlake.edu.cn; mycheng@mail.ustc.edu.cn; joemon.jose@glasgow.ac.uk; yuchy35@mail.sysu.edu.cn; echokong@tencent.com; zhijinecnu@gmail.com; harryyfhu@tencent.com; gavinzli@tencent.com</t>
  </si>
  <si>
    <t>余, 晨韵/GLU-2047-2022</t>
  </si>
  <si>
    <t>978-981-97-7234-6; 978-981-97-7235-3</t>
  </si>
  <si>
    <t>10.1007/978-981-97-7235-3_13</t>
  </si>
  <si>
    <t>Computer Science, Artificial Intelligence; Computer Science, Theory &amp; Methods; Telecommunications</t>
  </si>
  <si>
    <t>BX6CO</t>
  </si>
  <si>
    <t>WOS:001307700300013</t>
  </si>
  <si>
    <t>Boichuk, O; Lyebyedyeva, Y; Stadnyk, M; Mishchuk, A; Shcherbin, L</t>
  </si>
  <si>
    <t>Boichuk, Oleh; Lyebyedyeva, Yuliya; Stadnyk, Mykola; Mishchuk, Andrii; Shcherbin, Liliia</t>
  </si>
  <si>
    <t>Effectiveness of virtual space in the socialization process of teenagers (under martial law)</t>
  </si>
  <si>
    <t>AMAZONIA INVESTIGA</t>
  </si>
  <si>
    <t>virtualization; social competences; higher education; adolescence; gamification</t>
  </si>
  <si>
    <t>The aim of the research is to study the impact of virtual space on adolescent socialization during the war by analysing the mechanisms of value formation, attitude to war, national identity and other aspects of socialization. The research involved such methods as expert evaluation, questionnaire survey, sociometry, correlation and regression analysis, as well as factor analysis using the maximum likelihood method. The methods of mathematical statistics were used. It was found that 75% of students use social networks every day, and 25% - several times a week. Instagram is the most popular social network among students, which is used by 65% of respondents, followed by Facebook with 30%, and TikTok with 20%. In general, the results of the study showed that the use of virtual space can have both positive and negative consequences for adolescents. These effects may include increased socialization and life satisfaction, but may also include the risk of developing bad habits and involvement in crime. It is important to conduct further research to understand the mechanisms of influence of virtual worlds on adolescent behaviour and to develop strategies to minimize negative consequences. Future research may be aimed at analysing different types of virtual space and their impact on adolescent socialization.</t>
  </si>
  <si>
    <t>[Boichuk, Oleh] Pereyaslav Khmelnitsky State Pedag Univ, Khmelnitsky, Ukraine; [Lyebyedyeva, Yuliya] Res Inst Ukrainian Studies, Sci Secretary, Hist Sci, Kiev, Ukraine; [Stadnyk, Mykola] Res Inst Ukrainian Studies, Kiev, Ukraine; [Mishchuk, Andrii] Vasyl Stefanyk Precarpathian Natl Univ, Fac Hist Polit Sci &amp; Int Relat, Dept Hist Ukraine &amp; Methods Teaching Hist, Ivano Frankivsk, Ukraine; [Shcherbin, Liliia] Vasyl Stefanyk Precarpathian Natl Univ, Fac Hist Polit Sci &amp; Int Relat, Dept World Hist, Ivano Frankivsk, Ukraine</t>
  </si>
  <si>
    <t>Ministry of Education &amp; Science of Ukraine; Vasyl Stefanyk Precarpathian National University; Ministry of Education &amp; Science of Ukraine; Vasyl Stefanyk Precarpathian National University</t>
  </si>
  <si>
    <t>Boichuk, O (corresponding author), Pereyaslav Khmelnitsky State Pedag Univ, Khmelnitsky, Ukraine.</t>
  </si>
  <si>
    <t>Stadnyk, Mykola/JXX-2995-2024; Boicuk, Oleg/IQV-1803-2023; Shcherbin, Liliia/HKV-5712-2023; Yuliya, Lebedeva/GQZ-7854-2022; Mishchuk, Andrii/HKW-7436-2023</t>
  </si>
  <si>
    <t>Boicuk, Oleg/0000-0002-9331-8039; Stadnik, Mikola/0000-0002-4264-8054; Shcherbin, Liliia/0000-0002-4456-6597; Yuliya, Lebedeva/0000-0003-0628-0309; Mishchuk, Andrii/0000-0002-2585-7110</t>
  </si>
  <si>
    <t>Editorial Primmate</t>
  </si>
  <si>
    <t>Caqueta</t>
  </si>
  <si>
    <t>calle 15 1-72 Florencia, Caqueta, COLOMBIA</t>
  </si>
  <si>
    <t>2322-6307</t>
  </si>
  <si>
    <t>AMAZON INVESTIG</t>
  </si>
  <si>
    <t>AMAZON. INVESTIG.</t>
  </si>
  <si>
    <t>10.34069/AI/2023.63.03.25</t>
  </si>
  <si>
    <t>K7QX8</t>
  </si>
  <si>
    <t>WOS:001018360400025</t>
  </si>
  <si>
    <t>Chaturvedi, I; Noel, T; Satapathy, R</t>
  </si>
  <si>
    <t>Chaturvedi, Iti; Noel, Tim; Satapathy, Ranjan</t>
  </si>
  <si>
    <t>Speech Emotion Recognition Using Audio Matching</t>
  </si>
  <si>
    <t>speech classification; data augmentation; deep learning</t>
  </si>
  <si>
    <t>TEXT</t>
  </si>
  <si>
    <t>It has become popular for people to share their opinions about products on TikTok and YouTube. Automatic sentiment extraction on a particular product can assist users in making buying decisions. For videos in languages such as Spanish, the tone of voice can be used to determine sentiments, since the translation is often unknown. In this paper, we propose a novel algorithm to classify sentiments in speech in the presence of environmental noise. Traditional models rely on pretrained audio feature extractors for humans that do not generalize well across different accents. In this paper, we leverage the vector space of emotional concepts where words with similar meanings often have the same prefix. For example, words starting with 'con' or 'ab' signify absence and hence negative sentiments. Augmentations are a popular way to amplify the training data during audio classification. However, some augmentations may result in a loss of accuracy. Hence, we propose a new metric based on eigenvalues to select the best augmentations. We evaluate the proposed approach on emotions in YouTube videos and outperform baselines in the range of 10-20%. Each neuron learns words with similar pronunciations and emotions. We also use the model to determine the presence of birds from audio recordings in the city.</t>
  </si>
  <si>
    <t>[Chaturvedi, Iti; Noel, Tim] James Cook Univ, Coll Sci &amp; Engn, Townsville, Qld 4811, Australia; [Satapathy, Ranjan] Agcy Sci Technol &amp; Res, Inst High Performance Comp, Singapore 138632, Singapore</t>
  </si>
  <si>
    <t>James Cook University; Agency for Science Technology &amp; Research (A*STAR); A*STAR - Institute of High Performance Computing (IHPC)</t>
  </si>
  <si>
    <t>Chaturvedi, I (corresponding author), James Cook Univ, Coll Sci &amp; Engn, Townsville, Qld 4811, Australia.</t>
  </si>
  <si>
    <t>iti.chaturvedi@jcu.edu.au</t>
  </si>
  <si>
    <t>Chaturvedi, Iti/ABH-2061-2021</t>
  </si>
  <si>
    <t>Satapathy, Ranjan/0000-0002-0733-7381; Chaturvedi, Iti/0000-0003-4602-2080</t>
  </si>
  <si>
    <t>10.3390/electronics11233943</t>
  </si>
  <si>
    <t>6X2DL</t>
  </si>
  <si>
    <t>WOS:000896230100001</t>
  </si>
  <si>
    <t>Pedroni, M</t>
  </si>
  <si>
    <t>Pedroni, Marco</t>
  </si>
  <si>
    <t>Two Decades of Fashion Blogging and Influencing: A Critical Overview</t>
  </si>
  <si>
    <t>fashion bloggers; fashion influencers; social influence; social media practitioners; charisma</t>
  </si>
  <si>
    <t>SOCIAL-INFLUENCE; SELF; IDENTITY; FACEBOOK; HISTORY; BLOGS</t>
  </si>
  <si>
    <t>Influencers have monopolized media attention in recent years, the result of a long process lasting two decades dating from the rise of blogging at the beginning of the twenty-first century. In this article, I set out the historical framework in which the social media practitioners known as fashion bloggers and influencers have emerged and developed as relevant players in the field of fashion. I propose a reading of fashion blogging and influencing as a process articulated in four stages between 2000 and 2020. These two decades, marked by a progressive institutionalization of social media practice in the field of fashion, saw the advent of Instagram-based influencers in the second half of the 2010s and their continuing domination of fashion platforms, and TikTok's rise in relevance in the same field during the early 2020s. I first explore the rise of fashion blogs in the early 2000s and the scholarly debate regarding its characteristics. I then frame the transition from blogging to Instagram, not just as a change of platform, but as an opportunity for the invention of a new occupation, the influencer, and the consecration of the business of influence. Lastly, I critically examine the concepts of influence and influencer.</t>
  </si>
  <si>
    <t>[Pedroni, Marco] Univ Ferrara, Sociol Culture &amp; Commun, Ferrara, Italy</t>
  </si>
  <si>
    <t>University of Ferrara</t>
  </si>
  <si>
    <t>Pedroni, M (corresponding author), Univ Ferrara, Sociol Culture &amp; Commun, Ferrara, Italy.</t>
  </si>
  <si>
    <t>marcoluca.pedroni@unife.it</t>
  </si>
  <si>
    <t>Pedroni, Marco/K-7558-2019</t>
  </si>
  <si>
    <t>PEDRONI, MARCO LUCA/0000-0003-1040-5098</t>
  </si>
  <si>
    <t>10.1080/1362704X.2021.2017213</t>
  </si>
  <si>
    <t>F8IV2</t>
  </si>
  <si>
    <t>WOS:000739717100001</t>
  </si>
  <si>
    <t>Kolomeets, M; Chechulin, A</t>
  </si>
  <si>
    <t>Balandin, S</t>
  </si>
  <si>
    <t>Kolomeets, Maxim; Chechulin, Andrey</t>
  </si>
  <si>
    <t>Analysis of the Malicious Bots Market</t>
  </si>
  <si>
    <t>PROCEEDINGS OF THE 2021 29TH CONFERENCE OF OPEN INNOVATIONS ASSOCIATION (FRUCT), VOL 1</t>
  </si>
  <si>
    <t>Proceedings Conference of Open Innovations Association FRUCT</t>
  </si>
  <si>
    <t>29th Conference of Open-Innovations Association (FRUCT)</t>
  </si>
  <si>
    <t>MAY 12-14, 2021</t>
  </si>
  <si>
    <t>Tampere Univ, ELECTR NETWORK</t>
  </si>
  <si>
    <t>IEEE,IEEE Finland,MDPI, Appl Sci,MDPI, Future Internet,Open Innovat Assoc</t>
  </si>
  <si>
    <t>Tampere Univ</t>
  </si>
  <si>
    <t>Social media hots can pose a serious threat by manipulating public opinion. Attempts to detect hots on social networks have resulted in hots becoming more sophisticated. A wide variety of types of bots has appeared, which must be taken into account when developing methods for detecting them. In this paper, we present the classification of the types of hots, which we made after analyzing the offers from hot traders in the market. We studied 1657 offers from 7 companies for 5 social networks: VKontakte, Instagram, Telegram, YouTube, and TikTok. Based on this information and descriptions from bot-traders, we are aggregating the types of hots and their key features. We also perform price analysis for different types of bots for the Russian Internet segment. The results show that the main pricing factors are hot action and bot quality. At the same time for different social networks, they affect pricing in different ways. Also, for messengers and social networks in which recommendation algorithms take into account complex actions more strongly, there is a tendency for higher quality hots to perform more complex actions. While in other social networks, the complexity of the action and the quality of hots are not correlating. The results of this study can he useful for developers of tools for detecting hots and determining the cost of an attack.</t>
  </si>
  <si>
    <t>[Kolomeets, Maxim; Chechulin, Andrey] Russian Acad Sci, St Petersburg Fed Res Ctr, St Petersburg, Russia</t>
  </si>
  <si>
    <t>Russian Academy of Sciences; St. Petersburg Federal Research Center of the Russian Academy of Sciences</t>
  </si>
  <si>
    <t>Kolomeets, M (corresponding author), Russian Acad Sci, St Petersburg Fed Res Ctr, St Petersburg, Russia.</t>
  </si>
  <si>
    <t>kolomeec@comsec.spb.ru; chechulin@comsec.spb.ru</t>
  </si>
  <si>
    <t>Kolomeets, Maxim/F-8621-2017; Chechulin, Andrey/K-7971-2012</t>
  </si>
  <si>
    <t>Kolomeets, Maxim/0000-0002-7873-2733; Chechulin, Andrey/0000-0001-7056-6972</t>
  </si>
  <si>
    <t>Russian Science Foundation [18-71-10094]</t>
  </si>
  <si>
    <t>Russian Science Foundation(Russian Science Foundation (RSF))</t>
  </si>
  <si>
    <t>This research was supported by the Russian Science Foundation under grant number 18-71-10094 in SPC RAS.</t>
  </si>
  <si>
    <t>2305-7254</t>
  </si>
  <si>
    <t>2343-0737</t>
  </si>
  <si>
    <t>978-952-69244-5-8</t>
  </si>
  <si>
    <t>PROC CONF OPEN INNOV</t>
  </si>
  <si>
    <t>Computer Science, Hardware &amp; Architecture; Computer Science, Information Systems</t>
  </si>
  <si>
    <t>BT8HY</t>
  </si>
  <si>
    <t>WOS:000853456200026</t>
  </si>
  <si>
    <t>Yang, MS; Hu, SG; Kpandika, BE; Liu, L</t>
  </si>
  <si>
    <t>Yang, Maosheng; Hu, Shangui; Kpandika, Bagna Essohanam; Liu, Lei</t>
  </si>
  <si>
    <t>Effects of social attachment on social media continuous usage intention: The mediating role of affective commitment</t>
  </si>
  <si>
    <t>HUMAN SYSTEMS MANAGEMENT</t>
  </si>
  <si>
    <t>Social attachment; social media continuous usage intention; affective commitment</t>
  </si>
  <si>
    <t>EXPECTATION-CONFIRMATION MODEL; PLACE ATTACHMENT; MODERATING ROLE; KNOWLEDGE; ADOPTION; DETERMINANTS; ANTECEDENTS; IMPACT; SITE</t>
  </si>
  <si>
    <t>BACKGROUND: Social attachment has been identified as a key antecedent motivating users' social media involvement. However, there is a scarcity of research investigating whether and how three dimensions of social attachment exert impacts on users' continuous usage intention of social media. OBJECTIVE: Based on structural equation model analysis, the current research clarifies the relationships between social attachment, affective commitment and social media continuous usage intention, which unveils the underlying mechanism through which three dimensions of social attachment influence users' continuous usage intention of social media. METHODS: A survey was conducted with 536 informative responses obtained from TikTok public users for hypothesis testing analysis. RESULTS: Results indicate that three dimensions of social attachment (social connections, social dependence and social identity) are all positively related to users' continuous usage intention of social media. Affective commitment partially mediates the relationship between social attachment and users' continuous usage intention of social media. CONCLUSIONS: The current research makes an in-depth study about the underlying mechanism whereby social attachment exerts impacts on social media continuous usage intentionand provides several managerial and theoretical implications. Future research directions are discussed as well.</t>
  </si>
  <si>
    <t>[Yang, Maosheng; Kpandika, Bagna Essohanam] Beijing Jiaotong Univ, Sch Econ &amp; Management, Beijing, Peoples R China; [Hu, Shangui] Anhui Univ Technol, Sch Business, Maanshan 243002, Anhui, Peoples R China; [Liu, Lei] Jiangxi Univ Sci &amp; Technol, Sch Business, Nanchang 243002, Jiangxi, Peoples R China</t>
  </si>
  <si>
    <t>Beijing Jiaotong University; Anhui University of Technology; Jiangxi University of Science &amp; Technology</t>
  </si>
  <si>
    <t>Hu, SG (corresponding author), Anhui Univ Technol, Sch Business, Maanshan 243002, Anhui, Peoples R China.;Liu, L (corresponding author), Jiangxi Univ Sci &amp; Technol, Sch Business, Nanchang 243002, Jiangxi, Peoples R China.</t>
  </si>
  <si>
    <t>stanley@ahut.edu.cn; gxuliulei@163.com</t>
  </si>
  <si>
    <t>National Education Sciences Planning Project of China [BBA190019]; Anhui Provincial Natural Science Foundation [1908085MG238]</t>
  </si>
  <si>
    <t>National Education Sciences Planning Project of China; Anhui Provincial Natural Science Foundation(Natural Science Foundation of Anhui Province)</t>
  </si>
  <si>
    <t>The research was financially supported by 2019' National Education Sciences Planning Project of China under Grant BBA190019 and Anhui Provincial Natural Science Foundation under Grant 1908085MG238.</t>
  </si>
  <si>
    <t>IOS PRESS</t>
  </si>
  <si>
    <t>NIEUWE HEMWEG 6B, 1013 BG AMSTERDAM, NETHERLANDS</t>
  </si>
  <si>
    <t>0167-2533</t>
  </si>
  <si>
    <t>1875-8703</t>
  </si>
  <si>
    <t>HUM SYST MANAGE</t>
  </si>
  <si>
    <t>Hum. Syst. Manag.</t>
  </si>
  <si>
    <t>10.3233/HSM-201057</t>
  </si>
  <si>
    <t>TM4NG</t>
  </si>
  <si>
    <t>WOS:000675527300011</t>
  </si>
  <si>
    <t>Sharevski, F; Zeidieh, A</t>
  </si>
  <si>
    <t>Sharevski, Filipo; Zeidieh, Aziz</t>
  </si>
  <si>
    <t>I Just Didn't Notice It: Experiences with Misinformation Warnings on Social Media amongst Users Who Are Low Vision or Blind</t>
  </si>
  <si>
    <t>NEW SECURITY PARADIGMS WORKSHOP, NSPW 2023</t>
  </si>
  <si>
    <t>New Security Paradigms Workshop (NSPW)</t>
  </si>
  <si>
    <t>SEP 18-21, 2023</t>
  </si>
  <si>
    <t>Segovia, SPAIN</t>
  </si>
  <si>
    <t>ACSA</t>
  </si>
  <si>
    <t>accessibility; blind; low vision; visually impaired; social media; misinformation; soft moderation; warning labels; truth discernment</t>
  </si>
  <si>
    <t>BELIEF; TROLL; NEWS</t>
  </si>
  <si>
    <t>Dealing with misinformation on social media is a complex affair as platforms have to continuously decide whether and how to moderate falsehoods and misleading content. The options available are either hard moderation i.e., content and account removal or soft moderation i.e., substantiate false or misleading posts with misinformation warning labels. These warning labels are implemented as visual frictions with the intention to interrupt the user's immersive experience and nudge them towards a better truth discernment. The choice of visual friction poses the question whether these warning labels are accessible for users who are low vision or blind. From the first accounts of 29 such users in our study, we learned that this is not the case. Excluded as such, the misinformation warning labels we tested on three platforms - Facebook, YouTube, and TikTok - did not help 72.4% of the visually impaired participants towards a better truth discernment. Our participants, therefore, provided useful and actionable recommendations for inclusive design of misinformation warnings that could meaningfully help the overall effort for curbing falsehoods and misleading statements.</t>
  </si>
  <si>
    <t>[Sharevski, Filipo] Depaul Univ, Chicago, IL 60604 USA; [Zeidieh, Aziz] Univ Illinois, Champaign, IL USA</t>
  </si>
  <si>
    <t>DePaul University; University of Illinois System; University of Illinois Urbana-Champaign</t>
  </si>
  <si>
    <t>fsharevs@cdm.depaul.edu; azeidi2@illinois.edu</t>
  </si>
  <si>
    <t>Zeidieh, Aziz/0009-0000-9334-8660; Sharevski, Filipo/0000-0003-3058-7255</t>
  </si>
  <si>
    <t>979-8-4007-1620-1</t>
  </si>
  <si>
    <t>10.1145/3633500.3633502</t>
  </si>
  <si>
    <t>BW4XP</t>
  </si>
  <si>
    <t>WOS:001156849200002</t>
  </si>
  <si>
    <t>Iodice, R; Papapicco, C</t>
  </si>
  <si>
    <t>Iodice, Rossella; Papapicco, Concetta</t>
  </si>
  <si>
    <t>To be a TikToker in COVID-19 Era: An Experience of Social Influence</t>
  </si>
  <si>
    <t>ONLINE JOURNAL OF COMMUNICATION AND MEDIA TECHNOLOGIES</t>
  </si>
  <si>
    <t>Tik Tok social network; virtual group; social influence; quanti-qualitative methodology</t>
  </si>
  <si>
    <t>Social networks are able to interface technological innovation and communication with sociality, thus redesigning the forms, practices, purposes of access and its relationship with everyday life, especially at a time when technology becomes the only way to feel part of a social group, like the COVID-19 period. The general objective of the research is to understand the experience of fruition of the social network Tiktok in the sample of participants, heterogeneous and representative of the reference population. The aim is to assess how the user or the entire social group lives the experience of the social because it is assumed that the result of the above experience can become a new form of social influence. The study aims to answer the following research questions: 1. How do people experience this new social media? 2. Is fun the new form of social influence? The methodology used is quantum-qualitative. It is, in fact, proposed first a Netnographic Analysis of observation and description of the social, and then use an automatic Content Analysis supported by Diatextual Analysis (the qualitative part). The results allow to theorize a different form of social influence, or fun, which becomes characteristic of the social network and the period.</t>
  </si>
  <si>
    <t>[Iodice, Rossella; Papapicco, Concetta] Univ Bari Aldo Moro, Bari, Italy</t>
  </si>
  <si>
    <t>Universita degli Studi di Bari Aldo Moro</t>
  </si>
  <si>
    <t>Iodice, R (corresponding author), Univ Bari Aldo Moro, Bari, Italy.</t>
  </si>
  <si>
    <t>r.iodice2@studenti.uniba.it</t>
  </si>
  <si>
    <t>Papapicco, Concetta/AAG-1834-2019</t>
  </si>
  <si>
    <t>Bastas Publications DOO</t>
  </si>
  <si>
    <t>Podgorica</t>
  </si>
  <si>
    <t>Balsica 47, Podgorica, MONTENEGRO</t>
  </si>
  <si>
    <t>1986-3497</t>
  </si>
  <si>
    <t>ONLINE J COMMUN MEDI</t>
  </si>
  <si>
    <t>Online J. Commun. Media Technol.</t>
  </si>
  <si>
    <t>e202103</t>
  </si>
  <si>
    <t>10.30935/ojcmt/9615</t>
  </si>
  <si>
    <t>SU7YA</t>
  </si>
  <si>
    <t>WOS:000663346700003</t>
  </si>
  <si>
    <t>Momoc, A</t>
  </si>
  <si>
    <t>Momoc, Antonio</t>
  </si>
  <si>
    <t>THE COVID-19 PANDEMIC: A CATALYST FOR INCREASED CONSUMPTION IN TELEVISION AND SOCIAL MEDIA USAGE IN ROMANIA</t>
  </si>
  <si>
    <t>COMMUNICATION TODAY</t>
  </si>
  <si>
    <t>internet; media consumption; news; social media usage; television</t>
  </si>
  <si>
    <t>The general perception is that the COVID-19 pandemic led to significant shifts in social media usage patterns, resulting in increased Internet traffic for communication purposes. This study analyses the use of social media and television by the Romanian population before (in 2018), during (in 2020), and after (in 2023) the COVID-19 lockdown. The results indicate that during and after the lockdown, the most frequently used social networking sites and mobile apps in Romania were Facebook and WhatsApp. TikTok experienced a significant increase in user registrations, surpassing Instagram. Despite the presumption that TV lost market share compared to the Internet, television not only remained the most utilised medium, but TV consumption increased during and after the pandemic. The data was collected by the media agency Dentsu Romania, combining information obtained from BRAT (Biroul Rom &amp; acirc;n de Audit Transmedia) and Dentsu Romania, based on a collection methodology involving online and face-to-face interviews, on a representative sample of the Romanian population. BRAT and Dentsu Romania media consumption data was cross-referenced with information on consumption behaviour monitored through people meters by ARMA (Asociatia Rom &amp; acirc;n &amp; abreve; pentru M &amp; abreve;surarea Audientelor).</t>
  </si>
  <si>
    <t>[Momoc, Antonio] Univ Bucharest, Fac Journalism &amp; Commun Sci, Panduri 90, Bucharest 050663, Romania</t>
  </si>
  <si>
    <t>Momoc, A (corresponding author), Univ Bucharest, Fac Journalism &amp; Commun Sci, Panduri 90, Bucharest 050663, Romania.</t>
  </si>
  <si>
    <t>antonio.momoc@gmail.com</t>
  </si>
  <si>
    <t>ANTONIO, MOMOC/JQI-7144-2023</t>
  </si>
  <si>
    <t>1338-130X</t>
  </si>
  <si>
    <t>COMMUN TODAY</t>
  </si>
  <si>
    <t>Commun. Today</t>
  </si>
  <si>
    <t>10.34135/communicationtoday.2024.Vol.15.No.1.1</t>
  </si>
  <si>
    <t>QC0D1</t>
  </si>
  <si>
    <t>WOS:001218553900001</t>
  </si>
  <si>
    <t>Smith, TJ; Essex, C; Bedford, R</t>
  </si>
  <si>
    <t>Smith, Tim J.; Essex, Claire; Bedford, Rachael</t>
  </si>
  <si>
    <t>Are Movies Making Us Smarter? The Role of Cinematic Evolution in the Flynn Effect</t>
  </si>
  <si>
    <t>PROJECTIONS-THE JOURNAL FOR MOVIES AND MIND</t>
  </si>
  <si>
    <t>cognitive development; evolution; executive function; film; history; film literacy; intelligence; visual attention</t>
  </si>
  <si>
    <t>IMMEDIATE IMPACT; IQ GAINS; TELEVISION; COMPREHENSION; BENEFITS; BEHAVIOR; EXPOSURE; CHILDREN; ADHD; FILM</t>
  </si>
  <si>
    <t>IQ tests have charted massive gains over the last century, known as the Flynn Effect. Over the same period, the time society spends with screens has massively increased and intensified, for example, shorter and closer shots, increasing narrative complexity. In Movies on our Minds (2021), James Cutting suggests a potential bidirectional link between the two ef-fects: generational increase in visual processing abilities led to movie mak-ers increasing the demands their movies place on viewer cognition, which in turn has trained societal visual processing capacity. In this commentary we review the evidence for such a positive association. The evidence in-dicates that increasing screen time may be associated with faster visual processing but also a potentially decreased ability to process this informa-tion (i.e., reduced executive functions). Further, effects may be dependent on the type of screen experience (e.g., developmental appropriateness of content and delivery platform such as TikTok) and other environmental considerations (e.g., socioeconomic status, parenting), suggesting that the factors influencing our evolving media/mind niche may be more complex than originally proposed.</t>
  </si>
  <si>
    <t>[Smith, Tim J.] Birkbeck Univ London, Dept Psychol Sci, Cognit Psychol, London, England; [Smith, Tim J.] Cognit Naturalist Environm CINE Lab, London, England; [Essex, Claire] Birkbeck Univ London, Ctr Brain &amp; Cognit Dev, London, England; [Essex, Claire] Birkbeck Univ London, Psychol, London, England; [Bedford, Rachael] Univ Bath, Dev Psychol, Bath, England; [Bedford, Rachael] Bath Babylab, Bath, England</t>
  </si>
  <si>
    <t>University of London; Birkbeck University London; University of London; Birkbeck University London; University of London; Birkbeck University London; University of Bath</t>
  </si>
  <si>
    <t>Smith, TJ (corresponding author), Birkbeck Univ London, Dept Psychol Sci, Cognit Psychol, London, England.;Smith, TJ (corresponding author), Cognit Naturalist Environm CINE Lab, London, England.</t>
  </si>
  <si>
    <t>tj.smith@bbk.ac.uk</t>
  </si>
  <si>
    <t>Smith, Timothy/AAW-3314-2020; Bedford, Rachael/I-3939-2012</t>
  </si>
  <si>
    <t>Bedford, Rachael/0000-0002-8581-055X</t>
  </si>
  <si>
    <t>1934-9688</t>
  </si>
  <si>
    <t>1934-9696</t>
  </si>
  <si>
    <t>PROJECTIONS</t>
  </si>
  <si>
    <t>Projections</t>
  </si>
  <si>
    <t>10.3167/proj.2023.170107</t>
  </si>
  <si>
    <t>E0BN9</t>
  </si>
  <si>
    <t>WOS:000972293400007</t>
  </si>
  <si>
    <t>Agarwal, M; Saket, S; Mehrotra, R</t>
  </si>
  <si>
    <t>Agarwal, Mohit; Saket, Srijan; Mehrotra, Rishabh</t>
  </si>
  <si>
    <t>MEMER - Multimodal Encoder for Multi-signal Early-stage Recommendations</t>
  </si>
  <si>
    <t>Recommendations; Early stage; Multimodal Semantic</t>
  </si>
  <si>
    <t>FEEDBACK</t>
  </si>
  <si>
    <t>Millions of content gets created daily on platforms like YouTube, Facebook, TikTok etc. Most of such large scale recommender systems are data demanding, thus taking substantial time for content embedding to mature. This problem is aggravated when there is no behavioral data available for new content. Poor quality recommendation for these items lead to user dissatisfaction and short content shelf-life. In this paper we propose a solution MEMER (Multimodal Encoder for Multi-signal Early-stage Recommendations), that utilises the multimodal semantic information of content and uses it to generate better quality embeddings for early-stage items. We demonstrate the flexibility of the framework by extending it to various explicit and implicit user actions. Using these learnt embeddings, we conduct offline and online experiments to verify its effectiveness. The predicted embeddings show significant gains in online early-stage experiments for both videos and images (videos: 44% relative gain in click through rate, 46% relative gain in explicit engagements, 9% relative gain in successful video play, 20% relative reduction in skips, images: 56% relative gain in explicit engagements). This also compares well against the performance of mature embeddings (83.3% RelaImpr (RI) [18] in Successful Video Play, 97.8% RelaImpr in Clicks).</t>
  </si>
  <si>
    <t>[Agarwal, Mohit; Saket, Srijan; Mehrotra, Rishabh] ShareChat, Bangalore, Karnataka, India</t>
  </si>
  <si>
    <t>Agarwal, M (corresponding author), ShareChat, Bangalore, Karnataka, India.</t>
  </si>
  <si>
    <t>mohitagarwal@sharechat.co; srijan@sharechat.co; rishabhmehrotra@sharechat.co</t>
  </si>
  <si>
    <t>Saket, Srijan/0009-0006-9460-1203</t>
  </si>
  <si>
    <t>10.1145/3543873.3587679</t>
  </si>
  <si>
    <t>WOS:001124276300158</t>
  </si>
  <si>
    <t>Martínez-Avila, D; Pinho, FA; Nascimento, FA; Smiraglia, RP</t>
  </si>
  <si>
    <t>Martinez-Avila, Daniel; Assis Pinho, Fabio; Arrais Nascimento, Francisco; Smiraglia, Richard P.</t>
  </si>
  <si>
    <t>Gay Male Nomenclatures: Bounding the Information Ecology of Desire and Performance in Technologies and Applications</t>
  </si>
  <si>
    <t>KNOWLEDGE ORGANIZATION</t>
  </si>
  <si>
    <t>knowledge representation; information ecology; LGBTIQ plus communities; gay male community</t>
  </si>
  <si>
    <t>Information technology has brought many advantages for communications and new possibilities for knowledge organization, but also many ethical challenges and risks for groups at the social margins such as the LGBTIQ+ communities. Self-identifying nomenclature from social media websites such as Grindr, XVideos, TikTok, and Scruf were gathered; keywords and phrases were extracted and arrayed by frequency distribution and compared across sites. There are obvious site-specific emphases: in XVideos the terms are more sexual, in Scruf they are more identity oriented. The aggregated data show different practices of representation of gay males reflecting their sexual and affective interests, likes, and desires. These findings reflect the act of defining and organizing the knowledge about the identity of the group based on what is desirable both in themselves and in others pertaining to the same. The resulting terms can be grouped into three classes: sexual desires/orientation desire, physical characteristics, and sexual roles or performances. In addition to gender self-denomination terms, there are terms that can represent a person's sexuality, including the description of the romantic or sexual attraction they feel. The snapshots of representation in different social applications studied here show a classification used and shared by the gay male community at present.</t>
  </si>
  <si>
    <t>[Martinez-Avila, Daniel] Univ Leon, Artist &amp; Documentary Heritage, Leon, Spain; [Assis Pinho, Fabio] Univ Fed Pernambuco, Dept Informat Sci, Recife, PE, Brazil; [Arrais Nascimento, Francisco] Univ Estadual Paulista, UNESP, Grad Program Informat Sci, Marilia, SP, Brazil; [Smiraglia, Richard P.] Inst Knowledge Org &amp; Struct Inc, 19111 Indian Springs Rd, Lake Oswego, OR 97035 USA</t>
  </si>
  <si>
    <t>Universidad de Leon; Universidade Federal de Pernambuco; Universidade Estadual Paulista</t>
  </si>
  <si>
    <t>Martínez-Avila, D (corresponding author), Univ Leon, Artist &amp; Documentary Heritage, Leon, Spain.</t>
  </si>
  <si>
    <t>dmarta@unileon.es; fabioassispinho@gmail.com; francisco.arrais.nascimento@gmail.com; richard.smiraglia@knoworg.org</t>
  </si>
  <si>
    <t>Martinez-Avila, Daniel/H-8349-2016</t>
  </si>
  <si>
    <t>Martinez-Avila, Daniel/0000-0003-2236-553X; Pinho, Fabio Assis/0000-0003-1346-3808</t>
  </si>
  <si>
    <t>0943-7444</t>
  </si>
  <si>
    <t>KNOWL ORGAN</t>
  </si>
  <si>
    <t>Knowl. Organ.</t>
  </si>
  <si>
    <t>10.5771/0943-7444-2023-6-407</t>
  </si>
  <si>
    <t>IF8L4</t>
  </si>
  <si>
    <t>WOS:001165005000003</t>
  </si>
  <si>
    <t>Li, LH; Dai, D; Liu, HJ; Yuan, YB; Ding, LZ; Xu, YJ</t>
  </si>
  <si>
    <t>Li, Linhui; Dai, Dan; Liu, Hongjiu; Yuan, Yubo; Ding, Lizhong; Xu, Yujie</t>
  </si>
  <si>
    <t>Research on Short Video Hotspot Classification Based on LDA Feature Fusion and Improved BiLSTM</t>
  </si>
  <si>
    <t>feature fusion; self-attention; BiLSTM; hotspot classification</t>
  </si>
  <si>
    <t>ATTENTION MECHANISM; BIDIRECTIONAL LSTM; TEXT; CNN</t>
  </si>
  <si>
    <t>Short video hot spot classification is a fundamental method to grasp the focus of consumers and improve the effectiveness of video marketing. The limitations of traditional short text classification are sparse content as well as inconspicuous feature extraction. To solve the problems above, this paper proposes a short video hot spot classification model combining latent dirichlet allocation (LDA) feature fusion and improved bi-directional long short-term memory (BiLSTM), namely the LDA-BiLSTM-self-attention (LBSA) model, to carry out the study of hot spot classification that targets Carya cathayensis walnut short video review data under the TikTok platform. Firstly, the LDA topic model was used to expand the topic features of the Word2Vec word vector, which was then fused and input into the BiLSTM model to learn the text features. Afterwards, the self-attention mechanism was employed to endow different weights to the output information of BiLSTM in accordance with the importance, to enhance the precision of feature extraction and complete the hot spot classification of review data. Experimental results show that the precision of the proposed LBSA model reached 91.52%, which is significantly improved compared with the traditional model in terms of precision and F1 value.</t>
  </si>
  <si>
    <t>[Li, Linhui; Dai, Dan; Liu, Hongjiu; Yuan, Yubo; Xu, Yujie] Zhejiang A&amp;F Univ, Coll Math &amp; Comp Sci, Hangzhou 311300, Peoples R China; [Li, Linhui; Dai, Dan; Liu, Hongjiu; Yuan, Yubo] Zhejiang Prov Key Lab Forestry Intelligent Monitor, Hangzhou 311300, Peoples R China; [Li, Linhui; Dai, Dan; Liu, Hongjiu; Yuan, Yubo] State Forestry &amp; Grassland Adm Forestry Sensing Te, Key Lab, Hangzhou 311300, Peoples R China; [Ding, Lizhong] Agr &amp; Forestry Technol Extens Ctr Linan, Hangzhou 311300, Peoples R China</t>
  </si>
  <si>
    <t>Zhejiang A&amp;F University</t>
  </si>
  <si>
    <t>Dai, D (corresponding author), Zhejiang A&amp;F Univ, Coll Math &amp; Comp Sci, Hangzhou 311300, Peoples R China.;Dai, D (corresponding author), Zhejiang Prov Key Lab Forestry Intelligent Monitor, Hangzhou 311300, Peoples R China.;Dai, D (corresponding author), State Forestry &amp; Grassland Adm Forestry Sensing Te, Key Lab, Hangzhou 311300, Peoples R China.</t>
  </si>
  <si>
    <t>boatdriver@163.com</t>
  </si>
  <si>
    <t>yuan, yubo/HSG-3147-2023</t>
  </si>
  <si>
    <t>National Youth Science Foundation Project [42001354]; Ministry of Education Humanities and Social Sciences Research Program Fund Project [18YJA630030, 21YJA630054]; Basic PublicWelfare Research Program of Zhejiang Province [LGN18C130003]</t>
  </si>
  <si>
    <t>National Youth Science Foundation Project; Ministry of Education Humanities and Social Sciences Research Program Fund Project; Basic PublicWelfare Research Program of Zhejiang Province</t>
  </si>
  <si>
    <t>This work was supported by the National Youth Science Foundation Project under grant number 42001354, the Ministry of Education Humanities and Social Sciences Research Program Fund Project under grant number 18YJA630030 and 21YJA630054, and the Basic PublicWelfare Research Program of Zhejiang Province under grant number LGN18C130003.</t>
  </si>
  <si>
    <t>10.3390/app122311902</t>
  </si>
  <si>
    <t>6W1ZN</t>
  </si>
  <si>
    <t>WOS:000895533100001</t>
  </si>
  <si>
    <t>Du, XY; Wu, ZK; Feng, FL; He, XN; Tang, JH</t>
  </si>
  <si>
    <t>Du, Xiaoyu; Wu, Zike; Feng, Fuli; He, Xiangnan; Tang, Jinhui</t>
  </si>
  <si>
    <t>Invariant Representation Learning for Multimedia Recommendation</t>
  </si>
  <si>
    <t>PROCEEDINGS OF THE 30TH ACM INTERNATIONAL CONFERENCE ON MULTIMEDIA, MM 2022</t>
  </si>
  <si>
    <t>30th ACM International Conference on Multimedia (MM)</t>
  </si>
  <si>
    <t>OCT 10-14, 2022</t>
  </si>
  <si>
    <t>Lisboa, PORTUGAL</t>
  </si>
  <si>
    <t>Assoc Comp Machinery,ACM SIGMM</t>
  </si>
  <si>
    <t>Multimedia Recommendation; Multimedia Representation Learning; Invariant Learning; Spurious Correlation</t>
  </si>
  <si>
    <t>Multimedia recommendation forms a personalized ranking task with multimedia content representations which are mostly extracted via generic encoders. However, the generic representations introduce spurious correlations - the meaningless correlation from the recommendation perspective. For example, suppose a user bought two dresses on the same model, this co-occurrence would produce a correlation between the model and purchases, but the correlation is spurious from the view of fashion recommendation. Existing work alleviates this issue by customizing preference-aware representations, requiring high-cost analysis and design. In this paper, we propose an Invariant Representation Learning Framework (InvRL) to alleviate the impact of the spurious correlations. We utilize environments to reflect the spurious correlations and determine each environment with a set of interactions. We then learn invariant representations - the inherent factors attracting user attention - to make a consistent prediction of user-item interaction across various environments. In this light, InvRL proposes two iteratively executed modules to cluster user-item interactions and learn invariant representations. With them, InvRL trains a final recommender model thus mitigating the spurious correlations. We demonstrate InvRL on a cutting-edge recommender model UltraGCN and conduct extensive experiments on three public multimedia recommendation datasets, Movielens, Tiktok, and Kwai. The experimental results validate the rationality and effectiveness of InvRL. Codes are released at https://github.com/nickwzk/InvRL.</t>
  </si>
  <si>
    <t>[Du, Xiaoyu; Tang, Jinhui] Nanjing Univ Sci &amp; Technol, Nanjing, Peoples R China; [Wu, Zike] South China Univ Technol, Guangzhou, Peoples R China; [Feng, Fuli; He, Xiangnan] Univ Sci &amp; Technol China, Hefei, Peoples R China</t>
  </si>
  <si>
    <t>Nanjing University of Science &amp; Technology; South China University of Technology; Chinese Academy of Sciences; University of Science &amp; Technology of China, CAS</t>
  </si>
  <si>
    <t>Tang, JH (corresponding author), Nanjing Univ Sci &amp; Technol, Nanjing, Peoples R China.</t>
  </si>
  <si>
    <t>duxy@njust.edu.cn; zikewu43@gmail.com; fulifeng93@gmail.com; xiangnanhe@gmail.com; jinhuitang@njust.edu.cn</t>
  </si>
  <si>
    <t>Du, Xiaoyu/AAU-5942-2021; Tang, Jinhui/KBR-0891-2024; He, Xiangnan/G-3986-2011</t>
  </si>
  <si>
    <t>National Key Research and Development Program of China [2021ZD0111802]; National Natural Science Foundation of China [61925204, 62172226, JSSCBS20210200]</t>
  </si>
  <si>
    <t>National Key Research and Development Program of China(National Key Research &amp; Development Program of China); National Natural Science Foundation of China(National Natural Science Foundation of China (NSFC))</t>
  </si>
  <si>
    <t>This work is supported by the National Key Research and Development Program of China (2021ZD0111802), the National Natural Science Foundation of China (61925204 and 62172226), and the 2021 Jiangsu Shuangchuang (Mass Innovation and Entrepreneurship) Talent Program (JSSCBS20210200). Jinhui Tang is the corresponding author.</t>
  </si>
  <si>
    <t>978-1-4503-9203-7</t>
  </si>
  <si>
    <t>10.1145/3503161.3548405</t>
  </si>
  <si>
    <t>BW4KL</t>
  </si>
  <si>
    <t>WOS:001150372700067</t>
  </si>
  <si>
    <t>Pathak, R; Lakha, B; Raut, R; Kim, HS; Spezzano, F</t>
  </si>
  <si>
    <t>Ceolin, D; Caselli, T; Tulin, M</t>
  </si>
  <si>
    <t>Pathak, Royal; Lakha, Bishal; Raut, Rohan; Kim, Hongmin (Steven); Spezzano, Francesca</t>
  </si>
  <si>
    <t>Unveiling Truth Amidst the Pandemic: Multimodal Detection of COVID-19 Unreliable News</t>
  </si>
  <si>
    <t>DISINFORMATION IN OPEN ONLINE MEDIA, MISDOOM 2023</t>
  </si>
  <si>
    <t>5th Multidisciplinary International Symposium on Disinformation in Open Online Media (MISDOOM)</t>
  </si>
  <si>
    <t>NOV 21-22, 2023</t>
  </si>
  <si>
    <t>Amsterdam, NETHERLANDS</t>
  </si>
  <si>
    <t>European Res Ctr Informat Syst</t>
  </si>
  <si>
    <t>Social media; Fake News; Misinformation</t>
  </si>
  <si>
    <t>The prevalence of social media as a primary news source raises concerns due to the rapid spread of fake news. A significant majority of Twitter users (59%) and Facebook users (54%) rely on these platforms for their day-to-day news consumption, as observed by the PEW Research Center. This reliance extends to other social media platforms like Reddit, YouTube, and TikTok. The increasing dependence on social media for news has significant impacts, particularly in critical areas such as healthcare during the COVID-19 pandemic, election outcomes, emergency management, and public trust in institutions. To combat the detrimental effects of fake news, computational analysis techniques that incorporate multimodal features are crucial for effective detection and countermeasures. This study proposes a multimodal approach utilizing text embeddings from Fine-tuned BERT and image embeddings from CLIP to detect unreliable news. Experimental results on a ReCOVery COVID-19 dataset demonstrate the model's superiority over competitive baselines, particularly in detecting unreliable news. The findings highlight the potential of this approach in identifying and mitigating the spread of fake news. By combining text and image embeddings, this research offers a promising strategy for enhancing fake news detection capabilities and fostering trust in news dissemination on social media platforms.</t>
  </si>
  <si>
    <t>[Pathak, Royal; Lakha, Bishal; Raut, Rohan; Kim, Hongmin (Steven); Spezzano, Francesca] Boise State Univ, Dept Comp Sci, Boise, ID 83725 USA</t>
  </si>
  <si>
    <t>Pathak, R (corresponding author), Boise State Univ, Dept Comp Sci, Boise, ID 83725 USA.</t>
  </si>
  <si>
    <t>royalpathak@u.boisestate.edu; bishallakha@u.boisestate.edu; rohanraut@u.boisestate.edu; stevenkim@u.boisestate.edu; francescaspezzano@boisestate.edu</t>
  </si>
  <si>
    <t>Pathak, Royal/0000-0002-5030-4841</t>
  </si>
  <si>
    <t>National Science Foundation [1943370]</t>
  </si>
  <si>
    <t>This research has been partially supported by the National Science Foundation under award no. 1943370.</t>
  </si>
  <si>
    <t>978-3-031-47895-6; 978-3-031-47896-3</t>
  </si>
  <si>
    <t>10.1007/978-3-031-47896-3_9</t>
  </si>
  <si>
    <t>BW5HO</t>
  </si>
  <si>
    <t>WOS:001160755400009</t>
  </si>
  <si>
    <t>Serrano-Arenas, D</t>
  </si>
  <si>
    <t>Serrano-Arenas, Denys</t>
  </si>
  <si>
    <t>Educational videos as strategies to trigger learning</t>
  </si>
  <si>
    <t>ALOMA-REVISTA DE PSICOLOGIA CIENCIES DE L EDUCACIO I DE L ESPORT</t>
  </si>
  <si>
    <t>educational video; educational technology; distance education; participation</t>
  </si>
  <si>
    <t>EXPERIENCE; PODCAST</t>
  </si>
  <si>
    <t>Audiovisual have taken on a role as one of the main teaching resources. With this in mind, a national program called Aprende en casa has been underway since 2020 in Mexico. The program consists of the distribu-tion of educational videos as a support resource for teaching. The videos are distributed via television, Facebook and YouTube, in order to support the teaching and learning process within the national educational curriculum at the levels of early childhood, primary and secondary education. The aim of this research is to analyze the contents of this videos, as well as to examine their relationship with students' learning experiences. A sequential mixed method was used, consisting of the application of a questionnaire to 191 students, along with an observation grid to analyze 153 videos. It was found that active participation, situated learning strategies and new media formats, such as TikTok videos and short Reels, are elements that help to establish students' interest. In order to more ef-fectively encourage learning processes, it is recommended that the production of these materials should be based on issues and needs that concern the community, and their narratives should be adapted to the new media formats of audiovisual consumption.</t>
  </si>
  <si>
    <t>[Serrano-Arenas, Denys] Univ Autonoma Baja Calif, Mexicali, Mexico</t>
  </si>
  <si>
    <t>Universidad Autonoma de Baja California</t>
  </si>
  <si>
    <t>Serrano-Arenas, D (corresponding author), Univ Autonoma Baja Calif, Mexicali, Mexico.</t>
  </si>
  <si>
    <t>denys.serrano@uabc.edu.mx</t>
  </si>
  <si>
    <t>RAMON LLULL UNIV</t>
  </si>
  <si>
    <t>CARRER CLARAVALL, 1-3, BARCELONA, 08022, SPAIN</t>
  </si>
  <si>
    <t>1138-3194</t>
  </si>
  <si>
    <t>2339-9694</t>
  </si>
  <si>
    <t>ALOMA</t>
  </si>
  <si>
    <t>Aloma</t>
  </si>
  <si>
    <t>10.51698/aloma.2023.41.1.131-140</t>
  </si>
  <si>
    <t>J8DS4</t>
  </si>
  <si>
    <t>WOS:001011880000011</t>
  </si>
  <si>
    <t>Sun, Z; Sumsion, A; Torrie, S; Lee, DJ</t>
  </si>
  <si>
    <t>Sun, Zheng; Sumsion, Andrew; Torrie, Shad; Lee, Dah-Jye</t>
  </si>
  <si>
    <t>Learn Dynamic Facial Motion Representations Using Transformer Encoder</t>
  </si>
  <si>
    <t>2022 INTERMOUNTAIN ENGINEERING, TECHNOLOGY AND COMPUTING (IETC)</t>
  </si>
  <si>
    <t>2nd Annual Intermountain Conference on Engineering, Technology, and Computing (IETC)</t>
  </si>
  <si>
    <t>MAY 14-15, 2022</t>
  </si>
  <si>
    <t>Orem, UT</t>
  </si>
  <si>
    <t>facial motion; transformers; recurrent neural networks; transfer learning</t>
  </si>
  <si>
    <t>Human face analysis is an essential topic in visual computing. Many of our daily applications, such as face-priority auto focus in camera, face-based identity verification, and TikTok stickers, are unattainable without face analysis techniques. In the past ten years, face-related visual computing tasks like face detection, face recognition, and facial expression classification have improved drastically in performance, benefiting from the rapid development of deep learning theory. This work explores how to model dynamic facial motion using a learning-based method. Our proposed model takes video clips containing customized facial motion as input and generates a uni-size vector (the embedding) as the output. We have inspected two different encoders-recurrent neural networks and transformers to extract the temporal features from the video clip. We collected our own facial motion analysis dataset because there is no suitable datasets for our facial motion analysis task. Although our domain-specific dataset is small compared to the well-known public datasets for ordinary face-related tasks, we adopt a transfer learning approach, and a data augmentation method (random trimming) to help the model converge. The experimental results show that the transformer-based encoder performs better than the RNN baseline, and the best F-1-score with our validation data is 0.889.</t>
  </si>
  <si>
    <t>[Sun, Zheng; Sumsion, Andrew; Torrie, Shad; Lee, Dah-Jye] Brigham Young Univ, Elect &amp; Comp Engn, Provo, UT 84602 USA</t>
  </si>
  <si>
    <t>Lee, DJ (corresponding author), Brigham Young Univ, Elect &amp; Comp Engn, Provo, UT 84602 USA.</t>
  </si>
  <si>
    <t>zsun2@byu.edu; drewsumsion10@gmail.com; shad.torrie@gmail.com; djlee@byu.edu</t>
  </si>
  <si>
    <t>Torrie, Shad/0000-0002-0484-090X</t>
  </si>
  <si>
    <t>978-1-6654-8653-8</t>
  </si>
  <si>
    <t>10.1109/IETC54973.2022.9796917</t>
  </si>
  <si>
    <t>Computer Science, Interdisciplinary Applications; Engineering, Multidisciplinary</t>
  </si>
  <si>
    <t>BT8AI</t>
  </si>
  <si>
    <t>WOS:000852615700078</t>
  </si>
  <si>
    <t>Ning, CL; Miao, RM; Wang, TY</t>
  </si>
  <si>
    <t>Ning, Chuanlin; Miao, Ruomu; Wang, Tianyi</t>
  </si>
  <si>
    <t>Communicating via gold medal: Chinese Olympic athletes' visual self-presentation on the social media platform Douyin</t>
  </si>
  <si>
    <t>CHINESE JOURNAL OF COMMUNICATION</t>
  </si>
  <si>
    <t>social media; short video; self-presentation; Chinese athlete; gender difference; Douyin</t>
  </si>
  <si>
    <t>INSTAGRAM; REPRESENTATIONS; TWITTER; GENDER; USERS; US</t>
  </si>
  <si>
    <t>While many athletes utilize social media for personal image shaping and brand management, limited research has focused on the self-presentation of athletes in video-based social networks, specifically short videos. This study investigated the visual self-presentation of Chinese Olympic athletes on Douyin, the Chinese equivalent of TikTok. The findings of this study indicate that these athletes tend to prioritize presenting their professional lives through front-stage performances rather than showcasing their personal lives through backstage performances. This diverges from previous studies that examined the self-presentation strategies of Western athletes on social media. Gender differences in self-presentation have also been observed among these athletes. The study reveals that their self-presentation in short videos is significantly influenced by a power dynamic centered on their performance, particularly their Olympic achievements. These outcomes potentially represent an unconventional demonstration of male sports hegemony on social media and underscore the notable impact of China's national sports system, known as Juguotizhi, on the culture of sports-related social media. This study sheds light on a distinctive aspect of Chinese sports in the social media era, which has garnered limited scholarly scrutiny.</t>
  </si>
  <si>
    <t>[Ning, Chuanlin; Miao, Ruomu; Wang, Tianyi] Shanghai Jiao Tong Univ, Sch Media &amp; Commun, Shanghai, Peoples R China</t>
  </si>
  <si>
    <t>Wang, TY (corresponding author), Shanghai Jiao Tong Univ, Sch Media &amp; Commun, Shanghai, Peoples R China.</t>
  </si>
  <si>
    <t>tyyk410@sjtu.edu.cn</t>
  </si>
  <si>
    <t>Ning, Chuanlin/JOK-6981-2023</t>
  </si>
  <si>
    <t>Ning, Chuanlin/0000-0002-5545-4910</t>
  </si>
  <si>
    <t>1754-4750</t>
  </si>
  <si>
    <t>1754-4769</t>
  </si>
  <si>
    <t>CHIN J COMMUN</t>
  </si>
  <si>
    <t>Chin. J. Commun.</t>
  </si>
  <si>
    <t>2024 JAN 25</t>
  </si>
  <si>
    <t>10.1080/17544750.2024.2310523</t>
  </si>
  <si>
    <t>HD6R8</t>
  </si>
  <si>
    <t>WOS:001157600900001</t>
  </si>
  <si>
    <t>Landa-Blanco, M; García, YR; Landa-Blanco, AL; Cortés-Ramos, A; Paz-Maldonado, E</t>
  </si>
  <si>
    <t>Landa-Blanco, Miguel; Garcia, Yarell Reyes; Landa-Blanco, Ana Lucia; Cortes-Ramos, Antonio; Paz-Maldonado, Eddy</t>
  </si>
  <si>
    <t>Social media addiction relationship with academic engagement in university students: The mediator role of self-esteem, depression, and anxiety</t>
  </si>
  <si>
    <t>Academic engagement; Social media; Mental health; Depression; Anxiety; Self-esteem; Higher education</t>
  </si>
  <si>
    <t>PHQ-9</t>
  </si>
  <si>
    <t>This research analyzed how addiction to social media relates to academic engagement in university students, considering the mediating role of self-esteem, symptoms of depression, and anxiety. A quantitative methodology was used with a non-experimental-relational design. A set of questionnaires was applied to a non-probabilistic sample of 412 students enrolled at the National Autonomous University of Honduras. On average, participants use 4.83 different social media platforms at least once a week. Instagram and TikTok users report significantly higher levels of social media addiction, symptoms of depression, and anxiety compared to non-users. Directly, social media addiction does not significantly influence academic engagement scores. However, there are significant indirect inverse effects on academic engagement. Symptoms of depression and self-esteem mediate these effects. Social media addiction increases symptoms of depression, which in turn decreases academic engagement scores. Social media addiction decreases selfesteem, which serves as a variable that significantly increases academic engagement. Overall, findings suggest that social media addiction has a total inverse effect on academic engagement; symptoms of depression and self-esteem mediate this relationship. The implications of these findings are discussed.</t>
  </si>
  <si>
    <t>[Landa-Blanco, Miguel; Garcia, Yarell Reyes; Landa-Blanco, Ana Lucia] Natl Autonomous Univ Honduras, Sch Psychol Sci, Clin Psychol, Tegucigalpa, Honduras; [Cortes-Ramos, Antonio] Univ Malaga, Fac Psychol &amp; Speech Therapy, Dept Dev Psychol &amp; Educ, Malaga 29010, Spain; [Paz-Maldonado, Eddy] Natl Autonomous Univ Honduras, Dept Pedag &amp; Educ Sci, Tegucigalpa, Honduras</t>
  </si>
  <si>
    <t>Universidad Nacional Autonoma de Honduras; Universidad de Malaga; Universidad Nacional Autonoma de Honduras</t>
  </si>
  <si>
    <t>Landa-Blanco, M (corresponding author), Natl Autonomous Univ Honduras, Sch Psychol Sci, Clin Psychol, Tegucigalpa, Honduras.</t>
  </si>
  <si>
    <t>miguel.landa@unah.edu.hn</t>
  </si>
  <si>
    <t>Paz-Maldonado, Eddy/AAM-3011-2020; Landa-Blanco, Miguel/AAT-7817-2020; Landa-Blanco, Miguel/P-4143-2015</t>
  </si>
  <si>
    <t>Reyes Garcia, Yarell/0000-0001-7407-8538; Landa-Blanco, Miguel/0000-0002-7865-7593; Paz-Maldonado, Eddy/0000-0002-2324-8813</t>
  </si>
  <si>
    <t>JAN 30</t>
  </si>
  <si>
    <t>e24384</t>
  </si>
  <si>
    <t>10.1016/j.heliyon.2024.e24384</t>
  </si>
  <si>
    <t>GX2E0</t>
  </si>
  <si>
    <t>WOS:001155897800001</t>
  </si>
  <si>
    <t>Gao, YT; Liu, SX; Shen, B; Tan, YL</t>
  </si>
  <si>
    <t>Gao, Yuetao; Liu, Shaoxuan; Shen, Bo; Tan, Yinliang (Ricky)</t>
  </si>
  <si>
    <t>Social pricing of luxury products in a distribution channel</t>
  </si>
  <si>
    <t>PRODUCTION AND OPERATIONS MANAGEMENT</t>
  </si>
  <si>
    <t>conspicuous consumption; distribution channel; luxury products; social technologies; social pricing</t>
  </si>
  <si>
    <t>CONSPICUOUS CONSUMPTION; STRATEGIC ANALYSIS; AGENCY MODEL; GOODS</t>
  </si>
  <si>
    <t>The proliferation of social networking platforms like Facebook, Twitter, Instagram, and TikTok has greatly facilitated social interactions among individuals, and thus their product consumption has become more visible to their peers. This enhanced visibility influences consumers' purchase decisions of luxury products because it affects social value derived from conspicuous consumption of these products. In this paper, we develop an analytical model to study the impact of such social technologies on social pricing of a manufacturer and a retailer offering luxury products along a distribution channel. Consumers exhibit conspicuous consumption preferences and are grouped into snobs and conformists: Snobs value product exclusivity, while conformists desire product popularity. We derive the following interesting results. First, a better social technology that leads to higher visibility for conspicuous consumption can either raise or lower the wholesale price and retail price. Second, the manufacturer may gain (lose) while the retailer may lose (gain) under a better social technology; that is, the manufacturer's and retailer's preferences regarding the level of a social technology may not be aligned. Third, the advancement of a social technology may harm consumer surplus. Lastly, we consider several model extensions to validate our findings in broader contexts.</t>
  </si>
  <si>
    <t>[Gao, Yuetao] Xiamen Univ, Sch Management, Xiamen, Peoples R China; [Liu, Shaoxuan] Shanghai Jiao Tong Univ, Antai Coll Econ &amp; Management, Shanghai, Peoples R China; [Shen, Bo] Wuhan Univ, Econ &amp; Management Sch, Wuhan, Peoples R China; [Tan, Yinliang (Ricky)] Univ Houston, C T Bauer Coll Business, Houston, TX USA; [Liu, Shaoxuan] Shanghai Jiao Tong Univ, Antai Coll Econ &amp; Management, Shanghai 200240, Peoples R China; [Shen, Bo] Wuhan Univ, Econ &amp; Management Sch, Wuhan 430072, Peoples R China</t>
  </si>
  <si>
    <t>Xiamen University; Shanghai Jiao Tong University; Wuhan University; University of Houston System; University of Houston; Shanghai Jiao Tong University; Wuhan University</t>
  </si>
  <si>
    <t>Liu, SX (corresponding author), Shanghai Jiao Tong Univ, Antai Coll Econ &amp; Management, Shanghai 200240, Peoples R China.;Shen, B (corresponding author), Wuhan Univ, Econ &amp; Management Sch, Wuhan 430072, Peoples R China.</t>
  </si>
  <si>
    <t>liusx@sjtu.edu.cn; boshen@whu.edu.cn</t>
  </si>
  <si>
    <t>Shen, Bo/0000-0003-0038-668X</t>
  </si>
  <si>
    <t>1059-1478</t>
  </si>
  <si>
    <t>1937-5956</t>
  </si>
  <si>
    <t>PROD OPER MANAG</t>
  </si>
  <si>
    <t>Prod. Oper. Manag.</t>
  </si>
  <si>
    <t>2023 FEB 2</t>
  </si>
  <si>
    <t>10.1111/poms.13948</t>
  </si>
  <si>
    <t>Engineering, Manufacturing; Operations Research &amp; Management Science</t>
  </si>
  <si>
    <t>Engineering; Operations Research &amp; Management Science</t>
  </si>
  <si>
    <t>8J1MS</t>
  </si>
  <si>
    <t>WOS:000922188000001</t>
  </si>
  <si>
    <t>Miranda, S; Trigo, I; Rodrigues, R; Duarte, M</t>
  </si>
  <si>
    <t>Miranda, Sandra; Trigo, Ines; Rodrigues, Ricardo; Duarte, Margarida</t>
  </si>
  <si>
    <t>Addiction to social networking sites: Motivations, flow, and sense of belonging at the root of addiction</t>
  </si>
  <si>
    <t>Motivation; Uses and gratifications theory; Social networking site; Addiction; Flow; Sense of belonging</t>
  </si>
  <si>
    <t>MEDIA; FACEBOOK; GRATIFICATIONS; ENVIRONMENTS; SATISFACTION; EXPERIENCE; BEHAVIOR</t>
  </si>
  <si>
    <t>The adverse effects of excessive and problematic social networking sites (SNSs) use are well described in aca-demic and practitioner literature. However, it remains unclear how these problematic uses arise. By exploring the phenomenon of SNS addiction, this paper identifies how the problematic use of an SNS emerges and develops. We hypothesize that the flow state induced by using SNSs and the sense of belonging are two mediators of the influence of the user's motivations on the development of an SNS addiction. We used variance-based structural equation modeling (PLS-SEM) to analyze data collected from a sample of TikTok SNS users and test the research hypotheses. The results suggest that different addiction mechanisms are associated with different motivations to continue using the social network. This research brings new insights to the social media addiction literature by identifying one new alternative addiction mechanism - via the sense of belonging - by which addiction to social networks can develop. Such knowledge may help inform social networking providers and organizations of social media users' engagement triggers. It also helps inform public health officials on how to help users overcome addictive behaviors on social media.</t>
  </si>
  <si>
    <t>[Miranda, Sandra] Univ Lisbon, Advance CSG, ISEG, Rua Miguel Lupi 20 Off 610, P-1249078 Lisbon, Portugal; [Trigo, Ines] Univ Lisbon, ISEG, Lisbon, Portugal; [Rodrigues, Ricardo; Duarte, Margarida] Univ Lisbon, Advance CSG, ISEG, Lisbon, Portugal</t>
  </si>
  <si>
    <t>Universidade de Lisboa; Universidade de Lisboa; Universidade de Lisboa</t>
  </si>
  <si>
    <t>Miranda, S (corresponding author), Univ Lisbon, Advance CSG, ISEG, Rua Miguel Lupi 20 Off 610, P-1249078 Lisbon, Portugal.</t>
  </si>
  <si>
    <t>sandraoliveira@iseg.ulisboa.pt</t>
  </si>
  <si>
    <t>Rodrigues, Ricardo/I-5304-2019; Miranda, Sandra/AAW-6248-2021; Duarte, Margarida/K-1424-2013</t>
  </si>
  <si>
    <t>Miranda, Sandra/0000-0001-8947-8868</t>
  </si>
  <si>
    <t>FCT, I.P.; Portuguese national funding agency for science, research, and technology [UIDB/04521/2020]</t>
  </si>
  <si>
    <t>FCT, I.P.(Fundacao para a Ciencia e a Tecnologia (FCT)); Portuguese national funding agency for science, research, and technology(Fundacao para a Ciencia e a Tecnologia (FCT))</t>
  </si>
  <si>
    <t>This work was supported by FCT, I.P., the Portuguese national funding agency for science, research, and technology, under the Project UIDB/04521/2020.</t>
  </si>
  <si>
    <t>10.1016/j.techfore.2022.122280</t>
  </si>
  <si>
    <t>8E5OP</t>
  </si>
  <si>
    <t>WOS:000919022700001</t>
  </si>
  <si>
    <t>Zhu, Y; Olszewski, K; Wu, Y; Achlioptas, P; Chai, ML; Yan, Y; Tulyakov, S</t>
  </si>
  <si>
    <t>Avidan, S; Brostow, G; Cisse, M; Farinella, GM; Hassner, T</t>
  </si>
  <si>
    <t>Zhu, Ye; Olszewski, Kyle; Wu, Yu; Achlioptas, Panos; Chai, Menglei; Yan, Yan; Tulyakov, Sergey</t>
  </si>
  <si>
    <t>Quantized GAN for Complex Music Generation from Dance Videos</t>
  </si>
  <si>
    <t>COMPUTER VISION, ECCV 2022, PT XXXVII</t>
  </si>
  <si>
    <t>17th European Conference on Computer Vision (ECCV)</t>
  </si>
  <si>
    <t>OCT 23-27, 2022</t>
  </si>
  <si>
    <t>Tel Aviv, ISRAEL</t>
  </si>
  <si>
    <t>Multimodal adversarial learning; Complex music generation; Vector quantized representation</t>
  </si>
  <si>
    <t>We present Dance2Music-GAN (D2M-GAN), a novel adversarial multi-modal framework that generates complex musical samples conditioned on dance videos. Our proposed framework takes dance video frames and human body motions as input, and learns to generate music samples that plausibly accompany the corresponding input. Unlike most existing conditional music generation works that generate specific types of mono-instrumental sounds using symbolic audio representations (e.g., MIDI), and that usually rely on pre-defined musical synthesizers, in this work we generate dance music in complex styles (e.g., pop, breaking, etc.) by employing a Vector Quantized (VQ) audio representation, and leverage both its generality and high abstraction capacity of its symbolic and continuous counterparts. By performing an extensive set of experiments on multiple datasets, and following a comprehensive evaluation protocol, we assess the generative qualities of our proposal against alternatives. The attained quantitative results, which measure the music consistency, beats correspondence, and music diversity, demonstrate the effectiveness of our proposed method. Last but not least, we curate a challenging dance-music dataset of in-the-wild TikTok videos, which we use to further demonstrate the efficacy of our approach in real-world applications - and which we hope to serve as a starting point for relevant future research.</t>
  </si>
  <si>
    <t>[Zhu, Ye; Yan, Yan] IIT, Chicago, IL 60616 USA; [Zhu, Ye; Olszewski, Kyle; Achlioptas, Panos; Chai, Menglei; Tulyakov, Sergey] Snap Inc, Santa Monica, CA USA; [Wu, Yu] Princeton Univ, Princeton, NJ USA</t>
  </si>
  <si>
    <t>Illinois Institute of Technology; Princeton University</t>
  </si>
  <si>
    <t>Zhu, Y (corresponding author), IIT, Chicago, IL 60616 USA.</t>
  </si>
  <si>
    <t>yzhu96@hawk.iit.edu</t>
  </si>
  <si>
    <t>Wu, Yu/AAH-1350-2021</t>
  </si>
  <si>
    <t>Zhu, Ye/0000-0003-0774-9375; Wu, Yu/0000-0002-1680-8253</t>
  </si>
  <si>
    <t>NSF [ECCS-2123521]; Snap unrestricted gift research grant</t>
  </si>
  <si>
    <t>NSF(National Science Foundation (NSF)); Snap unrestricted gift research grant</t>
  </si>
  <si>
    <t>This work is partially supported by NSF ECCS-2123521 research grant and Snap unrestricted gift research grant. This article solely reflects the opinions and conclusions of its authors and not the funding agents.</t>
  </si>
  <si>
    <t>978-3-031-19835-9; 978-3-031-19836-6</t>
  </si>
  <si>
    <t>10.1007/978-3-031-19836-6_11</t>
  </si>
  <si>
    <t>Computer Science, Artificial Intelligence; Imaging Science &amp; Photographic Technology</t>
  </si>
  <si>
    <t>BU4MW</t>
  </si>
  <si>
    <t>WOS:000903756400011</t>
  </si>
  <si>
    <t>Gómez, S; Patraca, B; Molina, JL</t>
  </si>
  <si>
    <t>Gomez, Silvia; Patraca, Beatriz; Molina, Jose Luis</t>
  </si>
  <si>
    <t>Improving seafood systems with social network analysis: The case of cuttlefish marketing in Catalonia</t>
  </si>
  <si>
    <t>MARINE POLICY</t>
  </si>
  <si>
    <t>Cuttlefish marketing; Social networks analysis; Social media analysis; Seafood consumption; Sustainability; Digital ethnography</t>
  </si>
  <si>
    <t>FISHERIES; FOOD</t>
  </si>
  <si>
    <t>Innovation in seafood marketing has multiplied, resulting in a constellation of emerging marketing initiatives from the fishing sector and seafood distributors to cope with resources scarcity, uncertainty, and climate change. Wholesalers, and retailers drawn on Social Network Sites (Facebook, Instagram, Whatsapp, Twitter, Youtube, TikTok) to disseminate the values associated with fish products. This study analyses the distribution network channels of the cuttlefish market in Catalonia (Spain) and the social media users. The methodology combines social network analysis, digital ethnography, and qualitative analysis based on structured, semi-structured, in-depth interviews and images. Results suggest the existence of a paradox between the values of seafood products associated with proximity, local, and seasonal products cohabiting with market values adapted to the contemporary lifestyle of convenience and accessibility. The spread of gastronomic culture has popularised the demand for cuttlefish, increasing market diversification and growing competition between the buying and selling network actors. While distributors can obtain resources from different sources, fishers must cope with the lim-itations of natural resources. We conclude that management plans should consider the integration of fishers in marketing channels and media discourses to improve the marketing of seafood products in pursuit of sustainability.</t>
  </si>
  <si>
    <t>[Gomez, Silvia; Patraca, Beatriz; Molina, Jose Luis] Autonomous Univ Barcelona, Dept Social Anthropol, Bldg B,Campus UAB, Barcelona 08193, Spain</t>
  </si>
  <si>
    <t>Gómez, S (corresponding author), Autonomous Univ Barcelona, Dept Social Anthropol, Bldg B,Campus UAB, Barcelona 08193, Spain.</t>
  </si>
  <si>
    <t>silvia.gomez@uab.cat</t>
  </si>
  <si>
    <t>Gómez, Sílvia/AAI-5998-2020; Molina, Jose Luis/A-7463-2008</t>
  </si>
  <si>
    <t>Molina, Jose Luis/0000-0002-2932-2690; Gomez Mestres, Silvia/0000-0001-5956-3367; Patraca Dibildox, Beatriz/0000-0002-5815-2723</t>
  </si>
  <si>
    <t>EU (European Maritime and Fisheries Fund); Climate Action, Food and Rural Agenda Department of the Catalan Government; [ARP163/21/000023]</t>
  </si>
  <si>
    <t>EU (European Maritime and Fisheries Fund); Climate Action, Food and Rural Agenda Department of the Catalan Government;</t>
  </si>
  <si>
    <t>The EU (European Maritime and Fisheries Fund) and Climate Action, Food and Rural Agenda Department of the Catalan Government provided funding for this research through the project Advice to the Co- Management Committee of the cuttlefish of the bays of Roses and Pals or the implementation of a socio-economic program under the grant agreement ARP163/21/000023. We acknowledge all fishers and sea-food distributors that kindly participated in the project as well as we express our appreciation to all persons who shared with us their valuable knowledge by collaborating. We would also like to thank Eva Visauta, from the public administration and secretary of the cuttlefish co- management committee, who is always available to help and provide information</t>
  </si>
  <si>
    <t>0308-597X</t>
  </si>
  <si>
    <t>1872-9460</t>
  </si>
  <si>
    <t>MAR POLICY</t>
  </si>
  <si>
    <t>Mar. Pol.</t>
  </si>
  <si>
    <t>10.1016/j.marpol.2023.105517</t>
  </si>
  <si>
    <t>Environmental Studies; International Relations</t>
  </si>
  <si>
    <t>Environmental Sciences &amp; Ecology; International Relations</t>
  </si>
  <si>
    <t>C7XS4</t>
  </si>
  <si>
    <t>WOS:000964008900001</t>
  </si>
  <si>
    <t>Wei, YW; Wang, X; Nie, LQ; He, XN; Hong, RC; Chua, TS</t>
  </si>
  <si>
    <t>Wei, Yinwei; Wang, Xiang; Nie, Liqiang; He, Xiangnan; Hong, Richang; Chua, Tat-Seng</t>
  </si>
  <si>
    <t>MMGCN: Multi-modal Graph Convolution Network for Personalized Recommendation of Micro-video</t>
  </si>
  <si>
    <t>PROCEEDINGS OF THE 27TH ACM INTERNATIONAL CONFERENCE ON MULTIMEDIA (MM'19)</t>
  </si>
  <si>
    <t>27th ACM International Conference on Multimedia (MM)</t>
  </si>
  <si>
    <t>OCT 21-25, 2019</t>
  </si>
  <si>
    <t>Nice, FRANCE</t>
  </si>
  <si>
    <t>Graph Convolution Network; Multi-modal Recommendation; Micro-video Understanding</t>
  </si>
  <si>
    <t>Personalized recommendation plays a central role in many online content sharing platforms. To provide quality micro-video recommendation service, it is of crucial importance to consider the interactions between users and items (i.e., micro-videos) as well as the item contents from various modalities (e.g., visual, acoustic, and textual). Existing works on multimedia recommendation largely exploit multi-modal contents to enrich item representations, while less effort is made to leverage information interchange between users and items to enhance user representations and further capture user's fine-grained preferences on different modalities. In this paper, we propose to exploit user-item interactions to guide the representation learning in each modality, and further personalized micro-video recommendation. We design a Multimodal Graph Convolution Network (MMGCN) framework built upon the message-passing idea of graph neural networks, which can yield modal-specific representations of users and micro-videos to better capture user preferences. Specifically, we construct a user-item bipartite graph in each modality, and enrich the representation of each node with the topological structure and features of its neighbors. Through extensive experiments on three publicly available datasets, Tiktok, Kwai, and MovieLens, we demonstrate that our proposed model is able to significantly outperform state-of-the-art multi-modal recommendation methods.</t>
  </si>
  <si>
    <t>[Wei, Yinwei; Nie, Liqiang] Shandong Univ, Jinan, Peoples R China; [Wang, Xiang; Chua, Tat-Seng] Natl Univ Singapore, Singapore, Singapore; [He, Xiangnan] Univ Sci &amp; Technol China, Hefei, Peoples R China; [Hong, Richang] Hefei Univ Technol, Hefei, Peoples R China</t>
  </si>
  <si>
    <t>Shandong University; National University of Singapore; Chinese Academy of Sciences; University of Science &amp; Technology of China, CAS; Hefei University of Technology</t>
  </si>
  <si>
    <t>Nie, LQ (corresponding author), Shandong Univ, Jinan, Peoples R China.;Wang, X (corresponding author), Natl Univ Singapore, Singapore, Singapore.</t>
  </si>
  <si>
    <t>weiyinwei@hotmail.com; xiangwang@u.nus.edu; nieliqiang@gmail.com; xiangnanhe@gmail.com; hongrc@hfut.edu.cn; chuats@comp.nus.edu.sg</t>
  </si>
  <si>
    <t>Hong, Richang/AFO-1912-2022; Wei, Yinwei/JHX-9398-2023; He, Xiangnan/G-3986-2011</t>
  </si>
  <si>
    <t>National Natural Science Foundation of China [61772310, 61702300, 61702302, 61802231, U1836216]; Project of Thousand Youth Talents 2016; Shandong Provincial Natural Science and Foundation [ZR2019JQ23, ZR2019QF001]; Future Talents Research Funds of Shandong University [2018WLJH 63]; National Research Foundation, Prime Minister's Office, Singapore under its IRC@Singapore Funding Initiative</t>
  </si>
  <si>
    <t>National Natural Science Foundation of China(National Natural Science Foundation of China (NSFC)); Project of Thousand Youth Talents 2016; Shandong Provincial Natural Science and Foundation; Future Talents Research Funds of Shandong University; National Research Foundation, Prime Minister's Office, Singapore under its IRC@Singapore Funding Initiative(National Research Foundation, Singapore)</t>
  </si>
  <si>
    <t>This work is supported by the National Natural Science Foundation of China, No.: 61772310, No.:61702300, No.:61702302, No.: 61802231, and No. U1836216; the Project of Thousand Youth Talents 2016; the Shandong Provincial Natural Science and Foundation, No.: ZR2019JQ23, No.:ZR2019QF001; the Future Talents Research Funds of Shandong University, No.: 2018WLJH 63. This research is also part of NExT++ project, supported by the National Research Foundation, Prime Minister's Office, Singapore under its IRC@Singapore Funding Initiative.</t>
  </si>
  <si>
    <t>978-1-4503-6889-6</t>
  </si>
  <si>
    <t>10.1145/3343031.3351034</t>
  </si>
  <si>
    <t>BO2ZT</t>
  </si>
  <si>
    <t>WOS:000509743400180</t>
  </si>
  <si>
    <t>Micro-celebrities of information: mapping calibrated expertise and knowledge influencers among social media veterinarians</t>
  </si>
  <si>
    <t>Influencers; Instagram; TikTok; neoliberalism; veterinary medicine; science communication</t>
  </si>
  <si>
    <t>CONTEXT COLLAPSE; POLITICIZATION; ANIMALS; TRUST</t>
  </si>
  <si>
    <t>Influencers are a defining feature of the contemporary social media landscape, but little has interrogated how these individuals may privilege information sharing as essential to their brand. This article interrogates the role of the knowledge influencer, or those who perform micro-celebrity to convey information and expertise to lay audiences. Knowledge influencers can be doctors, lawyers, or anyone, regardless of class, who is an expert in their occupation. In doing so, knowledge influencers perform what I call calibrated expertise, or the curated performance strategy in which experts harness social media affordances, platform dynamics, and aspects of micro-celebrity to impart information. Through a case study analysis of social media veterinarians on Instagram, I show how calibrated expertise is discursively performed, and knowledge influencers emerge, at a cultural moment in which neoliberalism continues to blur the lines between work and play, and populist backlashes against experts are ubiquitous. By navigating micro-celebrity, authenticity, and relatability, knowledge influencers put a human face and contemporary cultural spin on expertise. Though, this does not mean the knowledge influencer is the answer to sweeping distrust, but rather, is an untapped resource for considering information sharing and power dynamics in neoliberal, populist times.</t>
  </si>
  <si>
    <t>[Maddox, Jessica] Univ Alabama, Dept Journalism &amp; Creat Media, Tuscaloosa, AL USA</t>
  </si>
  <si>
    <t>University of Alabama System; University of Alabama Tuscaloosa</t>
  </si>
  <si>
    <t>OCT 26</t>
  </si>
  <si>
    <t>10.1080/1369118X.2022.2109980</t>
  </si>
  <si>
    <t>CO7N9</t>
  </si>
  <si>
    <t>WOS:000840368200001</t>
  </si>
  <si>
    <t>Kay, JB</t>
  </si>
  <si>
    <t>Kay, Jilly Boyce</t>
  </si>
  <si>
    <t>The reactionary turn in popular feminism</t>
  </si>
  <si>
    <t>Reactionary feminism; popular feminism; femosphere; manosphere; female dating influencers</t>
  </si>
  <si>
    <t>This paper considers the rise of reactionary feminism within popular culture, suggesting a possible departure from, or mutation of, the hegemony of neoliberal and postfeminisms of recent decades. It locates reactionary feminism as key to the growing backlash against liberal feminism, pointing to emergent popular feminist discourses of brutal truths, material conditions, and women as a sex class. I analyse three seemingly diverse iterations of the reactionary feminist turn: its political-intellectual articulation by anti-progressive, post-liberal feminists; secondly, its manifestation within the femosphere - the online, female-centric communities which mirror those of the manosphere-focusing specifically on the Female Dating Strategy; and thirdly, dark feminine dating influencers on TikTok and YouTube, sometimes framed as Andrew Tate for girls. Reactionary feminism appears to have certain similarities with leftist, intersectional feminism; it has a strong critique of liberal feminism, and explicitly centres issues such as misogyny, the devaluation of women's work, gendered economic inequality, and the politics of care. However, I argue that while it purports to oppose misogyny and the manosphere, it mirrors many of its regressive logics, and is characterised by an aggressive sense of fatalism, bio-essentialism, and a deep animosity towards liberationist feminism and any form of social hope.</t>
  </si>
  <si>
    <t>[Kay, Jilly Boyce] Loughborough Univ, Dept Commun &amp; Media, Epinal Way, Loughborough LE11 3TU, England</t>
  </si>
  <si>
    <t>Loughborough University</t>
  </si>
  <si>
    <t>Kay, JB (corresponding author), Loughborough Univ, Dept Commun &amp; Media, Epinal Way, Loughborough LE11 3TU, England.</t>
  </si>
  <si>
    <t>Kay, Jilly/P-7490-2017</t>
  </si>
  <si>
    <t>Kay, Jilly/0000-0001-9548-296X</t>
  </si>
  <si>
    <t>Thankyou to the reviewers for their very helpful feedback. Huge thanks to the Feminist Media Studies research group at Cardiff University, particularly Hannah Hamad, to whom I presented an early version of this paper. Thanks also to Mareile Pfannebecker, James A Smith, and Helen Wood for such generative feedback and conversation.</t>
  </si>
  <si>
    <t>2024 AUG 21</t>
  </si>
  <si>
    <t>10.1080/14680777.2024.2393187</t>
  </si>
  <si>
    <t>D1Z6W</t>
  </si>
  <si>
    <t>WOS:001294241500001</t>
  </si>
  <si>
    <t>Cason, G; Margolis, A; Barile, J; Milanaik, RL</t>
  </si>
  <si>
    <t>Cason, Grace; Margolis, Alex; Barile, Joseph; Milanaik, Ruth Lynn</t>
  </si>
  <si>
    <t>Caring for screenagers (Part 1): a pediatrician's primer on popular social media platforms</t>
  </si>
  <si>
    <t>Internet; screens; social media; social networking; teenager</t>
  </si>
  <si>
    <t>Purpose of reviewSince the inception of social media, children have used platforms in manners unbeknownst to their parents. Just when parents feel they may finally understand what platform is relevant or trend is in, the landscape evolves, and children shift to something new. It is therefore critical that pediatricians stay informed about what is popular in youth populations. This enables the recognition of the potential dangers of contemporary social media engagement.Recent findingsShort-form content and livestreaming continue to rise in popularity while certain older forms of social media have retained relevancy in youth circles. YouTube is the dominant social media force, with both livestreaming and short-form offerings. Twitch and TikTok provide alternatives to YouTube for livestreaming and short-form content, respectively. Instagram and Snapchat - two social media apps that have existed for over 10 years - remain as the most popular mechanisms for children to interact with their friends online.SummaryIssues related to body image, attention deficits, cyberbullying, and other potential harms have many parents wary of their child's presence on social media. Social media sites have in-place mechanisms to prevent the likelihood of harm, but pediatricians and parents should still counsel children on best social media practices.</t>
  </si>
  <si>
    <t>[Cason, Grace; Margolis, Alex; Barile, Joseph; Milanaik, Ruth Lynn] Northwell Hlth, New Hyde Pk, NY 11042 USA; [Milanaik, Ruth Lynn] Northwell Hlth, Dev &amp; Behav Pediat, 1983 Marcus Ave,Suite 130, New Hyde Pk, NY 11042 USA</t>
  </si>
  <si>
    <t>Northwell Health; Northwell Health</t>
  </si>
  <si>
    <t>Milanaik, RL (corresponding author), Northwell Hlth, Dev &amp; Behav Pediat, 1983 Marcus Ave,Suite 130, New Hyde Pk, NY 11042 USA.</t>
  </si>
  <si>
    <t>Rmilanai2@northwell.edu</t>
  </si>
  <si>
    <t>Cason, Grace/0009-0009-8204-2936</t>
  </si>
  <si>
    <t>10.1097/MOP.0000000000001342</t>
  </si>
  <si>
    <t>SI0R0</t>
  </si>
  <si>
    <t>WOS:001233712600004</t>
  </si>
  <si>
    <t>González-Liendo, J</t>
  </si>
  <si>
    <t>Teston, AM; Ramos, BG</t>
  </si>
  <si>
    <t>Gonzalez-Liendo, Julio</t>
  </si>
  <si>
    <t>Digital communication in Spanish fashion museum: analysis of the presence in the social media platform</t>
  </si>
  <si>
    <t>II CONGRESO INTERNACIONAL DE MUSEOS Y ESTRATEGIAS DIGITALES, CIMED 2022</t>
  </si>
  <si>
    <t>Coleccion Congresos UPV</t>
  </si>
  <si>
    <t>2nd INTERNATIONAL CONGRESS OF MUSEUMS AND STRATEGIES DIGITAL (CIMED)</t>
  </si>
  <si>
    <t>OCT 19-28, 2022</t>
  </si>
  <si>
    <t>Valencia, SPAIN</t>
  </si>
  <si>
    <t>fashion museums; digital communication; social networks; museums</t>
  </si>
  <si>
    <t>The development of digital communication strategies in museums is no longer an option, but rather an obligation imposed by the audiences themselves. Although, before the pandemic, some museum institutions had begun their foray into social networks such as Facebook, Instagram and, at most, Twitter, with the arrival of COVID19, they were pushed to take on the challenge of communicating with greater emphasis on platforms. of social media. Thus, institutions such as the Museo Nacional El Prado took over Tiktok and, through visits to spaces hitherto unknown by users, tours guided by the museum's curators, even live experiences, managed to generate a lot of connection with their audiences, becoming a point of reference for other museums, both in Spain and internationally. But what is happening with fashion museums? How are they communicating? This research work analyses, qualitatively and quantitatively, the different initiatives undertaken by Spanish fashion museums to disseminate and publicize their activities. After a tour of the nine museum institutions dedicated exclusively to clothing, between January and June 2022, it is concluded that these museums have not yet undertaken, in a significant way, digital communication strategies in accordance with the new reality of communication and, therefore, therefore, its impact on audiences remains low.</t>
  </si>
  <si>
    <t>[Gonzalez-Liendo, Julio] Univ Politecn Valencia, Valencia, Spain</t>
  </si>
  <si>
    <t>Universitat Politecnica de Valencia</t>
  </si>
  <si>
    <t>González-Liendo, J (corresponding author), Univ Politecn Valencia, Valencia, Spain.</t>
  </si>
  <si>
    <t>jagonlie@upv.edu.es</t>
  </si>
  <si>
    <t>UNIV POLITECNICA VALENCIA</t>
  </si>
  <si>
    <t>VALENCIA</t>
  </si>
  <si>
    <t>CAMINO VERA S-N, VALENCIA, 46022, SPAIN</t>
  </si>
  <si>
    <t>2603-5863</t>
  </si>
  <si>
    <t>978-84-1396-069-2</t>
  </si>
  <si>
    <t>Coleccion Congresos</t>
  </si>
  <si>
    <t>10.4995/CIMED22.2022.15445</t>
  </si>
  <si>
    <t>Archaeology; Architecture; Art; Computer Science, Interdisciplinary Applications</t>
  </si>
  <si>
    <t>Archaeology; Architecture; Art; Computer Science</t>
  </si>
  <si>
    <t>BW8UG</t>
  </si>
  <si>
    <t>WOS:001207189500009</t>
  </si>
  <si>
    <t>Li, LZ</t>
  </si>
  <si>
    <t>Li, Luzhou</t>
  </si>
  <si>
    <t>The specter of global ByteDance: platforms, regulatory arbitrage, and politics</t>
  </si>
  <si>
    <t>Regulatory arbitrage; platforms; ByteDance; TikTok; platform governance; friction</t>
  </si>
  <si>
    <t>Historically, capital has employed varied methods, both discursive and material, to bypass regulatory frictions. Regulatory arbitrage is one such corporate tactic; it leverages more favorable regulatory regimes in one jurisdiction or category to avoid stricter regulation in another, thus reducing regulatory costs. While regulatory arbitrage underpins much of the gig economy's development, it has received scant attention in critical studies of digital media. Using mixed methods of documentary research and expert interviews, this article examines the regulatory arbitrage strategy that the Chinese social media giant ByteDance deploys in its global expansion and sheds light on the intricate tech politics occurring between the firm and national regulators. Rather than interpreting ByteDance's global foray through the prevailing geopolitical lens, which often posits a simplistic, antagonistic framework, this article demonstrates how the firm manages and adapts its structure to exploit more lenient regulatory regimes outside of China, such as that in the US. This allows ByteDance to reach deeper into the global market and avoid potential breaches of China's internal political economic control. Consequently, the article emphasizes the cunning, resilient nature of capital and the complexity and intricacies in global flows of capital, characteristics often overlooked in an increasingly geopolitically charged world, and it considers their implications for platform governance.</t>
  </si>
  <si>
    <t>[Li, Luzhou] Monash Univ, Sch Media Film &amp; Journalism, Room B3 21,Level 3,Bldg B,Caulfield Campus,900 Dan, Caulfield, Vic 3145, Australia</t>
  </si>
  <si>
    <t>Li, LZ (corresponding author), Monash Univ, Sch Media Film &amp; Journalism, Room B3 21,Level 3,Bldg B,Caulfield Campus,900 Dan, Caulfield, Vic 3145, Australia.</t>
  </si>
  <si>
    <t>luzhou.li@monash.edu</t>
  </si>
  <si>
    <t>Australian Research Council10.13039/501100000923</t>
  </si>
  <si>
    <t>10.1080/1369118X.2024.2352634</t>
  </si>
  <si>
    <t>M7J3H</t>
  </si>
  <si>
    <t>WOS:001222426100001</t>
  </si>
  <si>
    <t>Tian, ZJ; Dew, R; Iyengar, R</t>
  </si>
  <si>
    <t>Tian, Zijun; Dew, Ryan; Iyengar, Raghuram</t>
  </si>
  <si>
    <t>Mega or Micro? Influencer Selection Using Follower Elasticity</t>
  </si>
  <si>
    <t>JOURNAL OF MARKETING RESEARCH</t>
  </si>
  <si>
    <t>influencer marketing; causal inference; deep learning; representation learning; heterogeneous treatment effects; video data</t>
  </si>
  <si>
    <t>SOCIAL MEDIA; NETWORK; METAANALYSIS; ENGAGEMENT; PHYSICIANS; BEHAVIOR; SHAPE</t>
  </si>
  <si>
    <t>Influencer marketing, in which companies sponsor social media personalities to promote their brands, has exploded in popularity in recent years. One common criterion for selecting an influencer partner is popularity. While some firms collaborate with mega influencers with millions of followers, other firms partner with micro influencers with only several thousand followers, but who also cost less to sponsor. To quantify this trade-off between popularity and cost, the authors develop a framework for estimating the follower elasticity of impressions (FEI), which measures a video's percentage gain in impressions (i.e., views) corresponding to a percentage increase in the number of followers of its creator. Computing FEI involves estimating the causal effect of an influencer's popularity on the view counts of their videos, which is achieved through a combination of (1) a unique data set collected from TikTok, (2) a representation learning model for quantifying video content, and (3) a machine learning-based causal inference method. The authors find that FEI is always positive, averaging .10, but often nonlinearly related to follower size. They examine the factors that predict variation in these FEI curves and show how firms can use these results to better determine influencer partnerships.</t>
  </si>
  <si>
    <t>[Tian, Zijun] Washington Univ, Olin Business Sch, Mkt, St. Louis, MO 63130 USA; [Dew, Ryan; Iyengar, Raghuram] Univ Penn, Wharton Sch, Mkt, Philadelphia, PA USA</t>
  </si>
  <si>
    <t>Washington University (WUSTL); University of Pennsylvania</t>
  </si>
  <si>
    <t>Tian, ZJ (corresponding author), Washington Univ, Olin Business Sch, Mkt, St. Louis, MO 63130 USA.</t>
  </si>
  <si>
    <t>ztian@wustl.edu</t>
  </si>
  <si>
    <t>Dew, Ryan/IWU-5727-2023</t>
  </si>
  <si>
    <t>Dew, Ryan/0000-0001-7652-0369</t>
  </si>
  <si>
    <t>0022-2437</t>
  </si>
  <si>
    <t>1547-7193</t>
  </si>
  <si>
    <t>J MARKETING RES</t>
  </si>
  <si>
    <t>J. Mark. Res.</t>
  </si>
  <si>
    <t>10.1177/00222437231210267</t>
  </si>
  <si>
    <t>UB3M7</t>
  </si>
  <si>
    <t>WOS:001126252500001</t>
  </si>
  <si>
    <t>Du, PY; Huang, ZY</t>
  </si>
  <si>
    <t>Du, Peiyuan; Huang, Ziyao</t>
  </si>
  <si>
    <t>Happiness backfires: emotion and sales in live streaming</t>
  </si>
  <si>
    <t>Influencer happiness intensity; Sales volume; Live streaming commerce; Machine learning; Unstructured data</t>
  </si>
  <si>
    <t>SOCIAL COMMERCE; DECISION-MAKING; SERVICE; BEHAVIOR; CONTAGION; PURCHASE; AFFORDANCES; QUALITY; IMPACT; SATISFACTION</t>
  </si>
  <si>
    <t>People's shopping habits are changing because of live streaming as a new business context. Based on this context, this study explores the effect of influencer happiness intensity on audience purchasing using the hard archival data from TikTok, the world's top live-streaming app in terms of downloads. The influencers' facial happiness intensity, attractiveness score, and visual attributions of the live streaming room were extracted from the videos using a machine learning method, and the estimation model was built. The findings indicate an inverted U-shape relationship between influencer happiness intensity and audience purchase, with accessories having the highest sales volume and an influence happiness intensity of 0.43. The additional propensity score matching test provides causal evidence for the negative impact of influencers' happiness intensity on sales volume after exceeding the peak intensity, which is the subject of this paper. Furthermore, we investigate the probable underlying mechanism of the influencer-audience interaction. It demonstrates that the danmaku quantity and quality will have a partial mediation effect in the process of influencer happiness intensity influencing sales volume. These findings aid live-streaming influencers and platforms in optimizing their marketing strategies.</t>
  </si>
  <si>
    <t>[Du, Peiyuan; Huang, Ziyao] Sichuan Univ, Business Sch, Chengdu, Peoples R China</t>
  </si>
  <si>
    <t>Huang, ZY (corresponding author), Sichuan Univ, Business Sch, Chengdu, Peoples R China.</t>
  </si>
  <si>
    <t>470450421@qq.com</t>
  </si>
  <si>
    <t>Huang, Ziyao/0000-0003-3232-2242</t>
  </si>
  <si>
    <t>10.1007/s10660-023-09760-y</t>
  </si>
  <si>
    <t>U2VY0</t>
  </si>
  <si>
    <t>WOS:001083442000001</t>
  </si>
  <si>
    <t>Chen, FH; Li, P; Zeng, DZ; Guo, S</t>
  </si>
  <si>
    <t>Chen, Fahao; Li, Peng; Zeng, Deze; Guo, Song</t>
  </si>
  <si>
    <t>Edge-Assisted Short Video Sharing With Guaranteed Quality-of-Experience</t>
  </si>
  <si>
    <t>IEEE TRANSACTIONS ON CLOUD COMPUTING</t>
  </si>
  <si>
    <t>Streaming media; Servers; Cloud computing; Edge computing; Bit rate; Smart phones; Collaboration; Short video; edge computing; online algorithm design; mobile networks</t>
  </si>
  <si>
    <t>NETWORKS; INTERNET</t>
  </si>
  <si>
    <t>As a rising star of social apps, short video apps, e.g., TikTok, have attracted a large number of mobile users by providing fresh and short video contents that highly match their watching preferences. Meanwhile, the booming growth of short video apps imposes new technical challenges on the existing computation and communication infrastructure. Traditional solutions maintain all videos on the cloud and stream them to users via contend delivery networks or the Internet. However, they incur huge network traffic and long delay that seriously affects users' watching experiences. In this article, we propose an edge-assisted short video sharing framework to address these challenges by caching some highly preferred videos at edge servers that can be accessed by users via high-speed network connections. Since edge servers have limited computation and storage resources, we design an online algorithm with provable approximation ratio to decide which videos should be cached at edge servers, without the knowledge of future network quality and watching preferences changes. Furthermore, we improve the performance by jointly considering video fetching and user-edge association. Extensive simulations are conducted to evaluate the proposed algorithms under various system settings, and the results show that our proposals outperform existing schemes.</t>
  </si>
  <si>
    <t>[Chen, Fahao; Li, Peng] Univ Aizu, Aizu Wakamatsu 9658580, Japan; [Zeng, Deze] China Univ Geosci, Wuhan 430074, Hubei, Peoples R China; [Guo, Song] Hong Kong Polytech Univ, Dept Comp, Kowloon, Hong Kong, Peoples R China</t>
  </si>
  <si>
    <t>University of Aizu; China University of Geosciences; Hong Kong Polytechnic University</t>
  </si>
  <si>
    <t>Li, P (corresponding author), Univ Aizu, Aizu Wakamatsu 9658580, Japan.</t>
  </si>
  <si>
    <t>m5232105@u-aizu.ac.jp; pengli@u-aizu.ac.jp; deze@cug.edu.cn; song.guo@polyu.edu.cn</t>
  </si>
  <si>
    <t>Guo, Song/0000-0001-9831-2202</t>
  </si>
  <si>
    <t>Hong Kong RGC Research Impact Fund (RIF) [R5060-19, R5034-18]; General Research Fund (GRF) [152221/19E, 15220320/20E]; Collaborative Research Fund (CRF) [C5026-18G]; National Natural Science Foundation of China [61872310, 61772480, 62073300]; Open Research Projects of Zhejiang Lab [2021KE0AB02]</t>
  </si>
  <si>
    <t>Hong Kong RGC Research Impact Fund (RIF); General Research Fund (GRF); Collaborative Research Fund (CRF); National Natural Science Foundation of China(National Natural Science Foundation of China (NSFC)); Open Research Projects of Zhejiang Lab</t>
  </si>
  <si>
    <t>This work was supported by the funding from Hong Kong RGC Research Impact Fund (RIF) with the Project No. R5060-19 and R5034-18, General Research Fund (GRF) with the Project No. 152221/19E and 15220320/20E, Collaborative Research Fund (CRF) with the Project No. C5026-18G, the National Natural Science Foundation of China under Grants 61872310, No.61772480, No. 62073300, and Open Research Projects of Zhejiang Lab under Grant 2021KE0AB02.</t>
  </si>
  <si>
    <t>2168-7161</t>
  </si>
  <si>
    <t>IEEE T CLOUD COMPUT</t>
  </si>
  <si>
    <t>IEEE Trans. Cloud Comput.</t>
  </si>
  <si>
    <t>10.1109/TCC.2021.3067834</t>
  </si>
  <si>
    <t>C9RJ5</t>
  </si>
  <si>
    <t>WOS:000965204000001</t>
  </si>
  <si>
    <t>Al-Zaman, MS</t>
  </si>
  <si>
    <t>Al-Zaman, Md. Sayeed</t>
  </si>
  <si>
    <t>Patterns and trends of global social media censorship: Insights from 76 countries</t>
  </si>
  <si>
    <t>Social media; censorship; internet; online; freedom of speech</t>
  </si>
  <si>
    <t>We investigated global social media censorship trends in this research, addressing three essential scholarly gaps: (a) Variations in censorship across countries, (b) the platforms most heavily impacted, and (c) the evolution of censorship over time. With a focus on eight frequently targeted platforms-Facebook, YouTube, WhatsApp, Instagram, TikTok, Telegram, Twitter, and Reddit-we scrutinized 360 instances of social media censorship spanning 76 countries from 2006 to 2023. Our findings illustrate a growing governmental control, particularly noticeable in the Global South, with Turkey (6.39%), Sri Lanka (6.11%), Venezuela (5.56%), and Pakistan (5%) at the top of the list of frequently censoring countries. Among the platforms, Facebook (22.22%) and YouTube (21.94%) bear the brunt. Moreover, the escalating control over social media since 2018 signals an emergent global digital authoritarianism. Discernible geographical disparities in platform-specific restrictions prompt reflection on the nexus between censorship and political motivations. Additionally, our results suggest a plausible correlation between censorship practices and prevailing political systems. Enhanced comprehension of this problem could be derived from an augmented focus on the underlying reasons for censorship. This study offers a foundational evaluation of global social media censorship, setting it apart from internet censorship and laying the groundwork for further exploration.</t>
  </si>
  <si>
    <t>[Al-Zaman, Md. Sayeed] Jahangirnagar Univ, Dept Journalism &amp; Media Studies, Dhaka 1342, Bangladesh</t>
  </si>
  <si>
    <t>Al-Zaman, MS (corresponding author), Jahangirnagar Univ, Dept Journalism &amp; Media Studies, Dhaka 1342, Bangladesh.</t>
  </si>
  <si>
    <t>msalzaman@juniv.edu</t>
  </si>
  <si>
    <t>Al-Zaman, Md. Sayeed/0000-0003-1433-7387</t>
  </si>
  <si>
    <t>10.1177/17480485241288768</t>
  </si>
  <si>
    <t>K4P1G</t>
  </si>
  <si>
    <t>WOS:001343700900001</t>
  </si>
  <si>
    <t>Uchiyama, Y; Akhir, MNM; Furuoka, F; Wang, YZ; Nikitina, L</t>
  </si>
  <si>
    <t>Uchiyama, Yosuke; Akhir, Md Nasrudin Md; Furuoka, Fumitaka; Wang, Yuanzhu; Nikitina, Larisa</t>
  </si>
  <si>
    <t>Cultural Re-Importation Through Soft Power and Transnational Cultural Flows Mediated by Digital Influence: The Case of City Pop Music in Japan, Malaysia and Indonesia</t>
  </si>
  <si>
    <t>JAPAN FORUM</t>
  </si>
  <si>
    <t>Japanese pop culture; city pop; soft power; transnational cultural flow; digital influence</t>
  </si>
  <si>
    <t>POPULAR-CULTURE; DIPLOMACY; EAST</t>
  </si>
  <si>
    <t>Japanese popular culture (pop culture) has penetrated and influenced foreign cultural markets through various means. Japanese city pop music, popular from the 1970s through the 1980s, has charted a new trajectory in this transnational cultural spillover. The attractiveness of the city pop genre was rediscovered abroad; the hit songs were disseminated through social media, which eventually led to a revival of this genre's popularity in Japan. This study refers to this phenomenon as cultural re-importation and proposes some theoretical deliberations to capture it. It recognises that the complex process of re-importation is mediated by digital means of communication, such as social media platforms YouTube and TikTok. This study employs three theoretical perspectives on the cultural spillover mechanism, namely, Japan's soft power, transnational cultural flows, and digital influence. To elucidate these processes empirically, we analysed data from in-depth interviews with 35 young people from Malaysia, Indonesia, and Japan. Secondary data were collected as well, including online news and media releases. Based on the interview findings, this study posits that cultural re-importation is a complex interplay of several factors.</t>
  </si>
  <si>
    <t>[Uchiyama, Yosuke] Chulalongkorn Univ, Transportat Inst, Bangkok, Thailand; [Uchiyama, Yosuke] Univ Malaya, Fac Arts &amp; Social Sci, Dept East Asian Studies, Kuala Lumpur, Malaysia; [Akhir, Md Nasrudin Md] Soka Univ, Fac Int Liberal Arts, Tokyo, Japan; [Furuoka, Fumitaka] Univ Malaya, Asia Europe Inst AEI, Kuala Lumpur, Malaysia; [Furuoka, Fumitaka] Univ Malaysia Sabah, Sch Business &amp; Econ, Kota Kinabalu, Malaysia; [Furuoka, Fumitaka] Univ Malaysia Sarawak, Fac Econ &amp; Business, Sarawak, Malaysia; [Wang, Yuanzhu] Univ Malaya, Asia Europe Inst AEI, Kuala Lumpur, Malaysia; [Wang, Yuanzhu] Dalian Univ Foreign Languages, Japanese Culture &amp; Language, Dalian, Peoples R China; [Nikitina, Larisa] Univ Malaya, Fac Languages &amp; Linguist, Kuala Lumpur, Malaysia</t>
  </si>
  <si>
    <t>Chulalongkorn University; Universiti Malaya; Soka University; Universiti Malaya; Universiti Malaysia Sabah; University of Malaysia Sarawak; Universiti Malaya; Dalian University of Foreign Languages; Universiti Malaya</t>
  </si>
  <si>
    <t>Uchiyama, Y (corresponding author), Chulalongkorn Univ, Transportat Inst, Bangkok, Thailand.;Uchiyama, Y (corresponding author), Univ Malaya, Fac Arts &amp; Social Sci, Dept East Asian Studies, Kuala Lumpur, Malaysia.</t>
  </si>
  <si>
    <t>yosuke.u@chula.ac.th; nasrudin.5060@gmail.com; fumitaka@um.edu.my; s2100159@siswa.um.edu.my; larisa@um.edu.my</t>
  </si>
  <si>
    <t>Uchiyama, Yosuke/KYR-3553-2024; Furuoka, Fumitaka/C-4197-2012; Nikitina, Larisa/H-4481-2012</t>
  </si>
  <si>
    <t>Furuoka, Fumitaka/0000-0003-1863-387X; Nikitina, Larisa/0000-0002-6061-5360</t>
  </si>
  <si>
    <t>0955-5803</t>
  </si>
  <si>
    <t>1469-932X</t>
  </si>
  <si>
    <t>JPN FORUM</t>
  </si>
  <si>
    <t>Jpn. Forum</t>
  </si>
  <si>
    <t>OCT 19</t>
  </si>
  <si>
    <t>10.1080/09555803.2024.2407774</t>
  </si>
  <si>
    <t>M5R1V</t>
  </si>
  <si>
    <t>WOS:001321725700001</t>
  </si>
  <si>
    <t>Mulcahy, R; Barnes, R; Scheepers, RD; Kay, S; List, E</t>
  </si>
  <si>
    <t>Mulcahy, Rory; Barnes, Renee; Scheepers, Retha de Villiers; Kay, Samantha; List, Eleanor</t>
  </si>
  <si>
    <t>Going Viral: Sharing of Misinformation by Social Media Influencers</t>
  </si>
  <si>
    <t>AUSTRALASIAN MARKETING JOURNAL</t>
  </si>
  <si>
    <t>misinformation; social media; social media influencer; virality</t>
  </si>
  <si>
    <t>PERCEIVED DECEPTION; ENGAGEMENT; ONLINE</t>
  </si>
  <si>
    <t>This paper tackles the issue of health and well-being misinformation, the dissemination of false or misleading information related to medical treatments, diseases, mental health, nutrition, exercise or general well-being, propagated by social media influencers. It investigates the virality of misinformation posts by TikTok and Instagram influencers exploring users' appraisals and their sharing tendencies. Grounded in social influence and cognitive appraisal theories (CAT), three online experimental studies dissect the dynamics of virality, user comments and their effects on perceived deception, parasocial interaction and sharing intent. The results of Study 1 demonstrate heightened post virality reduces perceived deception, fostering stronger parasocial connections and sharing intentions. Conversely, lower virality levels heighten deception perceptions. In Study 2, critical comments are shown to enhance deception in high virality posts. Whereas supportive comments are shown to enhance the indirect effect of low virality posts on sharing intentions, via deception and parasocial interaction. The study contributes by demonstrating how social influence theory and CAT together explain how social media influencer misinformation posts based on their virality and user responses are likely to be shared and what consumer appraisals explain this effect. It provides directions of how marketers can tackle this issue.</t>
  </si>
  <si>
    <t>[Mulcahy, Rory; Barnes, Renee; Scheepers, Retha de Villiers; Kay, Samantha; List, Eleanor] Univ Sunshine Coast, 90 Sippy Downs Dr, Maroochydore, Qld 4558, Australia</t>
  </si>
  <si>
    <t>University of the Sunshine Coast</t>
  </si>
  <si>
    <t>Mulcahy, R (corresponding author), Univ Sunshine Coast, 90 Sippy Downs Dr, Maroochydore, Qld 4558, Australia.</t>
  </si>
  <si>
    <t>mulcahy@usc.edu.au</t>
  </si>
  <si>
    <t>Kay, Samantha/AAJ-2121-2020</t>
  </si>
  <si>
    <t>de Villiers Scheepers, Margarietha Johanna/0000-0002-5084-854X; Mulcahy, Rory/0000-0002-6056-3249</t>
  </si>
  <si>
    <t>YES Research Program [0980027715]; Queensland Department of Environment and Science, Youth Engaged in Sustainability Research Program</t>
  </si>
  <si>
    <t>YES Research Program; Queensland Department of Environment and Science, Youth Engaged in Sustainability Research Program</t>
  </si>
  <si>
    <t>The author(s) disclosed receipt of the following financial support for the research, authorship, and/or publication of this article: This project was funded by the YES Research Program 0980027715, Queensland Department of Environment and Science, Youth Engaged in Sustainability Research Program.</t>
  </si>
  <si>
    <t>1441-3582</t>
  </si>
  <si>
    <t>1839-3349</t>
  </si>
  <si>
    <t>AUSTRALAS MARK J</t>
  </si>
  <si>
    <t>Australas. Mark. J.</t>
  </si>
  <si>
    <t>2024 AUG 25</t>
  </si>
  <si>
    <t>10.1177/14413582241273987</t>
  </si>
  <si>
    <t>D6S4I</t>
  </si>
  <si>
    <t>WOS:001297461700001</t>
  </si>
  <si>
    <t>Costa-Sánchez, C; Vizoso, A; López-García, X</t>
  </si>
  <si>
    <t>Costa-Sanchez, Carmen; Vizoso, Angel; Lopez-Garcia, Xose</t>
  </si>
  <si>
    <t>Fake News in the Post-COVID-19 Era? The Health Disinformation Agenda in Spain</t>
  </si>
  <si>
    <t>fact checking; COVID-19; health; crisis; agenda; disinformation; Spain</t>
  </si>
  <si>
    <t>INTERNET; MEDIA; CORONAVIRUS; INFORMATION</t>
  </si>
  <si>
    <t>Three years after a pandemic that demonstrated the importance of reliable health information in a news agenda dominated by coronavirus disease 2019 (COVID-19), we analyze the situation of health disinformation in Spain on the basis of the verifications carried out by its main fact-checking platforms. The results show that COVID-19 shared center stage with other topics in the health area. In addition, a unique agenda is evident in each situation in the study, indicating a fact-checking strategy that is differentiated according to the media outlet and type of specialization (generalist fact-checker or one specialized in health). Vaccination, nutrition, and disease treatment emerge as the most important thematic subfields. Most health hoaxes are manufactured, i.e., created from scratch, rather than being manipulated or reconfigured from real preexisting elements. The format of text and image together predominates, and new social networks (TikTok or Telegram) have appeared as platforms for the circulation of hoaxes. This indicates that providing necessary health literacy to society and giving health issues greater presence in current fact-checking agendas are strategies for combatting disinformation, which can have serious consequences, regardless of whether there is a public health crisis such as the one experienced recently.</t>
  </si>
  <si>
    <t>[Costa-Sanchez, Carmen] Univ A Coruna, Grp Invest Cultura &amp; Comunicac Interact, Fac Ciencias Comunicac, Campus Elvina, La Coruna 15701, Spain; [Vizoso, Angel; Lopez-Garcia, Xose] Univ Santiago de Compostela, Fac Ciencias Comunicac, Grp Invest Novos Medios, Ave Castelao, Santiago De Compostela 15702, Spain</t>
  </si>
  <si>
    <t>Costa-Sánchez, C (corresponding author), Univ A Coruna, Grp Invest Cultura &amp; Comunicac Interact, Fac Ciencias Comunicac, Campus Elvina, La Coruna 15701, Spain.</t>
  </si>
  <si>
    <t>carmen.costa@udc.es; angel.vizoso@usc.es; xose.lopez.garcia@usc.es</t>
  </si>
  <si>
    <t>Vizoso, Ángel/AAA-5073-2020; Costa-Sánchez, Carmen/ABE-8157-2020; Vizoso, Angel/K-8370-2018; Lopez, Xose/I-4418-2019</t>
  </si>
  <si>
    <t>Vizoso, Angel/0000-0001-7898-9267; Costa-Sanchez, Carmen/0000-0001-8154-9537; Lopez, Xose/0000-0002-1873-8260</t>
  </si>
  <si>
    <t>MCIN</t>
  </si>
  <si>
    <t>10.3390/soc13110242</t>
  </si>
  <si>
    <t>AJ4G2</t>
  </si>
  <si>
    <t>WOS:001118080000001</t>
  </si>
  <si>
    <t>Gómez-García, S; Zamora, R; Berrocal, S</t>
  </si>
  <si>
    <t>Gomez-Garcia, Salvador; Zamora, Rocio; Berrocal, Salome</t>
  </si>
  <si>
    <t>New Frontiers for Political Communication in Times of Spectacularization</t>
  </si>
  <si>
    <t>digital narratives; digital persuasion; disintermediation; gamification; ideological polarization; online campaigns; politainment; political communication; political engagement; social media</t>
  </si>
  <si>
    <t>POLITAINMENT; TIKTOK; PERSUASION; GAMES</t>
  </si>
  <si>
    <t>Political spectacularization is a broad global phenomenon challenging contemporary digital political communication under new features that define interactive digital narratives. In this sense, the use of politainment formulas in digital contexts to reconnect the electorate with political leaders and institutions through a more direct and interactive communication deserves further understanding of its implications on the devaluation of political information and the loss of democratic quality. This thematic issue sheds some light on how the spectacularization of political communication, which increasingly takes place in online contexts, affects and is affected by these processes, where entertainment is crucial to engage citizens. In this editorial, we provide a short overview of how research on politainment has started to shift its attention away from traditional media toward the wide array of lenses of politainment among digital platforms. The articles in this thematic issue reflect this shift but also show its consequences in terms of political engagement. Finally, we outline further research steps, which should establish a more nuanced and multifaceted understanding of the complex relationship between polit-ical communication, entertainment, and new digital communication formulas, which is crucial to advance knowledge in the field.</t>
  </si>
  <si>
    <t>[Gomez-Garcia, Salvador] Univ Complutense Madrid, Dept Journalism &amp; Global Commun, Madrid, Spain; [Zamora, Rocio] Univ Murcia, Dept Commun, Murcia, Spain; [Berrocal, Salome] Univ Valladolid, Dept Modern Contemporary Amer Hist &amp; Journalism, Valladolid, Spain</t>
  </si>
  <si>
    <t>Complutense University of Madrid; University of Murcia; Universidad de Valladolid</t>
  </si>
  <si>
    <t>Gómez-García, S (corresponding author), Univ Complutense Madrid, Dept Journalism &amp; Global Commun, Madrid, Spain.</t>
  </si>
  <si>
    <t>salvgome@ucm.es</t>
  </si>
  <si>
    <t>Berrocal, Salomé/F-2072-2016; Gomez Garcia, Salvador/S-8593-2018</t>
  </si>
  <si>
    <t>Gomez Garcia, Salvador/0000-0001-5126-6464</t>
  </si>
  <si>
    <t>Spanish Ministry of Science and Innovation [PID2020-114193RB-I00]</t>
  </si>
  <si>
    <t>Spanish Ministry of Science and Innovation(Ministry of Science and Innovation, Spain (MICINN)Spanish Government)</t>
  </si>
  <si>
    <t>This thematic issue is part of the project Politainment in the Face of Media Fragmentation: Disinformation, Engagement, and Polarization (PID2020-114193RB-I00) , which is funded by the Spanish Ministry of Science and Innovation.</t>
  </si>
  <si>
    <t>10.17645/mac.v11i2.7069</t>
  </si>
  <si>
    <t>WOS:000996431600001</t>
  </si>
  <si>
    <t>Agarwal, V; Sastry, N</t>
  </si>
  <si>
    <t>Agarwal, Vibhor; Sastry, Nishanth</t>
  </si>
  <si>
    <t>Way back then: A Data-driven View of 25+years ofWeb Evolution</t>
  </si>
  <si>
    <t>web history; internet archive; wayback machine; archive.org</t>
  </si>
  <si>
    <t>WEB</t>
  </si>
  <si>
    <t>Since the inception of the first web page three decades back, the Web has evolved considerably, from static HTML pages in the beginning to the dynamic web pages of today, from mainly the text-based pages of the 1990s to today's multimedia rich pages, etc.. Although much of this is known anecdotally, to our knowledge, there is no quantitative documentation of the extent and timing of these changes. This paper attempts to address this gap in the literature by looking at the top 100 Alexa websites for over 25 years from the Internet Archive or the Wayback Machine, archive.org. We study the changes in popularity, from Geocities and Yahoo! in the mid-to-late 1990s to the likes of Google, Facebook, and Tiktok of today. We also look at different categories of websites and their popularity over the years and find evidence for the decline in popularity of news and education-related websites, which have been replaced by streaming media and social networking sites. We explore the emergence and relative prevalence of different MIME-types (text vs. image vs. video vs. javascript and json) and study whether the use of text on the Internet is declining.</t>
  </si>
  <si>
    <t>[Agarwal, Vibhor; Sastry, Nishanth] Univ Surrey, Dept Comp Sci, Guildford, Surrey, England</t>
  </si>
  <si>
    <t>Agarwal, V (corresponding author), Univ Surrey, Dept Comp Sci, Guildford, Surrey, England.</t>
  </si>
  <si>
    <t>v.agarwal@surrey.ac.uk; n.sastry@surrey.ac.uk</t>
  </si>
  <si>
    <t>Sastry, Nishanth/0000-0002-4053-0386; Agarwal, Vibhor/0000-0002-5122-2186</t>
  </si>
  <si>
    <t>SPF [EP/W032473/1] Funding Source: UKRI</t>
  </si>
  <si>
    <t>SPF(UK Research &amp; Innovation (UKRI))</t>
  </si>
  <si>
    <t>10.1145/3485447.3512283</t>
  </si>
  <si>
    <t>WOS:000852713003055</t>
  </si>
  <si>
    <t>Schmitt, B; Brakus, JJ; Biraglia, A</t>
  </si>
  <si>
    <t>Schmitt, Bernd; Brakus, J. Josko; Biraglia, Alessandro</t>
  </si>
  <si>
    <t>Consumption Ideology</t>
  </si>
  <si>
    <t>JOURNAL OF CONSUMER RESEARCH</t>
  </si>
  <si>
    <t>consumption ideology; ideological manifestations; consumerism; desire; consumer culture</t>
  </si>
  <si>
    <t>CONSUMER CULTURE; POLITICAL-IDEOLOGY; MARKETPLACE; BRANDS; PERSPECTIVE; EXPERIENCE; PREFERENCES; RETHINKING; REVOLUTION; MANAGEMENT</t>
  </si>
  <si>
    <t>Ideology plays a central role in consumer decisions, actions, and practices. While there have been numerous studies of ideological formations in specific consumption contexts, an integrative theoretical framework on consumption ideology has been missing. The theoretical framework presented in this article integrates systemic, social group, and social reality perspectives from social theory with prior consumer research to conceptualize consumption ideology as ideas and ideals that are related to consumerism and manifested in consumer behavior. Consumption ideology originates from conflicts between consumer desires and the system of consumerism. It is reflected in consumers' lived experiences and expressed in social representations and communicative actions related to status-based consumption, brand affinity and antipathy, performed practices, and political consumption. By adapting to the market, consumers confirm the system, but when they resist, they accelerate conflicts in consumer experiences unless resistance is ideologically co-opted by the market. Three illustrative cases-upcycling, Zoom backgrounds, and the commercialization of TikTok-exemplify how the framework may be used to analyze consumption ideology and generate new research questions. The article concludes with future research programs that move beyond micro-theorizations to illuminate the broader role of ideology in contemporary consumerist society.</t>
  </si>
  <si>
    <t>[Schmitt, Bernd] Columbia Univ, Columbia Business Sch, Int Business, 3022 Broadway, New York, NY 10027 USA; [Brakus, J. Josko; Biraglia, Alessandro] Univ Leeds, Leeds Univ Business Sch, Mkt, Maurice Keyworth Bldg, Leeds LS2 9JT, W Yorkshire, England</t>
  </si>
  <si>
    <t>Columbia University; University of Leeds</t>
  </si>
  <si>
    <t>Brakus, JJ (corresponding author), Univ Leeds, Leeds Univ Business Sch, Mkt, Maurice Keyworth Bldg, Leeds LS2 9JT, W Yorkshire, England.</t>
  </si>
  <si>
    <t>bhs1@gsb.columbia.edu; J.Brakus@leeds.ac.uk; A.Biraglia@leeds.ac.uk</t>
  </si>
  <si>
    <t>Brakus, Josko/0000-0002-8367-1904; Biraglia, Alessandro/0000-0002-1323-2586</t>
  </si>
  <si>
    <t>0093-5301</t>
  </si>
  <si>
    <t>1537-5277</t>
  </si>
  <si>
    <t>J CONSUM RES</t>
  </si>
  <si>
    <t>J. Consum. Res.</t>
  </si>
  <si>
    <t>10.1093/jcr/ucab044</t>
  </si>
  <si>
    <t>1J0RR</t>
  </si>
  <si>
    <t>WOS:000756570600001</t>
  </si>
  <si>
    <t>Ranganathan, P; Stodolsky, D; Calow, J; Dorfman, J; Guevara, M; Smullen, CW; Kuusela, A; Balasubramanian, R; Bhatia, S; Chauhan, P; Cheung, A; Chong, IS; Dasharathi, N; Feng, J; Fosco, B; Foss, S; Gelb, B; Gwin, SJ; Hase, Y; He, DK; Ho, CR; Huffman, RW; Indupalli, E; Jayaram, I; Kongetira, P; Kyaw, CM; Laursen, A; Li, Y; Lou, F; Lucke, KA; Maaninen, JP; Macias, R; Mahony, M; Munday, DA; Muroor, S; Penukonda, N; Perkins-Argueta, E; Persaud, D; Ramirez, A; Rautio, VM; Ripley, Y; Salek, A; Sekar, S; Sokolov, SN; Springer, R; Stark, D; Tan, M; Wachsler, MS; Walton, AC; Wickeraad, DA; Wijaya, A; Wu, HK</t>
  </si>
  <si>
    <t>Ranganathan, Parthasarathy; Stodolsky, Daniel; Calow, Jeff; Dorfman, Jeremy; Guevara, Marisabel; Smullen, Clinton Wills; Kuusela, Aki; Balasubramanian, Raghu; Bhatia, Sandeep; Chauhan, Prakash; Cheung, Anna; Chong, In Suk; Dasharathi, Niranjani; Feng, Jia; Fosco, Brian; Foss, Samuel; Gelb, Ben; Gwin, Sara J.; Hase, Yoshiaki; He, Da-ke; Ho, C. Richard; Huffman, Roy W., Jr.; Indupalli, Elisha; Jayaram, Indira; Kongetira, Poonacha; Kyaw, Cho Mon; Laursen, Aaron; Li, Yuan; Lou, Fong; Lucke, Kyle A.; Maaninen, J. P.; Macias, Ramon; Mahony, Maire; Munday, David Alexander; Muroor, Srikanth; Penukonda, Narayana; Perkins-Argueta, Eric; Persaud, Devin; Ramirez, Alex; Rautio, Ville-Mikko; Ripley, Yolanda; Salek, Amir; Sekar, Sathish; Sokolov, Sergey N.; Springer, Rob; Stark, Don; Tan, Mercedes; Wachsler, Mark S.; Walton, Andrew C.; Wickeraad, David A.; Wijaya, Alvin; Wu, Hon Kwan</t>
  </si>
  <si>
    <t>Warehouse-Scale Video Acceleration: Co-design and Deployment in the Wild</t>
  </si>
  <si>
    <t>ASPLOS XXVI: TWENTY-SIXTH INTERNATIONAL CONFERENCE ON ARCHITECTURAL SUPPORT FOR PROGRAMMING LANGUAGES AND OPERATING SYSTEMS</t>
  </si>
  <si>
    <t>26th International Conference on Architectural Support for Programming Languages and Operating Systems (ASPLOS)</t>
  </si>
  <si>
    <t>APR 12-23, 2021</t>
  </si>
  <si>
    <t>ACM SIGARCH,ACM SIGOPS,ACM SIGPLAN,Assoc Comp Machinery,Google,Intel,Microsoft,IBM,Facebook</t>
  </si>
  <si>
    <t>video transcoding; warehouse-scale computing; domain-specific accelerators; hardware-software codesign</t>
  </si>
  <si>
    <t>Video sharing (e.g., YouTube, Vimeo, Facebook, TikTok) accounts for the majority of internet traffic, and video processing is also foundational to several other key workloads (video conferencing, virtual/augmented reality, cloud gaming, video in Internet-of-Things devices, etc.). The importance of these workloads motivates larger video processing infrastructures and - with the slowing of Moore's law - specialized hardware accelerators to deliver more computing at higher efficiencies. This paper describes the design and deployment, at scale, of a new accelerator targeted at warehouse-scale video transcoding. We present our hardware design including a new accelerator building block - the video coding unit (VCU) - and discuss key design trade-offs for balanced systems at data center scale and co-designing accelerators with large-scale distributed software systems. We evaluate these accelerators in the wild serving live data center jobs, demonstrating 20-33x improved efficiency over our prior well-tuned non-accelerated baseline. Our design also enables effective adaptation to changing bottlenecks and improved failure management, and new workload capabilities not otherwise possible with prior systems. To the best of our knowledge, this is the first work to discuss video acceleration at scale in large warehouse-scale environments.</t>
  </si>
  <si>
    <t>[Ranganathan, Parthasarathy; Stodolsky, Daniel; Calow, Jeff; Dorfman, Jeremy; Guevara, Marisabel; Smullen, Clinton Wills; Kuusela, Aki; Balasubramanian, Raghu; Bhatia, Sandeep; Chauhan, Prakash; Cheung, Anna; Chong, In Suk; Dasharathi, Niranjani; Feng, Jia; Fosco, Brian; Foss, Samuel; Gelb, Ben; Gwin, Sara J.; Hase, Yoshiaki; He, Da-ke; Ho, C. Richard; Huffman, Roy W., Jr.; Indupalli, Elisha; Jayaram, Indira; Kongetira, Poonacha; Kyaw, Cho Mon; Laursen, Aaron; Li, Yuan; Lou, Fong; Lucke, Kyle A.; Maaninen, J. P.; Macias, Ramon; Mahony, Maire; Munday, David Alexander; Muroor, Srikanth; Penukonda, Narayana; Perkins-Argueta, Eric; Persaud, Devin; Ramirez, Alex; Rautio, Ville-Mikko; Ripley, Yolanda; Salek, Amir; Sekar, Sathish; Sokolov, Sergey N.; Springer, Rob; Stark, Don; Tan, Mercedes; Wachsler, Mark S.; Walton, Andrew C.; Wickeraad, David A.; Wijaya, Alvin; Wu, Hon Kwan] Google Inc, Mountain View, CA 94043 USA</t>
  </si>
  <si>
    <t>Gwin, SJ (corresponding author), Google Inc, Mountain View, CA 94043 USA.</t>
  </si>
  <si>
    <t>vcu@google.com</t>
  </si>
  <si>
    <t>Guevara, Marisabel/0000-0002-5414-1437</t>
  </si>
  <si>
    <t>978-1-4503-8317-2</t>
  </si>
  <si>
    <t>10.1145/3445814.3446723</t>
  </si>
  <si>
    <t>BT4EZ</t>
  </si>
  <si>
    <t>WOS:000829871000042</t>
  </si>
  <si>
    <t>Denojean-Mairet, M; López-Pernas, S; Agbo, FJ; Tedre, M</t>
  </si>
  <si>
    <t>Denojean-Mairet, Marc; Lopez-Pernas, Sonsoles; Agbo, Friday Joseph; Tedre, Matti</t>
  </si>
  <si>
    <t>A literature review on the integration of microlearning and social media</t>
  </si>
  <si>
    <t>SMART LEARNING ENVIRONMENTS</t>
  </si>
  <si>
    <t>Microlearning; Nanolearning; Social media; Social network; E-learning; Mobile learning</t>
  </si>
  <si>
    <t>The study aimed to perform a literature review to identify the trends, impacts, and challenges associated with the integration of microlearning and social media. A total of seven academic databases were used as sources for searching: Scopus, Web of Science, ACM, EBSCOhost, PubMed, ProQuest, and IEEE. A combination of keywords related to microlearning and social media was employed during the search process. No specific date limit was imposed, but only materials published in English were considered for inclusion. A total of 2312 articles were identified in the first phase of the search. Sixteen articles were selected during phase two after applying the inclusion and exclusion criteria. The reviewed studies encompassed various fields, including computing, programming, language, nursing, surgery, and radiology. Additionally, multiple social media platforms were identified, such as podcasts, chatbots, Facebook, Instagram, LinkedIn, MP3, TikTok, Twitter, YouTube, and Sina Weibo. The results indicate that the integration of microlearning and social media has the potential to enhance learning outcomes positively. These outcomes include increased learner satisfaction, expanded reach, improved learner engagement, and enhanced learning effectiveness. Additionally, the review highlights that the most significant benefits of combining microlearning with social media are increased reach and enhanced learner engagement.</t>
  </si>
  <si>
    <t>[Denojean-Mairet, Marc; Lopez-Pernas, Sonsoles; Tedre, Matti] Univ Eastern Finland, Kuoplo, Finland; [Agbo, Friday Joseph] Willamette Univ, Salem, OR USA</t>
  </si>
  <si>
    <t>University of Eastern Finland; Willamette University</t>
  </si>
  <si>
    <t>Denojean-Mairet, M (corresponding author), Univ Eastern Finland, Kuoplo, Finland.</t>
  </si>
  <si>
    <t>marcd@student.uef.fi</t>
  </si>
  <si>
    <t>2196-7091</t>
  </si>
  <si>
    <t>SMART LEARN ENVIRON</t>
  </si>
  <si>
    <t>Smart Learn. Env.</t>
  </si>
  <si>
    <t>OCT 11</t>
  </si>
  <si>
    <t>10.1186/s40561-024-00334-5</t>
  </si>
  <si>
    <t>I4O9E</t>
  </si>
  <si>
    <t>WOS:001330078100001</t>
  </si>
  <si>
    <t>Chavanayarn, S</t>
  </si>
  <si>
    <t>Chavanayarn, Siraprapa</t>
  </si>
  <si>
    <t>Epistemic Injustice and Ideal Social Media: Enhancing X for Inclusive Global Engagement</t>
  </si>
  <si>
    <t>Epistemic injustice; Social media; Southeast asia; Digital public sphere; X; Twitter; Habermas; Rawls; Social epistemology</t>
  </si>
  <si>
    <t>SOUTHEAST-ASIA; JUSTICE</t>
  </si>
  <si>
    <t>This article examines the phenomenon of epistemic injustice within the global social media landscape, using Southeast Asia as a case study. It explores how X (formerly known as Twitter) holds the potential to cultivate a digital public sphere that embodies justice and equitable dialogue, compared with major platforms like Facebook, Instagram, and TikTok. Beginning with an introduction to epistemic injustice, the article contextualizes its significance in Southeast Asia, highlighting the region's digital challenges and opportunities. It then proposes characteristics necessary for ideal social media platforms, drawing on Habermas's public sphere and Rawls's justice principles to advocate for spaces that promote inclusive and rational discourse. The core analysis centers on X, suggesting that its features could make it a superior choice for fostering a just digital environment globally. The article recommends specific improvements for X to evolve into an ideal social platform, addressing challenges such as cyberbullying, echo chambers, and misinformation. The conclusion emphasizes the importance of prioritizing epistemic justice in social media platforms to achieve a more inclusive and fairer digital public sphere, with Southeast Asia serving as a representative example of a less-than-ideal environment where such platforms could thrive.</t>
  </si>
  <si>
    <t>[Chavanayarn, Siraprapa] Chulalongkorn Univ, Ctr Excellence Sci Technol &amp; Soc, Fac Arts, Dept Philosophy, Bangkok, Thailand</t>
  </si>
  <si>
    <t>Chavanayarn, S (corresponding author), Chulalongkorn Univ, Ctr Excellence Sci Technol &amp; Soc, Fac Arts, Dept Philosophy, Bangkok, Thailand.</t>
  </si>
  <si>
    <t>Siraprapa.C@chula.ac.th</t>
  </si>
  <si>
    <t>Chavanayarn, Siraprapa/KUC-6115-2024</t>
  </si>
  <si>
    <t>Chavanayarn, Siraprapa/0000-0002-5247-3649</t>
  </si>
  <si>
    <t>Incubating Feminist AI Project</t>
  </si>
  <si>
    <t>This article has been partially supported by a grant from the Incubating Feminist AI Project, https://aplusalliance.org/. The author extends the deepest gratitude to the reviewers for their insightful comments and constructive feedback. Their expertise and thoughtful engagement with the work have significantly enhanced this article's quality. Engaging with their philosophical perspectives not only deepened the understanding of the subject but also instilled a profound sense of gratitude for their contributions to refining and improving the discourse presented. Additionally, the author would like to thank the dedicated students in the Reasoning class (Section 6) at Chulalongkorn University, who encouraged the exploration of X. Their support led to engaging with inspiring people, distinctive features, and a dynamic atmosphere on the platform, which motivated the author to write this article</t>
  </si>
  <si>
    <t>2024 JUL 18</t>
  </si>
  <si>
    <t>10.1007/s11245-024-10070-7</t>
  </si>
  <si>
    <t>YW3S8</t>
  </si>
  <si>
    <t>WOS:001271489500001</t>
  </si>
  <si>
    <t>Najafi, A; Varol, O</t>
  </si>
  <si>
    <t>Najafi, Ali; Varol, Onur</t>
  </si>
  <si>
    <t>TurkishBERTweet: Fast and reliable large language model for social media analysis</t>
  </si>
  <si>
    <t>TurkishBERTweet; Sentiment analysis; HateSpeech detection; ChatGPT</t>
  </si>
  <si>
    <t>MOVEMENT; TWITTER</t>
  </si>
  <si>
    <t>Turkish is one of the most spoken languages in the world; however, it is still among the low-resource languages. Wide us of this language on social media platforms such as Twitter, Instagram, or Tiktok and strategic position of the country in the world politics makes it appealing for the social network researchers and industry. To address this need, we introduce TurkishBERTweet, the first large scale pre-trained language model for Turkish social media built using over 894 million Turkish tweets. The model shares the same architecture as RoBERTa-base model with smaller input length, making TurkishBERTweet lighter than the most used model, called BERTurk, and can have significantly lower inference time. We trained our model using the same approach for RoBERTa model and evaluated on two tasks: Sentiment Classification and Hate Speech Detection. We demonstrate that TurkishBERTweet outperforms the other available alternatives on generalizability and its lower inference time gives significant advantage to process large-scale datasets. We also show custom preprocessors for social media can acquire information from platform specific entities. We also conduct comparison with the commercial solutions like OpenAI and Gemini, and other available Turkish LLMs in terms of cost and performance to demonstrate TurkishBERTweet is scalable and cost-effective.</t>
  </si>
  <si>
    <t>[Najafi, Ali; Varol, Onur] Sabanci Univ, Fac Engn &amp; Nat Sci, Istanbul, Turkiye; [Varol, Onur] Sabanci Univ, Ctr Excellence Data Analyt, Istanbul, Turkiye</t>
  </si>
  <si>
    <t>Sabanci University; Sabanci University</t>
  </si>
  <si>
    <t>Varol, O (corresponding author), Sabanci Univ, Fac Engn &amp; Nat Sci, Istanbul, Turkiye.</t>
  </si>
  <si>
    <t>ali.najafi@sabanciuniv.edu; onur.varol@sabanciuniv.edu</t>
  </si>
  <si>
    <t>Varol, Onur/L-7749-2014</t>
  </si>
  <si>
    <t>Varol, Onur/0000-0002-3994-6106</t>
  </si>
  <si>
    <t>Google Cloud Research Credits program [GCP19980904]; TUBITAK [121C220, 222N311]</t>
  </si>
  <si>
    <t>Google Cloud Research Credits program(Google Incorporated); TUBITAK(Turkiye Bilimsel ve Teknolojik Arastirma Kurumu (TUBITAK))</t>
  </si>
  <si>
    <t>We thank Fatih Amasyali for providing access to Tweet Sentiment datasets from Kemik group. This material is based upon work supported by the Google Cloud Research Credits program with the award GCP19980904. We also thank TUBITAK (121C220 and 222N311) for funding this project.</t>
  </si>
  <si>
    <t>10.1016/j.eswa.2024.124737</t>
  </si>
  <si>
    <t>ZG7W8</t>
  </si>
  <si>
    <t>WOS:001274219800001</t>
  </si>
  <si>
    <t>Connell, C; Fields, I; Chudyk, E</t>
  </si>
  <si>
    <t>Connell, Cati; Fields, Io; Chudyk, Elliot</t>
  </si>
  <si>
    <t>The myth of lesbian generation loss: Finding intergenerational solidarities in digital sexual selfhood projects</t>
  </si>
  <si>
    <t>Post-lesbian; social media; lesbian feminism; transgender lesbians; black lesbians</t>
  </si>
  <si>
    <t>IDENTITY; MEDIA; WARS</t>
  </si>
  <si>
    <t>The contemporary preoccupation with lesbian's potential obsolescence relies on implicit assumptions about the (ir)relevance of lesbian feminism to younger generations. In this article, we use the metaphor of generation loss to conceptualize the Gordian knot of affective and ideological ties that lie beneath this preoccupation. Contrary to the narrative of generation loss, we show how young people have begun to take up and share lesbian feminist concepts on social media platforms like TikTok. They do so in the name of resituating lesbian as a political project rather than an exclusionary demographic category. Instead of painting over lesbian feminism with the broad brushes of whiteness and trans-exclusivity, some young lesbians seek out other voices in the archive to debate whether and how this history might be recuperated as a challenge to white, cisnormative heteropatriarchy. Far from finding irrelevance, many revisiting lesbian feminism are excited to discover theories of gender, sexuality, and power that can be adapted to relocate lesbian to more durable and less essentializing territory than its current, narrowly biopolitical home. This presents a crucial opportunity to build bridges across generations and collectively resist the cooptation of lesbians as agents of white supremacist and transphobic political agendas.</t>
  </si>
  <si>
    <t>[Connell, Cati] Boston Univ, Boston, MA 02215 USA; [Fields, Io] LGBTQ Senior Housing Inc, Roslindale, MA USA; [Chudyk, Elliot] Univ Victoria, Victoria, BC, Canada</t>
  </si>
  <si>
    <t>Boston University; University of Victoria</t>
  </si>
  <si>
    <t>Connell, C (corresponding author), Boston Univ, Boston, MA 02215 USA.</t>
  </si>
  <si>
    <t>cati@bu.edu</t>
  </si>
  <si>
    <t>2024 MAR 23</t>
  </si>
  <si>
    <t>10.1080/10894160.2024.2334138</t>
  </si>
  <si>
    <t>MS7L9</t>
  </si>
  <si>
    <t>WOS:001195687400001</t>
  </si>
  <si>
    <t>Annabell, T; Aade, L; Goanta, C</t>
  </si>
  <si>
    <t>Annabell, Taylor; Aade, Laura; Goanta, Catalina</t>
  </si>
  <si>
    <t>(Un)disclosed brand partnerships: How platform policies and interfaces shape commercial content for influencers</t>
  </si>
  <si>
    <t>Monetisation; Advertising law; Consumer protection; Platforms; Influencer marketing</t>
  </si>
  <si>
    <t>LABOR</t>
  </si>
  <si>
    <t>Social media platforms mediate and regulate how influencers engage in monetisation practices. In this social-legal paper we examine one form of monetisation, influencer marketing, to understand how platform policies and interfaces shape commercial content for influencers. We situate our inquiry of governance by platforms within the governance of platforms, by focusing on the legal obligation to disclose commercial content under European consumer law. Combining an analysis of platform documentation for Instagram, TikTok, Snap, and YouTube, with insights from a walkthrough of each platform, we present five findings. First, we explore the terminology used by platforms to refer to influencers. Second, we outline how platforms frame commercial content and situate business models of influencer marketing. Third, we analyse how platforms present the duty to disclose commercial content and assign responsibility for compliance. Fourth, we examine how platforms facilitate disclosure through their in-app tools. Finally, we look at the articulation regarding the moderation of undisclosed commercial content by platforms. Our analysis unveils tensions between the law (governance of platforms) and what platforms do (governance by platforms). Overall, as platforms hold significant power in shaping monetisation practices, we argue that enforcing influencers' disclosure practices must be contextualised within the dynamics of platform governance.</t>
  </si>
  <si>
    <t>[Annabell, Taylor; Goanta, Catalina] Univ Utrecht, Utrecht, Netherlands; [Aade, Laura] Univ Luxembourg, Luxembourg City, Luxembourg</t>
  </si>
  <si>
    <t>Utrecht University; University of Luxembourg</t>
  </si>
  <si>
    <t>Annabell, T (corresponding author), Univ Utrecht, Utrecht, Netherlands.</t>
  </si>
  <si>
    <t>Luxembourg National Research Fund [PRIDE19/14268506]; ERC Starting Grant HUMANads ERC-2021-StG [101041824]</t>
  </si>
  <si>
    <t>Luxembourg National Research Fund(Luxembourg National Research Fund); ERC Starting Grant HUMANads ERC-2021-StG</t>
  </si>
  <si>
    <t>Luxembourg National Research Fund PRIDE19/14268506; ERC Starting Grant HUMANads ERC-2021-StG No 101041824.</t>
  </si>
  <si>
    <t>10.14763/2024.4.1814</t>
  </si>
  <si>
    <t>M4O1V</t>
  </si>
  <si>
    <t>WOS:001357343000002</t>
  </si>
  <si>
    <t>Guo, KH; Guan, MF; Yan, HC</t>
  </si>
  <si>
    <t>Guo, Kaihua; Guan, Mingfu; Yan, Haochen</t>
  </si>
  <si>
    <t>Utilising social media data to evaluate urban flood impact in data scarce cities</t>
  </si>
  <si>
    <t>INTERNATIONAL JOURNAL OF DISASTER RISK REDUCTION</t>
  </si>
  <si>
    <t>Social media; Spatiotemporal analysis; Information extraction; Urban flooding</t>
  </si>
  <si>
    <t>OPPORTUNITIES</t>
  </si>
  <si>
    <t>The growing amount of social media data is an invaluable and rapidly accessible source of information for flood response and recovery. In this study, a workflow framework is developed to assess urban flood impacts by extracting and analysing social media data, as well as identifying the intensive public response areas, using the case of 2020 China Chengdu rainstorm-induced flooding. A crawler-algorithm is applied to extract and filter the social media data from the commonly used social platforms, namely Weibo (static data) and Tiktok (dynamic data). Based on the spatiotemporal analysis, 232 flood sites with geological locations are identified. The study shows that, social media activities and precipitation are temporally correlated in a significant and positive way. The temporal evolution analysis of social media topics reveals the process of flooding and enables quick determination of severely affected areas. Spatially, social media data can provide spatial flood information and social media activities are typically connected with user demographics. Based on a flood simulation, the framework can generate valuable data sources of urban flooding from social media, which can enhance flood risk modelling with the aid of a hydrodynamic model. This study demonstrates the utility of social media in urban flooding impact assessment.</t>
  </si>
  <si>
    <t>[Guo, Kaihua; Guan, Mingfu; Yan, Haochen] Univ Hong Kong, Dept Civil Engn, Hong Kong, Peoples R China; [Guan, Mingfu] Univ Hong Kong, Dept Civil Engn, Pokfulam, Hong Kong, Peoples R China</t>
  </si>
  <si>
    <t>University of Hong Kong; University of Hong Kong</t>
  </si>
  <si>
    <t>Guan, MF (corresponding author), Univ Hong Kong, Dept Civil Engn, Pokfulam, Hong Kong, Peoples R China.</t>
  </si>
  <si>
    <t>wu, jialin/JPY-4408-2023; Guan, Mingfu/N-8118-2015</t>
  </si>
  <si>
    <t>Guan, Mingfu/0000-0002-5684-4697</t>
  </si>
  <si>
    <t>Early Career Scheme from the Hong Kong Research Grants Council [27202419]; SZ-HK-Macau Technology Research Programme [SGDX20210823103537035]</t>
  </si>
  <si>
    <t>Early Career Scheme from the Hong Kong Research Grants Council; SZ-HK-Macau Technology Research Programme</t>
  </si>
  <si>
    <t>The study is financially supported by Early Career Scheme from the Hong Kong Research Grants Council (grant number: 27202419) and SZ-HK-Macau Technology Research Programme (Type C) (grant number: SGDX20210823103537035) .</t>
  </si>
  <si>
    <t>2212-4209</t>
  </si>
  <si>
    <t>INT J DISAST RISK RE</t>
  </si>
  <si>
    <t>Int. J. Disaster Risk Reduct.</t>
  </si>
  <si>
    <t>10.1016/j.ijdrr.2023.103780</t>
  </si>
  <si>
    <t>Geosciences, Multidisciplinary; Meteorology &amp; Atmospheric Sciences; Water Resources</t>
  </si>
  <si>
    <t>Geology; Meteorology &amp; Atmospheric Sciences; Water Resources</t>
  </si>
  <si>
    <t>K3QT6</t>
  </si>
  <si>
    <t>WOS:001015626100001</t>
  </si>
  <si>
    <t>Alfaro, R; Venegas, R; Bronfman, A; Valenzuela, M; Riff, S; Sologuren, E</t>
  </si>
  <si>
    <t>Alfaro, Rodrigo; Venegas, Rene; Bronfman, Alan; Valenzuela, Miguel; Riff, Stephanie; Sologuren, Enrique</t>
  </si>
  <si>
    <t>Analysis and Automatic Summary of Privacy Policies</t>
  </si>
  <si>
    <t>LINGUAMATICA</t>
  </si>
  <si>
    <t>automatic summarization; private policies; risk factors; legal texts; Gensim; social networks</t>
  </si>
  <si>
    <t>A fundamental right of the users of computer applications is that they can know the privacy policies (PP) that such applications establish. It is particularly relevant that they know about the treatment that they accept regarding the use of their data. However, these PP are very extensive and written in administrative-legal and commercial language, which makes them difficult to read and understand. The aim of this paper is to automatically summarize the PPs of five social network applications (Facebook, Twitter, TikTok, Snapchat and Instagram) in spanish, through extractive and abstractive techniques. For this purpose, three representation approaches from Natural Language Processing are used, these are: Graph Analysis, TF-IDF and Gensim. Fifteen summaries were automatically generated and evaluated in order to measure the readability and relevance, by an expert in law, based on 20 questions prepared by a study of the University of Austin, Texas (Zaeem et al., 2018). Finally, based on a classification of each privacy policy according to different risk factors, the Gensim method is found to be the most suitable for the representation and summarization of the PP's. The PP of Snapchat is also identified as the application that best meets these risk factors.</t>
  </si>
  <si>
    <t>[Alfaro, Rodrigo; Venegas, Rene; Bronfman, Alan; Valenzuela, Miguel; Riff, Stephanie] Pontificia Univ Catolica Valparaiso, Valparaiso, Chile; [Sologuren, Enrique] Univ Desarrollo, Concepcion, Chile</t>
  </si>
  <si>
    <t>Pontificia Universidad Catolica de Valparaiso; Universidad del Desarrollo</t>
  </si>
  <si>
    <t>Alfaro, R; Venegas, R; Bronfman, A; Valenzuela, M; Riff, S (corresponding author), Pontificia Univ Catolica Valparaiso, Valparaiso, Chile.;Sologuren, E (corresponding author), Univ Desarrollo, Concepcion, Chile.</t>
  </si>
  <si>
    <t>VENEGAS, RENÉ/AAR-9772-2020; Alfaro, Rodrigo/ABH-7611-2020; Sologuren, Enrique/Q-7394-2019</t>
  </si>
  <si>
    <t>UNIV MINHO, INST EDUCACAO, CENTRO INVESTIGACAO EDUCACAO</t>
  </si>
  <si>
    <t>BRAGA</t>
  </si>
  <si>
    <t>CAMPUS GUALTAR, BRAGA, 4710, PORTUGAL</t>
  </si>
  <si>
    <t>1647-0818</t>
  </si>
  <si>
    <t>Linguamatica</t>
  </si>
  <si>
    <t>10.21814/lm.14.2.375</t>
  </si>
  <si>
    <t>8O9VT</t>
  </si>
  <si>
    <t>WOS:000926180300002</t>
  </si>
  <si>
    <t>Liu, WH; Liang, YJ; Tang, O; Shi, V; Liu, XY</t>
  </si>
  <si>
    <t>Liu, Weihua; Liang, Yanjie; Tang, Ou; Shi, Victor; Liu, Xinyun</t>
  </si>
  <si>
    <t>Cooperate or not? Strategic analysis of platform interactions considering market power and precision marketing</t>
  </si>
  <si>
    <t>TRANSPORTATION RESEARCH PART E-LOGISTICS AND TRANSPORTATION REVIEW</t>
  </si>
  <si>
    <t>Platform cooperation; Strategic decision; Precision marketing; Market power; Supply chain management</t>
  </si>
  <si>
    <t>RECOMMENDER SYSTEMS; SOCIAL COMMERCE; SUPPLY CHAIN; ORDER ALLOCATION; DECISION-MAKING; COORDINATION; OPTIMIZATION; COMPETITION; FRAMEWORK</t>
  </si>
  <si>
    <t>In order to increase market share and enhance business competitiveness, comprehensive retail platforms (CRPs), such as Taobao.com and JD.com, are currently cooperating with social service platforms (SSPs), such as TikTok and Meiyou. Therefore, more research attention needs to be paid to such platform supply chains. To this end, this study develops stylized models to explore the impacts of the market power of an SSP and the precision marketing of a CRP on platform cooperation. Our major research findings include the following. First, we investigate the equilibrium strategy and find that if the CRP's commission rate is low (high), cooperation becomes the equilibrium strategy when the SSP's market power is low (high). Second, in most cases, market power will affect the equilibrium strategy with a change in the commission rate. However, in a certain range of commission rates, the equilibrium strategy remains unchanged. That is, market power has an invalidation effect on the equilibrium strategy. Finally, we find that as the commission rate increases, precision marketing reduces the willingness of supply chain members to implement platform cooperation. However, when the commission rate is low, precision marketing stimulates cooperation between platforms. The study results provide guidelines for improving the cooperation between CRPs and SSPs.</t>
  </si>
  <si>
    <t>[Liu, Weihua; Liang, Yanjie; Liu, Xinyun] Tianjin Univ, Coll Management &amp; Econ, 92 Weijin Rd, Tianjin 300072, Peoples R China; [Tang, Ou] Linkoping Univ, Dept Management &amp; Engn, Linkoping, Sweden; [Shi, Victor] Wilfrid Laurier Univ, Lazaridis Sch Business &amp; Econ, Waterloo, ON N2L3C5, Canada</t>
  </si>
  <si>
    <t>Tianjin University; Linkoping University; Wilfrid Laurier University</t>
  </si>
  <si>
    <t>Liu, WH; Liang, YJ (corresponding author), Tianjin Univ, Coll Management &amp; Econ, 92 Weijin Rd, Tianjin 300072, Peoples R China.</t>
  </si>
  <si>
    <t>lwhliu@tju.edu.cn; yanjie950929@qq.com; Ou.tang@liu.se; cshi@wlu.ca; yuner_liu@tju.edu.cn</t>
  </si>
  <si>
    <t>Tang, Ou/ABI-7717-2020; liang, Yanjie/K-4906-2016</t>
  </si>
  <si>
    <t>Liang, Yanjie/0009-0001-8663-9029</t>
  </si>
  <si>
    <t>Major Program of National Fund of Philosophy and Social Science of China [18ZDA060]</t>
  </si>
  <si>
    <t>Major Program of National Fund of Philosophy and Social Science of China</t>
  </si>
  <si>
    <t>This research was funded by Major Program of National Fund of Philosophy and Social Science of China (grant No. 18ZDA060) .The reviewers' comments are also highly appreciated.</t>
  </si>
  <si>
    <t>1366-5545</t>
  </si>
  <si>
    <t>1878-5794</t>
  </si>
  <si>
    <t>TRANSPORT RES E-LOG</t>
  </si>
  <si>
    <t>Transp. Res. Pt. e-Logist. Transp. Rev.</t>
  </si>
  <si>
    <t>10.1016/j.tre.2021.102479</t>
  </si>
  <si>
    <t>Economics; Engineering, Civil; Operations Research &amp; Management Science; Transportation; Transportation Science &amp; Technology</t>
  </si>
  <si>
    <t>Business &amp; Economics; Engineering; Operations Research &amp; Management Science; Transportation</t>
  </si>
  <si>
    <t>WF3DV</t>
  </si>
  <si>
    <t>WOS:000706190200002</t>
  </si>
  <si>
    <t>Huang, SS; Li, HX; Li, QS; Zheng, CY; Liu, L</t>
  </si>
  <si>
    <t>Huang, Shanshan; Li, Haoxuan; Li, Qingsong; Zheng, Chunyuan; Liu, Li</t>
  </si>
  <si>
    <t>Pareto Invariant Representation Learning for Multimedia Recommendation</t>
  </si>
  <si>
    <t>PROCEEDINGS OF THE 31ST ACM INTERNATIONAL CONFERENCE ON MULTIMEDIA, MM 2023</t>
  </si>
  <si>
    <t>31st ACM International Conference on Multimedia (MM)</t>
  </si>
  <si>
    <t>OCT 29-NOV 03, 2023</t>
  </si>
  <si>
    <t>Ottawa, CANADA</t>
  </si>
  <si>
    <t>Multimedia Recommendation; Multimedia Representation Learning; Invariant Learning; Multi-objective Optimization</t>
  </si>
  <si>
    <t>Multimedia recommendation involves personalized ranking tasks, where multimedia content is usually represented using a generic encoder. However, these generic representations introduce spurious correlations that fail to reveal users' true preferences. Existing works attempt to alleviate this problem by learning invariant representations, but overlook the balance between independent and identically distributed (IID) and out-of-distribution (OOD) generalization. In this paper, we propose a framework called Pareto Invariant Representation Learning (PaInvRL) to mitigate the impact of spurious correlations from an IID-OOD multi-objective optimization perspective, by learning invariant representations (intrinsic factors that attract user attention) and variant representations (other factors) simultaneously. Specifically, PaInvRL includes three iteratively executed modules: (i) heterogeneous identification module, which identifies the heterogeneous environments to reflect distributional shifts for user-item interactions; (ii) invariant mask generation module, which learns invariant masks based on the Pareto-optimal solutions that minimize the adaptive weighted Invariant Risk Minimization (IRM) and Empirical Risk (ERM) losses; (iii) convert module, which generates both variant representations and item-invariant representations for training a multi-modal recommendation model that mitigates spurious correlations and balances the generalization performance within and cross the environmental distributions. We compare the proposed PaInvRL with state-of-the-art recommendation models on three public multimedia recommendation datasets (Movielens, Tiktok, and Kwai), and the experimental results validate the effectiveness of PaInvRL for both within- and cross-environmental learning.</t>
  </si>
  <si>
    <t>[Huang, Shanshan; Li, Qingsong; Liu, Li] Chongqing Univ, Chongqing, Peoples R China; [Li, Haoxuan] Peking Univ, Beijing, Peoples R China; [Zheng, Chunyuan] Univ Calif San Diego, San Diego, CA USA</t>
  </si>
  <si>
    <t>Chongqing University; Peking University; University of California System; University of California San Diego</t>
  </si>
  <si>
    <t>Liu, L (corresponding author), Chongqing Univ, Chongqing, Peoples R China.</t>
  </si>
  <si>
    <t>shanshanhuang@cqu.edu.cn; hxli@stu.pku.edu.cn; liqingsong@stu.cqu.edu.cn; czheng@ucsd.edu; dcsliuli@cqu.edu.cn</t>
  </si>
  <si>
    <t>Li, qingsong/AAA-9010-2020</t>
  </si>
  <si>
    <t>Huang, Shanshan/0000-0001-7893-3861; Li, Haoxuan/0000-0003-3620-3769; Liu, Li/0000-0002-4776-5292</t>
  </si>
  <si>
    <t>National Major Science and Technology Projects of China [2022YFB3303302]; National Natural Science Foundation of China [61977012, 62207007]; Central Universities Project in China for the Digital Cinema Art Theory and Technology Lab at Chongqing University [2021CDJYGRH011, 2020CDJSK06PT14]</t>
  </si>
  <si>
    <t>National Major Science and Technology Projects of China; National Natural Science Foundation of China(National Natural Science Foundation of China (NSFC)); Central Universities Project in China for the Digital Cinema Art Theory and Technology Lab at Chongqing University</t>
  </si>
  <si>
    <t>This work was supported by grants from the National Major Science and Technology Projects of China (grant no: 2022YFB3303302), the National Natural Science Foundation of China (grant nos: 61977012, 62207007) and the Central Universities Project in China for the Digital Cinema Art Theory and Technology Lab at Chongqing University (grant nos: 2021CDJYGRH011, 2020CDJSK06PT14).</t>
  </si>
  <si>
    <t>979-8-4007-0108-5</t>
  </si>
  <si>
    <t>10.1145/3581783.3612591</t>
  </si>
  <si>
    <t>BW8BJ</t>
  </si>
  <si>
    <t>WOS:001199449106044</t>
  </si>
  <si>
    <t>Lu, QB; Guo, FP; Zhou, W; Wang, ZF; Ji, SB</t>
  </si>
  <si>
    <t>Lu, Qibei; Guo, Feipeng; Zhou, Wei; Wang, Zifan; Ji, Shaobo</t>
  </si>
  <si>
    <t>Mobile Social Recommendation Model Integrating Users' Personality Traits and Relationship Strength under Privacy Concerns</t>
  </si>
  <si>
    <t>social recommendation system; privacy concerns; personality traits; user relationship strength; collaborative filtering recommendation</t>
  </si>
  <si>
    <t>NETWORKS; CONTEXT</t>
  </si>
  <si>
    <t>Aiming at the problem of data sparsity, cold start, and privacy concerns in complex information recommendation systems, such as personalized marketing on Alibaba or TikTok, this paper proposes a mobile social recommendation model integrating users' personality traits and social relationship strength under privacy concerns (PC-MSPR). Firstly, PC-MSPR focuses on specific personality traits, including openness, extraversion, and agreeableness, and their impacts on mobile users' online behaviors. A personality traits calculation method that incorporates privacy preferences (PP-PTM) is then introduced. Secondly, a novel method for calculating the users' relationship strength, based on their social network interactive activities and domain ontologies (AI-URS) is proposed. AI-URS divides the interactive activities into activity domains and calculates the strength of relationships between users belonging to the same activity domain; at the same time, the comprehensive relationship strength of users in the same domain, including direct relationships and indirect relationships, is calculated based on interactive activity documents. Finally, social recommendations are derived by integrating personality traits and social relationships to calculate user similarity. The proposed model is validated using empirical data. The results show the model's superiority in alleviating data sparsity and cold-start problems, obtaining higher recommendation precision, and reducing the impact of privacy concerns regarding the users' adoption of personalized recommendation services.</t>
  </si>
  <si>
    <t>[Lu, Qibei] Zhejiang Int Studies Univ, Sch Int Business, Hangzhou 310023, Peoples R China; [Guo, Feipeng; Zhou, Wei; Wang, Zifan] Zhejiang Gongshang Univ, Sch Management &amp; Ebusiness, Hangzhou 310018, Peoples R China; [Guo, Feipeng; Zhou, Wei; Wang, Zifan] Zhejiang Gongshang Univ, Modern Business Res Ctr, Hangzhou 310018, Peoples R China; [Ji, Shaobo] Carleton Univ, Sprott Sch Business, Ottawa, ON K1S 5B6, Canada</t>
  </si>
  <si>
    <t>Zhejiang International Studies University; Zhejiang Gongshang University; Zhejiang Gongshang University; Carleton University</t>
  </si>
  <si>
    <t>Guo, FP (corresponding author), Zhejiang Gongshang Univ, Sch Management &amp; Ebusiness, Hangzhou 310018, Peoples R China.;Guo, FP (corresponding author), Zhejiang Gongshang Univ, Modern Business Res Ctr, Hangzhou 310018, Peoples R China.</t>
  </si>
  <si>
    <t>guofp@mail.zjgsu.edu.cn</t>
  </si>
  <si>
    <t>wang, zifan/HHS-5709-2022; Ji, Shaobo/AAH-6964-2020</t>
  </si>
  <si>
    <t>Zhou, Wei/0000-0003-4778-591X</t>
  </si>
  <si>
    <t>Zhejiang Provincial Philosophy and Social Sciences Planning Project; Soft Science Research Program of Zhejiang; National Natural Science Foundation of China; Basic and Public Welfare Research Project of Zhejiang Province, China; Fundamental Research Funds for the Provincial Universities of Zhejiang, China; [21NDJC017Z]; [2022C35018]; [71802180]; [LGJ21G010001]; [XR202203]</t>
  </si>
  <si>
    <t>Zhejiang Provincial Philosophy and Social Sciences Planning Project; Soft Science Research Program of Zhejiang; National Natural Science Foundation of China(National Natural Science Foundation of China (NSFC)); Basic and Public Welfare Research Project of Zhejiang Province, China; Fundamental Research Funds for the Provincial Universities of Zhejiang, China; ; ; ; ;</t>
  </si>
  <si>
    <t>This research was supported by the Zhejiang Provincial Philosophy and Social Sciences Planning Project (No. 21NDJC017Z); the Soft Science Research Program of Zhejiang (No. 2022C35018); the National Natural Science Foundation of China (No. 71802180); the Basic and Public Welfare Research Project of Zhejiang Province, China (No. LGJ21G010001); the Fundamental Research Funds for the Provincial Universities of Zhejiang, China (No. XR202203).</t>
  </si>
  <si>
    <t>10.3390/systems10060198</t>
  </si>
  <si>
    <t>7H0AQ</t>
  </si>
  <si>
    <t>WOS:000902875400001</t>
  </si>
  <si>
    <t>Bonner, J; Mathis, F; O'Hagan, J; McGill, M</t>
  </si>
  <si>
    <t>Bonner, Jolie; Mathis, Florian; O'Hagan, Joseph; McGill, Mark</t>
  </si>
  <si>
    <t>When Filters Escape the Smartphone: Exploring Acceptance and Concerns Regarding Augmented Expression of Social Identity for Everyday AR</t>
  </si>
  <si>
    <t>29TH ACM SYMPOSIUM ON VIRTUAL REALITY SOFTWARE AND TECHNOLOGY, VRST 2023</t>
  </si>
  <si>
    <t>29th ACM Symposium on Virtual Reality Software and Technology (VRST)</t>
  </si>
  <si>
    <t>OCT 09-11, 2023</t>
  </si>
  <si>
    <t>Christchurch, NEW ZEALAND</t>
  </si>
  <si>
    <t>Assoc Comp Machinery,Univ Canterbury,Human Interface Technol Lab New Zealand,Autodesk,100% Pure New Zealand,Niantic,Australasian Researchers Interact &amp; Virtual Environm,UIX,SIGCHI,ACMSIGGRAPH</t>
  </si>
  <si>
    <t>Augmented Reality; Mediated Perception; Identity; Social Identity; Augmented Identity; Self-Presentation; AR Filters</t>
  </si>
  <si>
    <t>Mass adoption of Everyday Augmented Reality (AR) glasses will enable pervasive augmentation of our expression of social identity through AR filters, transforming our perception of self and others. However, despite filters' prominent and often problematic usage in social media, research has yet to reflect on the potential impact AR filters might have when brought into everyday life. Informed by our survey of 300 existing popular AR filters used on Snapchat, Instagram and Tiktok, we conducted an AR-in-VR user study where participants (N=24) were exposed to 18 filters across six categories. We evaluated the social acceptability of these augmentations around others and attitudes towards an individual's augmented self. Our findings highlight 1) how users broadly respected another individual's augmented self; 2) positive use cases, such as supporting the presentation of gender identity; and 3) tensions around applying AR filters to others (e.g. censorship, changing protected characteristics) and their impact on self-perception (e.g. perpetuating unrealistic beauty standards). We raise questions regarding the rights of individuals to augment and be augmented that provoke the need for further consideration of AR augmentations in society.</t>
  </si>
  <si>
    <t>[Bonner, Jolie; O'Hagan, Joseph; McGill, Mark] Univ Glasgow, Glasgow, Lanark, Scotland; [Mathis, Florian] Univ St Gallen, St Gallen, Switzerland</t>
  </si>
  <si>
    <t>University of Glasgow; University of St Gallen</t>
  </si>
  <si>
    <t>Bonner, J (corresponding author), Univ Glasgow, Glasgow, Lanark, Scotland.</t>
  </si>
  <si>
    <t>jolie.bonner@glasgow.ac.uk; florian.mathis@unisg.ch; joseph.ohagan@glasgow.ac.uk; mark.mcgill@glasgow.ac.uk</t>
  </si>
  <si>
    <t>O'Hagan, Joseph/0000-0003-2905-1584; Mathis, Florian/0000-0002-1690-3410; Bonner, Jolie/0009-0009-7649-395X</t>
  </si>
  <si>
    <t>Research Impact &amp; Knowledge Exchange (RIKE) committee in the School of Computing Science, University of Glasgow; International Postdoctoral Fellowship (IPF), University of St. Gallen</t>
  </si>
  <si>
    <t>Thanks to the Research Impact &amp; Knowledge Exchange (RIKE) committee in the School of Computing Science, University of Glasgow, for funding this research. This research was also partially supported by an International Postdoctoral Fellowship (IPF), University of St. Gallen. We also thank our participants for taking part in our study.</t>
  </si>
  <si>
    <t>979-8-4007-0328-7</t>
  </si>
  <si>
    <t>10.1145/3611659.3615707</t>
  </si>
  <si>
    <t>Computer Science, Cybernetics; Computer Science, Software Engineering; Computer Science, Theory &amp; Methods; Engineering, Electrical &amp; Electronic</t>
  </si>
  <si>
    <t>BW2TZ</t>
  </si>
  <si>
    <t>WOS:001125882900014</t>
  </si>
  <si>
    <t>Zhang, MM; Xu, P; Ye, YJ</t>
  </si>
  <si>
    <t>Zhang, Mingmin; Xu, Ping; Ye, Yinjiao</t>
  </si>
  <si>
    <t>Trust in social media brands and perceived media values: A survey study in China</t>
  </si>
  <si>
    <t>Perceived media value; Social media; Brand trust; Structural equation model; Scale development</t>
  </si>
  <si>
    <t>RELATIONSHIP QUALITY; GRATIFICATIONS; COMMITMENT; ENGAGEMENT; FACEBOOK; LOYALTY; NEWS; DETERMINANTS; SATISFACTION; CONSUMPTION</t>
  </si>
  <si>
    <t>Chinese social media platforms such as WeChat, TikTok (Douyin in Chinese), and Weibo have become increasingly popular, attracting large amounts of loyal users in and outside of China. Borrowing theories on brand trust and perceived brand values from Marketing and Management, this study examines how perceived media values influence trust in Chinese social media brands such as Weibo and WeChat. Utilizing original survey data collected from Chinese social media users, our study finds that: (1) Chinese users perceive five layers of values in using social media applications, including information value, entertainment value, social networking value, social status value, and organizational communication value; (2) these perceived media values have different effects on trust in social media brands: while entertainment value, social networking value, and social status value directly affect social media brand trust, information value and organizational communication value indirectly affect social media brand trust through social status value, social networking value and/or entertainment value. Our study suggests an important explanation for trust in social media and develops a scale of perceived media values (PMV) that can be used by future researchers.</t>
  </si>
  <si>
    <t>[Zhang, Mingmin] South China Normal Univ, Dept Journalism &amp; Commun, Guangzhou, Guangdong, Peoples R China; [Xu, Ping] Univ Rhode Isl, Dept Polit Sci, Kingston, RI 02881 USA; [Ye, Yinjiao] Univ Rhode Isl, Dept Commun Studies, Kingston, RI 02881 USA</t>
  </si>
  <si>
    <t>South China Normal University; University of Rhode Island; University of Rhode Island</t>
  </si>
  <si>
    <t>Ye, YJ (corresponding author), Univ Rhode Isl, Dept Commun Studies, Kingston, RI 02881 USA.</t>
  </si>
  <si>
    <t>zhangmingmin@m.scnu.edu.com; pingxu@uri.edu; yinjiao_ye@uri.edu</t>
  </si>
  <si>
    <t>Zhang, Mingmin/0009-0006-3120-4622; Ye, Yinjiao/0000-0002-1568-8931</t>
  </si>
  <si>
    <t>Guangdong Provincial Social Sci-ence Fund [GD17YXW01]</t>
  </si>
  <si>
    <t>Guangdong Provincial Social Sci-ence Fund</t>
  </si>
  <si>
    <t>This research is supported by the Guangdong Provincial Social Sci-ence Fund (GD17YXW01) .</t>
  </si>
  <si>
    <t>10.1016/j.chb.2021.107024</t>
  </si>
  <si>
    <t>WC7AR</t>
  </si>
  <si>
    <t>WOS:000704407400003</t>
  </si>
  <si>
    <t>Moina-Rivera, W; Gutiérrez-Aguado, J; Garcia-Pineda, M</t>
  </si>
  <si>
    <t>Moina-Rivera, Wilmer; Gutierrez-Aguado, Juan; Garcia-Pineda, Miguel</t>
  </si>
  <si>
    <t>Multi-resolution Quality-based Video Coding System for DASH Scenarios</t>
  </si>
  <si>
    <t>PROCEEDINGS OF THE 31ST ACM WORKSHOP ON NETWORK AND OPERATING SYSTEMS SUPPORT FOR DIGITAL AUDIO AND VIDEO (NOSSDAV '21)</t>
  </si>
  <si>
    <t>31st ACM Workshop on Network and Operating Systems Support for Digital Audio and Video (NOSSDAV) as part of MMSys Conference</t>
  </si>
  <si>
    <t>SEP 28-OCT 01, 2021</t>
  </si>
  <si>
    <t>Istanbul, TURKEY</t>
  </si>
  <si>
    <t>Assoc Comp Machinery,ACM SIGMM,ACM SIGCOMM,ACM SIGMOBILE</t>
  </si>
  <si>
    <t>video coding; quality; multi-resolution; DASH; VMAF; QoE</t>
  </si>
  <si>
    <t>Today, more than 85% of Internet traffic has a multimedia component. Video streaming occupies a large part of this percentage mainly because this type of content is provided by the most used applications on the Internet (e.g. Twitch, TikTok, Disney+, YouTube, Netflix, etc.). Most of these platforms use HTTP Adaptive Streaming (HAS) to send this media content to end users in order to ensure a good quality of experience (QoE). But, this QoE should be guaranteed from the video to be transmitted, i.e., the video should have an adequate quality by minimizing the bitrate before transmission. In order to solve this issue, we present a system capable of encoding a video in several resolutions given the desired value of an objective metric. Our system includes the objective metric in the encoding loop in order to maintain the quality in all segments. This system has been tested with three video and five resolutions for each video. Our proposal provides improvements of more than 10% in terms of video size and with similar coding times when compared with a fixed Constant Rate Factor (CRF) encoding. A visual comparison between our proposal and a fixed CRF encoding can be seen at: https://links.uv.es/jgutierr/multiresQ</t>
  </si>
  <si>
    <t>[Moina-Rivera, Wilmer; Gutierrez-Aguado, Juan; Garcia-Pineda, Miguel] Univ Valencia, Comp Sci Dept, Valencia, Spain</t>
  </si>
  <si>
    <t>Moina-Rivera, W (corresponding author), Univ Valencia, Comp Sci Dept, Valencia, Spain.</t>
  </si>
  <si>
    <t>wilmoiri@alumni.uv.es; juan.gutierrez@uv.es; miguel.garcia-pineda@uv.es</t>
  </si>
  <si>
    <t>Garcia-Pineda, Miguel/P-1041-2019; Gutierrez-Aguado, Juan/L-8202-2014; Garcia Pineda, Miguel/C-3094-2014</t>
  </si>
  <si>
    <t>Gutierrez-Aguado, Juan/0000-0001-5527-8091; Garcia Pineda, Miguel/0000-0003-2590-6370; Moina-Rivera, Wilmer Ariel/0000-0002-4895-3316</t>
  </si>
  <si>
    <t>Spanish MCIU program [RTI2018-098156-B-C55, RED2018-102383-T]; Generalitat Valenciana [GV/2020/046]</t>
  </si>
  <si>
    <t>Spanish MCIU program; Generalitat Valenciana(Center for Forestry Research &amp; Experimentation (CIEF))</t>
  </si>
  <si>
    <t>This work has been supported by Spanish MCIU program under Grant RTI2018-098156-B-C55, network of excellence RED2018-102383-T, and by Generalitat Valenciana under Grant GV/2020/046.</t>
  </si>
  <si>
    <t>978-1-4503-8435-3</t>
  </si>
  <si>
    <t>10.1145/3458306.3460996</t>
  </si>
  <si>
    <t>Computer Science, Hardware &amp; Architecture; Computer Science, Information Systems; Computer Science, Software Engineering</t>
  </si>
  <si>
    <t>BS6JN</t>
  </si>
  <si>
    <t>WOS:000748923900006</t>
  </si>
  <si>
    <t>Cheng, WY; Tian, RW; Chiu, DKW</t>
  </si>
  <si>
    <t>Cheng, Wenyi; Tian, Ruwen; Chiu, Dickson K. W.</t>
  </si>
  <si>
    <t>Travel vlogs influencing tourist decisions: information preferences and gender differences</t>
  </si>
  <si>
    <t>ASLIB JOURNAL OF INFORMATION MANAGEMENT</t>
  </si>
  <si>
    <t>Travel vlog; Vlog impacts; Information preference; Gender difference; Quantitative research; Survey</t>
  </si>
  <si>
    <t>ONLINE; MEDIA; MODEL; SEARCH</t>
  </si>
  <si>
    <t>PurposeAs independent travel has become increasingly popular in recent years, factors influencing users' attitudes and behaviors should be explored. Besides, the rise of video platforms like YouTube, Bilibili and TikTok has led to the flourishing of user generated content (UGC), among which travel vlogs have become convenient and essential references for tourists before and while they travel on their own.Design/methodology/approachThis research used quantitative analysis through a survey designed for young people, as most vlog viewers are in those age groups, to explore the attitudes and perceptions of vlog preference, attitudes and cognizance of travel vlogs among different gender, guided by the decision-making theory and preference theory with 455 participants.FindingsSurvey results showed that both genders have common choices regarding travel vlog preference, attitudes, sharing and cognizance. Yet, gender differences appear in some cognition of travel vlogs and specific preferences, such as information searching habits, trusty travel and information sources.Originality/valueExisting studies focus on the influence of platforms on users, but scant studies focus on user perceptions of vlogs as a new information carrier for young people in East Asia, especially regarding gender differences, which is crucial in media-based marketing. This research provides practical suggestions to marketers and vloggers to attract and engage different genders of young people and theoretical implications on decision and preference theories.</t>
  </si>
  <si>
    <t>[Cheng, Wenyi; Tian, Ruwen; Chiu, Dickson K. W.] Univ Hong Kong, Fac Educ, Pokfulam, Hong Kong, Peoples R China; [Tian, Ruwen] City Univ Hong Kong, Dept Informat Syst, Kowloon Tong, Hong Kong, Peoples R China</t>
  </si>
  <si>
    <t>University of Hong Kong; City University of Hong Kong</t>
  </si>
  <si>
    <t>Chiu, DKW (corresponding author), Univ Hong Kong, Fac Educ, Pokfulam, Hong Kong, Peoples R China.</t>
  </si>
  <si>
    <t>wenyi95@connect.hku.hk; 569868014@qq.com; dicksonchiu@ieee.org</t>
  </si>
  <si>
    <t>Chiu, Dickson K. W./B-9630-2017</t>
  </si>
  <si>
    <t>TIAN, Ruwen/0000-0003-1802-9189; Chiu, Dickson K. W./0000-0002-7926-9568</t>
  </si>
  <si>
    <t>2050-3806</t>
  </si>
  <si>
    <t>1758-3748</t>
  </si>
  <si>
    <t>ASLIB J INFORM MANAG</t>
  </si>
  <si>
    <t>Aslib J. Inf. Manag.</t>
  </si>
  <si>
    <t>10.1108/AJIM-05-2022-0261</t>
  </si>
  <si>
    <t>CN6J9</t>
  </si>
  <si>
    <t>WOS:000911821000001</t>
  </si>
  <si>
    <t>Shi, R; Liu, Y; Chen, JJ; Zou, X; Chen, YB; Fan, MH; Cai, ZH; Zhang, GH; Li, ZW; Liang, YM</t>
  </si>
  <si>
    <t>Shi, Rui; Liu, Yang; Chen, Jianjun; Zou, Xuan; Chen, Yanbin; Fan, Minghua; Cai, Zhihao; Zhang, Guanghui; Li, Zhiwen; Liang, Yuming</t>
  </si>
  <si>
    <t>IPS: Unified Profile Management for Ubiquitous Online Recommendations</t>
  </si>
  <si>
    <t>2021 IEEE 37TH INTERNATIONAL CONFERENCE ON DATA ENGINEERING (ICDE 2021)</t>
  </si>
  <si>
    <t>IEEE International Conference on Data Engineering</t>
  </si>
  <si>
    <t>37th IEEE International Conference on Data Engineering (IEEE ICDE)</t>
  </si>
  <si>
    <t>APR 19-22, 2021</t>
  </si>
  <si>
    <t>Feature Management; Feature Serving; Recommendation System</t>
  </si>
  <si>
    <t>REAL-TIME</t>
  </si>
  <si>
    <t>ByteDance offers several massively popular products such as TikTok, Jinri Toutiao and Douyin for creating, sharing and discovering a variety of content, in which recommendation plays an indispensable role for helping billions of users to interact with highly personalized content. The personalized experience in products largely comes from the ability of sophisticated machine learning models to make accurate predictions based on users' interests and one key component in such systems is the user profile service. In this paper, we introduce Instance Profile Service (IPS), a large scale distributed system for managing unstructured profile data as well as serving various feature computations at ByteDance. Different products leverage IPS in many different ways and place various demands on the system, in terms of complex computation logic and latency requirements. One major challenge in the design of a large scale user profile system is how to strike the right balance among efficiency, scalability, reliability and versatility. With deliberated choices made on its design and implementation, we demonstrate IPS can provide a simple yet flexible solution to all these products while meeting the targeted high availability and performance goals. At ByteDance, IPS has successfully replaced many legacy profile systems and runs on thousands of machines. One of our largest production instances can process a hundred million feature queries and tens of millions writes per second.</t>
  </si>
  <si>
    <t>[Shi, Rui; Liu, Yang; Chen, Jianjun; Zou, Xuan; Chen, Yanbin; Fan, Minghua; Cai, Zhihao; Zhang, Guanghui; Li, Zhiwen; Liang, Yuming] ByteDance Inc, Beijing, Peoples R China</t>
  </si>
  <si>
    <t>Shi, R (corresponding author), ByteDance Inc, Beijing, Peoples R China.</t>
  </si>
  <si>
    <t>ips-paper@bytedance.com</t>
  </si>
  <si>
    <t>Chen, Yanbin/GZM-9730-2022</t>
  </si>
  <si>
    <t>1084-4627</t>
  </si>
  <si>
    <t>978-1-7281-9184-3</t>
  </si>
  <si>
    <t>PROC INT CONF DATA</t>
  </si>
  <si>
    <t>10.1109/ICDE51399.2021.00288</t>
  </si>
  <si>
    <t>BS1DL</t>
  </si>
  <si>
    <t>WOS:000687830800280</t>
  </si>
  <si>
    <t>Hu, SS; Kirkpatrick, CE; Lee, N; Hong, Y; Lee, S; Hinnant, A</t>
  </si>
  <si>
    <t>Hu, Sisi; Kirkpatrick, Ciera E.; Lee, Namyeon; Hong, Yoorim; Lee, Sungkyoung; Hinnant, Amanda</t>
  </si>
  <si>
    <t>Using Short-Form Videos to Get Clinical Trial Newcomers to SignUp:Message-Testing Experiment</t>
  </si>
  <si>
    <t>clinical trial recruitment; TikTok; source credibility; framing; psychological barriers; logistical barriers; integrated behavioralmodel; short-form videos; social media use; clinical trial; recruitment</t>
  </si>
  <si>
    <t>INFORMATION-SOURCES; HEALTH INFORMATION; SOURCE CREDIBILITY; AFRICAN-AMERICAN; KNOWLEDGE; PARTICIPATION; PERCEPTIONS; BARRIERS; MODEL</t>
  </si>
  <si>
    <t>Background: Recruiting participants for clinical trials poses challenges. Major barriers to participation include psychologicalfactors (eg, fear and mistrust) and logistical constraints (eg, transportation, cost, and scheduling). The strategic design of clinicaltrial messaging can help overcome these barriers. While strategic communication can be done through various channels (eg,recruitment advertisements), health care providers on the internet have been found to be key sources for communicating clinicaltrial information to US adults in the social media era. Objective: This study aims to examine how communication source (ie, medical doctors and peers) and message framing ofTikTok videos (ie, psychological and logistical framing) influence clinical trial-related attitudes, perceptions, and sign-up behaviorsunder the guidance of the integrated behavioral model. Methods: This study used a 2 (source: doctor vs peer) x 2 (framing: psychological vs logistical) between-participant factorialdesign web-based experiment targeting adults in the United States who had never participated in clinical trials (ie, newcomers).A Qualtrics panel was used to recruit and compensate the study respondents (n=561). Participants viewed short-form videos withdoctors or peers, using psychological or logistical framing. The main outcome measures included perceived source credibility,self-efficacy, attitude toward clinical trial participation, behavioral intention, and sign-up behavior. Structural equation modelingwas used to analyze the direct and indirect effects of message factors on the outcome variables. Source (doctor=1; peer=0) andframing (psychological=1; logistical=0) were dummy-coded. Results: Doctor-featured messages led to greater perceived source credibility (beta=.31, P&lt;.001), leading to greater self-efficacy(95% CI 0.13-0.30), which in turn enhanced behavioral intention (95% CI 0.12-0.29) and clinical trial sign-up behavior (95% CI0.02-0.04). Logistical barrier-framed messages led to greater self-efficacy (beta=-.09, P=.02), resulting in higher intention toparticipate in clinical trials (95% CI -0.38 to -0.03) and improved sign-up behavior (95% CI -0.06 to -0.004). Logisticalbarrier-framed messages were also directly associated with an increased likelihood of signing up for a clinical trial (beta=-.08,P=.03). The model accounted for 21% of the variance in clinical trial sign-up behavior. Attitude did not significantly affectbehavioral intention in this study (beta=.08, P=.14), and psychological and logistical barrier-framed messages did not significantlydiffer in attitudes toward clinical trial participation (beta=-.04, P=.09). Conclusions: These findings advance our understanding of how people process popular message characteristics in short-formvideos and lend practical guidance for communicators. We encourage medical professionals to consider short-form video sites(eg, TikTok and Instagram Reels) as effective tools for discussing clinical trials and participation opportunities. Specifically featuring doctors discussing efforts to reduce logistical barriers is recommended. Our measuring of actual behavior as an outcomeis a rare and noteworthy contribution to this research.</t>
  </si>
  <si>
    <t>[Hu, Sisi] Univ Arkansas, Sch Journalism &amp; Strateg Media, 129 Kimpel Hall,280 N McIlroy Ave, Fayetteville, AR 72701 USA; [Kirkpatrick, Ciera E.] Univ Nebraska, Coll Journalism &amp; Mass Commun, Lincoln, NE USA; [Lee, Namyeon] Univ N Carolina, Dept Mass Commun, Pembroke, NC USA; [Hong, Yoorim; Lee, Sungkyoung; Hinnant, Amanda] Univ Missouri, Sch Journalism, Columbia, MO USA</t>
  </si>
  <si>
    <t>University of Arkansas System; University of Arkansas Fayetteville; University of Nebraska System; University of Nebraska Lincoln; University of North Carolina; University of North Carolina at Pembroke; University of Missouri System; University of Missouri Columbia</t>
  </si>
  <si>
    <t>Hu, SS (corresponding author), Univ Arkansas, Sch Journalism &amp; Strateg Media, 129 Kimpel Hall,280 N McIlroy Ave, Fayetteville, AR 72701 USA.</t>
  </si>
  <si>
    <t>sisih@uark.edu</t>
  </si>
  <si>
    <t>Hu, Sisi/IQX-1899-2023; Kirkpatrick, Ciera/GOG-8671-2022; Lee, Namyeon/ABA-6417-2021</t>
  </si>
  <si>
    <t>Hu, Sisi/0000-0002-2192-0514; Kirkpatrick, Ciera/0000-0002-2598-753X; Lee, Namyeon/0000-0002-1771-0311; Hinnant, Amanda/0000-0002-9180-6848</t>
  </si>
  <si>
    <t>e49600</t>
  </si>
  <si>
    <t>10.2196/49600</t>
  </si>
  <si>
    <t>E4W4C</t>
  </si>
  <si>
    <t>WOS:001303020400002</t>
  </si>
  <si>
    <t>Ballester, CC; Sola, FL</t>
  </si>
  <si>
    <t>Ballester, Carmen Carreton; Sola, Francisco Lorenzo</t>
  </si>
  <si>
    <t>Public relations in Civil Guard communication during COVID-19</t>
  </si>
  <si>
    <t>REVISTA INTERNACIONAL DE RELACIONES PUBLICAS</t>
  </si>
  <si>
    <t>responsible communication; Civil Guard; public relations; COVID-19</t>
  </si>
  <si>
    <t>COVID-19 copied the information content in the media and highlighted the need for responsible communication from all spheres of society to guarantee citizen security and maintain the trust and credibility of the authorities as sources of information. In a context of information multiplatforms, official communication focused on the rotation of public appearances and an increase in fake news, the need to be informed increases the use and consumption of media by citizens, while at the same time rigorous official communication is demanded by the agents in authority. This study aims to describe the relationship of the Guardia Civil with different audiences, as an active agent and formal prescriber during the pandemic based on three objectives: 1. To know the presence of the Civil Guard in the conventional and digital media during the pandemic; 2. To describe the treatment and approach of news about the Guardia Civil in the press during the pandemic; and 3. From the information about its stakeholders in the social responsibility reports, infer the relational role of the Guardia Civil with its audiences in the press news. To achieve the objectives, a mixed methodology with content analysis is used. First, a quantitative and qualitative analysis of the strategic communication (media used and stakeholders) described in the Social Responsibility Reports of 2019 and 2020, and in the Sustainability Plan (2021-2025) of the Civil Guard is carried out. Second, based on the search for the keywords Guardia Civil and COVID in the two generalist newspapers with the largest coverage in Spain (El Pals and El Mundo), and throughout the six waves (from March 14, 2020 to December 31, 2021), a content analysis of the 198 resulting news items is performed (FACTIVA database). The analysis variables are: year, newspaper, focus, role of the CG in the communication, media treatment, formal agents and publics in the news and level of responsibility in their communicative behavior. The data indicate a segmentation of audiences in the Social Responsibility and Sustainability Plan reports that show a communication strategy based on a motivational relational behavior of the Civil Guard with its stakeholders, as opposed to a prescriptive presence of other official bodies or protagonist with a predominantly informative approach of the news in the media towards the general population. The only exception refers to the group of young people who appear associated with news about the intervention of the Guardia Civil for non-compliance with restrictions. Although the presence of the Guardia Civil in the media decreases in 2020, its strategy maintains-coinciding with several studies-the use of media that generate more trust in the population (traditional and digital) and, in addition, it registers an increase in followers on Twitter and TikTok. The news with informative approaches refer to restrictions, while the motivational ones focus on communicating measures to safeguard health. It is concluded that although its communicative strategy segments audiences, even in its profiles in social networks such as TikTok, it is still not a visible strategy in news about the Civil Guard in the media.</t>
  </si>
  <si>
    <t>[Ballester, Carmen Carreton; Sola, Francisco Lorenzo] Univ Alicante, Dept Comunicac &amp; Psicol Social, Alicante, Spain</t>
  </si>
  <si>
    <t>Ballester, CC (corresponding author), Univ Alicante, Dept Comunicac &amp; Psicol Social, Alicante, Spain.</t>
  </si>
  <si>
    <t>mc.carreton@ua.es; francisco.lorenzo@ua.es</t>
  </si>
  <si>
    <t>UNIV MALAGA, INST INVESTIGACION RELACIONES PUBLICAS</t>
  </si>
  <si>
    <t>CAMPUS TEATINOS, MALAGA, 29071, SPAIN</t>
  </si>
  <si>
    <t>2174-3681</t>
  </si>
  <si>
    <t>REV INT RELAC PUBLIC</t>
  </si>
  <si>
    <t>Rev. Int. Relac. Publicas</t>
  </si>
  <si>
    <t>10.5783/revrrpp.v12i24.770</t>
  </si>
  <si>
    <t>W3LW7</t>
  </si>
  <si>
    <t>WOS:001090687200009</t>
  </si>
  <si>
    <t>Davisson, A; Alati, K</t>
  </si>
  <si>
    <t>Davisson, Amber; Alati, Kiernan</t>
  </si>
  <si>
    <t>Difficult to Just Exist: Social Media Platform Community Guidelines and the Free Speech Rights of Sex Workers</t>
  </si>
  <si>
    <t>Section 230; FOSTA; SESTA; sexual content; content moderation</t>
  </si>
  <si>
    <t>The 2018 passing of FOSTA (Allow States and Victims to Fight Online Sex Trafficking Act) and SESTA (Stop Enabling Sex Traffickers Act) set new limits on the free speech protection of Section 230 of the 1996 Communication Decency Act. In the aftermath, many social media sites shut down forums used by sex workers, and on some sites sex workers were systematically deplatformed or shadow banned. Social media platforms are critical spaces for sex workers. In addition to using them to safely do their work, social media platforms offer a place to communicate explicitly about their profession and find community support, particularly for sex workers from marginalized communities who are often physically isolated and lack support networks. We performed a qualitative analysis of Community Guidelines from seven social media platforms (Twitter, TikTok, Facebook, Instagram, Reddit, Snapchat, and Tumblr). Our research focused on guidelines related to nudity, sexual content, and solicitation. The restrictions placed on content by social media platforms have serious implications for the ability of sex workers to do their jobs safely, advocate for themselves, and find community support online. Community guidelines, as they relate to sex workers, need a more nuanced approach to balancing free speech rights and preventing harm that prioritizes the sometimes competing needs of marginalized communities.</t>
  </si>
  <si>
    <t>[Davisson, Amber; Alati, Kiernan] Keene State Coll, 229 Main St, Keene, NH 03431 USA</t>
  </si>
  <si>
    <t>University System Of New Hampshire; Keene State College</t>
  </si>
  <si>
    <t>Davisson, A (corresponding author), Keene State Coll, 229 Main St, Keene, NH 03431 USA.</t>
  </si>
  <si>
    <t>Amber.davisson@keene.edu</t>
  </si>
  <si>
    <t>Davisson, Amber/0009-0004-8239-7781</t>
  </si>
  <si>
    <t>10.1177/20563051231224270</t>
  </si>
  <si>
    <t>GC3D7</t>
  </si>
  <si>
    <t>WOS:001150417500001</t>
  </si>
  <si>
    <t>Zaheera, N; Kamaruddin, Z; Hashim, H</t>
  </si>
  <si>
    <t>Zaheera, Nur; Kamaruddin, Zailan; Hashim, Hasrul</t>
  </si>
  <si>
    <t>Acceptance and Challenge of Digital Music Innovation to the Music Industry in Malaysia</t>
  </si>
  <si>
    <t>JURNAL KOMUNIKASI-MALAYSIAN JOURNAL OF COMMUNICATION</t>
  </si>
  <si>
    <t>Malay</t>
  </si>
  <si>
    <t>Digital music; innovation disruption; digital platform; Malaysian music industry; technology</t>
  </si>
  <si>
    <t>DISRUPTION</t>
  </si>
  <si>
    <t>Music is an important element that greatly influences society through cultural adaptation and creativity. It is constantly evolving and innovating along with technological changes and advances. The development of digital music has had a significant impact on the adaptation of Malaysian musicians to technological advances. This paper examines aspects of the acceptance and challenges of digital music innovation among musicians in Malaysia. Christensen's perspective on disruptive innovation has been used as a research framework to understand these aspects of the acceptance of innovation more clearly. Five prominent Malaysian industry players were interviewed as informants to collect data on acceptance-related aspects. The results show that Malaysian industry players are embracing the digital revolution, especially with the emergence of digital streaming platforms such as TikTok, YouTube, Spotify, Instagram and SoundCloud, which facilitate fan access and help to accept work. The strengths and weaknesses of the local music industry structure can also be identified, where the overall economic picture shows a positive impact despite the difficult transition to digital media. Overall, local industry players accept the changes in Malaysian digital music innovation and adapt to technological progress. This innovation is viewed as a wide-ranging opportunity for industry players to better understand the current landscape and take appropriate measures to ensure the continuous development of the Malaysian music industry.</t>
  </si>
  <si>
    <t>[Zaheera, Nur; Kamaruddin, Zailan; Hashim, Hasrul] Univ Kebangsaan Malaysia, Bangi, Malaysia</t>
  </si>
  <si>
    <t>Universiti Kebangsaan Malaysia</t>
  </si>
  <si>
    <t>Hashim, H (corresponding author), Univ Kebangsaan Malaysia, Bangi, Malaysia.</t>
  </si>
  <si>
    <t>p110.49@siswa.edu.ukm.my; hash@ukm.edu.my</t>
  </si>
  <si>
    <t>NATL UNIV MALAYSIA, FAC SOCIAL SCIENCES &amp; HUMANITIES</t>
  </si>
  <si>
    <t>UKM BANGI, SELANGOR, 43600, MALAYSIA</t>
  </si>
  <si>
    <t>2289-151X</t>
  </si>
  <si>
    <t>2289-1528</t>
  </si>
  <si>
    <t>J KOMUN</t>
  </si>
  <si>
    <t>J. Komun.</t>
  </si>
  <si>
    <t>10.17576/JKMJC-2024-4002-15</t>
  </si>
  <si>
    <t>D8I9Y</t>
  </si>
  <si>
    <t>WOS:001298576200015</t>
  </si>
  <si>
    <t>McCrory, A; Best, P; Maddock, A</t>
  </si>
  <si>
    <t>McCrory, Alanna; Best, Paul; Maddock, Alan</t>
  </si>
  <si>
    <t>'It's just one big vicious circle': young people's experiences of highly visual social media and their mental health</t>
  </si>
  <si>
    <t>HIGH SELF-ESTEEM; BODY-IMAGE; NETWORK SITES; FACEBOOK; INSTAGRAM; ADOLESCENCE; ANXIETY; DISSATISFACTION; OBJECTIFICATION; DEPRESSION</t>
  </si>
  <si>
    <t>Highly visual social media (HVSM) platforms, such as Snapchat, Instagram and TikTok, are increasingly popular among young people. It is unclear what motivates young people to engage with these specific highly visual platforms and what impact the inherent features of HVSM have on young people's mental health. Nine semi-structured focus group sessions were conducted with males and females aged 14 and 15 years (n = 47) across five secondary schools in Northern Ireland. Thematic analyses were conducted, and a conceptual model was developed to illustrate the findings. This study found that features such as likes/comments on visuals and scrolling through a feed were associated with the role of 'viewer', instigating longer-lasting feelings of jealousy, inferiority and pressure to be accepted. To combat these negative emotions, young people turn to the role of 'contributor' by using filters, selecting highlights to post to their feed and adjusting their personas, resulting in temporary feelings of higher self-esteem, greater acceptance and popularity. As users of HVSM are constantly switching between the role of viewer and contributor, the emotions they experience are also constantly switching between instant inadequacy and instant gratification. HVSM appears to trigger an unrelenting process of emotional highs and lows for its adolescent users.</t>
  </si>
  <si>
    <t>[McCrory, Alanna; Best, Paul; Maddock, Alan] Queens Univ Belfast, Sch Social Sci Educ &amp; Social Work, 6 Coll Pk Ave, Belfast BT7 1PS, Antrim, North Ireland</t>
  </si>
  <si>
    <t>Queens University Belfast</t>
  </si>
  <si>
    <t>McCrory, A (corresponding author), Queens Univ Belfast, Sch Social Sci Educ &amp; Social Work, 6 Coll Pk Ave, Belfast BT7 1PS, Antrim, North Ireland.</t>
  </si>
  <si>
    <t>amccrory904@gmail.com</t>
  </si>
  <si>
    <t>McCrory, Alanna/0000-0002-1667-2683; Maddock, Alan/0000-0001-5089-1778; Best, Paul/0000-0001-6947-8916</t>
  </si>
  <si>
    <t>MAY 11</t>
  </si>
  <si>
    <t>10.1093/her/cyac010</t>
  </si>
  <si>
    <t>1L7CY</t>
  </si>
  <si>
    <t>WOS:000793210700001</t>
  </si>
  <si>
    <t>Yang, Q; Huo, JL; Li, HX; Xi, Y; Liu, Y</t>
  </si>
  <si>
    <t>Yang, Qiang; Huo, Jiale; Li, Hongxiu; Xi, Yue; Liu, Yong</t>
  </si>
  <si>
    <t>Can social interaction-oriented content trigger viewers' purchasing and gift-giving behaviors? Evidence from live-streaming commerce</t>
  </si>
  <si>
    <t>Live streaming; Social interaction-oriented content; Gift-giving behavior; Purchasing behavior; Broadcaster popularity</t>
  </si>
  <si>
    <t>ATTENTION; PERSPECTIVES; INFORMATION; ENGAGEMENT; ATTACHMENT; INTENTION; IMPACT; TRUST; FLOW</t>
  </si>
  <si>
    <t>Purpose - This study investigates how social interaction-oriented content in broadcasters' live speech affects broadcast viewers' purchasing and gift-giving behaviors and how broadcaster popularity moderates social interaction-oriented content's effect on the two different behaviors in live-streaming commerce. Design/methodology/approach - A research model was proposed and empirically tested using a panel data set collected from 537 live streams via Douyin (the Chinese version of TikTok), one of the most popular live broadcast platforms in China. A fixed-effects negative binomial regression model was used to examine the proposed research model. Findings - This study's results show that social interaction-oriented content in broadcasters' live speech has an inverted U-shaped relationship with broadcast viewers' purchasing behavior and shares a positive linear relationship with viewers' gift-giving behavior. Furthermore, broadcaster popularity significantly moderates the effect of social interaction-oriented content on viewers' purchasing and gift-giving behaviors. Originality/value - This research enriches the literature on live-streaming commerce by investigating how social interaction-oriented content in broadcasters' live speech affects broadcast viewers' product-purchasing and gift-giving behaviors from the perspective of broadcast viewers' attention. Moreover, this study provides some practical guidelines for developing live speech content in the live-streaming commerce context.</t>
  </si>
  <si>
    <t>[Yang, Qiang] Nanjing Audit Univ, Sch Business, Nanjing, Peoples R China; [Yang, Qiang; Li, Hongxiu] Tampere Univ, Dept Informat &amp; Knowledge Management, Tampere, Finland; [Huo, Jiale; Xi, Yue] Southwest Jiaotong Univ, Chengdu, Peoples R China; [Xi, Yue] Natl Univ Singapore, Singapore City, Singapore; [Liu, Yong] Aalto Univ, Sch Business, Helsinki, Finland</t>
  </si>
  <si>
    <t>Nanjing Audit University; Tampere University; Southwest Jiaotong University; National University of Singapore; Aalto University</t>
  </si>
  <si>
    <t>Li, HX (corresponding author), Tampere Univ, Dept Informat &amp; Knowledge Management, Tampere, Finland.</t>
  </si>
  <si>
    <t>qiangyang1992@hotmail.com; huojiale@hotmail.com; hongxiu.li@tuni.fi; xiyue@my.swjtu.edu.cn; yong.liu@aalto.fi</t>
  </si>
  <si>
    <t>Yang, Qiang/HLQ-4173-2023; Liu, Yong/AAY-8792-2020</t>
  </si>
  <si>
    <t>Liu, Yong/0000-0002-0228-8971; Huo, Jiale/0000-0002-8629-3486; Yang, Qiang/0000-0002-5373-1566; Xi, Yue/0000-0001-6150-4382; Li, Hongxiu/0000-0002-7447-1222</t>
  </si>
  <si>
    <t>10.1108/INTR-11-2021-0861</t>
  </si>
  <si>
    <t>9P7XQ</t>
  </si>
  <si>
    <t>WOS:000942871600001</t>
  </si>
  <si>
    <t>Jin, ML; Ning, YF; Liu, FM; Zhao, FY; Gao, YC; Li, DM</t>
  </si>
  <si>
    <t>Jin, Meiling; Ning, Yufu; Liu, Fengming; Zhao, Fangyi; Gao, Yichang; Li, Dongmei</t>
  </si>
  <si>
    <t>An Evaluation Model for the Influence of KOLs in Short Video Advertising Based on Uncertainty Theory</t>
  </si>
  <si>
    <t>SYMMETRY-BASEL</t>
  </si>
  <si>
    <t>uncertainty theory; KOL; social media; short video; advertising; evaluation model</t>
  </si>
  <si>
    <t>SOCIAL MEDIA; OPINION DYNAMICS; FANS</t>
  </si>
  <si>
    <t>In the era of rapid growth in the short video industry, it is very important to find more accurate suitable advertising promoters, namely Key Opinion Leaders, to promote the development of short video commerce. A mathematical method is needed to grade and evaluate KOL's abilities. Only in this way can advertisers better determine the value of KOL and determine whether it is suitable for promoting its products. Moreover, in the hierarchical evaluation of KOL, there is not only structured and quantifiable information, but also a large amount of unstructured and linguistic non-quantifiable information. Therefore, this article regards unquantifiable information as an uncertain variable and uses a comprehensive evaluation method based on uncertainty theory to handle subjective uncertainty in the evaluation process. Among them, all uncertain variables are symmetric. The main contribution of this article is the provision of a new evaluation method for KOL grading. Firstly, a two-level evaluation index system for KOL was established. Secondly, the importance and annotation of the Index set are set as uncertain variables, and the KOL evaluation model is constructed. Finally, two KOLs on TikTok were selected for comparative analysis to determine the importance ranking and KOL scores of each level of indicator, verifying the effectiveness and practicality of this method.</t>
  </si>
  <si>
    <t>[Jin, Meiling; Li, Dongmei] Shanghai Univ, Sch Management, Shanghai 200444, Peoples R China; [Ning, Yufu] Shandong Youth Univ Polit Sci, Sch Informat Engn, Jinan 250103, Peoples R China; [Ning, Yufu] Univ Shandong, Smart Healthcare Big Data Engn &amp; Ubiquitous Comp C, Jinan 250103, Peoples R China; [Liu, Fengming; Zhao, Fangyi; Gao, Yichang] Shandong Normal Univ, Business Sch, Jinan 250014, Peoples R China; [Li, Dongmei] Ningbo Univ Finance &amp; Econ, Coll Business Adm, Ningbo 315175, Peoples R China</t>
  </si>
  <si>
    <t>Shanghai University; Shandong Youth University of Political Science; Shandong University; Shandong Normal University; Ningbo University of Finance &amp; Economics</t>
  </si>
  <si>
    <t>Li, DM (corresponding author), Shanghai Univ, Sch Management, Shanghai 200444, Peoples R China.;Li, DM (corresponding author), Ningbo Univ Finance &amp; Econ, Coll Business Adm, Ningbo 315175, Peoples R China.</t>
  </si>
  <si>
    <t>jinml@shu.edu.cn; nyf@sdyu.edu.cn; liufm@sdnu.edu.cn; 15606409135@163.com; yichang.gao@csiro.au; lidongmei@shu.edu.cn</t>
  </si>
  <si>
    <t>Gao, Yichang/0000-0001-9127-5330; Liu, fengming/0000-0001-6886-863X</t>
  </si>
  <si>
    <t>2073-8994</t>
  </si>
  <si>
    <t>Symmetry-Basel</t>
  </si>
  <si>
    <t>10.3390/sym15081594</t>
  </si>
  <si>
    <t>Q4QJ6</t>
  </si>
  <si>
    <t>WOS:001057380100001</t>
  </si>
  <si>
    <t>González, MS; Gonzales, HMS; Moreno, JM</t>
  </si>
  <si>
    <t>Sanchez Gonzalez, Maria; Sanchez Gonzales, Hada M.; Martos Moreno, Javier</t>
  </si>
  <si>
    <t>Editorial innovation on social networks of the #CoronavirusFactCheck Alliance Hispanic verifiers: contents and vision of those responsible</t>
  </si>
  <si>
    <t>fact-checking; disinformation; social media; digital content; innovation; cybermedia; Covid-19</t>
  </si>
  <si>
    <t>FACT-CHECKING; FAKE NEWS; VERIFICATION; PLATFORMS</t>
  </si>
  <si>
    <t>Introduction: This work explores the use of social networks by the Hispanic platforms of the #Coro-navirusFactCheck Alliance of the International Fact-Checking Network (IFCN) in the Covid-19 pandemic, as tools to generate innovative multimedia or interactive content with which to reach new audiences and expand their visibility. Methodology: By observing and analyzing network channels, we identified relevant cases of adapted digital content and we catalog innovative practices. And through in-depth interviews with its promoters, we determine if this production is considered as an editorial strategy and we collect their perceptions about limitations, possibilities, and future projects of online innovative content. Results: Apart from the generalized presence on Twitter and Facebook, the greatest innovations are materialized in videos and podcasts, ranging from summaries and curation of content to explanatory. They are carried out through networks such as YouTube, Instagram, and even TikTok, Twitch, and podcasting channels, using narratives adapted to these channels. Conclusions: These practices, developed within the framework of a certain strategy or tactically, seek in addition to informing, training, and mobilizing audiences in the fight against the infodemic with attractive, understandable, and viralizable formats from the same channels where disinformation flows. Although some verifiers have limited resources, joining IFCN opens up new opportunities for editorial innovation</t>
  </si>
  <si>
    <t>[Sanchez Gonzalez, Maria] Univ Malaga, Journalism, Malaga, Spain; [Sanchez Gonzales, Hada M.] Univ Seville, Journalism, Seville, Spain; [Martos Moreno, Javier] Univ Seville, Commun, Seville, Spain</t>
  </si>
  <si>
    <t>Universidad de Malaga; University of Sevilla; University of Sevilla</t>
  </si>
  <si>
    <t>González, MS (corresponding author), Univ Malaga, Journalism, Malaga, Spain.</t>
  </si>
  <si>
    <t>m.sanchezgonzalez@uma.es; misago@us.es; javiermm94@gmail.com</t>
  </si>
  <si>
    <t>Gonzales, Hada/K-3759-2018; Moreno, Jose Manuel/AHC-9589-2022</t>
  </si>
  <si>
    <t>10.4185/RLCS-2022-1535</t>
  </si>
  <si>
    <t>2G2ZW</t>
  </si>
  <si>
    <t>WOS:000813468000001</t>
  </si>
  <si>
    <t>Chen, YF; Gong, Q</t>
  </si>
  <si>
    <t>Chen, Yifan; Gong, Qian</t>
  </si>
  <si>
    <t>Bureaucrats on Douyin: The Official Appropriation of Egao in Promoting Tourism on Chinese Social Media</t>
  </si>
  <si>
    <t>ASIAN STUDIES REVIEW</t>
  </si>
  <si>
    <t>Ethnic minority culture; public officials; egao (spoofing); Wuxia (martial arts) genre; Gufeng (ancient Chinese culture) genre; Douyin; Multimodal Critical Discourse Analysis; China</t>
  </si>
  <si>
    <t>ETHNIC-MINORITIES; INCOME INEQUALITY; DISCOURSE; INTERNET</t>
  </si>
  <si>
    <t>Egao (spoofing), a popular form of Chinese parody, employs humorous and mocking techniques in verbal and visual forms. Its grassroots nature often endows egao with an anti-authoritarian stance, but little scholarly attention has been paid to the increasing use of egao by Chinese public officials on social media. This article looks at this new trend by examining how local officials on the Chinese version of TikTok, Douyin, use egao. Drawing on Bakhtin's concept of carnivalesque, we employ Multimodal Critical Discourse Analysis to examine the online communication style of 54 official accounts on Douyin. We thereby highlight three key features of the dynamic and complex nature of power relations in contemporary political communication in China: how they represent ethnic minority cultures; how they use typical egao forms to parody rebellious characters and subvert traditional Confucian junzi images; and their use of 'light' egao to reconstruct ancient characters and heroic images through Gufeng and Wuxia genres. We argue that the power relations between officials and the grassroots are not subverted but rather disguised through a complex negotiation within the state's promotion of cultural soft power, tourism, and economy, which is aligned with Xi Jinping's political doctrine of 'Telling the China Story Well'.</t>
  </si>
  <si>
    <t>[Chen, Yifan; Gong, Qian] Curtin Univ, Bentley, WA, Australia</t>
  </si>
  <si>
    <t>Chen, YF (corresponding author), Curtin Univ, Bentley, WA, Australia.</t>
  </si>
  <si>
    <t>19675743@student.curtin.edu.au</t>
  </si>
  <si>
    <t>Chen, Yifan/HZI-3823-2023; Gong, Qian/S-9820-2019</t>
  </si>
  <si>
    <t>Chen, Yifan/0000-0003-4075-7860; GONG, Qian/0000-0003-4736-180X</t>
  </si>
  <si>
    <t>Australian Research Training Program (RTP) Scholarship</t>
  </si>
  <si>
    <t>This work was supported by the Australian Research Training Program (RTP) Scholarship.</t>
  </si>
  <si>
    <t>1035-7823</t>
  </si>
  <si>
    <t>1467-8403</t>
  </si>
  <si>
    <t>ASIAN STUD REV</t>
  </si>
  <si>
    <t>Asian Stud. Rev.</t>
  </si>
  <si>
    <t>2024 JUL 3</t>
  </si>
  <si>
    <t>10.1080/10357823.2024.2366294</t>
  </si>
  <si>
    <t>Area Studies; Cultural Studies; Asian Studies</t>
  </si>
  <si>
    <t>XF7A0</t>
  </si>
  <si>
    <t>WOS:001260320900001</t>
  </si>
  <si>
    <t>More real, or just more surveillance? Panopticism and shifting authenticity paradigms in BeReal</t>
  </si>
  <si>
    <t>BeReal; authentic; inauthentic; social media; Foucault; panopticon; neoliberalism</t>
  </si>
  <si>
    <t>BeReal has become a popular app among younger social media users, with a premise that privileges a brief, random, and unvarnished look into one's life once a day. Hailed as the 'anti-Instagram' or 'anti-TikTok', the app eschews filters, performance, influencers, and sponsored content in favor of authenticity. While curated authenticity has long been a hallmark of internet culture, BeReal seems to employ authenticity not as a performance strategy but as a value, tapping into criticisms of the inauthentic. Through the walkthrough method of social media app analysis, I employ ethnographic research tenets to analyze how BeReal forwards a different type of authenticity to its users from its discourse, design, interface, and features. The findings are two-fold: First, BeReal privileges authenticity-as-realness instead of authenticity-as-performance, using spontaneity and timed posting windows to severely limit the time one can craft a post. Second, BeReal acts as a panopticon, because the omnipresent possibility of posting means users are always already aware of the potential. Authenticity-as-realness is not uncomplicated; it relies much more heavily on neoliberal self-monitoring and panopticism to be ready for anything, as opposed to a finely tuned and intricately crafted performance with lighting, makeup, and editing. This indicates considerations of authenticity are changing on social media platforms, putting performance at odds with panopticism.</t>
  </si>
  <si>
    <t>[Maddox, Jessica] Univ Alabama, Tuscaloosa, AL 35487 USA</t>
  </si>
  <si>
    <t>Maddox, J (corresponding author), Univ Alabama, Dept Journalism &amp; Creat Media, 901 Univ Blvd,Room 430C, Tuscaloosa, AL 35401 USA.</t>
  </si>
  <si>
    <t>10.1177/13548565231199987</t>
  </si>
  <si>
    <t>WOS:001173158200005</t>
  </si>
  <si>
    <t>Lim, Y; Youn, M; Chung, H; Park, J; Horsman, G; Lee, S</t>
  </si>
  <si>
    <t>Lim, Yirang; Youn, MinA; Chung, Hyunji; Park, Jungheum; Horsman, Graeme; Lee, Sangjin</t>
  </si>
  <si>
    <t>Characterizing client-side caches of audiovisual content sharing services: Findings and suggestions for forensics</t>
  </si>
  <si>
    <t>JOURNAL OF INFORMATION SECURITY AND APPLICATIONS</t>
  </si>
  <si>
    <t>Cybercrime; Digital forensics; Multimedia forensics; IoT forensics; Audiovisual cache; Streaming service; Social networking service; Messaging service</t>
  </si>
  <si>
    <t>In light of the advancements in computing technology, and an increase in the use of mobile devices, various forms of services have emerged in recent times. Particularly, audiovisual (AV) content-based services that stream broadcasts through personal channels or self-produced video content shared with friends has been gaining ground. It is evolving into a new platform category to share information or help people express themselves. Meanwhile, there have been instances across the globe where these services have been used to stream or share illegal content. So far, few systematic technical studies have been conducted to investigate crimes associated with online services. In the process of viewing, sharing, and distributing illegal videos, digital artifacts may be saved on digital devices such as a PC or smartphone. This paper explores the client-side caches generated as a consequence of 'viewing' visible content through AV content-based services, including Dailymotion, Instagram, LINE, Snapchat, Telegram, TikTok, and YouTube, in various platforms including Windows, Android and iOS. Through analyzing caching mechanisms, this study categorizes and characterizes various AV caches observed during repeated experiments. This work also proposes algorithms (in combination with a developed open-source tool) for obtaining playable (visible) contents, by identifying and reassembling fragmented AV pieces.</t>
  </si>
  <si>
    <t>[Lim, Yirang; Youn, MinA; Chung, Hyunji; Park, Jungheum; Lee, Sangjin] Korea Univ, Sch Cybersecur, Seoul, South Korea; [Horsman, Graeme] Teesside Univ, Middlesbrough, Cleveland, England</t>
  </si>
  <si>
    <t>Korea University; University of Teesside</t>
  </si>
  <si>
    <t>Park, J (corresponding author), Korea Univ, Sch Cybersecur, Seoul, South Korea.</t>
  </si>
  <si>
    <t>yirang0329@korea.ac.kr; mina_youn@korea.ac.kr; localchung@korea.ac.kr; jungheumpark@korea.ac.kr; G.Horsman@tees.ac.uk; sangjin@korea.ac.kr</t>
  </si>
  <si>
    <t>Korea University Grant; Police-Lab 2.0 Program - Ministry of Science and ICT (MSIT, Korea) &amp; Korean National Police Agency (KNPA, Korea); Research on Data Acquisition and Analysis for Counter Anti-Forensics [210121M07]</t>
  </si>
  <si>
    <t>Korea University Grant; Police-Lab 2.0 Program - Ministry of Science and ICT (MSIT, Korea) &amp; Korean National Police Agency (KNPA, Korea)(Ministry of Science &amp; ICT (MSIT), Republic of KoreaKorean National Police Agency); Research on Data Acquisition and Analysis for Counter Anti-Forensics</t>
  </si>
  <si>
    <t>This work was supported by a Korea University Grant, and also supported by Police-Lab 2.0 Program ( www.kipot.or.kr) funded by the Ministry of Science and ICT (MSIT, Korea) &amp; Korean National Police Agency (KNPA, Korea) . [Project Name: Research on Data Acquisition and Analysis for Counter Anti-Forensics/Project Number: 210121M07]</t>
  </si>
  <si>
    <t>2214-2126</t>
  </si>
  <si>
    <t>2214-2134</t>
  </si>
  <si>
    <t>J INF SECUR APPL</t>
  </si>
  <si>
    <t>J. Inf. Secur. Appl.</t>
  </si>
  <si>
    <t>10.1016/j.jisa.2021.103102</t>
  </si>
  <si>
    <t>1T5KL</t>
  </si>
  <si>
    <t>WOS:000804767100009</t>
  </si>
  <si>
    <t>He, JF; Xian, Z; Zexiu, A</t>
  </si>
  <si>
    <t>He, Jianfeng; Xian, Zhuo; Zexiu, Ai</t>
  </si>
  <si>
    <t>Effects of physical exercise on adolescent short video addiction: A moderated mediation model</t>
  </si>
  <si>
    <t>Adolescents; Physical exercise; Short video addiction; Self-control; Cumulative ecological risk</t>
  </si>
  <si>
    <t>MOBILE PHONE ADDICTION; INTERNET ADDICTION; SELF-CONTROL; YOUNG-ADULTS; DEPRESSION; ANXIETY; LONELINESS; STRENGTH</t>
  </si>
  <si>
    <t>Objective: To discuss the effects of physical exercise (PE) on adolescent short video addiction (SVA) and analyze the mediating effects of self-control (SC) and the moderating effects of the cumulative ecological risk (CER), aiming to provide theoretical support for PE relative to adolescent SVA, investigate the underlying mechanisms of the effects of PE. Methods: The Physical Activity Rating Scale -3, Problematic TikTok Use Scale, Self -Control Scale, and Cumulative Ecological Risk Scale were used to survey 756 adolescents in Chongqing and Chengdu, China. SPSS was used to construct a research model by conducting reliability, confirmatory factor, common method bias, and AMOS analyses. Results: PE was significantly and negatively related to adolescent SVA ( beta = -0.30 , p &lt; 0.01 ). SC served as a partial mediator between PE and adolescent SVA, the direct and indirect effect values are -0.304 and -0.167 respectively, showing that SC negatively predicted the relationship between the two variables. The CER moderated the effect of PE ( t = - 11.679, p &lt; 0.001 ) and SC ( t = - 15.069, p &lt; 0.001 ) on adolescent SVA. Conclusion: PE mitigates and moderates adolescent SVA through the mediating effect of SC and the moderating effect of CER.</t>
  </si>
  <si>
    <t>[He, Jianfeng; Xian, Zhuo; Zexiu, Ai] Chengdu Sports Univ, Sch Wushu, Chengdu, Peoples R China</t>
  </si>
  <si>
    <t>Chengdu Sport University</t>
  </si>
  <si>
    <t>Zexiu, A (corresponding author), Chengdu Sports Univ, Sch Wushu, Chengdu, Peoples R China.</t>
  </si>
  <si>
    <t>13102326815@163.COM</t>
  </si>
  <si>
    <t>He, Jian-Feng/C-1635-2012</t>
  </si>
  <si>
    <t>APR 30</t>
  </si>
  <si>
    <t>e29466</t>
  </si>
  <si>
    <t>10.1016/j.heliyon.2024.e29466</t>
  </si>
  <si>
    <t>SQ6B8</t>
  </si>
  <si>
    <t>WOS:001235945700001</t>
  </si>
  <si>
    <t>Pangarkar, A; Patel, J; Kumar, SK</t>
  </si>
  <si>
    <t>Pangarkar, Aniruddha; Patel, Jayesh; Kumar, Sampath K.</t>
  </si>
  <si>
    <t>Drivers of eWOM engagement on social media for luxury consumers: Analysis, implications, and future research directions</t>
  </si>
  <si>
    <t>Luxury brands; Need for status; Self -congruity theory; Group affiliation; Susceptibility to normative influence; Luxury brand involvement; Authentic pride; Social media influencers</t>
  </si>
  <si>
    <t>WORD-OF-MOUTH; SELF-IMAGE CONGRUENCE; STATUS CONSUMPTION; SCALE DEVELOPMENT; FASHION BRANDS; PRIDE; SUSCEPTIBILITY; BEHAVIOR; NEED; ANTECEDENTS</t>
  </si>
  <si>
    <t>The rapid industrialization and growth across the world have fostered the consumption of luxury fashion brands. Electronic word-of- mouth on social media (eWOM) is fast becoming an effective and germane strategy to engage luxury consumers through posting pictures, sharing reviews, and communicating information on platforms like Facebook, Instagram, and TikTok. Extant research has not examined the antecedents and drivers that lead to eWOM behavior. We leverage self-congruity theory and through its focal lens, our study addresses this research gap through a survey conducted with 453 consumers in Mexico, Latin America's fastest growing market. Our results indicate that need for status, susceptibility to normative influence, and luxury brand involvement, moderated by authentic pride and social media influencers lead to eWOM behavior on social media. We also demonstrate that luxury brand involvement and susceptibility to normative influence mediate the relationship between need for status and eWOM behavior on social media. The study provides important implications to managers and researchers by suggesting long-term actionable strategies for growth that can help luxury firms develop a sustainable competitive advantage over rivals and competitors.</t>
  </si>
  <si>
    <t>[Pangarkar, Aniruddha] Univ Wisconsin, Austin E Cofrin Sch Business, Wood Hall 460H, Green Bay, WI 54311 USA; [Patel, Jayesh] Ganpat Univ, VM Patel Inst Management, Mehsana 384012, Gujarat, India; [Kumar, Sampath K.] Univ Wisconsin, Austin E Cofrin Sch Business, Wood Hall 480C, Green Bay, WI 54311 USA</t>
  </si>
  <si>
    <t>University of Wisconsin System; Ganpat University; University of Wisconsin System</t>
  </si>
  <si>
    <t>Pangarkar, A (corresponding author), Univ Wisconsin, Austin E Cofrin Sch Business, Wood Hall 460H, Green Bay, WI 54311 USA.</t>
  </si>
  <si>
    <t>pangarka@uwgb.edu; jayesh.patel@ganpatuniversity.ac.in; kumars@uwgb.edu</t>
  </si>
  <si>
    <t>Patel, Jayesh/AAM-4121-2020</t>
  </si>
  <si>
    <t>Pangarkar, Aniruddha/0000-0001-9715-3932</t>
  </si>
  <si>
    <t>10.1016/j.jretconser.2023.103410</t>
  </si>
  <si>
    <t>J9LZ4</t>
  </si>
  <si>
    <t>WOS:001012781400001</t>
  </si>
  <si>
    <t>Kwon, C; King, J; Carney, J; Stamper, J</t>
  </si>
  <si>
    <t>Chounta, IA; Liu, Z; Santos, OC; Bittencourt, II; Olney, AM</t>
  </si>
  <si>
    <t>Kwon, Christine; King, James; Carney, John; Stamper, John</t>
  </si>
  <si>
    <t>A Schema-Based Approach to the Linkage of Multimodal Learning Sources with Generative AI</t>
  </si>
  <si>
    <t>ARTIFICIAL INTELLIGENCE IN EDUCATION: POSTERS AND LATE BREAKING RESULTS, WORKSHOPS AND TUTORIALS, INDUSTRY AND INNOVATION TRACKS, PRACTITIONERS, DOCTORAL CONSORTIUM AND BLUE SKY, AIED 2024</t>
  </si>
  <si>
    <t>25th International Conference on Artificial Intelligence in Education (AIED)</t>
  </si>
  <si>
    <t>JUL 08-12, 2024</t>
  </si>
  <si>
    <t>Centro Estudos Sistemas Avancados Recife, Recife, BRAZIL</t>
  </si>
  <si>
    <t>Int Artificial Intelligence Educ Soc</t>
  </si>
  <si>
    <t>Centro Estudos Sistemas Avancados Recife</t>
  </si>
  <si>
    <t>Generative AI; Large Language Models (LLMs); Multimodal Learning; Video Training</t>
  </si>
  <si>
    <t>Learning how to execute a complex, hands-on task in a domain such as auto maintenance, cooking, or guitar playing while relying exclusively on text instruction from a manual is often frustrating and ineffective. Despite the need for multimedia instruction to enable the learning of complex, manual tasks, learners often rely exclusively on text instruction. However, through widespread usage of user-generated content platforms, such as YouTube and TikTok, learners are no longer limited to standard text and are able to watch videos from easily accessible platforms to learn such procedural tasks. As YouTube consists of a large corpus of diverse instructional videos, the accuracy of videos on sensitive and complex tasks has yet to be validated in comparison to golden standard manuals. Our work provides a unique LLM-based multimodal pipeline to interpret and verify task-related key steps in a video within organized knowledge schemas, in which demonstrated video steps are automatically extracted, systematized, and validated in comparison to a text manual of official steps. Applied to a dataset of twenty-four videos on the task of flat tire replacement on a car, the LLM-based pipeline achieved high performance on our metrics, identifying an average of 98% of key task steps, with 86% precision and 92% recall across all videos.</t>
  </si>
  <si>
    <t>[Kwon, Christine; Stamper, John] Carnegie Mellon Univ, Pittsburgh, PA 15213 USA; [King, James; Carney, John] MARi LLC, Alexandria, VA 22314 USA</t>
  </si>
  <si>
    <t>Kwon, C (corresponding author), Carnegie Mellon Univ, Pittsburgh, PA 15213 USA.</t>
  </si>
  <si>
    <t>ckwon2@andrew.cmu.edu; james.king@mari.com; john.carney@mari.com; jstamper@cmu.edu</t>
  </si>
  <si>
    <t>US Navy STTR [N68335-21-C-0438]</t>
  </si>
  <si>
    <t>US Navy STTR(United States Department of DefenseUnited States Navy)</t>
  </si>
  <si>
    <t>This work was supported by US Navy STTR #N68335-21-C-0438.</t>
  </si>
  <si>
    <t>978-3-031-64311-8; 978-3-031-64312-5</t>
  </si>
  <si>
    <t>10.1007/978-3-031-64312-5_1</t>
  </si>
  <si>
    <t>Computer Science, Artificial Intelligence; Education &amp; Educational Research</t>
  </si>
  <si>
    <t>BX6ND</t>
  </si>
  <si>
    <t>WOS:001312957200004</t>
  </si>
  <si>
    <t>Shu, HJ; Meng, CJ; de Meo, P; Wang, Q; Zhu, J</t>
  </si>
  <si>
    <t>Shu, Hongji; Meng, Chaojun; de Meo, Pasquale; Wang, Qing; Zhu, Jia</t>
  </si>
  <si>
    <t>Self-Supervised Hypergraph Learning for Enhanced Multimodal Representation</t>
  </si>
  <si>
    <t>Encoding; Road transportation; Web sites; Visualization; Video on demand; Social networking (online); Robustness; Self-supervised learning; Neural networks; Multisensory integration; Multimodal; micro-video; self-supervised learning; hypergraph neural networks</t>
  </si>
  <si>
    <t>Hypergraph neural networks have gained substantial popularity in capturing complex correlations between data items in multimodal datasets. In this study, we propose a novel approach called the self-supervised hypergraph learning (SHL) framework that focuses on extracting hypergraph features to improve multimodal representation. Our method utilizes a dual embedding strategy and leverages SHL to improve the accuracy and robustness of the model. To achieve this, we employ a hypergraph learning framework to extract global context effectively by capturing rich inter-modal dependencies. Additionally, we introduce a novel self-supervised learning (SSL) component that utilizes the interaction graph data, thereby strengthening the robustness of the model. By jointly optimizing hypergraph feature extraction and SSL, SHL significantly improves the performance of multimodal representation tasks. To validate the effectiveness of our approach, we construct two comprehensive multimodal micro-video recommendation datasets using publicly available data (TikTok and MovieLens-10M). Prior to dataset creation, we meticulously handle invalid entries and outliers and complete missing mode information using external auxiliary sources, such as YouTube. These datasets are made publicly available to the research community for evaluation purposes. Experimental results on the above recommendation datasets demonstrate that the proposed SHL approach outperforms state-of-the-art baselines, highlighting its superior performance in multimodal representation tasks.</t>
  </si>
  <si>
    <t>[Shu, Hongji; Meng, Chaojun; Wang, Qing; Zhu, Jia] Zhejiang Normal Univ, Sch Comp Sci &amp; Technol, Jinhua 321004, Zhejiang, Peoples R China; [de Meo, Pasquale] Univ Messina, Dept Comp Sci, I-98122 Messina, Italy</t>
  </si>
  <si>
    <t>Zhejiang Normal University; University of Messina</t>
  </si>
  <si>
    <t>Zhu, J (corresponding author), Zhejiang Normal Univ, Sch Comp Sci &amp; Technol, Jinhua 321004, Zhejiang, Peoples R China.</t>
  </si>
  <si>
    <t>jiazhu@zjnu.edu.cn</t>
  </si>
  <si>
    <t>De Meo, Pasquale/AAJ-2579-2020</t>
  </si>
  <si>
    <t>De Meo, Pasquale/0000-0001-7421-216X; Shu, Hongji/0009-0005-9425-0119</t>
  </si>
  <si>
    <t>Natural Science Foundation of Zhejiang Province</t>
  </si>
  <si>
    <t>Natural Science Foundation of Zhejiang Province(Natural Science Foundation of Zhejiang Province)</t>
  </si>
  <si>
    <t>10.1109/ACCESS.2024.3361680</t>
  </si>
  <si>
    <t>HU3T2</t>
  </si>
  <si>
    <t>WOS:001161987600001</t>
  </si>
  <si>
    <t>Jiaqi, L; Rahim, NA; Latif, RA</t>
  </si>
  <si>
    <t>Jiaqi, Lyu; Rahim, Normaliza Abd.; Latif, Roslina Abdul</t>
  </si>
  <si>
    <t>Usage and communication effects of new media public service platforms amongst students of Xinjiang universities in China</t>
  </si>
  <si>
    <t>User needs; usage; ccommunication effects; new media public service; China</t>
  </si>
  <si>
    <t>SOCIAL MEDIA; COVID-19</t>
  </si>
  <si>
    <t>In the field of cultural communication, new media has become increasingly prominent due to numerous beneficial characteristics such as high efficiency, simplicity, wide reach, and interactivity. It is well suited for the fast-paced nature of the contemporary society and caters to people's needs, especially in the aftermath of the COVID-19 pandemic in 2020-2021. The pandemic caused significant disruptions in people's lives, making it difficult for individuals requiring medical assistance and life support to receive timely help. In this regard, new media public service platforms, such as TikTok public service videos, Sina Weibo public service topics, Waterdrop, and WeChat, provided new avenues for seeking help and supporting others. This study investigates the impact of new media public service communication on the common good and corresponding public behaviour amongst Chinese university students. Descriptive statistics and common method bias were conducted using SPSS, while reliability and structural equation models were tested using SmartPLS. The study results indicate that the needs factor has a significant influence on the cognitive effect, attitude effect, and behavioural effect of new media public service platforms. Consequently, it is recommended that these platforms actively establish a feedback mechanism, enhance the authenticity of public service information, and strengthen publicity efforts to better meet the needs of users.</t>
  </si>
  <si>
    <t>[Jiaqi, Lyu; Rahim, Normaliza Abd.; Latif, Roslina Abdul] Taylors Univ, Subang Jaya, Malaysia</t>
  </si>
  <si>
    <t>Jiaqi, L (corresponding author), Taylors Univ, Subang Jaya, Malaysia.</t>
  </si>
  <si>
    <t>lyujiaqi@sd.taylors.edu.my</t>
  </si>
  <si>
    <t>O8GJ7</t>
  </si>
  <si>
    <t>WOS:001046134600008</t>
  </si>
  <si>
    <t>Davydova, J</t>
  </si>
  <si>
    <t>Davydova, Julia</t>
  </si>
  <si>
    <t>EFL Adolescents' Use of English in the Era of New Digital Media: An Empirical Investigation</t>
  </si>
  <si>
    <t>INTERNATIONAL JOURNAL OF APPLIED LINGUISTICS</t>
  </si>
  <si>
    <t>EFL English; adolescents; Germanic-speaking areas (Austrian Vorarlberg); language use in spontaneous interactions; new digital media</t>
  </si>
  <si>
    <t>INCIDENTAL VOCABULARY ACQUISITION; TELEVISION; OUTER</t>
  </si>
  <si>
    <t>The study reported here sets out to investigate to what extent Generation Z EFL speakers employ English in their linguistic practices on digital media platforms and how these compare to the patterns of English use on other social occasions. To that end, 630 adolescents (aged 14 to 18) from five grammar schools were targeted in the Austrian province of Vorarlberg. Results of a 27-item survey pinpoint young individuals' habitual reliance on English for (i) socializing on Facebook, Twitter, and similar platforms; (ii) consuming content on YouTube and TikTok; and (iii) watching series on various streaming platforms. Simultaneously, English is also revealed as an important linguistic variant underpinning their daily communicative practices, notably interactions with peers. The multiple linear regression analysis pinpoints statistically significant associations between learners' habits of digital media use and their in-group conversational practices. This is interpreted as a sign indicating the emergence of ESL-like qualities in a traditional EFL setting. It is argued that consuming and engaging with digital media products through English may be affecting the psycholinguistic modus operandus of a noticeable cohort of young EFL speakers, who become increasingly bilingual as a result of those practices. Consequently, it is this adjusted psycholinguistic state (from predominantly monolingual to increasingly bilingual) that motivates the addition of English to the sociolinguistic repertoire of conversational practices. Die vorliegende Studie besch &amp; auml;ftigt sich mit der Frage, inwieweit die Fremdsprachenlerner: innen der Generation Z die englische Sprache in der digitalen Welt benutzen, und wie es sich mit ihrer Nutzung des Englischen in anderen Lebensbereichen vergleicht. Die Untersuchung berichtet &amp; uuml;ber 630 Jugendlichen im Alter von 14 bis 18 Jahren aus f &amp; uuml;nf Gymnasien und Allgemeinen H &amp; ouml;heren Schulen im Bundesland Vorarlberg, &amp; Ouml;sterreich. Die empirischen Daten wurden durch einen Fragebogen erhoben, welcher 27 Fragen umfasste. Die Ergebnisse deuten darauf hin, dass die Jugendlichen das Englische durchaus auf (i) sozialen Medien wie Facebook oder Twitter, (ii) Videoportalen wie YouTube oder TikTok, sowie (iii) Video-Streaming-Diensten wie Netflix zum Einsatz bringen. Gleichzeitig wird verdeutlicht, dass die englische Sprache sich in der allt &amp; auml;glichen Sprachenrepertoire der Jugendlichen etabliert hat, vor allem um Gespr &amp; auml;che mit der Referenzgruppe zu t &amp; auml;tigen. Die multiple lineare Regressionsanalyse zeigt weiterhin statistisch (hoch) signifikante Korrelationen zwischen der Mediennutzung der Jugendlichen und ihrem Englischgebrauch im Alltag auf. Dieses Ergebnis deutet darauf hin, dass das Englische in einem traditionell Fremdsprachenkontext allm &amp; auml;hlich die Merkmale einer Zweit- oder Zusatz-Sprache annimmt. Dar &amp; uuml;ber hinaus wird argumentiert, dass diese Entwicklung dadurch zustande gekommen ist, dass immer mehr junge Menschen digitale Inhalte auf Englisch konsumieren. Diese Gewohnheit f &amp; uuml;hrt dazu, dass diese Individuen aus psycholinguistischer Sicht zunehmend bilingual werden, d.h. das Englische entwickelt sich in ihrem Leben zu einer Zusatzsprache. Diese Entwicklung (von klassischen Monolingualen zu zunehmend Bilingualen) hat zur Folge, dass das Englische auch w &amp; auml;hrend des allt &amp; auml;glichen Sprachgebrauchs der j &amp; uuml;ngeren Generation buchst &amp; auml;blich zur Sprache kommt.</t>
  </si>
  <si>
    <t>[Davydova, Julia] PH Vorarlberg, Inst Sekundarbildung &amp; Fachdidakt, Feldkirch, Austria</t>
  </si>
  <si>
    <t>Davydova, J (corresponding author), PH Vorarlberg, Inst Sekundarbildung &amp; Fachdidakt, Feldkirch, Austria.</t>
  </si>
  <si>
    <t>julia.davydova@ph-vorarlberg.ac.at</t>
  </si>
  <si>
    <t>Austrian Science Fund (FWF) [P-34968-G]</t>
  </si>
  <si>
    <t>Austrian Science Fund (FWF)(Austrian Science Fund (FWF))</t>
  </si>
  <si>
    <t>The author gratefully acknowledges the financial support of the Austrian Science Fund (FWF) [P-34968-G] and wishes to thank Hasmik Margariyan for her assistance in creating the R script supporting the inferential analyses of data. The author is most grateful to Gernot Brauchle and the Bildungsdirektion Vorarlberg for their invaluable help in securing contacts with schools, without which this project would not have been possible.</t>
  </si>
  <si>
    <t>0802-6106</t>
  </si>
  <si>
    <t>1473-4192</t>
  </si>
  <si>
    <t>INT J APPL LINGUIST</t>
  </si>
  <si>
    <t>Int. J. Appl. Linguist.</t>
  </si>
  <si>
    <t>2024 NOV 10</t>
  </si>
  <si>
    <t>10.1111/ijal.12649</t>
  </si>
  <si>
    <t>L9W5B</t>
  </si>
  <si>
    <t>WOS:001354152800001</t>
  </si>
  <si>
    <t>Oliveira, E</t>
  </si>
  <si>
    <t>Oliveira, Evandro</t>
  </si>
  <si>
    <t>Music artists social networks communication strategies: revealing relationship and discursive perspectives</t>
  </si>
  <si>
    <t>social networks; music artists; online communication; public relations; communities</t>
  </si>
  <si>
    <t>The recent evolution of the media ecosystem has witnessed a hybridization of the online and offline music market, profoundly impacting not only distribution but also consumption patterns and audience relations. In response to this digital transformation, music artists have undergone adaptations to distinguish themselves and forge meaningful relationships with their audiences and communities. This paper delves into the communicative actions that form the connection between musical artists and their publics, scrutinizing the conceptual core of public relations. Communication with communities is conceptualized as a nuanced relationship with the public, often assuming strategic communication forms. This perspective encapsulates all pivotal interactions for an entity, extending beyond formal conversations directed at specific objectives. Simultaneously, it posits that identity construction emanates from values, principles, and vision, serving as the source of enduring differentiation.This exploratory study meticulously examines the communicative sphere of musical artists, focusing on the channels used, disseminated messages, and inherent discursive configuration. To achieve this objective, the study investigates how musical artists communicate with their online communities and/or fans by (a) exploring the ways artists use social media as a communication tool, (b) examining the nature of the content in such communication, (c) probing how the artist's interaction with their communities manifests and characterizing behavior patterns within these communities, and (d) scrutinizing the distinctive characteristics of the artist's discourse and the underlying symbolism it conveys.This research seeks to understand how music artists communicate in their social networks and communicative products such as video clips and interviews, with a focus on content, discursive style, and interaction. Employing an exploratory and qualitative research approach, the study adopts a hermeneutic perspective, conducting multiple, holistic, descriptive, and synchronic case studies. The selection of cases prioritizes maximum diversity, considering internationality, musical genre, listening index on Spotify, and popularity on Instagram. The study analyzes artists such as Justin Bieber, Bad Bunny, Rosalia, Billie Eilish, and C. Tangana during the first quarter of 2022. The analysis reveals that artists' communication revolves around two strategic intentions. Firstly, there is a penchant for promotion and information dissemination, emphasizing content related to the artist's musical career, including concerts, albums, and non-musical collaborations on platforms such as Instagram, Facebook, and Twitter. Utilizing various formats such as images, text, and video enhances distribution. Secondly, a strategy of generating engagement is apparent, particularly on TikTok and, to a lesser extent, Twitter. On TikTok, artists leverage the brevity of video content to entertain, share personal aspects, and create humorous content. On Twitter, the platform facilitates free and spontaneous expression, fostering direct contact with communities and humanizing artists, thereby establishing a closer and more affective connection with their audience. The study's conclusions highlight (1) the use of networks for professional purposes, (2) spontaneous and personal content as an effective engagement generator, (3) the importance of direct interaction of the artist with the publics, and (4) the importance of a specific discourse and symbology for differentiation.</t>
  </si>
  <si>
    <t>[Oliveira, Evandro] Univ Autonoma Lisboa, LabCom, Lisbon, Portugal</t>
  </si>
  <si>
    <t>Oliveira, E (corresponding author), Univ Autonoma Lisboa, LabCom, Lisbon, Portugal.</t>
  </si>
  <si>
    <t>oliveira.evandro@gmail.com</t>
  </si>
  <si>
    <t>Oliveira, Evandro/JAX-3540-2023</t>
  </si>
  <si>
    <t>Oliveira, Evandro/0000-0001-8974-4214</t>
  </si>
  <si>
    <t>10.5783/revrrpp.v13i26.847</t>
  </si>
  <si>
    <t>EC5C5</t>
  </si>
  <si>
    <t>WOS:001136718300006</t>
  </si>
  <si>
    <t>Suson, R; Atibing, NM; Evangelista, SS; Wenceslao, C; Maturan, F; Villarosa, R; Ocampo, L</t>
  </si>
  <si>
    <t>Suson, Roberto; Atibing, Nadine May; Evangelista, Samantha Shane; Wenceslao, Charldy; Maturan, Fatima; Villarosa, Rica; Ocampo, Lanndon</t>
  </si>
  <si>
    <t>Quasi-experimental quality evaluation of educational-purposed user-generated contents under a stochastic multi-criteria environment</t>
  </si>
  <si>
    <t>APPLIED ARTIFICIAL INTELLIGENCE</t>
  </si>
  <si>
    <t>DECISION-MAKING APPROACH; SOCIAL MEDIA; CONTENT UGC; CONTENT DIFFER; CREDIBILITY; YOUTUBE; INFORMATION; FACEBOOK; ENGAGEMENT; INTENTION</t>
  </si>
  <si>
    <t>As social platforms experience an influx of diverse content from users, the need to determine high-quality contributions becomes crucial, especially for educational purposes. This paper highlights the pivotal role of quality in assessing how educational-purposed user-generated content (UGC) shapes user experiences, fosters engagement, and establishes credibility. This study proposes a computational framework using a quasi-experimental evaluation through the sorting-based ELimination Et Choice TRanslating Reality, termed ELECTRE-SORT, with a dataset randomly generated from normally distributed user evaluations. Considering the diverse nature of contents, the method evaluates 16 educational-purposed UGC videos from different online media platforms (i.e. Facebook, YouTube, TikTok). These videos were categorized based on their concordance and discordance to three (3) main criteria: content quality, design quality, and technology quality. Employing the ELECTRE-SORT reveals that most UGC videos (i.e. 14 out of 16) fall into the medium quality category, possessing a considerable standard for the quality of educational purpose content. Their characteristics generally satisfy the quality attributes and can be used to guide the development of future relevant UGC videos. Finally, to demonstrate the robustness of the proposed approach, we presented a sensitivity analysis by designing different weight assignments to the quality attributes. Practical insights are outlined in this work.</t>
  </si>
  <si>
    <t>[Suson, Roberto] Cebu Technol Univ, Coll Educ, Cebu, Philippines; [Suson, Roberto; Atibing, Nadine May; Evangelista, Samantha Shane; Wenceslao, Charldy; Maturan, Fatima; Villarosa, Rica; Ocampo, Lanndon] Cebu Technol Univ, Ctr Appl Math &amp; Operat Res, Corner MJ Cuenco Ave &amp; R Palma St, Cebu 6000, Philippines; [Ocampo, Lanndon] Univ Portsmouth, Ctr Operat Res &amp; Logist, Portsmouth, England</t>
  </si>
  <si>
    <t>Cebu Technological University; Cebu Technological University; University of Portsmouth</t>
  </si>
  <si>
    <t>Ocampo, L (corresponding author), Cebu Technol Univ, Ctr Appl Math &amp; Operat Res, Corner MJ Cuenco Ave &amp; R Palma St, Cebu 6000, Philippines.</t>
  </si>
  <si>
    <t>lanndonocampo@gmail.com</t>
  </si>
  <si>
    <t>Ocampo, Lanndon/HKO-9845-2023; Suson, Roberto/LSM-3598-2024; Ocampo, Lanndon/O-2297-2013</t>
  </si>
  <si>
    <t>Ocampo, Lanndon/0000-0002-5050-7606</t>
  </si>
  <si>
    <t>0883-9514</t>
  </si>
  <si>
    <t>1087-6545</t>
  </si>
  <si>
    <t>APPL ARTIF INTELL</t>
  </si>
  <si>
    <t>Appl. Artif. Intell.</t>
  </si>
  <si>
    <t>10.1080/08839514.2024.2389501</t>
  </si>
  <si>
    <t>Computer Science, Artificial Intelligence; Engineering, Electrical &amp; Electronic</t>
  </si>
  <si>
    <t>D8E6A</t>
  </si>
  <si>
    <t>WOS:001298461800001</t>
  </si>
  <si>
    <t>van Oudtshoorn, MV; Kruger, H; Drevin, L</t>
  </si>
  <si>
    <t>Drevin, L; Leung, WS; VonSolms, S</t>
  </si>
  <si>
    <t>van Oudtshoorn, Marnus van Rheede; Kruger, Hennie; Drevin, Lynette</t>
  </si>
  <si>
    <t>Empirical Evidence of Fake News Awareness Levels Among Students</t>
  </si>
  <si>
    <t>INFORMATION SECURITY EDUCATION-CHALLENGES IN THE DIGITAL AGE, WISE 2024</t>
  </si>
  <si>
    <t>IFIP Advances in Information and Communication Technology</t>
  </si>
  <si>
    <t>16th IFIP WG 11.8 World Conference on Information Security Education (WISE)</t>
  </si>
  <si>
    <t>Edinburgh, SCOTLAND</t>
  </si>
  <si>
    <t>Int Federat Informat Proc Working Grp 11 8</t>
  </si>
  <si>
    <t>Information security education; fake news; misinformation; awareness; literacy; social media; survey</t>
  </si>
  <si>
    <t>The modern information landscape is flooded with fake and fabricated stories that are designed to mislead. It is especially the proliferation of socialmedia platforms such as Facebook, Twitter, TikTok, etc., that have become breeding grounds for these deceptive narratives. The effect is severe and wide-ranging and may impact individuals, organisations, and communities. It is particularly younger people and students who are susceptible to misinformation as they are known for their heavy social media use. One way to combat the spreading of misinformation and its associated negative consequences is to increase fake news awareness levels. In this study, a fake news awareness measuring instrument was developed to assess the awareness and literacy levels of a selected group of university students. The main objective was to determine whether students could recognise fake news stories. The results of the survey also highlighted information on various other aspects associated with fake news, e.g. the spreading of fake news, guidelines on how to educate people about fake news, general behaviour, and news preferences of students. The study revealed that students are indeed in many cases not able to identify whether a news article is fake or real. A set of recommendations is offered to increase the fake news literacy levels of younger social media users.</t>
  </si>
  <si>
    <t>[van Oudtshoorn, Marnus van Rheede; Kruger, Hennie; Drevin, Lynette] North West Univ, Unit Data Sci &amp; Comp, Potchefstroom, South Africa</t>
  </si>
  <si>
    <t>North West University - South Africa</t>
  </si>
  <si>
    <t>Kruger, H (corresponding author), North West Univ, Unit Data Sci &amp; Comp, Potchefstroom, South Africa.</t>
  </si>
  <si>
    <t>hennie.kruger@nwu.ac.za; lynette.drevin@nwu.ac.za</t>
  </si>
  <si>
    <t>/E-7455-2011</t>
  </si>
  <si>
    <t>1868-4238</t>
  </si>
  <si>
    <t>1868-422X</t>
  </si>
  <si>
    <t>978-3-031-62920-4; 978-3-031-62918-1; 978-3-031-62917-4</t>
  </si>
  <si>
    <t>IFIP ADV INF COMM TE</t>
  </si>
  <si>
    <t>10.1007/978-3-031-62918-1_6</t>
  </si>
  <si>
    <t>Education &amp; Educational Research; Education, Scientific Disciplines</t>
  </si>
  <si>
    <t>BX4WG</t>
  </si>
  <si>
    <t>WOS:001295298300006</t>
  </si>
  <si>
    <t>Hilbert, M; Thakur, A; Flores, PM; Zhang, XY; Bhan, JY; Bernhard, P; Ji, F</t>
  </si>
  <si>
    <t>Hilbert, Martin; Thakur, Arti; Flores, Pablo M.; Zhang, Xiaoya; Bhan, Jee Young; Bernhard, Patrick; Ji, Feng</t>
  </si>
  <si>
    <t>8-10% of algorithmic recommendations are 'bad', but... an exploratory risk-utility meta-analysis and its regulatory implications</t>
  </si>
  <si>
    <t>INTERNATIONAL JOURNAL OF INFORMATION MANAGEMENT</t>
  </si>
  <si>
    <t>Recommender algorithms; Algorithmic auditing; Machine behavior; Meta-analysis; Digital harms</t>
  </si>
  <si>
    <t>SOCIAL MEDIA; MENTAL-HEALTH; NEWS; TECHNOLOGY; CHILDHOOD; SCIENCE</t>
  </si>
  <si>
    <t>We conducted a quantitatively coarse-grained, but wide-ranging evaluation of the frequency recommender algorithms provide 'good' and 'bad' recommendations, with a focus on the latter. We found 151 algorithmic audits from 33 studies that report fitting risk-utility statistics from YouTube, Google Search, Twitter, Facebook, TikTok, Amazon, and others. Our findings indicate that roughly 8-10% of algorithmic recommendations are 'bad', while about a quarter actively protect users from self-induced harm ('do good'). This average is remarkably consistent across the audits, irrespective of the platform nor on the kind of risk (bias/ discrimination, mental health and child harm, misinformation, or political extremism). Algorithmic audits find negative feedback loops that can ensnare users into spirals of 'bad' recommendations (or being 'dragged down the rabbit hole'), but also highlight an even larger likelihood of positive spirals of 'good recommendations'. While our analysis refrains from any judgment of the causal consequences and severity of risks, the detected levels surpass those associated with many other consumer products. They are comparable to the risk levels of generic food defects monitored by public authorities such as the FDA or FSIS in the United States. Consequently, our findings inform the ongoing discussion regarding regulatory oversight of the potential risks posed by recommender algorithms.</t>
  </si>
  <si>
    <t>[Hilbert, Martin; Thakur, Arti; Flores, Pablo M.] Univ Calif Davis, Dept Commun, Davis, CA 95616 USA; [Zhang, Xiaoya] Univ Florida, Dept Family Youth &amp; Community Sci, Gainesville, FL USA; [Bhan, Jee Young] Univ Calif Davis, Dept Sociol, Davis, CA USA; [Bernhard, Patrick] Univ Calif Davis, Dept Polit Sci, Davis, CA USA; [Ji, Feng] Univ Toronto, Dept Appl Psychol &amp; Human Dev, Toronto, ON, Canada</t>
  </si>
  <si>
    <t>University of California System; University of California Davis; State University System of Florida; University of Florida; University of California System; University of California Davis; University of California System; University of California Davis; University of Toronto</t>
  </si>
  <si>
    <t>Hilbert, M (corresponding author), Univ Calif Davis, Dept Commun, Davis, CA 95616 USA.</t>
  </si>
  <si>
    <t>hilbert@ucdavis.edu</t>
  </si>
  <si>
    <t>Hilbert, Martin/E-7845-2010</t>
  </si>
  <si>
    <t>0268-4012</t>
  </si>
  <si>
    <t>1873-4707</t>
  </si>
  <si>
    <t>INT J INFORM MANAGE</t>
  </si>
  <si>
    <t>Int. J. Inf. Manage.</t>
  </si>
  <si>
    <t>10.1016/j.ijinfomgt.2023.102743</t>
  </si>
  <si>
    <t>IJ3M8</t>
  </si>
  <si>
    <t>WOS:001165918900001</t>
  </si>
  <si>
    <t>Cox, L; Gibbs, N; Turnock, LA</t>
  </si>
  <si>
    <t>Cox, Luke; Gibbs, Nick; Turnock, Luke A.</t>
  </si>
  <si>
    <t>Emerging anabolic androgenic steroid markets; the prominence of social media</t>
  </si>
  <si>
    <t>DRUGS-EDUCATION PREVENTION AND POLICY</t>
  </si>
  <si>
    <t>Social media; ethnographic research; drug markets; harm reduction; public health</t>
  </si>
  <si>
    <t>PERFORMANCE-ENHANCING DRUGS; SILK ROAD; ONLINE; IMAGE; INTERVENTIONS; CONSEQUENCES; ETHNOGRAPHY; TRAFFICKING; TRUST; EBAY</t>
  </si>
  <si>
    <t>BackgroundThere have been notable shifts in the acquisition of anabolic androgenic steroids over time, with face-to-face (within gyms) and online supply (e.g. internet forums, crypto-markets/darknet, and pharmacies) being popular locations to source and acquire these drugs. Fresh evidence suggests that social media facilitates the supply of anabolic androgenic steroids, however, no study has exclusively examined this phenomenon.Aim and methodThis investigation sheds light on the supply of anabolic androgenic steroids over two major social media platforms: (i) Instagram; and (ii) TikTok. Digital ethnographic observations were conducted to identify and observe marketing strategies and supply methods.FindingsThe findings reveal: (1) public sale and advertisement of anabolic androgenic steroids via two distinct supplier types (i) direct suppliers (individuals and laboratories/shop accounts); and (ii) influencers (referring custom to third-party websites); (2) marketing techniques, including images of products, flash-sales, and discount codes; (3) delivery methods; (4) messaging platforms; and (5) payment.ConclusionsSocial media platforms facilitate the supply of anabolic androgenic steroids, increasing accessibility to these drugs. This, we argue, disproportionately affects younger, more vulnerable, and less informed populations. These findings ought to be considered within wider discussions related to harm reduction, providing policy makers with evidence to strengthen such calls.</t>
  </si>
  <si>
    <t>[Cox, Luke] Katholieke Univ Leuven, Fac Movement &amp; Rehabil Sci FaBeR, Leuven, Belgium; [Gibbs, Nick] Leeds Trinity Univ, Leeds, England; [Turnock, Luke A.] Univ Lincoln, Coll Social Sci, Sch Social &amp; Polit Sci, Lincoln, England; [Gibbs, Nick] Northumbria Univ, Dept Social Sci, Newcastle, England</t>
  </si>
  <si>
    <t>KU Leuven; Leeds Trinity University; University of Lincoln; Northumbria University</t>
  </si>
  <si>
    <t>Cox, L (corresponding author), Katholieke Univ Leuven, Fac Movement &amp; Rehabil Sci FaBeR, Leuven, Belgium.</t>
  </si>
  <si>
    <t>lukethomasjoseph.cox@kuleuven.be</t>
  </si>
  <si>
    <t>Gibbs, Nicholas/0000-0001-5911-721X; Cox, Luke/0000-0001-7625-4603</t>
  </si>
  <si>
    <t>0968-7637</t>
  </si>
  <si>
    <t>1465-3370</t>
  </si>
  <si>
    <t>DRUG-EDUC PREV POLIC</t>
  </si>
  <si>
    <t>Drug-Educ. Prev. Policy</t>
  </si>
  <si>
    <t>10.1080/09687637.2023.2176286</t>
  </si>
  <si>
    <t>LW0L8</t>
  </si>
  <si>
    <t>WOS:000939870400001</t>
  </si>
  <si>
    <t>Chen, QN; Gu, ZH; Gu, Z; Xu, XY; Ba, ZJ; Lin, F; Liu, ZG; Ren, K</t>
  </si>
  <si>
    <t>Chen, Qianniu; Gu, Zhehan; Lu, Li; Xu, Xiangyu; Ba, Zhongjie; Lin, Feng; Liu, Zhenguang; Ren, Kui</t>
  </si>
  <si>
    <t>Conan's Bow Tie: A Streaming Voice Conversion for Real-Time VTuber Livestreaming</t>
  </si>
  <si>
    <t>PROCEEDINGS OF 2024 29TH ANNUAL CONFERENCE ON INTELLIGENT USER INTERFACES, IUI 2024</t>
  </si>
  <si>
    <t>29th ACM Annual International Conference on Intelligent User Interfaces (IUI)</t>
  </si>
  <si>
    <t>MAR 18-21, 2024</t>
  </si>
  <si>
    <t>Greenville, SC</t>
  </si>
  <si>
    <t>Assoc Comp Machinery,ACM SIGCHI,ACM SIGAI,Natl Sci Fdn,Google,Adobe,Michelin</t>
  </si>
  <si>
    <t>Voice conversion; Livestreaming; Virtual reality; Generative AI; Multi-modal interfaces</t>
  </si>
  <si>
    <t>NETWORKS</t>
  </si>
  <si>
    <t>Recent years have witnessed a dramatic growing trend of Virtual YouTubers (VTubers) as a new business on social media, such as YouTube, Twitch, and TikTok. However, a significant challenge arises when VTuber voice actors face health issues or retire, jeopardizing the continuity of their avatar's recognizable voices. A potential solution reminiscent of Conan's Bow Tie voice changer in the popular animation Case Closed (i.e., Detective Conan) has inspired our work. To make this a reality, we introduce VTuberBowTie, a user-friendly streaming voice conversion system for real-time VTuber livestreaming. We propose an innovative streaming voice conversion approach that tackles the challenges of limited context modeling and bidirectional context dependence inherent to conventional real-time voice conversion. Rather than individually processing the voice stream in data chunks, our approach adopts a fully sequential structure that leverages contextual information preceding the input chunk, thereby expanding the perceptual range and enabling seamless concatenation. Moreover, we developed a ready-to-use interaction interface for VTuberBowTie and deployed it on various computing platforms. The experimental results show that VTuberBowTie can achieve high-quality voice conversion in a streaming manner with a latency of 179.1ms on CPU and 70.8ms on GPU while providing users a friendly interactive experience.</t>
  </si>
  <si>
    <t>[Chen, Qianniu; Lu, Li] Zhejiang Univ, Coll Comp Sci &amp; Technol, Sch Cyber Sci &amp; Technol, State Key Lab Blockchain &amp; Data Secur, Hangzhou, Peoples R China; [Gu, Zhehan; Ba, Zhongjie; Lin, Feng; Liu, Zhenguang; Ren, Kui] Zhejiang Univ, Sch Cyber Sci &amp; Technol, Hangzhou, Peoples R China; [Xu, Xiangyu] Southeast Univ, Sch Comp Sci &amp; Engn, Nanjing, Peoples R China</t>
  </si>
  <si>
    <t>Zhejiang University; Zhejiang University; Southeast University - China</t>
  </si>
  <si>
    <t>Gu, Z (corresponding author), Zhejiang Univ, Coll Comp Sci &amp; Technol, Sch Cyber Sci &amp; Technol, State Key Lab Blockchain &amp; Data Secur, Hangzhou, Peoples R China.</t>
  </si>
  <si>
    <t>qianniuchen@zju.edu.cn; thehan@zju.edu.cn; li.lu@zju.edu.cn; xy-xu@seu.edu.cn; zhongjieba@zju.edu.cn; flin@zju.edu.cn; liuzhenguang2018@gmail.com; kuiren@zju.edu.cn</t>
  </si>
  <si>
    <t>xu, xiangyu/KOD-3895-2024; Lu, Li/X-6454-2019; C, QN/JPX-5165-2023; Ren, Kui/I-1676-2013; Lin, Feng/JMP-8143-2023</t>
  </si>
  <si>
    <t>Xu, Xiangyu/0000-0002-1628-906X; Lu, Li/0000-0001-5230-3749</t>
  </si>
  <si>
    <t>National Natural Science Foundation of China [62102354, 62032021, 62172359, 62372406, 62202099, 62372402]; Zhejiang Provincial Natural Science Foundation [LY24F020007]; Hangzhou Leading Innovation and Entrepreneurship Team [TD2020003]; Jiangsu Provincial Natural Science Foundation of China [BK20220806]</t>
  </si>
  <si>
    <t>National Natural Science Foundation of China(National Natural Science Foundation of China (NSFC)); Zhejiang Provincial Natural Science Foundation(Natural Science Foundation of Zhejiang Province); Hangzhou Leading Innovation and Entrepreneurship Team; Jiangsu Provincial Natural Science Foundation of China(Natural Science Foundation of Jiangsu Province)</t>
  </si>
  <si>
    <t>This research is sponsored by National Natural Science Foundation of China (62102354, 62032021, 62172359, 62372406, 62202099, 62372402), Zhejiang Provincial Natural Science Foundation (LY24F020007), Hangzhou Leading Innovation and Entrepreneurship Team (TD2020003), Jiangsu Provincial Natural Science Foundation of China (BK20220806).</t>
  </si>
  <si>
    <t>979-8-4007-0508-3</t>
  </si>
  <si>
    <t>10.1145/3640543.3645146</t>
  </si>
  <si>
    <t>BW9BS</t>
  </si>
  <si>
    <t>WOS:001209687500003</t>
  </si>
  <si>
    <t>Kryshtanovskaya, OV; Lavrov, IA</t>
  </si>
  <si>
    <t>Kryshtanovskaya, O., V; Lavrov, I. A.</t>
  </si>
  <si>
    <t>POLITICAL PARTIES IN SEARCH OF THE YOUTH</t>
  </si>
  <si>
    <t>social media; elections; political parties; online leaders; network power; parliament; youth; influencers; electoral campaigns; weak ties</t>
  </si>
  <si>
    <t>The article Political Parties in Search of the Youth is devoted to the analysis of political parties' activity in social media during the 2021 election campaign to the State Duma. We have studied parties' actions in eight social media: Facebook, VK, OK, Instagram, Telegram, TikTok, YouTube, and Twitter. A total of more than 1.5 thousand accounts were analyzed. It was found that those parties that were most active in social media got the best results in the elections. There was a contradiction between the parties' efforts to build an audience in social media and the methods they used to disseminate information. Many used methods belonged to the old school, or were associated with attempts to use the authority of the offline leaders, the discourse actively used clerical language, which led the youth to unfollow. To change this situation, parties are beginning to actively involve young people in their headquarters to work in social media. Election campaigns are becoming hybrid, mixing old and new forms, introducing gamification and politainment. Results of the research have led us to the conclusion that the role of young people in election campaigns has changed fundamentally: from passive statists they become trendsetters, and life- wise politicians turn out to be their followers, imitating and copying the behavior patterns of 20-year-olds.</t>
  </si>
  <si>
    <t>[Kryshtanovskaya, O., V; Lavrov, I. A.] Russian State Univ Humanities, Yadov Ctr, Sci Ctr Digital Sociol, Moscow, Russia</t>
  </si>
  <si>
    <t>Russian State University for the Humanities</t>
  </si>
  <si>
    <t>Kryshtanovskaya, OV (corresponding author), Russian State Univ Humanities, Yadov Ctr, Sci Ctr Digital Sociol, Moscow, Russia.</t>
  </si>
  <si>
    <t>olgakrysht@yandex.ru; lavrov.sociology@gmail.com</t>
  </si>
  <si>
    <t>Lavrov, Ivan/ACU-0617-2022</t>
  </si>
  <si>
    <t>RFBR [21-011-31795]</t>
  </si>
  <si>
    <t>RFBR(Russian Foundation for Basic Research (RFBR))</t>
  </si>
  <si>
    <t>The reported study was funded by RFBR and EISR according to the research project No 21-011-31795.</t>
  </si>
  <si>
    <t>10.31857/S013216250021398-0</t>
  </si>
  <si>
    <t>8R0ID</t>
  </si>
  <si>
    <t>WOS:000927580100006</t>
  </si>
  <si>
    <t>Jamil, RA; Qayyum, U; ul Hassan, SR; Khan, TI</t>
  </si>
  <si>
    <t>Jamil, Raja Ahmed; Qayyum, Urba; ul Hassan, Syed Ramiz; Khan, Tariq Iqbal</t>
  </si>
  <si>
    <t>Impact of social media influencers on consumers' well-being and purchase intention: a TikTok perspective</t>
  </si>
  <si>
    <t>EUROPEAN JOURNAL OF MANAGEMENT AND BUSINESS ECONOMICS</t>
  </si>
  <si>
    <t>Social media influencer; Argument quality; Source's credibility; Kindness; Consumer well-being; Elaboration likelihood model</t>
  </si>
  <si>
    <t>INFORMATION; ADOPTION; CREDIBILITY; DECISION</t>
  </si>
  <si>
    <t>Purpose - Extending the elaboration likelihood model (ELM), this study investigates the impact of social media influencers (SMI) on consumer well-being (CW) as well as the influence of CW on purchase intention. Design/methodology/approach - A between-subjects experiment (macro- vs mega-influencer) was conducted to assess the proposed hypotheses. A total of 190 consumers participated in the experiment, and SmartPLS 3.3 was used for multigroup analyses. Findings - Overall, argument quality (AQ), source's credibility (SC) and influencer's kindness positively predict CW, and CW predicts purchase intention. It was also found that SC is more important when information comes from a mega-influencer, whilst kindness is essential for a macro-influencer. Practical implications - The results of this study imply that CW should be an essential component of influencer marketing strategy. Marketing managers should hire credible and kind influencers who can produce quality arguments. Additionally, the selection of SMI (macro- vs mega-influencer) should be aligned with the marketing objective and type of persuasion required. Originality/value - This is one of the early attempts to extend ELM by introducing influencer kindness as a peripheral cue. Moreover, the study offers novelty by examining the effects of influencer characteristics (AQ, SC and kindness) on CW and comparing these effects across macro- and mega-influencers.</t>
  </si>
  <si>
    <t>[Jamil, Raja Ahmed; Qayyum, Urba; ul Hassan, Syed Ramiz; Khan, Tariq Iqbal] Univ Haripur, Inst Management Sci, Haripur, Pakistan</t>
  </si>
  <si>
    <t>Jamil, RA (corresponding author), Univ Haripur, Inst Management Sci, Haripur, Pakistan.</t>
  </si>
  <si>
    <t>rathore_ahmad@yahoo.com</t>
  </si>
  <si>
    <t>Jamil, Raja Ahmed/GXH-9530-2022; Khan, Tariq iqbal/F-1494-2018</t>
  </si>
  <si>
    <t>Jamil, Raja Ahmed/0000-0002-9998-4411; Khan, Tariq iqbal/0000-0001-7398-8097</t>
  </si>
  <si>
    <t>2444-8451</t>
  </si>
  <si>
    <t>2444-8494</t>
  </si>
  <si>
    <t>EUR J MANAG BUS ECON</t>
  </si>
  <si>
    <t>Eur. J. Manag. Bus. Econ.</t>
  </si>
  <si>
    <t>10.1108/EJMBE-08-2022-0270</t>
  </si>
  <si>
    <t>UW2O2</t>
  </si>
  <si>
    <t>WOS:001251036600005</t>
  </si>
  <si>
    <t>Zhang, YH; Li, K; Qian, C; Li, XT; Yuan, QJ</t>
  </si>
  <si>
    <t>Zhang, Yihan; Li, Kai; Qian, Chen; Li, Xiaotong; Yuan, Qinjian</t>
  </si>
  <si>
    <t>How real-time interaction and sentiment influence online sales? Understanding the role of live streaming danmaku</t>
  </si>
  <si>
    <t>BERT model; Live streaming danmaku; Sentiment analysis; Social commerce; SOR model; User -user interaction</t>
  </si>
  <si>
    <t>FLOW EXPERIENCE</t>
  </si>
  <si>
    <t>Live streaming danmaku can reflect both real-time interaction and user sentiment, two key characteristics of live streaming e-commerce. Using a sentiment analysis of live streaming danmaku comments, our study explores the mechanism through which user-user interaction influences live streaming sales. We collect real world data including live streaming danmaku, user stay time, sales from the Douyin live streaming e-commerce platform (the Chinese version of TikTok). Quantifying user-user interaction with BERT model, we then perform a sentiment analysis using the Baidu API. The results of our analysis demonstrate that entertainment-type and information-type user interaction have a significant positive effect on flow, including user stay time, number of danmaku, number of people sending danmaku. Our study also identifies that number of danmaku and number of people sending danmaku play a partial mediating role between user interactions and live streaming sales. Furthermore, we find that user sentiment plays a positive moderating role in the relationships between several flow variables and user purchase behavior. Theoretically, our study proposes a new method to empirically analyze user behavior in live streaming e-commerce. Practically, in light of these findings, we propose several optimization strategies to enhance the interaction functions of live streaming commerce, so as to enhance user experience and stimulate purchase intention.</t>
  </si>
  <si>
    <t>[Zhang, Yihan; Li, Kai; Qian, Chen] Nanjing Univ Posts &amp; Telecommun, Sch Management, Nanjing 210003, Peoples R China; [Li, Xiaotong] Univ Alabama, Coll Business, Huntsville, AL 35899 USA; [Yuan, Qinjian] Nanjing Univ, Sch Informat Management, Nanjing 210023, Peoples R China</t>
  </si>
  <si>
    <t>Nanjing University of Posts &amp; Telecommunications; University of Alabama System; University of Alabama Huntsville; Nanjing University</t>
  </si>
  <si>
    <t>Li, XT (corresponding author), Univ Alabama, Coll Business, Huntsville, AL 35899 USA.</t>
  </si>
  <si>
    <t>lixi@uah.edu</t>
  </si>
  <si>
    <t>Li, Xiaotong/LSL-1758-2024</t>
  </si>
  <si>
    <t>yuan, qin jian/0000-0002-9684-9943</t>
  </si>
  <si>
    <t>Social ScienceFoundation of Jiangsu Province [21GLC010]; Philosophy and Social Science Research Foundation of Jiangsu Universities [2021SJA0114]; Postgraduate Research &amp; Practice Innovation Pro- gram of Jiangsu Province [KYCX22_0873]</t>
  </si>
  <si>
    <t>Social ScienceFoundation of Jiangsu Province; Philosophy and Social Science Research Foundation of Jiangsu Universities; Postgraduate Research &amp; Practice Innovation Pro- gram of Jiangsu Province</t>
  </si>
  <si>
    <t>This article is supported by Social ScienceFoundation of Jiangsu Province (Grant number: 21GLC010) , Philosophy and Social Science Research Foundation of Jiangsu Universities (Grant number: 2021SJA0114) and Postgraduate Research &amp; Practice Innovation Pro- gram of Jiangsu Province (Grant number: KYCX22_0873) .</t>
  </si>
  <si>
    <t>10.1016/j.jretconser.2024.103793</t>
  </si>
  <si>
    <t>QK4D5</t>
  </si>
  <si>
    <t>WOS:001220745600001</t>
  </si>
  <si>
    <t>Burnell, R; Peters, D; Ryan, RM; Calvo, RA</t>
  </si>
  <si>
    <t>Burnell, Ryan; Peters, Dorian; Ryan, Richard M.; Calvo, Rafael A.</t>
  </si>
  <si>
    <t>Technology evaluations are associated with psychological need satisfaction across different spheres of experience: an application of the METUX scales</t>
  </si>
  <si>
    <t>Self-Determination Theory; human computer interaction (HCI); motivation; wellbeing; technology design</t>
  </si>
  <si>
    <t>SELF-DETERMINATION THEORY; FACEBOOK USE; SAMPLE-SIZE; RELATEDNESS; AUTONOMY; SUPPORT</t>
  </si>
  <si>
    <t>IntroductionDigital technologies have the capacity to impact psychological wellbeing in both positive and negative ways. Improving technologies with respect to wellbeing requires nuanced understanding of this impact and reliable ways to measure it. Here, we aim to further this understanding by investigating the relations between psychological needs and people's evaluations of technologies (with respect to satisfaction, usability, and measures of value). MethodAcross two studies with 1,521 participants, we improved and validated four scales that were first put forward as part of the METUX model of technology interaction. These scales measure psychological needs in the life, behavior, task, and interface spheres of experience. We applied these scales to four separate technologies (Facebook, TikTok, Blackboard, and Moodle), and examined the relationships between people's need satisfaction and frustration in the four spheres of experience and their overall evaluations of the technologies. Results and discussionEach of the four scales had good psychometric properties across the four technologies. For each sphere of experience, psychological need satisfaction and frustration were associated with standard measures of usability and user satisfaction, and correlation patterns supported the METUX model and its approach to differentiating spheres of technology experience.</t>
  </si>
  <si>
    <t>[Burnell, Ryan; Peters, Dorian] Univ Cambridge, Leverhulme Ctr Future Intelligence, Cambridge, England; [Burnell, Ryan; Peters, Dorian; Calvo, Rafael A.] Imperial Coll London, Dyson Sch Design Engn, London, England; [Ryan, Richard M.] Australian Catholic Univ, Inst Posit Psychol &amp; Educ, Sydney, NSW, Australia; [Ryan, Richard M.] Ewha Womans Univ, Coll Educ, Seoul, South Korea</t>
  </si>
  <si>
    <t>University of Cambridge; Imperial College London; Australian Catholic University; Ewha Womans University</t>
  </si>
  <si>
    <t>Burnell, R (corresponding author), Univ Cambridge, Leverhulme Ctr Future Intelligence, Cambridge, England.;Burnell, R (corresponding author), Imperial Coll London, Dyson Sch Design Engn, London, England.</t>
  </si>
  <si>
    <t>rb967@cam.ac.uk</t>
  </si>
  <si>
    <t>Burnell, Ryan/GPX-6557-2022; Ryan, Richard M/H-1459-2019</t>
  </si>
  <si>
    <t>Ryan, Richard M/0000-0002-2355-6154; Peters, Dorian/0000-0002-4767-4198</t>
  </si>
  <si>
    <t>Leverhulme Trust through the Leverhulme Centre for the Future of Intelligence</t>
  </si>
  <si>
    <t>Leverhulme Trust through the Leverhulme Centre for the Future of Intelligence(Leverhulme Trust)</t>
  </si>
  <si>
    <t>This project was funded by the Leverhulme Trust through the Leverhulme Centre for the Future of Intelligence.</t>
  </si>
  <si>
    <t>10.3389/fpsyg.2023.1092288</t>
  </si>
  <si>
    <t>H9VQ9</t>
  </si>
  <si>
    <t>WOS:000999360300001</t>
  </si>
  <si>
    <t>Kuai, J; Lin, BB; Karlsson, M; Lewis, SC</t>
  </si>
  <si>
    <t>Kuai, Joanne; Lin, Bibo; Karlsson, Michael; Lewis, Seth C.</t>
  </si>
  <si>
    <t>From Wild East to Forbidden City: Mapping Algorithmic News Distribution in China through a Case Study of Jinri Toutiao</t>
  </si>
  <si>
    <t>Algorithm; ByteDance; institutional theory; media ecology; news aggregation; news distribution; platformization</t>
  </si>
  <si>
    <t>Digital platforms, with their ever-increasing reach and power, are reshaping many aspects of society. China is experiencing a platformization of society akin to what has occurred in the West. By mapping the algorithmic news distribution field in China, this study shows how the key players (including digital platforms, news organizations, and state regulators) compete, collaborate, and work symbiotically with each other in this changing ecology. We explore a particularly key player-Jinri Toutiao, led by ByteDance (parent company of the popular app TikTok)-as a case that exemplifies the platform logic in China's news ecosystem and how it involves a delicate dance with the public and regulators in a politically restrictive environment. We find that the mutual shaping of platforms and society is not a given but rather a dynamic process. Indeed, we show that Toutiao's tremendous success is partially because of the state's laissez-faire policy in the earlier years, and that its move to assume greater social responsibility is a response to recent tightening of regulations. Amid widespread questions about the role and influence of Big Tech and platforms in society, the case of China enriches our understanding of the platformization of news outside the Western context.</t>
  </si>
  <si>
    <t>[Kuai, Joanne; Karlsson, Michael] Karlstad Univ, Dept Geog Media &amp; Commun, Karlstad, Sweden; [Lin, Bibo; Lewis, Seth C.] Univ Oregon, Sch Journalism &amp; Commun, Eugene, OR USA</t>
  </si>
  <si>
    <t>Karlstad University; University of Oregon</t>
  </si>
  <si>
    <t>Kuai, J (corresponding author), Karlstad Univ, Dept Geog Media &amp; Commun, Karlstad, Sweden.</t>
  </si>
  <si>
    <t>joanne.kuai@kau.se</t>
  </si>
  <si>
    <t>Kuai, Joanne/AGZ-8553-2022; Lin, Bibo/ITU-2823-2023; Lewis, Seth/AAM-8847-2020; Karlsson, Michael/D-5887-2013</t>
  </si>
  <si>
    <t>Lin, Bibo/0000-0002-2077-9248; Karlsson, Michael/0000-0003-4286-7764; Lewis, Seth/0000-0001-7498-0599; Kuai, Joanne/0000-0002-0920-8153</t>
  </si>
  <si>
    <t>Anne Marie och Gustav Anders Stiftelse for mediaforskning</t>
  </si>
  <si>
    <t>This research is supported by the Anne Marie och Gustav Anders Stiftelse for mediaforskning.</t>
  </si>
  <si>
    <t>10.1080/21670811.2022.2121932</t>
  </si>
  <si>
    <t>Green Submitted, hybrid, Green Published</t>
  </si>
  <si>
    <t>WOS:000863386800001</t>
  </si>
  <si>
    <t>Sáenz, JA; de la Gala, DH; Bui, PPB; García, JA; Fernández-Miranda, PM; Lamprecht, Y; Pérez, MD; de Lucas, EM</t>
  </si>
  <si>
    <t>Azcona Saenz, Javier; Herran de la Gala, Dario; Bui, Phoebe Phuong-Boi; Arnaiz Garcia, Javier; Menendez Fernandez-Miranda, Pablo; Lamprecht, Yasmina; Drake Perez, Marta; Marco de Lucas, Enrique</t>
  </si>
  <si>
    <t>Instagram's Influence on Radiology Today: Reviewing the Evolving Educational Journey from a Hospital to National Societies</t>
  </si>
  <si>
    <t>JOURNAL OF DIGITAL IMAGING</t>
  </si>
  <si>
    <t>Social media; Internet; Radiology; Instagram; Education</t>
  </si>
  <si>
    <t>We define social media as an interactive online platform that allows users to communicate and exchange knowledge. Educational and medical profiles have slowly emerged on different social media platforms, helping to teach about and publicize diverse aspects of medicine. Radiology is one of the specialties that could potentially benefit the most from social media, as the radiologist tends to have little outside-the-hospital representation. Progressively, audiovisual content has been gaining ground on social networks: Facebook, Twitter, Instagram, Youtube, TikTok, etc. Instagram appears to be ideally suited for radiology given its image-based nature. In addition, Instagram can also be used as a tool to help radiologists share and discuss radiological images, improve communication with clinicians and patients, advertise themselves and their specialty, and humanize their profession. Nevertheless, legal matters and privacy issues should always be taken into account when using these tools. In this overview, we describe the development of social networks and communication tools in our own radiology department, focusing especially on our Instagram account, as it has had a wide impact on our hospital and radiology residents around the country. We will also provide a summary of the various social media platforms used for radiology education along with their pros and cons, including useful tips for safe and efficient use.</t>
  </si>
  <si>
    <t>[Azcona Saenz, Javier; Herran de la Gala, Dario; Menendez Fernandez-Miranda, Pablo; Lamprecht, Yasmina; Drake Perez, Marta; Marco de Lucas, Enrique] Marques de Valdecilla Univ Hosp, Santander, Spain; [Bui, Phoebe Phuong-Boi] Emanate Hlth Queen Valley Hosp, West Covina, CA USA; [Arnaiz Garcia, Javier] Aspetar, Doha, Qatar</t>
  </si>
  <si>
    <t>Hospital Universitario Marques de Valdecilla (HUMV); Aspetar Orthopaedic &amp; Sports Medicine Hospital</t>
  </si>
  <si>
    <t>Sáenz, JA (corresponding author), Marques de Valdecilla Univ Hosp, Santander, Spain.</t>
  </si>
  <si>
    <t>javierazcona1992@hotmail.com</t>
  </si>
  <si>
    <t>Perez, Marta/O-8083-2014</t>
  </si>
  <si>
    <t>Azcona Saenz, Javier/0000-0003-3725-5499; Herran de la Gala, Dario/0000-0002-9106-2914; Menendez Fernandez-Miranda, Pablo/0000-0003-4742-8955; Marco de Lucas, Enrique/0000-0002-5310-7245</t>
  </si>
  <si>
    <t>0897-1889</t>
  </si>
  <si>
    <t>1618-727X</t>
  </si>
  <si>
    <t>J DIGIT IMAGING</t>
  </si>
  <si>
    <t>J. Digit. Imaging</t>
  </si>
  <si>
    <t>10.1007/s10278-021-00474-x</t>
  </si>
  <si>
    <t>WO6US</t>
  </si>
  <si>
    <t>WOS:000670856800002</t>
  </si>
  <si>
    <t>Wang, W; Li, Y</t>
  </si>
  <si>
    <t>Wang, Wen; Li, Yan</t>
  </si>
  <si>
    <t>Distribution characteristics and relationship between virtual- and real-imagery hotspots as influenced by social media: a case study of Changsha City</t>
  </si>
  <si>
    <t>JOURNAL OF ASIAN ARCHITECTURE AND BUILDING ENGINEERING</t>
  </si>
  <si>
    <t>Distribution characteristics; imagery hotspot; social media; virtual and real space; Changsha city</t>
  </si>
  <si>
    <t>EVALUATIVE IMAGE; URBAN AREAS; GEOGRAPHY; PLACE</t>
  </si>
  <si>
    <t>Social media closely links virtual and real spaces, and this connection can influence the distribution of a city's imagery hotspots. This study used point of interest data and site visit data from Tiktok to compare the characteristics of two spatial imagery hotspot types in Changsha as influenced by social media in terms of type characteristics, distribution pattern, and spatial relationships at both the macro- and meso-scales. Using methods such as buffer analysis, hotspot analysis, and bivariate spatial autocorrelation to research on imagery hotspot distribution, correlation, and differentiation in virtual - real spatial interaction, the result shows the following: 1) The impact of social media on different types of the city image is not balanced, having a greater impact on architectural landmarks and commercial consumption; 2) The distribution characteristics of image hotspots in virtual space and real space does not align, virtual space is more in line with the development strategy of cities; 3) Social media has a polarizing effect on city image, but is also less constrained by spatial form; 4) Social media has a certain restructuring effect on city image, and grouped city image in two spatial clustering types - enhanced and diminishing image spaces.</t>
  </si>
  <si>
    <t>[Wang, Wen] Hunan Univ, Sch Architecture &amp; Planning, Changsha, Peoples R China; [Li, Yan] Beijing Technol &amp; Business Univ, Sch Media &amp; Design, Beijing, Peoples R China</t>
  </si>
  <si>
    <t>Hunan University; Beijing Technology &amp; Business University</t>
  </si>
  <si>
    <t>Wang, W (corresponding author), Hunan Univ, Sch Architecture &amp; Planning, Changsha, Peoples R China.</t>
  </si>
  <si>
    <t>wwang29@hotmail.com</t>
  </si>
  <si>
    <t>National Social Science Fund of China [23BZX092]; Scientific Research Foundation of Hunan Provincial Education Department [22B0622]</t>
  </si>
  <si>
    <t>National Social Science Fund of China; Scientific Research Foundation of Hunan Provincial Education Department(Hunan Provincial Education Department)</t>
  </si>
  <si>
    <t>This research was funded by the National Social Science Fund of China, grant number [23BZX092], and the Scientific Research Foundation of Hunan Provincial Education Department, grant number [22B0622].</t>
  </si>
  <si>
    <t>1346-7581</t>
  </si>
  <si>
    <t>1347-2852</t>
  </si>
  <si>
    <t>J ASIAN ARCHIT BUILD</t>
  </si>
  <si>
    <t>J. Asian Archit. Build. Eng.</t>
  </si>
  <si>
    <t>2024 SEP 7</t>
  </si>
  <si>
    <t>10.1080/13467581.2024.2399690</t>
  </si>
  <si>
    <t>Architecture; Construction &amp; Building Technology</t>
  </si>
  <si>
    <t>F5E3G</t>
  </si>
  <si>
    <t>WOS:001310043400001</t>
  </si>
  <si>
    <t>Zhang, W; Chen, C; Wang, QG; Wang, W; Yang, SJ; Zhou, BY; Zhu, HM; Chen, C; Zhao, YJ; Hu, YQ; Cheng, MM; Li, M; Tan, HF; Liu, MJ; Lin, HX; Zhang, S; Zhang, L</t>
  </si>
  <si>
    <t>Zhang, Wei; Chen, Cheng; Wang, Qiange; Wang, Wei; Yang, Shijiao; Zhou, Bingyu; Zhu, Huiming; Chen, Chao; Zhao, Yongjun; Hu, Yingqian; Cheng, Miaomiao; Li, Meng; Tan, Hongfei; Liu, Mengjin; Lin, Hexiang; Zhang, Shuai; Zhang, Lei</t>
  </si>
  <si>
    <t>BG3: A Cost Effective and I/O Efficient Graph Database in ByteDance</t>
  </si>
  <si>
    <t>COMPANION OF THE 2024 INTERNATIONAL CONFERENCE ON MANAGEMENT OF DATA, SIGMOD-COMPANION 2024</t>
  </si>
  <si>
    <t>International Conference on Management of Data</t>
  </si>
  <si>
    <t>ACM International Conference on Management of Data (SIGMOD)</t>
  </si>
  <si>
    <t>JUN 09-15, 2024</t>
  </si>
  <si>
    <t>Santiago, CHILE</t>
  </si>
  <si>
    <t>Assoc Comp Machinery,ACM SIGMOD</t>
  </si>
  <si>
    <t>Graph Database; Cloud Storage; Graph Storage</t>
  </si>
  <si>
    <t>ByteDance's products, including TikTok, Douyin, and Toutiao, generate massive amounts of graph data every day. Previously, we developed ByteGraph, a distributed graph database that manages the large-scale graph data with varying performance requirements. BG3 is deployed on the computation and storage decoupled architecture, which allows for high performance in-memory execution and independent scaling of computation and storage layers. ByteGraph has demonstrated robust performance throughout its years of service in global-scale applications. However, as the business scale expands and applications evolve, the complexity and volume of graph analysis and processing have also increased. We observe that conventional database design faces issues with high operational costs when dealing with the large-scale graph workloads in social network management. To address this issue, we develop BG3 (ByteGraph 3.0), a cost-effective and high performance distributed graph database which provides three critical components. Firstly, a cost-effective yet query-efficient graph storage engine based on the BW-tree-based memory indices and affordable cloud storage. Secondly, a workloadaware space reclamation mechanism, which enhances storage utilization and reduces write amplifications. Thirdly, a lightweight leader-follower synchronization mechanism ensuring strong consistency for scaling out real-time graph analysis. Experimental results demonstrate that BG3 addresses the limitations of ByteGraph, offering a cost-effective, efficient, and scalable solution for processing ByteDance's large-scale graphs.</t>
  </si>
  <si>
    <t>[Zhang, Wei; Chen, Cheng; Wang, Wei; Yang, Shijiao; Zhou, Bingyu; Zhu, Huiming; Chen, Chao; Zhao, Yongjun; Hu, Yingqian; Cheng, Miaomiao; Li, Meng; Tan, Hongfei; Liu, Mengjin; Lin, Hexiang; Zhang, Shuai; Zhang, Lei] ByteDance Inc, Beijing, Peoples R China; [Wang, Qiange] Natl Univ Singapore, Singapore, Singapore</t>
  </si>
  <si>
    <t>National University of Singapore</t>
  </si>
  <si>
    <t>Chen, C (corresponding author), ByteDance Inc, Beijing, Peoples R China.</t>
  </si>
  <si>
    <t>zhangwei.95@bytedance.com; chencheng.sg@bytedance.com; wang.qg@nus.edu.sg; wangwei.tab@bytedance.com; yangshijiao@bytedance.com; zhoubingyu.zby@bytedance.com; zhuhuiming.sy@bytedance.com; chenchao.chen@bytedance.com; zhaoyongjun.remake@bytedance.com; huyingqian@bytedance.com; chengmiaomiao.123@bytedance.com; limeng.1@bytedance.com; tanhongfei@bytedance.com; liumengjin@bytedance.com; linhexiang@bytedance.com; zhangshuai.root@bytedance.com; zhanglei.michael@bytedance.com</t>
  </si>
  <si>
    <t>chen, cheng/0000-0002-2622-4075</t>
  </si>
  <si>
    <t>0730-8078</t>
  </si>
  <si>
    <t>979-8-4007-0422-2</t>
  </si>
  <si>
    <t>INT CONF MANAGE DATA</t>
  </si>
  <si>
    <t>10.1145/3626246.3653373</t>
  </si>
  <si>
    <t>BX2RR</t>
  </si>
  <si>
    <t>WOS:001267334100031</t>
  </si>
  <si>
    <t>Sallaku, K; De Fano, D; Ha, V; Russo, A</t>
  </si>
  <si>
    <t>Sallaku, Karolina; De Fano, Domenico; Ha, Van Su; Russo, Angeloantonio</t>
  </si>
  <si>
    <t>Breakdown of the co-creation process on social media: developing the value co-washing framework and stakeholders dynamics</t>
  </si>
  <si>
    <t>Value co-washing; Social media; Consumer behaviour; Stakeholder engagement; China; Sentiment analysis</t>
  </si>
  <si>
    <t>ONLINE BRAND COMMUNITIES; IDENTITY; KNOWLEDGE; BEHAVIOR; PROMOTE; PRODUCT; LOYALTY; IMPACT; MODEL</t>
  </si>
  <si>
    <t>PurposeSocial media platforms facilitate brand-consumer interactions by leveraging principles from nudging, value co-creation and social identity theories. This study aims to investigate how these interactions mask harmful practices and accelerate market access, perpetuating extreme consumerism. Specifically, the authors explore how value flow on social media, across distinct stakeholders, leads to value co-washing, revealing their collective unsustainable behaviours and related effects.Design/methodology/approachThe authors use a mixed-methods approach, conducting content and sentiment analysis on nine TikTok videos featuring products from a leading Chinese company and analysing 19,816 user comments.FindingsThe value co-washing framework is developed across three building blocks: brands, creators and users. Findings uncover a paradigm shift in stakeholders' dynamics, highlighting how social media collaborative engagements foster value co-washing. User involvement is categorized into three distinct clusters - brand lovers, saga creators and boycotters. The analysis identifies nine thematic patterns, including value co-creation, brand promotion, audience retention and calls for responsibility. Sentiment analysis reveals a dominance of neutral sentiments, reflecting a widespread unawareness and social adherence to value co-washing.Originality/valueThe proposed framework innovatively maps how distinct stakeholders contribute to extreme consumerism through value co-washing, providing foundational insights into the underlying mechanisms of consumer behaviour.</t>
  </si>
  <si>
    <t>[Sallaku, Karolina; De Fano, Domenico; Russo, Angeloantonio] LUM Giuseppe Degennaro Univ, Dept Management Finance &amp; Technol, Casamassima, Italy; [Ha, Van Su] Thuongmai Univ, Dept Econ &amp; Law, Hanoi, Vietnam</t>
  </si>
  <si>
    <t>Thuongmai University</t>
  </si>
  <si>
    <t>Sallaku, K (corresponding author), LUM Giuseppe Degennaro Univ, Dept Management Finance &amp; Technol, Casamassima, Italy.</t>
  </si>
  <si>
    <t>sallaku@lum.it; defano@lum.it; hvsdhtm@tmu.edu.vn; russo@lum.it</t>
  </si>
  <si>
    <t>10.1108/JABS-02-2024-0110</t>
  </si>
  <si>
    <t>I4I9K</t>
  </si>
  <si>
    <t>WOS:001329921800001</t>
  </si>
  <si>
    <t>Pope, L; Rose, KL</t>
  </si>
  <si>
    <t>Pope, Lizzy; Rose, Kelsey L.</t>
  </si>
  <si>
    <t>It's All Just F*cking Impossible: The influence of Taylor Swift on fans' body image, disordered eating, and rejection of diet culture</t>
  </si>
  <si>
    <t>Eating disorders; Body image; Taylor Swift; Anti-fat bias; Parasocial relationship</t>
  </si>
  <si>
    <t>WEIGHT; TWITTER</t>
  </si>
  <si>
    <t>Taylor Swift is arguably one of the most popular and influential celebrities. Of particular interest is her power as a role model for millions of fans across the world. Swift has spoken openly about different cultural issues, including her struggles with disordered eating and diet culture. Thus, the purpose of this paper was to explore whether Swift's disclosures of her own eating and body image struggles influenced her fans. Over 200 TikTok and Reddit posts related to Swift and eating disorders or body image, as well as their associated comments, were qualitatively coded to examine relevant themes. Key themes included: 1) Swift as a role model for disordered eating recovery; 2) use of or identification with specific Swift songs to illustrate struggles with eating or body image; 3) continued objectification of Swift's body; and 4) conflicted reaction to a scene in Swift's video for 'AntiHero' that depicted the word 'fat' on a scale. Overall, Swift's disclosures of her own eating/body image struggles positively influenced her fans' relationships with their eating behaviors and body image. This analysis illustrates the positive influence celebrities can have while also highlighting the limitations of personal disclosures to impact understanding of systemic issues like anti-fat bias.</t>
  </si>
  <si>
    <t>[Pope, Lizzy; Rose, Kelsey L.] Univ Vermont, Dept Nutr &amp; Food Sci, 254 Carrigan Wing,109 Carrigan Dr, Burlington, VT 05405 USA</t>
  </si>
  <si>
    <t>Pope, L (corresponding author), Univ Vermont, Dept Nutr &amp; Food Sci, 254 Carrigan Wing,109 Carrigan Dr, Burlington, VT 05405 USA.</t>
  </si>
  <si>
    <t>efpope@uvm.edu; kelsey.rose@uvm.edu</t>
  </si>
  <si>
    <t>10.1016/j.socscimed.2024.117100</t>
  </si>
  <si>
    <t>C4C5D</t>
  </si>
  <si>
    <t>WOS:001288855700001</t>
  </si>
  <si>
    <t>Raaper, R; Hardey, M; Aad, S</t>
  </si>
  <si>
    <t>Raaper, Rille; Hardey, Mariann; Aad, Samar</t>
  </si>
  <si>
    <t>#Studytalk in marketised higher education: student influencers as emerging support providers</t>
  </si>
  <si>
    <t>STUDIES IN HIGHER EDUCATION</t>
  </si>
  <si>
    <t>student influencers; studytalk; higher education; social media; marketisation; student support</t>
  </si>
  <si>
    <t>SUBJECT; SELF</t>
  </si>
  <si>
    <t>Within the marketised higher education context, where traditional support systems are strained, student influencers on platforms like TikTok, Instagram, and YouTube have emerged as unexpected providers of academic and emotional support for their peers. Utilising a Foucauldian framework and drawing on 13 in-depth interviews with UK-based #studytalk creators, this study investigates the construction of student influencer subjectivity and their strategies for navigating this complex space. Findings reveal how these individuals leverage their success as academically high-achieving students and digital acumen to build legitimacy, negotiate ethical boundaries within the influencer market, and even resist the pervasive toxicity of certain study cultures. We show that these students do not just thrive to be influencers, but they engage with forms of ethical reflection to set certain parameters for their practice. Through this analysis, we contribute to a nuanced understanding of how students negotiate support and self-making in a marketised context while offering theoretical insights into the subjectification processes within the burgeoning influencer economy. By doing so, the article extends the dominant scholarly understandings of student support that often position support provision as the domain of universities. Instead, the findings show that students themselves are highly resourceful in developing and delivering peer support, and their practices intersect with wider student and youth experiences in the digital age.</t>
  </si>
  <si>
    <t>[Raaper, Rille; Hardey, Mariann] Univ Durham, Sch Educ, Confluence Bldg,Stockton Rd, Durham DH1 3LE, England; [Aad, Samar] Lebanese Amer Univ, Beirut, Lebanon</t>
  </si>
  <si>
    <t>Durham University; Lebanese American University</t>
  </si>
  <si>
    <t>Raaper, R (corresponding author), Univ Durham, Sch Educ, Confluence Bldg,Stockton Rd, Durham DH1 3LE, England.</t>
  </si>
  <si>
    <t>; Hardey, Mariann (Maz)/L-6071-2017</t>
  </si>
  <si>
    <t>Aad, Samar/0000-0001-9493-4899; Hardey, Mariann (Maz)/0000-0002-1027-0165; Raaper, Rille/0000-0001-7098-0241</t>
  </si>
  <si>
    <t>Durham University's Institute of Advanced Study</t>
  </si>
  <si>
    <t>This work was supported by Durham University's Institute of Advanced Study which funded the major project entitled 'Risks to Youth and Studenthood in Digital Spaces' in 2022/23.</t>
  </si>
  <si>
    <t>0307-5079</t>
  </si>
  <si>
    <t>1470-174X</t>
  </si>
  <si>
    <t>STUD HIGH EDUC</t>
  </si>
  <si>
    <t>Stud. High. Educ.</t>
  </si>
  <si>
    <t>2024 JUL 31</t>
  </si>
  <si>
    <t>10.1080/03075079.2024.2385614</t>
  </si>
  <si>
    <t>A1S7S</t>
  </si>
  <si>
    <t>WOS:001280407900001</t>
  </si>
  <si>
    <t>Lu, S; Yu, ML; Wang, HW</t>
  </si>
  <si>
    <t>Lu, Shan; Yu, Mengli; Wang, Huiwen</t>
  </si>
  <si>
    <t>What matters for short videos? user engagement: A multiblock model with variable screening</t>
  </si>
  <si>
    <t>Short video; Multiblock analysis; Deep learning; Variable screening; User engagement; Compositional data analysis</t>
  </si>
  <si>
    <t>FACEBOOK; ALLOCATION</t>
  </si>
  <si>
    <t>The increasing number of short videos have permeated people's daily life and played a vital role in information dissemination. However, the burgeoning video's form brings challenges to discern the key features and improve the dissemination's effect of short videos in affecting user engagement. Additionally, modeling the composition of likes, shares and comments as a response variable is essential in analyzing user engagement. Aiming to aggregate information from short videos and offer the quantitative method to advance the previous qualitative analysis on user engagement structure, we establish a framework for modeling multimodal data embedded in a short video. Building on deep learning and text mining method, we extract features from videos' acoustics, textual, and visual data as high-dimensional variables. Then, we propose a new variable screening method for compositional response to reduce the vector dimensionality. These variables and other numerical variables are integrated into multiblock partial least squares to analyze the importance of each variable block. The numerical results show the effectiveness of the proposed method. Furthermore, the proposed method is empirically applied to the TikTok platform administered on various kinds of short videos to show the key factors that determine user engagement structure. Theoretical contributions and pragmatic implications to be gleaned from our research model and its subsequent empirical validation are discussed.</t>
  </si>
  <si>
    <t>[Lu, Shan] Cent Univ Finance &amp; Econ, Sch Stat &amp; Math, Beijing, Peoples R China; [Yu, Mengli] Nankai Univ, Sch Journalism &amp; Commun, Tianjin, Peoples R China; [Yu, Mengli] Nankai Univ, Convergence Media Res Ctr, Tianjin, Peoples R China; [Wang, Huiwen] Beihang Univ, Sch Econ &amp; Management, Beijing, Peoples R China; [Wang, Huiwen] Beihang Univ, Key Lab Complex Syst Anal Management &amp; Decis, Minist Educ, Beijing, Peoples R China</t>
  </si>
  <si>
    <t>Central University of Finance &amp; Economics; Nankai University; Nankai University; Beihang University; Beihang University</t>
  </si>
  <si>
    <t>Yu, ML (corresponding author), Nankai Univ, Sch Journalism &amp; Commun, Tianjin, Peoples R China.;Yu, ML (corresponding author), Nankai Univ, Convergence Media Res Ctr, Tianjin, Peoples R China.</t>
  </si>
  <si>
    <t>shan.lu@cufe.edu.cn; mengliyu@nankai.edu.cn; wanghw@vip.sina.com</t>
  </si>
  <si>
    <t>Yu, Mengli/ABH-7120-2020; Wang, Huiwen/JED-3206-2023</t>
  </si>
  <si>
    <t>Lu, Shan/0000-0002-8263-8598</t>
  </si>
  <si>
    <t>National Natural Sci-ence Foundation of China [72001222]; Ministry of Education of the People's Republic of China Humanities and Social Sciences Youth Foundation [22YJC860034]; Liberal Arts Development Foundation of Nankai University [ZB21BZ0333]; Philosophy and Social Science Planning Project of China Tianjin [TJXC21-007]; Emerging Interdisciplinary Project of CUFE; Program for Innovation Research; Central University of Finance and Economics</t>
  </si>
  <si>
    <t>National Natural Sci-ence Foundation of China(National Natural Science Foundation of China (NSFC)); Ministry of Education of the People's Republic of China Humanities and Social Sciences Youth Foundation; Liberal Arts Development Foundation of Nankai University; Philosophy and Social Science Planning Project of China Tianjin; Emerging Interdisciplinary Project of CUFE; Program for Innovation Research; Central University of Finance and Economics</t>
  </si>
  <si>
    <t>This research was financially supported by the National Natural Science Foundation of China (Grant No. 72001222) , Ministry of Education of the People's Republic of China Humanities and Social Sciences Youth Foundation (Grant No. 22YJC860034) , Liberal Arts Development Foundation of Nankai University (Grant No. ZB21BZ0333) ,Philosophy and Social Science Planning Project of China Tianjin (Grant No. TJXC21-007) , the Emerging Interdisciplinary Project of CUFE, the Program for Innovation Research, and the disciplinary funding in Central University of Finance and Economics. Shan Lu is a member of Financial Sustainable Development Research Team in CUFE.</t>
  </si>
  <si>
    <t>10.1016/j.eswa.2023.119542</t>
  </si>
  <si>
    <t>C7IW3</t>
  </si>
  <si>
    <t>WOS:000963621400001</t>
  </si>
  <si>
    <t>Yang, LN; Wu, AY; Tong, W; Xu, X; Wei, Z; Qu, HM</t>
  </si>
  <si>
    <t>Yang, Leni; Wu, Aoyu; Tong, Wai; Xu, Xian; Wei, Zheng; Qu, Huamin</t>
  </si>
  <si>
    <t>Understanding 3D Data Videos: From Screens to Virtual Reality</t>
  </si>
  <si>
    <t>2023 IEEE 16TH PACIFIC VISUALIZATION SYMPOSIUM, PACIFICVIS</t>
  </si>
  <si>
    <t>IEEE Pacific Visualization Symposium</t>
  </si>
  <si>
    <t>IEEE 16th Pacific Visualization Symposium (IEEE PacificVis)</t>
  </si>
  <si>
    <t>APR 18-21, 2023</t>
  </si>
  <si>
    <t>Seoul, SOUTH KOREA</t>
  </si>
  <si>
    <t>IEEE,IEEE Comp Soc,IEEE Comp Soc Visualizat &amp; Graph Tech Comm</t>
  </si>
  <si>
    <t>Narrative Visualization; Data Video; Virtual Reality</t>
  </si>
  <si>
    <t>DATA VISUALIZATION; STORIES; DESIGN</t>
  </si>
  <si>
    <t>Data storytelling explores how to communicate data insights to the general public engagingly and effectively. It combines the power of data visualizations and storytelling techniques and is popular in various media such as newspapers, interactive websites, and videos. Recently, virtual reality has brought new opportunities to enhance data storytelling with an incomparable sense of immersion. However, there exists a limited understanding of data stories in virtual reality (VR) as they are still in the early stage. In this paper, we investigated the idea of VR data videos by drawing inspiration from popular 3D data videos and studying how to transfer them from screens to VR. We systematically analyzed 100 highly-watched 3D data videos from Youtube and Tiktok channels to derive their design space. We then conducted a user study with 12 participants to explore the effects of four design factors on user experience, including varying camera angles, showing chart overview, animation, and using anchors. Specifically, participants watched 3D data videos in desktop and VR environments. We collected and analyzed their quantitative and qualitative feedback regarding the story's understandability, memorability, engagement, and emotional effects. Results suggested that data videos in VR were significantly more appreciated than on desktops. We concluded with design implications for future applications and research on VR data videos.</t>
  </si>
  <si>
    <t>[Yang, Leni; Wu, Aoyu; Tong, Wai; Qu, Huamin] Hong Kong Univ Sci &amp; Technol, Hong Kong, Peoples R China; [Xu, Xian; Wei, Zheng] Hong Kong Univ Sci &amp; Technol, Guangzhou, Peoples R China</t>
  </si>
  <si>
    <t>Hong Kong University of Science &amp; Technology; Hong Kong University of Science &amp; Technology</t>
  </si>
  <si>
    <t>Yang, LN (corresponding author), Hong Kong Univ Sci &amp; Technol, Hong Kong, Peoples R China.</t>
  </si>
  <si>
    <t>cseleni@ust.hk; aoyuwu@seas.harvard.edu; wtong@connect.ust.hk; xxubq@connect.ust.hk; zwei302@connect.hkust-gz.edu.cn; huamin@cs.ust.hk</t>
  </si>
  <si>
    <t>Tong, Wai/HJI-3355-2023</t>
  </si>
  <si>
    <t>2165-8765</t>
  </si>
  <si>
    <t>979-8-3503-2124-1</t>
  </si>
  <si>
    <t>IEEE PAC VIS SYMP</t>
  </si>
  <si>
    <t>10.1109/PacificVis56936.2023.00029</t>
  </si>
  <si>
    <t>BV3FD</t>
  </si>
  <si>
    <t>WOS:001016413500023</t>
  </si>
  <si>
    <t>Yao, X; Zhan, Y; Chen, YM; Tang, FX; Zhao, M; Li, EL; Zhang, YC</t>
  </si>
  <si>
    <t>Yao, Xin; Zhan, Yu; Chen, Yimin; Tang, Fengxiao; Zhao, Ming; Li, Enlang; Zhang, Yanchao</t>
  </si>
  <si>
    <t>DUO: Stealthy Adversarial Example Attack on Video Retrieval Systems via Frame-Pixel Search</t>
  </si>
  <si>
    <t>2023 IEEE 43RD INTERNATIONAL CONFERENCE ON DISTRIBUTED COMPUTING SYSTEMS, ICDCS</t>
  </si>
  <si>
    <t>IEEE International Conference on Distributed Computing Systems</t>
  </si>
  <si>
    <t>43rd IEEE International Conference on Distributed Computing Systems (ICDCS)</t>
  </si>
  <si>
    <t>JUL 18-21, 2023</t>
  </si>
  <si>
    <t>IEEE,IEEE Comp Soc Tech Community Distributed Proc,Huawei,K C Wong Educ Fdn,NSF</t>
  </si>
  <si>
    <t>sparse targeted adversarial example attack; video retrieval system; black-box attack; stealthiness</t>
  </si>
  <si>
    <t>Massive videos are released every day particularly through video-focused social media apps such as TikTok. This trend has fostered the quick emergence of video retrieval systems, which provide cloud-based services to retrieve similar videos using machine learning techniques. Adversarial example (AE) attacks have been shown to be effective on such systems by perturbing an unaltered video subtly to induce false retrieval results. Such AE attacks can be easily detected because the adversarial perturbations are all over pixels and frames. In this paper, we propose DUO, a stealthy targeted black-box AE attack which uses DUal search Over frame-pixel to generate sparse perturbations and improve stealthiness. DUO is motivated by two observations: only key frames in a video decide model predictions, and different pixels and frames contribute far differently to AEs. We implement DUO into a sequential attack pipeline consisting of two components (i.e., SparseTransfer and SparseQuery) built upon such intuitions. In particular, DUO uses SparseTransfer to generate initial perturbations and then SparseQuery to further rectify them. Extensive evaluations on two popular datasets confirm the higher efficacy and stealthiness of DUO over existing AE attacks on video retrieval systems. In particular, we show that DUO achieves higher precision while significantly reducing adversarial perturbations by more than x100 than the state-of-the-art AE attack.</t>
  </si>
  <si>
    <t>[Yao, Xin; Zhan, Yu; Tang, Fengxiao; Zhao, Ming; Li, Enlang] Cent South Univ, Sch Comp Sci &amp; Engn, Changsha 410082, Hunan, Peoples R China; [Chen, Yimin] Univ Massachusetts Lowell, Miner Sch Comp &amp; Informat Sci, Lowell, MA 01854 USA; [Zhang, Yanchao] Arizona State Univ, Sch Elect Comp &amp; Energy Engn, Tempe, AZ 85287 USA</t>
  </si>
  <si>
    <t>Central South University; University of Massachusetts System; University of Massachusetts Lowell; Arizona State University; Arizona State University-Tempe</t>
  </si>
  <si>
    <t>Chen, YM (corresponding author), Univ Massachusetts Lowell, Miner Sch Comp &amp; Informat Sci, Lowell, MA 01854 USA.;Zhang, YC (corresponding author), Arizona State Univ, Sch Elect Comp &amp; Energy Engn, Tempe, AZ 85287 USA.</t>
  </si>
  <si>
    <t>Tang, Fengxiao/AFN-7960-2022; Yuan, Xin/KCZ-2239-2024; Chen, Yimin/H-1565-2011; Ming, Zhao/AAD-2155-2019; Zhang, Yanchao/JFJ-8627-2023</t>
  </si>
  <si>
    <t>Tang, Fengxiao/0000-0003-2414-4802</t>
  </si>
  <si>
    <t>National Natural Science Foundation of China [61902433]; Key Research and Development Program of Xinjiang Autonomous Region [2021B01002]; Major Special Project of Changsha Science and Technology Plan [KH2103016]; High Performance Computing Center of Central South University</t>
  </si>
  <si>
    <t>National Natural Science Foundation of China(National Natural Science Foundation of China (NSFC)); Key Research and Development Program of Xinjiang Autonomous Region; Major Special Project of Changsha Science and Technology Plan; High Performance Computing Center of Central South University</t>
  </si>
  <si>
    <t>This work was partially supported by National Natural Science Foundation of China through grant 61902433, the Key Research and Development Program of Xinjiang Autonomous Region under Grant 2021B01002, the Major Special Project of Changsha Science and Technology Plan under Grant KH2103016, and the High Performance Computing Center of Central South University.</t>
  </si>
  <si>
    <t>1063-6927</t>
  </si>
  <si>
    <t>979-8-3503-3986-4</t>
  </si>
  <si>
    <t>INT CON DISTR COMP S</t>
  </si>
  <si>
    <t>10.1109/ICDCS57875.2023.00044</t>
  </si>
  <si>
    <t>Computer Science, Hardware &amp; Architecture; Computer Science, Software Engineering; Telecommunications</t>
  </si>
  <si>
    <t>BV8QU</t>
  </si>
  <si>
    <t>WOS:001081242600019</t>
  </si>
  <si>
    <t>Liu, YY; Liu, Q; Tian, Y; Wang, CP; Niu, YN; Song, Y; Li, CL</t>
  </si>
  <si>
    <t>Liu, Yiyu; Liu, Qian; Tian, Yu; Wang, Changping; Niu, Yanan; Song, Yang; Li, Chenliang</t>
  </si>
  <si>
    <t>Concept-Aware Denoising Graph Neural Network for Micro-Video Recommendation</t>
  </si>
  <si>
    <t>PROCEEDINGS OF THE 30TH ACM INTERNATIONAL CONFERENCE ON INFORMATION &amp; KNOWLEDGE MANAGEMENT, CIKM 2021</t>
  </si>
  <si>
    <t>30th ACM International Conference on Information and Knowledge Management (CIKM)</t>
  </si>
  <si>
    <t>NOV 01-05, 2021</t>
  </si>
  <si>
    <t>Univ Queensland, ELECTR NETWORK</t>
  </si>
  <si>
    <t>Univ Queensland</t>
  </si>
  <si>
    <t>Micro-video Recommendation; Graph Neural Network; Graph Denoising</t>
  </si>
  <si>
    <t>Recently, micro-video sharing platforms such as Kuaishou and Tiktok have become a major source of information for people's lives. Thanks to the large traffic volume, short video lifespan and streaming fashion of these services, it has become more and more pressing to improve the existing recommender systems to accommodate these challenges in a cost-effective way. In this paper, we propose a novel concept-aware denoising graph neural network (named Conde) for micro-video recommendation. Conde consists of a three-phase graph convolution process to derive user and micro-video representations: warm-up propagation, graph denoising and preference refinement. A heterogeneous tripartite graph is constructed by connecting user nodes with video nodes, and video nodes with associated concept nodes, extracted from captions and comments of the videos. To address the noisy information in the graph, we introduce a user-oriented graph denoising phase to extract a subgraph which can better reflect the user's preference. Despite the main focus of micro-video recommendation in this paper, we also show that our method can be generalized to other types of tasks. Therefore, we also conduct empirical studies on a well-known public E-commerce dataset. The experimental results suggest that the proposed Conde achieves significantly better recommendation performance than the existing state-of-the-art solutions.</t>
  </si>
  <si>
    <t>[Liu, Yiyu; Liu, Qian; Tian, Yu; Li, Chenliang] Wuhan Univ, Sch Cyber Sci &amp; Engn, Minist Educ, Key Lab Aerosp Informat Secur &amp; Trusted Comp, Wuhan 430072, Peoples R China; [Wang, Changping; Niu, Yanan; Song, Yang] Kuaishou Technol Co Ltd, Beijing 10010, Peoples R China</t>
  </si>
  <si>
    <t>Li, CL (corresponding author), Wuhan Univ, Sch Cyber Sci &amp; Engn, Minist Educ, Key Lab Aerosp Informat Secur &amp; Trusted Comp, Wuhan 430072, Peoples R China.</t>
  </si>
  <si>
    <t>liuyiyu@whu.edu.cn; littleliu@whu.edu.cn; s.braylon1002@gmail.com; wangchangping@kuaishou.com; niuyanan@kuaishou.com; yangsong@kuaishou.com; cllee@whu.edu.cn</t>
  </si>
  <si>
    <t>Niu, Yanan/ITV-6636-2023; Song, Yangyi/JBJ-7119-2023</t>
  </si>
  <si>
    <t>National Natural Science Foundation of China [61872278]</t>
  </si>
  <si>
    <t>This work was funded by Kuaishou and National Natural Science Foundation of China (No. 61872278). Chenliang Li is the corresponding author.</t>
  </si>
  <si>
    <t>978-1-4503-8446-9</t>
  </si>
  <si>
    <t>10.1145/3459637.3482417</t>
  </si>
  <si>
    <t>BV5WQ</t>
  </si>
  <si>
    <t>WOS:001054156201016</t>
  </si>
  <si>
    <t>Li, P; Zhang, P; Xu, XH</t>
  </si>
  <si>
    <t>Li, Ping; Zhang, Pan; Xu, Xianghua</t>
  </si>
  <si>
    <t>Graph convolutional network meta-learning with multi-granularity POS guidance for video captioning</t>
  </si>
  <si>
    <t>NEUROCOMPUTING</t>
  </si>
  <si>
    <t>Graph convolutional networks; Meta-learning; Video captioning; Multi-granularity part-of-speech</t>
  </si>
  <si>
    <t>Video as information carrier has gained overwhelming popularity in city surveillance and social networks, such as WeChat, Weibo, and TikTok. To bridge the semantic gap between video content (e.g., user and landmark building) and textual information (e.g., user location), video captioning has emerged as an attracting technique in recent years. Existing works mostly focus on sentence-level Part-of-Speech (POS) information and use Long Short-Term Memory (LSTM) as encoder, which neglects word or phrase-level POS information and also fails to globally consider long-range temporal relations among video frames. To address the drawbacks, we leverage multi-granularity POS guidance to learn Graph Convolutional Network (GCN) via meta-learning, abbreviated as GMMP (GCN Meta-learning with Multi-granularity POS), for generating high-quality captions for videos. It models temporal dependency by treating frames as nodes in the graph, and captures POS information of words and phrases by multi-granularity POS attention mechanism. We adopt meta-learning to better learn GCN by maximizing the reward of generated caption in a reinforcement task and also the probability of ground-truth caption in a supervised task, simultaneously. Experiments have verified the advantages of our GMMP model on several benchmark data sets. (c) 2021 Elsevier B.V. All rights reserved.</t>
  </si>
  <si>
    <t>[Li, Ping; Zhang, Pan; Xu, Xianghua] Hangzhou Dianzi Univ, Sch Comp Sci &amp; Technol, Hangzhou, Peoples R China</t>
  </si>
  <si>
    <t>Hangzhou Dianzi University</t>
  </si>
  <si>
    <t>Li, P (corresponding author), Hangzhou Dianzi Univ, Sch Comp Sci &amp; Technol, Hangzhou, Peoples R China.</t>
  </si>
  <si>
    <t>lpcs@hdu.edu.cn</t>
  </si>
  <si>
    <t>Li, Ping/0000-0002-8515-7773</t>
  </si>
  <si>
    <t>National Natural Science Foundation of China [61872122, 61502131]; Zhejiang Provincial Natural Science Foundation [LY18F020015]; Open Project Program of the State Key Lab of CAD&amp;CG, Zhejiang University [A1802]</t>
  </si>
  <si>
    <t>National Natural Science Foundation of China(National Natural Science Foundation of China (NSFC)); Zhejiang Provincial Natural Science Foundation(Natural Science Foundation of Zhejiang Province); Open Project Program of the State Key Lab of CAD&amp;CG, Zhejiang University</t>
  </si>
  <si>
    <t>This work was supported in part by the National Natural Science Foundation of China under Grants 61872122, 61502131, in part by Zhejiang Provincial Natural Science Foundation under Grant LY18F020015, and in part by the Open Project Program of the State Key Lab of CAD&amp;CG under Grant A1802, Zhejiang University.</t>
  </si>
  <si>
    <t>0925-2312</t>
  </si>
  <si>
    <t>1872-8286</t>
  </si>
  <si>
    <t>Neurocomputing</t>
  </si>
  <si>
    <t>10.1016/j.neucom.2020.12.137</t>
  </si>
  <si>
    <t>ZI6WF</t>
  </si>
  <si>
    <t>WOS:000761758600005</t>
  </si>
  <si>
    <t>Basu, K; Hussain, SS; Gupta, U; Karri, R</t>
  </si>
  <si>
    <t>Basu, Kanad; Hussain, Suha Sabi; Gupta, Ujjwal; Karri, Ramesh</t>
  </si>
  <si>
    <t>COPPTCHA: COPPA Tracking by Checking Hardware-Level Activity</t>
  </si>
  <si>
    <t>IEEE TRANSACTIONS ON INFORMATION FORENSICS AND SECURITY</t>
  </si>
  <si>
    <t>Social factors; Demography; Technology Social factors; Privacy</t>
  </si>
  <si>
    <t>EFFICIENT</t>
  </si>
  <si>
    <t>User privacy is an extremely important concern for mobile applications. Recently, the Federal Trade Commission (FTC) has penalized multiple mobile application developers, such as TikTok and BabyBus for violating privacy regulations. Privacy concerns are more critical for children, who do not comprehend the risks associated with transmitting private information like geospatial location. The Children's Online Privacy Protection Act (COPPA) is an online privacy regulation platform to monitor data usage by mobile applications designed for children. Existing research on detecting whether an application complies with certain privacy regulations is performed either by analyzing the application binary or by dynamic monitoring of network at runtime. However, as explained in related work, both methods have their respective demerits. We propose COPPTCHA, a Hardware performance counter (HPC)-based technique to detect whether a children's app abides by the COPPA regulations. HPCs are special purpose registers found in all processors that measure system level events. Since the proposed method is hardware-based, it is difficult to undermine it compared to software-based COPPA compliance detection. COPPTCHA has no hardware overhead, since HPC data collection is integral to all industry standard processors. The HPC readings of applications running on a smartphone are classified using machine learning based classifiers to detect COPPA compliance. Our experiments employing a Moto-G4 smartphone shows that COPPTCHA can detect COPPA-violating apps with &gt;= 99% accuracy.</t>
  </si>
  <si>
    <t>[Basu, Kanad] Univ Texas Dallas, Dept Elect &amp; Comp Engn, Richardson, TX 75080 USA; [Hussain, Suha Sabi] Georgia Inst Technol, Inst Informat Secur &amp; Privacy, Atlanta, GA 30332 USA; [Gupta, Ujjwal] Intel Corp, Santa Clara, CA 95054 USA; [Karri, Ramesh] NYU, Dept Elect &amp; Comp Engn, Brooklyn, NY 11201 USA</t>
  </si>
  <si>
    <t>University of Texas System; University of Texas Dallas; University System of Georgia; Georgia Institute of Technology; Intel Corporation; New York University</t>
  </si>
  <si>
    <t>Basu, K (corresponding author), Univ Texas Dallas, Dept Elect &amp; Comp Engn, Richardson, TX 75080 USA.</t>
  </si>
  <si>
    <t>kanad.basu@utdallas.edu</t>
  </si>
  <si>
    <t>Karri, Ramesh/0000-0001-7989-5617; Hussain, Suha/0000-0001-7146-7773</t>
  </si>
  <si>
    <t>1556-6013</t>
  </si>
  <si>
    <t>1556-6021</t>
  </si>
  <si>
    <t>IEEE T INF FOREN SEC</t>
  </si>
  <si>
    <t>IEEE Trans. Inf. Forensic Secur.</t>
  </si>
  <si>
    <t>10.1109/TIFS.2020.2983287</t>
  </si>
  <si>
    <t>Computer Science, Theory &amp; Methods; Engineering, Electrical &amp; Electronic</t>
  </si>
  <si>
    <t>LJ6JP</t>
  </si>
  <si>
    <t>WOS:000530269600006</t>
  </si>
  <si>
    <t>Boehnke, J; Loupos, P; Gu, Y</t>
  </si>
  <si>
    <t>Boehnke, Jorn; Loupos, Pantelis; Gu, Ying</t>
  </si>
  <si>
    <t>Social drug dealing: how peer-to-peer fintech platforms have transformed illicit drug markets</t>
  </si>
  <si>
    <t>ANNALS OF OPERATIONS RESEARCH</t>
  </si>
  <si>
    <t>Illicit markets; Peer-to-peer platforms; Text analytics; Social network analysis; Machine learning; Venmo</t>
  </si>
  <si>
    <t>NETWORK; CRIME; GANGS</t>
  </si>
  <si>
    <t>Digital platforms have revolutionized the way illegal drug trafficking is taking place. Modern drug dealers use social network platforms, such as Instagram and TikTok, as direct-to-consumer marketing tools. But apart from the marketing side, drug dealers also use fintech payment apps to engage in financial transactions with their clients. In this work, we leverage a large dataset from Venmo to investigate the digital money trail of drug dealers and the social networks they create. Using text and social network analytics, we identify two types of illicit users: mixed-activity participants and heavy drug traffickers and build a random forest classifier that accurately predicts both types of illicit nodes. We then investigate the social network structure of drug dealers on Venmo and find that heavy drug traffickers share similar network characteristics with previous literature findings on drug trafficking networks. However, mixed-activity participants exhibit different patterns of network structure characteristics, including a higher clustering coefficient, suggesting that they may be accessing multiple networks and bridging those networks through their illicit activities. Our findings highlight the importance of distinguishing between these two types of illicit users and provide law enforcement agencies with valuable insights that can aid in combating illegal drug transactions in digital payment apps.</t>
  </si>
  <si>
    <t>[Boehnke, Jorn; Loupos, Pantelis] Univ Calif Davis, Grad Sch Management, 1 Shields Ave, Davis, CA 95616 USA; [Gu, Ying] Univ Washington, Foster Sch Business, 4273 E Stevens Way, Seattle, WA 98195 USA</t>
  </si>
  <si>
    <t>University of California System; University of California Davis; University of Washington; University of Washington Seattle</t>
  </si>
  <si>
    <t>Boehnke, J; Loupos, P (corresponding author), Univ Calif Davis, Grad Sch Management, 1 Shields Ave, Davis, CA 95616 USA.</t>
  </si>
  <si>
    <t>jb@ucdavis.edu; ploupos@ucdavis.edu; yg2689@uw.edu</t>
  </si>
  <si>
    <t>Loupos, Pantelis/KHZ-8876-2024</t>
  </si>
  <si>
    <t>Boehnke, Jorn/0000-0003-0890-7275; Loupos, Pantelis/0000-0003-4414-9790; Gu, Ying/0000-0003-0546-9062</t>
  </si>
  <si>
    <t>We thank the guest editor, Michel Fathi, and all anonymous referees for their constructive comments and suggestions that greatly enhanced the clarity of this article. We also want to extend our heartfelt appreciation to our students-Yuntong Xiao, Ayan Ghos</t>
  </si>
  <si>
    <t>We thank the guest editor, Michel Fathi, and all anonymous referees for their constructive comments and suggestions that greatly enhanced the clarity of this article. We also want to extend our heartfelt appreciation to our students-Yuntong Xiao, Ayan Ghosh, Jeet Patel, and Ethan Meng-who contributed to the early stage of this research project.</t>
  </si>
  <si>
    <t>0254-5330</t>
  </si>
  <si>
    <t>1572-9338</t>
  </si>
  <si>
    <t>ANN OPER RES</t>
  </si>
  <si>
    <t>Ann. Oper. Res.</t>
  </si>
  <si>
    <t>10.1007/s10479-023-05617-7</t>
  </si>
  <si>
    <t>MR0V2</t>
  </si>
  <si>
    <t>WOS:001088167000003</t>
  </si>
  <si>
    <t>Ye, ZW; Li, Q; Qiao, CY; Ma, XT; Jiang, Y; Ma, Q; Meng, SB; Yuan, ZH; Meng, ZL</t>
  </si>
  <si>
    <t>Ye, Ziwen; Li, Qing; Qiao, Chunyu; Ma, Xiaoteng; Jiang, Yong; Ma, Qian; Meng, Shengbin; Yuan, Zhenhui; Meng, Zili</t>
  </si>
  <si>
    <t>KEPC-Push: A Knowledge-Enhanced Proactive Content Push Strategy for Edge-Assisted Video Feed Streaming</t>
  </si>
  <si>
    <t>PROCEEDINGS OF THE 2024 USENIX ANNUAL TECHNICAL CONFERENCE, ATC 2024</t>
  </si>
  <si>
    <t>USENIX Annual Technical Conference</t>
  </si>
  <si>
    <t>JUL 10-12, 2024</t>
  </si>
  <si>
    <t>Santa Clara, CA</t>
  </si>
  <si>
    <t>USENIX Assoc</t>
  </si>
  <si>
    <t>Video Feed Streaming (e.g., TikTok, Reels) is increasingly popular nowadays. Users will be scheduled to the distribution infrastructure, including content distribution network (CDN) and multi-access edge computing (MEC) nodes, to access the content. Our observation is that the existing proactive content push algorithms, which are primarily based on historical access information and designed for on-demand videos, no longer meet the demands of video feed streaming. The main reason is that video feed streaming applications always push recently generated videos to attract users' interests, thus lacking historical information when pushing. In this case, push mismatches and load imbalances will be observed, resulting in degraded bandwidth cost and user experience. To this end, we propose KEPC-Push, a Knowledge-Enhanced Proactive Content Push strategy with the knowledge of video content features. KEPC-Push employs knowledge graphs to determine the popularity correlation among similar videos (with similar authors, contents, length, etc.) and pushes content based on this guidance. Besides, KEPC-Push designs a hierarchical algorithm to optimize the resource allocation in edge nodes with heterogeneous capabilities and runs at the regional level to shorten the communication distance. Trace-driven simulations show that KEPC-Push saves the peak-period CDN bandwidth costs by 20% and improves the average download speeds by 7% against the state-of-the-art solutions.</t>
  </si>
  <si>
    <t>[Ye, Ziwen; Li, Qing; Jiang, Yong] Peng Cheng Lab, Shenzhen, Peoples R China; [Ye, Ziwen; Ma, Xiaoteng; Jiang, Yong] Tsinghua Shenzhen Int Grad Sch, Shenzhen, Peoples R China; [Qiao, Chunyu; Ma, Qian; Meng, Shengbin] ByteDance, Beijing, Peoples R China; [Yuan, Zhenhui] Univ Warwick, Coventry, England; [Meng, Zili] HKUST, Hong Kong, Peoples R China</t>
  </si>
  <si>
    <t>Peng Cheng Laboratory; Tsinghua Shenzhen International Graduate School; University of Warwick; Hong Kong University of Science &amp; Technology</t>
  </si>
  <si>
    <t>Li, Q; Jiang, Y (corresponding author), Peng Cheng Lab, Shenzhen, Peoples R China.;Jiang, Y (corresponding author), Tsinghua Shenzhen Int Grad Sch, Shenzhen, Peoples R China.</t>
  </si>
  <si>
    <t>liq@pcl.ac.cn; jiangy@sz.tsinghua.edu.cn</t>
  </si>
  <si>
    <t>乔, 春雨/JPX-6851-2023; Ma, Xiaoteng/AGO-3713-2022; Li, Qing/U-8995-2018; Meng, Zili/JFJ-3540-2023</t>
  </si>
  <si>
    <t>Major Key Project of PCL; National Key Research and Development Program of China [2022YFB3105000]; Shenzhen Key Lab of Software Defined Networking [ZDSYS20140509172959989]</t>
  </si>
  <si>
    <t>Major Key Project of PCL; National Key Research and Development Program of China(National Key Research &amp; Development Program of China); Shenzhen Key Lab of Software Defined Networking</t>
  </si>
  <si>
    <t>This work is supported by the Major Key Project of PCL under grant No. PCL2023A06-4, the National Key Research and Development Program of China under grant No. 2022YFB3105000, and the Shenzhen Key Lab of Software Defined Networking under grant No. ZDSYS20140509172959989.</t>
  </si>
  <si>
    <t>978-1-939133-41-0</t>
  </si>
  <si>
    <t>Computer Science, Hardware &amp; Architecture; Computer Science, Information Systems; Computer Science, Software Engineering; Computer Science, Theory &amp; Methods</t>
  </si>
  <si>
    <t>BX2WX</t>
  </si>
  <si>
    <t>WOS:001270899700019</t>
  </si>
  <si>
    <t>Kilger, M; Aronsson, FP</t>
  </si>
  <si>
    <t>Kilger, Magnus; Aronsson, Fanny Perez</t>
  </si>
  <si>
    <t>You were born into this world an intuitive eater: Healthism and self-transformative practices on social media</t>
  </si>
  <si>
    <t>FOOD AND FOODWAYS</t>
  </si>
  <si>
    <t>Affective eating; diet culture; emotional eating; intuitive eating; self-transformative practices</t>
  </si>
  <si>
    <t>BODY</t>
  </si>
  <si>
    <t>Our bodies and food consumption are increasingly becoming markers of social identity in contemporary societies. We often participate in diet culture by monitoring and controlling our food intake through eating restrictions and physical exercise to keep a bulging body in check. This contemporary diet culture has been criticized for embodying impossible fitness ideals and producing a pathological obsession with food. In this article, we will analyze the growing contemporary phenomenon of intuitive eating (IE) as an alternative to diet culture and explore how it is explained, promoted, and legitimized on the social media platform TikTok. By using the Foucauldian concept of self-transformative practices, we illustrate how self-discipline is performed by IE content creators. The analysis shows that the IE approach is psychologized as part of a therapeutic discourse and, at the same time, it is a way for young women to resist the diet culture to become empowered in their self-transformation. The analysis illustrates how the IE approach can be understood as a part of a self-transformative project, and how achieving the position as an intuitive eater requires an increase in self-awareness. As such, we argue that the content creators produce a specific psychologized discourse of hunger and an affectively-disciplined subject, all represented as freedom from diet culture.</t>
  </si>
  <si>
    <t>[Kilger, Magnus; Aronsson, Fanny Perez] Stockholm Univ, Dept Child &amp; Youth Studies, Svante Arrhenius Vag 21, S-11418 Stockholm, Sweden</t>
  </si>
  <si>
    <t>Kilger, M (corresponding author), Stockholm Univ, Dept Child &amp; Youth Studies, Svante Arrhenius Vag 21, S-11418 Stockholm, Sweden.</t>
  </si>
  <si>
    <t>magnus.kilger@buv.su.se</t>
  </si>
  <si>
    <t>Kilger, Magnus/AAH-6301-2020</t>
  </si>
  <si>
    <t>Kilger, Magnus/0000-0002-8684-3724; Perez Aronsson, Fanny/0000-0002-2533-4096</t>
  </si>
  <si>
    <t>0740-9710</t>
  </si>
  <si>
    <t>1542-3484</t>
  </si>
  <si>
    <t>FOOD FOODWAYS</t>
  </si>
  <si>
    <t>Food Foodways</t>
  </si>
  <si>
    <t>10.1080/07409710.2024.2298178</t>
  </si>
  <si>
    <t>HV3H4</t>
  </si>
  <si>
    <t>WOS:001138570300001</t>
  </si>
  <si>
    <t>Sánchez-Castillo, S; López-Olano, C; Peris-Blanes, A</t>
  </si>
  <si>
    <t>Sanchez-Castillo, Sebastian; Lopez-Olano, Carlos; Peris-Blanes, Alvar</t>
  </si>
  <si>
    <t>Politics, public health, and disinformation: Instagram posts by European far-right parties about COVID-19 vaccines</t>
  </si>
  <si>
    <t>Disinformation; Content analysis; Far right; Instagram; Image</t>
  </si>
  <si>
    <t>COMMUNICATION STYLE; SOCIAL MEDIA; POPULISM; ONLINE; TIKTOK</t>
  </si>
  <si>
    <t>Introduction: This research has analyzed the visual discourse on Instagram of the European far-right parties in Italy, Germany, France, Spain, Belgium, Austria and Poland on the COVID-19 vaccines carried out during 2021. The main objective has been focused on in discovering the position of these parties regarding the vaccination process against the coronavirus and the use of biased strategies or frames linked to misinformation. Methodology: (N=1050) Instagram posts have been analyzed using visual content analysis. The results show that the European far-right parties studied have not used their Instagram accounts to spread health strategies to alleviate the effects of COVID-19. Results: The contents disseminated have turned out to be individualistic and consistent with the ideals of each party. Except for specific exceptions, in general all the parties have shown a neutral position without being very explicit in their positions. Discussion: What these findings reveal is an inclination not to make decisive speeches that could make them lose voters, despite maintaining a critical position that pretends to be an alternative to the official one. Conclusions: Their main speeches allude to the lack of individual freedom, the voluntariness in the administration of the dose, the rejection of vaccination of children and the denial of the COVID passport.</t>
  </si>
  <si>
    <t>[Sanchez-Castillo, Sebastian; Lopez-Olano, Carlos; Peris-Blanes, Alvar] Univ Valencia, Valencia, Spain</t>
  </si>
  <si>
    <t>Sánchez-Castillo, S (corresponding author), Univ Valencia, Valencia, Spain.</t>
  </si>
  <si>
    <t>sebastian.sanchez@uv.es; Carlos.Lopez-Olano@uv.es; Alvar.Peris@uv.es</t>
  </si>
  <si>
    <t>López-Olano, Carlos/S-4403-2018; Sanchez-Castillo, Sebastian/D-2568-2011</t>
  </si>
  <si>
    <t>10.4185/RLCS-2023-1870</t>
  </si>
  <si>
    <t>8K3EC</t>
  </si>
  <si>
    <t>WOS:000922988200001</t>
  </si>
  <si>
    <t>Grimón, SG; Lorenzo, DB</t>
  </si>
  <si>
    <t>Grimon, Sima Gonzalez; Lorenzo, Diego Brito</t>
  </si>
  <si>
    <t>Sanna Marin and Instagram as a political communication tool</t>
  </si>
  <si>
    <t>INVESTIGACIONES FEMINISTAS</t>
  </si>
  <si>
    <t>Sanna Marin; political communication; Instagram; Finland; social network; humanization</t>
  </si>
  <si>
    <t>Introduction and objectives. This article explores Sanna Marin's Instagram account as a tool in political communication. The analysis focuses from her arrival in government in December 2019 till 1st September 2022. The main objective of this research is to analyze Sanna Marins communication on Instagram. Furthermore, the specific objectives focus on how she uses Instagram as a political communication tool to connect with her audience and which type of content she uploads on this social network. Methods. Using the content analysis technique and a literature review in order to make the analysis table, 381 publications and 932 audiovisual items are analyzed. Results. Sanna Marin is the main character in 94.94% of the audiovisual elements, in which the party identity symbols are present in a 9.46%. Standard photographs is the most important audiovisual item, followed by videos, selfies and magazine front pages. The use of color is predominant over white and black items, and clothing mixes formality and informality. The language she uses is usually near to her public. Conclusions. Sanna Marin does not use a specific communication strategy on Instagram, because she posts daily political activity and private posts. In addition, he uses a language that is close to his audience in order to connect with them, to bring political life closer to citizens and to humanize it.</t>
  </si>
  <si>
    <t>[Grimon, Sima Gonzalez; Lorenzo, Diego Brito] Univ Fernando Pessoa Canarias, Las Palmas Gran Canaria, Spain</t>
  </si>
  <si>
    <t>Grimón, SG (corresponding author), Univ Fernando Pessoa Canarias, Las Palmas Gran Canaria, Spain.</t>
  </si>
  <si>
    <t>sgonzalez@ufpcanarias.es</t>
  </si>
  <si>
    <t>2171-6080</t>
  </si>
  <si>
    <t>INVESTIG FEM</t>
  </si>
  <si>
    <t>Investig. Fem.</t>
  </si>
  <si>
    <t>10.5209/infe.84447</t>
  </si>
  <si>
    <t>YF1R4</t>
  </si>
  <si>
    <t>WOS:001266984200018</t>
  </si>
  <si>
    <t>Muhlis, W; Rahmayanti, I; Fitrah, IJ; Muhamad, S; Hattab, M</t>
  </si>
  <si>
    <t>Muhlis, Wachida; Rahmayanti, Indah; Fitrah, Isti Jayang; Muhamad, Sahrul; Hattab, Muhammad</t>
  </si>
  <si>
    <t>Digitalization Of Arabic Language Learning Through Social Media</t>
  </si>
  <si>
    <t>IJAZ ARABI JOURNAL OF ARABIC LEARNING</t>
  </si>
  <si>
    <t>Digitalization; Arabic Language Learning; Social Media</t>
  </si>
  <si>
    <t>Digitalization of learning is a flexible alternative because it can be done anytime and anywhere. This type of research uses qualitative research with descriptive methods. The method in this research is a descriptive method, namely the researcher will utilize qualitative data and then explain it descriptively. This research was conducted to explore the digitalization of Arabic language learning through social media. The results: digitalization of Arabic language learning has much effectiveness that can be maximized by teachers and anyone else. We can use various devices such as WhatsApp, Google Drive, Google Forms, Zoom, Instagram, Tiktok, Telegram, Facebook, YouTube, and so on. Some of the benefits of digitizing Arabic language learning through social media include: facilitating access and reach of Arabic language learning for people who live in remote areas or are difficult to reach by formal learning institutions, providing flexible learning time, because learning can be done anytime and anywhere course, without having to be physically present in the classroom, reduces learning costs, because there is no need to pay for transportation costs or expensive tutoring fees, opens up opportunities to study together with people from different countries or cultures, thereby increasing the learning experience and also expanding social networks, increasing learning motivation, because the digitalization of Arabic language learning through social media can be tailored to individual interests and needs.</t>
  </si>
  <si>
    <t>[Muhlis, Wachida; Rahmayanti, Indah; Fitrah, Isti Jayang; Muhamad, Sahrul; Hattab, Muhammad] Univ Islam Negeri Maulana Malik Ibrahim, Pendidikan Bahasa Arab, Malang, Indonesia</t>
  </si>
  <si>
    <t>Muhlis, W (corresponding author), Univ Islam Negeri Maulana Malik Ibrahim, Pendidikan Bahasa Arab, Malang, Indonesia.</t>
  </si>
  <si>
    <t>220104210008@student.uin-malang.ac.id; 220104210124@student.uin-malang.ac.id; 220104210111@student.uin-malang.ac.id; alulmuhamad0312@gmail.com; muhammadhattab03@gmail.com</t>
  </si>
  <si>
    <t>Univ Islam Negeri Maulana Malik Ibrahim Malang</t>
  </si>
  <si>
    <t>Malang</t>
  </si>
  <si>
    <t>Jalan Gajayana 50, Malang, Malang, INDONESIA</t>
  </si>
  <si>
    <t>2620-5912</t>
  </si>
  <si>
    <t>2620-5947</t>
  </si>
  <si>
    <t>IJAZ ARABI J ARAB LE</t>
  </si>
  <si>
    <t>Ijaz Arabi J. Arab. Learn.</t>
  </si>
  <si>
    <t>10.18860/ijazarabi.V7i1.23680</t>
  </si>
  <si>
    <t>IT6G5</t>
  </si>
  <si>
    <t>WOS:001168619500005</t>
  </si>
  <si>
    <t>Lin, GY; Gao, C; Zheng, Y; Li, YF; Chang, JX; Niu, YA; Song, Y; Gai, K; Li, ZH; Jin, DP; Li, Y</t>
  </si>
  <si>
    <t>Assoc computing machinery</t>
  </si>
  <si>
    <t>Lin, Guanyu; Gao, Chen; Zheng, Yu; Li, Yinfeng; Chang, Jianxin; Niu, Yanan; Song, Yang; Gai, Kun; Li, Zhiheng; Jin, Depeng; Li, Yong</t>
  </si>
  <si>
    <t>Inverse Learning with Extremely Sparse Feedback for Recommendation</t>
  </si>
  <si>
    <t>PROCEEDINGS OF THE 17TH ACM INTERNATIONAL CONFERENCE ON WEB SEARCH AND DATA MINING, WSDM 2024</t>
  </si>
  <si>
    <t>17th ACM International Conference on Web Search and Data Mining (WSDM)</t>
  </si>
  <si>
    <t>MAR 04-08, 2024</t>
  </si>
  <si>
    <t>Merida, MEXICO</t>
  </si>
  <si>
    <t>Assoc Comp Machinery,ACM SIGMOD,ACM Special Interest Grp Informat Retrieval,ACM SIGWEB,ACM SIGKDD</t>
  </si>
  <si>
    <t>De-noising; Meta Learning; Recommendation; Sparse Feedback</t>
  </si>
  <si>
    <t>Modern personalized recommendation services often rely on user feedback, either explicit or implicit, to improve the quality of services. Explicit feedback refers to behaviors like ratings, while implicit feedback refers to behaviors like user clicks. However, in the scenario of full-screen video viewing experiences like Tiktok and Reels, the click action is absent, resulting in unclear feedback from users, hence introducing noises in modeling training. Existing approaches on de-noising recommendation mainly focus on positive instances while ignoring the noise in a large amount of sampled negative feedback. In this paper, we propose a metalearning method to annotate the unlabeled data from loss and gradient perspectives, which considers the noises in both positive and negative instances. Specifically, we first propose an Inverse Dual Loss (IDL) to boost the true label learning and prevent the false label learning. Then we further propose an Inverse Gradient (IG) method to explore the correct updating gradient and adjust the updating based on meta-learning. Finally, we conduct extensive experiments on both benchmark and industrial datasets where our proposed method can significantly improve AUC by 9.25% against state-of-the-art methods. Further analysis verifies the proposed inverse learning framework is model-agnostic and can improve a variety of recommendation backbones. The source code, along with the best hyper-parameter settings, is available at this link: https://github.com/tsinghua- fib- lab/WSDM24- InverseLearning.</t>
  </si>
  <si>
    <t>[Lin, Guanyu] Carnegie Mellon Univ, Pittsburgh, PA USA; [Gao, Chen; Zheng, Yu; Li, Zhiheng; Jin, Depeng; Li, Yong] Tsinghua Univ, Beijing, Peoples R China; [Li, Yinfeng; Chang, Jianxin; Niu, Yanan; Song, Yang] Kuaishou Technol, Beijing, Peoples R China</t>
  </si>
  <si>
    <t>Carnegie Mellon University; Tsinghua University</t>
  </si>
  <si>
    <t>Gao, C (corresponding author), Tsinghua Univ, Beijing, Peoples R China.</t>
  </si>
  <si>
    <t>guanyul@andrew.cmu.edu; chgao96@gmail.com</t>
  </si>
  <si>
    <t>Gao, Chen/M-4009-2018; jin, du/G-4747-2012; Song, Yangyi/JBJ-7119-2023</t>
  </si>
  <si>
    <t>Gao, Chen/0000-0002-7561-5646; Zheng, Yu/0000-0002-1837-6730; Li, Yinfeng/0000-0001-6820-8295; Lin, Guanyu/0000-0002-8459-4269</t>
  </si>
  <si>
    <t>National Natural Science Foundation of China [62272262, U23B2030]; National Key Research and Development Program of China [2022YFB3104702]; Guoqiang Institute, Tsinghua University [2021GQG1005]; Beijing National Research Center for Information Science and Technology; Kuaishou</t>
  </si>
  <si>
    <t>National Natural Science Foundation of China(National Natural Science Foundation of China (NSFC)); National Key Research and Development Program of China(National Key Research &amp; Development Program of China); Guoqiang Institute, Tsinghua University; Beijing National Research Center for Information Science and Technology; Kuaishou</t>
  </si>
  <si>
    <t>This work is supported in part by National Natural Science Foundation of China under 62272262 and U23B2030. This work is also supported in part by National Key Research and Development Program of China under 2022YFB3104702. This work is supported in part by a grant from the Guoqiang Institute, Tsinghua University under 2021GQG1005. This work is supported in part by Beijing National Research Center for Information Science and Technology. This work is also supported by Kuaishou.</t>
  </si>
  <si>
    <t>979-8-4007-0371-3</t>
  </si>
  <si>
    <t>10.1145/3616855.3635797</t>
  </si>
  <si>
    <t>BW6TN</t>
  </si>
  <si>
    <t>WOS:001182230100047</t>
  </si>
  <si>
    <t>Saket, S; Jeunen, O; Kalim, MD</t>
  </si>
  <si>
    <t>Saket, Srijan; Jeunen, Olivier; Kalim, Md. Danish</t>
  </si>
  <si>
    <t>Monitoring the Evolution of Behavioural Embeddings in Social Media Recommendation</t>
  </si>
  <si>
    <t>PROCEEDINGS OF THE 47TH INTERNATIONAL ACM SIGIR CONFERENCE ON RESEARCH AND DEVELOPMENT IN INFORMATION RETRIEVAL, SIGIR 2024</t>
  </si>
  <si>
    <t>47th Annual International ACM SIGIR Conference on Research and Development in Information Retrieval (SIGIR)</t>
  </si>
  <si>
    <t>JUL 14-18, 2024</t>
  </si>
  <si>
    <t>embeddings evolution; monitoring; short video</t>
  </si>
  <si>
    <t>Emerging short-video platforms like TikTok, Instagram Reels, and ShareChat present unique challenges for recommender systems, primarily originating from a continuous stream of new content. ShareChat alone receives approximately 2 million pieces of fresh content daily, complicating efforts to assess quality, learn effective latent representations, and accurately match content with the appropriate user base, especially given limited user feedback. Embeddingbased approaches are a popular choice for industrial recommender systems because they can learn low-dimensional representations of items, leading to effective recommendation that can easily scale to millions of items and users. Our work characterizes the evolution of such embeddings in short-video recommendation systems, comparing the effect of batch and real-time updates to content embeddings. We investigate how embeddings change with subsequent updates, explore the relationship between embeddings and popularity bias, and highlight their impact on user engagement metrics. Our study unveils the contrast in the number of interactions needed to achieve mature embeddings in a batch learning setup versus a real-time one, identifies the point of highest information updates, and explores the distribution of l2-norms across the two competing learning modes. Utilizing a production system deployed on a large-scale short-video app with over 180 million users, our findings offer insights into designing effective recommendation systems and enhancing user satisfaction and engagement in short-video applications.</t>
  </si>
  <si>
    <t>[Saket, Srijan] ShareChat, Seattle, WA 98109 USA; [Jeunen, Olivier] ShareChat, Edinburgh, Midlothian, Scotland; [Kalim, Md. Danish] ShareChat, Bangalore, Karnataka, India</t>
  </si>
  <si>
    <t>Saket, S (corresponding author), ShareChat, Seattle, WA 98109 USA.</t>
  </si>
  <si>
    <t>srijanskt@gmail.com; jeunen@sharechat.co; danish@sharechat.co</t>
  </si>
  <si>
    <t>Jeunen, Olivier/AAB-3302-2022</t>
  </si>
  <si>
    <t>Jeunen, Olivier/0000-0001-6256-5814</t>
  </si>
  <si>
    <t>979-8-4007-0431-4</t>
  </si>
  <si>
    <t>10.1145/3626772.3661368</t>
  </si>
  <si>
    <t>BX2ZL</t>
  </si>
  <si>
    <t>WOS:001273410003006</t>
  </si>
  <si>
    <t>Cavanna, AE; Spini, L; Ferrari, S; Purpura, G; Riva, A; Nacinovich, R; Seri, S</t>
  </si>
  <si>
    <t>Cavanna, Andrea Eugenio; Spini, Laura; Ferrari, Silvia; Purpura, Giulia; Riva, Anna; Nacinovich, Renata; Seri, Stefano</t>
  </si>
  <si>
    <t>Functional Tic-like Behaviors: From the COVID-19 Pandemic to the Post-Pandemic Era</t>
  </si>
  <si>
    <t>functional tic-like behaviors; neurodevelopmental tics; tic-like behaviors; Tourette syndrome</t>
  </si>
  <si>
    <t>MASS PSYCHOGENIC ILLNESS; TOURETTE SYNDROME; SOCIAL MEDIA; PSEUDO-TICS; DISORDER; PATIENT; IMPACT; TIKTOK; COPROLALIA; DIAGNOSIS</t>
  </si>
  <si>
    <t>During the COVID-19 pandemic, there have been multiple reports about an unforeseen surge in adolescents and young adults exhibiting sudden onset functional tic-like behaviors. This phenomenon has been mainly associated with the female gender and occasionally after exposure to social media content featuring similar patterns of functional tic-like behaviors. A significant portion of these individuals have been directed to specialist clinics for movement disorders with initial misdiagnoses of late-onset refractory Tourette syndrome. Distinguishing between rapid onset functional tic-like behaviors and neurodevelopmental tics as part of Tourette syndrome can be challenging; however, the differential diagnosis is facilitated by focusing on specific clinical and demographic factors, which we have explored in a systematic literature review. Compared to neurodevelopmental tics, functional tic-like behaviors typically present with a more abrupt and intense manifestation of symptoms, onset at a later age, higher prevalence among females, inability to suppress tics, coexisting anxiety and depression, and sometimes a history of exposure to social media content portraying tic-like behaviors of a similar nature. This novel manifestation of a functional neurological disorder may thus be viewed as an emerging neuropsychiatric condition potentially triggered/exacerbated by the psychosocial repercussions of the COVID-19 crisis.</t>
  </si>
  <si>
    <t>[Cavanna, Andrea Eugenio] BSMHFT, Natl Ctr Mental Hlth, Dept Neuropsychiat, Birmingham B15 2FG, England; [Cavanna, Andrea Eugenio] Univ Birmingham, Birmingham B15 2FG, England; [Cavanna, Andrea Eugenio; Seri, Stefano] Aston Univ, Aston Brain Ctr, Sch Life &amp; Hlth Sci, Birmingham B4 7ET, England; [Cavanna, Andrea Eugenio] UCL, Sobell Dept Motor Neurosci &amp; Movement Disorders, Inst Neurol, London WC1E 6BT, England; [Cavanna, Andrea Eugenio; Spini, Laura; Ferrari, Silvia; Riva, Anna; Nacinovich, Renata] IRCCS San Gerardo dei Tintori, Dept Child Neuropsychiat, I-20900 Monza, Italy; [Cavanna, Andrea Eugenio; Spini, Laura; Ferrari, Silvia; Purpura, Giulia; Riva, Anna; Nacinovich, Renata] Univ Milano Bicocca, Sch Med &amp; Surg, I-20125 Milan, Italy</t>
  </si>
  <si>
    <t>University of Birmingham; Aston University; University of London; University College London; University of Milano-Bicocca</t>
  </si>
  <si>
    <t>Cavanna, AE (corresponding author), BSMHFT, Natl Ctr Mental Hlth, Dept Neuropsychiat, Birmingham B15 2FG, England.;Cavanna, AE (corresponding author), Univ Birmingham, Birmingham B15 2FG, England.;Cavanna, AE (corresponding author), Aston Univ, Aston Brain Ctr, Sch Life &amp; Hlth Sci, Birmingham B4 7ET, England.;Cavanna, AE (corresponding author), UCL, Sobell Dept Motor Neurosci &amp; Movement Disorders, Inst Neurol, London WC1E 6BT, England.;Cavanna, AE (corresponding author), IRCCS San Gerardo dei Tintori, Dept Child Neuropsychiat, I-20900 Monza, Italy.;Cavanna, AE (corresponding author), Univ Milano Bicocca, Sch Med &amp; Surg, I-20125 Milan, Italy.</t>
  </si>
  <si>
    <t>a.e.cavanna@bham.ac.uk</t>
  </si>
  <si>
    <t>Nacinovich, Renata/HLQ-3031-2023; Ferrari, Silvia/G-5964-2011; Purpura, Giulia/GOV-5439-2022; Riva, Anna/HNQ-0817-2023; Purpura, Giulia/B-8208-2018</t>
  </si>
  <si>
    <t>Seri, Stefano/0000-0002-9247-8102; Purpura, Giulia/0000-0003-2078-1943</t>
  </si>
  <si>
    <t>10.3390/healthcare12111106</t>
  </si>
  <si>
    <t>UA9T3</t>
  </si>
  <si>
    <t>WOS:001245466000001</t>
  </si>
  <si>
    <t>Lei, F; Cao, ZQ; Yang, YN; Ding, YB; Zhang, C</t>
  </si>
  <si>
    <t>Lei, Fei; Cao, Zhongqi; Yang, Yuning; Ding, Yibo; Zhang, Cong</t>
  </si>
  <si>
    <t>Learning the User's Deeper Preferences for Multi-modal Recommendation Systems</t>
  </si>
  <si>
    <t>Graph convolutional networks; multimodal recommendation</t>
  </si>
  <si>
    <t>Recommendation system plays an important role in the rapid development of micro-video sharing platform. Micro-video has rich modal features, such as visual, audio, and text. It is of great significance to carry out personalized recommendation by integrating multi-modal features. However, most of the current multi-modal recommendation systems can only enrich the feature representation on the item side, while it leads to poor learning of user preferences. To solve this problem, we propose a novel module named Learning the User's Deeper Preferences (LUDP), which constructs the item-item modal similarity graph and user preference graph in each modality to explore the learning of item and user representation. Specifically, we construct item-item similar modalities graph using multi-modal features, the item ID embedding is propagated and aggregated on the graph to learn the latent structural information of items; The user preference graph is constructed through the historical interaction between the user and item, on which the multi-modal features are aggregated as the user's preference for the modal. Finally, combining the two parts as auxiliary information enhances the user and item representation learned from the collaborative signals to learn deeper user preferences. Through a large number of experiments on two public datasets (TikTok, Movielens), our model is proved to be superior to the most advanced multi-modal recommendation methods.</t>
  </si>
  <si>
    <t>[Lei, Fei; Cao, Zhongqi; Yang, Yuning; Ding, Yibo; Zhang, Cong] Beijing Univ Technol, 100 Pingleyuan, Beijing, Peoples R China</t>
  </si>
  <si>
    <t>Beijing University of Technology</t>
  </si>
  <si>
    <t>Lei, F (corresponding author), Beijing Univ Technol, 100 Pingleyuan, Beijing, Peoples R China.</t>
  </si>
  <si>
    <t>leifei@bjut.edu.cn; caozhongqi@emails.bjut.edu.cn; yangyuning@emails.bjut.edu.cn; Dingyb@emails.bjut.edu.cn; zc73080@emails.bjut.edu.cn</t>
  </si>
  <si>
    <t>ding, yibo/AAL-5184-2020</t>
  </si>
  <si>
    <t>10.1145/3573010</t>
  </si>
  <si>
    <t>J8FU9</t>
  </si>
  <si>
    <t>WOS:001011934700013</t>
  </si>
  <si>
    <t>Papuc, OT</t>
  </si>
  <si>
    <t>Papuc, Oana Teodora</t>
  </si>
  <si>
    <t>EXPLORING LIMINAL AESTHETICS: THE GLITCHY AND DECAYED WORLDS OF VAPORWAVE, SEMIOTIC ASSEMBLAGES, AND INTERNET LINGUISTICS</t>
  </si>
  <si>
    <t>STUDIA UNIVERSITATIS BABES-BOLYAI PHILOLOGIA</t>
  </si>
  <si>
    <t>online identity; sociolinguistics; Internet linguistics; multimodality; vaporwave; liminal aesthetics; semiotic assemblages</t>
  </si>
  <si>
    <t>The topic of online identity formation in the realm of computer-mediated communication is nothing new. However, what does stand out, especially in recent years, in the larger framework of Internet-based sociolinguistic practices (David 2010; Williams 2006), is a much-needed exploration of various new microcultural aggregates. Some of these niche-genres are frequently encountered on YouTube, while others are primarily short-lived Instagram or TikTok community-driven trends. In essence, this paper states the belief that it is precisely these relatively contemporary microcultural trends that manage to accurately take the pulse of a new, post-pandemic world. Moreover, since many of these forms of artistic self-expression can be understood through a Cultural Sociolinguistic lens (Cotrau, Cotoc, and Papuc 2021), a translation of their particular symbolic meanings can only help decipher the increasingly chaotic, hypersubjective, and semiotic assemblages (Pennycook 2017) that individuals seem to be inhabiting and creating. Thus, the current paper aims to offer an analysis that ties together an array of only seemingly disparate elements, namely: cultural economy, creation and consumption of online cultural artefacts, and an affective processing that ties real-life traumatic events to the creation of particular cultural trends - liminal aesthetics and vaporwave, paired with a fascination with all things glitchy and decayed (Loignon and Messier 2020).</t>
  </si>
  <si>
    <t>[Papuc, Oana Teodora] Fac Letters, Dept Specialised Foreign Languages, Cluj Napoca, Romania</t>
  </si>
  <si>
    <t>Papuc, OT (corresponding author), Fac Letters, Dept Specialised Foreign Languages, Cluj Napoca, Romania.</t>
  </si>
  <si>
    <t>oana.papuc@ubbcluj.ro</t>
  </si>
  <si>
    <t>Papuc, Oana/HZM-4420-2023</t>
  </si>
  <si>
    <t>UNIV BABES-BOLYAI</t>
  </si>
  <si>
    <t>CLUJ-NAPOCA</t>
  </si>
  <si>
    <t>MIHAIL KOGALNICEANU NR. 1, CLUJ-NAPOCA RO-3400, ROMANIA</t>
  </si>
  <si>
    <t>1220-0484</t>
  </si>
  <si>
    <t>2065-9652</t>
  </si>
  <si>
    <t>ST U BABE-BOL PHILOL</t>
  </si>
  <si>
    <t>Stud. Univ. Babes-Bolyai Philol.</t>
  </si>
  <si>
    <t>10.24193/subbphilo.2022.4.08</t>
  </si>
  <si>
    <t>D0TF9</t>
  </si>
  <si>
    <t>WOS:000965930400009</t>
  </si>
  <si>
    <t>He, L; Chen, HX; Wang, DX; Jameel, S; Yu, P; Xu, GD</t>
  </si>
  <si>
    <t>He, Li; Chen, Hongxu; Wang, Dingxian; Jameel, Shoaib; Yu, Philip; Xu, Guandong</t>
  </si>
  <si>
    <t>Click-Through Rate Prediction with Multi-Modal Hypergraphs</t>
  </si>
  <si>
    <t>Multi-modality; Click-Through Prediction; Hypergraphs</t>
  </si>
  <si>
    <t>Advertising is critical to many online e-commerce platforms such as e-Bay and Amazon. One of the important signals that these platforms rely upon is the click-through rate (CTR) prediction. The recent popularity of multi-modal sharing platforms such as TikTok has led to an increased interest in online micro-videos. It is, therefore, useful to consider micro-videos to help a merchant target micro-video advertising better and find users' favourites to enhance user experience. Existing works on CTR prediction largely exploit unimodal content to learn item representations. A relatively minimal effort has been made to leverage multi-modal information exchange among users and items. We propose a model to exploit the temporal user-item interactions to guide the representation learning with multi-modal features, and further predict the user click rate of the micro-video item. We design a Hypergraph Click-Through Rate prediction framework (HyperCTR) built upon the hyperedge notion of hypergraph neural networks, which can yield modal-specific representations of users and micro-videos to better capture user preferences. We construct a time-aware user-item bipartite network with multi-modal information and enrich the representation of each user and item with the generated interests-based user hypergraph and item hypergraph. Through extensive experiments on three public datasets, we demonstrate that our proposed model significantly outperforms various state-of-the-art methods.</t>
  </si>
  <si>
    <t>[He, Li; Chen, Hongxu; Xu, Guandong] Univ Technol Sydney, Sydney, Australia; [Wang, Dingxian] eBay Res Amer, Seattle, WA USA; [Jameel, Shoaib] Univ Essex, Colchester, England; [Yu, Philip] Univ Illinois, Chicago, IL USA</t>
  </si>
  <si>
    <t>University of Technology Sydney; University of Essex; University of Illinois System; University of Illinois Chicago; University of Illinois Chicago Hospital</t>
  </si>
  <si>
    <t>Chen, HX; Xu, GD (corresponding author), Univ Technol Sydney, Sydney, Australia.</t>
  </si>
  <si>
    <t>li.he-1@student.uts.edu.au; hongxu.chen@uts.edu.au; diwang@ebay.com; shoaib.jameel@gmail.com; psyu@uic.edu; guandong.xu@uts.edu.au</t>
  </si>
  <si>
    <t>chen, hongxu/AAV-5102-2020; Wang, Dingxian/AAA-5093-2019; Xu, Guandong/HSH-3463-2023</t>
  </si>
  <si>
    <t>Chen, Hongxu/0000-0001-7963-8813</t>
  </si>
  <si>
    <t>NSF [III-1763325, III-1909323, III-2106758, SaTC-1930941]; ARC [DP200101374, LP170100891]</t>
  </si>
  <si>
    <t>NSF(National Science Foundation (NSF)); ARC(Australian Research Council)</t>
  </si>
  <si>
    <t>This work is supported in part by NSF under grants III-1763325, III-1909323, III-2106758, and SaTC-1930941, and ARC under grants DP200101374 and LP170100891.</t>
  </si>
  <si>
    <t>10.1145/3459637.3482327</t>
  </si>
  <si>
    <t>WOS:001054156200071</t>
  </si>
  <si>
    <t>Truman, E; Elliott, C</t>
  </si>
  <si>
    <t>Truman, Emily; Elliott, Charlene</t>
  </si>
  <si>
    <t>Perceptions of Food Marketing and Media Use among Canadian Teenagers: A Cross-Sectional Survey</t>
  </si>
  <si>
    <t>NUTRIENTS</t>
  </si>
  <si>
    <t>food marketing; digital media; teenager; youth; adolescent; persuasive power; food brand; media use; Canada; attitudes</t>
  </si>
  <si>
    <t>ENDORSEMENTS</t>
  </si>
  <si>
    <t>Despite the prevalence of digital food marketing to teenagers and its potential impact on food preferences and consumption, little is known about the specific food advertisements teenagers see in Canada and how they perceive them. Further, few studies consult teenagers directly about their perceptions of teen-specific food marketing content. To shed light on such issues, this study examines perceptions of food marketing and self-reported media use of Canadian teenagers via an online survey. Four hundred and sixty-four teenagers (ages 13-17) participated. Overall, teenagers identified Instagram and TikTok as the most popular social media platforms. The top food or beverage brands that teens felt specifically targeted them were McDonald's, Starbucks, Coca-Cola and Tim Hortons, while Instagram was deemed the most important media platform when it comes to teen-targeted food marketing. Teens deemed celebrity and visual style as the most important (food and beverage) advertising techniques when it comes to persuading teenagers to buy. Overall, the study provides insights into teen media use and brand preference, including the brands teens feel target them most directly and what they consider to be salient in terms of the food advertising they see. It also provides valuable details for researchers seeking to further identify and measure elements of teen-targeted food marketing.</t>
  </si>
  <si>
    <t>[Truman, Emily; Elliott, Charlene] Univ Calgary, Dept Commun Media &amp; Film, Calgary, AB T2N 1N4, Canada</t>
  </si>
  <si>
    <t>University of Calgary</t>
  </si>
  <si>
    <t>Elliott, C (corresponding author), Univ Calgary, Dept Commun Media &amp; Film, Calgary, AB T2N 1N4, Canada.</t>
  </si>
  <si>
    <t>emily.truman@ucalgary.ca; charlene.elliott@ucalgary.ca</t>
  </si>
  <si>
    <t>CIHR Project Grant; Alberta Children's Hospital Foundation; [183736]</t>
  </si>
  <si>
    <t>CIHR Project Grant(Canadian Institutes of Health Research (CIHR)); Alberta Children's Hospital Foundation;</t>
  </si>
  <si>
    <t>This research was funded by a CIHR Project Grant (#183736), and support from the Alberta Children's Hospital Foundation.</t>
  </si>
  <si>
    <t>2072-6643</t>
  </si>
  <si>
    <t>Nutrients</t>
  </si>
  <si>
    <t>10.3390/nu16172987</t>
  </si>
  <si>
    <t>F6N4C</t>
  </si>
  <si>
    <t>WOS:001310963600001</t>
  </si>
  <si>
    <t>Izotova, N; Polishchuk, M; Taranik-Tkachuk, K</t>
  </si>
  <si>
    <t>Izotova, Natalya; Polishchuk, Mariia; Taranik-Tkachuk, Kateryna</t>
  </si>
  <si>
    <t>Discourse analysis and digital technologies: (TikTok, hashtags, Instagram, YouTube): universal and specific aspects in international practice</t>
  </si>
  <si>
    <t>discourse; digital technologies; digital communication; digital communication practices; discourse analysis</t>
  </si>
  <si>
    <t>SOCIAL MEDIA; ACTIVISM; SELF</t>
  </si>
  <si>
    <t>Nowadays, digital communication helps people to establish contact quickly and conveniently, to convey their message, ideas, the vision of the world to a wide audience. In this regard, new challenges have emerged for discourse analysis in the field of research on the features of digital communication, digital communication practices, the impact of electronic communication technologies on the formation and conduct of discourse, application, and influence of extralinguistic factors on speech. The article analyzes the problems and features of discourse using digital technologies, current trends, and new data in the field of social networks, hashtag activism, problems of involvement, activity, motivation of participants in online communication, formation of their online identity. The authors used system-functional, hermeneutic methods, linguistic analysis, methods of analysis, and synthesis in the framework of discourse theory. The study found and confirmed that the features of digital communication practices and the formation of discourse on the Internet are the widespread use of social networks, hashtags, social integration activities such as challenges, the use of special vocabulary specific to Internet communication, the ability to express themselves and form their own online user identity. Extralinguistic factors of discourse formation in digital communicative practices are major from the point of view of discourse analysis.</t>
  </si>
  <si>
    <t>[Izotova, Natalya] Kyiv Natl Linguist Univ, Dept English Philol Translat &amp; Philosophy Languag, Kiev, Ukraine; [Polishchuk, Mariia] Natl Univ Odesa Law Acad, Dept Foreign Languages 1, Odesa, Ukraine; [Taranik-Tkachuk, Kateryna] Kyiv Natl Linguist Univ, Dept Ukrainian Philol &amp; Slavic Studies, Kiev, Ukraine</t>
  </si>
  <si>
    <t>Ministry of Education &amp; Science of Ukraine; Kyiv National Linguistic University; Ministry of Education &amp; Science of Ukraine; National University Odesa Law Academy; Ministry of Education &amp; Science of Ukraine; Kyiv National Linguistic University</t>
  </si>
  <si>
    <t>Izotova, N (corresponding author), Kyiv Natl Linguist Univ, Dept English Philol Translat &amp; Philosophy Languag, Kiev, Ukraine.</t>
  </si>
  <si>
    <t>Izotova, Natalya/U-5764-2017</t>
  </si>
  <si>
    <t>Izotova, Natalya/0000-0003-2098-4687</t>
  </si>
  <si>
    <t>UNIV AMAZONIA</t>
  </si>
  <si>
    <t>FLORENCE</t>
  </si>
  <si>
    <t>SEDE PRINCIPAL CALLE 17 DIAGONAL 17 CON CARRERA 3F-BARRIO PORVENIR, FLORENCE, 00000, COLOMBIA</t>
  </si>
  <si>
    <t>10.34069/AI/2021.44.08.19</t>
  </si>
  <si>
    <t>WC8EC</t>
  </si>
  <si>
    <t>WOS:000704484300020</t>
  </si>
  <si>
    <t>Nguyen, KM; Nguyen, NT; Ngo, NTQ; Tran, NTH; Nguyen, HTT</t>
  </si>
  <si>
    <t>Nguyen, Khoi Minh; Nguyen, Ngan Thanh; Ngo, Nhu Thi Quynh; Tran, Ngoc Thi Hong; Nguyen, Hien Thi Thu</t>
  </si>
  <si>
    <t>Investigating Consumers' Purchase Resistance Behavior to AI-Based Content Recommendations on Short-Video Platforms: A Study of Greedy And Biased Recommendations</t>
  </si>
  <si>
    <t>JOURNAL OF INTERNET COMMERCE</t>
  </si>
  <si>
    <t>AI; biased recommendations; greedy recommendations; purchase resistance behavior; short video platforms; SSO model</t>
  </si>
  <si>
    <t>USER SATISFACTION; FACEBOOK; TECHNOSTRESS; DISTRUST; ANXIETY; TRUST; CONSEQUENCES; ANTECEDENTS; OVERLOAD; PRIVACY</t>
  </si>
  <si>
    <t>With the proliferation of personalized recommendation systems (PRS) such as Facebook, Amazon, and TikTok, the academic community has increasingly focused on AI-based recommendation systems. However, there remains a dearth of research that elucidates the adverse effects of AI-based recommendation algorithms and the underlying mechanisms through which these effects influence psychological and behavioral responses, particularly in terms of purchasing behavior. Drawing upon the Stressor-Strain-Outcome (SSO) model, this study aims to scrutinize the purported features of greediness and bias inherent in such algorithms, thereby investigating their impact on users' negative psychological and behavioral responses. This investigation collected 473 online responses and used the partial least squares structural equation model (PLS-SEM) to empirically analyze the research model. The findings suggest that greedy and biased recommendation algorithms engender information narrowing, redundancy, overload, technological intrusiveness, and concerns about information disclosure. These stressors are associated with negative psychological and behavioral responses among users, which ultimately influence purchasing resistance behaviors on short video platforms. Consequently, the findings of this study contribute to a deeper understanding of the adverse implications of AI recommendation algorithms and provide valuable information for companies that offer short-form video applications.</t>
  </si>
  <si>
    <t>[Nguyen, Khoi Minh; Nguyen, Ngan Thanh; Ngo, Nhu Thi Quynh; Tran, Ngoc Thi Hong; Nguyen, Hien Thi Thu] Univ Econ Ho Chi Minh City, Sch Business, Falcuty Int Business &amp; Mkt, Ho Chi Minh City, Vietnam</t>
  </si>
  <si>
    <t>Ho Chi Minh City University Economics</t>
  </si>
  <si>
    <t>Nguyen, KM (corresponding author), Univ Econ Ho Chi Minh City, Sch Business, Falcuty Int Business &amp; Mkt, Ho Chi Minh City, Vietnam.</t>
  </si>
  <si>
    <t>khoiminhnguyen1411@gmail.com</t>
  </si>
  <si>
    <t>Nguyen, Ngan Thanh/0009-0003-9339-9371; Nguyen, Khoi Minh/0009-0004-9543-3948</t>
  </si>
  <si>
    <t>1533-2861</t>
  </si>
  <si>
    <t>1533-287X</t>
  </si>
  <si>
    <t>J INTERNET COMMER</t>
  </si>
  <si>
    <t>J. Internet Commer.</t>
  </si>
  <si>
    <t>10.1080/15332861.2024.2375966</t>
  </si>
  <si>
    <t>YR8Z9</t>
  </si>
  <si>
    <t>WOS:001267939200001</t>
  </si>
  <si>
    <t>Mündges, S; Park, K</t>
  </si>
  <si>
    <t>Muendges, Stephan; Park, Kirsty</t>
  </si>
  <si>
    <t>But did they really? Platforms' compliance with the Code of Practice on Disinformation in review</t>
  </si>
  <si>
    <t>Disinformation; Platform regulation; Code of Practice on Disinformation; EU internet policy; VLOP</t>
  </si>
  <si>
    <t>A key pillar in the EU's approach to regulating disinformation is the Strengthened Code of Practice on Disinformation. This self-regulatory Code proposes a broad range of measures for different stakeholders. It has been signed by platform companies that thereby agreed to report on compliance with the Code. This study investigates Google's, Meta's, Microsoft's, TikTok's and Twitter's (now X) compliance with their reporting obligations for the first time. Analysing the platform baseline reports published in early 2023, we find that, overall, platforms are only partly compliant with the Code. Qualitative information provided by platforms often lack detail and/or relevance. Reported quantitative data is, in several cases, missing, incomplete, or not robust. We point out claims by platforms that are doubtful or have been proven wrong in the past, and highlight avenues for future research and investigations. Additionally, we reflect on the framework in place for monitoring the Code of Practice and ways to improve it. This study is particularly relevant as the EU is transitioning from a self-regulatory to a co-regulatory model when regulating disinformation. The Code of Practice may soon become a code of conduct under the Digital Services Act (DSA) making non-compliance with it sanctionable and increasing the need for systematic monitoring.</t>
  </si>
  <si>
    <t>[Muendges, Stephan] TU Dortmund Univ, Dortmund, Germany; [Park, Kirsty] European Digital Media Observ, Florence, Italy</t>
  </si>
  <si>
    <t>Dortmund University of Technology</t>
  </si>
  <si>
    <t>Mündges, S (corresponding author), TU Dortmund Univ, Dortmund, Germany.</t>
  </si>
  <si>
    <t>European Union [2020-EU-IA-0282, INEA/CEF/ICT/A2020/238168, 101083573]</t>
  </si>
  <si>
    <t>Kirsty Park received funding for this research from the European Union under action number 2020-EU-IA-0282 and agreement number INEA/CEF/ICT/A2020/2381686, Stephan Muendges received funding for this research from the European Union, project number 101083573.</t>
  </si>
  <si>
    <t>10.14763/2024.3.1786</t>
  </si>
  <si>
    <t>ZZ7V3</t>
  </si>
  <si>
    <t>WOS:001279181900002</t>
  </si>
  <si>
    <t>OLeary, A; OConnor, C; Gibson, L; Murphy, M</t>
  </si>
  <si>
    <t>OLeary, Annmarie; OConnor, Cathal; Gibson, Louise; Murphy, Michelle</t>
  </si>
  <si>
    <t>Pouring Cold Water on Fake News: A Qualitative Review of Misinformation Related to Burns First Aid</t>
  </si>
  <si>
    <t>burns; first aid; misinformation; disinformation; fake news; home remedies</t>
  </si>
  <si>
    <t>Health misinformation is pervasive on the internet and social media and can have wide-ranging and devastating repercussions. Burn injuries are highly prevalent, especially in resource-poor countries with less rigorous health and safety regulations and reduced access to quality healthcare, and especially among the pediatric population who rely on caregivers to tend to their injuries. Correct first aid is crucial to improving burn outcomes and avoiding further complications. The aim of this study was to qualitatively assess the content of misinformation related to burns online. A literature search was conducted on PubMed using the search terms burns OR burn injury OR burns trauma OR major burns AND first aid AND conspiracy OR disinformation OR misinformation OR fake news. Combinations of these terms were searched via Google, YouTube, Facebook, Instagram, TikTok, and PubMed. Key areas of misinformation included unfounded use of natural remedies, injudicious use of antibiotics, omission of key steps of first aid, and errors in specific details of first aid. Clinicians should be aware of misinformation available online related to first aid for burns, be aware that patients presenting with burns may have caused further injury with insufficient first aid or inappropriate home remedies, and lead public health campaigns to educate on the initial emergency management of burns.</t>
  </si>
  <si>
    <t>[OLeary, Annmarie; OConnor, Cathal; Gibson, Louise; Murphy, Michelle] Univ Coll Cork, Med, Cork T12 AK54, Ireland; [OConnor, Cathal; Murphy, Michelle] South Infirm Victoria Univ Hosp, Dermatol, Cork T12 X23H, Ireland; [OConnor, Cathal; Gibson, Louise] Cork Univ Hosp, Paediat &amp; Child Hlth, Cork T12 DC4A, Ireland</t>
  </si>
  <si>
    <t>OConnor, C (corresponding author), Univ Coll Cork, Med, Cork T12 AK54, Ireland.;OConnor, C (corresponding author), South Infirm Victoria Univ Hosp, Dermatol, Cork T12 X23H, Ireland.;OConnor, C (corresponding author), Cork Univ Hosp, Paediat &amp; Child Hlth, Cork T12 DC4A, Ireland.</t>
  </si>
  <si>
    <t>Cathal.oconnor@ucc.ie</t>
  </si>
  <si>
    <t>O'Connor, Cathal/0000-0001-7084-5293; Gibson, Louise/0000-0003-1388-3853</t>
  </si>
  <si>
    <t>MAY 6</t>
  </si>
  <si>
    <t>10.1093/jbcr/irad188</t>
  </si>
  <si>
    <t>PM3J4</t>
  </si>
  <si>
    <t>WOS:001119817300001</t>
  </si>
  <si>
    <t>Saavedra, G; Capriotti, P</t>
  </si>
  <si>
    <t>Saavedra, Giancarlo; Capriotti, Paul</t>
  </si>
  <si>
    <t>Social Chief Executive Officers: Analysis of the Presence and Activity of CEOs in Social Media</t>
  </si>
  <si>
    <t>CEO; organizational communication; managing director; chief executive officer; social media</t>
  </si>
  <si>
    <t>WORLD-WIDE-WEB; COMMUNICATION ENGAGEMENT; TWITTER</t>
  </si>
  <si>
    <t>Chief executive officers have transformed into social CEOs, discovering a new avenue on social media for dialogue and interaction with their audiences. This research makes a significant contribution to the field as it aims to analyze CEOs' presence and activity on social media. It provides a detailed comparison of the differences and similarities between CEOs of global and Latin American companies, based on the Fortune Global 500 and Am &amp; eacute;rica Econom &amp; iacute;a 500 rankings, respectively. We identified 537 social media profiles of 1,029 CEOs and studied 23,549 own and shared publications on LinkedIn, X (formerly Twitter), Instagram, Facebook, TikTok, and YouTube. CEOs have significantly increased their presence on social media in recent years, with most having active profiles but low publication volumes. LinkedIn emerges as the favored platform for CEOs. American (globally) and Brazilian (at the Latin American level) CEOs lead the pack in social networking activities. Despite some areas for improvement, CEOs have shown progress in their social media engagement compared to the publication levels observed in other studies and sectors. The article offers academics and professionals a comprehensive overview of the presence and activity of CEOs on social platforms. It also presents methodological guidelines for future research and outlines three types of social CEOs: active, moderate, and passive.</t>
  </si>
  <si>
    <t>[Saavedra, Giancarlo; Capriotti, Paul] Univ Rovira &amp; Virgili, Tarragona, Spain</t>
  </si>
  <si>
    <t>Universitat Rovira i Virgili</t>
  </si>
  <si>
    <t>Saavedra, G (corresponding author), Univ Rovira &amp; Virgili, Tarragona, Spain.</t>
  </si>
  <si>
    <t>giancarlo.saavedra@urv.cat; paul.capriotti@urv.cat</t>
  </si>
  <si>
    <t>Capriotti, Paul/A-3690-2009; Saavedra, Giancarlo/IQV-5561-2023</t>
  </si>
  <si>
    <t>Saavedra Chau, Giancarlo/0000-0003-2379-9380</t>
  </si>
  <si>
    <t>e2728</t>
  </si>
  <si>
    <t>10.5294/pacla.2024.27.2.8</t>
  </si>
  <si>
    <t>TD8D8</t>
  </si>
  <si>
    <t>WOS:001239406900001</t>
  </si>
  <si>
    <t>Zhang, YH; Wang, J; Zhu, YC; Xie, R</t>
  </si>
  <si>
    <t>Zhang, Yuheng; Wang, Jia; Zhu, Yucheng; Xie, Rong</t>
  </si>
  <si>
    <t>Subjective and objective quality evaluation of UGC video after encoding and decoding</t>
  </si>
  <si>
    <t>DISPLAYS</t>
  </si>
  <si>
    <t>Video quality assessment; User-generated-content; Encoding and decoding</t>
  </si>
  <si>
    <t>PREDICTION</t>
  </si>
  <si>
    <t>The development of the Internet and new media technology has given rise to various forms of media to meet users' usage needs and expectations. User -Generated -Content (UGC) videos have become a way for users to maximize their participation and express themselves. A large number of UGC videos are uploaded every day on platforms such as Tiktok, Kwai, and Station B. However, the quality of UGC videos is also mixed, with videos with poor image quality providing viewers with a lower user experience. Media service providers need to compress videos uploaded by users to reduce transmission bit rates. How to evaluate the quality of compressed UGC videos is crucial for selecting an appropriate bit rate. In this paper, we have established a UGC database called UGC -New. Concretely, 405 UGC source videos are collected from major video platforms and we encoded the original video using H.264 and H.265 to obtain 2430 distorted videos, resulting in a total of 2835 videos in the dataset. We conducted a subjective human study on this database and obtained 56700 human quality ratings recorded by 100 subjects. At the same time, we also tested a series of VQA models on the dataset for objective analysis and evaluation, including a new one, called New-VQA.</t>
  </si>
  <si>
    <t>[Zhang, Yuheng; Wang, Jia; Xie, Rong] Shanghai Jiao Tong Univ, Inst Image Commun &amp; Network Engn, Shanghai, Peoples R China; [Zhu, Yucheng] Shanghai Jiao Tong Univ, USC SJTU Inst Cultural &amp; Creat Ind, Shanghai, Peoples R China</t>
  </si>
  <si>
    <t>Zhu, YC (corresponding author), Shanghai Jiao Tong Univ, USC SJTU Inst Cultural &amp; Creat Ind, Shanghai, Peoples R China.</t>
  </si>
  <si>
    <t>zyc420@sjtu.edu.cn; xierong@sjtu.edu.cn</t>
  </si>
  <si>
    <t>Zhang, Yuheng/JEP-4389-2023</t>
  </si>
  <si>
    <t>NSFC [62101326, 61831015, 62301316, 62101325, 62225112]; National Key R&amp;D Program of China [2021YFE0-206700]; Shanghai Municipal Science and Technology Major Project [2021SHZDZX0102]; STCSM [22DZ2229005]</t>
  </si>
  <si>
    <t>NSFC(National Natural Science Foundation of China (NSFC)); National Key R&amp;D Program of China; Shanghai Municipal Science and Technology Major Project; STCSM(Science &amp; Technology Commission of Shanghai Municipality (STCSM))</t>
  </si>
  <si>
    <t>This work is supported by NSFC (62101326, 61831015, 62301316, 62101325, 62225112) , National Key R&amp;D Program of China 2021YFE0-206700, Shanghai Municipal Science and Technology Major Project (2021SHZDZX0102) , STCSM (22DZ2229005) .</t>
  </si>
  <si>
    <t>0141-9382</t>
  </si>
  <si>
    <t>1872-7387</t>
  </si>
  <si>
    <t>Displays</t>
  </si>
  <si>
    <t>10.1016/j.displa.2024.102719</t>
  </si>
  <si>
    <t>Computer Science, Hardware &amp; Architecture; Engineering, Electrical &amp; Electronic; Instruments &amp; Instrumentation; Optics</t>
  </si>
  <si>
    <t>Computer Science; Engineering; Instruments &amp; Instrumentation; Optics</t>
  </si>
  <si>
    <t>SR7O0</t>
  </si>
  <si>
    <t>WOS:001236244300001</t>
  </si>
  <si>
    <t>Quan, YH; Ding, JT; Gao, C; Li, N; Yi, LL; Jin, DP; Li, Y</t>
  </si>
  <si>
    <t>Quan, Yuhan; Ding, Jingtao; Gao, Chen; Li, Nian; Yi, Lingling; Jin, Depeng; Li, Yong</t>
  </si>
  <si>
    <t>Alleviating Video-length Effect for Micro-video Recommendation</t>
  </si>
  <si>
    <t>Debias; micro-video recommendation; multi-task learning</t>
  </si>
  <si>
    <t>Micro-video platforms such as TikTok are extremely popular nowadays. One important feature is that users no longer select interested videos from a set; instead, they either watch the recommended video or skip to the next one. As a result, the time length of users' watching behavior becomes the most important signal for identifying preferences. However, our empirical data analysis has shown a video-length effect that long videos can more easily receive a higher value of average view time, and thus adopting such view-time labels for measuring user preferences can easily induce a biased model that favors the longer videos. In this article, we propose a Video Length Debiasing Recommendation (VLDRec) method to alleviate such an effect for micro-video recommendation. VLDRec designs the data labeling approach and the sample generation module that better capture user preferences in a view-time-oriented manner. It further leverages the multi-task learning technique to jointly optimize the above samples with the original biased ones. Extensive experiments show that VLDRec can improve users' view time by 1.81% and 11.32% on two real-world datasets, given a recommendation list of a fixed overall video length, compared with the best baseline method. Moreover, VLDRec is also more effective in matching users' interests in terms of the video content.</t>
  </si>
  <si>
    <t>[Quan, Yuhan; Ding, Jingtao; Gao, Chen; Li, Nian; Jin, Depeng; Li, Yong] Tsinghua Univ, Beijing, Peoples R China; [Yi, Lingling] Tencent, Shenzhen, Peoples R China</t>
  </si>
  <si>
    <t>Tsinghua University; Tencent</t>
  </si>
  <si>
    <t>Ding, JT (corresponding author), Tsinghua Univ, Beijing, Peoples R China.</t>
  </si>
  <si>
    <t>quanyh15@tsinghua.org.cn; dingjt15@tsinghua.org.cn; chgao96@gmail.com; linian21@mails.tsinghua.edu.cn; chrisyi@tencent.com; jindp@tsinghua.edu.cn; liyong07@tsinghua.edu.cn</t>
  </si>
  <si>
    <t>Gao, Chen/M-4009-2018; Ding, Jingtao/AAE-8849-2020; Li, Yong/AFD-8722-2022; jin, du/G-4747-2012</t>
  </si>
  <si>
    <t>Ding, Jingtao/0000-0001-7985-6263; Gao, Chen/0000-0002-7561-5646</t>
  </si>
  <si>
    <t>National Key Research and Development Program of China [2020YFA0711403]; National Natural Science Foundation of China [62272262, U22B2057, 62171260]</t>
  </si>
  <si>
    <t>This work is supported by the National Key Research and Development Program of China under grant 2020YFA0711403. This work is also supported by National Natural Science Foundation of China under 62272262, U22B2057, 62171260.</t>
  </si>
  <si>
    <t>10.1145/3617826</t>
  </si>
  <si>
    <t>GL0I4</t>
  </si>
  <si>
    <t>WOS:001152702600012</t>
  </si>
  <si>
    <t>Zhang, GH; Zhang, J; Liu, K; Guo, J; Lee, JYB; Hu, HB; Aggarwal, V</t>
  </si>
  <si>
    <t>Zhang, Guanghui; Zhang, Jie; Liu, Ke; Guo, Jing; Lee, Jack Y. B.; Hu, Haibo; Aggarwal, Vaneet</t>
  </si>
  <si>
    <t>DUASVS: A Mobile Data Saving Strategy in Short-Form Video Streaming</t>
  </si>
  <si>
    <t>IEEE TRANSACTIONS ON SERVICES COMPUTING</t>
  </si>
  <si>
    <t>Streaming media; Switches; Bit rate; Prefetching; Quality of experience; Bandwidth; Adaptation models; Short video streaming; mobile network; data usage; quality-of-experience; video reliability</t>
  </si>
  <si>
    <t>Fueled by the emerging short video applications (e.g., TikTok), streaming short-form videos nowadays is ubiquitous among mobile users. During the viewing, one common action is to scroll the screen to switch videos, which is a handy operation for the viewers to quickly search for content of interest. However, our empirical measurements reveal that frequent video switching can result in nearly half of the mobile data quota being used for transferring the video data that is never watched. This problem is called data loss in this work. Given the immense cost of the network infrastructure, such a high proportion of data loss is financially tremendous to both mobile users and streaming vendors. To tackle the problem, this study proposes a novel system called Data Usage Aware Short Video Streaming (DUASVS), where a new Integrated Learning is used to capture the characters of past network conditions and then trains intelligent adaptation models to reduce data loss and save data usage. Extensive evaluations show that DUASVS is able to save 70.7%similar to 83.2% of mobile data usage without incurring any QoE degradation. Moreover, the system exhibits strong robustness, performing consistently over a wide range of network environments as well as video streaming sessions.</t>
  </si>
  <si>
    <t>[Zhang, Guanghui] Hong Kong Baptist Univ, Dept Comp Sci, Kowloon, Hong Kong, Peoples R China; [Zhang, Jie] Univ Sci &amp; Technol China USTC, Dept Elect Engn &amp; informat Sci EEIS, Hefei, Anhui, Peoples R China; [Liu, Ke] Chinese Acad Sci, Inst Comp Technol, State Key Lab Comp Architecture, Beijing 100190, Peoples R China; [Guo, Jing] Hong Kong Polytech Univ, Dept Comp, Kowloon, Hong Kong, Peoples R China; [Lee, Jack Y. B.] Chinese Univ Hong Kong, Dept Informat Engn, Shatin, Hong Kong, Peoples R China; [Hu, Haibo] Hong Kong Polytech Univ, Dept Elect &amp; Informat Engn, Kowloon, Hong Kong, Peoples R China; [Aggarwal, Vaneet] Purdue Univ, Sch Ind Engn, W Lafayette, IN 47907 USA; [Aggarwal, Vaneet] Purdue Univ, Sch Elect &amp; Comp Engn, W Lafayette, IN 47907 USA</t>
  </si>
  <si>
    <t>Hong Kong Baptist University; Chinese Academy of Sciences; University of Science &amp; Technology of China, CAS; Chinese Academy of Sciences; Institute of Computing Technology, CAS; Hong Kong Polytechnic University; Chinese University of Hong Kong; Hong Kong Polytechnic University; Purdue University System; Purdue University; Purdue University System; Purdue University</t>
  </si>
  <si>
    <t>Zhang, J (corresponding author), Univ Sci &amp; Technol China USTC, Dept Elect Engn &amp; informat Sci EEIS, Hefei, Anhui, Peoples R China.</t>
  </si>
  <si>
    <t>ghzhang@link.cuhk.edu.hk; jzhang6@ustc.edu.cn; liuke@ict.ac.cn; guojing_jane@foxmail.com; yblee@ie.cuhk.edu.hk; haihaibo.hu@polyu.edu.hk; vaneet@purdue.edu</t>
  </si>
  <si>
    <t>Zhang, Jie/JBJ-4789-2023; Hu, Haibo/AAS-5704-2020; Aggarwal, Vaneet/A-4843-2017</t>
  </si>
  <si>
    <t>Zhang, Guanghui/0000-0001-7448-8473; Hu, Haibo/0000-0002-9008-2112; Aggarwal, Vaneet/0000-0001-9131-4723</t>
  </si>
  <si>
    <t>Centre for Advances in Reliability and Safety (CAiRS) Admitted; National Natural Science Foundation of China [62101523]; Fundamental Research Funds for the Central Universities</t>
  </si>
  <si>
    <t>Centre for Advances in Reliability and Safety (CAiRS) Admitted; National Natural Science Foundation of China(National Natural Science Foundation of China (NSFC)); Fundamental Research Funds for the Central Universities(Fundamental Research Funds for the Central Universities)</t>
  </si>
  <si>
    <t>This work was supported in part by the Centre for Advances in Reliability and Safety (CAiRS) Admitted under Grants AIR@InnoHK Research Cluster, in partby the National Natural Science Foundation of China under Grant 62101523,and in part by the Fundamental Research Funds for the Central Universities.</t>
  </si>
  <si>
    <t>1939-1374</t>
  </si>
  <si>
    <t>IEEE T SERV COMPUT</t>
  </si>
  <si>
    <t>IEEE Trans. Serv. Comput.</t>
  </si>
  <si>
    <t>10.1109/TSC.2022.3150012</t>
  </si>
  <si>
    <t>Computer Science, Information Systems; Computer Science, Software Engineering</t>
  </si>
  <si>
    <t>C9ON5</t>
  </si>
  <si>
    <t>WOS:000965129700022</t>
  </si>
  <si>
    <t>Farias, VF; Li, H; Peng, TY; Ren, XY; Zhang, HW; Zheng, A</t>
  </si>
  <si>
    <t>Farias, Vivek F.; Li, Hao; Peng, Tianyi; Ren, Xinyuyang; Zhang, Huawei; Zheng, Andrew</t>
  </si>
  <si>
    <t>Correcting for Interference in Experiments: A Case Study at Douyin</t>
  </si>
  <si>
    <t>PROCEEDINGS OF THE 17TH ACM CONFERENCE ON RECOMMENDER SYSTEMS, RECSYS 2023</t>
  </si>
  <si>
    <t>17th ACM Conference on Recommender Systems (RecSys)</t>
  </si>
  <si>
    <t>SEP 18-22, 2023</t>
  </si>
  <si>
    <t>Interference; A/B testing; Experimentation; Off-policy Evaluation; Reinforcement Learning</t>
  </si>
  <si>
    <t>CAUSAL INFERENCE</t>
  </si>
  <si>
    <t>Interference is a ubiquitous problem in experiments conducted on two-sided content marketplaces, such as Douyin (China's analog of TikTok). In many cases, creators are the natural unit of experimentation, but creators interfere with each other through competition for viewers' limited time and attention. Naive estimators currently used in practice simply ignore the interference, but in doing so incur bias on the order of the treatment effect. We formalize the problem of inference in such experiments as one of policy evaluation. Off-policy estimators, while unbiased, are impractically high variance. We introduce a novel Monte-Carlo estimator, based on Differencesin-Qs (DQ) techniques, which achieves bias that is second-order in the treatment effect, while remaining sample-efficient to estimate. On the theoretical side, our contribution is to develop a generalized theory of Taylor expansions for policy evaluation, which extends DQ theory to all major MDP formulations. On the practical side, we implement our estimator on Douyin's experimentation platform, and in the process develop DQ into a truly plug-and-play estimator for interference in real-world settings: one which provides robust, low-bias, low-variance treatment effect estimates; admits computationally cheap, asymptotically exact uncertainty quantification; and reduces MSE by 99% compared to the best existing alternatives in our applications.</t>
  </si>
  <si>
    <t>[Farias, Vivek F.; Peng, Tianyi; Zheng, Andrew] MIT, Cambridge, MA 02139 USA; [Li, Hao; Ren, Xinyuyang; Zhang, Huawei] ByteDance, Beijing, Peoples R China</t>
  </si>
  <si>
    <t>Massachusetts Institute of Technology (MIT)</t>
  </si>
  <si>
    <t>Peng, TY; Zheng, A (corresponding author), MIT, Cambridge, MA 02139 USA.</t>
  </si>
  <si>
    <t>tianyipeng95@gmail.com; azheng92@gmail.com</t>
  </si>
  <si>
    <t>Zhang, Huawei/H-1924-2016; Peng, Tianyi/ABG-7722-2021</t>
  </si>
  <si>
    <t>Peng, Tianyi/0000-0002-9046-3206; Farias, Vivek/0000-0002-5856-9246</t>
  </si>
  <si>
    <t>979-8-4007-0241-9</t>
  </si>
  <si>
    <t>10.1145/3604915.3608808</t>
  </si>
  <si>
    <t>BW4WZ</t>
  </si>
  <si>
    <t>WOS:001156630300046</t>
  </si>
  <si>
    <t>Lutkenhaus, RO; Mclarnon, C; Walker, F</t>
  </si>
  <si>
    <t>Lutkenhaus, Roel O.; Mclarnon, Courtney; Walker, Frances</t>
  </si>
  <si>
    <t>Norms-Shifting on Social Media: A Review of Strategies to Shift Health-Related Norms among Adolescents and Young Adults on Social Media</t>
  </si>
  <si>
    <t>REVIEW OF COMMUNICATION RESEARCH</t>
  </si>
  <si>
    <t>social norms; social media; behavioral change; adolescents and young adults; public health</t>
  </si>
  <si>
    <t>PHYSICAL-ACTIVITY INTERVENTION; WEB; CONSUMPTION; OVERLAP; YOUTH</t>
  </si>
  <si>
    <t>With rapidly growing adolescent engagement in social media globally, social media platforms (e.g., Facebook, YouTube, Instagram, TikTok, etc.) provide increasing opportunities to address and shift social norms that influence health-related behaviors among adolescents and young adults. Numerous social and behavioral change (SBC) interventions have applied strategies to shift norms on social media, and yet, no standard definition of social norms-shifting on social media seems to exist. In understanding how social media can be leveraged to contribute to norms-shifting, we need to look at how global public health interventions are designed, how social media strategies are implemented, what behavioral change theories drive them, and how they stimulate or affect processes that shape social norms and behavior change. This review makes an inventory of the numerous strategies that development organizations have used for norms-shifting among adolescents and young adults on social media - either as stand-alone interventions or in the wider context of multi-layered SBC programs. By categorizing strategies along visibility (open vs. closed social media) and approach (aimed at the individual level vs. community level), we propose a typology and identify evidence gaps for the working mechanisms behind these strategies to be further unpacked in future research.</t>
  </si>
  <si>
    <t>[Lutkenhaus, Roel O.] Stichting New Momentum, Rotterdam, Netherlands; [Mclarnon, Courtney] Univ Calif San Diego UCSD, Ctr Gender Equ &amp; Hlth GEH, La Jolla, CA USA; [Walker, Frances] Georgetown Univ, Inst Reprod Hlth IRH, Washington, DC USA</t>
  </si>
  <si>
    <t>University of California System; University of California San Diego; Georgetown University</t>
  </si>
  <si>
    <t>Lutkenhaus, RO (corresponding author), Stichting New Momentum, Rotterdam, Netherlands.</t>
  </si>
  <si>
    <t>roel@newmomentum.org; cmclarnon@health.ucsd.edu; fmwalker3@gmail.com</t>
  </si>
  <si>
    <t>Lutkenhaus, Roel/AAC-7169-2021</t>
  </si>
  <si>
    <t>Lutkenhaus, Roel/0000-0002-0616-9419</t>
  </si>
  <si>
    <t>REVIEW COMMUNICATION RESEARCH</t>
  </si>
  <si>
    <t>REVIEW COMMUNICATION RESEARCH, MADRID, 00000, SPAIN</t>
  </si>
  <si>
    <t>2255-4165</t>
  </si>
  <si>
    <t>REV COMMUN RES</t>
  </si>
  <si>
    <t>Rev. Commun. Res.</t>
  </si>
  <si>
    <t>10.5680/RCR.V11.5</t>
  </si>
  <si>
    <t>QX4Q5</t>
  </si>
  <si>
    <t>WOS:001224158300001</t>
  </si>
  <si>
    <t>Sprague, NL; Fan, IB; Dandeneau, M; Perez, JFH; Birmingham, J; de los Santos, D; Riddick, MI; Meltzer, GY; Siegel, EL; Hernández, D</t>
  </si>
  <si>
    <t>Sprague, Nadav L.; Fan, Isabel B.; Dandeneau, Michelle; Perez, Jorge Fabian Hernandez; Birmingham, Jordyn; De Los Santos, Daritza; Riddick, Milan I.; Meltzer, Gabriella Y.; Siegel, Eva L.; Hernandez, Diana</t>
  </si>
  <si>
    <t>StreetTalk: exploring energy insecurity in New York City using a novel street intercept interview and social media dissemination method</t>
  </si>
  <si>
    <t>THERMAL COMFORT; POVERTY; CONSERVATION; EFFICIENCY; SYSTEMS; HEALTH</t>
  </si>
  <si>
    <t>This study introduces StreetTalk, an original qualitative research methodology inspired by social media influencers, to investigate perceptions and experiences of energy insecurity among New York City (NYC) residents. Briefly, energy insecurity is defined as difficulty meeting household energy needs due to affordability, housing quality, outages and coping strategies. This present study employs dynamic short-form interviews with 34 participants from all five NYC boroughs of diverse economic, and racial/ethnic backgrounds. Thematic analysis of video-recorded interviews revealed six major energy insecurity-related categories: (1) conservation and trade-offs, (2) physical inefficiencies, (3) thermal agency, (4) response to the bill, (5) disappointment and distrust in energy-related authorities, and (6) desire for and barriers to clean energy adoption. These themes provide insight into NYC residents' experiences with energy insecurity and are consistent with prior research. Beyond new scholarly insights, this study introduces StreetTalk, an innovative qualitative research methodology emphasizing rapid data collection and dissemination through social media platforms, including TikTok, Instagram, Facebook, and YouTube (@hotandcold_nyc). Taking advantage of modern technology and modes of communication, the research team was able to effectively break down barriers to academic research consumption as the videos achieved substantial engagement, with almost 200,000 views and impressions within the first year of launching this novel street-based data collection and social media dissemination campaign.</t>
  </si>
  <si>
    <t>[Sprague, Nadav L.] Columbia Univ, Mailman Sch Publ Hlth, Epidemiol, New York, NY 10027 USA; [Fan, Isabel B.; Perez, Jorge Fabian Hernandez] Columbia Univ, New York, NY USA; [Dandeneau, Michelle; Riddick, Milan I.; Meltzer, Gabriella Y.; Siegel, Eva L.; Hernandez, Diana] Columbia Univ, Mailman Sch Publ Hlth, New York, NY USA; [Birmingham, Jordyn] Bowdoin Coll, Brunswick, ME USA; [De Los Santos, Daritza] Univ Wisconsin, Nelson Inst Environm Studies, Madison, WI USA</t>
  </si>
  <si>
    <t>Columbia University; Columbia University; Columbia University; Bowdoin College; University of Wisconsin System; University of Wisconsin Madison</t>
  </si>
  <si>
    <t>Sprague, NL (corresponding author), Columbia Univ, Mailman Sch Publ Hlth, Epidemiol, New York, NY 10027 USA.</t>
  </si>
  <si>
    <t>nls2171@cumc.columbia.edu</t>
  </si>
  <si>
    <t>Sprague, Nadav L./0000-0002-9698-9962</t>
  </si>
  <si>
    <t>Alfred P. Sloan Foundation; JPB Foundation [NIEHST32ES007322-23]</t>
  </si>
  <si>
    <t>Alfred P. Sloan Foundation(Alfred P. Sloan Foundation); JPB Foundation</t>
  </si>
  <si>
    <t>We wish to acknowledge the Alfred P. Sloan Foundation and the JPB Foundation for funding this project and NIEHST32ES007322-23 for supporting trainees. We also extend our gratitude to the study participants for their essential role in thisresearch.</t>
  </si>
  <si>
    <t>10.1057/s41599-024-03477-5</t>
  </si>
  <si>
    <t>E4B1N</t>
  </si>
  <si>
    <t>WOS:001302462400002</t>
  </si>
  <si>
    <t>Starke, C; Metikos, L; Helberger, N; de Vreese, C</t>
  </si>
  <si>
    <t>Starke, Christopher; Metikos, Ljubisa; Helberger, Natali; de Vreese, Claes</t>
  </si>
  <si>
    <t>Contesting personalized recommender systems: a cross-country analysis of user preferences</t>
  </si>
  <si>
    <t>Algorithmic contestation; recommender systems; personalization; Digital Services Act; cross-national survey</t>
  </si>
  <si>
    <t>NEWS; KNOWLEDGE; DIVERSITY; BEHAVIOR; FEED</t>
  </si>
  <si>
    <t>Very Large Online Platforms (VLOPs) such as Instagram, TikTok, and YouTube wield substantial influence over digital information flows using sophisticated algorithmic recommender systems (RS). As these systems curate personalized content, concerns have emerged about their propensity to amplify polarizing or inappropriate content, spread misinformation, and infringe on users' privacy. To address these concerns, the European Union (EU) has recently introduced a new regulatory framework through the Digital Services Act (DSA). These proposed policies are designed to bolster user agency by offering contestability mechanisms against personalized RS. As their effectiveness ultimately requires individual users to take specific actions, this empirical study investigates users' intention to contest personalized RS. The results of a pre-registered survey across six countries - Brazil, Germany, Japan, South Korea, the UK, and the USA - involving 6,217 respondents yield key insights: (1) Approximately 20% of users would opt out of using personalized RS, (2) the intention for algorithmic contestation is associated with individual characteristics such as users' attitudes towards and awareness of personalized RS as well as their privacy concerns, (3) German respondents are particularly inclined to contest personalized RS. We conclude that amending Art. 38 of the DSA may contribute to leveraging its effectiveness in fostering accessible user contestation and algorithmic transparency.</t>
  </si>
  <si>
    <t>[Starke, Christopher; de Vreese, Claes] Univ Amsterdam, Amsterdam Sch Commun Res, Nieuwe Achtergracht 166, NL-1018 WV Amsterdam, Netherlands; [Metikos, Ljubisa; Helberger, Natali] Univ Amsterdam, Inst Informat Law, Amsterdam, Netherlands</t>
  </si>
  <si>
    <t>Starke, C (corresponding author), Univ Amsterdam, Amsterdam Sch Commun Res, Nieuwe Achtergracht 166, NL-1018 WV Amsterdam, Netherlands.</t>
  </si>
  <si>
    <t>c.d.r.o.starke@uva.nl</t>
  </si>
  <si>
    <t>Helberger, Natali/0000-0003-1652-0580; Starke, Christopher/0000-0001-7899-6029</t>
  </si>
  <si>
    <t>Universiteit van Amsterdam</t>
  </si>
  <si>
    <t>This work was supported by Universiteit van Amsterdam.</t>
  </si>
  <si>
    <t>10.1080/1369118X.2024.2363926</t>
  </si>
  <si>
    <t>XK6A9</t>
  </si>
  <si>
    <t>WOS:001261606000001</t>
  </si>
  <si>
    <t>Guo, XJ; Wu, ZH</t>
  </si>
  <si>
    <t>Tari, Z; Li, K; Wu, H</t>
  </si>
  <si>
    <t>Guo, Xiaojun; Wu, Zhihao</t>
  </si>
  <si>
    <t>Short Video Account Influence Evaluation Model Based on Improved SF-UIR Algorithm</t>
  </si>
  <si>
    <t>ALGORITHMS AND ARCHITECTURES FOR PARALLEL PROCESSING, ICA3PP 2023, PT I</t>
  </si>
  <si>
    <t>23rd International Conference on Algorithms and Architectures for Parallel Processing (ICA3PP)</t>
  </si>
  <si>
    <t>OCT 20-22, 2023</t>
  </si>
  <si>
    <t>Tianjin, PEOPLES R CHINA</t>
  </si>
  <si>
    <t>SF-UIR algorithm; Short video account; Influence; Factor analysis</t>
  </si>
  <si>
    <t>In view of the lack of numerical value of the influence of the account's own behavior and the lack of the influence of following fans based on the topological structure platform in the evaluation of the influence of short video accounts, this paper proposes a short video platform account influence calculation algorithm FF-SF-UIR (Factor analysis and Fan group chat in SF-UIR) based on the improved SF-UIR (Self and Followers User Influence Rank) algorithm from three perspectives: the influence of the official platform label authentication, the influence of thework, and the influence of the following fans based on the topological structure platform. This method analyzes the rationality of the historicity and periodicity of the influence of the work by using the numerical influence of the official label of the account platform and introducing the factor analysis method. According to the social network topology, the influence of followers based on the topological structure platform is introduced, which makes the evaluation result more reasonable and provides a new way for influence ranking of short video accounts. Taking Douyin (TikTok in China) short video platform as the experimental object, the experimental results show that compared with other existing methods, this method improves the precision by 9.67%, the recall by 23.67%, and the F1-Score by 20.68% in the evaluation index.</t>
  </si>
  <si>
    <t>[Guo, Xiaojun; Wu, Zhihao] Xizang Minzu Univ, Sch Informat Engn, Xianyang 712082, Shanxi, Peoples R China; [Guo, Xiaojun; Wu, Zhihao] Key Lab Opt Informat Proc &amp; Visualizat Technol Ti, Xianyang 712082, Shanxi, Peoples R China; [Guo, Xiaojun; Wu, Zhihao] Cyberspace Governance Res Base Tibet Autonomous R, Xianyang 712082, Shanxi, Peoples R China</t>
  </si>
  <si>
    <t>Xizang Minzu University</t>
  </si>
  <si>
    <t>Guo, XJ (corresponding author), Xizang Minzu Univ, Sch Informat Engn, Xianyang 712082, Shanxi, Peoples R China.;Guo, XJ (corresponding author), Key Lab Opt Informat Proc &amp; Visualizat Technol Ti, Xianyang 712082, Shanxi, Peoples R China.;Guo, XJ (corresponding author), Cyberspace Governance Res Base Tibet Autonomous R, Xianyang 712082, Shanxi, Peoples R China.</t>
  </si>
  <si>
    <t>aikt@xzmu.edu.cn</t>
  </si>
  <si>
    <t>978-981-97-0833-8; 978-981-97-0834-5</t>
  </si>
  <si>
    <t>10.1007/978-981-97-0834-5_1</t>
  </si>
  <si>
    <t>BW9FI</t>
  </si>
  <si>
    <t>WOS:001212400600001</t>
  </si>
  <si>
    <t>Kwan, H</t>
  </si>
  <si>
    <t>Kwan, Haley</t>
  </si>
  <si>
    <t>Women's Solidarity, Communicative Space, the Gig Economy's Social Reproduction and Labour Process: The Case of Female Platform Drivers in China</t>
  </si>
  <si>
    <t>CRITICAL SOCIOLOGY</t>
  </si>
  <si>
    <t>on-demand economy; gig economy; social reproduction; women's solidarity; gig labour process; ride-hailing; female platform drivers; communication technologies; China</t>
  </si>
  <si>
    <t>WORK; AUTONOMY</t>
  </si>
  <si>
    <t>This article draws on a study conducted over a period of 17 months, including chatnography and semi-structured interviews with 30 female platform drivers working in China's hail-riding industry, and makes three important contributions to the labour process and the social reproduction process scholarship. First, it fills a gap in the burgeoning literature on the gendered experience of gig work and of work-family flexibility in an on-demand economy. Women's surplus production, as a means of subsistence for oneself and the family, is contradictory to childcare commitments in the labour process. Second, it theorises that the communicative space is a space for social reproduction in which labour-power is replenished outside the household. Labour productivity is not solely determined by algorithmic logic and platform control, but rather is organised by the social reproduction process. Third, it discusses how female platform workers negotiate technological insecurity and resist the platform's control over and sexual exploitation in the communicative space. This sheds light on how the social reproduction process creates a potential for women's solidarity. Women fight against sexual harassment and gender-based violence by utilising communication technologies, such as WeChat and TikTok. The social reproduction process organises labour resistance in a time of individual and collective crisis.</t>
  </si>
  <si>
    <t>[Kwan, Haley] Univ Hong Kong, Hong Kong, Peoples R China</t>
  </si>
  <si>
    <t>Kwan, H (corresponding author), Univ Hong Kong, Dept Sociol, Room 928,Jockey Club Tower,Pokfulam Rd, Hong Kong 999077, Peoples R China.</t>
  </si>
  <si>
    <t>haleykhl@connect.hku.hk</t>
  </si>
  <si>
    <t>Kwan, Haley/0000-0001-7545-1365</t>
  </si>
  <si>
    <t>0896-9205</t>
  </si>
  <si>
    <t>1569-1632</t>
  </si>
  <si>
    <t>CRIT SOCIOL</t>
  </si>
  <si>
    <t>Crit. Sociol.</t>
  </si>
  <si>
    <t>7-8</t>
  </si>
  <si>
    <t>10.1177/08969205221101451</t>
  </si>
  <si>
    <t>5I4NT</t>
  </si>
  <si>
    <t>WOS:000808361900001</t>
  </si>
  <si>
    <t>Mueller-Vahl, KR; Pisarenko, A; Fremer, C; Haas, M; Jakubovski, E; Szejko, N</t>
  </si>
  <si>
    <t>Mueller-Vahl, Kirsten R.; Pisarenko, Anna; Fremer, Carolin; Haas, Martina; Jakubovski, Ewgeni; Szejko, Natalia</t>
  </si>
  <si>
    <t>Functional Tic-Like Behaviors: A Common Comorbidity in Patients with Tourette Syndrome</t>
  </si>
  <si>
    <t>comorbidities; coprophenomena; functional tic-like behaviors; tics; tourette syndrome</t>
  </si>
  <si>
    <t>PSYCHOGENIC MOVEMENT-DISORDERS; CLINICAL CHARACTERISTICS; SOCIAL MEDIA; PSEUDO-TICS; COPROLALIA; DIAGNOSIS; PSYCHOTHERAPY; FEATURES; TIKTOK; TRIAL</t>
  </si>
  <si>
    <t>BackgroundComorbid functional tic-like behaviors (FTB) have been described only rarely in patients with Tourette syndrome (TS).ObjectivesWe present the first large sample of patients suffering from TS and FTB to raise awareness of this clinical presentation and to guide how to differentiate one from the other.MethodsWe analyzed clinical data of 71 patients (n = 27 [38.0%] female, mean age: 21.5, range: 11-55) with TS + FTB.ResultsIn the majority of patients, FTB started abruptly on average 15 years after tic onset with treatment-resistant complex movements and (coprophenomena-like) vocalizations preceded by timely related psychological stressors. Psychological evaluation revealed evidence for internal conflicts (79%), emotional dysregulation (56%), and maintaining factors (70%). About one third of patients had a positive history for further medically unexplained symptoms. Compared to a large TS sample (n = 1032), patients with TS + FTB were more likely to be female, and presented significantly more common with coprophenomena-like symptoms, atypical influential factors, atypical descriptions of premonitory sensations, and higher rates of comorbid obsessive-compulsive disorder and self-injurious behavior.ConclusionsBased on our data it can be assumed that FTB is a common comorbidity in TS, similar to functional overlay in other movement disorders and epilepsy. Before classifying a patient as suffering from treatment-resistant TS, FTB should be ruled out.</t>
  </si>
  <si>
    <t>[Mueller-Vahl, Kirsten R.; Pisarenko, Anna; Fremer, Carolin; Haas, Martina; Jakubovski, Ewgeni; Szejko, Natalia] Hannover Med Sch, Clin Psychiat Social Psychiat &amp; Psychotherapy, Hannover, Germany; [Szejko, Natalia] Univ Calgary, Dept Clin Neurosci, Calgary, AB, Canada; [Szejko, Natalia] Med Univ Warsaw, Dept Bioethics, Warsaw, Poland; [Mueller-Vahl, Kirsten R.] Hannover Med Sch, Clin Psychiat Social Psychiat &amp; Psychotherapy, Carl Neuberg Str 1, D-30625 Hannover, Germany</t>
  </si>
  <si>
    <t>Hannover Medical School; University of Calgary; Medical University of Warsaw; Hannover Medical School</t>
  </si>
  <si>
    <t>Mueller-Vahl, KR (corresponding author), Hannover Med Sch, Clin Psychiat Social Psychiat &amp; Psychotherapy, Carl Neuberg Str 1, D-30625 Hannover, Germany.</t>
  </si>
  <si>
    <t>mueller-vahl.kirsten@mh-hannover.de</t>
  </si>
  <si>
    <t>Szejko, Natalia/AGJ-3544-2022</t>
  </si>
  <si>
    <t>Muller-Vahl, Kirsten/0000-0002-7181-7419; Szejko, Natalia/0000-0001-6160-9221</t>
  </si>
  <si>
    <t>We thank all patients who participated in this study. Open Access funding enabled and organized by Projekt DEAL.</t>
  </si>
  <si>
    <t>10.1002/mdc3.13932</t>
  </si>
  <si>
    <t>KN1W9</t>
  </si>
  <si>
    <t>WOS:001122796800001</t>
  </si>
  <si>
    <t>Thuy, DC; Quang, NN; Huong, L; Phuong, NTM</t>
  </si>
  <si>
    <t>Thuy, Dao Cam; Quang, Nguyen Ngoc; Huong, Le Thanh; Phuong, Nguyen Thi Minh</t>
  </si>
  <si>
    <t>The moderating effects of involvement on the relationships between key opinion leaders, customer's attitude and purchase intention on social media</t>
  </si>
  <si>
    <t>KOLs; influencer marketing; online purchase intention; consumer intention; social network; Psychological Science; Business; Management and Accounting; Consumer Psychology</t>
  </si>
  <si>
    <t>USER INVOLVEMENT; TRUSTWORTHINESS; REVIEWS</t>
  </si>
  <si>
    <t>Businesses have focused on using key opinion leaders (KOLs) to reach their target customers because their use of technology and social media is more and more increasing. KOLs not only interact directly with potential customers but also influence their needs through reviews or testimonials, which traditional marketing cannot conduct. The purpose of this study is to investigate the factor of involvement moderating the relationship between KOLs, customer's attitude and purchase intention on social networks; proposes four factors to make up the perception of KOLs on social media including attractiveness, trustworthiness, expertise and brand consistency. The research sample includes 546 responses from participants aged 16 to 40 years old. Data was collected through an online survey of popular social media users (Facebook, TikTok, Instagram, Zalo and Youtube) in Vietnam. The result of the study shows that the involvement factor has positively promoted the relationship between perception of KOLs, attitude of KOLs and purchase intention; customer's attitude both has a direct impact and an intermediary factor in the relationship between KOL and purchase intention. Furthermore, brand consistency between KOLs and products has a strong influence on customer perception towards KOLs. The study proposed some solutions to improve the effectiveness of online influencer marketing.</t>
  </si>
  <si>
    <t>[Thuy, Dao Cam; Huong, Le Thanh] Vnu Univ Econ &amp; Business, Sch Business Adm, Hanoi, Vietnam; [Quang, Nguyen Ngoc; Phuong, Nguyen Thi Minh] Natl Econ Univ, Mkt Fac, Hanoi, Vietnam</t>
  </si>
  <si>
    <t>Vietnam National University Hanoi; National Economics University - Vietnam</t>
  </si>
  <si>
    <t>Quang, NN (corresponding author), Natl Econ Univ, Mkt Fac, Hanoi, Vietnam.</t>
  </si>
  <si>
    <t>qnn9@yahoo.fr</t>
  </si>
  <si>
    <t>10.1080/23311975.2024.2400600</t>
  </si>
  <si>
    <t>F4A8V</t>
  </si>
  <si>
    <t>WOS:001309272600001</t>
  </si>
  <si>
    <t>Che, SP; Zhou, YH; Zhang, S; Nan, DY; Kim, JH</t>
  </si>
  <si>
    <t>Che, ShaoPeng; Zhou, Yuanhang; Zhang, Shunan; Nan, Dongyan; Kim, Jang Hyun</t>
  </si>
  <si>
    <t>Impact of ByteDance crisis communication strategies on different social media users</t>
  </si>
  <si>
    <t>SEMANTIC NETWORK ANALYSIS; INFORMATION FORM</t>
  </si>
  <si>
    <t>The impact of corporate crisis communication strategies on users' attitudes across different platforms has emerged as a new focal point in crisis management. This study is rooted in Social Media Crisis Communication (SMCC) and employs the case of Trump's sanctions on TikTok to analyze variations in the effects of ByteDance's crisis communication strategies on different social media platforms. We initally identified five announcements that generated significant discussions on Toutiao and Weibo and collected the corresponding user comments (a total of 50,702). Subsequently, we utilized two approaches, machine learning and deep learning, to conduct sentiment classification tests on the text to identify the best-performing model. This model was then applied on the entire dataset for sentiment classification, followed by semantic network analysis based on the sentiment classification results. The results demostrated that the pre-trained ERNIE model outperformed the other tested models (F1 = 82.40%). Following the fourth crisis communication event, users on Toutiao and Weibo exhibited contrasting sentimental tendencies. Theoretically, we observed that users on different social media platforms relying on distinct information sources, expressed different sentimental responses to the same crisis. Social media users have a tendency to anthropomorphize corporate personality traits. In practical terms, we recommend that companies engage in crisis communication on multiple social media platforms and do not overlook the most influential platforms in the market.</t>
  </si>
  <si>
    <t>[Che, ShaoPeng] Tsinghua Univ, Sch Journalism &amp; Commun, Beijing, Peoples R China; [Zhou, Yuanhang] Sungkyunkwan Univ, Dept FinTech, Seoul, South Korea; [Zhang, Shunan; Kim, Jang Hyun] Sungkyunkwan Univ, Dept Interact Sci, Seoul, South Korea; [Nan, Dongyan] Korea Adv Inst Sci &amp; Technol KAIST, Grad Sch Future Strategy, Daejeon, South Korea</t>
  </si>
  <si>
    <t>Tsinghua University; Sungkyunkwan University (SKKU); Sungkyunkwan University (SKKU); Korea Advanced Institute of Science &amp; Technology (KAIST)</t>
  </si>
  <si>
    <t>zhou, yuanhang/KCJ-9982-2024; Che, ShaoPeng/IUQ-1918-2023; Nan, Dongyan/JMP-5969-2023</t>
  </si>
  <si>
    <t>Che, ShaoPeng/0000-0003-1547-8798; Nan, Dongyan/0000-0001-7811-0857</t>
  </si>
  <si>
    <t>This paper was supported by SKKU Global Research Platform Research Fund, Sungkyunkwan University, 2022-2023. [2022-2023]; SKKU Global Research Platform Research Fund, Sungkyunkwan University</t>
  </si>
  <si>
    <t>This paper was supported by SKKU Global Research Platform Research Fund, Sungkyunkwan University, 2022-2023.; SKKU Global Research Platform Research Fund, Sungkyunkwan University</t>
  </si>
  <si>
    <t>This paper was supported by SKKU Global Research Platform Research Fund, Sungkyunkwan University, 2022-2023.</t>
  </si>
  <si>
    <t>10.1057/s41599-023-02170-3</t>
  </si>
  <si>
    <t>X3OS4</t>
  </si>
  <si>
    <t>WOS:001097587400001</t>
  </si>
  <si>
    <t>Dunne, G</t>
  </si>
  <si>
    <t>Dunne, Gerry</t>
  </si>
  <si>
    <t>Deliberate Ignorance and Myopic Intellectualist Understandings of Expertise: Are Philosophers of Education Epistemic Trespassers in Initial Teacher Education Programmes?</t>
  </si>
  <si>
    <t>STUDIES IN PHILOSOPHY AND EDUCATION</t>
  </si>
  <si>
    <t>Philosophers of education; Epistemic trespassing; Rational ignorance; First-personal authority; Expertise; Teaching</t>
  </si>
  <si>
    <t>This paper considers in conceptual terms the extent to which pre-service teachers' disengagement with philosophy of education might usefully be explained in terms of the mistaken charge of (1) 'epistemic trespassing' frequently levelled against philosophers of education. This cohort charge philosophers of education with being ultracrepidarians-those who proffer opinions on subjects that they know nothing about. Contra this view, I argue that casting philosophers as epistemic trespassers-lofty theorists with nothing meaningful to contribute to professional practice-is a wrongful charge, or 'epistemic vice', based on a series of epistemic mistakes. These, individually and collectively, lead to a series of troubling costs in terms of impoverished professional formation and practice. To diagnose a plausible explanatory account of this phenomenon, I briefly turn to what I consider the main causes of this misattribution-more precisely-the four secondary category mistakes pre-service teachers make. Naturally a qualification is required. I contend these epistemic mistakes can rightfully be attributed to *some pre-service teachers in such determinations, which include: (2) misunderstanding standpoint epistemology (SE) in terms of automatic privilege being coextensive with first-personal authority (FPA); (3) overestimating the added value of deliberate/rational ignorance; (4) misguided intellectualist views of skills and expertise; and, (5) uncritical technicist attempts to emulate TikTok Exemplars with the allure of 'Insta results'.</t>
  </si>
  <si>
    <t>[Dunne, Gerry] Marino Inst Educ, Dublin, Ireland</t>
  </si>
  <si>
    <t>Trinity College Dublin; Marino Institute of Education</t>
  </si>
  <si>
    <t>Dunne, G (corresponding author), Marino Inst Educ, Dublin, Ireland.</t>
  </si>
  <si>
    <t>gedunne@tcd.ie</t>
  </si>
  <si>
    <t>Dunne, Gerry/0000-0002-0137-8027</t>
  </si>
  <si>
    <t>University of Dublin, Trinity College</t>
  </si>
  <si>
    <t>I'd like to thank Kevin Williams for several probing critiques and for pushing me on some of the claims I make in this paper.</t>
  </si>
  <si>
    <t>0039-3746</t>
  </si>
  <si>
    <t>1573-191X</t>
  </si>
  <si>
    <t>STUD PHILOS EDUC</t>
  </si>
  <si>
    <t>Stud. Philos. Educ.</t>
  </si>
  <si>
    <t>2024 JUN 19</t>
  </si>
  <si>
    <t>10.1007/s11217-024-09939-2</t>
  </si>
  <si>
    <t>Education &amp; Educational Research; Philosophy</t>
  </si>
  <si>
    <t>UT3B8</t>
  </si>
  <si>
    <t>WOS:001250259000001</t>
  </si>
  <si>
    <t>Camargo, JL; Baca, LDH; Valencia, ET; Aquino, REA; Miranda, AGR; Camargo, LGL</t>
  </si>
  <si>
    <t>Rocha, A; Bordel, B; Penalvo, FG; Goncalves, R</t>
  </si>
  <si>
    <t>Lira Camargo, Jorge; Huaman Baca, Luis Diego; Taipe Valencia, Erick; Astudillo Aquino, Ronald Edwin; Roda Miranda, Alex Gustavo; Lira Camargo, Luis Geronimo</t>
  </si>
  <si>
    <t>Facial recognition proposal with the use of Python</t>
  </si>
  <si>
    <t>2022 17TH IBERIAN CONFERENCE ON INFORMATION SYSTEMS AND TECHNOLOGIES (CISTI)</t>
  </si>
  <si>
    <t>Iberian Conference on Information Systems and Technologies</t>
  </si>
  <si>
    <t>17th Iberian Conference on Information Systems and Technologies (CISTI)</t>
  </si>
  <si>
    <t>JUN 22-25, 2022</t>
  </si>
  <si>
    <t>Univ Politecnica Madrid,IEEE SMC Portugal Chapter,Informat &amp; Technol Management Assoc,IEEE Spain Sect,IEEE SMC Spain Chapter,IEEE SMC France Chapter,IEEE SMC Italy Chapter,AISTI</t>
  </si>
  <si>
    <t>technological development; facial recognition; access control; implementation; digital transformation; Python</t>
  </si>
  <si>
    <t>We currently live in a society in continuous change and with a desire for technological development without limits, artificial intelligence is positioned as one of the areas that is having the greatest impact. Based on this environment of technological development, facial recognition is found, a tool that is increasingly used in any held or in any situation; from unlocking mobile devices, through hundreds of applications, to its use as a security measure. This project is based on the analysis, both at a theoretical and experimental level, of a facial recognition system from a database through and during the development, 4 key stages will he carried out. Presenting as the first part modern and updated technology that digital transformation can offer us. Second, a clear access control and its necessary requirements. Thirdly, select the appropriate tools that meet the anticipated requirements, such as the use of the Python programming language, and finally the implementation in various systems in which an adequate use of facial recognition can be presented, helping to improve a system of a company or organization. The use of Facial Recognition is currently used in various environments such as entertainment on platforms through filters for photos or videos on Tiktok, Facebook and more social networks, the security field has also been benefited using facial recognition in different entities to grant access only to authorized personnel and recognize criminals captured on video.</t>
  </si>
  <si>
    <t>[Lira Camargo, Jorge; Huaman Baca, Luis Diego; Taipe Valencia, Erick; Astudillo Aquino, Ronald Edwin; Roda Miranda, Alex Gustavo] Univ Nacl Federico Villarreal, Fac Ingn Ind &amp; Sistemas, Lima, Peru; [Lira Camargo, Luis Geronimo] Univ Nacl Hermilio Valdizan, Fac Ingn Ind &amp; Sistemas, Huanuco, Peru</t>
  </si>
  <si>
    <t>Universidad Nacional Federico Villarreal; Universidad Nacional Hermilio Valdizan</t>
  </si>
  <si>
    <t>Camargo, JL (corresponding author), Univ Nacl Federico Villarreal, Fac Ingn Ind &amp; Sistemas, Lima, Peru.</t>
  </si>
  <si>
    <t>jlira@unfv.edu.pe; 2013010881@unfv.edu.pe; 2011010394@unfv.edu.pe; 2018023009@unfv.edu.pe; 2015237242@unfv.edu.pe; llira@unheval.edu.pe</t>
  </si>
  <si>
    <t>Lira Camargo, Jorge/HGA-6157-2022</t>
  </si>
  <si>
    <t>2166-0727</t>
  </si>
  <si>
    <t>978-989-33-3436-2</t>
  </si>
  <si>
    <t>IBER CONF INF SYST</t>
  </si>
  <si>
    <t>BT7HK</t>
  </si>
  <si>
    <t>WOS:000848616300003</t>
  </si>
  <si>
    <t>Zhang, WC; Liu, CW; Ming, L; Cheng, Y</t>
  </si>
  <si>
    <t>Zhang, Wenchang; Liu, Chewei; Ming, Liu; Cheng, Yue</t>
  </si>
  <si>
    <t>The Sales Impacts of Traffic Acquisition Promotion in Live-Streaming Commerce</t>
  </si>
  <si>
    <t>Social Commerce; Live Streaming; Lucky Draw; Sales Effects; Backfiring Effect</t>
  </si>
  <si>
    <t>PLATFORMS EVIDENCE; PRICE PROMOTIONS; ENGAGEMENT; MOTIVATIONS; BEHAVIOR</t>
  </si>
  <si>
    <t>Live-streaming commerce, a combination of live streaming and e-commerce on social media platforms, has been a huge phenomenon over the past few years. Recently, the lucky draw (also known as sweepstakes) stands out as one of the most popular promotion innovations for traffic acquisition in live-streaming commerce. As a non-price-based operational lever, lucky draws offer not only utilitarian benefits (i.e., winning rewards) but also social values that engage and entertain participants (i.e., participating in a social event). Exploiting a comprehensive dataset collected from TikTok (China), we examine lucky draws' sales impacts on live-streaming events. Although the adoption of lucky draw results in an overall sales improvement, it can backfire when streamers stop offering the promotion: The sales of post-adoption events without lucky draws are substantially worse off than pre-adoption ones. These findings highlight both lucky draws' benefits and their backfiring effects, providing operational implications associated with utilizing this type of promotion. In addition, we find that the lucky draw promotion exhibits significant heterogeneity in terms of impacting sales of streamers with various levels of popularity. Less well-known streamers benefit from the promotion remarkably better than more well-known streamers. Further, we explore the underlying mechanisms of lucky draws' sale effects by analyzing their traffic effects on follower flow and non-follower flow.</t>
  </si>
  <si>
    <t>[Zhang, Wenchang; Liu, Chewei] Indiana Univ, Kelley Sch Business, Bloomington, IN USA; [Ming, Liu] Chinese Univ Hong Kong Shenzhen, Sch Management &amp; Econ, Shenzhen, Peoples R China; [Cheng, Yue] Peking Univ, HSBC Business Sch, Shenzhen 518055, Peoples R China</t>
  </si>
  <si>
    <t>Indiana University System; Indiana University Bloomington; IU Kelley School of Business; The Chinese University of Hong Kong, Shenzhen; Peking University</t>
  </si>
  <si>
    <t>Cheng, Y (corresponding author), Peking Univ, HSBC Business Sch, Shenzhen 518055, Peoples R China.</t>
  </si>
  <si>
    <t>ycheng@phbs.pku.edu.cn</t>
  </si>
  <si>
    <t>Liu, Che-Wei/KTI-0686-2024</t>
  </si>
  <si>
    <t>2024 MAR 4</t>
  </si>
  <si>
    <t>10.1177/10591478231224938</t>
  </si>
  <si>
    <t>RA4L8</t>
  </si>
  <si>
    <t>WOS:001224938500001</t>
  </si>
  <si>
    <t>Yang, Q; Lee, YC</t>
  </si>
  <si>
    <t>Yang, Qin; Lee, Young-Chan</t>
  </si>
  <si>
    <t>What Drives the Digital Customer Experience and Customer Loyalty in Mobile Short-Form Video Shopping? Evidence from Douyin (TikTok)</t>
  </si>
  <si>
    <t>mobile short-form video (MSFV) shopping; human-computer interaction; digital customer experience; content quality; relationship quality; stickiness; customer loyalty; attitudinal loyalty; behavioral loyalty</t>
  </si>
  <si>
    <t>SOCIAL COMMERCE; RELATIONSHIP QUALITY; BEHAVIORAL LOYALTY; STICKINESS; ONLINE; COMMUNITIES; WEBSITES; SUPPORT; IMPACT; SATISFACTION</t>
  </si>
  <si>
    <t>Mobile short-form video (MSFV) shopping represents an emerging method of mobile e-commerce and indicates the future development trend of mobile e-commerce. Unlike other famous mobile commerce applications, MSFV apps provide customers with animated videos which enable them to view product information vividly. This study examines the associations between digital customer experience and customer loyalty based on a human-computer interaction approach. We draw on content quality, relationship quality, and stickiness to investigate customer attitudinal loyalty and behavioral loyalty. A total of 796 users who use the leading MSFV app in China were randomly surveyed, among whom 778 users were involved in testing the hypotheses. Our findings indicate that content and relationship quality positively influence customers' stickiness to MSFV shopping. Moreover, stickiness positively mediates the indirect link between content quality and customer loyalty as well as relationship quality and customer loyalty. This study demonstrates the value of extending the human-computer interaction approach to MSFV shopping and contributes to the existing literature by offering a deeper understanding of customer loyalty in the context of MSFV shopping. In addition, it has some managerial implications for making the most of the MSFV app's huge potential to help the sustainable growth of mobile e-commerce.</t>
  </si>
  <si>
    <t>[Yang, Qin] Jiaxing Univ, Sch Econ, Jiaxing 314001, Peoples R China; [Lee, Young-Chan] Dongguk Univ, Coll Management &amp; Econ, Dept Business Adm, Gyeongju 38066, South Korea</t>
  </si>
  <si>
    <t>Jiaxing University; Dongguk University</t>
  </si>
  <si>
    <t>Lee, YC (corresponding author), Dongguk Univ, Coll Management &amp; Econ, Dept Business Adm, Gyeongju 38066, South Korea.</t>
  </si>
  <si>
    <t>chanlee@dongguk.ac.kr</t>
  </si>
  <si>
    <t>Lee, Young-Chan/AAT-4394-2021</t>
  </si>
  <si>
    <t>Lee, Young-Chan/0000-0003-3715-5279</t>
  </si>
  <si>
    <t>10.3390/su141710890</t>
  </si>
  <si>
    <t>4K1EK</t>
  </si>
  <si>
    <t>WOS:000851702100001</t>
  </si>
  <si>
    <t>Gupta, S; Camilli, M; Papaioannou, M</t>
  </si>
  <si>
    <t>Parkin, S; Vigano, L</t>
  </si>
  <si>
    <t>Gupta, Sandeep; Camilli, Matteo; Papaioannou, Maria</t>
  </si>
  <si>
    <t>Provenance Navigator: Towards More Usable Privacy and Data Management Strategies for Smart Apps</t>
  </si>
  <si>
    <t>SOCIO-TECHNICAL ASPECTS IN SECURITY, STAST 2021</t>
  </si>
  <si>
    <t>11th International Workshop on Socio-Technical Aspects in Security (STAST)</t>
  </si>
  <si>
    <t>OCT 08, 2021</t>
  </si>
  <si>
    <t>Fonds Natl Rech Luxembourg,Secur &amp; Trust Lu,Univ Catania,Univ Luxembourg</t>
  </si>
  <si>
    <t>Smart apps; Privacy policies; Usability; Provenance graph</t>
  </si>
  <si>
    <t>Billions of people have embraced numerous smart apps (applications) for browsing, chatting, emailing, entertainment, fitness, navigation, shopping, social-networking, transportation, and many other activities, with a notion to make their day-to-day life easy and better. Smart apps like TikTok, Uber, Facebook, Google Maps, etc., simply direct users to accept their data policy if they are willing to get their services free of cost. Typically, these apps providers bank on data collected from the users for generating revenue, which is equivalent to a compulsive invasion of the users' privacy. Further, data usage policies are apps provider-centric therefore, user-friendly control mechanisms to restrict the collection and usage of sensitive data are highly demanded by end-users (particularly, for the countries that have not enacted specific legislation for users' data protection). In the paper, we present a study of users' data collected by popular smart apps along with the existing privacy and data management mechanisms provided by their app providers and conduct an online survey to collect public opinion towards the privacy policies and data collection done by smart apps providers. We propose a conceptual model of Provenance Navigator that can improve the transparency of data collection and usage by a smart app. Finally, we provide some recommendations based on the survey findings to improve the usability of smart apps' privacy and data management mechanisms to grow the awareness of the user.</t>
  </si>
  <si>
    <t>[Gupta, Sandeep; Camilli, Matteo] Free Univ Bozen Bolzano, Bolzano, Italy; [Papaioannou, Maria] Inst Telecomunicacoes, Aveiro, Portugal</t>
  </si>
  <si>
    <t>Free University of Bozen-Bolzano; Universidade de Aveiro</t>
  </si>
  <si>
    <t>Gupta, S (corresponding author), Free Univ Bozen Bolzano, Bolzano, Italy.</t>
  </si>
  <si>
    <t>sgupta@unibz.it; mcamilli@unibz.it; m.papaioannou@av.it.pt</t>
  </si>
  <si>
    <t>Papaioannou, Maria/AAE-3157-2021</t>
  </si>
  <si>
    <t>CAMILLI, MATTEO/0000-0003-2491-5267; Gupta, Sandeep/0000-0001-9220-7700</t>
  </si>
  <si>
    <t>978-3-031-10183-0; 978-3-031-10182-3</t>
  </si>
  <si>
    <t>10.1007/978-3-031-10183-0_2</t>
  </si>
  <si>
    <t>Computer Science, Theory &amp; Methods; Social Sciences, Interdisciplinary</t>
  </si>
  <si>
    <t>BU5RX</t>
  </si>
  <si>
    <t>WOS:000917659900002</t>
  </si>
  <si>
    <t>Munjin</t>
  </si>
  <si>
    <t>The Strategies of Brand Image Building at Private Institution of Islamic Education in Purwokerto</t>
  </si>
  <si>
    <t>PEGEM EGITIM VE OGRETIM DERGISI</t>
  </si>
  <si>
    <t>Brand Image; Islamic Private School; Strategy</t>
  </si>
  <si>
    <t>This research aims to analyse the strategy implemented by private institution of Islamic education in building brand image. It is very crucial for the educational institution to build the brand image in order to survive within the competitive struggle. Moreover, Chen explains that brand image is considered as a myth of the school by some parents (Chen 2016). Thus, there are still a few of Islamic education which are aware of it. So, they have difficulty competing with other educational institutions having significant capital, a good brand image, and been accepted by the wider public. The method used were interview, observation, and documentation while to analyze the data the researcher used data collection, data reduction, presentation of data, and conclusions (Straus 1987). The result showed that madrasa conducted developing brand awareness by highlighting the distinctiveness and excellence possessed by the institution. Furthermore, the institution makes brand recognition by providing education and socialization to the community by arranging creative competition events for prospective students, seminars, social services, educational exhibitions, involving schools in local and national events, and publication of school achievements in print and electronic media, creating social media platforms such as, Facebook, IG, blogs, TikTok, etc. The other effort in building a brand association was by forming a strong and distinctive character which differ from other educational institutions. This study can be continued by the next resesearchers to deepen their study with the same theme, either using qualitative or quantitative approach.</t>
  </si>
  <si>
    <t>[Munjin] UIN SAIZU Purwokerto, Central Java, Indonesia</t>
  </si>
  <si>
    <t>Munjin (corresponding author), UIN SAIZU Purwokerto, Central Java, Indonesia.</t>
  </si>
  <si>
    <t>munjin@uinsaizu.ac</t>
  </si>
  <si>
    <t>PEGEM AKAD YAYINCILIK EGITIM DANISMANLIK HIZMETLERI TIC LTD STI</t>
  </si>
  <si>
    <t>MESRUTIYET CADDESI, NO 5, 06420, KIZILAY, ANKARA, 00000, TURKEY</t>
  </si>
  <si>
    <t>2148-239X</t>
  </si>
  <si>
    <t>PEGEM EGIT OGR DERG</t>
  </si>
  <si>
    <t>Pegem Egit. Ogr. Derg.</t>
  </si>
  <si>
    <t>10.47750/pegegog.12.02.12</t>
  </si>
  <si>
    <t>2M8VE</t>
  </si>
  <si>
    <t>WOS:000817969800012</t>
  </si>
  <si>
    <t>Qiao, S; Feng, W</t>
  </si>
  <si>
    <t>Qiao, Sun; Feng, Wu</t>
  </si>
  <si>
    <t>The effect of novel linguistic-based review features on review helpfulness through information ecosystem and ELM theories: Heterogeneity analysis across platforms</t>
  </si>
  <si>
    <t>Online review helpfulness; Language style; Semantic association; Platform heterogeneity; Information ecology theory; ELM</t>
  </si>
  <si>
    <t>ONLINE CONSUMER REVIEWS; LANGUAGE STYLE; PERCEIVED HELPFULNESS; PRODUCT REVIEWS; QUALITY</t>
  </si>
  <si>
    <t>Although online review helpfulness has been extensively discussed, examining it at the platform level can still yield new insights. Drawing on ELM and information ecosystem theories, this study identifies heterogeneity in review features and their impact on helpfulness across platforms through a multimethod analysis of 82,130 reviews on JD and TikTok. Econometric analysis revealed that reviews on mature platforms contain richer objective content, more diverse language styles, and stronger semantic associations. In terms of content, objective content diversity positively affects helpfulness on emerging platforms, while it has the opposite effect on mature platforms. Negative sentiment significantly affects helpfulness only on mature platforms, and positive sentiment has no significant effect on either platform. In terms of language style, the analysis indicated that language style diversity positively impacts the helpfulness of emerging platforms. However, four specific styles (figurative, comparative, interrogative and exaggerative) negatively affect helpfulness on emerging platforms, with only comparative style having a significant negative effect on mature platforms. In terms of semantic association, the results show a more substantial positive impact on emerging platforms. Machine learning-based performance analysis corroborates the core findings of the econometric analysis. This study provides novel findings to the existing literature and provides managerial implications for different platforms.</t>
  </si>
  <si>
    <t>[Qiao, Sun; Feng, Wu] Xi An Jiao Tong Univ, Sch Management, Xian, Peoples R China</t>
  </si>
  <si>
    <t>Xi'an Jiaotong University</t>
  </si>
  <si>
    <t>Feng, W (corresponding author), Xi An Jiao Tong Univ, Sch Management, Xian, Peoples R China.;Feng, W (corresponding author), Xi An Jiao Tong Univ, Sch Management, 28 Xianning West Rd, Xian, Shanxi, Peoples R China.</t>
  </si>
  <si>
    <t>National Natural Science Foundation of China [71871177]</t>
  </si>
  <si>
    <t>This work was supported by the National Natural Science Foundation of China (No. 71871177)</t>
  </si>
  <si>
    <t>10.1016/j.chb.2024.108357</t>
  </si>
  <si>
    <t>L9E9K</t>
  </si>
  <si>
    <t>WOS:001353692000001</t>
  </si>
  <si>
    <t>Chen, XA; Yu, JX; Zhu, YY; Wu, RA; Tu, W</t>
  </si>
  <si>
    <t>Chen, Xiana; Yu, Junxian; Zhu, Yingying; Wu, Ruonan; Tu, Wei</t>
  </si>
  <si>
    <t>Short video-driven deep perception for city imagery</t>
  </si>
  <si>
    <t>ENVIRONMENT AND PLANNING B-URBAN ANALYTICS AND CITY SCIENCE</t>
  </si>
  <si>
    <t>City spatial imagery; deep learning; cluster analysis; short videos</t>
  </si>
  <si>
    <t>EVALUATIVE IMAGE; URBAN; MAPS</t>
  </si>
  <si>
    <t>City imagery is essential for enhancing city characteristics and disseminating city identity. As an emerging medium, short videos can intuitively reflect people's perception of complex urban environment. In this study, we proposed a short video-driven deep learning perception framework to sense city imagery. To quantitatively deconstruct spatial imagery of urban space, deep neural network is used for pixel-level semantic segmentation. K-means clustering and hierarchical clustering analysis are carried out to extract and reveal the spatial imagery characteristics at the landmark level and the city level. Taking the Guangdong-Hong Kong-Macao Great Bay Area (GBA) as the study area, an experiment was carried out with TikTok short videos. The results showed that (1) the spatial imagery of the GBA cities are divided into four categories: Green Waterfront, including Jiangmen, Huizhou, Zhuhai, Zhaoqing, and Zhongshan; Humanistic Capital, including Hong Kong, Guangzhou, and Foshan; Modern Green City, including Shenzhen and Dongguan; Sky City, that is, Macao; (2) the landmark imagery in GBA can be characterized into five groups: Green Water and Blue Sky, Ancient Architecture of Greenery, Modern Architecture, Staggered Roads, and Urban Green Lung. It further investigated spatial distribution of landmark-level spatial imagery. These results prove the feasibility of sensing city imagery with short videos and provide useful insights into city imagery studies. It provides a new approach for understanding and spreading the city imagery over Internet.</t>
  </si>
  <si>
    <t>[Chen, Xiana; Yu, Junxian; Zhu, Yingying; Wu, Ruonan; Tu, Wei] Shenzhen Univ, Sch Architecture &amp; Urban Planning, Shenzhen, Peoples R China; [Tu, Wei] Key Lab Geoenvironm Monitoring Great Bay Area, Shenzhen, Peoples R China; [Tu, Wei] Res Inst Smart Cities, Shenzhen Key Laboratoryof Spatial Informat Smart S, Guangdong Key Lbaoratory Urban Informat, Kejilou 1402,Nanhai Ave 3688, Shenzhen 518060, Peoples R China</t>
  </si>
  <si>
    <t>Shenzhen University</t>
  </si>
  <si>
    <t>Tu, W (corresponding author), Res Inst Smart Cities, Shenzhen Key Laboratoryof Spatial Informat Smart S, Guangdong Key Lbaoratory Urban Informat, Kejilou 1402,Nanhai Ave 3688, Shenzhen 518060, Peoples R China.</t>
  </si>
  <si>
    <t>tuwei@szu.edu.cn</t>
  </si>
  <si>
    <t>TU, Wei/H-4073-2014</t>
  </si>
  <si>
    <t>TU, Wei/0000-0002-0255-4037; zhu, yingying/0000-0003-0271-2549</t>
  </si>
  <si>
    <t>National Natural Science Foundation of China [42071360, 71961137003]; Key Project of Natural Science Foundation of Shenzhen [JCYJ20220818100200001]</t>
  </si>
  <si>
    <t>National Natural Science Foundation of China(National Natural Science Foundation of China (NSFC)); Key Project of Natural Science Foundation of Shenzhen</t>
  </si>
  <si>
    <t>The author(s) disclosed receipt of the following financial support for the research, authorship, and/or publication of this article: This study is supported and funded by the National Natural Science Foundation of China (No. 42071360; No. 71961137003): Key Project of Natural Science Foundation of Shenzhen (No. JCYJ20220818100200001).</t>
  </si>
  <si>
    <t>2399-8083</t>
  </si>
  <si>
    <t>2399-8091</t>
  </si>
  <si>
    <t>ENVIRON PLAN B-URBAN</t>
  </si>
  <si>
    <t>Env. Plan. B-Urban Anal. City Sci.</t>
  </si>
  <si>
    <t>10.1177/23998083231193236</t>
  </si>
  <si>
    <t>Environmental Studies; Geography; Regional &amp; Urban Planning; Urban Studies</t>
  </si>
  <si>
    <t>Environmental Sciences &amp; Ecology; Geography; Public Administration; Urban Studies</t>
  </si>
  <si>
    <t>KG2L7</t>
  </si>
  <si>
    <t>WOS:001044121800001</t>
  </si>
  <si>
    <t>Zhang, JF; Han, PP; Tang, YJ; Xi, WW; Xiao, X; Yang, F</t>
  </si>
  <si>
    <t>Zhang, Jianfei; Han, Pengpeng; Tang, Yujun; Xi, Wenwen; Xiao, Xia; Yang, Feng</t>
  </si>
  <si>
    <t>Popular science and education of cosmetic surgery in China: Quality and reliability evaluation of Douyin short videos</t>
  </si>
  <si>
    <t>HEALTH EXPECTATIONS</t>
  </si>
  <si>
    <t>cosmetic surgery; Douyin; information quality; medical science; reliability evaluation</t>
  </si>
  <si>
    <t>CONSUMER HEALTH INFORMATION; DISCERN; TIKTOK</t>
  </si>
  <si>
    <t>BackgroundDouyin APP is the short video APP with the largest number of users in China. ObjectiveThis study aimed to evaluate the quality and reliability of short videos about cosmetic surgery on Douyin. MethodsIn August 2022, we retrieved and screened 300 short videos related to cosmetic surgery from Douyin, extracted basic video information, encoded the content and identified the video source. The quality and reliability of short video information were evaluated using the DISCERN instrument. ResultsA total of 168 short videos of cosmetic surgery were included in the survey, and the video sources included personal accounts and institutional accounts. Overall, the total proportion of institutional accounts (47/168, 27.98%) is significantly less than that of personal accounts (121/168, 72.02%); nonhealth professionals received the most praises, comments and even collections and reposts, while for-profit academic organizations or institutions received the least. The DISCERN scores of 168 short videos of cosmetic surgery were 3.74-4.58 (average 4.22). Content reliability (p = .04) and overall short video quality (p = .02) are significantly different, but short videos published from different sources have no significant difference in treatment selection (p = .052). ConclusionThe overall information quality and reliability of short videos about cosmetic surgery on Douyin are satisfactory in China. Patient or Public ContributionThe participants were involved in developing research questions, study design, management and conduct, interpretation of evidence and dissemination.</t>
  </si>
  <si>
    <t>[Zhang, Jianfei; Han, Pengpeng; Tang, Yujun; Xi, Wenwen; Xiao, Xia; Yang, Feng] Univ South China, Affiliated Hosp 2, Hengyang Med Sch, Burn &amp; Plast Surg Dept, 35 Jiefang Av, Hengyang 421000, Hunan, Peoples R China</t>
  </si>
  <si>
    <t>University of South China</t>
  </si>
  <si>
    <t>Yang, F (corresponding author), Univ South China, Affiliated Hosp 2, Hengyang Med Sch, Burn &amp; Plast Surg Dept, 35 Jiefang Av, Hengyang 421000, Hunan, Peoples R China.</t>
  </si>
  <si>
    <t>yangf@fsyy.usc.edu.cn</t>
  </si>
  <si>
    <t>Zhang, Jianfei/0000-0001-8972-6454</t>
  </si>
  <si>
    <t>Education Department of Hunan Province [22C0201]</t>
  </si>
  <si>
    <t>Education Department of Hunan Province</t>
  </si>
  <si>
    <t>ACKNOWLEDGEMENTS This study was funded by the Education Department of Hunan Province 22C0201.</t>
  </si>
  <si>
    <t>1369-6513</t>
  </si>
  <si>
    <t>1369-7625</t>
  </si>
  <si>
    <t>HEALTH EXPECT</t>
  </si>
  <si>
    <t>Health Expect.</t>
  </si>
  <si>
    <t>10.1111/hex.13737</t>
  </si>
  <si>
    <t>Health Care Sciences &amp; Services; Health Policy &amp; Services; Public, Environmental &amp; Occupational Health</t>
  </si>
  <si>
    <t>E6AV0</t>
  </si>
  <si>
    <t>WOS:000937618900001</t>
  </si>
  <si>
    <t>Chen, R; Yan, HL</t>
  </si>
  <si>
    <t>Chen, Rui; Yan, Haolan</t>
  </si>
  <si>
    <t>UGC's self-deprecation humor and sustainable brand support attitude on social media: expansion of the perspective of affective events theory</t>
  </si>
  <si>
    <t>User generated content; self-deprecating humorous; sustainable brand support attitude; affective events theory; intergroup emotions theory; digital media platform</t>
  </si>
  <si>
    <t>EMOTIONAL CONTAGION; CELEBRITY ENDORSEMENTS; INDIVIDUAL-DIFFERENCES; GROUP IDENTIFICATION; DISTINCT ASPECTS; GROUP-LEVEL; SERVICE; MODEL; CONSEQUENCES; ENGAGEMENT</t>
  </si>
  <si>
    <t>Utilising User Generated Content (UGC) on social media platforms like TikTok and Facebook can establish genuine connections between content creators and their audience. However, managing and maintaining long-term brand development remains a significant challenge. Research on the mechanisms behind sustainable brand support attitudes towards UGC is limited. This paper explores whether a self-deprecating style of humour affects audiences' sustained brand support attitudes towards social media content creators. Theoretically, this study combines Affective Events Theory (AET) and Intergroup Emotion Theory (IET) to explore how individual attitudes extend to group reactions and the sustainability of personal brands. It aims to thoroughly investigate, in the context of social media, the cognitive and emotional changes in individuals towards themselves and their groups under the stimulus of UGC self-deprecating humour, as well as the process of forming sustainable brand support attitudes. Methodologically, this study employs a covariance-based structural equation model to establish the path mechanism of self-deprecating humour expression on sustainable brand support attitudes at both individual psychology and group attitude levels. Additionally, it analyzes the limitations of self-deprecating humour in UGC, considering users with varying levels of need for cognition. Lastly, the paper discusses the theoretical contributions and practical implications of this study.</t>
  </si>
  <si>
    <t>[Chen, Rui] Xihua Univ, Sch Literature &amp; Journalism, Chengdu, Peoples R China; [Chen, Rui; Yan, Haolan] Xihua Univ, Res Inst Int Econ &amp; Management, Chengdu 610039, Peoples R China</t>
  </si>
  <si>
    <t>Xihua University; Xihua University</t>
  </si>
  <si>
    <t>Yan, HL (corresponding author), Xihua Univ, Res Inst Int Econ &amp; Management, Chengdu 610039, Peoples R China.</t>
  </si>
  <si>
    <t>502308064@139.com</t>
  </si>
  <si>
    <t>Yan, Haolan/0009-0006-7768-107X</t>
  </si>
  <si>
    <t>National Natural Science Foundation of China (NSFC); Mechanism and Mode of Digital Content Production with the Participation of AIGC [72374171]</t>
  </si>
  <si>
    <t>National Natural Science Foundation of China (NSFC)(National Natural Science Foundation of China (NSFC)); Mechanism and Mode of Digital Content Production with the Participation of AIGC</t>
  </si>
  <si>
    <t>This work was supported by the National Natural Science Foundation of China (NSFC): Research on the Value Co-creation Mechanism and Mode of Digital Content Production with the Participation of AIGC (72374171).</t>
  </si>
  <si>
    <t>2024 JUN 1</t>
  </si>
  <si>
    <t>10.1080/0144929X.2024.2361349</t>
  </si>
  <si>
    <t>SZ0D4</t>
  </si>
  <si>
    <t>WOS:001238145700001</t>
  </si>
  <si>
    <t>Ye, XL; Gan, J; Liu, Y; Li, ZQ; Liao, AM; Li, JZ; Li, YT; Wu, SM; Zhang, YF; Li, Y; Zhao, LZ; Wang, P; Huang, Y; Ai, LL; Zhang, Y; Tan, WL</t>
  </si>
  <si>
    <t>Ye, Xiao-Lei; Gan, Jun; Liu, Yue; Li, Zhi-Qin; Liao, Ai-Miao; Li, Jun-Zheng; Li, Yong-Ting; Wu, Song-Mao; Zhang, Yi-Fan; Li, Yue; Zhao, Li-Zhi; Wang, Ping; Huang, Yan; Ai, Lele; Zhang, Ying; Tan, Wei-Long</t>
  </si>
  <si>
    <t>A quick online cross-sectional study of knowledge, attitude, practice, and information media toward the Omicron pandemic in China</t>
  </si>
  <si>
    <t>Online; Knowledge; Attitude; Practices; COVID-19; Media</t>
  </si>
  <si>
    <t>LABORATORY-CONFIRMED COVID-19-COVID-NET; 14 STATES</t>
  </si>
  <si>
    <t>BackgroundThe knowledge, attitudes, and practices (KAP) toward the COVID-19 and popular information media of the public is unclear in the late pandemic. The objective of this study was to evaluate the Chinese residents' KAP and its influencing factors related to preventive practices, to inquiry the effective media.MethodsA quick cross-sectional online survey was conducted in China in November 2022 via a self-designed questionnaire mainly through WeChat application for 2 weeks.ResultsThe data of 1469 valid participants were analyzed. Most respondents have a relatively comprehensive knowledge, positive attitude, and good practice about COVID-19. The results show that the age, education background, monthly income, occupation, knowledge, and attitude toward COVID-19 were related to one's preventive practice. As to media for effective epidemic prevention and control information, the proportion of new media such as WeChat, Tiktok, etc., is rising among residents, but learning from TV or the community are still major ways for older respondents.ConclusionThese results suggested that we should still enhance the publicity of prevention knowledge toward COVID-19 through different media for different crowds, so as to facilitate a smooth transition in the late Omicron pandemic. Our study supplemented the Chinese residents' KAP of personal prevention in the later period of the pandemic, providing more accurate information for subsequent policy formulation and implementation.</t>
  </si>
  <si>
    <t>[Ye, Xiao-Lei; Gan, Jun; Liu, Yue; Li, Zhi-Qin; Liao, Ai-Miao; Li, Jun-Zheng; Li, Yong-Ting; Wu, Song-Mao; Zhao, Li-Zhi] Ctr Dis Control &amp; Prevent Western Theater Command, Lanzhou 730030, Peoples R China; [Zhang, Yi-Fan] 940th Hosp Joint Logist Support Force Chinese Peop, Dept Stomatol, Lanzhou 730030, Peoples R China; [Li, Yue] 92196 Mil Hosp Peoples Liberat Army Navy, Qingdao 266000, Peoples R China; [Wang, Ping] Baiyin Cent Hosp, Baiyin 730900, Peoples R China; [Huang, Yan] Southwest Jiaotong Univ, Peoples Hosp Chengdu 3, Affiliated Hosp, Chengdu 610000, Peoples R China; [Ai, Lele; Tan, Wei-Long] Nanjing Bioengn Gene Technol Ctr Med, Zhongshan East Rd 293, Nanjing 210002, Peoples R China; [Zhang, Ying] Xian Jiaotong Univ Shaanxi Prov, Affiliated Hosp 1, Xian 710000, Peoples R China</t>
  </si>
  <si>
    <t>Southwest Jiaotong University</t>
  </si>
  <si>
    <t>Ye, XL (corresponding author), Ctr Dis Control &amp; Prevent Western Theater Command, Lanzhou 730030, Peoples R China.;Tan, WL (corresponding author), Nanjing Bioengn Gene Technol Ctr Med, Zhongshan East Rd 293, Nanjing 210002, Peoples R China.;Zhang, Y (corresponding author), Xian Jiaotong Univ Shaanxi Prov, Affiliated Hosp 1, Xian 710000, Peoples R China.</t>
  </si>
  <si>
    <t>1016751991@qq.com; 17629015863@163.com; njcdc@163.com</t>
  </si>
  <si>
    <t>wang, xicheng/IXX-0974-2023; Liu, Zhe/KEJ-5299-2024; Xiaolei, Ye/KPB-2853-2024; tan, weilong/AAH-5009-2020; Li, zhiqin/AAB-8285-2022; Wang, Ping/HPF-8647-2023; XIE, WANYING/JNR-9259-2023; luo, lin/HDO-0510-2022</t>
  </si>
  <si>
    <t>Ye, XiaoLei/0000-0002-7978-8157</t>
  </si>
  <si>
    <t>10.1007/s10389-023-01979-1</t>
  </si>
  <si>
    <t>M6Y0X</t>
  </si>
  <si>
    <t>WOS:001011968100001</t>
  </si>
  <si>
    <t>Castillo-Esparcia, A; Caro-Castaño, L; Almansa-Martínez, A</t>
  </si>
  <si>
    <t>Castillo-Esparcia, Antonio; Caro-Castano, Lucia; Almansa-Martinez, Ana</t>
  </si>
  <si>
    <t>Evolution of digital activism on social media: opportunities and challenges</t>
  </si>
  <si>
    <t>Digital activism; Social networking sites; Social media; Affordances; Affective publics; Influencers; Virality; Datafication; Connective action; Data activism; Interest groups; Hacktivism; Clicktivism; Slacktivism; Playful activism</t>
  </si>
  <si>
    <t>HASHTAG ACTIVISM; ONLINE ACTIVISM; NUMBER; PARTICIPATION; MOBILIZATION; VISIBILITY; INTERNET; POLITICS; FEMINIST; INTERACTIVITY</t>
  </si>
  <si>
    <t>The social media revolution has affected all areas, including activism. However, there is scepticism about its emancipatory capacity, and it is considered by some to be a distorted form of activism. This article presents a review of the existing literature on digital activism, starting with the concept itself, and examines its impact on the organisation of activists and citizen participation. Likewise, based on the platformisation of these spaces and the evolution of their affordances, we observe a growth in individual, strategic and low-commitment participation, the accentuation of the role of emotions in media that promote virality, and the assumption of playful forms of politainment by activists -especially on TikTok-. On the other hand, the strategies carried out by organisations to promote activism in relation to their causes are investigated, such as the generation of arguments provided by the interest group and the involvement in an action of dissemination, co-creation and replication of activists. Finally, the main challenges of digital activism are indicated: the growing inequality in terms of access to algorithmic visibility between activists and brands, influencers and interest groups; the desirability of complementing playful activism with work in alternative digital media that allows for more stable forms of collaboration; and the need to protect activists against the growth of hate speech on these platforms.</t>
  </si>
  <si>
    <t>[Castillo-Esparcia, Antonio; Almansa-Martinez, Ana] Univ Malaga, Fac Ciencias Comunicac, Leon Tolstoi S-N, Malaga 29010, Spain; [Caro-Castano, Lucia] Univ Cadiz, Fac Ciencias Sociales &amp; Comunicac, Ave Univ,S-N, Jerez de la Frontera 11406, Cadiz, Spain</t>
  </si>
  <si>
    <t>Universidad de Malaga; Universidad de Cadiz</t>
  </si>
  <si>
    <t>Castillo-Esparcia, A (corresponding author), Univ Malaga, Fac Ciencias Comunicac, Leon Tolstoi S-N, Malaga 29010, Spain.</t>
  </si>
  <si>
    <t>acastilloe@uma.es; lucia.caro@uca.es; anaalmansa@uma.es</t>
  </si>
  <si>
    <t>Caro-Castaño, Lucía/AFL-2376-2022; Almansa-Martinez, Ana/F-8339-2016</t>
  </si>
  <si>
    <t>Caro-Castano, Lucia/0000-0003-2720-1534; Almansa-Martinez, Ana/0000-0003-0256-6369</t>
  </si>
  <si>
    <t>Ministry of Science and Innovation of Spain National R+D+I Program, 2020 [PID2020-118584RB-I00]</t>
  </si>
  <si>
    <t>Ministry of Science and Innovation of Spain National R+D+I Program, 2020</t>
  </si>
  <si>
    <t>This study is a result of the project Lobbying and communication in the European Union. Analysis of their communication strategies, funded by the Ministry of Science and Innovation of Spain National R+D+I Program, 2020. Project code: PID2020-118584RB-I00.</t>
  </si>
  <si>
    <t>e320303</t>
  </si>
  <si>
    <t>10.3145/epi.2023.may.03</t>
  </si>
  <si>
    <t>WOS:001074871700001</t>
  </si>
  <si>
    <t>Domingue, JL; Lauzier, K; Foth, T</t>
  </si>
  <si>
    <t>Domingue, Jean-Laurent; Lauzier, Kim; Foth, Thomas</t>
  </si>
  <si>
    <t>Quiet quitting: Obedience a minima as a form of nursing resistance</t>
  </si>
  <si>
    <t>NURSING PHILOSOPHY</t>
  </si>
  <si>
    <t>ethical resistance; nursing; obedience; quiet quitting; resistance; surplus obedience</t>
  </si>
  <si>
    <t>MORAL DISTRESS; STRATEGIES; POLICY</t>
  </si>
  <si>
    <t>In this article, we provide a philosophical and ethical reflection about quiet quitting as a tool of political resistance for nurses. Quiet quitting is a trend that gained traction on TikTok in July 2022 and emerged as a method of resistance among employees facing increasing demands from their workplaces at the detriment of their personal lives. It is characterised by employees refraining from exceeding the basic requirements outlined in their job descriptions. To understand why quiet quitting can be a tool of resistance useful for nurses, we first draw on Fr &amp; eacute;d &amp; eacute;ric Gros' concept of 'surplus obedience' and Michael Lipsky's notion of 'routines and simplification strategies' to highlight the ethical implications associated with nurses engaging in and sustaining harmful systems, such as the neoliberal healthcare system. Leaning again on Gros, we then propose that 'obedience a minima', a concept akin to quiet quitting, can serve as a method of ethical nursing resistance. After describing what the concept entails, we provide a discussion emphasising the potential of obedience a minima as a one method, among many, that can be leveraged by nurses to challenge and resist a system that prioritises financial considerations over patient wellbeing. The article concludes by reflecting on the ethical nature of resistance in the context of nursing, that is the act of obeying oneself and refraining from participating in systems that are detrimental to the lives of Others.</t>
  </si>
  <si>
    <t>[Domingue, Jean-Laurent; Foth, Thomas] Univ Ottawa, Sch Nursing, 200 Lees Ave, Ottawa, ON K1S 5S9, Canada; [Lauzier, Kim] Sault Coll Appl Arts &amp; Technol, Sci Nursing, Sault Ste Marie, ON, Canada</t>
  </si>
  <si>
    <t>Domingue, JL (corresponding author), Univ Ottawa, Sch Nursing, 200 Lees Ave, Ottawa, ON K1S 5S9, Canada.</t>
  </si>
  <si>
    <t>jdoming2@uottawa.ca</t>
  </si>
  <si>
    <t>Foth, Thomas/0000-0001-7251-9774</t>
  </si>
  <si>
    <t>1466-7681</t>
  </si>
  <si>
    <t>1466-769X</t>
  </si>
  <si>
    <t>NURS PHILOS</t>
  </si>
  <si>
    <t>Nurs. Philos.</t>
  </si>
  <si>
    <t>e12493</t>
  </si>
  <si>
    <t>10.1111/nup.12493</t>
  </si>
  <si>
    <t>ZF2F4</t>
  </si>
  <si>
    <t>WOS:001273809000001</t>
  </si>
  <si>
    <t>Mukhongo, LL; Mwaura, J; Omwoha, J</t>
  </si>
  <si>
    <t>Mukhongo, L. Lusike; Mwaura, Job; Omwoha, Joyce</t>
  </si>
  <si>
    <t>Reconceptualising Media Ownership and Shifting Power Relations in an Emerging Digital Media Framework</t>
  </si>
  <si>
    <t>AFRICAN STUDIES</t>
  </si>
  <si>
    <t>media ownership; pluralism; alternative media; shifting power relations; media binaries; user-generated content</t>
  </si>
  <si>
    <t>This article discusses media ownership and shifting power dynamics of critical political economy within a digital media framework. It questions the term media ownership and calls for reconceptualisation of the term in an era where media ranges from old media (television, radio, and newspapers), social media platforms (Facebook, Twitter, YouTube, WhatsApp, TikTok), interactive webpages and blogs to podcasts and streaming services. A case for the argument of shifting power relations in media ownership is the recognition that the concept of media and the regulations for media ownership were first drafted in many countries when digital media and mobile technologies as we know them today had not emerged. Today, independent digital media, social media platforms and mobile app technologies are a critical 'alternative' news source. Therefore, the questions guiding this article are: How do we conceptualise media ownership in an increasingly mediated environment? To what extent has digital media contributed to shifting power dynamics in the media landscape in Kenya? With social media increasingly shifting from 'alternative' to 'mainstream' sources of news consumption, social media platforms such as Twitter and Facebook have not only become sources of breaking news but also become spaces for diverse voices and content. The article will focus on independent and alternative media ownership and shifting power relations within an emerging digital media framework in Kenya driven by user-generated content and repositioning users not only as media creators but also as media owners.</t>
  </si>
  <si>
    <t>[Mukhongo, L. Lusike] Western Michigan Univ, Kalamazoo, MI 49008 USA; [Mwaura, Job] Univ Witwatersrand, Johannesburg, South Africa; [Omwoha, Joyce] Tech Univ Kenya, Dept Tech &amp; Appl Biol, Nairobi, Kenya</t>
  </si>
  <si>
    <t>Western Michigan University; University of Witwatersrand; Technical University of Kenya</t>
  </si>
  <si>
    <t>Mukhongo, LL (corresponding author), Western Michigan Univ, Kalamazoo, MI 49008 USA.</t>
  </si>
  <si>
    <t>lynete.mukhongo@wmich.edu</t>
  </si>
  <si>
    <t>Mwaura, Job/HPE-1002-2023</t>
  </si>
  <si>
    <t>Mukhongo, L. Lusike/0000-0002-3454-3893; Mwaura, Job/0000-0002-1072-6425</t>
  </si>
  <si>
    <t>0002-0184</t>
  </si>
  <si>
    <t>1469-2872</t>
  </si>
  <si>
    <t>AFR STUD-UK</t>
  </si>
  <si>
    <t>Afr. Stud.</t>
  </si>
  <si>
    <t>10.1080/00020184.2024.2304199</t>
  </si>
  <si>
    <t>LI0O1</t>
  </si>
  <si>
    <t>WOS:001169284800001</t>
  </si>
  <si>
    <t>Shen, H; Tu, LL; Guo, YF; Chen, J</t>
  </si>
  <si>
    <t>Shen, Han; Tu, Lilan; Guo, Yifei; Chen, Juan</t>
  </si>
  <si>
    <t>The influence of cross-platform and spread sources on emotional information spreading in the 2E-SIR two-layer network</t>
  </si>
  <si>
    <t>CHAOS SOLITONS &amp; FRACTALS</t>
  </si>
  <si>
    <t>2E-SIR network; Cross-platform and spread sources; Cumulative posting quantity; Emotional basic regeneration number; Emotional entropy</t>
  </si>
  <si>
    <t>MODEL; NEWS</t>
  </si>
  <si>
    <t>To explore the influence of cross-platform and spread sources on emotional information spreading, in this paper, a novel two-layer emotion-based susceptible-infected-recovered network (2E-SIR) is proposed and the state equations for emotional information spreading are constructed. Then, to verify the feasibility and effectiveness of the 2E-SIR network and the state equations, taking the negative and positive events on Sina Weibo and TikTok as examples and using two spread sources which are official media (OM) and key opinion leaders (KOL), we have the following conclusions. (1) Users are more willing to spread emotional information similar to the original events', especially those posted by KOL. (2) The cumulative posting quantities simulated of all the emotional information almost always are consistent with their real data. (3) The outburst rate of positive emotional information, especially posted by OM, is faster than the negative's. (4) Negative emotional information is more likely to trigger the emotional chaos. Further, parameter sensitivity analysis shows that the cumulative posting quantity on each platform is mainly affected by its own internal parameters. The more initially susceptible people, the more serious the chaos generated by the original information. In addition, increasing the average user circulation probability on the 2E-SIR network will slow down the outbreak rate of emotional information, and enhance the degree of emotion chaos.</t>
  </si>
  <si>
    <t>[Shen, Han; Tu, Lilan; Guo, Yifei; Chen, Juan] Wuhan Univ Sci &amp; Technol, Hubei Prov Key Lab Syst Sci Met Proc, Wuhan 430065, Peoples R China; [Shen, Han; Tu, Lilan; Guo, Yifei; Chen, Juan] Wuhan Univ Sci &amp; Technol, Coll Sci, Wuhan 430065, Peoples R China</t>
  </si>
  <si>
    <t>Wuhan University of Science &amp; Technology; Wuhan University of Science &amp; Technology</t>
  </si>
  <si>
    <t>Tu, LL (corresponding author), Wuhan Univ Sci &amp; Technol, Hubei Prov Key Lab Syst Sci Met Proc, Wuhan 430065, Peoples R China.;Tu, LL (corresponding author), Wuhan Univ Sci &amp; Technol, Coll Sci, Wuhan 430065, Peoples R China.</t>
  </si>
  <si>
    <t>tulilan@wust.edu.cn</t>
  </si>
  <si>
    <t>Shen, Han/0000-0001-9761-839X</t>
  </si>
  <si>
    <t>National Natural Science Founda-tion of China; Hubei Province Key Laboratory of Systems Science in Metallurgical Process (Wuhan University of Science and Technology); [72031009]; [61473338]; [Z201902]</t>
  </si>
  <si>
    <t>National Natural Science Founda-tion of China(National Natural Science Foundation of China (NSFC)); Hubei Province Key Laboratory of Systems Science in Metallurgical Process (Wuhan University of Science and Technology); ; ;</t>
  </si>
  <si>
    <t>Acknowledgements This work is supported by the National Natural Science Founda-tion of China under Grant 72031009, 61473338, and Hubei Province Key Laboratory of Systems Science in Metallurgical Process (Wuhan University of Science and Technology under Grant Z201902) .</t>
  </si>
  <si>
    <t>0960-0779</t>
  </si>
  <si>
    <t>1873-2887</t>
  </si>
  <si>
    <t>CHAOS SOLITON FRACT</t>
  </si>
  <si>
    <t>Chaos Solitons Fractals</t>
  </si>
  <si>
    <t>10.1016/j.chaos.2022.112801</t>
  </si>
  <si>
    <t>Mathematics, Interdisciplinary Applications; Physics, Multidisciplinary; Physics, Mathematical</t>
  </si>
  <si>
    <t>Mathematics; Physics</t>
  </si>
  <si>
    <t>5V8TO</t>
  </si>
  <si>
    <t>WOS:000877497600001</t>
  </si>
  <si>
    <t>Bai, XJ; Zhou, YH; Lv, X; Li, JY; Wang, L; Gao, XM</t>
  </si>
  <si>
    <t>Bai, Xujia; Zhou, Yuhong; Lv, Xin; Li, Jiayu; Wang, Ling; Gao, Xuemei</t>
  </si>
  <si>
    <t>Clarifying the relationship between insecure attachment and problematic social media use across platforms: a network analysis</t>
  </si>
  <si>
    <t>SOCIAL PSYCHIATRY AND PSYCHIATRIC EPIDEMIOLOGY</t>
  </si>
  <si>
    <t>Insecure attachment; Motives; Negative emotions; Network analysis; Problematic social media use</t>
  </si>
  <si>
    <t>FACEBOOK; SATISFACTION; ADDICTION; ANXIETY; STYLES; SITES; MODEL; NEED</t>
  </si>
  <si>
    <t>BackgroundDespite evidence suggesting that insecure attachment is a significant risk factor for Problematic Social Media Use (PSMU), there remains a lack of comprehensive studies exploring this relationship, and a unified understanding of its role has yet to be established.MethodsWe employed network analysis to construct an integrated model for examining the complex interrelations between negative emotions, trait and state attachment, motives, and PSMU across three platforms (i.e., WeChat, Sina Weibo, and TikTok), as well as for identifying potential mediating variables between attachment and PSMU. Data were collected from 685 young adults via online self-reported questionnaires.ResultsWe found that negative emotions are positively correlated with insecure trait and state attachment but have a negligible direct relationship with PSMU. The conformity motive and state attachment security emerged as important central nodes when measured by strength, closeness, and betweenness. Moreover, attachment states and motives were found to be clustered. Such strong interrelationships were also evident between insecure attachment and PSMU, while trait attachment anxiety and avoidance were observed to be related to PSMU across various platforms.ConclusionsOur findings promote a deeper understanding of the relationship between insecure attachment and PSMU from a cross-platform perspective and offer novel insights into the mechanisms underlying their co-occurrence, which may guide the development of effective interventions for healthier social media engagement.</t>
  </si>
  <si>
    <t>[Bai, Xujia; Zhou, Yuhong; Lv, Xin; Li, Jiayu] Southwest Univ, Fac Psychol, Chongqing, Peoples R China; [Bai, Xujia; Zhou, Yuhong; Lv, Xin; Li, Jiayu] Southwest Univ, Minist Educ, Key Lab Cognit &amp; Personal, Chongqing, Peoples R China; [Gao, Xuemei] Southwest Jiaotong Univ, Psychol Res &amp; Consultat Ctr, Chengdu, Peoples R China; [Wang, Ling] Chongqing Vocat Inst Engn, Sch Gen Educ, Chongqing, Peoples R China</t>
  </si>
  <si>
    <t>Southwest University - China; Southwest University - China; Southwest Jiaotong University; Chongqing Vocational Institute of Engineering</t>
  </si>
  <si>
    <t>Gao, XM (corresponding author), Southwest Jiaotong Univ, Psychol Res &amp; Consultat Ctr, Chengdu, Peoples R China.</t>
  </si>
  <si>
    <t>zhenggao@swu.edu.cn</t>
  </si>
  <si>
    <t>bai, xujia/AAS-5302-2020; Gao, Xuemei/KXS-9538-2024; li, jiayu/LJL-4239-2024</t>
  </si>
  <si>
    <t>Li, Jiayu/0000-0001-8693-5525</t>
  </si>
  <si>
    <t>We are grateful to all participants for their valuable contributions to this research.</t>
  </si>
  <si>
    <t>0933-7954</t>
  </si>
  <si>
    <t>1433-9285</t>
  </si>
  <si>
    <t>SOC PSYCH PSYCH EPID</t>
  </si>
  <si>
    <t>Soc. Psychiatry Psychiatr. Epidemiol.</t>
  </si>
  <si>
    <t>10.1007/s00127-024-02756-5</t>
  </si>
  <si>
    <t>E9P1Z</t>
  </si>
  <si>
    <t>WOS:001306238000002</t>
  </si>
  <si>
    <t>Zhou, H; Sun, T; Zhu, KG; Li, J; Ito, N</t>
  </si>
  <si>
    <t>Zhou, Han; Sun, Tao; Zhu, Kaige; Li, Jiao; Ito, Naoya</t>
  </si>
  <si>
    <t>'Are ad endorsements really annoying?' The impact of advertising in short-form tourism videos on tourists' information processing</t>
  </si>
  <si>
    <t>Short-form tourism video; Online destination marketing; Information processing fluency; Mental imagery; Advertising intrusiveness</t>
  </si>
  <si>
    <t>MENTAL-IMAGERY; CONSUMER RESPONSES; EXPERIENCE; STRATEGIES; FLUENCY; TIKTOK</t>
  </si>
  <si>
    <t>Short-form tourism videos show high effectiveness in online destination marketing. However, some disruptive factors (i.e. embedded endorsement advertisements) diminish their marketing effectiveness by burdening the viewer's cognitive processing and breaking one's online interactive experience with the original tourism-related content in the video. Using a between-subjects online experimental design and 354 valid data from short-form video users, this study explored the effect of interruption by advertisements on the cognitive experience evoked by information stimuli from the perspective of information processing. This study also assessed the difference in short-form tourism video information processing between disturbed and undisturbed situations. In general, results revealed that the formation of destination-related mental imagery in short-form tourism videos is influenced by information processing fluency, and co-predicted both the attitudes and behavioural intentions of travel consumers. Meanwhile, the presence of advertising information in short-form videos notably obstructed users' information processing fluency as well as the formation of mental imagery, and it also attenuated their destination visit intentions. This study provides a theoretical basis for the moderate interpretation of endorsement advertisements in short-form tourism videos and sheds light on insights related to tourism marketing strategies for short-form tourism videos for relevant practising practitioners.</t>
  </si>
  <si>
    <t>[Zhou, Han; Zhu, Kaige; Li, Jiao] Hokkaido Univ, Grad Sch Int Media Commun &amp; Tourism Studies, Sapporo, Japan; [Sun, Tao] Toyo Univ, Fac Int Tourism Management, Tokyo, Japan; [Ito, Naoya] Hokkaido Univ, Res Fac Media &amp; Commun, Sapporo, Japan</t>
  </si>
  <si>
    <t>Hokkaido University; Toyo University; Hokkaido University</t>
  </si>
  <si>
    <t>Sun, T (corresponding author), Toyo Univ, Fac Int Tourism Management, Tokyo, Japan.</t>
  </si>
  <si>
    <t>suntaosontou@gmail.com</t>
  </si>
  <si>
    <t>Zhou, Han/KCL-5529-2024; Zhu, Kaige/CAH-8339-2022</t>
  </si>
  <si>
    <t>Zhu, Kaige/0000-0002-4645-3633; Li, Jiao/0000-0002-2183-4691; Zhou, Han/0000-0002-8214-9663</t>
  </si>
  <si>
    <t>JST SPRING [JPMJSP2119]</t>
  </si>
  <si>
    <t>JST SPRING</t>
  </si>
  <si>
    <t>This work was supported by JST SPRING [grant number JPMJSP2119].</t>
  </si>
  <si>
    <t>10.1080/13683500.2024.2371029</t>
  </si>
  <si>
    <t>XF0Z5</t>
  </si>
  <si>
    <t>WOS:001260164100001</t>
  </si>
  <si>
    <t>Bawazeer, NM; Almalki, S; Alanazi, R; Alamri, R; Alanzi, R; Alhanaya, R; Alhashem, A; Aldahash, R</t>
  </si>
  <si>
    <t>Bawazeer, Nahla M.; Almalki, Sara; Alanazi, Ruba; Alamri, Rimaz; Alanzi, Rana; Alhanaya, Raghad; Alhashem, Anwar; Aldahash, Rehab</t>
  </si>
  <si>
    <t>Examining the Association between Social Media Use and Dietary Habits among College Students in Riyadh, Saudi Arabia</t>
  </si>
  <si>
    <t>Social media use; Dietary habits; College students; Nutrition; Metabolic syndrome</t>
  </si>
  <si>
    <t>Food culture plays a vital role in societal dynamics, with various factors influencing dietary choices beyond hunger. Among these factors are external eating, triggered by environmental cues, and emotional eating, which are common stress-coping mechanisms among college students. Social media has a significant impact on nutrition by providing access to food-related content, which can lead to restrictive diets or unhealthy eating habits. High social media engagement is associated with an increased risk of chronic diet-related conditions such as metabolic syndrome. This study investigated the association between social media use and dietary habits among college students in Riyadh, Saudi Arabia. The cross-sectional study surveyed 401 participants online. The findings revealed that 74.6% of participants were women, with a mean age of 20.75 years. A significant portion (51.9%) reported spending over four hours daily on social media, with TikTok, Instagram, and YouTube being the primary sources of nutritional information. Statistical analysis indicated significant differences in dietary scores related to having children, medical conditions, and social media usage time. This study highlights the negative impact of extensive social media use on dietary habits and suggests the need for targeted public health interventions. Recommendations include promoting reliable nutrition-related content on social media, offering affordable healthy food options on campuses, and conducting further research to establish causality between social media use and dietary habits.</t>
  </si>
  <si>
    <t>[Bawazeer, Nahla M.; Almalki, Sara; Alanazi, Ruba; Alamri, Rimaz; Alanzi, Rana; Alhanaya, Raghad; Alhashem, Anwar; Aldahash, Rehab] Princess Nourah bint Abdulrahman Univ, Coll Hlth &amp; Rehabil Sci, Dept Hlth Sci, POB 84428, Riyadh 11671, Saudi Arabia</t>
  </si>
  <si>
    <t>Princess Nourah bint Abdulrahman University</t>
  </si>
  <si>
    <t>Aldahash, R (corresponding author), Princess Nourah bint Abdulrahman Univ, Coll Hlth &amp; Rehabil Sci, Dept Hlth Sci, POB 84428, Riyadh 11671, Saudi Arabia.</t>
  </si>
  <si>
    <t>raaldahash@pnu.edu.sa</t>
  </si>
  <si>
    <t>BAWAZEER, NAHLA/HHR-9891-2022</t>
  </si>
  <si>
    <t>Bawazeer, Nahla Mohammed/0000-0001-5087-7802</t>
  </si>
  <si>
    <t>Princess Nourah bint Abdulrahman University Researchers Supporting Project [PNURSP2024R369]; Princess Nourah bint Abdulrahman University Researchers Supporting Project; Princess Nourah bint Abdulrahman University, Riyadh, Saudi Arabia</t>
  </si>
  <si>
    <t>Princess Nourah bint Abdulrahman University Researchers Supporting Project(Princess Nourah bint Abdulrahman University); Princess Nourah bint Abdulrahman University Researchers Supporting Project(Princess Nourah bint Abdulrahman University); Princess Nourah bint Abdulrahman University, Riyadh, Saudi Arabia(Princess Nourah bint Abdulrahman University)</t>
  </si>
  <si>
    <t>We thank all the individuals who contributed to the study. This study was supported by the Princess Nourah bint Abdulrahman University Researchers Supporting Project (project number: PNURSP2024R369), Princess Nourah bint Abdulrahman University, Riyadh, Saudi Arabia.</t>
  </si>
  <si>
    <t>10.1007/s10900-024-01414-w</t>
  </si>
  <si>
    <t>J3Q8M</t>
  </si>
  <si>
    <t>WOS:001336250600003</t>
  </si>
  <si>
    <t>Wang, JP; Chen, B; Liao, DL; Zeng, ZY; Li, GF; Xia, ST; Xu, J</t>
  </si>
  <si>
    <t>Wang, Jinpeng; Chen, Bin; Liao, Dongliang; Zeng, Ziyun; Li, Gongfu; Xia, Shu-Tao; Xu, Jin</t>
  </si>
  <si>
    <t>Hybrid Contrastive Quantization for Efficient Cross-View Video Retrieval</t>
  </si>
  <si>
    <t>Assoc Comp Machinery,ACM SIGWEB,LIRIS,Univ Lyon,Inst Natl Sci Appliquees,Eurecom,Int World Wide Web Conf Comm</t>
  </si>
  <si>
    <t>cross-view video retrieval; learning to hash; deep quantization; index compression; contrastive learning</t>
  </si>
  <si>
    <t>PRODUCT QUANTIZATION; IMAGE</t>
  </si>
  <si>
    <t>With the recent boom of video-based social platforms (e.g., YouTube and TikTok), video retrieval using sentence queries has become an important demand and attracts increasing research attention. Despite the decent performance, existing text-video retrieval models in vision and language communities are impractical for large-scale Web search because they adopt brute-force search based on highdimensional embeddings. To improve efficiency, Web search engines widely apply vector compression libraries ( e.g., FAISS [26]) to post-process the learned embeddings. Unfortunately, separate compression from feature encoding degrades the robustness of representations and incurs performance decay. To pursue a better balance between performance and efficiency, we propose the first quantized representation learning method for cross-view video retrieval, namelyHybrid Contrastive Quantization (HCQ). Specifically, HCQ learns both coarse-grained and fine-grained quantizations with transformers, which provide complementary understandings for texts and videos and preserve comprehensive semantic information. By performing Asymmetric-Quantized Contrastive Learning (AQCL) across views, HCQ aligns texts and videos at coarse-grained and multiple fine-grained levels. This hybrid-grained learning strategy serves as strong supervision on the cross-view video quantization model, where contrastive learning at different levels can be mutually promoted. Extensive experiments on three Web video benchmark datasets demonstrate that HCQ achieves competitive performance with state-of-the-art non-compressed retrieval methods while showing high efficiency in storage and computation. Code and configurations are available at https://github.com/gimpong/WWW22- HCQ.</t>
  </si>
  <si>
    <t>[Wang, Jinpeng; Zeng, Ziyun; Xia, Shu-Tao] Tsinghua Univ, Tsinghua Shenzhen Int Grad Sch, Beijing, Peoples R China; [Wang, Jinpeng; Zeng, Ziyun; Xia, Shu-Tao] Peng Cheng Lab, Res Ctr Artificial Intelligence, Shenzhen, Peoples R China; [Chen, Bin] Harbin Inst Technol, Shenzhen, Peoples R China; [Liao, Dongliang; Li, Gongfu; Xu, Jin] Tencent Inc, Wechat Grp, Data Qual Team, Shenzhen, Peoples R China</t>
  </si>
  <si>
    <t>Tsinghua University; Tsinghua Shenzhen International Graduate School; Peng Cheng Laboratory; Harbin Institute of Technology; Tencent</t>
  </si>
  <si>
    <t>Chen, B (corresponding author), Harbin Inst Technol, Shenzhen, Peoples R China.;Liao, DL (corresponding author), Tencent Inc, Wechat Grp, Data Qual Team, Shenzhen, Peoples R China.</t>
  </si>
  <si>
    <t>wjp20@mails.tsinghua.edu.cn; chenbin2021@hit.edu.cn; brightliao@tencent.com; zengzy21@mails.tsinghua.edu.cn; gongfuli@tencent.com; xiast@sz.tsinghua.edu.cn; cnjinxu@gmail.com</t>
  </si>
  <si>
    <t>National Natural Science Foundation of China [62171248]; R&amp;D Program of Shenzhen [JCYJ20180508152204044]; PCNL KEY project [PCL2021A07]</t>
  </si>
  <si>
    <t>National Natural Science Foundation of China(National Natural Science Foundation of China (NSFC)); R&amp;D Program of Shenzhen; PCNL KEY project</t>
  </si>
  <si>
    <t>We want to thank the anonymous reviewers and the meta-reviewer for their valuable comments and suggestions. This work is supported in part by the National Natural Science Foundation of China under Grant 62171248, the R&amp;D Program of Shenzhen under Grant JCYJ20180508152204044, and the PCNL KEY project (PCL2021A07).</t>
  </si>
  <si>
    <t>10.1145/3485447.3512022</t>
  </si>
  <si>
    <t>WOS:000852713003010</t>
  </si>
  <si>
    <t>Moubarak, HFA; Afthanorhan, A</t>
  </si>
  <si>
    <t>Moubarak, Hanaa Faize A.; Afthanorhan, Asyraf</t>
  </si>
  <si>
    <t>Risk assessments of virtual interactions on Saudi families</t>
  </si>
  <si>
    <t>INTERNET ADDICTION; ONLINE; WELL</t>
  </si>
  <si>
    <t>Family relationships are the basis for a stable family atmosphere. Now with the internet, which has become a tangible part of our lives, membership of virtual communities, including social networks, has grown. It has created fundamental changes in the structure of social relationships and human interaction, forming a new framework of virtual interactions that transcend international borders. Due to their significance, unavoidability, availability, confidentiality, ease of use, and intrusive nature through interaction and sharing, virtual communities now extend beyond the individual and related level of risk. This study aimed to assess the cultural and behavioral risks of virtual interactions for Saudi families and their level of incidence and likelihood. It belonged to descriptive studies, using the social survey for a sample (1524) from Hail region families between 15 December 2022 and 31 January 2023, and was based on the list of cultural and behavioral risks of virtual interactions. Results showed that the most dangerous social networking sites for Saudi families were TikTok, Twitter, Snapchat, YouTube, and Instagram respectively. Matrix results showed that 66.7% of virtual interaction threats have a high severity and likelihood, namely: adopting atheistic ideas, spreading the thought of hate, undermining the values of the Saudi family, and adopting ideas that incite violence from cultural threats, privacy hacks, cyber-bullying, fraud, violence, social isolation and cybercrime from behavioral threats. The study recommends adopting a social risk management (SRM) concept, especially regarding risks to family, because it is a new dimension of social protection.</t>
  </si>
  <si>
    <t>[Moubarak, Hanaa Faize A.] Univ Hail, Coll Arts, Dept Social Sci, Program Social work, Hail, Saudi Arabia; [Afthanorhan, Asyraf] Univ Sultan Zainal Abidin, Fac Business &amp; Management, Kuala Nerus, Malaysia</t>
  </si>
  <si>
    <t>University Ha'il; Universiti Sultan Zainal Abidin</t>
  </si>
  <si>
    <t>Moubarak, HFA (corresponding author), Univ Hail, Coll Arts, Dept Social Sci, Program Social work, Hail, Saudi Arabia.</t>
  </si>
  <si>
    <t>Hanaafaize@yahoo.com</t>
  </si>
  <si>
    <t>Afthanorhan, Asyraf/AAC-2124-2019; Moubarak, Hanaa/JLL-5874-2023</t>
  </si>
  <si>
    <t>Moubarak, Hanaa Faize A./0000-0002-6221-6347</t>
  </si>
  <si>
    <t>Scientific Research Chair at the University of Ha'il-Saudi Arabia [SCR-22 001]</t>
  </si>
  <si>
    <t>Scientific Research Chair at the University of Ha'il-Saudi Arabia</t>
  </si>
  <si>
    <t>This research has been funded by the Scientific Research Chair at the University of Ha'il-Saudi Arabia through Initial project number SCR-22 001.</t>
  </si>
  <si>
    <t>10.1057/s41599-024-02743-w</t>
  </si>
  <si>
    <t>ID6Q8</t>
  </si>
  <si>
    <t>WOS:001164431800006</t>
  </si>
  <si>
    <t>Purwanto, P; Rahayu, S</t>
  </si>
  <si>
    <t>Purwanto, P.; Rahayu, S.</t>
  </si>
  <si>
    <t>'Sexy yes, obesity no': the role of vloggers in influencing diet food purchase with self-openness moderation</t>
  </si>
  <si>
    <t>Health behaviour similarity; perceived susceptibility-severity; PSI; self-openness; consumers' purchase intention; Kaouther Kooli, Bournemouth University, United Kingdom; Advertising; Consumer Behaviour; Internet/Digital Marketing/e-Marketing; Marketing Communications; Marketing Management; Marketing Research</t>
  </si>
  <si>
    <t>PARASOCIAL RELATIONSHIPS; SOCIAL-INFLUENCE; CELEBRITIES; SIMILARITY; ATTITUDES; ENDORSER; IMPACT; VALUES; ATTRACTIVENESS; IDENTIFICATION</t>
  </si>
  <si>
    <t>This study aims to evaluate the patterns by which vloggers influence consumers' purchase intention for sustainable healthy diet food, to prevent obesity. In this process, a model was developed and validated through a collaboration between the lens of similarity-attraction theory (SAT) and the health belief model (HBM). This emphasized the effect of health behaviour similarity and perceived susceptibility-severity, which increased para-social interaction (PSI) and consumer purchase intention on TikTok social media viewers. Furthermore, the moderating effect of self-openness was examined on health behaviour similarity with PSI and consumers' purchase intention. The role of gender and marital status was also assessed in supporting the relationship between health behaviour similarity (HBS) and PSI. In this case, a total of 438 validated samples were tested using the Covariance-based SEM approach. Based on the results, HBS and perceived susceptibility severity (PSS) were positively related to PSI and consumers' purchase intention. PSI was also positively related to consumers' purchase intention. Additionally, self-openness played a role in moderating the relationship between health behaviour similarity to PSI and purchase intention. These results subsequently considered the effectiveness of digital celebrity support for young people in sustainable healthy diet behaviour, especially married and unmarried women.</t>
  </si>
  <si>
    <t>[Purwanto, P.; Rahayu, S.] Sch Econ Mahardhika, Surabaya, Indonesia</t>
  </si>
  <si>
    <t>Purwanto, P (corresponding author), Sch Econ Mahardhika, Surabaya, Indonesia.</t>
  </si>
  <si>
    <t>cakpo3r@gmail.com</t>
  </si>
  <si>
    <t>Purwanto, Purwanto/AFF-7977-2022</t>
  </si>
  <si>
    <t>PUR, PURWANTO/0000-0003-1514-3090</t>
  </si>
  <si>
    <t>Madika Foundation</t>
  </si>
  <si>
    <t>this work was supported by Madika Foundation.</t>
  </si>
  <si>
    <t>10.1080/23311975.2024.2351095</t>
  </si>
  <si>
    <t>QN5E6</t>
  </si>
  <si>
    <t>WOS:001221556700001</t>
  </si>
  <si>
    <t>Jiang, C; He, L; Xu, SW</t>
  </si>
  <si>
    <t>Jiang, Chong; He, Ling; Xu, Shunwu</t>
  </si>
  <si>
    <t>Relationships among para-social interaction, perceived benefits, community commitment, and customer citizenship behavior: Evidence from a social live-streaming platform</t>
  </si>
  <si>
    <t>Social live-streaming; Value co-creation; Social exchange theory; Para-social interaction; Customer citizenship behavior</t>
  </si>
  <si>
    <t>PARASOCIAL INTERACTION; CO-CREATION; IDENTIFICATION; ENVIRONMENTS; INTENTION; COMMERCE; LOYALTY; TRUST</t>
  </si>
  <si>
    <t>Encouraging online consumers to participate in the value enhancement process of products and stimulating users to engage in spontaneous and voluntary behaviors, the so-called Customer Citizenship Behaviors (CCBs), can significantly contribute to enhancing the competitiveness of online communities. Nowadays, there has been no systematic discussion on enhancing product value through value co-creation. Based on the Social Exchange Theory (SET), and take the current new type of online community, the social live-streaming community, as the research object, this study investigates how Para-social Interaction (PSI) between users and streamers affects users' perceived benefits, whether perceived benefits are related to users' community commitment and the relationship between community commitment and CCB from the perspective of value co-creation. Three hundred and forty-seven valid samples from China were obtained using TikTok and subsequently analyzed via Partial least squares structural equation modeling (PLS-SEM). The analysis results show that PSI positively influences users' perceived benefits, and among the perceived benefits, hedonic and self-esteem benefits can positively influence users' community commitment. When users' community commitment to live-streamers exists, it can effectively incentivize users to develop CCB. Theoretically, research findings enrich the study of online community value co-creation, para-social interaction, and citizenship behavior and provide recommendations for operating social live-streaming platforms.</t>
  </si>
  <si>
    <t>[Jiang, Chong; He, Ling] Fujian Polytech Normal Univ, Qiaoxing Sch Econ &amp; Management, Fuqing 350300, Peoples R China; [Xu, Shunwu] Fujian Polytech Normal Univ, Sch Elect &amp; Mech Engn, Fuqing 350300, Peoples R China</t>
  </si>
  <si>
    <t>Fujian Polytechnic Normal University; Fujian Polytechnic Normal University</t>
  </si>
  <si>
    <t>Jiang, C (corresponding author), Fujian Polytech Normal Univ, Qiaoxing Sch Econ &amp; Management, Fuqing 350300, Peoples R China.</t>
  </si>
  <si>
    <t>jiangchong@fpnu.edu.cn</t>
  </si>
  <si>
    <t>Jiang, Chong/0009-0009-4357-1958</t>
  </si>
  <si>
    <t>10.1016/j.actpsy.2024.104534</t>
  </si>
  <si>
    <t>J8P9I</t>
  </si>
  <si>
    <t>WOS:001339637700001</t>
  </si>
  <si>
    <t>Pérez-Rufí, JP; Castro-Higueras, A</t>
  </si>
  <si>
    <t>Perez-Rufi, Jose Patricio; Castro-Higueras, Antonio</t>
  </si>
  <si>
    <t>The Vernacular Language in Social Video Streaming Platforms: The Aesthetics of Users' Live Streaming and the Interface of the Platforms</t>
  </si>
  <si>
    <t>Video streaming; vernacular language; visual culture; interface; social media; television</t>
  </si>
  <si>
    <t>TWITCH; MEDIA; WORK</t>
  </si>
  <si>
    <t>This paper analyzes the vernacular language of social video live streaming platforms, understood as the language used by the user content creator. The hypothesis proposed by this paper is that it is possible to identify patterns that normalize and grammaticalize the language of live video content production practices on YouTube Live, Twitch, Instagram Live, and TikTok. The main objective is to identify the stylistic, aesthetic, or production features that are reproduced in live streaming broadcasts on these platforms, as vernacular characteristics that are unique to them and characteristic of the model of practices analyzed. As a secondary objective, this paper proposes the recognition of the elements of the interfaces that determine the practices and uses that we have previously considered vernacular. To achieve these objectives, starting from the case study, it is applied a methodology based on systematic observation through an analysis sheet that addresses the expressive resources applied to the analysis sample, as well as the walkthrough method or cognitive walkthrough. The results allow us to identify a series of patterns that define the vernacular language characteristic of each of the analyzed platforms, conditioned by the hardware device from which it is produced. Furthermore, the user will make expressive use of the platform conditioned by the interface, as a tool in service of the platform and its commercial interests.</t>
  </si>
  <si>
    <t>[Perez-Rufi, Jose Patricio; Castro-Higueras, Antonio] Univ Malaga, Malaga, Spain</t>
  </si>
  <si>
    <t>Pérez-Rufí, JP (corresponding author), Univ Malaga, Malaga, Spain.</t>
  </si>
  <si>
    <t>patricioperez@uma.es; acastro@uma.es</t>
  </si>
  <si>
    <t>CASTRO-HIGUERAS, ANTONIO/E-1377-2017; Perez-Rufí, José Patricio/F-9526-2016</t>
  </si>
  <si>
    <t>Perez-Rufi, Jose Patricio/0000-0002-7084-3279</t>
  </si>
  <si>
    <t>10.6035/adcomunica.7305</t>
  </si>
  <si>
    <t>O9AL9</t>
  </si>
  <si>
    <t>WOS:001046672400006</t>
  </si>
  <si>
    <t>Ma, J; Feng, XJ; Yang, QR</t>
  </si>
  <si>
    <t>Duffy, VG; Kromker, H; Streitz, NA; Konomi, S</t>
  </si>
  <si>
    <t>Ma, Jun; Feng, Xuejing; Yang, Qinrui</t>
  </si>
  <si>
    <t>The Evolution of Public Perceptions of Automated Vehicles in China: A Text Mining Approach Based Dynamic Topic Modeling</t>
  </si>
  <si>
    <t>HCI INTERNATIONAL 2023 LATE BREAKING PAPERS, HCII 2023,PT IV</t>
  </si>
  <si>
    <t>Automated vehicles; Social media comments; Dynamic topic models; Semantic network Analysis; Sentiment analysis; Public perception</t>
  </si>
  <si>
    <t>AUTONOMOUS VEHICLES; USER ACCEPTANCE; TRUST</t>
  </si>
  <si>
    <t>Public attitudes and intentions are crucial for successful technological innovation, such as automated vehicles (AVs). To effectively advance the development and future evolution of AVs, it is crucial to comprehensively understand individuals' perceptions of autonomous driving. However, traditional survey methods using structured questionnaires may limit respondents' ability to express themselves freely. To address this limitation, we employ Natural Language Processing (NLP) techniques to analyze consumers' opinions and attitudes towards AVs as shared on social media platforms. Through Python programming, we collected and analyzed consumer comments from leading Chinese social media platforms (Sina Weibo, TikTok) and automotive social media platforms (Autohome Inc.) between June 2020 and April 2023, totaling 120,486 comments. Leveraging advanced text mining techniques such as Dynamic topic models (DTM), sentiment analysis, and semantic network analysis based on Pointwise mutual information (PMI) algorithms, we investigate the evolution of public perception regarding AVs over the past three years. Our findings unveil a predominant negative sentiment towards AVs, with discernible shifts in sentiment coinciding with major AV-related social events. Furthermore, we explore the reasons behind users' negative attitudes and identify potential factors contributing to the distrust of autonomous driving. These findings provide valuable guidance to public agencies, automobile manufacturers, and technology companies, enhancing their understanding of the adoption of AVs.</t>
  </si>
  <si>
    <t>[Ma, Jun; Yang, Qinrui] Tongji Univ, Shanghai, Peoples R China; [Feng, Xuejing] Tongji Univ, Coll Design &amp; Innovat, Shanghai, Peoples R China</t>
  </si>
  <si>
    <t>Feng, XJ (corresponding author), Tongji Univ, Coll Design &amp; Innovat, Shanghai, Peoples R China.</t>
  </si>
  <si>
    <t>fengxuejing@tongji.edu.cn</t>
  </si>
  <si>
    <t>978-3-031-48046-1; 978-3-031-48047-8</t>
  </si>
  <si>
    <t>10.1007/978-3-031-48047-8_22</t>
  </si>
  <si>
    <t>Computer Science, Artificial Intelligence; Computer Science, Cybernetics; Computer Science, Theory &amp; Methods</t>
  </si>
  <si>
    <t>BW5EV</t>
  </si>
  <si>
    <t>WOS:001159620100022</t>
  </si>
  <si>
    <t>Williams, M; Lewin, KM; Meshi, D</t>
  </si>
  <si>
    <t>Williams, McKain; Lewin, Kaitlin M.; Meshi, Dar</t>
  </si>
  <si>
    <t>Problematic use of five different social networking sites is associated with depressive symptoms and loneliness</t>
  </si>
  <si>
    <t>Social media addiction; Social networking addiction; Mental health; Depression; Social isolation; Loneliness</t>
  </si>
  <si>
    <t>FACEBOOK ADDICTION; ADOLESCENTS; VALIDITY</t>
  </si>
  <si>
    <t>Social media users often engage with more than one platform, spending almost three hours per day on these sites. These platforms provide social rewards to individuals, reinforcing their use. Importantly, due to this inherently reinforcing nature, some individuals may develop problematic social media use (PSMU), where they continue to use social media despite experiencing negative consequences such as psychological distress and/or impaired daily functioning. Researchers have found that PSMU is associated with worsened mental health. However, current research has primarily investigated these relationships across all platforms broadly, or with respect to only a single platform (usually Facebook). No research has investigated these relationships with respect to multiple, distinct, social media platforms, and only limited research has investigated mental health in relation to the problematic use of Twitter and Snapchat, in particular. To address this, we conducted a survey to assess PSMU of five different social media platforms (Facebook, Instagram, Snapchat, TikTok, and Twitter), as well as two measures of mental health (depression and loneliness). Linear regression models revealed that greater problematic use of all five platforms is related with greater depression and loneliness. In other words, the greater one's problematic use of each platform, the poorer their mental health. We discuss our results, along with limitations and future directions for research on the role of PSMU in mental health.</t>
  </si>
  <si>
    <t>[Williams, McKain] Michigan State Univ, Neurosci Program, E Lansing, MI USA; [Lewin, Kaitlin M.; Meshi, Dar] Michigan State Univ, Dept Advertising &amp; Publ Relat, 404 Wilson Rd, E Lansing, MI 48823 USA</t>
  </si>
  <si>
    <t>Michigan State University; Michigan State University</t>
  </si>
  <si>
    <t>Meshi, D (corresponding author), Michigan State Univ, Dept Advertising &amp; Publ Relat, 404 Wilson Rd, E Lansing, MI 48823 USA.</t>
  </si>
  <si>
    <t>darmeshi@msu.edu</t>
  </si>
  <si>
    <t>10.1007/s12144-024-05925-6</t>
  </si>
  <si>
    <t>WE6G8</t>
  </si>
  <si>
    <t>WOS:001197093900001</t>
  </si>
  <si>
    <t>Samal, D; Sabilah, F</t>
  </si>
  <si>
    <t>Arifin, S; Fauzi, A; Wiraatmaja, T; Andalas, EF; Muthohirin, N</t>
  </si>
  <si>
    <t>Samal, D.; Sabilah, F.</t>
  </si>
  <si>
    <t>Early word learning acquired by Selegram Shabira Alula Adnan in terms of vocabulary growth</t>
  </si>
  <si>
    <t>STRENGTHENING PROFESSIONAL AND SPIRITUAL EDUCATION THROUGH 21ST CENTURY SKILL EMPOWERMENT IN PANDEMIC AND POST-PANDEMIC ERA, ICEDU 2022</t>
  </si>
  <si>
    <t>1ST INTERNATIONAL CONFERENCE ON EDUCATION (ICEDU)</t>
  </si>
  <si>
    <t>SEP 28-28, 2022</t>
  </si>
  <si>
    <t>Malang, INDONESIA</t>
  </si>
  <si>
    <t>Language development in children is a unique and extraordinary process that greatly influences children's understanding and their style of language. The style of language in each child, which is the result of language development, is also influenced by various factors, which affect the language style of a child. This paper discusses about the learning style used by young selegram Shabira Alula Adnan and how she learned the standard language. The method used in this study is literary study. To answer the objectives of this research, theories related to language development and language style of children are analyzed. Data related to the development and style of language from Shabira Alula Adnan are obtained through social media, from TikTok, Instagram, YouTube, and other online news sources. The data are analyzed by comparing and analyzing theories related to the development and style of language in children, and then compared with the cases faced by Shabira Alula Adnan. The results revealed that the language style used by Shabira Alula Adnan is a combination between two language styles, namely referential language style and expressive language style. The language styles used by Shabira Alula Adnan are influenced by her age, the parenting style in teaching the language, and also her daily environment. The development and styles of language used by Shabira Alula Adnan are affected by many factors, not only because of age but also the parenting style and the daily environment.</t>
  </si>
  <si>
    <t>[Samal, D.; Sabilah, F.] Univ Muhammadiyah Malang, Malang, Indonesia</t>
  </si>
  <si>
    <t>Universitas Muhammadiyah Malang</t>
  </si>
  <si>
    <t>Samal, D (corresponding author), Univ Muhammadiyah Malang, Malang, Indonesia.</t>
  </si>
  <si>
    <t>Sabilah, Fardini/AAE-5081-2021</t>
  </si>
  <si>
    <t>978-1-032-45244-9; 978-1-003-37612-5; 978-1-032-45243-2</t>
  </si>
  <si>
    <t>10.1201/9781003376125-16</t>
  </si>
  <si>
    <t>BX1VS</t>
  </si>
  <si>
    <t>WOS:001253692400016</t>
  </si>
  <si>
    <t>Eagle, T; Ringland, KE</t>
  </si>
  <si>
    <t>Eagle, Tessa; Ringland, Kathryn E.</t>
  </si>
  <si>
    <t>You Can't Possibly Have ADHD: Exploring Validation and Tensions around Diagnosis within Unbounded ADHD Social Media Communities</t>
  </si>
  <si>
    <t>PROCEEDINGS OF THE 25TH INTERNATIONAL ACM SIGACCESS CONFERENCE ON COMPUTERS AND ACCESSIBILITY, ASSETS 2023</t>
  </si>
  <si>
    <t>25th International ACM SIGACCESS Conference on Computers and Accessibility (ASSETS)</t>
  </si>
  <si>
    <t>OCT 22-25, 2023</t>
  </si>
  <si>
    <t>Assoc Comp Machinery,Google,Meta,Apple,NW Ctr Assist Technol Training,NSF,ACM SIGACCESS</t>
  </si>
  <si>
    <t>online health communities; digital mental health; ADHD; social media; neurodivergence</t>
  </si>
  <si>
    <t>ATTENTION-DEFICIT/HYPERACTIVITY DISORDER; DEFICIT HYPERACTIVITY DISORDER; PEER SUPPORT; FOLLOW-UP; SEX BIAS; SELF; MANAGEMENT; CHILDREN; RISK; GENDER</t>
  </si>
  <si>
    <t>Despite a common misconception that Attention-Deficit Hyperactivity Disorder (ADHD) is a childhood disorder, symptoms often persist into adulthood and many adults remain undiagnosed for a variety of reasons. Increased adoption of social media such as Instagram, TikTok, and Twitter has led to increased representation of neurodivergent community members with ADHD. As a result of the COVID-19 pandemic and increased social media use, many have come to recognize themselves in content made by social media members with ADHD and thus sought diagnoses of their own. Social media provides a valuable source of information, first-hand experiences, support, and validation through shared experiences. These networks, which we call unbounded Online Health Communities, have encouraged patients to advocate for themselves using information and support they have received from online ADHD communities. To understand these communities better and privilege the lived experiences of people with ADHD, we conduct a digital ethnography of three social media platforms to explore community content, specifically around acceptance, diagnoses, and tensions with the medical community. We discuss these informal online health communities as a source of knowledge, different, but no less important than that of traditional Online Health Communities and further the view of these communities as a valuable resource of shared expertise.</t>
  </si>
  <si>
    <t>[Eagle, Tessa; Ringland, Kathryn E.] Univ Calif Santa Cruz, Santa Cruz, CA 95064 USA</t>
  </si>
  <si>
    <t>University of California System; University of California Santa Cruz</t>
  </si>
  <si>
    <t>Eagle, T (corresponding author), Univ Calif Santa Cruz, Santa Cruz, CA 95064 USA.</t>
  </si>
  <si>
    <t>teagle@ucsc.edu</t>
  </si>
  <si>
    <t>Eagle, Tessa/0000-0001-8777-7725; Ringland, Kathryn/0000-0002-3760-1390</t>
  </si>
  <si>
    <t>979-8-4007-0220-4</t>
  </si>
  <si>
    <t>10.1145/3597638.3608400</t>
  </si>
  <si>
    <t>BW2UD</t>
  </si>
  <si>
    <t>WOS:001125956600029</t>
  </si>
  <si>
    <t>Glazunova, S; Ryzhova, A; Bruns, A; Montana-Nino, SX; Beseler, A; Dehghan, E</t>
  </si>
  <si>
    <t>Glazunova, Sofya; Ryzhova, Anna; Bruns, Axel; Montana-Nino, Silvia Ximena; Beseler, Arista; Dehghan, Ehsan</t>
  </si>
  <si>
    <t>A platform policy implementation audit of actions against Russia's state-controlled media</t>
  </si>
  <si>
    <t>Platform policies; Content moderation; Russia; Policy audit; Digital Platforms</t>
  </si>
  <si>
    <t>PUBLIC DIPLOMACY</t>
  </si>
  <si>
    <t>The information influence of Russia's state-controlled media outlets such as RT and Sputnik on global multimillion audiences has been one of the major concerns for Western democracies and Ukraine in the last decade. With the start of the 2022 full-scale invasion of Ukraine by Russia, they were recognised as a threat to international security and several major bans were implemented towards RT and Sputnik, including their ban in the EU and its member states, and non-EU countries such as Canada, the UK and Australia, and reinforced content moderation by digital platforms globally. Digital platforms had to step up as new arbitrators of digital public spheres in this crisis event, which led us to question how major digital platforms (Twitter, YouTube, Facebook, Instagram, TikTok, and Telegram) have implemented their content moderation policies towards RT and Sputnik accounts following Russia's full-scale invasion of Ukraine in 2022, across ten countries. We present a platform policy implementation audit method to analyse such content moderation measures, and demonstrate its implementation by six coders after two months of the full-scale invasion. Our audit shows largely inconsistent trends in platform policy implementation towards RT and Sputnik, as well as a wide catalogue of measures taken by tech giants. We conclude with a discussion of the further implications and effectiveness of such content moderation measures for global digital audiences.</t>
  </si>
  <si>
    <t>[Glazunova, Sofya; Bruns, Axel; Montana-Nino, Silvia Ximena; Dehghan, Ehsan] Queensland Univ Technol, Brisbane, Australia; [Ryzhova, Anna; Beseler, Arista] Univ Passau, Passau, Germany</t>
  </si>
  <si>
    <t>Queensland University of Technology (QUT); University of Passau</t>
  </si>
  <si>
    <t>Bruns, A (corresponding author), Queensland Univ Technol, Brisbane, Australia.</t>
  </si>
  <si>
    <t>a.bruns@qut.edu.au</t>
  </si>
  <si>
    <t>Ryzhova, Anna/IVV-6530-2023; Bruns, Axel/I-9877-2012; Glazunova, Sofya/JRX-4787-2023</t>
  </si>
  <si>
    <t>Dehghan, Ehsan/0000-0003-3139-5298; Montana-Nino, Silvia/0000-0002-4238-0801; Beseler, Arista/0000-0002-1906-0121; Glazunova, Sofya/0000-0002-1974-6414</t>
  </si>
  <si>
    <t>Australia-Germany Joint Research Cooperation Scheme</t>
  </si>
  <si>
    <t>&amp; nbsp;This research is supported by the Australia-Germany Joint Research Cooperation Scheme (2022-2023) between the Digital Media Research Centre, Queensland University of Technology and the RUSINFORM research group from the University of Passau.</t>
  </si>
  <si>
    <t>10.14763/2023.2.1711</t>
  </si>
  <si>
    <t>L8DM9</t>
  </si>
  <si>
    <t>WOS:001025511200006</t>
  </si>
  <si>
    <t>Liu, PD; Liao, DL; Wang, JP; Wu, YX; Li, GF; Xia, ST; Xu, J</t>
  </si>
  <si>
    <t>Liu, Peidong; Liao, Dongliang; Wang, Jinpeng; Wu, Yangxin; Li, Gongfu; Xia, Shu-Tao; Xu, Jin</t>
  </si>
  <si>
    <t>Multi-task Ranking with User Behaviors for Text-video Search</t>
  </si>
  <si>
    <t>COMPANION PROCEEDINGS OF THE WEB CONFERENCE 2022, WWW 2022 COMPANION</t>
  </si>
  <si>
    <t>Text-video Search; Ranking Model; Multi-task Learning; User Behaviors; Multi-modal Fusion</t>
  </si>
  <si>
    <t>Text-video search has become an important demand in many industrial video sharing platforms, e.g., YouTube, TikTok, and WeChat Channels, thereby attracting increasing research attention. Traditional relevance-based ranking methods for text-video search concentrate on exploiting the semantic relevance between video and query. However, relevance is no longer the principal issue in the ranking stage, because the candidate items retrieved from the matching stage naturally guarantee adequate relevance. Instead, we argue that boosting user satisfaction should be an ultimate goal for ranking and it is promising to excavate cheap and rich user behaviors for model training. To achieve this goal, we propose an effective Multi-Task Ranking pipeline with User Behaviors (MTRUB) for text-video search. Specifically, to exploit the multi-modal data effectively, we put forward a Heterogeneous Multi-modal Fusion Module (HMFM) to fuse the query and video features of different modalities in adaptive ways. Besides that, we design an Independent Multi-modal Input Scheme (IMIS) to alleviate competing task correlation problems in multi-task learning. Experiments on the offline dataset gathered from WeChat Search demonstrate that MTRUB outperforms the baseline by 12.0% in mean gAUC and 13.3% in mean nDCG@10. We also conduct live experiments on a large-scale mobile search engine, i.e., WeChat Search, and MTRUB obtains substantial improvement compared with the traditional relevance-based ranking model.</t>
  </si>
  <si>
    <t>[Liu, Peidong; Wang, Jinpeng; Xia, Shu-Tao] Tsinghua Univ, Tsinghua Shenzhen Int Grad Sch, Beijing, Peoples R China; [Liu, Peidong; Liao, Dongliang; Wang, Jinpeng; Wu, Yangxin; Li, Gongfu] Tencent Inc, Wechat Grp, Shenzhen, Peoples R China; [Xia, Shu-Tao] Peng Cheng Lab, Res Ctr Artificial Intelligence, Shenzhen, Peoples R China; [Xu, Jin] South China Univ Technol, Sch Future Technol, Guangzhou, Peoples R China</t>
  </si>
  <si>
    <t>Tsinghua Shenzhen International Graduate School; Tsinghua University; Tencent; Peng Cheng Laboratory; South China University of Technology</t>
  </si>
  <si>
    <t>Xia, ST (corresponding author), Tsinghua Univ, Tsinghua Shenzhen Int Grad Sch, Beijing, Peoples R China.;Liao, DL (corresponding author), Tencent Inc, Wechat Grp, Shenzhen, Peoples R China.;Xia, ST (corresponding author), Peng Cheng Lab, Res Ctr Artificial Intelligence, Shenzhen, Peoples R China.</t>
  </si>
  <si>
    <t>lpd19@mails.tsinghua.edu.cn; brightliao@tencent.com; wjp20@mails.tsinghua.edu.cn; yangxinwu@tencent.com; gongfuli@tencent.com; xiast@sz.tsinghua.edu.cn; jinxu@scut.edu.cn</t>
  </si>
  <si>
    <t>National Natural Science Foundation of China [62171248]; PCNL KEY project [PCL2021A07]</t>
  </si>
  <si>
    <t>National Natural Science Foundation of China(National Natural Science Foundation of China (NSFC)); PCNL KEY project</t>
  </si>
  <si>
    <t>This work is supported in part by the National Natural Science Foundation of China under Grant 62171248, and the PCNL KEY project (PCL2021A07).</t>
  </si>
  <si>
    <t>978-1-4503-9130-6</t>
  </si>
  <si>
    <t>10.1145/3487553.3524207</t>
  </si>
  <si>
    <t>Computer Science, Artificial Intelligence; Computer Science, Information Systems; Computer Science, Interdisciplinary Applications; Computer Science, Theory &amp; Methods</t>
  </si>
  <si>
    <t>BW4GE</t>
  </si>
  <si>
    <t>WOS:001147592700019</t>
  </si>
  <si>
    <t>Kikut-Stein, A; Givan, K; Branson, P; Fishman, J; Baily, K; Paolicelli, M; Crockett, T; Morris, T; Adesipo, A; Allen, D; Blanco-Liz, A; Bonds, LF; Brooks, N; Carriker, M; Francis, K; Pierre, MJ; Konner, H; Myers, R; Newkirk, N; Poole, M; Riina, N; Robinson, M; Rubens, V; Savage, A; Savage, M; Sy, D; Zhou, XF; Tan, AY</t>
  </si>
  <si>
    <t>Kikut-Stein, Ava; Givan, Kathleen; Branson, Paulette; Fishman, Jeffrey; Baily, Kavon; Paolicelli, Michelle; Crockett, Toni; Morris, Tamera; Adesipo, Ajibola; Allen, Dayana; Blanco-Liz, Ashley; Bonds, Leticia-Faith; Brooks, Ny'zera; Carriker, Malaysia; Francis, Katherine; Jean Pierre, Micah; Konner, Holly; Myers, Ryen; Newkirk, Naiim; Poole, Milan; Riina, Nolan; Robinson, Margaret; Rubens, Valerie; Savage, Abdullah; Savage, Maryam; Sy, Dahirou; Zhou, Xufei; Tan, Andy</t>
  </si>
  <si>
    <t>Youth Participatory Action Communication Research: A Model for Developing Youth-Driven Health Campaigns</t>
  </si>
  <si>
    <t>PLANNED BEHAVIOR; REASONED ACTION; PHYSICAL-ACTIVITY; MEDIA CAMPAIGN; WOOLF APPROACH; INTERVENTIONS; ADOLESCENT; TOBACCO; THEMES; IMPACT</t>
  </si>
  <si>
    <t>Youth offer valuable insight on health communication needs and solutions in their communities. We propose youth participatory action communication research (YPACR) as a model for health campaign development that engages youth perspectives in applying systematic theory-informed communication research to addressing youth-identified health priorities. YPACR informed a series of paid high school internship programs in West Philadelphia, in which youth interns identified mental health help-seeking communication as a need among peers. In Phase 1, guided by the reasoned action approach and Hornik &amp; Woolf method, youth interns conducted a survey measuring behavioral beliefs, normative beliefs, and control beliefs associated with mental health help-seeking, as well as trusted sources of mental health information, among local high school students. Survey results suggested control (self-efficacy) was an important message target and peers were trusted mental health information sources. In Phase 2, youth interns developed TikTok-style messages focused on strengthening control beliefs and promoting a youth-selected mental health support resource. Youth interns distributed an online survey experiment to test whether youth-created messages shown alongside resource information increased help-seeking self-efficacy compared to an information-only control. The YPACR framework contributed to youth-relevant campaign goals, study measurements, recruitment approaches, data interpretation, and message design. We discuss the benefits and challenges of this youth-driven health campaign development model and recommendations for future research.</t>
  </si>
  <si>
    <t>[Kikut-Stein, Ava] Harvard TH Chan Sch Publ Hlth, Dana Farber Canc Inst, 375 Longwood Ave, Boston, MA 02215 USA; [Givan, Kathleen] Univ Oslo, Inst Hlth &amp; Soc, Oslo, Norway; [Branson, Paulette; Baily, Kavon; Paolicelli, Michelle; Crockett, Toni; Morris, Tamera; Adesipo, Ajibola; Allen, Dayana; Bonds, Leticia-Faith; Brooks, Ny'zera; Carriker, Malaysia; Jean Pierre, Micah; Myers, Ryen; Newkirk, Naiim; Poole, Milan; Savage, Abdullah; Savage, Maryam; Sy, Dahirou] Univ Penn, Netter Ctr Community Partnerships, Philadelphia, PA USA; [Fishman, Jeffrey; Blanco-Liz, Ashley; Francis, Katherine; Konner, Holly; Riina, Nolan; Robinson, Margaret; Rubens, Valerie; Zhou, Xufei; Tan, Andy] Univ Penn, Annenberg Sch Commun, Philadelphia, PA USA</t>
  </si>
  <si>
    <t>Harvard University; Harvard T.H. Chan School of Public Health; Dana-Farber Cancer Institute; University of Oslo; University of Pennsylvania; University of Pennsylvania</t>
  </si>
  <si>
    <t>Kikut-Stein, A (corresponding author), Harvard TH Chan Sch Publ Hlth, Dana Farber Canc Inst, 375 Longwood Ave, Boston, MA 02215 USA.</t>
  </si>
  <si>
    <t>akikut@hsph.harvard.edu</t>
  </si>
  <si>
    <t>Robinson, Margaret/V-2541-2019</t>
  </si>
  <si>
    <t>Kikut-Stein, Ava/0000-0002-1805-1020</t>
  </si>
  <si>
    <t>National Institutes of Health [2T32CA057711-28]</t>
  </si>
  <si>
    <t>National Institutes of Health(United States Department of Health &amp; Human ServicesNational Institutes of Health (NIH) - USA)</t>
  </si>
  <si>
    <t>This work was supported by the National Institutes of Health [grant number 2T32CA057711-28]. Its contents are solely the responsibility of the authors and do not necessarily represent the official views of the National Institutes of Health.</t>
  </si>
  <si>
    <t>10.1080/10410236.2024.2386713</t>
  </si>
  <si>
    <t>A4X6W</t>
  </si>
  <si>
    <t>WOS:001282582700001</t>
  </si>
  <si>
    <t>Ye, CH; Tan, SL; Wang, Z; Shi, BH; Shi, L</t>
  </si>
  <si>
    <t>Ye, Conghuan; Tan, Shenglong; Wang, Zheng; Shi, Binghua; Shi, Li</t>
  </si>
  <si>
    <t>Hybridized Hierarchical Watermarking and Selective Encryption for Social Image Security</t>
  </si>
  <si>
    <t>ENTROPY</t>
  </si>
  <si>
    <t>social network analysis; social image sharing; image encryption; joint watermarking and encryption; jiugongge game</t>
  </si>
  <si>
    <t>RELIABILITY; SYSTEM</t>
  </si>
  <si>
    <t>With the advent of cloud computing and social multimedia communication, more and more social images are being collected on social media platforms, such as Facebook, TikTok, Flirk, and YouTube. The amount of social images produced and disseminated is rapidly increasing. Meanwhile, cloud computing-assisted social media platforms have made social image dissemination more and more efficient. There exists an unstoppable trend of fake/unauthorized social image dissemination. The growth of social image sharing underscores potential security risks for illegal use, such as image forgery, malicious copying, piracy exposure, plagiarism, and misappropriation. Therefore, secure social image dissemination has become urgent and critical on social media platforms. The authors propose a secure scheme for social image dissemination on social media platforms. The main objective is to make a map between the tree structure Haar (TSH) transform and the hierarchical community structure of a social network. First, perform the TSH transform on a social image using social network analysis (SNA). Second, all users in a social media platform are coded using SNA. Third, watermarking and encryption are performed in a compressed domain for protecting social image dissemination. Finally, the encrypted and watermarked contents are delivered to users via a hybrid multicast-unicast scheme. The use of encryption along with watermarking can provide double protection for social image dissemination. The theory analysis and experimental results demonstrate the effectiveness of the proposed scheme.</t>
  </si>
  <si>
    <t>[Ye, Conghuan; Tan, Shenglong; Wang, Zheng; Shi, Binghua; Shi, Li] Hubei Univ Econ, Sch Informat Engn, Wuhan 430205, Peoples R China; [Ye, Conghuan; Tan, Shenglong; Wang, Zheng; Shi, Binghua; Shi, Li] Hubei Univ Econ, Hubei Internet Finance Informat Engn Technol Res C, Wuhan 430205, Peoples R China</t>
  </si>
  <si>
    <t>Hubei University of Economics; Hubei University of Economics</t>
  </si>
  <si>
    <t>Ye, CH (corresponding author), Hubei Univ Econ, Sch Informat Engn, Wuhan 430205, Peoples R China.;Ye, CH (corresponding author), Hubei Univ Econ, Hubei Internet Finance Informat Engn Technol Res C, Wuhan 430205, Peoples R China.</t>
  </si>
  <si>
    <t>ychzzw@163.com; wangzheng@hbue.edu.cn; p2pgrid@gmail.com; shily0118@163.com</t>
  </si>
  <si>
    <t>Natural Science Foundation of China [61502154, 61972136, 61370092]; NSF of Chinese Hubei Province [2015CFB236]; Natural Science Foundation in the Hubei Provincial Department of Education [D20142703, T201410]</t>
  </si>
  <si>
    <t>Natural Science Foundation of China(National Natural Science Foundation of China (NSFC)); NSF of Chinese Hubei Province; Natural Science Foundation in the Hubei Provincial Department of Education</t>
  </si>
  <si>
    <t>The research was funded by the Natural Science Foundation of China under grants 61502154, 61972136, and 61370092; the NSF of Chinese Hubei Province, grant number 2015CFB236; and the Natural Science Foundation in the Hubei Provincial Department of Education, grant numbers D20142703 and T201410.</t>
  </si>
  <si>
    <t>1099-4300</t>
  </si>
  <si>
    <t>ENTROPY-SWITZ</t>
  </si>
  <si>
    <t>Entropy</t>
  </si>
  <si>
    <t>10.3390/e25071031</t>
  </si>
  <si>
    <t>N2HM0</t>
  </si>
  <si>
    <t>WOS:001035284300001</t>
  </si>
  <si>
    <t>Bertoloni, L</t>
  </si>
  <si>
    <t>Bertoloni, Luca</t>
  </si>
  <si>
    <t>Forms of audiovisual writing of the self: experiences and screen practices of students and teachers in Distance Learning in the new media landscape</t>
  </si>
  <si>
    <t>distance learning; school; pandemic; mediascape; audiovisual; social network</t>
  </si>
  <si>
    <t>The Coronavirus pandemic has upset not only the Italian school, revealing its unpreparedness on a technological level, but also students' lives, altering their habits radically. Nevertheless, the young people of Generation Z have not been caught so unprepared by digital innovations: since a long time, in fact, by using the elementary structures of audiovisual language, they have been experimenting subjective screen experiences, which then become objects of new self-writing practices, considered more effective than traditional and multimedia writing. With Distance Learning (and the transformation of the school-building into a mediascape), these practices have expanded to the school environment: thus, students and teachers have found themselves acting together in the same single large media environment generated by the relocation of the school-device and the home-environment, with a short circuit between them. Their experiences have been witnessed by social media, a mediai area in which both students and teachers, as mediantrophists, can adequately substantiate their digital emotions. In order to grasp the links between Distance Learning, screens, experiences and practices, we will analyze a textual corpus of the Italian area extracted from TikTok, an audiovisual social medium widely used by very young people, offering specific focuses on cases of teachers and students who have distinguished themselves in the media flow, quickly impressing themselves in the pandemic imagery of young Italians.</t>
  </si>
  <si>
    <t>[Bertoloni, Luca] Univ Pavia, Pavia, Italy</t>
  </si>
  <si>
    <t>University of Pavia</t>
  </si>
  <si>
    <t>Bertoloni, L (corresponding author), Univ Pavia, Pavia, Italy.</t>
  </si>
  <si>
    <t>bertoloni.luca@gmail.com</t>
  </si>
  <si>
    <t>2A2KQ</t>
  </si>
  <si>
    <t>WOS:000809337100003</t>
  </si>
  <si>
    <t>Rodriguez, JLD</t>
  </si>
  <si>
    <t>Rodriguez, J. L. del Cura</t>
  </si>
  <si>
    <t>Social networks in radiology: Toward a new paradigm in medical education?</t>
  </si>
  <si>
    <t>RADIOLOGIA</t>
  </si>
  <si>
    <t>Social networks; Publications; Medical education; Knowledge management; Dissemination of information</t>
  </si>
  <si>
    <t>YOUTUBE; INSTAGRAM</t>
  </si>
  <si>
    <t>The universally accepted system for the transmission of scientific knowledge in the field of medicine has long been grounded in scientific publications. Social networks can be a useful alternative or complementary method of transmitting this knowledge. Social networks (e.g., Twitter, Instagram, Facebook, LinkedIn, YouTube, and TikTok) generate educational contents that enable quality training, despite their informality. Each of these networks has strengths and weaknesses that users should know about. These platforms are free and allow for real -time discussion. They make it easy to incorporate content and to contact experts or access sources of knowledge directly. Aware of their influence, publishers have incorporated metrics to measure the impact of their articles in social networks (Altmetrics). These networks should be incorporated into departmental training programs immediately. Nevertheless, navigating through social networks is complex, and the hashtag-based system of searching is inefficient, limiting their use in education. Despite the informality of the knowledge generated on social networks, the importance of these networks as a source of knowledge is growing. Radiology departments must design a strategy for using social networks for education rather than for propaganda, creating well-organized focal groups that search for contents through systematic, filtered review of information, digital repositories, and review sessions and for sharing this knowledge both inside and outside the department. Departments must also implement a strategy for communicating through these networks. (c) 2023 SERAM. Published by Elsevier Espana, S.L.U. All rights reserved.</t>
  </si>
  <si>
    <t>[Rodriguez, J. L. del Cura] Hosp Univ Donostia, Donostia San Sebastian, Gipuzkoa, Spain</t>
  </si>
  <si>
    <t>Rodriguez, JLD (corresponding author), Hosp Univ Donostia, Donostia San Sebastian, Gipuzkoa, Spain.</t>
  </si>
  <si>
    <t>joseluis.delcurarodriguez@osakidetza.eus</t>
  </si>
  <si>
    <t>Rodriguez-Rojas, Rafael/ABC-2361-2020</t>
  </si>
  <si>
    <t>ELSEVIER ESPANA</t>
  </si>
  <si>
    <t>CALLE DE ZURBANO, 76-4TH FLR LEFT, MADRID, 28010, SPAIN</t>
  </si>
  <si>
    <t>0033-8338</t>
  </si>
  <si>
    <t>1578-178X</t>
  </si>
  <si>
    <t>RADIOLOGIA-MADRID</t>
  </si>
  <si>
    <t>Radiologia</t>
  </si>
  <si>
    <t>10.1016/j.rx.2023.01.014</t>
  </si>
  <si>
    <t>HX2O9</t>
  </si>
  <si>
    <t>WOS:001162745700001</t>
  </si>
  <si>
    <t>Zhu, CW; Jiang, YR; Lei, HN; Wang, HT; Zhang, C</t>
  </si>
  <si>
    <t>Zhu, Chengwei; Jiang, Yiru; Lei, Hanning; Wang, Haitao; Zhang, Cai</t>
  </si>
  <si>
    <t>The relationship between short-form video use and depression among Chinese adolescents: Examining the mediating roles of need gratification and short-form video addiction</t>
  </si>
  <si>
    <t>Depression; Short-from video; Need gratification; Short-form video addiction</t>
  </si>
  <si>
    <t>SOCIAL MEDIA; COLLEGE-STUDENTS; LONGITUDINAL RELATIONSHIPS; SMARTPHONE ADDICTION; GENDER-DIFFERENCES; INTERNET-USE; FACEBOOK USE; SYMPTOMS; ANXIETY; HEALTH</t>
  </si>
  <si>
    <t>Short -form video apps, such as TikTok, have become popular worldwide. Compared to traditional social media, they have powerful push algorithms and are more entertaining, which might lead to some negative effects. Research has attempted to identify the relationship between short -form video use and depression, but the processes mechanism underly the relationship was few in number. The present study explored the association between short -form video use and depression among Chinese adolescents and analyzed the mediating roles of need gratification and short -form video addiction. The participants included 1302 senior high school students ( M age = 16.03, SD = 0.76, 42.6 % boys). And a structure equation model with chain mediating was established using Mplus. The results showed (1) a direct association between short -form video use and adolescent depression, (2) that entertainment need gratification, social -related need gratification, and shortform video addiction acted as chain mediating factors, and (3) no gender difference in the model. The present study ' s findings revealed the important mediating role of addictive behavior between normal use behavior and depression and suggested that preventative and interventional plans based on need gratification should be developed to reduce short -form video addiction and improve mental health.</t>
  </si>
  <si>
    <t>[Zhu, Chengwei; Lei, Hanning; Zhang, Cai] Beijing Normal Univ, Collaborat Innovat Ctr Assessment Basic Educ Qual, Beijing, Peoples R China; [Jiang, Yiru] Shangrao Normal Univ, Sch Educ Sci, Shangrao, Jiangxi, Peoples R China; [Wang, Haitao] Ocean Univ China, Teaching Ctr Fundamental Courses, Qingdao, Shandong, Peoples R China</t>
  </si>
  <si>
    <t>Beijing Normal University; Shangrao Normal University; Ocean University of China</t>
  </si>
  <si>
    <t>Zhang, C (corresponding author), Beijing Normal Univ, Collaborat Innovat Ctr Assessment Basic Educ Qual, Beijing, Peoples R China.</t>
  </si>
  <si>
    <t>zcwmiao@mail.bnu.edu.cn; jxiaohua_32@163.com; hanning_lei@163.com; htwang@ouc.edu.cn; zhangcai@bnu.edu.cn</t>
  </si>
  <si>
    <t>Zhu, Chengwei/ABD-7186-2021</t>
  </si>
  <si>
    <t>Lei, Hanning/0009-0007-2230-3386</t>
  </si>
  <si>
    <t>National Planning Office of Philosophy and Social Sciences [BFA190059]</t>
  </si>
  <si>
    <t>National Planning Office of Philosophy and Social Sciences</t>
  </si>
  <si>
    <t>This work was funded by the National Planning Office of Philosophy and Social Sciences (Project number: BFA190059) .</t>
  </si>
  <si>
    <t>e30346</t>
  </si>
  <si>
    <t>10.1016/j.heliyon.2024.e30346</t>
  </si>
  <si>
    <t>ST3K4</t>
  </si>
  <si>
    <t>WOS:001236657100001</t>
  </si>
  <si>
    <t>Higueras, AC; Pérez-Rufí, JP; Martín, JLT; Camacho, MRC; Moyano, MD</t>
  </si>
  <si>
    <t>Castro Higueras, Antonio; Perez-Rufi, Jose Patricio; Torres Martin, Jose Luis; Carballeda Camacho, Mireya Rocio; de Aguilera Moyano, Miguel</t>
  </si>
  <si>
    <t>Video streaming, how social video platforms condition users' behavior and expressive uses of their apps</t>
  </si>
  <si>
    <t>video streaming; apps studies; walkthrough method; political economy of communi-cation; platforms; social media</t>
  </si>
  <si>
    <t>Introduction: The interface is a node where cultural, social, and technological elements converge. This work is based on the hypothesis that social video platforms condition user behaviours and uses through their design. Users provide feedback to these platforms to these platforms by appropriating them, i.e., through their uses. This research focuses more specifically on the analysis of streaming app functionalities and the behavioural patterns predefined by the app developers. Methodology: The main objective of this research is to find out the behavioural patterns predefined by the creators of video streaming apps integrated on the following social networks: Facebook, YouTube, Instagram, TikTok, Twitch y Twitter. The second objective is to establish a typology of functions that appear on the platforms analyzed, extrapolating them to the rest of the streaming apps. We use a walkthrough method to achieve the previously defined goals. Results: After examining the platforms, we operationalized different tasks and the applications' respective functionalities, it is possible to group them into three categories: operational functions, discursive functions and interaction features. Conclusions: We conclude that the creators of mobile application interfaces for social platforms do not only consider users' preferences but also intend to guide them towards the most interesting features from a commercial standpoint, such as live video features. Regarding audiovisual text production, the functions predetermined by the apps will influence their style and is a hallmark of the platform itself.</t>
  </si>
  <si>
    <t>[Castro Higueras, Antonio; Torres Martin, Jose Luis; Carballeda Camacho, Mireya Rocio; de Aguilera Moyano, Miguel] Univ Malaga, Dept Comunicac Audiovisual &amp; Publicidad, Malaga, Spain; [Perez-Rufi, Jose Patricio] Univ Malaga, Fac Ciencias Comunicac, Dept Comunicac Audiovisual &amp; Publicidad, Malaga, Spain</t>
  </si>
  <si>
    <t>Higueras, AC (corresponding author), Univ Malaga, Dept Comunicac Audiovisual &amp; Publicidad, Malaga, Spain.</t>
  </si>
  <si>
    <t>acastro@uma.es; patricioperez@uma.es; jltorres@uma.es; mcarballeda@uma.es; deaguilera@uma.es</t>
  </si>
  <si>
    <t>Martín Fernández, José/JXY-4379-2024; Perez-Rufí, José Patricio/F-9526-2016</t>
  </si>
  <si>
    <t>10.4185/RLCS-2022-1545</t>
  </si>
  <si>
    <t>0N4DK</t>
  </si>
  <si>
    <t>WOS:000782790100001</t>
  </si>
  <si>
    <t>Gersten, ZP; Anderson, OS</t>
  </si>
  <si>
    <t>Gersten, Zachary P.; Anderson, Olivia S.</t>
  </si>
  <si>
    <t>Hungry for nutrition information: Undergraduate students' engagement with nutrition social media nutrition content</t>
  </si>
  <si>
    <t>Communication; education; nutrition; public health; social media</t>
  </si>
  <si>
    <t>Background: Social media is a fast-changing, normalized way through which youth access health and nutrition information. Yet, social media content that lacks expertise or altruistic motives can negatively impact this vulnerable population through mis- or disinformation. Aim: The aims of this study were to 1) assess how adolescents and young adults engage with nutrition information across social media platforms and account types, and 2) describe their preferences for nutrition social media content. Methods: We conducted an exploratory mixed methods study with 57 undergraduate students enrolled in an introductory public health nutrition course. First, we calculated descriptive statistics on close-ended survey data on social media use and sociodemographic variables. Then, we performed thematic analysis on open-ended survey data regarding social media use, preferences, and experiences. Results: The median age of participants was 20 years old; 70% of participants identified as female and 11% identified as male. We found that TikTok and Instagram were highly preferred by participants for weight loss, wellness, diet promotion, and sports and fitness topics. In general, participants reported wanting personalized content that conveys positive nutrition messages that are supported by credible expertise. Conclusion: These findings suggest that the nutrition community can engage adolescents and young adults by presenting information as image- and video-based content on social media. Social media content related to weight loss, wellness, diet promotion, and sports and fitness topics should establish credibility using visible markers and embrace body positive messaging for maximum uptake.</t>
  </si>
  <si>
    <t>[Gersten, Zachary P.] Univ Michigan, Sch Publ Hlth, Dept Nutr Sci, Ann Arbor, MI 48109 USA; [Anderson, Olivia S.] Univ Michigan, Associate Chair Educ Initiat, Sch Publ Hlth, Dept Nutr Sci, Ann Arbor, MI USA</t>
  </si>
  <si>
    <t>Gersten, ZP (corresponding author), Univ Michigan, Sch Publ Hlth, Dept Nutr Sci, Ann Arbor, MI 48109 USA.</t>
  </si>
  <si>
    <t>zgersten@umich.edu</t>
  </si>
  <si>
    <t>The authors thank Phil Hartley for helping organize the survey data and the participants for providing their valuable thoughts and insights.</t>
  </si>
  <si>
    <t>10.1177/02601060241288282</t>
  </si>
  <si>
    <t>J1C8K</t>
  </si>
  <si>
    <t>WOS:001334527200001</t>
  </si>
  <si>
    <t>Lin, IT; Shen, YM; Shih, MJ; Ho, CC</t>
  </si>
  <si>
    <t>Lin, I-Tung; Shen, Yu-Min; Shih, Mei-Jen; Ho, Chien-Chang</t>
  </si>
  <si>
    <t>Short Video Addiction on the Interaction of Creative Self-Efficacy and Career Interest to Innovative Design Profession Students</t>
  </si>
  <si>
    <t>career interests; creative self-efficacy; short video addiction; innovative design; profession students</t>
  </si>
  <si>
    <t>QUALITY-OF-LIFE; SMARTPHONE ADDICTION; UNIVERSITY-STUDENTS; PERSONALITY-TRAITS; MEDIATING ROLE; PERFORMANCE; SUPPORT; PERCEPTIONS; FACEBOOK; ANXIETY</t>
  </si>
  <si>
    <t>In recent years, a variety of emerging online media, such as TikTok, Kuaishou, YouTube and other short video application platforms, have appeared. The problem of short video addiction has become an issue to education experts and the general public, as students' excessive use of short video has become increasingly serious with many hidden concerns to the students' learning effectiveness. In addition, to meet the growing demand for innovative design talents worldwide, the Taiwan government has been committed to promoting policies related to the cultivation of innovative and creative talents nowadays, particularly for innovative design profession students who often use the Internet and short videos for learning. Therefore, the study aims to use questionnaires to understand the habits and addiction of the innovative design profession students in using short videos, and to further investigate the relation of short video addiction to the students' creative self-efficacy (CSE) and career interests. A total of 561 valid questionnaires were collected after eliminating invalid questionnaires and reliability analysis. Structural equation modeling and model validation were conducted afterwards. The results showed that short video addiction had a negative effect on CSE; CSE had a positive effect on career interests; and CSE had an indirect effect between short video addiction and career interests.</t>
  </si>
  <si>
    <t>[Lin, I-Tung] Chihlee Univ Technol, Coll Gen Educ, New Taipei 22050, Taiwan; [Shen, Yu-Min] Natl Taiwan Normal Univ, Dept Ind Educ, Taipei 106, Taiwan; [Shih, Mei-Jen] Chihlee Univ Technol, Dept Appl English, New Taipei 22050, Taiwan; [Ho, Chien-Chang] Fu Jen Catholic Univ, Dept Phys Educ, New Taipei 24205, Taiwan</t>
  </si>
  <si>
    <t>National Taiwan Normal University; Fu Jen Catholic University</t>
  </si>
  <si>
    <t>Shen, YM (corresponding author), Natl Taiwan Normal Univ, Dept Ind Educ, Taipei 106, Taiwan.</t>
  </si>
  <si>
    <t>nk2714@gm.nkhs.tp.edu.tw</t>
  </si>
  <si>
    <t>Ho, Chien-Chang/0000-0002-1283-5203</t>
  </si>
  <si>
    <t>10.3390/healthcare11040579</t>
  </si>
  <si>
    <t>9H9MH</t>
  </si>
  <si>
    <t>WOS:000939147100001</t>
  </si>
  <si>
    <t>Wang, QQ; Zhang, WS; Wang, HK</t>
  </si>
  <si>
    <t>Wang, Qingqing; Zhang, Wensong; Wang, Haikun</t>
  </si>
  <si>
    <t>Privacy concerns toward short-form video platforms: Scale development and validation</t>
  </si>
  <si>
    <t>privacy concerns; collection concerns; awareness concerns; usage concerns; short-form video platforms</t>
  </si>
  <si>
    <t>INFORMATION PRIVACY; ONLINE PRIVACY; DIMENSIONS; PROTECTION; BEHAVIORS; INTENTION; SYSTEMS; MODEL; TRUST</t>
  </si>
  <si>
    <t>Privacy concerns can effectively predict behavioral intention between users and short-form video platforms, but existing studies lack of multidimensional scales to measure privacy concerns towards short-form video platforms. To this end, this study took privacy concerns theory as the theoretical foundation to develop and validate a multidimensional privacy concerns scale in short-form video platforms by referring to the development of Smith, Milberg and Burke' multidimensional scale of concerns for information privacy (CFIP), Sheehan and Hoy's multidimensional scale of privacy concerns, Malhotra, Kim and Agarwal's Internet users' information privacy concerns (IUIPC) scale, and Hong and Thong's Internet privacy concerns (IPC) multidimensional scale. In this research, three representative short-form video platforms, TikTok, Kuaishou and Xigua, were selected as research samples. The multidimensional privacy concerns scale was refined by qualitative interviews and open-ended questionnaires et al. and tested by item analysis, exploratory factor analysis, confirmatory factor analysis, and discriminant validity et al. The results show that the privacy concerns scale towards short-form video platforms consists of three dimensions: collection concerns, awareness concerns, and usage concerns. And the multidimensional scale developed in this study has good reliability, convergent validity, and content validity, which can help guide short-form video platforms to take targeted measures to manage privacy concerns in business practices and provide a basis for future empirical studies on privacy concerns.</t>
  </si>
  <si>
    <t>[Wang, Qingqing; Zhang, Wensong] Beijing Jiaotong Univ, Sch Econ &amp; Management, Beijing, Peoples R China; [Wang, Haikun] Beijing Rongqing Technol Grp Co Ltd, Mkt Dept, Beijing, Peoples R China</t>
  </si>
  <si>
    <t>Beijing Jiaotong University</t>
  </si>
  <si>
    <t>Zhang, WS (corresponding author), Beijing Jiaotong Univ, Sch Econ &amp; Management, Beijing, Peoples R China.;Wang, HK (corresponding author), Beijing Rongqing Technol Grp Co Ltd, Mkt Dept, Beijing, Peoples R China.</t>
  </si>
  <si>
    <t>wszhan@bjtu.edu.cn; jasonk1218@sohu.com</t>
  </si>
  <si>
    <t>National Social Science Fund of China; [21AZD118]</t>
  </si>
  <si>
    <t>National Social Science Fund of China;</t>
  </si>
  <si>
    <t>Funding This work was supported by the National Social Science Fund of China, and the grand number is 21AZD118.</t>
  </si>
  <si>
    <t>AUG 5</t>
  </si>
  <si>
    <t>10.3389/fpsyg.2022.954964</t>
  </si>
  <si>
    <t>3Y7IU</t>
  </si>
  <si>
    <t>WOS:000843895900001</t>
  </si>
  <si>
    <t>Li, P; Sun, Y</t>
  </si>
  <si>
    <t>Li, Peng; Sun, Yang</t>
  </si>
  <si>
    <t>Impact of internet celebrities' short videos on audiences' visit intentions: Is beauty power?</t>
  </si>
  <si>
    <t>PHYSICAL ATTRACTIVENESS; DESTINATION ATTACHMENT; SOURCE CREDIBILITY; ENDORSEMENT; BRAND; CONGRUENCE; ATTITUDE; MATCH; IMAGE; SPOKESPERSON</t>
  </si>
  <si>
    <t>Although celebrity endorsements and promotional videos dominated by destination marketing organizations (DMOs) are critical in travel decision-making and destination marketing, as a new type of endorsement, the impact of internet celebrities' short travel videos on social platforms remains not well understood. To bridge this gap, the current study applied source credibility theory and the match-up hypothesis to construct a conceptual model for examining the impact of internet celebrity endorsements on audiences' visit intentions. FangQi Kiki, a typical producer of short travel videos on TikTok, was used as a case study. 649 valid samples were taken from respondents who were asked to complete a questionnaire after watching a short video. The results showed that internet celebrities' trustworthiness and expertise significantly affect audiences' visit intentions. However, attractiveness in terms of the physical characteristics of internet celebrities and internet celebrity-destination congruence had no significant effect on audiences' visit intentions. The implications show that Appearance Fallacy exists in online influencers' marketing, and physical appearance may affect the popularity of short travel videos online, but it has no significant effect on promoting destination marketing. Unlike the celebrity effect in conventional endorsements, internet celebrities' short videos belong to content marketing, where popular content is more important than an internet celebrity's personality. This research adds to the body of knowledge concerned with internet celebrity endorsements in tourism, providing valuable insights for DMOs to project short video marketing.</t>
  </si>
  <si>
    <t>[Li, Peng; Sun, Yang] Shandong Womens Univ, Sch Tourism, Jinan 250300, Peoples R China</t>
  </si>
  <si>
    <t>Shandong Womens University</t>
  </si>
  <si>
    <t>Li, P (corresponding author), Shandong Womens Univ, Sch Tourism, Jinan 250300, Peoples R China.</t>
  </si>
  <si>
    <t>32029@sdwu.edu.cn</t>
  </si>
  <si>
    <t>Li, Peng/KII-9583-2024</t>
  </si>
  <si>
    <t>Li, Peng/0000-0002-8122-7498</t>
  </si>
  <si>
    <t>MAR 9</t>
  </si>
  <si>
    <t>10.1057/s41599-024-02895-9</t>
  </si>
  <si>
    <t>KE2R2</t>
  </si>
  <si>
    <t>WOS:001178221400002</t>
  </si>
  <si>
    <t>Zhang, XM</t>
  </si>
  <si>
    <t>Zhang, Ximeng</t>
  </si>
  <si>
    <t>Evaluating the Effectiveness of Cross-media Writing to Enhance Children's Language Competences: An Educommunicative Study of Language Development in China</t>
  </si>
  <si>
    <t>| Escritura Multiplataforma; Desarrollo Ling &amp; uuml;istico; Competencia Ling &amp; uuml;istica; Pr &amp; aacute;cticas Comunicativas en la Educaci &amp; oacute;n. Cross-Media Writing; Language Development; Language Competence; Education Communicative Practices</t>
  </si>
  <si>
    <t>MOTIVATION; ENGAGEMENT</t>
  </si>
  <si>
    <t>Despite the extensive focus on language development, Chinese children are facing several types of difficulties in developing their linguistic skills in English, majorly due to their extensive character-based writing system and complex tonal language. It is observed that cross-media writing helps the children to promote level of engagement in English writing through multimodal language learning, creativity fostering, collaborative learning opportunities and transferable skills which lead to the promotion of language skills. To address these issues, this study proposed the importance of the effectiveness of cross-media writing in language development. The blended use of blogs, podcasts, TikTok, videos, and Duolingo's in TV ads as education communicative practices was considered as cross media platform. A survey questionnaire was developed for data collection from the language development experts in various Chinese educational institutions. By considering a cross-sectional research design, 265 valid responses were received and used in data analysis by using Structural Equation Modeling (SEM). Findings of the study revealed the major contribution of crossmedia writing to language development of Chinese children. This study provides valuable insights for the practitioners to promote language development among the Chinese children using cross-media in educational communication.</t>
  </si>
  <si>
    <t>[Zhang, Ximeng] Univ Normal Hanjiang, Escuela Lenguas Extranjeras, Shiyan 442000, Hubei, Peoples R China</t>
  </si>
  <si>
    <t>Zhang, XM (corresponding author), Univ Normal Hanjiang, Escuela Lenguas Extranjeras, Shiyan 442000, Hubei, Peoples R China.</t>
  </si>
  <si>
    <t>yourmona1982@1g3.com</t>
  </si>
  <si>
    <t>10.58262/V32I78.16</t>
  </si>
  <si>
    <t>WOS:001309482500016</t>
  </si>
  <si>
    <t>Amghar, H; El Hani, M; Cherrah, Y; Serragui, S</t>
  </si>
  <si>
    <t>Amghar, Hind; El Hani, Manal; Cherrah, Yahia; Serragui, Samira</t>
  </si>
  <si>
    <t>Incitement to misuse of corticosteroids by Arab YouTubers in a local context</t>
  </si>
  <si>
    <t>INTERNATIONAL JOURNAL OF RISK &amp; SAFETY IN MEDICINE</t>
  </si>
  <si>
    <t>YouTube; corticoids; misuse; weight gain; influencer; beauty criteria</t>
  </si>
  <si>
    <t>SOCIAL MEDIA; PREVALENCE; MECHANISMS; VIDEOS; TIKTOK</t>
  </si>
  <si>
    <t>BACKGROUND: The ubiquity of social media has ushered in an era where uncontrolled content sharing extends to all subjects, including sensitive topics such as medication consumption. OBJECTIVE: To quantify the prevalence of YouTube videos providing information on glucocorticoids and to underscore the risks associated with inaccurate information, which might inadvertently promote inappropriate use of these medications. METHODS: The YouTube videos were selected using predefined keywords from February 20 to March 4, 2023. The videos were categorized into two groups. Category 1 promotes the misuse of corticosteroids, while Category 2 raises awareness about the risks associated with these drugs. RESULTS: In total, 843 YouTube videos were included. Approximately 76% of the creators were women. Of these, category 1 videos (69.63%) predominated over Category 2 videos (30.37%). Regarding Category 1, dexamethasone was mentioned in 41.53% of cases, followed by hydrocortisone (17.30%). According to these YouTubers, these products/medications are mainly obtained from community pharmacies (58.09%), online shops (20.01%), and through illicit markets and the black market (13.46%). Weight gain was the most common objective, according to 32.62% of the YouTubers. CONCLUSION: This study highlights the prevalence of YouTube videos regarding the misuse of corticosteroids. The common focus on weight gain as an objective underscores the importance of educating content creators and viewers about responsible corticosteroid use. Targeted interventions are needed to promote safe and informed medication practices within this online environment.</t>
  </si>
  <si>
    <t>[Amghar, Hind; El Hani, Manal; Cherrah, Yahia; Serragui, Samira] Univ Mohammed V Rabat, Fac Med &amp; Pharm, Lab Pharmacol &amp; Toxicol, Pharmacoepidemiol &amp; Pharmacoecon Res Team, Rabat, Morocco</t>
  </si>
  <si>
    <t>Mohammed V University in Rabat; Ibn sina University Hospital Center of Rabat</t>
  </si>
  <si>
    <t>El Hani, M (corresponding author), Univ Mohammed V Rabat, Fac Med &amp; Pharm, Lab Pharmacol &amp; Toxicol, Pharmacoepidemiol &amp; Pharmacoecon Res Team, Rabat, Morocco.</t>
  </si>
  <si>
    <t>elhmanaal@gmail.com</t>
  </si>
  <si>
    <t>0924-6479</t>
  </si>
  <si>
    <t>1878-6847</t>
  </si>
  <si>
    <t>INT J RISK SAF MED</t>
  </si>
  <si>
    <t>Int. J. Risk Saf. Med.</t>
  </si>
  <si>
    <t>10.3233/JRS-230061</t>
  </si>
  <si>
    <t>G6V1J</t>
  </si>
  <si>
    <t>WOS:001317981800004</t>
  </si>
  <si>
    <t>Roca-Trenchs, N; López-Borrull, A; Lalueza, F</t>
  </si>
  <si>
    <t>Roca-Trenchs, Nuria; Lopez-Borrull, Alexandre; Lalueza, Ferran</t>
  </si>
  <si>
    <t>Twitch as a political communication tool: analysis of potentialities</t>
  </si>
  <si>
    <t>Twitch; political communication; social media; TikTok; Instagram; Twitter; youth; politainment</t>
  </si>
  <si>
    <t>MEDIA USE; TWITTER; YOUTH; PARTICIPATION; CAMPAIGNS; EFFICACY; FACEBOOK</t>
  </si>
  <si>
    <t>| The digital platform ecosystem has a mix of new players, innovations, and trends. To this must be added an increase in political disaffection, polarization, and disinformation. Twitch was created to entertain; here, we study its use for political communication, positing whether it can reach specific age segments, such as young people. The study presents an exploratory analysis of the Twitch profiles of the main political parties of the Spanish Congress of Deputies, specifically, PSOE and VOX, the only ones with a presence on that network. Profiles of Spanish, European and international political representatives and parties are also explored to broaden the scope of the analysis. Among the advantages are modernity, loyalty capacity, the potential to reach new voters in times of polarization, and the possibility to monetize content to fund campaigns. Challenges include the need to experiment with new formats, the increase of politainment, the need to create own narratives, and the opportunity to create new channels or increase the presence in existing ones. Twitch can contribute to the rapprochement between the political class and the citizenry, especially in young segments, more distant from politics. Trying out new proposals and rhetoric of proximity, connecting directly and persuasively with the most elusive audience and breaking the most inoperative polarizations may be some of the benefits derived from using Twitch due to its characteristics: livestream hegemony , interaction, engagement, loyalty, low advertising saturation, and a young audience.</t>
  </si>
  <si>
    <t>[Roca-Trenchs, Nuria] Univ Int Catalunya, Dept Ciencias Comunicac, Barcelona, Spain; [Lopez-Borrull, Alexandre] Univ Oberta Catalunya, Estudios Ciencias Informac &amp; Comunicac, Barcelona, Spain; [Lalueza, Ferran] Univ Oberta Catalunya, Barcelona, Spain</t>
  </si>
  <si>
    <t>Universitat Internacional de Catalunya (UIC); UOC Universitat Oberta de Catalunya; UOC Universitat Oberta de Catalunya</t>
  </si>
  <si>
    <t>Roca-Trenchs, N (corresponding author), Univ Int Catalunya, Dept Ciencias Comunicac, Barcelona, Spain.</t>
  </si>
  <si>
    <t>nroca@uic.es; alopezbo@uoc.edu; flalueza@uoc.edu</t>
  </si>
  <si>
    <t>López-Borrull, Alexandre/C-4363-2013; Lalueza, Ferran/ABF-5622-2021</t>
  </si>
  <si>
    <t>10.7764/cdi.57.64235</t>
  </si>
  <si>
    <t>IK2F6</t>
  </si>
  <si>
    <t>WOS:001166146300006</t>
  </si>
  <si>
    <t>Dost, B; Komurcu, O; Bilgin, S; Turunc, E; Ozden, GG; Hancioglu, S; Baris, S</t>
  </si>
  <si>
    <t>Dost, Burhan; Komurcu, Ozgur; Bilgin, Sezgin; Turunc, Esra; Ozden, Gaye Gamze; Hancioglu, Sertac; Baris, Sibel</t>
  </si>
  <si>
    <t>Is Preoperative Anxiety Affected by Watching Short Videos on Social Media? A Prospective Randomized Study</t>
  </si>
  <si>
    <t>JOURNAL OF PERIANESTHESIA NURSING</t>
  </si>
  <si>
    <t>general anesthesia; pediatric anesthesia; preoperative anxiety; the modi fied yale preoperative anxiety scale</t>
  </si>
  <si>
    <t>INDUCTION; CHILDREN; ANESTHESIA; SURGERY</t>
  </si>
  <si>
    <t>Purpose: The purpose of this study was to investigate the impact of watching short videos in the preoperative waiting room on preoperative anxiety in children.Design: This study was designed as a prospective, randomized trial including 69 ASA I-II patients aged 5 to 12 years who were scheduled for elective surgery.Methods: The children were randomly allocated to two groups. The experimental group browsed short videos on a social media platform (eg, YouTube short, TikTok, Instagram reels) for 20 minutes in the preoperative waiting room, but the control group did not. Children's preoperative anxiety was determined by the modified Yale Preoperative Anxiety Scale (mYPAS) at different time points: on arrival in the preoperative waiting room (T1), right before being taken to the operating room (OR) (T2), on entering the OR (T3), and during anesthesia induction (T4). The primary outcome of the study was children's anxiety scores at T2.Findings: The mYPAS scores at T1 were similar in both groups (P = .571). The mYPAS scores at T2, T3, and T4 were significantly lower in the video group than in the control group (P &lt; .001).Conclusions: Watching short videos on social media platforms in the preoperative waiting room lowered pre-operative anxiety levels in pediatric patients aged 5 to 12.(c) 2023 American Society of PeriAnesthesia Nurses. Published by Elsevier Inc. All rights reserved.</t>
  </si>
  <si>
    <t>[Dost, Burhan; Komurcu, Ozgur; Bilgin, Sezgin; Turunc, Esra; Ozden, Gaye Gamze; Baris, Sibel] Ondokuz Mayis Univ, Fac Med, Dept Anesthesiol &amp; Reanimat, Samsun, Turkiye; [Hancioglu, Sertac] Ondokuz Mayis Univ, Fac Med, Dept Pediat Surg, Samsun, Turkiye; [Dost, Burhan] Ondokuz Mayis Univ, Sch Med, Dept Anesthesiol, TR-55139 Kurupelit, Samsun, Turkiye</t>
  </si>
  <si>
    <t>Ondokuz Mayis University; Ondokuz Mayis University; Ondokuz Mayis University</t>
  </si>
  <si>
    <t>Dost, B (corresponding author), Ondokuz Mayis Univ, Sch Med, Dept Anesthesiol, TR-55139 Kurupelit, Samsun, Turkiye.</t>
  </si>
  <si>
    <t>burhandost@hotmail.com</t>
  </si>
  <si>
    <t>dost, burhan/AAS-4788-2020; Hancıoğlu, Sertaç/AGD-8297-2022</t>
  </si>
  <si>
    <t>Dost, Burhan/0000-0002-4562-1172</t>
  </si>
  <si>
    <t>1089-9472</t>
  </si>
  <si>
    <t>1532-8473</t>
  </si>
  <si>
    <t>J PERIANESTH NURS</t>
  </si>
  <si>
    <t>J. PeriAnesthesia Nurs.</t>
  </si>
  <si>
    <t>10.1016/j.jopan.2023.01.006</t>
  </si>
  <si>
    <t>W5FX0</t>
  </si>
  <si>
    <t>WOS:001091893400001</t>
  </si>
  <si>
    <t>Wang, SS; Spronk, R</t>
  </si>
  <si>
    <t>Wang, Shuaishuai; Spronk, Rachel</t>
  </si>
  <si>
    <t>Big data see through you: Sexual identifications in an age of algorithmic recommendation</t>
  </si>
  <si>
    <t>BIG DATA &amp; SOCIETY</t>
  </si>
  <si>
    <t>Behavioral data; algorithm; sexuality; queer; social media; Douyin</t>
  </si>
  <si>
    <t>On Douyin, China's domestic version of TikTok, straight users are being recommended queer content, and videos created by straight men are being recommended to queer viewers. As Douyin recommends videos based on users' online activities (e.g., liking, sharing, or spending time watching a video) and networks (e.g., connections made on the platform), sexuality comes to be algorithmically interpreted and defined. This process differs from an understanding of gender and sexuality as more or less fixed classifications that are the result of what people register when entering a platform concerning their gender and sexual identifications. This article analyzes viewers' and creators' experiences and reflections on the algorithmic grouping of sexual orientation and erotic curiosity through the relational lens of configurations. Using two years of online observational data and in-depth interviews with 18 Douyin users, both straight and same-sex orientated, we found that a language-centered, semiotic approach alone cannot assist in capturing the reconfiguration of sexual identifications presently occurring in China, and most likely elsewhere. Sexual identifications are the result of a relational process in which desires (regardless of sexual orientation) and intimacy, content creation and consumption, platform vernaculars and affordances, and data and algorithms converge and clash. This process allows for an erotic curiosity that has not yet been named or normalized in language systems and therefore reconfigures how sexual identity or orientation come to be understood in relation to the ever-increasing presence of computational power.</t>
  </si>
  <si>
    <t>[Wang, Shuaishuai] Univ Manchester, Sch Arts Languages &amp; Cultures, Oxford Rd, Manchester M13 9PL, England; [Spronk, Rachel] Univ Amsterdam, Dept Anthropol, Amsterdam, Netherlands</t>
  </si>
  <si>
    <t>University of Manchester; University of Amsterdam</t>
  </si>
  <si>
    <t>Wang, SS (corresponding author), Univ Manchester, Sch Arts Languages &amp; Cultures, Oxford Rd, Manchester M13 9PL, England.</t>
  </si>
  <si>
    <t>shuaishuai.wang@manchester.ac.uk</t>
  </si>
  <si>
    <t>Wang, Shuaishuai/IWE-3595-2023</t>
  </si>
  <si>
    <t>Wang, Shuaishuai/0000-0002-9691-3976; Spronk, Rachel/0000-0002-5207-711X</t>
  </si>
  <si>
    <t>Global Digital Cultures, the Research Priority Area of the University of Amsterdam, under the projectThe Algorithmic Configurationsof Sexuality on Social Media</t>
  </si>
  <si>
    <t>This work was supported by a seed grant from Global Digital Cultures, the Research Priority Area of the University of Amsterdam, under the projectThe Algorithmic Configurationsof Sexuality on Social Media.</t>
  </si>
  <si>
    <t>2053-9517</t>
  </si>
  <si>
    <t>BIG DATA SOC</t>
  </si>
  <si>
    <t>Big Data Soc.</t>
  </si>
  <si>
    <t>10.1177/20539517231215358</t>
  </si>
  <si>
    <t>CZ4P5</t>
  </si>
  <si>
    <t>WOS:001129042700001</t>
  </si>
  <si>
    <t>Kurnia, SS; Firmansyah; Ahmadi, D; Iskandar, D; Karsa, SI; Kustiman, E</t>
  </si>
  <si>
    <t>Kurnia, Septiawan Santana; Firmansyah; Ahmadi, Dadi; Iskandar, Dodi; Karsa, Satya Indra; Kustiman, Erwin</t>
  </si>
  <si>
    <t>Digital Diversification to Expand the Indonesian Radio Industry: A Case Study of PRFM, Delta, and Dahlia Stations br</t>
  </si>
  <si>
    <t>Digitization; digitalization; diversification; business; radio broadcast</t>
  </si>
  <si>
    <t>LOCAL RADIO; FM</t>
  </si>
  <si>
    <t>Digitization has made radio stations the business of news portals, global aggregator platforms, programmed journalism or algorithm journalism. How does the radio broadcasting business retain an audience and grow listeners across borders via Facebook, Twitter, Instagram, Youtube, TikTok, WhatsApp and Website? How does the radio broadcasting business disseminate information and promotions more intimately, personally and widely? How the radio broadcasting business is accessible to audiences, fun and mobile: pocketable, openable on mobile phones, computers, iPads and more? How do listeners interact and communicate anytime and anywhere? The answer is digitalization that has changed radio technology, social culture, economy and generations. These changes affect the management, production, distribution, and reception of radio broadcast listeners. The governance of the radio broadcasting business has been mandated, commissioned, and inspired by a unique public service. This research uses a Case Study, and Single Multi-Level Case Analysis, to confirm the theoretical proposition, of digitalization technology, in practice communication technology, which is used to develop radio broadcasting governance. How is the digitization of radio broadcasting governance used as an information technology tool, as a tool for developing marketing, and as a tool for information business diversification? Qualitative data were coded from observations, open interviews, Focus Group Discussions, and detailed documents to assess the views and experience of digitizing radio broadcast managers in managerial and business development.</t>
  </si>
  <si>
    <t>[Kurnia, Septiawan Santana] Univ Islam Bandung, Fac Commun Sci, Commun Media &amp; Journalism Courses, Bandung, West Java, Indonesia; [Firmansyah] Univ Islam Bandung, Bandung, Indonesia; [Ahmadi, Dadi] Univ Islam Bandung, Fac Commun, Bandung, Indonesia; [Iskandar, Dodi] Bandung Islam Univ Unisba, Fac Commun Sci, Bandung, Indonesia; [Karsa, Satya Indra] Univ Islam Bandung, Fac Commun Sci, Bandung, West Java, Indonesia; [Kustiman, Erwin] Pasundan Univ Bandung, Commun Sci Study Program, Fac Polit &amp; Social Secie, Bandung, Indonesia</t>
  </si>
  <si>
    <t>Pasundan University</t>
  </si>
  <si>
    <t>Kurnia, SS (corresponding author), Univ Islam Bandung, Fac Commun Sci, Commun Media &amp; Journalism Courses, Bandung, West Java, Indonesia.</t>
  </si>
  <si>
    <t>septiawan@unisba.ac.id; firmansyah.ivan@unisba.ac.id; dadi@unisba.ac.id; doddy@unisba.ac.id; satya@unisba.ac.id; erwinkustiman@unpas.ac.id</t>
  </si>
  <si>
    <t>K, Septiawan/AAI-7966-2021; Ahmadi, Dadi/X-7194-2018</t>
  </si>
  <si>
    <t>10.17576/JKMJC-2023-3903-11</t>
  </si>
  <si>
    <t>HY5Q1</t>
  </si>
  <si>
    <t>WOS:001163088500011</t>
  </si>
  <si>
    <t>Bhat, S; Shah, ZN; Siddesh, GM</t>
  </si>
  <si>
    <t>Chowdhary, CL; Alazab, M; Chaudhary, A; Hakak, S; Gadekallu, TR</t>
  </si>
  <si>
    <t>Bhat, Sandeep; Shah, Zeel Naman; Siddesh, G. M.</t>
  </si>
  <si>
    <t>Current challenges and applications of DeepFake systems</t>
  </si>
  <si>
    <t>COMPUTER VISION AND RECOGNITION SYSTEMS USING MACHINE AND DEEP LEARNING APPROACHES: Fundamentals, Technologies and Applications</t>
  </si>
  <si>
    <t>IET COMPUTING SERIES</t>
  </si>
  <si>
    <t>DeepFake; forensics; artificial intelligence; machine learning; cybercrime</t>
  </si>
  <si>
    <t>EXPOSING DIGITAL FORGERIES; JPEG IMAGES; LOCALIZATION; IDENTIFICATION</t>
  </si>
  <si>
    <t>Synthetic audio and video content are enormously growing in the Internet world today, creating many problems in recent years. The use of techniques such as artificial intelligence over multimedia to create fake content is known as DeepFake. It challenges the reality and genuineness of the created high-quality audio and video content. The synthetic media created is almost similar to the real media, and with bare eyes, it is almost impossible to differentiate them. Though the DeepFake has also been a boon in many multimedia fields such as film making, advertising, and animation industry to create magnetic media, it has also become a threat to society. There is software available across the Internet that can be used even by a novice to create fake multimedia contents that look very realistic and used for various criminal activities. The applications such as Snapchat, Instagram, Facebook, Twitter, and TikTok use multimedia as its contents. Social media applications can be easily falsified and can cause severe threats both personally and psychologically using DeepFake technology. Hence, there is a need for tools to detect the forged contents in the media to check and authenticate the data's genuineness and integrity. This chapter highlights the various challenges the human race faces because of the DeepFake technology and the limitation of different forensic tools available to analyze and forecast the challenging future and understand the solutions incorporated to secure the current data situation.</t>
  </si>
  <si>
    <t>[Bhat, Sandeep; Shah, Zeel Naman; Siddesh, G. M.] Ramaiah Inst Technol VTU, Dept Informat Sci &amp; Engn, Bangalore, Karnataka, India</t>
  </si>
  <si>
    <t>Bhat, S (corresponding author), Ramaiah Inst Technol VTU, Dept Informat Sci &amp; Engn, Bangalore, Karnataka, India.</t>
  </si>
  <si>
    <t>M, Siddesh/AAC-9139-2021</t>
  </si>
  <si>
    <t>INST ENGINEERING TECH-IET</t>
  </si>
  <si>
    <t>STEVENAGE</t>
  </si>
  <si>
    <t>MICHAEL FARADAY HOUSE, STEVENAGE, HERTS SG1 2AY, ENGLAND</t>
  </si>
  <si>
    <t>978-1-83953-324-2; 978-1-83953-323-5</t>
  </si>
  <si>
    <t>10.1049/PBPC042E</t>
  </si>
  <si>
    <t>Book Citation Index – Science (BKCI-S)</t>
  </si>
  <si>
    <t>BS6UA</t>
  </si>
  <si>
    <t>WOS:000752905800008</t>
  </si>
  <si>
    <t>Peng, AX; Liu, HY; Gao, Q</t>
  </si>
  <si>
    <t>Peng, Aoxiang; Liu, Huiyong; Gao, Qiong</t>
  </si>
  <si>
    <t>PUBLIC OPINION ANALYSIS STRATEGY OF SHORT VIDEO CONTENT REVIEW IN BIG DATA ENVIRONMENT</t>
  </si>
  <si>
    <t>2019 16TH INTERNATIONAL COMPUTER CONFERENCE ON WAVELET ACTIVE MEDIA TECHNOLOGY AND INFORMATION PROCESSING (ICWAMTIP)</t>
  </si>
  <si>
    <t>International Computer Conference on Wavelet Active Media Technology and Information Processing</t>
  </si>
  <si>
    <t>16th IEEE International Computer Conference on Wavelet Active Media Technology and Information Processing (ICCWAMTIP)</t>
  </si>
  <si>
    <t>DEC 13-15, 2019</t>
  </si>
  <si>
    <t>Univ Elect Sci &amp; Technol China, Chengdu, PEOPLES R CHINA</t>
  </si>
  <si>
    <t>Univ Elect Sci &amp; Technol China</t>
  </si>
  <si>
    <t>Short video; Network public opinion; Kernel k-means improved algorithm; Sentiment model; Spark</t>
  </si>
  <si>
    <t>PROPAGATION</t>
  </si>
  <si>
    <t>With the rapid development of mobile Internet and 4G, short video apps came into being. Internet companies have launched such explosive short video platforms as weishi, TikTok and kuaishou in response to the fragmented reading habits of the public. Internet users can more easily browse public opinion news, express opinions and emotions. In view of a variety of public opinion events and a large amount of comment information from Internet users, this paper proposes a big data public opinion analysis strategy which integrates short video content comments. Firstly, an improved kernel k-means algorithm based on local density and single-pass is proposed for topic discovery, which solves the problems of uncertainty of initial center point and high time complexity of K-means algorithm. Then, according to the characteristics of online public opinion, a model is proposed to quantitatively express the emotional value of public opinion comments. In the spark platform, the description titles and high praise comments of the hot videos of the short video platform in the past three months are used as the data set for simulation experiments. The results show that the improved algorithm improves the clustering effect, and solves the low efficiency problem caused by the high time complexity and large amount of data. The affective index of hot events given by the affective value measurement model accords with the public opinion guidance of recent public opinion events.</t>
  </si>
  <si>
    <t>[Peng, Aoxiang; Liu, Huiyong] Beijing Univ Posts &amp; Telecommun, Network Management Ctr, Inst Network Technol, Beijing 100876, Peoples R China; [Gao, Qiong] Beijing Univ Posts &amp; Telecommun, Network Secur Ctr, Inst Network Technol, Beijing 100876, Peoples R China</t>
  </si>
  <si>
    <t>Beijing University of Posts &amp; Telecommunications; Beijing University of Posts &amp; Telecommunications</t>
  </si>
  <si>
    <t>Peng, AX (corresponding author), Beijing Univ Posts &amp; Telecommun, Network Management Ctr, Inst Network Technol, Beijing 100876, Peoples R China.</t>
  </si>
  <si>
    <t>pax884789805@126.com</t>
  </si>
  <si>
    <t>2576-8972</t>
  </si>
  <si>
    <t>2576-8964</t>
  </si>
  <si>
    <t>978-1-7281-4242-5</t>
  </si>
  <si>
    <t>I COMP CONF WAVELET</t>
  </si>
  <si>
    <t>BP4OY</t>
  </si>
  <si>
    <t>WOS:000553538700022</t>
  </si>
  <si>
    <t>Fuller, J; Murphy, M; O'Connor, C</t>
  </si>
  <si>
    <t>Fuller, James; Murphy, Michelle; O'Connor, Cathal</t>
  </si>
  <si>
    <t>Red-faced lies: a qualitative analysis of online misinformation and conspiracy theories in rosacea</t>
  </si>
  <si>
    <t>Rosacea is a common chronic inflammatory skin disease with a complex aetiology and major psychological impact, rendering patients susceptible to misinformation. We aimed to assess the content of rosacea-related misinformation online. A formal review of PubMed was performed, using the terms 'rosacea' AND 'misinformation' OR 'disinformation' OR 'conspiracy theory', along with informal Google searches using combinations of these terms, and further targeted searches on Twitter, Facebook, Instagram and TikTok. Key areas of misinformation identified in the search included mislabelling of rosacea as adult acne; falsehoods about rosacea only occurring in older adults or in individuals with lightly pigmented skin; incorrect causes of rosacea such as makeup or diet; and misleading 'cures', some of which may lead to exacerbation of the underlying rosacea. Dermatologists must be aware of the large amount of rosacea misinformation trending online and be prepared to counteract them with evidence to optimize patient care. Rosacea is a common chronic inflammatory skin disease with a complex aetiology and major psychological impact, rendering patients susceptible to misinformation. Key areas of misinformation identified in the search included mislabelling as adult acne; falsehoods about rosacea only occurring in older adults or in individuals with lightly pigmented skin; incorrect causes such as makeup or diet; and misleading 'cures', some of which may lead to exacerbation of the underlying rosacea. Dermatologists must be aware of the large amount of misinformation on rosacea trending online and be prepared to counteract it with evidence to optimize patient care.</t>
  </si>
  <si>
    <t>[Fuller, James; Murphy, Michelle; O'Connor, Cathal] South Infirm Victoria Univ Hosp, Dept Dermatol, Cork, Ireland; [Murphy, Michelle; O'Connor, Cathal] Univ Coll Cork, Dept Med, Cork, Ireland</t>
  </si>
  <si>
    <t>O'Connor, C (corresponding author), South Infirm Victoria Univ Hosp, Dept Dermatol, Cork, Ireland.;O'Connor, C (corresponding author), Univ Coll Cork, Dept Med, Cork, Ireland.</t>
  </si>
  <si>
    <t>O'Connor, Cathal/0000-0001-7084-5293; Murphy, Michelle/0000-0003-2431-076X; Fuller, James/0000-0002-8356-6362</t>
  </si>
  <si>
    <t>10.1093/ced/llad307</t>
  </si>
  <si>
    <t>Y5ZY6</t>
  </si>
  <si>
    <t>WOS:001079953300001</t>
  </si>
  <si>
    <t>Jia, C; Zhang, JT</t>
  </si>
  <si>
    <t>Jia, Chao; Zhang, Jingting</t>
  </si>
  <si>
    <t>How the Popularity of Short Videos Promotes Regional Endogeneity in Northwest China: A Qualitative Study</t>
  </si>
  <si>
    <t>short videos; return migration; sustainability; regional endogeneity</t>
  </si>
  <si>
    <t>RETURN MIGRATION; PLACES</t>
  </si>
  <si>
    <t>Return migration is critical to regional endogeneity, especially in rural areas. In recent years, short videos, such as those on TikTok, have become very popular in rural China, which has attracted many people to return to their hometowns and become cyber-celebrities, profiting from the production of short videos to showcase local agricultural culture. The question focused on in this paper is to what extent the popularity of short videos has influenced return migration and what role it has played in promoting regional endogeneity. We conducted a qualitative survey of cyber-celebrities in Qingyang City, one of the poorest regions in northwest China, using NVivo12 software to validate a mechanistic model linking the popularity of short videos and return migration, and further explored the positive implications of reviving local agricultural culture through new technologies for regional endogeneity. The results show that (1) the popularity of short videos has a positive impact on return migration, (2) technical and financial support from local communities has a positive effect on the popularity of short videos, and (3) emotional strategies and local knowledge are key factors for the popularity of short videos. This study could help local communities build more competitive strategies while helping cyber-celebrities produce more communicative works to showcase local agricultural culture. The popularity of short videos is believed to have a positive impact on the preservation of regional agricultural heritage.</t>
  </si>
  <si>
    <t>[Jia, Chao] Nanjing Univ, Sch Social &amp; Behav Sci, Nanjing 210023, Peoples R China; [Zhang, Jingting] Shanghai Int Studies Univ, Ctr Global Publ Opin China, Sch European &amp; Latin Amer Studies, Shanghai 201620, Peoples R China</t>
  </si>
  <si>
    <t>Nanjing University; Shanghai International Studies University</t>
  </si>
  <si>
    <t>Zhang, JT (corresponding author), Shanghai Int Studies Univ, Ctr Global Publ Opin China, Sch European &amp; Latin Amer Studies, Shanghai 201620, Peoples R China.</t>
  </si>
  <si>
    <t>juyanze21@gmail.com; felisazhang007@gmail.com</t>
  </si>
  <si>
    <t>zhang, jingting/HSH-3334-2023</t>
  </si>
  <si>
    <t>Jia, Chao/0000-0002-5495-8463; Zhang, Jingting/0000-0002-2130-1908</t>
  </si>
  <si>
    <t>10.3390/su14063664</t>
  </si>
  <si>
    <t>0B2IO</t>
  </si>
  <si>
    <t>WOS:000774464200001</t>
  </si>
  <si>
    <t>Brooks, MA</t>
  </si>
  <si>
    <t>Brooks, Marcus A.</t>
  </si>
  <si>
    <t>Online discourse in the post- new racism era?: Toward a theory of colorblind nationalism</t>
  </si>
  <si>
    <t>SOCIOLOGY COMPASS</t>
  </si>
  <si>
    <t>discourse; internet; qualitative methods; race; racism</t>
  </si>
  <si>
    <t>RACE; WHITE; TWITTER; RETHINKING; IDEOLOGY; FRAME</t>
  </si>
  <si>
    <t>The literature on styles of racetalk, the way we talk about race in racist social structures, suggests that racial discourse is either covertly or overtly racist, with covert racism being dominant in the offline world and overt racism remaining dominant online. In this study I ask: is there a style of racetalk found in online discourse that does not fit within the covert/overt binary of racetalk that is present in the current literature. To address this research question, I draw on data from three social media platforms, TikTok, YouTube, and Twitter, and examine two racialized popular discourses, the cancellation of Aunt Jemima and the debates over Critical Race Theory. I find that among conservative social media users, but not liberals, neither overt nor covert styles of racetalk, describe the character of the racial discourse in my data. Instead, I find a distinct style of racetalk with three characteristics: (1) Conservative social media users draw politicized boundaries which frame Black people as part of their ingroup and leftists as an outgroup, (2) The members of the political ingroup, white conservatives and Black people, share a common threat from the political outgroup, and (3) The political ingroup should represent a multiracial political coalition who supports conservative politicians and causes. I introduce Colorblind Nationalism as a theory of politicized racetalk which situates these findings within our current socio-political context and creates avenues for future research.</t>
  </si>
  <si>
    <t>[Brooks, Marcus A.] Western Kentucky Univ, Bowling Green, KY 42101 USA</t>
  </si>
  <si>
    <t>Western Kentucky University</t>
  </si>
  <si>
    <t>Brooks, MA (corresponding author), Western Kentucky Univ, Bowling Green, KY 42101 USA.</t>
  </si>
  <si>
    <t>Marcus.Brooks@wku.edu</t>
  </si>
  <si>
    <t>Brooks, Marcus/0000-0002-4609-5979</t>
  </si>
  <si>
    <t>1751-9020</t>
  </si>
  <si>
    <t>SOCIOL COMPASS</t>
  </si>
  <si>
    <t>Sociol. Compass</t>
  </si>
  <si>
    <t>e13191</t>
  </si>
  <si>
    <t>10.1111/soc4.13191</t>
  </si>
  <si>
    <t>HW8Y0</t>
  </si>
  <si>
    <t>WOS:001162650700001</t>
  </si>
  <si>
    <t>Zhang, HD; Ban, YX; Guo, ZM; Xu, ZM; Ma, Q; Wang, Y; Zhang, XG</t>
  </si>
  <si>
    <t>Zhang, Haodan; Ban, Yixuan; Guo, Zongming; Xu, Zhimin; Ma, Qian; Wang, Yue; Zhang, Xinggong</t>
  </si>
  <si>
    <t>QUTY: Towards Better Understanding and Optimization of Short Video Quality</t>
  </si>
  <si>
    <t>PROCEEDINGS OF THE 2023 PROCEEDINGS OF THE 14TH ACM MULTIMEDIA SYSTEMS CONFERENCE, MMSYS 2023</t>
  </si>
  <si>
    <t>14th ACM Multimedia Systems Conference (MMSys)</t>
  </si>
  <si>
    <t>JUN 07-10, 2023</t>
  </si>
  <si>
    <t>Quality of Experience (QoE); short video; adaptive streaming; hierarchical reinforcement learning (HRL)</t>
  </si>
  <si>
    <t>Short video applications such as TikTok and Instagram have attracted tremendous attention recently. However, it is very limited for industry and academia to understand the user's Quality of Experience (QoE) on short video, let alone how to improve the QoE in short video streaming. In this paper, we dug into the factors that affect the user's QoE and then propose a system which models and optimizes user's QoE. We unveil the QoE formulation of short video by diving into the understanding of users' viewing behavior, and analyzing large dataset (more than 10 million records) from Douyin (a short video application). We find that: (a) the increase of rebuffering duration, rebuffering times, and starting delay will decrease the user retention ratio, whereas the video bitrate has little effect. (b) the users exhibit different viewing behavior patterns such as scrolling video fastly or slowly, which can be utilize to improve QoE. Over these findings, we propose QUTY, a QoE-driven short video streaming system, which utilizes a data-driven approach to quantify QoE of short video and optimizes it with a Hierarchical Reinforcement Learning (HRL) method. Our evaluations show that QUTY can reduce the rebuffering ratio by up to 49.9%, reduce the rebuffering times by up to 55.8%, reduce the startup delay by up to 81.9%, and improve the QoE by up to 8.5% compared with the existing short video streaming approaches.</t>
  </si>
  <si>
    <t>[Zhang, Haodan; Ban, Yixuan; Guo, Zongming; Zhang, Xinggong] Peking Univ, Wangxuan Inst Comp Technol, Beijing, Peoples R China; [Xu, Zhimin; Ma, Qian; Wang, Yue] ByteDance Inc, Beijing, Peoples R China</t>
  </si>
  <si>
    <t>Zhang, HD (corresponding author), Peking Univ, Wangxuan Inst Comp Technol, Beijing, Peoples R China.</t>
  </si>
  <si>
    <t>Zhang, Haodan/0000-0003-2499-986X; ZHANG, XINGGONG/0000-0003-0484-5951</t>
  </si>
  <si>
    <t>NSFC [U21B2012]; State Key Laboratory of Media Convergence Production Technology and Systems, Key Laboratory of Intelligent Press Media Technology</t>
  </si>
  <si>
    <t>NSFC(National Natural Science Foundation of China (NSFC)); State Key Laboratory of Media Convergence Production Technology and Systems, Key Laboratory of Intelligent Press Media Technology</t>
  </si>
  <si>
    <t>We thank the anonymous reviewers for their valuable feedback. This work was sponsored by the NSFC grant(U21B2012). We gratefully acknowledge the support of State Key Laboratory of Media Convergence Production Technology and Systems, Key Laboratory of Intelligent Press Media Technology. Zongming Guo is the corresponding author.</t>
  </si>
  <si>
    <t>979-8-4007-0148-1</t>
  </si>
  <si>
    <t>10.1145/3587819.3590984</t>
  </si>
  <si>
    <t>Computer Science, Cybernetics; Computer Science, Information Systems; Computer Science, Software Engineering; Computer Science, Theory &amp; Methods; Imaging Science &amp; Photographic Technology</t>
  </si>
  <si>
    <t>BW2MU</t>
  </si>
  <si>
    <t>WOS:001119112000016</t>
  </si>
  <si>
    <t>Donny, CD; Adnan, NH</t>
  </si>
  <si>
    <t>Donny, Claudia Dona; Adnan, Nor Hafizah</t>
  </si>
  <si>
    <t>TESL Undergraduates' Perceptions: Utilizing Social Media to Elevate Speaking Skills</t>
  </si>
  <si>
    <t>English speaking skills; ESL student; speaking skills; social media; TESL</t>
  </si>
  <si>
    <t>UNIVERSITY; STUDENTS; PERFORMANCE; LEARNERS; ENGLISH; SITES</t>
  </si>
  <si>
    <t>Teaching English as a Second Language undergraduates are English teachers in training. Recently, a concern arose when it was found that these undergraduates in Indonesia perceived their speaking skills as the lowest in terms of their mastery. Many studies have been conducted on the use of social media. Still, there is a literature gap in using social media among TESL undergraduates in the Malaysian context. Thus, this study aimed to explore TESL undergraduates' perceptions of their speaking skill mastery and their perceptions of utilizing social media to enhance their speaking skills. It was significant to investigate how those undergraduates feel about their speaking skill mastery to create self-awareness. By being aware of their belief, they can find ways to keep improving themselves. The main question for the study was to discover respondents' belief in their speaking mastery level and respondents' self-confidence in speaking performance. A total of 132 respondents from the National University of Malaysia participated in this research through an online questionnaire conducted on Google Forms. The results showed that the students recorded unsatisfactory perceptions of their speaking skill mastery. The data revealed that social media does help in elevating their speaking skills. The students chose 'WhatsApp,' 'YouTube,' and 'TikTok' as their preferred social media that help their oral communication skills. In addition, limitations and recommendations were explained to better future works in the equivalent or relevant studies.</t>
  </si>
  <si>
    <t>[Donny, Claudia Dona] Univ Kebangsaan Malaysia, Fac Educ, Bangi, Selangor, Malaysia; [Adnan, Nor Hafizah] Univ Kebangsaan Malaysia, Fac Educ, Educ Technol, Bangi, Selangor, Malaysia</t>
  </si>
  <si>
    <t>Adnan, NH (corresponding author), Univ Kebangsaan Malaysia, Fac Educ, Educ Technol, Bangi, Selangor, Malaysia.</t>
  </si>
  <si>
    <t>norhafizah@ukm.edu.my</t>
  </si>
  <si>
    <t>Universiti Kebangsaan Malaysia [GG -2021-011]</t>
  </si>
  <si>
    <t>Acknowledgment This work was supported by Universiti Kebangsaan Malaysia [GG -2021-011] .</t>
  </si>
  <si>
    <t>10.24093/awej/vol13no4.35</t>
  </si>
  <si>
    <t>9P7GE</t>
  </si>
  <si>
    <t>WOS:000944448400035</t>
  </si>
  <si>
    <t>Liang, SZ; Hsu, MH; Chou, TH</t>
  </si>
  <si>
    <t>Liang, Shi-Zhu; Hsu, Meng-Hsiang; Chou, Tung-Hsiang</t>
  </si>
  <si>
    <t>Effects of Celebrity-Product/Consumer Congruence on Consumer Confidence, Desire, and Motivation in Purchase Intention</t>
  </si>
  <si>
    <t>celebrity congruence with product; consumers; recommendations; psychological states; confidence; desire; motivation; purchase intention</t>
  </si>
  <si>
    <t>WORD-OF-MOUTH; SOURCE CREDIBILITY; MODERATING ROLE; SOCIAL MEDIA; SELF-CONCEPT; BRAND; IMPACT; ENDORSER; TRUST; IMAGE</t>
  </si>
  <si>
    <t>It is well known that the consistency of Internet celebrity affects consumers' purchase intention, but there are few studies on the logic behind the influence. This study investigates the impact of Internet celebrity congruence factors (celebrity congruence with the recommended products and celebrity congruence with followers) on followers' purchasing psychological states and purchase behaviors. The research model is rooted in congruence theory and social-network theory and we conducted an empirical study on Tiktok and IG followers of celebrities. Then, we used partial least squares structural equation modeling (PLS-SEM) to analyze 297 valid questionnaires. The results show the congruence of Internet celebrity with both followers and products promotes follower product adoption; the congruence does so by enhancing followers' perception that the recommendations are credible, in turn increasing the followers' confidence in, desire for, and motivation to buy the product. This study explains that the congruence of Internet celebrities with followers and products must be strongly present in the recommendation, which leads to a high credibility recommendation. A high credibility recommendation greatly influences consumers' pre-purchase psychological states and thus enhance their purchase intention. This study demonstrates to practitioners that when consumers' purchase intention is lower than expected, it is necessary to consider the credibility of the recommendation.</t>
  </si>
  <si>
    <t>[Liang, Shi-Zhu; Hsu, Meng-Hsiang; Chou, Tung-Hsiang] Natl Kaohsiung Univ Sci &amp; Technol, Dept Informat Management, Kaohsiung 82445, Taiwan</t>
  </si>
  <si>
    <t>National Kaohsiung University of Science &amp; Technology</t>
  </si>
  <si>
    <t>Liang, SZ (corresponding author), Natl Kaohsiung Univ Sci &amp; Technol, Dept Informat Management, Kaohsiung 82445, Taiwan.</t>
  </si>
  <si>
    <t>i108123111@nkust.edu.tw; mhhsu@nkust.edu.tw; sam@nkust.edu.tw</t>
  </si>
  <si>
    <t>Liang, Shi-Zhu/0000-0003-1963-3943</t>
  </si>
  <si>
    <t>10.3390/su14148786</t>
  </si>
  <si>
    <t>3H0NT</t>
  </si>
  <si>
    <t>WOS:000831741400001</t>
  </si>
  <si>
    <t>Huang, Q; Hu, MX; Chen, HL</t>
  </si>
  <si>
    <t>Huang, Qing; Hu, Mingxin; Chen, Hongliang</t>
  </si>
  <si>
    <t>Exploring Stress and Problematic Use of Short-Form Video Applications among Middle-Aged Chinese Adults: The Mediating Roles of Duration of Use and Flow Experience</t>
  </si>
  <si>
    <t>stress; duration of use; flow experience; problematic SVAs use; serial mediation</t>
  </si>
  <si>
    <t>SMARTPHONE ADDICTION; INTERNET ADDICTION; SELF-EFFICACY; MODEL; HEALTH; DEPRESSION; STUDENTS; SUPPORT; ANXIETY; PEOPLE</t>
  </si>
  <si>
    <t>The pervasiveness of smartphones and the popularity of short-form video applications (SVAs), such as TikTok, among middle-aged Chinese adults have raised concerns about problematic SVAs use. Although a plethora of research has examined problematic smartphone use among teenagers and young adults, scarce attention has been paid to the middle-aged group. This study integrates the psychopathological approach and the compensatory use approach to explicate problematic SVAs use among middle-aged Chinese adults. We aim to examine the relationship between stress and problematic SVAs use via the mediating roles of duration of use and flow experience. A total of 194 middle-aged adults from across the nation participated in an online survey. The results showed that stress was positively associated with problematic SVAs use. We also found that duration of use positively mediated the relationship between stress and problematic SVAs use. Furthermore, a serial mediation effect of duration of use and flow experience was found. The findings suggest that the aforementioned two approaches are complementary to each other in explicating problematic SVAs use, but the compensatory use approach explains more than the psychopathological approach does. Flow experience extends the original compensatory use approach and demonstrates the importance of incorporating techno-psychological predictors in understanding problematic SVAs use.</t>
  </si>
  <si>
    <t>[Huang, Qing; Hu, Mingxin; Chen, Hongliang] Zhejiang Univ, Coll Media &amp; Int Culture, Hangzhou 310058, Peoples R China</t>
  </si>
  <si>
    <t>Chen, HL (corresponding author), Zhejiang Univ, Coll Media &amp; Int Culture, Hangzhou 310058, Peoples R China.</t>
  </si>
  <si>
    <t>qing_huang@zju.edu.cn; 12123019@zju.edu.cn; hongliangchen@zju.edu.cn</t>
  </si>
  <si>
    <t>Chen, Hongliang/JPX-9733-2023; Huang, Qing/ABA-7859-2021</t>
  </si>
  <si>
    <t>Chen, Hongliang/0000-0003-0141-1074; Huang, Qing/0000-0002-5905-3997</t>
  </si>
  <si>
    <t>Fundamental Research Funds for the Central Universities; National Social Science Foundation of China [19CXW029]</t>
  </si>
  <si>
    <t>Fundamental Research Funds for the Central Universities(Fundamental Research Funds for the Central Universities); National Social Science Foundation of China(National Office of Philosophy and Social Sciences)</t>
  </si>
  <si>
    <t>FundingThis work was supported by the Fundamental Research Funds for the Central Universities and the National Social Science Foundation of China (19CXW029).</t>
  </si>
  <si>
    <t>10.3390/ijerph19010132</t>
  </si>
  <si>
    <t>YT1JZ</t>
  </si>
  <si>
    <t>WOS:000751125100001</t>
  </si>
  <si>
    <t>Jiang, HB; Fan, ZY; Wang, JL; Liu, SH; Lin, WJ</t>
  </si>
  <si>
    <t>Jiang, Hong-Bo; Fan, Zou-Yang; Wang, Jin-Long; Liu, Shih-Hao; Lin, Wen-Jing</t>
  </si>
  <si>
    <t>The determinants of product trust in live streaming E-commerce: a hybrid method integrating SEM and fsQCA</t>
  </si>
  <si>
    <t>Live streaming e-commerce; Product trust; Configurational analysis; Streamer characteristics; Para-social interaction; Elaboration likelihood model</t>
  </si>
  <si>
    <t>IMPACT; INFORMATION</t>
  </si>
  <si>
    <t>PurposeThis study adopts the elaboration likelihood model and configuration perspectives to explore the internal mechanisms underlying the influence of live streaming on consumer trust building and purchase intention.Design/methodology/approachThis study invited 757 experienced live streaming e-commerce users from Chinese platforms such as TikTok and RED, who participated in survey by filling questionnaires collected online. The research employed a mixed-method approach using SEM and fsQCA. SEM was utilized to analyze quantitative data to determine the direct and mediated relationships within product trust, while fsQCA served as a complement to identify the combinations of conditions that enhance product trust.FindingsThe findings reveal three important insights. Firstly, in the context of live streaming e-commerce, both product characteristics and streamer characteristics significantly influence consumers' trust in products. The para-social interaction plays a partial mediating role in the relationship between streamer characteristics and product trust. Secondly, four distinct paths are identified that contribute to enhancing product trust in live streaming e-commerce. Thirdly, PSI emerging as a core condition across all four paths, underscores the importance for merchants to foster positive social interactions with consumers beyond the live streaming environment.Originality/valueThis study enhances understanding of the dynamic live streaming e-commerce industry, offering insights into consumer behavior and practical guidance for merchants seeking to build engaged, trustworthy customer relationships.</t>
  </si>
  <si>
    <t>[Jiang, Hong-Bo; Fan, Zou-Yang; Lin, Wen-Jing] Xiamen Univ Technol, Econ &amp; Management Dept, Xiamen, Peoples R China; [Wang, Jin-Long] Ming Chuan Univ, Dept Informat &amp; Telecommun Engn, Taoyuan, Taiwan; [Liu, Shih-Hao] Ming Chuan Univ, Dept Tourism, Taoyuan, Taiwan</t>
  </si>
  <si>
    <t>Xiamen University of Technology; Ming Chuan University; Ming Chuan University</t>
  </si>
  <si>
    <t>Liu, SH (corresponding author), Ming Chuan Univ, Dept Tourism, Taoyuan, Taiwan.</t>
  </si>
  <si>
    <t>shihhao@mail.mcu.edu.tw</t>
  </si>
  <si>
    <t>Liu, Shihhao/ABF-1660-2021; Lin, Wenjing/AEU-4039-2022</t>
  </si>
  <si>
    <t>Liu, Shih-Hao/0000-0003-4633-1430</t>
  </si>
  <si>
    <t>Doctoral Support Project of Fujian Provincial Social Science Foundation Project [FJ2024BF050]; Undergraduate Education and Teaching Research Project of Fujian Province [FBJG20220233]</t>
  </si>
  <si>
    <t>Doctoral Support Project of Fujian Provincial Social Science Foundation Project; Undergraduate Education and Teaching Research Project of Fujian Province</t>
  </si>
  <si>
    <t>This research was supported by the Doctoral Support Project of Fujian Provincial Social Science Foundation Project (FJ2024BF050) and the Undergraduate Education and Teaching Research Project of Fujian Province (FBJG20220233).</t>
  </si>
  <si>
    <t>10.1108/APJML-01-2024-0048</t>
  </si>
  <si>
    <t>C5F5F</t>
  </si>
  <si>
    <t>WOS:001289621500001</t>
  </si>
  <si>
    <t>Elkatmis, M</t>
  </si>
  <si>
    <t>Elkatmis, Metin</t>
  </si>
  <si>
    <t>Examination of social media usage habits of generation Z</t>
  </si>
  <si>
    <t>habit; primary school; student; social media; Generation Z</t>
  </si>
  <si>
    <t>NETWORKING SITES; CHILDREN</t>
  </si>
  <si>
    <t>Undoubtedly, social media is one of the significant components of computer and internet technologies. It offers users the opportunity to share emotions, thoughts, and life experiences through various means such as text, images, and videos on the internet. In doing so, it not only provides a multifaceted communication and interaction opportunity for users of all ages but also creates a dynamic and entertaining parallel universe. This universe shapes and transforms individual, social, and cultural life, as well as habits. With the daily increase in user numbers, social media has become an integral part of our lives. The primary objective of this study is to determine the social media usage habits of fourth-grade students, known as Generation Z. The research was conducted using semi-structured interviews, a qualitative data collection method. The universe of the study consisted of 654 fourth-grade students attending state schools in seven different provincial centers representing the seven geographical regions of Turkey during the 2021-2022 academic year. The data were collected using an interview form developed for this research and analyzed with the content analysis technique. According to the research findings, it was determined that approximately three-quarters of primary school fourth-grade students use social media on a daily basis. Moreover, most participants stated that they use social media for educational, communicative, and entertainment purposes. The most preferred social media platforms by students were identified as YouTube, WhatsApp, TikTok, and Instagram.</t>
  </si>
  <si>
    <t>[Elkatmis, Metin] Giresun Univ, Fac Educ, Dept Primary Educ, Giresun, Turkiye</t>
  </si>
  <si>
    <t>Giresun University</t>
  </si>
  <si>
    <t>Elkatmis, M (corresponding author), Giresun Univ, Fac Educ, Dept Primary Educ, Giresun, Turkiye.</t>
  </si>
  <si>
    <t>metinelkatmis@hotmail.com</t>
  </si>
  <si>
    <t>Elkatmis, Metin/AAK-5531-2021</t>
  </si>
  <si>
    <t>The author(s) declare that no financial support was received for the research, authorship, and/or publication of this article.</t>
  </si>
  <si>
    <t>10.3389/fpsyg.2024.1370823</t>
  </si>
  <si>
    <t>ZX6K7</t>
  </si>
  <si>
    <t>WOS:001278622300001</t>
  </si>
  <si>
    <t>Gu, X; Zhang, XX; Kannan, PK</t>
  </si>
  <si>
    <t>Gu, Xian; Zhang, Xiaoxi; Kannan, P. K.</t>
  </si>
  <si>
    <t>Influencer Mix Strategies in Livestream Commerce: Impact on Product Sales</t>
  </si>
  <si>
    <t>livestreaming; influencer marketing; social commerce; social shopping; user-generated content; social media; product sales</t>
  </si>
  <si>
    <t>ENGAGEMENT; INSTAGRAM</t>
  </si>
  <si>
    <t>A new trend in influencer marketing is livestream commerce, which combines influencers' live video streaming with e-commerce. Little is known, though, about how firms should develop their influencer strategies to maximize product sales. Given a budget constraint, marketers may choose to employ a single, big influencer with a large number of followers or several small influencers. They may also employ a combination of both big and small influencers when their budget is adequate. Analyzing data from 1.3 million livestreams on TikTok, the authors find a negative interaction effect between big and small influencers when employed together due to decreased trust in big influencers and substitution effects. Further analysis reveals that livestream sales generated by a big influencer are adversely affected by small influencers who promoted the same product previously, but not the other way around. In addition, big influencers can reach a much larger audience, whereas small influencers are more effective at increasing the audience's conversion rates. Big and small influencers are also different in terms of how product and campaign characteristics moderate their sales effectiveness. Finally, the scenario analysis explores how the profitability of influencer strategies hinges on the influencer mix and their costs. This research is one of the first to investigate the sales effectiveness of influencer marketing and to provide general guidelines for developing influencer mix strategies.</t>
  </si>
  <si>
    <t>[Gu, Xian] Indiana Univ, Kelley Sch Business, Mkt, Bloomington, IN USA; [Zhang, Xiaoxi] SUNY Stony Brook, Dept Econ, econ, Stony Brook, NY 11794 USA; [Kannan, P. K.] Univ Maryland, Robert H Smith Sch Business, Mkt Sci, College Pk, MD USA</t>
  </si>
  <si>
    <t>Indiana University System; Indiana University Bloomington; IU Kelley School of Business; State University of New York (SUNY) System; Stony Brook University; University System of Maryland; University of Maryland College Park</t>
  </si>
  <si>
    <t>Zhang, XX (corresponding author), SUNY Stony Brook, Dept Econ, econ, Stony Brook, NY 11794 USA.</t>
  </si>
  <si>
    <t>xiangu@iu.edu; xiaoxi.zhang@outlook.com; pkannan@umd.edu</t>
  </si>
  <si>
    <t>Kannan, Pallassana/D-8192-2011; Zhang, Xiaoxi/KBP-8753-2024</t>
  </si>
  <si>
    <t>10.1177/00222429231213581</t>
  </si>
  <si>
    <t>WOS:001136544600001</t>
  </si>
  <si>
    <t>Manzar, MD; Albougami, A; Usman, N; Mamun, MA</t>
  </si>
  <si>
    <t>Manzar, Md Dilshad; Albougami, Abdulrhman; Usman, Norina; Mamun, Mohammed A.</t>
  </si>
  <si>
    <t>Suicide among adolescents and youths during the COVID-19 pandemic lockdowns: A press media reports-based exploratory study</t>
  </si>
  <si>
    <t>JOURNAL OF CHILD AND ADOLESCENT PSYCHIATRIC NURSING</t>
  </si>
  <si>
    <t>adolescent suicide; COVID-19 self-harm; COVID-19 suicide; press reporting suicide; teenage suicide; youth suicide</t>
  </si>
  <si>
    <t>Problem Suicide incidences among adolescents and youths during the Coronavirus Disease 2019 (COVID-19) lockdowns have been reported across the world. However, no studies have been carried out to investigate cumulative nature, patterns, and causative factors of such suicide incidences. Methods A purposive sampling of Google news between 15 February and 6 July was performed. After excluding duplicate reports, the final list comprised a total of 37-suicide cases across 11 countries. Findings More male suicides were reported (21-cases, i.e., 56.76%), and the mean age of the total victims was 16.6 +/- 2.7 years (out of a total of 29 cases). About two-thirds of the suicides were from three countries named India (11-cases), UK (8-cases), and the USA (6-cases). Out of 23-student victims, 14 were school-going students. Hanging was the most common suicide method accounting in 51.4% of cases. The most common suicide causalities were related to mental sufferings such as depression, loneliness, psychological distress, and so forth, whereas either online schooling or overwhelming academic distress was placed as the second most suicide stressors followed by TikTok addiction-related psychological distress, and tested with the COVID-19. Conclusions The finding of the temporal distribution of suicides concerning lockdowns may help in exploring and evolving public measures to prevent/decrease pandemic-related suicides in young people.</t>
  </si>
  <si>
    <t>[Manzar, Md Dilshad; Albougami, Abdulrhman] Majmaah Univ, Coll Appl Med Sci, Dept Nursing, Al Majmaah, Saudi Arabia; [Usman, Norina] Stanford Univ, Dept Genet, VA Hosp, Palo Alto, CA 94304 USA; [Usman, Norina; Mamun, Mohammed A.] CHINTA Res Bangladesh Ctr Hlth Innovat Networking, Dhaka, Bangladesh; [Mamun, Mohammed A.] Jahangirnagar Univ, Dept Publ Hlth &amp; Informat, Dhaka, Bangladesh</t>
  </si>
  <si>
    <t>Majmaah University; Stanford University; Jahangirnagar University</t>
  </si>
  <si>
    <t>Mamun, MA (corresponding author), CHINTA Res Bangladesh, Dhaka 1342, Bangladesh.</t>
  </si>
  <si>
    <t>mamunphi46@gmail.com</t>
  </si>
  <si>
    <t>Albougami, Abdulrhman/W-2922-2019; Manzar, Md Dilshad/HHC-5599-2022</t>
  </si>
  <si>
    <t>Manzar, Md Dilshad/0000-0002-5571-3310; Mamun, Mohammed/0000-0002-1728-8966</t>
  </si>
  <si>
    <t>Deanship of Scientific Research at Majmaah University [R-2021-67]</t>
  </si>
  <si>
    <t>Deanship of Scientific Research at Majmaah University(Majmaah University)</t>
  </si>
  <si>
    <t>Deanship of Scientific Research at Majmaah University, Grant/Award Number: R-2021-67</t>
  </si>
  <si>
    <t>1073-6077</t>
  </si>
  <si>
    <t>1744-6171</t>
  </si>
  <si>
    <t>J CHILD ADOL PS NURS</t>
  </si>
  <si>
    <t>J. Child Adolesc. Psychiatry Nurs.</t>
  </si>
  <si>
    <t>10.1111/jcap.12313</t>
  </si>
  <si>
    <t>SB2LZ</t>
  </si>
  <si>
    <t>Green Submitted, Green Published</t>
  </si>
  <si>
    <t>WOS:000636260600001</t>
  </si>
  <si>
    <t>Ge, SP; Chen, Q; Jiang, ZW; Yin, YF; Chen, ZY; Gu, Q</t>
  </si>
  <si>
    <t>Ge, Shiping; Chen, Qiang; Jiang, Zhiwei; Yin, Yafeng; Chen, Ziyao; Gu, Qing</t>
  </si>
  <si>
    <t>Short Video Ordering via Position Decoding and Successor Prediction</t>
  </si>
  <si>
    <t>Short Video Ordering; Multimodal Learning; Sequence Ordering</t>
  </si>
  <si>
    <t>MULTIMODAL EMOTION RECOGNITION</t>
  </si>
  <si>
    <t>Short video collection is an easy way for users to consume coherent content on various online short video platforms, such as TikTok, YouTube, Douyin, and WeChat Channel. These collections cover a wide range of content, including online courses, TV series, movies, and cartoons. However, short video creators occasionally publish videos in a disorganized manner due to various reasons, such as revisions, secondary creations, deletions, and reissues, which often result in a poor browsing experience for users. Therefore, accurately reordering videos within a collection based on their content coherence is a vital task that can enhance user experience and presents an intriguing research problem in the field of video narrative reasoning. In this work, we curate a dedicated multimodal dataset for this Short Video Ordering (SVO) task and present the performance of some benchmark methods on the dataset. In addition, we further propose an advanced SVO framework with the aid of position decoding and successor prediction. The proposed framework combines both pairwise and listwise ordering paradigms, which can get rid of the issues from both quadratic growth and cascading conflict in the pairwise paradigm, and improve the performance of existing listwise methods. Extensive experiments demonstrate that our method achieves the best performance on our open SVO dataset, and each component of the framework contributes to the final performance. Both the SVO dataset and code will be released at https://github.com/ShipingGe/SVO.</t>
  </si>
  <si>
    <t>[Ge, Shiping; Jiang, Zhiwei; Yin, Yafeng; Gu, Qing] Nanjing Univ, State Key Lab Novel Software Technol, Nanjing, Peoples R China; [Chen, Qiang; Chen, Ziyao] Tencent WeChat, Guangzhou, Peoples R China</t>
  </si>
  <si>
    <t>Nanjing University</t>
  </si>
  <si>
    <t>Jiang, ZW (corresponding author), Nanjing Univ, State Key Lab Novel Software Technol, Nanjing, Peoples R China.</t>
  </si>
  <si>
    <t>shipingge@smail.nju.edu.cn; ethanqchen@tencent.com; jzw@nju.edu.cn; yafeng@nju.edu.cn; yateschen@tencent.com; guq@nju.edu.cn</t>
  </si>
  <si>
    <t>Jiang, Zhiwei/JLR-6369-2023</t>
  </si>
  <si>
    <t>National Natural Science Foundation of China [61972192, 62172208, 61906085]; Collaborative Innovation Center of Novel Software Technology and Industrialization</t>
  </si>
  <si>
    <t>National Natural Science Foundation of China(National Natural Science Foundation of China (NSFC)); Collaborative Innovation Center of Novel Software Technology and Industrialization</t>
  </si>
  <si>
    <t>This work is supported by the National Natural Science Foundation of China under Grants Nos. 61972192, 62172208, 61906085. This work is partially supported by Collaborative Innovation Center of Novel Software Technology and Industrialization.</t>
  </si>
  <si>
    <t>10.1145/3626772.3657795</t>
  </si>
  <si>
    <t>WOS:001273410002024</t>
  </si>
  <si>
    <t>Sulistyarini, D; Kumorotomo, W; Rajiyem</t>
  </si>
  <si>
    <t>Sulistyarini, Dhanik; Kumorotomo, Wahyudi; Rajiyem</t>
  </si>
  <si>
    <t>Javanese Cultural Content and Identity Construction: Study on Javanese Transmigrant Descendants in Lampung, Indonesia</t>
  </si>
  <si>
    <t>Media; identity construction; transmigration; cultural identity; Javanese culture.</t>
  </si>
  <si>
    <t>DIASPORA; POLITICS</t>
  </si>
  <si>
    <t>This article discusses the role of media, especially Javanese cultural content, in the construction of the cultural identity of the Javanese transmigrant descendants in Lampung, Indonesia. The formulation of the problem in this study is how the role of Javanese cultural content in the construction of the identity of the descendants of Javanese transmigrants--in particular third and fifth generation--in Lampung? It is further divided into three research questions, which are how is Javanese cultural content displayed in the media in Lampung? What media are consumed by the descendants of Javanese transmigrants in Lampung? How does Javanese cultural content in the media play a role in the construction of the cultural identity of Javanese transmigrants in Lampung? This is a case study research, and the data was collected through in-depth interviews with 8 descendants of Javanese transmigrants in Lampung, 3 local media managers, and participative observations. The results showed that the descendants of Javanese transmigrants used both traditional and digital media. Elderly informants used print media (Javanese-language magazine), radio, and television, as well as a small amount of digital media. Meanwhile, adolescent informants consume Javanese cultural content through digital media, especially YouTube and TikTok. These results prompted researchers to argue that media and technology play a role in the construction of transmigrants' identities. The Javanese cultural content helps transmigrants to maintain their Javanese cultural identity.</t>
  </si>
  <si>
    <t>[Sulistyarini, Dhanik] Univ Lampung, Dept Commun Sci, Lampung, Indonesia; [Kumorotomo, Wahyudi] Univ Gadjah Mada, Dept Management &amp; Publ Policy, Yogyakarta, Indonesia; [Kumorotomo, Wahyudi; Rajiyem] Univ Gadjah Mada, Dept Commun Sci, Yogyakarta, Indonesia</t>
  </si>
  <si>
    <t>Universitas Lampung; Gadjah Mada University; Gadjah Mada University</t>
  </si>
  <si>
    <t>Sulistyarini, D (corresponding author), Univ Lampung, Dept Commun Sci, Lampung, Indonesia.</t>
  </si>
  <si>
    <t>dhanik.sulistyarini@fisip.unila.ac.id; kumoro@ugm.ac.id; rajiyem@ugm.ac.id</t>
  </si>
  <si>
    <t>Kumorotomo, Wahyudi/GPC-9052-2022</t>
  </si>
  <si>
    <t>FUNDING; Faculty of Social and Political Sciences, Gadjah Mada University</t>
  </si>
  <si>
    <t>FUNDING The authors would like to thank the Faculty of Social and Political Sciences, Gadjah Mada University, for supporting this research under the scheme student research grant.</t>
  </si>
  <si>
    <t>10.17576/JKMJC-2024-4002-26</t>
  </si>
  <si>
    <t>D6P9C</t>
  </si>
  <si>
    <t>WOS:001297394600006</t>
  </si>
  <si>
    <t>Ganson, KT; Sinicropi, E; Nagata, JM</t>
  </si>
  <si>
    <t>Ganson, Kyle T.; Sinicropi, Eliana; Nagata, Jason M.</t>
  </si>
  <si>
    <t>Analyzing Social Media Policies on Muscle-Building Drugs and Dietary Supplements</t>
  </si>
  <si>
    <t>Social media; whey protein; anabolic-androgenic steroids; policy; young people</t>
  </si>
  <si>
    <t>ANDROGENIC STEROID USE; SUBSTANCE USE; HEALTH; ADOLESCENTS; PATTERNS</t>
  </si>
  <si>
    <t>BackgroundUse of legal and illegal muscle-building drugs and dietary supplements has been linked to many adverse health and social outcomes. Research has shown that social media use is associated with the use of these drugs and dietary supplements; however, it remains unknown whether social media companies have specific policies related to the content and advertising of muscle-building drugs and dietary supplements on their platforms. Therefore, this study aimed to assess the content and advertising policies of eight popular social media companies related to muscle-building drugs and dietary supplements.MethodsContent and advertising policies for YouTube, TikTok, Instagram, Snapchat, Facebook, Twitter, Twitch, and Reddit were analyzed in November 2022 to determine whether there were any provisions related to legal (e.g., whey protein) and illegal (e.g., anabolic-androgenic steroids) muscle-building drugs and dietary supplements. Policies were classified as either none, restricted, or prohibited.ResultsAll eight social media platforms had explicit policies prohibiting user-generated content and advertising of illicit drugs and substances (e.g., anabolic-androgenic steroids). User-generated content and advertising policies related to legal muscle-building dietary supplements across the platforms varied; however, none of the eight social media companies had a specific policy regarding user content.ConclusionsFindings underscore the need for stronger social media content and advertising policies related to legal muscle-building dietary supplements.</t>
  </si>
  <si>
    <t>[Ganson, Kyle T.] Univ Toronto, Factor Inwentash Fac Social Work, Toronto, ON, Canada; [Sinicropi, Eliana] Univ Toronto, Munk Sch Global Affairs &amp; Publ Policy, Toronto, ON, Canada; [Nagata, Jason M.] Univ Calif San Francisco, Dept Pediat, San Francisco, CA USA; [Ganson, Kyle T.] Univ Toronto, Factor Inwentash Fac Social Work, 246 bloor St, Toronto, ON M5S 1V4, Canada</t>
  </si>
  <si>
    <t>University of Toronto; University of Toronto; University of California System; University of California San Francisco; University of Toronto</t>
  </si>
  <si>
    <t>Ganson, KT (corresponding author), Univ Toronto, Factor Inwentash Fac Social Work, 246 bloor St, Toronto, ON M5S 1V4, Canada.</t>
  </si>
  <si>
    <t>kyle.ganson@utoronto.ca</t>
  </si>
  <si>
    <t>Richard B. Splane Applied Social Policy and Social Innovation Fund [307646]</t>
  </si>
  <si>
    <t>Richard B. Splane Applied Social Policy and Social Innovation Fund</t>
  </si>
  <si>
    <t>This research was funded by The Richard B. Splane Applied Social Policy and Social Innovation Fund (#307646) at the University of Toronto.</t>
  </si>
  <si>
    <t>10.1080/10826084.2023.2275557</t>
  </si>
  <si>
    <t>FT1N7</t>
  </si>
  <si>
    <t>WOS:001095002800001</t>
  </si>
  <si>
    <t>Garcia, AR; Arenas, MDG; Moreno, MG</t>
  </si>
  <si>
    <t>Garcia, Antonia Ramirez; Arenas, M. del Pilar Gutierrez; Moreno, Marta Gomez</t>
  </si>
  <si>
    <t>Children want to be celebrities. Is it compatible with school engagement?</t>
  </si>
  <si>
    <t>REVISTA COMPLUTENSE DE EDUCACION</t>
  </si>
  <si>
    <t>youtubers; influencers; social media; school engagement; primary education</t>
  </si>
  <si>
    <t>INTRODUCTION. The labor market is undergoing continuous transformations, with new professions emerging as a result of digitalization. Social networks are also becoming professionalized tools, as well as a niche market for all social segments, including minors. In the media ecosystem, youtubers and influencers emerge as professionals of these media, who exert great influence among their followers due to the digital content they generate, and because they become role models in the vocational desire of minors, who wish to emulate them and dedicate themselves to the same profession. That is why the objective of this research is to identify factors that may influence the desire of minors to want to be celebrities. METHOD. A quantitative methodology was followed, using a questionnaire as an instrument for collecting information, applied to 343 schoolchildren in the fifth and sixth years of primary education. RESULTS. A total of 60.2% would like to be a youtuber and/or influencer, with those who have a profile in networks, mainly in TikTok, opting for it. A greater school commitment (cognitive and behavioral) implies a lower desire to dedicate oneself to this profession. Likewise, the availability of social networks favors a lower school commitment. DISCUSSION. It is necessary to implement vocational guidance programs with minors in order to be able to critically manage the influences they receive in their decision-making and in the construction of their life project.</t>
  </si>
  <si>
    <t>[Garcia, Antonia Ramirez; Arenas, M. del Pilar Gutierrez; Moreno, Marta Gomez] Univ Cordoba, Cordoba, Spain</t>
  </si>
  <si>
    <t>Universidad de Cordoba</t>
  </si>
  <si>
    <t>Garcia, AR (corresponding author), Univ Cordoba, Cordoba, Spain.</t>
  </si>
  <si>
    <t>a.ramirez@uco.es; pilar.gutierrez@uco.es; m62gomom@uco.es</t>
  </si>
  <si>
    <t>Gutierrez Arenas, M. Pilar/CAI-0478-2022</t>
  </si>
  <si>
    <t>Gutierrez Arenas, M. Pilar/0000-0002-8869-5550</t>
  </si>
  <si>
    <t>1130-2496</t>
  </si>
  <si>
    <t>1988-2793</t>
  </si>
  <si>
    <t>REV COMPLUT EDUC</t>
  </si>
  <si>
    <t>Rev. Complut. Educ.</t>
  </si>
  <si>
    <t>10.5209/rced.80039</t>
  </si>
  <si>
    <t>Z4PW8</t>
  </si>
  <si>
    <t>WOS:001111923300002</t>
  </si>
  <si>
    <t>Wang, MK; Xie, ZK; Tang, XD; Chen, F</t>
  </si>
  <si>
    <t>Wang, Mingkai; Xie, Zengkun; Tang, Xiangdong; Chen, Fei</t>
  </si>
  <si>
    <t>Noise-Resistant Video Channel Identification</t>
  </si>
  <si>
    <t>SECURITY AND COMMUNICATION NETWORKS</t>
  </si>
  <si>
    <t>As the video streaming traffic grows exponentially nowadays, variable bitrate (VBR) encoding has been widely utilized by modern live video streaming service providers, such as YouTube, TikTok, and Twitch. However, video bitrate can be a delicate fingerprint of the video streaming, leading to risks of privacy leakage. There are several studies that attempt to eavesdrop the privacy from encrypted video streaming, but most of them presume strict requirements on the implementation environments and have great limitations when noise interference exists. Actually, the video traffic from the multimedia edge server is distinct from interapplication traffic flows due to device customization and can be identified even if there are noise interferences or the victim in a weak network condition. In this paper, a video traffic identification method is proposed to identify the encrypted video streaming from multimedia edge server under the interference of irrelevant traffic flows. Initially, we use an interapplication filter to identify the traffic from the edge server. Then, a longest-common-subsequence (LCS)-based method is developed for similarity matching to resist the noise interference from unpredictable burst traffic and network environment variations. In order to evaluate the system performance, we setup the prototype system with an AWS EC2 server and a raspberry pi device, then utilize the real-world trace data for pushing movies to victims. The experimental results show that the accuracy of our proposed strategy can reach 89.1% within 140 seconds eavesdropping even mixed with 14% noise interference.</t>
  </si>
  <si>
    <t>[Wang, Mingkai; Tang, Xiangdong; Chen, Fei] Qingdao Univ, Coll Comp Sci &amp; Technol, Qingdao, Peoples R China; [Xie, Zengkun] Yantai Engn &amp; Technol Coll, Dept Elect &amp; New Energy Engn, Yantai, Peoples R China</t>
  </si>
  <si>
    <t>Qingdao University</t>
  </si>
  <si>
    <t>Chen, F (corresponding author), Qingdao Univ, Coll Comp Sci &amp; Technol, Qingdao, Peoples R China.</t>
  </si>
  <si>
    <t>feic@qdu.edu.cn</t>
  </si>
  <si>
    <t>National Natural Science Foundation of China [61602214]</t>
  </si>
  <si>
    <t>This work is supported by National Natural Science Foundation of China 61602214.</t>
  </si>
  <si>
    <t>1939-0114</t>
  </si>
  <si>
    <t>1939-0122</t>
  </si>
  <si>
    <t>SECUR COMMUN NETW</t>
  </si>
  <si>
    <t>Secur. Commun. Netw.</t>
  </si>
  <si>
    <t>10.1155/2022/7001278</t>
  </si>
  <si>
    <t>4E8GU</t>
  </si>
  <si>
    <t>WOS:000848059200004</t>
  </si>
  <si>
    <t>Collado-Alonso, R; Picazo-Sánchez, L; López-Pastor, AT</t>
  </si>
  <si>
    <t>Collado-Alonso, Rocio; Picazo-Sanchez, Laura; Lopez-Pastor, Ana-Teresa</t>
  </si>
  <si>
    <t>What do social media teach? Influencers and followers in informal education in social media</t>
  </si>
  <si>
    <t>Content creator; media literacy; ethics; influencer; social networks; followers</t>
  </si>
  <si>
    <t>CONSUMPTION</t>
  </si>
  <si>
    <t>The educational potential of social networks, such as Instagram, YouTube or TikTok, marks the relationships between influencers and their followers. Both have a specific vision of what is taught and learned through the user experience. This perception depends on the objective of the content creator, their social or moral responsibility, and their vocation of public service. This study is part of a broader research project focusing on ethics in social media. First, it seeks to verify the correspondence between the teaching that influencers believe they transfer and the learning that their followers claim to obtain. Second, it seeks to identify the possible dysfunctions of this communicative exchange, the level of influence that these opinion leaders have on their audiences and the social and ethical responsibility they reflect in the dissemination of their content, as well as the knowledge both groups possess about media education and media literacy. To this end, a qualitative study was carried out based on in-depth interviews of 13 influencers and 24 followers, then processed using a thematic analysis with the Atlas.ti tool. The results reveal differences between influencers and content-creators, their scope and ethical responsibility. Followers also lack an adequate critical attitude, but they derive good lessons from the digital society. Media education and media literacy are revealed as a necessity for free, safe and critical interaction with social media.</t>
  </si>
  <si>
    <t>[Collado-Alonso, Rocio; Lopez-Pastor, Ana-Teresa] Univ Valladolid, Valladolid, Spain; [Picazo-Sanchez, Laura] Univ Internac Valencia, Valencia, Spain</t>
  </si>
  <si>
    <t>Collado-Alonso, R (corresponding author), Univ Valladolid, Valladolid, Spain.</t>
  </si>
  <si>
    <t>rocio.collado@uva.es; lpicazo@universidadviu.com; anateresa.lopez@uva.es</t>
  </si>
  <si>
    <t>Alonso, Rocío/AAA-7009-2019</t>
  </si>
  <si>
    <t>Collado Alonso, Rocio/0000-0003-1009-0014</t>
  </si>
  <si>
    <t>10.14198/MEDCOM.23658</t>
  </si>
  <si>
    <t>WOS:001065890100019</t>
  </si>
  <si>
    <t>Zaheri, M; Oren, Y; Curtmola, R</t>
  </si>
  <si>
    <t>Zaheri, Mojtaba; Oren, Yossi; Curtmola, Reza</t>
  </si>
  <si>
    <t>Targeted Deanonymization via the Cache Side Channel: Attacks and Defenses</t>
  </si>
  <si>
    <t>PROCEEDINGS OF THE 31ST USENIX SECURITY SYMPOSIUM</t>
  </si>
  <si>
    <t>31st USENIX Security Symposium</t>
  </si>
  <si>
    <t>AUG 10-12, 2022</t>
  </si>
  <si>
    <t>USENIX Assoc,Meta,Google,NSF,Baidu,Chainlink,IBM,Intel Secur,Red Canary,Mercari,Paloalto,Technol Innovat Inst</t>
  </si>
  <si>
    <t>Targeted deanonymization attacks let a malicious website discover whether a website visitor bears a certain public identifier, such as an email address or a Twitter handle. These attacks were previously considered to rely on several assumptions, limiting their practical impact. In this work, we challenge these assumptions and show the attack surface for deanonymization attacks is drastically larger than previously considered. We achieve this by using the cache side channel for our attack, instead of relying on cross-site leaks. This makes our attack oblivious to recently proposed software-based isolation mechanisms, including cross-origin resource policies (CORP), cross-origin opener policies (COOP) and SameSite cookie attribute. We evaluate our attacks on multiple hardware microarchitectures, multiple operating systems and multiple browser versions, including the highly-secure Tor Browser, and demonstrate practical targeted deanonymization attacks on major sites, including Google, Twitter, LinkedIn, TikTok, Facebook, Instagram and Reddit. Our attack runs in less than 3 seconds in most cases, and can be scaled to target an exponentially large amount of users. To stop these attacks, we present a full-featured defense deployed as a browser extension. To minimize the risk to vulnerable individuals, our defense is already available on the Chrome and Firefox app stores. We have also responsibly disclosed our findings to multiple tech vendors, as well as to the Electronic Frontier Foundation. Finally, we provide guidance to websites and browser vendors, as well as to users who cannot install the extension.</t>
  </si>
  <si>
    <t>[Zaheri, Mojtaba; Oren, Yossi; Curtmola, Reza] New Jersey Inst Technol, Newark, NJ 07102 USA</t>
  </si>
  <si>
    <t>New Jersey Institute of Technology</t>
  </si>
  <si>
    <t>Zaheri, M (corresponding author), New Jersey Inst Technol, Newark, NJ 07102 USA.</t>
  </si>
  <si>
    <t>mojtaba.zaheri@njit.edu; yo43@njit.edu; crix@njit.edu</t>
  </si>
  <si>
    <t>Oren, Yossi/M-7247-2015</t>
  </si>
  <si>
    <t>Oren, Yossi/0000-0002-0423-802X</t>
  </si>
  <si>
    <t>US NSF (National Science Foundation) [CNS 1801430, DGE 1565478, DGE 2043104]</t>
  </si>
  <si>
    <t>US NSF (National Science Foundation)</t>
  </si>
  <si>
    <t>We would like to thank the USENIX Security reviewers and Giancarlo Pellegrino for reviewing this paper. This research was supported by the US NSF (National Science Foundation) under Grants No. CNS 1801430, DGE 1565478, and DGE 2043104.</t>
  </si>
  <si>
    <t>978-1-939133-31-1</t>
  </si>
  <si>
    <t>BT8TA</t>
  </si>
  <si>
    <t>WOS:000855237502007</t>
  </si>
  <si>
    <t>Dilawari, A; Iqbal, S; Syed, F; Ilyas, QM</t>
  </si>
  <si>
    <t>Dilawari, Aniqa; Iqbal, Sajid; Syed, Farial; Mudassar Ilyas, Qazi</t>
  </si>
  <si>
    <t>Deep Metric Learning for Near-Duplicate Video Retrieval Leveraging Efficient Semantic Feature Extraction</t>
  </si>
  <si>
    <t>Deep metric learning; distance calculations; near copy video retrieval; similarity search</t>
  </si>
  <si>
    <t>Video sharing platforms like YouTube, TikTok and Instagram have gained popularity in the online space. Daily several videos are uploaded, which calls for an efficient video retrieval system that could identify near-duplicate videos that offers several advantages in content management, copyright protection, and multimedia retrieval. This will facilitate efficient content management by removal of redundant videos from large repositories to streamline storage resources and improve accessibility of multimedia collections. Additionally, this can help copyright protection and intellectual property allowing right holders to identify unauthorized copies of their original work. Moreover, in applications such as multimedia retrieval and recommendation systems, removal of near-duplicate videos can enhance user experience by providing relevant search results. AI provides a promising solution to this problem. We have proposed an effective system built on deep metric learning that solves the near duplicate video retrieval. This proposed model uses the pre-trained VGG-16 network that contains convolutional and fully connected layers to find video features. These video representations are fed to the deep metric learning framework in the form of triplets which are trained to calculate the accurate distance between similar or near-duplicate videos. For the training of the framework, VCDB dataset was used whereas for the evaluation of the model CC_WEB_VIDEO and TRECVID BBC Rushes 2007 datasets were used. Experiments have shown that mean average precision of 0.985% for the CC_WEB_VIDEO dataset is achieved thus outperforming the state-of-the-art models.</t>
  </si>
  <si>
    <t>[Dilawari, Aniqa] Univ Home Econ, Dept Comp Sci &amp; Informat Technol, Lahore 54000, Pakistan; [Iqbal, Sajid; Mudassar Ilyas, Qazi] King Faisal Univ, Coll Comp Sci &amp; Informat Technol, Dept Informat Syst, Al Hufuf, Saudi Arabia; [Syed, Farial] Univ Regina, Regina, SK S4S 0A2, Canada</t>
  </si>
  <si>
    <t>King Faisal University; University of Regina</t>
  </si>
  <si>
    <t>Iqbal, S (corresponding author), King Faisal Univ, Coll Comp Sci &amp; Informat Technol, Dept Informat Syst, Al Hufuf, Saudi Arabia.</t>
  </si>
  <si>
    <t>siqbal@kfu.edu.sa</t>
  </si>
  <si>
    <t>Ilyas, Qazi Mudassar/I-4315-2013; Iqbal, Sajid/AAS-8369-2020; Syed, Farial/KIL-8250-2024</t>
  </si>
  <si>
    <t>Iqbal, Sajid/0000-0002-8464-2275; Syed, Farial/0009-0002-2945-5351; Ilyas, Qazi Mudassar/0000-0003-4238-8093</t>
  </si>
  <si>
    <t>Deanship of Scientific Research, Vice Presidency for Graduate Studies and Scientific Research, King Faisal University, Saudi Arabia [A125]</t>
  </si>
  <si>
    <t>Deanship of Scientific Research, Vice Presidency for Graduate Studies and Scientific Research, King Faisal University, Saudi Arabia</t>
  </si>
  <si>
    <t>This work was supported by the Deanship of Scientific Research, Vice Presidency for Graduate Studies and Scientific Research, King Faisal University, Saudi Arabia, under Grant A125.</t>
  </si>
  <si>
    <t>10.1109/ACCESS.2024.3411101</t>
  </si>
  <si>
    <t>XO5P4</t>
  </si>
  <si>
    <t>WOS:001262641200001</t>
  </si>
  <si>
    <t>Ertekin, SS; Salici, NS; Bas, VM; Karali, MG; Erguen, EZ; Avci, EB; Tellal, ES; Yüksel, EI; Rasulova, G; Erdil, D</t>
  </si>
  <si>
    <t>Ertekin, Suemeyre Seda; Salici, Nazmiye Selin; Bas, Vildan Manav; Karali, Muge Gore; Erguen, Ecem Zeliha; Avci, Elif Bal; Tellal, Ebru Sarikaya; Yuksel, Esma Inan; Rasulova, Guenel; Erdil, Duygu</t>
  </si>
  <si>
    <t>Influence of Social Media and Internet on Treatment Decisions in Adult Female Acne Patients: A Cross-Sectional Survey Study</t>
  </si>
  <si>
    <t>DERMATOLOGY PRACTICAL &amp; CONCEPTUAL</t>
  </si>
  <si>
    <t>acne vulgaris; social media; treatment; Internet; dermatology</t>
  </si>
  <si>
    <t>LIFE</t>
  </si>
  <si>
    <t>Introduction: Adult female acne is a chronic condition that significantly impacts quality of life. The content on social media can influence patients perception of their disease and serve as a channel through which they may seek or obtain treatment options. Objectives: This study aims to evaluate the impact of social media usage habits on treatment decisions among adult female acne patients. Methods: A cross-sectional, multicenter survey study involved 358 females aged 25 or above, diagnosed with acne. Sociodemographic data were collected, and social media behavior, treatment choices, outcomes, and motivation were explored. Results: Among 358 participants, 95.3% used at least 1 social media platform; 72.1% sought acne information online. Top platforms used to seek acne information were Google (75.6%), Instagram (72.3%), YouTube (60%), and TikTok (29.4%). For advice, 67.4% consulted doctor accounts, 53.5% non-medical influencers, 53.5% patient accounts, and 36.1% product promotion accounts. Commonly followed advice included skincare products (88%), dietary changes (42.3%), home remedies (38.8%), exercise (30.3%), topical medications (25.2%), and dietary supplements (17.4%). Notably, 20.9% were willing to alter prescribed treatment by their physician for acne based on social media advice. Pa- tient motivations included quick information access (84.1%) and difficulty in securing dermatologist appointments (54.3%). Conclusions: The study reveals widespread social media use among adult female acne patients, high- lighting concerns about potentially misleading information. Dermatologists can enhance the impact of social media by providing reliable sources for patients.</t>
  </si>
  <si>
    <t>[Ertekin, Suemeyre Seda; Salici, Nazmiye Selin; Rasulova, Guenel] Koc Univ, Sch Med, Dept Dermatol, Istanbul, Turkiye; [Bas, Vildan Manav; Tellal, Ebru Sarikaya; Erdil, Duygu] Hlth Sci Univ, Istanbul Training &amp; Res Hosp, Dept Dermatol, Istanbul, Turkiye; [Karali, Muge Gore] Irmet Hosp, Dermatol Clin, Tekirdag, Turkiye; [Erguen, Ecem Zeliha] Kadikoy Florence Nightingale Hosp, Dermatol Clin, Istanbul, Turkiye; [Avci, Elif Bal] Bayburt State Hosp, Dermatol Clin, Bayburt, Turkiye; [Yuksel, Esma Inan] Biruni Univ, Sch Med, Dept Dermatol, Istanbul, Turkiye</t>
  </si>
  <si>
    <t>Koc University; Istanbul Training &amp; Research Hospital; University of Health Sciences Turkey; Bayburt State Hospital; Biruni University</t>
  </si>
  <si>
    <t>Ertekin, SS (corresponding author), Koc Univ Hosp, Dept Dermatol, Davutpasa Cd 4, TR-34010 Istanbul, Turkiye.</t>
  </si>
  <si>
    <t>drsumeyreertekin@gmail.com</t>
  </si>
  <si>
    <t>ertekin, sumeyre seda/0000-0002-6326-6178</t>
  </si>
  <si>
    <t>MATTIOLI 1885</t>
  </si>
  <si>
    <t>FIDENZA</t>
  </si>
  <si>
    <t>VIA DELLA LODESANA 649-SX, FIDENZA, 43046 PR, ITALY</t>
  </si>
  <si>
    <t>2160-9381</t>
  </si>
  <si>
    <t>DERMATOL PRACT CONCE</t>
  </si>
  <si>
    <t>Dermatol. Pract. Concept.</t>
  </si>
  <si>
    <t>e2024156</t>
  </si>
  <si>
    <t>10.5826/dpc.1403a156</t>
  </si>
  <si>
    <t>C0E8J</t>
  </si>
  <si>
    <t>WOS:001286186700021</t>
  </si>
  <si>
    <t>Wang, C; Cui, WJ; Zhang, YT; Shen, HW</t>
  </si>
  <si>
    <t>Wang, Cheng; Cui, Wenjing; Zhang, Yating; Shen, Huawen</t>
  </si>
  <si>
    <t>Exploring short video apps users' travel behavior intention: Empirical analysis based on SVA-TAM model</t>
  </si>
  <si>
    <t>short video apps; TAM; eTrust; travel intention; eWOM</t>
  </si>
  <si>
    <t>WORD-OF-MOUTH; SOCIAL MEDIA; DESTINATION IMAGE; TOURISM; TECHNOLOGY; ACCEPTANCE; SERVICE; SATISFACTION; ATTITUDE; TRUST</t>
  </si>
  <si>
    <t>Social media had made significant effect on the tourism and hospitality industry. Among diverse types of social media platforms, short video apps (SVA) represented by TikTok or Douyin had brought great changes to the tourism industry. As new mobile technology platform, short video apps had changed the way for user to obtain travel information, make traveling plans and share the travel experience. Considering the new technology of SVA and the influence in tourism, this research aims to explore the SVA users' behavior intentions and the adopting of SVA for making travel decision. Therefore, the new SVA-TAM model is proposed based on the technology acceptance model (TAM), including two new variables: electronic word of mouth (eWOM) and electronic trust (eTrust). An online survey was conducted to short video apps users. PLS-SEM was implemented for data and structural equations analysis of the final obtained 302 samples. In terms of the relationship between variables, this study found that user perceptions of SVA on usefulness and ease of use are powerful predictors of attitudes toward using SVA for travel planning, which maintains consistency with the outcome of previous TAM studies. Additionally, eWOM and eTrust positively influence user attitudes toward using SVA for travel planning even for destination decisions. Therefore, the short video apps should be taken into consideration for tourism marketing and destination branding owes to the effect on the potential users' behavior intentions.</t>
  </si>
  <si>
    <t>[Wang, Cheng] Nanfang Coll Guangzhou, Business Sch, Guangzhou, Peoples R China; [Cui, Wenjing] Hanshan Normal Univ, Coll Geosci &amp; Tourism Management, Chaozhou, Peoples R China; [Cui, Wenjing] Shenzhen Univ, China Ctr Special Econ Zone Res, Shenzhen, Peoples R China; [Zhang, Yating; Shen, Huawen] City Univ Macau, Fac Int Tourism &amp; Management, Taipa, Macao, Peoples R China</t>
  </si>
  <si>
    <t>Nanfang College, Guangzhou; Hanshan Normal University; Shenzhen University; City University of Macau</t>
  </si>
  <si>
    <t>Cui, WJ (corresponding author), Hanshan Normal Univ, Coll Geosci &amp; Tourism Management, Chaozhou, Peoples R China.;Cui, WJ (corresponding author), Shenzhen Univ, China Ctr Special Econ Zone Res, Shenzhen, Peoples R China.</t>
  </si>
  <si>
    <t>20190032@hstc.edu.cn</t>
  </si>
  <si>
    <t>wang, cheng/GNW-4547-2022</t>
  </si>
  <si>
    <t>Department of Education of Guangdong Province (Young Innovative Talents of Higher Education in Guangdong Province) [2021WQNCX109]; Nanfang College Guangzhou [2021BQ026]; national first-class undergraduate major construction site of Nanfang College Guangzhou, E-commerce major construction project funding; Guangdong Basic and Applied Basic Research Foundation [2019A1515110928]</t>
  </si>
  <si>
    <t>Department of Education of Guangdong Province (Young Innovative Talents of Higher Education in Guangdong Province); Nanfang College Guangzhou; national first-class undergraduate major construction site of Nanfang College Guangzhou, E-commerce major construction project funding; Guangdong Basic and Applied Basic Research Foundation</t>
  </si>
  <si>
    <t>This work was supported by the Department of Education of Guangdong Province (Young Innovative Talents of Higher Education in Guangdong Province 2021WQNCX109), Nanfang College Guangzhou (Doctoral Funding Project 2021BQ026), national first-class undergraduate major construction site of Nanfang College Guangzhou, E-commerce major construction project funding, and Guangdong Basic and Applied Basic Research Foundation (2019A1515110928).</t>
  </si>
  <si>
    <t>JUL 22</t>
  </si>
  <si>
    <t>10.3389/fpsyg.2022.912177</t>
  </si>
  <si>
    <t>3P0PC</t>
  </si>
  <si>
    <t>WOS:000837238500001</t>
  </si>
  <si>
    <t>Poettering, B; Rastikian, S</t>
  </si>
  <si>
    <t>Atluri, V; DiPietro, R; Jensen, CD; Meng, W</t>
  </si>
  <si>
    <t>Poettering, Bertram; Rastikian, Simon</t>
  </si>
  <si>
    <t>Sequential Digital Signatures for Cryptographic Software-Update Authentication</t>
  </si>
  <si>
    <t>COMPUTER SECURITY - ESORICS 2022, PT II</t>
  </si>
  <si>
    <t>27th European Symposium on Research in Computer Security (ESORICS)</t>
  </si>
  <si>
    <t>SEP 26-30, 2022</t>
  </si>
  <si>
    <t>Tech Univ Denmark, Copenhagen, DENMARK</t>
  </si>
  <si>
    <t>Tech Univ Denmark</t>
  </si>
  <si>
    <t>Consider a computer user who needs to update a piece of software installed on their computing device. To do so securely, a commonly accepted ad-hoc method stipulates that the old software version first retrieves the update information from the vendor's public repository, then checks that a cryptographic signature embedded into it verifies with the vendor's public key, and finally replaces itself with the new version. This updating method seems to be robust and lightweight, and to reliably ensure that no malicious third party (e.g., a distribution mirror) can inject harmful code into the update process. Unfortunately, recent prominent news reports (SolarWinds, Stuxnet, TikTok, Zoom, . . .) suggest that nation state adversaries are broadening their efforts related to attacking software supply chains. This calls for a critical re-evaluation of the described signature based updating method with respect to the real-world security it provides against particularly powerful adversaries. We approach the setting by formalizing a cryptographic primitive that addresses specifically the secure software updating problem. We define strong, rigorous security models that capture forward security (stealing a vendor's key today doesn't allow modifying yesterday's software version) as well as a form of self-enforcement that helps protecting vendors against coercion attacks in which they are forced, e.g. by nation state actors, to misuse or disclose their keys. We note that the common signature based software authentication method described above meets neither the one nor the other goal, and thus represents a suboptimal solution. Hence, after formalizing the syntax and security of the new primitive, we propose novel, efficient, and provably secure constructions.</t>
  </si>
  <si>
    <t>[Poettering, Bertram; Rastikian, Simon] IBM Res Europe Zurich, Ruschlikon, Switzerland; [Rastikian, Simon] Swiss Fed Inst Technol, Zurich, Switzerland</t>
  </si>
  <si>
    <t>Swiss Federal Institutes of Technology Domain; ETH Zurich</t>
  </si>
  <si>
    <t>Rastikian, S (corresponding author), IBM Res Europe Zurich, Ruschlikon, Switzerland.</t>
  </si>
  <si>
    <t>sra@zurich.ibm.com</t>
  </si>
  <si>
    <t>978-3-031-17146-8; 978-3-031-17145-1</t>
  </si>
  <si>
    <t>10.1007/978-3-031-17146-8_13</t>
  </si>
  <si>
    <t>Computer Science, Information Systems; Computer Science, Theory &amp; Methods; Mathematics, Applied</t>
  </si>
  <si>
    <t>BU0BS</t>
  </si>
  <si>
    <t>WOS:000866575800013</t>
  </si>
  <si>
    <t>Shchedrina, IO</t>
  </si>
  <si>
    <t>Shchedrina, Irina O.</t>
  </si>
  <si>
    <t>Transforming of Consciousness in the Digital Space: from Narrative to Storytelling</t>
  </si>
  <si>
    <t>VOPROSY FILOSOFII</t>
  </si>
  <si>
    <t>consciousness; narrative; storytelling; media reality; digitalization</t>
  </si>
  <si>
    <t>The article suggests that narrative strategies are transforming in the modern digital space, and the ways of narration are changing. The narrative turns into storytelling: a holistic presentation (story) connected by semantic unity is replaced by a clip (in which one can only guess about the connections and relationships between its individual elements, they are not articulated at the verbal level), the textually formed verbal reasoning is replaced by a fragmentary scattering of visual images (often chosen quite arbitrarily). And, accordingly, the self-consciousness of a person who comes to the media world, who lives in it, changes. Before our eyes, the classical narrative is dying, and the reflexive self-consciousness of the author-writer working with large textual forms is fading away. They are being replaced by an author-director who no longer tells us his self-consciousness but non-verbally (facial expressions, gestures, etc.). At the same time, the self-consciousness of the perceiving narrative changes as well - from an active-understanding one: reading and listening, it becomes a passively perceiving one: a spectator. The consequences of a permanent stay in the digital space for a person's self-consciousness can be traced through autobiographical narratives in media reality (personal pages on social networks, diaries, blogs, TikTok, etc. become a typical example). Turning to these phenomena in the context of digitalization, the author clarifies the role of digital self-identification and its influence on the formation of self-consciousness and personality in the modern era.</t>
  </si>
  <si>
    <t>[Shchedrina, Irina O.] Russian Acad Sci, Inst Philosophy, 12-1 Goncharnaya Str, Moscow 109240, Russia</t>
  </si>
  <si>
    <t>Russian Academy of Sciences; Institute of Philosophy, Russian Academy of Sciences</t>
  </si>
  <si>
    <t>Shchedrina, IO (corresponding author), Russian Acad Sci, Inst Philosophy, 12-1 Goncharnaya Str, Moscow 109240, Russia.</t>
  </si>
  <si>
    <t>echiscar@yandex.ru</t>
  </si>
  <si>
    <t>Shchedrina, Irina/AAN-9171-2020</t>
  </si>
  <si>
    <t>Shchedrina, Irina/0000-0002-8780-0566</t>
  </si>
  <si>
    <t>Ministry of Science and Higher Education of the Russian Federation [075-15-2020-798]</t>
  </si>
  <si>
    <t>Ministry of Science and Higher Education of the Russian Federation</t>
  </si>
  <si>
    <t>The research was carried out with a financial support of the Ministry of Science and Higher Education of the Russian Federation (Project New tendencies of the humanities and social sciences develop ment in the context of digitalization and new social problems and threats: interdisciplinary approach, Agreement No. 075-15-2020-798)</t>
  </si>
  <si>
    <t>RUSSIAN ACAD SCIENCES-INST PHILOSOPHY</t>
  </si>
  <si>
    <t>UL VOLHONKA, DOM 14-1, STR 5, MOSCOW, 119991, RUSSIA</t>
  </si>
  <si>
    <t>0042-8744</t>
  </si>
  <si>
    <t>VOP FILOS</t>
  </si>
  <si>
    <t>Vopr. Filos.</t>
  </si>
  <si>
    <t>10.21146/0042-8744-2022-3-133-142</t>
  </si>
  <si>
    <t>ZP8HF</t>
  </si>
  <si>
    <t>WOS:000766658400016</t>
  </si>
  <si>
    <t>Shteiman, MS; Zaitseva, NV</t>
  </si>
  <si>
    <t>Shteiman, Marina S.; Zaitseva, Nadezhda V.</t>
  </si>
  <si>
    <t>Strategies and Trends in Development of Modern Mass Media in Globalization Processes: a Regional Aspect</t>
  </si>
  <si>
    <t>NAUCHNYI DIALOG</t>
  </si>
  <si>
    <t>new media; media convergence; online me-dia; TikTok; globalization; social networks; the audience</t>
  </si>
  <si>
    <t>The article deals with the formation and spe-cifi cs of the development of new media in the Lipetsk region. Attention is focused on the problems of globalization and modifi ca-tion of regional mass media at the present stage. The results of a comparative analy-sis of traditional and new media in terms of convergence are presented. The question is raised about the multimediaization of journal-ism, the transition of traditional publications to an online format and the transformation of the types of information consumption by the audience. Particular attention is paid to the changes taking place in the local media of the Lipetsk region as a result of media convergence. The novelty of the study is ex-pressed in a comprehensive analysis of trends and determination of the prospects for the de-velopment of regional media. The relevance of the study is due to the active expansion of the processes of media convergence, multi-media journalism, the transition of traditional publications to Internet platforms. It is proved that the development of communication tech-nologies has led to the modifi cation of the me-dia, globalization and convergence factors determine the formation of a modern media system. The information and communication aspect of globalization is most manifested in the processes of interconnection and interde-pendence of objects and phenomena, the de-velopment of ICT, the integration of mass me-dia, the increase in the number of global media and the growing role of the Internet.</t>
  </si>
  <si>
    <t>[Shteiman, Marina S.; Zaitseva, Nadezhda V.] Bunin Yelets State Univ, Dept Literary Studies &amp; Journalism, Philol, Yelets, Russia</t>
  </si>
  <si>
    <t>Bunin Yelets State University</t>
  </si>
  <si>
    <t>Shteiman, MS (corresponding author), Bunin Yelets State Univ, Dept Literary Studies &amp; Journalism, Philol, Yelets, Russia.</t>
  </si>
  <si>
    <t>shteiman.marina@mail.ru; zaitseva.nadya2015@yandex.ru</t>
  </si>
  <si>
    <t>Zaitseva, Nadezhda/0000-0002-9755-9542</t>
  </si>
  <si>
    <t>TSENTR NAUCHNYKH &amp; OBRAZOVATELNYKH PROEKTOV</t>
  </si>
  <si>
    <t>EKATERINBURG</t>
  </si>
  <si>
    <t>PR-KT KOSMONAVTOV, DOM 43, KV 57, EKATERINBURG, 620098, RUSSIA</t>
  </si>
  <si>
    <t>2225-756X</t>
  </si>
  <si>
    <t>2227-1295</t>
  </si>
  <si>
    <t>NAUCH DIALOG</t>
  </si>
  <si>
    <t>Nauch. Dialog</t>
  </si>
  <si>
    <t>10.24224/2227-1295-2022-11-8-185-204</t>
  </si>
  <si>
    <t>6J1VP</t>
  </si>
  <si>
    <t>WOS:000886616500010</t>
  </si>
  <si>
    <t>Lin, ZH; Tan, YC; Zhan, YF; Liu, WM; Wang, F; Chen, CC; Wang, SP; Yang, C</t>
  </si>
  <si>
    <t>Lin, Zhenghong; Tan, Yanchao; Zhan, Yunfei; Liu, Weiming; Wang, Fan; Chen, Chaochao; Wang, Shiping; Yang, Carl</t>
  </si>
  <si>
    <t>Contrastive Intra- and Inter-Modality Generation for Enhancing Incomplete Multimedia Recommendation</t>
  </si>
  <si>
    <t>Incomplete Multimedia Recommendation; Modality Generation; Multimodal Learning; Missing Modality Completion</t>
  </si>
  <si>
    <t>With the rapid growth of multimedia-sharing platforms (e.g. Twitter and TikTok), multimedia recommender systems have become fundamental for helping users alleviate information overload and discover items of interest. Existing multimedia recommendation methods often incorporate various auxiliary modalities (e.g., visual, textual, and acoustic) to describe item characteristics and improve task performance. However, these methods usually assume that each item is associated with complete modalities, ignoring the prevalence of missing modality issues in real-world scenarios. To deal with the challenge of missing modalities, in this paper, we propose a novel framework of Contrastive Intra- and Inter-Modality Generation (CI(2)MG) for enhancing incomplete multimedia recommendation. We first develop a contrastive intra- and inter-modality generation module for the missing modalities, where the intra-modality representation is updated through clustering-based hypergraph convolution and inter-modality representation is obtained by optimal transport between different modalities. To tackle the challenge of insufficient and incomplete supervision labels during intra- and inter-modality generation, a modality-aware contrastive learning paradigm is introduced based on an augmentation between the intra-modality view and inter-modality view. Furthermore, to learn task-related representations from the generative modalities and further improve the performance of recommendation, we design an enhanced multimedia recommendation module to alleviate the influences driven by task-irrelevant noise. Extensive experiments on real-world datasets show the superiority of our proposed CI(2)MG framework in offering great potential for personalized multimedia recommendation over the state-of-the-art baselines regarding Recall, NDCG, and Precision metrics.</t>
  </si>
  <si>
    <t>[Lin, Zhenghong; Tan, Yanchao; Zhan, Yunfei; Wang, Shiping] Fuzhou Univ, Fuzhou, Fujian, Peoples R China; [Liu, Weiming; Wang, Fan; Chen, Chaochao] Zhejiang Univ, Hangzhou, Zhejiang, Peoples R China; [Yang, Carl] Emory Univ, Atlanta, GA USA</t>
  </si>
  <si>
    <t>Fuzhou University; Zhejiang University; Emory University</t>
  </si>
  <si>
    <t>Tan, YC (corresponding author), Fuzhou Univ, Fuzhou, Fujian, Peoples R China.</t>
  </si>
  <si>
    <t>hongzhenglin970323@gmail.com; yctan@fzu.edu.cn; z2149699627@gmail.com; 21831010@zju.edu.cn; fanwang97@zju.edu.cn; zjuccc@zju.edu.cn; shipingwangphd@163.com; j.carlyang@emory.edu</t>
  </si>
  <si>
    <t>Chen, Chenlin/HME-0598-2023</t>
  </si>
  <si>
    <t>Tan, Yanchao/0000-0002-3526-6859; Lin, Zhenghong/0000-0002-7495-3846; Chen, Chaochao/0000-0003-1419-964X; Zhan, Yunfei/0000-0002-9219-4644; Liu, Weiming/0000-0002-4115-7667; Wang, Fan/0000-0002-0953-6923</t>
  </si>
  <si>
    <t>Fujian Provincial Youth Education and Scientific Research Project [JAT220811]; National Natural Science Foundation of China [U21A20472, 62276065]; National Key Research and Development Plan of China [2021YFB3600503]</t>
  </si>
  <si>
    <t>Fujian Provincial Youth Education and Scientific Research Project; National Natural Science Foundation of China(National Natural Science Foundation of China (NSFC)); National Key Research and Development Plan of China(National Key Research &amp; Development Program of China)</t>
  </si>
  <si>
    <t>This work is in part supported by the Fujian Provincial Youth Education and Scientific Research Project under Grant JAT220811; the National Natural Science Foundation of China under Grants U21A20472 and 62276065; the National Key Research and Development Plan of China under Grant 2021YFB3600503.</t>
  </si>
  <si>
    <t>10.1145/3581783.3612362</t>
  </si>
  <si>
    <t>WOS:001199449106026</t>
  </si>
  <si>
    <t>Kiss, AL</t>
  </si>
  <si>
    <t>Kiss, Anna Luise</t>
  </si>
  <si>
    <t>Humorous Audio-Visual Lockdown Works</t>
  </si>
  <si>
    <t>COVID-19 Pandemic; Corona; Humor; Humorous Audio-Visual Lockdown Works; Videos; Whatsapp; Tiktok; Coping Humor; Relationality; Stress-Buffer</t>
  </si>
  <si>
    <t>This article is dedicated to humorous audio-visual lockdown works-that is, to short video clips with humorous content that were produced and circulated during the first Corona lockdown in spring 2020. The exploration of the video clips takes place within an autoethnographic approach. It will be examined what kind of humor was included in the videos I received in my WhatsApp bubble. By a rough division of recurring motifs, two exemplary analyses, and research results on humor from clinical psychology, I will describe the humor as complex coping humor. A further question relates to the functions the humorous audio-visual lockdown works were equipped with within the communication space of which I, myself, was a part of. Roger Odin's semio-pragmatic approach serves as a starting point for first reflections on the functions which the audio-visual lockdown works were able to deploy. Against the background of Odin's concept of reading modes and communication operators, the humorous audio-visual lockdown works will be conceptualized as relational experience operators. By utilizing social psychological approaches to the study of humor, the videos will furthermore be conceptualized as stress-buffer operators. The videos were used to unleash the communicative energy necessary for the production of a relational affirmation of a shared present, for mutual relief, and for a collective buffer against stress. Finally, I discuss that the humorous audio-visual lockdown works document the positive power of humor, community building, and care and, at the same time, reference a life that is characterized by specific privileges.</t>
  </si>
  <si>
    <t>[Kiss, Anna Luise] Ernst Busch Univ Performing Arts, Berlin, Germany</t>
  </si>
  <si>
    <t>Kiss, AL (corresponding author), Ernst Busch Univ Performing Arts, Berlin, Germany.</t>
  </si>
  <si>
    <t>a.kiss@hfs-berlin.de</t>
  </si>
  <si>
    <t>10.46539/gmd.v3i3.175</t>
  </si>
  <si>
    <t>WOS:000713721200013</t>
  </si>
  <si>
    <t>Cazzamatta, R; Santos, A</t>
  </si>
  <si>
    <t>Cazzamatta, Regina; Santos, Augusto</t>
  </si>
  <si>
    <t>Checking verifications during the 2022 Brazilian run-off election: How fact-checking organizations exposed falsehoods and contributed to the accuracy of the public debate</t>
  </si>
  <si>
    <t>Brazilian run-off election; disinformation; fact-checking; gatebouncers; journalism</t>
  </si>
  <si>
    <t>DISINFORMATION; COMMUNICATION; JOURNALISM</t>
  </si>
  <si>
    <t>This study observes content-related indicators of the editorial decisions made by fact-checkers during the 2022 Brazilian run-off election. Specifically, it aims to investigate fact-checkers' outputs regarding verification genres, scrutinized actors, types of verified falsehoods, and inspected platforms. The focus on Brazil stems from its reputation as a disinformation hub, owing to social polarization, populist communication, high social media use, low media trust, and intense WhatsApp penetration. Consequently, fact-checking agencies have proliferated within Brazil's media landscape. To provide some hints about the fact-checkers' editorial choices, we conducted a quantitative content analysis of verification articles (n = 349) published during the second round of the presidential election by four leading fact-checking organizations: Lupa and Aos Fatos (independents), Estadao Verifica (press), and AFP Checamos (global news agency). The results reveal a prioritization of combating online falsehoods (82.2%) spread by anonymous sources, as opposed to verifying public figures' statements (5.5%), a trend already observed in other media systems. Although Meta's social networks and Twitter are primarily monitored, other platforms such as TikTok, Kwai, and Telegram are increasingly gaining fact-checkers' attention. Fact-checkers predominantly scrutinized anonymous disinformation agents. Moreover, they primarily debunked falsehoods targeting the opposition, legacy media, social networking companies, and the Supreme Electoral Court. Despite the anonymity, 77.4% of the verified falsehoods were found to be beneficial to Bolsonaro, while 12% were advantageous to Lula da Silva.</t>
  </si>
  <si>
    <t>[Cazzamatta, Regina; Santos, Augusto] Univ Erfurt, Erfurt, Germany; [Cazzamatta, Regina] Univ Erfurt, Fac Philosophy, Dept Media Studies, Nordhauser Str 63, D-99089 Erfurt, Germany</t>
  </si>
  <si>
    <t>University of Erfurt; University of Erfurt</t>
  </si>
  <si>
    <t>Cazzamatta, R (corresponding author), Univ Erfurt, Fac Philosophy, Dept Media Studies, Nordhauser Str 63, D-99089 Erfurt, Germany.</t>
  </si>
  <si>
    <t>regina.cazzamatta@uni-erfurt.de</t>
  </si>
  <si>
    <t>Cazzamatta, Regina/ABH-3431-2021</t>
  </si>
  <si>
    <t>Cazzamatta, Regina/0000-0002-7162-3219; Santos, Augusto/0000-0002-9574-3776</t>
  </si>
  <si>
    <t>We are indebted to the four reviewers for their valuable insights and thankful for the enriching discussions during the refereeing process.</t>
  </si>
  <si>
    <t>10.1177/14648849231196080</t>
  </si>
  <si>
    <t>G9P7C</t>
  </si>
  <si>
    <t>WOS:001060128200001</t>
  </si>
  <si>
    <t>Horeck, T; Ringrose, J; Milne, B; Mendes, K</t>
  </si>
  <si>
    <t>Horeck, Tanya; Ringrose, Jessica; Milne, Betsy; Mendes, Kaitlynn</t>
  </si>
  <si>
    <t>#MeToo in British schools: Gendered differences in teenagers' awareness of sexual violence</t>
  </si>
  <si>
    <t>#MeToo; British schools; COVID-19 lockdowns; Everyone's Invited; gender; Sarah Everard murder; sexual violence; social media; teenagers</t>
  </si>
  <si>
    <t>POLITICS; CULTURE; GIRLS</t>
  </si>
  <si>
    <t>This article explores how British secondary school students responded to and made sense of the rising public awareness of sexual violence in British society that emerged during lockdowns for COVID-19. Based on the findings from a 2021-2022 study conducted in five secondary schools, the article explores the gendered discrepancies in girls' and boys' awareness of violence against girls and women. In particular, it examines how the youth participants in this study responded to two related media stories during lockdown: the news of Sarah Everard's kidnapping and murder by a police officer and the viral spread of sexual abuse testimonies on the 'Everyone's Invited' Instagram page and website. The article demonstrates how girls were more likely to experience, recognize, and discuss sexual violence, in part due to feminist consciousness raising during lockdown via digital technologies like Instagram and TikTok. Although some boys did recognize the problem of violence against women, in general, they were much less aware of Sarah Everard's murder and Everyone's Invited and were prone to absorbing manosphere-like discourses around false rape accusations In focus groups, some boys deployed a defensive masculinity and adopted a discourse of male victimhood, which denied the scale and scope of violence against girls and women. However, through involving boys in focus group discussion with both us and their male peers about power and privilege, progress was made in challenging and counteracting rape myths and anti-feminist male victimization narratives.</t>
  </si>
  <si>
    <t>[Horeck, Tanya] Anglia Ruskin Univ, Film &amp; Feminist Media Studies, Cambridge Campus, Cambridge, England; [Ringrose, Jessica] UCL, Sociol Gender &amp; Educ, London, England; [Milne, Betsy] UCL, Ctr Multidisciplinary &amp; Intercultural Inquiry, Gender &amp; Sexual Studies, London, England; [Mendes, Kaitlynn] Western Univ, Sociol, London, ON, Canada; [Horeck, Tanya] Anglia Ruskin Univ, Cambridge Campus,East Rd, Cambridge CB1 1PT, England</t>
  </si>
  <si>
    <t>Anglia Ruskin University; University of London; University College London; University of London; University College London; Western University (University of Western Ontario); Anglia Ruskin University</t>
  </si>
  <si>
    <t>Horeck, T (corresponding author), Anglia Ruskin Univ, Cambridge Campus,East Rd, Cambridge CB1 1PT, England.</t>
  </si>
  <si>
    <t>tanya.horeck@aru.ac.uk</t>
  </si>
  <si>
    <t>Horeck, Tanya/ABD-2253-2021; Mendes, Kaitlynn/ABB-3139-2020; Ringrose, Jessica/F-6857-2019</t>
  </si>
  <si>
    <t>UK Research and Innovation/Arts and Humanities Research Council [AH/W000423/1)]</t>
  </si>
  <si>
    <t>UK Research and Innovation/Arts and Humanities Research Council</t>
  </si>
  <si>
    <t>Y The author (s) disclosed receipt of the following financial support for the research, authorship, and/or publication of this article: The research on which this article draws was supported by the UK Research and Innovation/Arts and Humanities Research Council Covid-19 Rapid Response call (grant number AH/W000423/1) Combatting gendered, sexual risks and harms online during Covid-19: Developing resources for young people, parents and schools'.</t>
  </si>
  <si>
    <t>10.1177/13675494231191490</t>
  </si>
  <si>
    <t>K6A6O</t>
  </si>
  <si>
    <t>WOS:001050700800001</t>
  </si>
  <si>
    <t>Kanchan, S; Gaidhane, A</t>
  </si>
  <si>
    <t>Kanchan, Sushim; Gaidhane, Abhay</t>
  </si>
  <si>
    <t>Social Media Role and Its Impact on Public Health: A Narrative Review</t>
  </si>
  <si>
    <t>hipaa violation; web 2.0; social media platforms; public health; social media (sm)</t>
  </si>
  <si>
    <t>OPPORTUNITIES; NETWORKING; PROMOTION; WEB</t>
  </si>
  <si>
    <t>Social media refers to online social networking sites and is a broad example of Web 2.0, such as Twitter, YouTube, TikTok, Facebook, Snapchat, Reddit, Instagram, WhatsApp, and blogs. It is a new and everchanging field. Access to the internet, social media platforms and mobile communications are all tools that can be leveraged to make health information available and accessible. This research aimed to conduct an introductory study of the existing published literature on why to choose and how to use social media to obtain population health information and to gain knowledge about various health sectors like disease surveillance, health education, health research, health and behavioral modification, influence policy, enhance professional development and doctor-patient relation development. We searched for publications using databases like PubMed, NCBI, and Google Scholar, and combined 2022 social media usage statistics from PWC, Infographics Archive, and Statista online websites. The American Medical Association (AMA) policy about Professionalism in Social Media Use, American College of Physicians-Federations of State Medical Boards (ACP-FSMB) guidelines for Online Medical Professionalism, and Health Insurance Portability and Accountability Act (HIPAA) social media violations were also briefly reviewed. Our findings reflect the benefits and drawbacks of using web platforms and how they impact public health ethically, professionally, and socially. During our research, we discovered that social media's impact on public health concerns is both positive and negative, and we attempted to explain how social networks are assisting people in achieving health, which is still a source of much debate.</t>
  </si>
  <si>
    <t>[Kanchan, Sushim; Gaidhane, Abhay] Datta Meghe Inst Med Sci, Jawaharlal Nehru Med Coll, Epidemiol &amp; Publ Hlth, Wardha, India</t>
  </si>
  <si>
    <t>Datta Meghe Institute of Higher Education &amp; Research (Deemed to be University); Jawaharlal Nehru Medical College Wardha</t>
  </si>
  <si>
    <t>Kanchan, S (corresponding author), Datta Meghe Inst Med Sci, Jawaharlal Nehru Med Coll, Epidemiol &amp; Publ Hlth, Wardha, India.</t>
  </si>
  <si>
    <t>sushimkanchan@gmail.com</t>
  </si>
  <si>
    <t>Kanchan, Sushim/0009-0001-4540-4354</t>
  </si>
  <si>
    <t>e33737</t>
  </si>
  <si>
    <t>10.7759/cureus.33737</t>
  </si>
  <si>
    <t>O8WZ3</t>
  </si>
  <si>
    <t>WOS:001046581100010</t>
  </si>
  <si>
    <t>Mao, ER</t>
  </si>
  <si>
    <t>Mao, Eric</t>
  </si>
  <si>
    <t>How live stream content types impact viewers' support behaviors? Mediational analysis on psychological and social gratifications</t>
  </si>
  <si>
    <t>live streaming; uses and gratifications; content type; support behavior; new media</t>
  </si>
  <si>
    <t>WORD-OF-MOUTH; VIDEO GAMES; MEDIA; MOTIVATIONS; ENGAGEMENT; HUMOR; ACCEPTANCE; COMMERCE; EMOTION</t>
  </si>
  <si>
    <t>While previous research into live streaming was predominantly focused on video games, its content creation and provision has tremendously evolved, extending well-beyond game streams. Contents of general interest, such as e-commerce shopping, talent shows, and cute pets, started to prevail in today's landscape of live streaming. However, limited attention has been given to how distinct types of streaming contents influence viewers' psychological and behavioral responses. To fill this void, we employed an online survey (n = 583) to empirically examine the associations between popular live stream content types on Douyin (i.e., the TikTok app for China) and their viewers' psychological and social gratifications and typical support behaviors. The results revealed that gratifications varied drastically across different content types. Game streaming, in particular, generated significant indirect impacts on all the support behaviors under consideration. On the other hand, whereas tension release served as a consistent mediator, the cognitive needs had no significant mediation effects. In sum, our study makes theoretical contributions to the literature by analyzing the thriving live stream phenomenon from a uses and gratifications perspective. We help augment the understanding of new media users' preferences and choices in an attention economy, wherein human attention is conceptualized as a scarce resource. In practice, a better knowledge of viewer needs can facilitate streamers to customize their content creation and provision so as to accentuate elements of interest and elicit desired support behaviors (i.e., monetization opportunities).</t>
  </si>
  <si>
    <t>[Mao, Eric] Commun Univ Zhejiang, Sch Cultural Creat &amp; Management, Hangzhou, Peoples R China</t>
  </si>
  <si>
    <t>Communication University of Zhejiang</t>
  </si>
  <si>
    <t>Mao, ER (corresponding author), Commun Univ Zhejiang, Sch Cultural Creat &amp; Management, Hangzhou, Peoples R China.</t>
  </si>
  <si>
    <t>ericcmao@gmail.com</t>
  </si>
  <si>
    <t>National Social Science Fund of China; [21ZD322]; [19BGL288]</t>
  </si>
  <si>
    <t>National Social Science Fund of China; ;</t>
  </si>
  <si>
    <t>Funding This article was funded by the National Social Science Fund of China (Grant Nos. 21&amp;ZD322 and 19BGL288).</t>
  </si>
  <si>
    <t>10.3389/fpsyg.2022.951055</t>
  </si>
  <si>
    <t>5R6SM</t>
  </si>
  <si>
    <t>WOS:000874638100001</t>
  </si>
  <si>
    <t>Jiang, JC; Shi, YN; Peng, KX</t>
  </si>
  <si>
    <t>Rau, PLP</t>
  </si>
  <si>
    <t>Jiang Jinchen; Shi Yini; Peng Kexing</t>
  </si>
  <si>
    <t>E-commerce Platform Mobile Interface Experience Design from a Cross-Cultural Perspective</t>
  </si>
  <si>
    <t>CROSS-CULTURAL DESIGN, PT III, CCD 2024</t>
  </si>
  <si>
    <t>16th International Conference on Cross-Cultural Design (CCD) Held as Part of the 26th International Conference on Human-Computer Interaction (HCII)</t>
  </si>
  <si>
    <t>Experience Design; Interface Design; Cross-cultural; E-commerce Platform; Mobile Site</t>
  </si>
  <si>
    <t>Objective: Because of the problem of cognitive bias in interface information among cross-cultural users, the research goal is to achieve cross-cultural adaptation of e-commerce mobile interface design and improve the experience of cross-cultural users. Method: Combining the literature research method and case analysis method, we analyzed the dimensions of cultural differences between different countries in e-commerce scenarios, sorted out the differences in behavioral habits of cross-cultural users and their involved interfaces in e-commerce contexts, and refined three interface conceptual design processes that are strongly related to cross-cultural. Result: This paper proposes a CID (Cross-Cultural Interface Design) model for e-commerce platform mobile terminals that adapts to cross-cultural differences and further explores a series of cross-cultural interface design strategies between China and the United States with examples. It improved the design strategy by comparing the relevant interfaces of TikTok's American and Chinese versions. On this basis, the design practice of optimizing the interface of the American version of Pinduoduo was completed, and the feasibility of the model was initially verified. Significance: This study is a comprehensive consideration from multiple perspectives of culture, cognition, and experience, which has a certain degree of universality, which provides new perspectives for theoretical research and theoretical references for the development of cross-cultural interface experience design research, and provides new practical paths for the practice of mobile interface design in the cross-cultural e-commerce platform project between China and the United States.</t>
  </si>
  <si>
    <t>[Jiang Jinchen] Sichuan Fine Arts Inst, Chongqing 400030, Peoples R China; [Shi Yini; Peng Kexing] Chongqing Univ, Chongqing 400030, Peoples R China</t>
  </si>
  <si>
    <t>Sichuan Fine Arts Institute; Chongqing University</t>
  </si>
  <si>
    <t>Jiang, JC (corresponding author), Sichuan Fine Arts Inst, Chongqing 400030, Peoples R China.</t>
  </si>
  <si>
    <t>jiangjinchen@scfai.edu.cn</t>
  </si>
  <si>
    <t>978-3-031-60903-9; 978-3-031-60904-6</t>
  </si>
  <si>
    <t>10.1007/978-3-031-60904-6_19</t>
  </si>
  <si>
    <t>Computer Science, Information Systems; Computer Science, Interdisciplinary Applications; Computer Science, Software Engineering</t>
  </si>
  <si>
    <t>BX3TQ</t>
  </si>
  <si>
    <t>WOS:001284756800019</t>
  </si>
  <si>
    <t>Munir, S; Siby, S; Iqbal, U; Englehardt, S; Sha, Z; Troncoso, C</t>
  </si>
  <si>
    <t>Munir, Shaoor; Siby, Sandra; Iqbal, Umar; Englehardt, Steven; Sha, Zubair; Troncoso, Carmela</t>
  </si>
  <si>
    <t>CookieGraph: Understanding and Detecting First-Party Tracking Cookies</t>
  </si>
  <si>
    <t>cookies; machine learning; privacy; tracking; web security</t>
  </si>
  <si>
    <t>As third-party cookie blocking is becoming the norm in mainstream web browsers, advertisers and trackers have started to use first-party cookies for tracking. To understand this phenomenon, we conduct a differential measurement study with versus without third-party cookies. We find that first-party cookies are used to store and exfiltrate identifiers to known trackers even when third-party cookies are blocked. As opposed to third-party cookie blocking, first-party cookie blocking is not practical because it would result in major breakage of website functionality. We propose CookieGraph, a machine learning-based approach that can accurately and robustly detect and block first-party tracking cookies. CookieGraph detects first-party tracking cookies with 90.18% accuracy, outperforming the stateof-the-art CookieBlock by 17.31%. We show that CookieGraph is robust against cookie name manipulation, while CookieBlock's accuracy drops by 15.87%. While blocking all first-party cookies results in major breakage on 32% of the sites with SSO logins, and CookieBlock reduces it to 10%, we show that CookieGraph does not cause any major breakage on these sites. Our deployment of CookieGraph shows that first-party tracking cookies are used on 89.86% of the top-million websites. We find that 96.61% of these first-party tracking cookies are in fact ghostwritten by third-party scripts embedded in the first-party context. We also dind evidence of first-party tracking cookies being set by fingerprinting scripts. The most prevalent first-party tracking cookies are set by major advertising entities such as Google, Facebook, and TikTok.</t>
  </si>
  <si>
    <t>[Munir, Shaoor; Sha, Zubair] Univ Calif Davis, Davis, CA 95616 USA; [Siby, Sandra] Imperial Coll London, London, England; [Iqbal, Umar] Washington Univ St Louis, St Louis, MO USA; [Troncoso, Carmela] Ecole Polytech Fed Lausanne, Lausanne, Switzerland</t>
  </si>
  <si>
    <t>University of California System; University of California Davis; Imperial College London; Washington University (WUSTL); Swiss Federal Institutes of Technology Domain; Ecole Polytechnique Federale de Lausanne</t>
  </si>
  <si>
    <t>Munir, S (corresponding author), Univ Calif Davis, Davis, CA 95616 USA.</t>
  </si>
  <si>
    <t>smunir@ucdavis.edu; s.siby@imperial.ac.uk; umar.iqbal@wustl.edu; se@senglehardt.com; zubair@ucdavis.edu; carmela.troncoso@epfl.ch</t>
  </si>
  <si>
    <t>Troncoso, Carmela/L-9883-2014</t>
  </si>
  <si>
    <t>Munir, Shaoor/0009-0009-6042-8272; Shafiq, Zubair/0000-0002-4500-9354</t>
  </si>
  <si>
    <t>National Science Foundation [2103439, 2103038, 2138139, 2127309]</t>
  </si>
  <si>
    <t>This work was supported in part by the National Science Foundation under grant numbers 2103439, 2103038, 2138139, and 2127309 (Computing Research Association for the CIFellows 2021 Project). Steven Englehardt was employed by DuckDuckGo during the project, but this work was completed independently.</t>
  </si>
  <si>
    <t>10.1145/3576915.3616586</t>
  </si>
  <si>
    <t>WOS:001124987203032</t>
  </si>
  <si>
    <t>Wallner, C; Kruber, S; Adebayo, SO; Ayandele, O; Namatame, H; Olonisakin, TT; Olapegba, PO; Sawamiya, Y; Suzuki, T; Yamamiya, Y; Wagner, MJ; Drysch, M; Lehnhardt, M; Behr, B</t>
  </si>
  <si>
    <t>Wallner, Christoph; Kruber, Svenja; Adebayo, Sulaiman Olanrewaju; Ayandele, Olusola; Namatame, Hikari; Olonisakin, Tosin Tunrayo; Olapegba, Peter O.; Sawamiya, Yoko; Suzuki, Tomohiro; Yamamiya, Yuko; Wagner, Maximilian Johannes; Drysch, Marius; Lehnhardt, Marcus; Behr, Bjorn</t>
  </si>
  <si>
    <t>Interethnic Influencing Factors Regarding Buttocks Body Image in Women from Nigeria, Germany, USA and Japan</t>
  </si>
  <si>
    <t>social media; female; buttocks; body image; WHR</t>
  </si>
  <si>
    <t>PHYSICAL APPEARANCE PERFECTIONISM; WAIST-HIP RATIO; MEDIA EXPOSURE; SOCIAL MEDIA; BREAST SIZE; THIN; IDEALS; DISSATISFACTION; INTERNALIZATION; ATTRACTIVENESS</t>
  </si>
  <si>
    <t>Background: Body image research deals a lot with awareness of the body as an entity. Studies that consider individual anatomical aspects and place them in an intercultural context are rarely present. Methods: For this purpose, general data, body perception and judgment of body images from 2163 (48% female and 52% male) participants from Germany, Nigeria, the USA and Japan were evaluated as part of a survey. Results: There were clear differences in the personal body image of the participants' own buttocks, the buttocks as a beauty ideal and the way in which dissatisfaction was dealt with in different countries. In addition to sexual well-being (importance score: 0.405 a.u.), the country of origin (0.353), media consumption (0.042) and one's own weight (0.069) were also identified as influencing factors for satisfaction with one's own buttocks. A clear evolution could be derived regarding a WHR (waist-to-hip ratio) of well below 0.7, which was consistently favored by the participants but also propagated by influencers through images (p &lt; 0.001). In this context, participants who indicated celebrities as role models for the buttocks showed a correspondingly high level of dissatisfaction with their own buttocks (R = -0.207, p &lt; 0.001, rho = -0.218). Conclusion: Overall, a highly significant correlation was shown between the consumption frequency of Instagram, TikTok and pornography with the negative perception of women's own buttocks.</t>
  </si>
  <si>
    <t>[Wallner, Christoph; Kruber, Svenja; Wagner, Maximilian Johannes; Drysch, Marius; Lehnhardt, Marcus; Behr, Bjorn] Ruhr Univ Bochum, BG Univ Hosp Bergmannsheil, Dept Plast Surg, Burkle de la Camp Pl 1, D-44789 Bochum, Germany; [Adebayo, Sulaiman Olanrewaju] Ekiti State Univ, Dept Psychol &amp; Behav Studies, Ado Ekiti 360102, Nigeria; [Ayandele, Olusola; Olapegba, Peter O.] Univ Ibadan, Dept Psychol, Ibadan 200005, Nigeria; [Ayandele, Olusola] Polytech, Dept Gen Studies, Ibadan 200285, Nigeria; [Namatame, Hikari; Sawamiya, Yoko] Univ Tsukuba, Fac Human Sci, Tsukuba, Ibaraki 3058577, Japan; [Olonisakin, Tosin Tunrayo] North West Univ, Fac Humanities, ZA-2790 Mafikeng, South Africa; [Suzuki, Tomohiro] Tokyo Future Univ, Dept Child Psychol, Tokyo 1200023, Japan; [Yamamiya, Yuko] Temple Univ, Dept Undergrad Studies, Japan Campus, Tokyo 1540004, Japan</t>
  </si>
  <si>
    <t>Ruhr University Bochum; University of Ibadan; University of Tsukuba; North West University - South Africa; Pennsylvania Commonwealth System of Higher Education (PCSHE); Temple University</t>
  </si>
  <si>
    <t>Wallner, C (corresponding author), Ruhr Univ Bochum, BG Univ Hosp Bergmannsheil, Dept Plast Surg, Burkle de la Camp Pl 1, D-44789 Bochum, Germany.</t>
  </si>
  <si>
    <t>christoph.wallner@bergmannsheil.de</t>
  </si>
  <si>
    <t>Wallner, Christoph/JVO-4067-2024; Drysch, Marius/AAY-2816-2020; Olonisakin, Tosin/GMX-4706-2022; Ayandele, Olusola/AAQ-7265-2020; Namatame, Hikari/AAW-4056-2021; Adebayo, Sulaiman/ABD-3277-2021; Olapegba, Peter Olamakinde/AAK-7523-2020</t>
  </si>
  <si>
    <t>Namatame, Hikari/0000-0002-0313-6435; Olapegba, Peter Olamakinde/0000-0003-1924-1675; Ayandele, Olusola/0000-0003-2690-4780; Olonisakin, Tosin Tunrayo/0000-0002-9565-7632; adebayo, sulaiman olanrewaju/0000-0002-6514-5257</t>
  </si>
  <si>
    <t>Ruhr University Bochum [F946N3-2020]</t>
  </si>
  <si>
    <t>Ruhr University Bochum</t>
  </si>
  <si>
    <t>This research was funded by the Ruhr University Bochum, F946N3-2020.</t>
  </si>
  <si>
    <t>10.3390/ijerph192013212</t>
  </si>
  <si>
    <t>5P6VZ</t>
  </si>
  <si>
    <t>WOS:000873287800001</t>
  </si>
  <si>
    <t>Gao, LQ; Wang, HY; Zhang, ZR; Zhuang, HW; Zhou, B</t>
  </si>
  <si>
    <t>Gao, Liqun; Wang, Haiyang; Zhang, Zhouran; Zhuang, Hongwu; Zhou, Bin</t>
  </si>
  <si>
    <t>HetInf: Social Influence Prediction With Heterogeneous Graph Neural Network</t>
  </si>
  <si>
    <t>social network analysis; social influence analysis; heterogeneous neural network; user behavior prediction; deep learning</t>
  </si>
  <si>
    <t>With the continuous enrichment of social network applications, such as TikTok, Weibo, Twitter, and others, social media have become an indispensable part of our lives. Web users can participate in their favorite events or pay attention to people they like. The heterogeneous influence between events and users can be effectively modeled, and users' potential future behaviors can be predicted, so as to facilitate applications such as recommendations and online advertising. For example, a user's favorite live streaming host (user) recommends certain products (event), can we predict whether the user will buy these products in the future? The majority of studies are based on a homogeneous graph neural network to model the influence between users. However, these studies ignore the impact of events on users in reality. For instance, when users purchase commodities through live streaming channels, in addition to the factors of the host, the commodity is also a key factor that influences the behavior of users. This study designs an influence prediction model based on a heterogeneous neural network HetInf. Specifically, we first constructed the heterogeneous social influence network according to the relationship between event nodes and user nodes, then sampled the user heterogeneous subgraph for each user, extracted the relevant node features, and finally predicted the probability of user behavior through the heterogeneous neural network model. We conducted comprehensive experiments on two large social network datasets. Furthermore, the experimental results show that HetInf is significantly superior to the previous homogeneous neural network methods.</t>
  </si>
  <si>
    <t>[Gao, Liqun; Wang, Haiyang; Zhuang, Hongwu; Zhou, Bin] Natl Univ Def Technol, Sch Comp, Key Lab Software Engn Complex Syst, Changsha, Peoples R China; [Zhang, Zhouran] Natl Univ Def Technol, Dept Mat Sci &amp; Engn, Changsha, Peoples R China</t>
  </si>
  <si>
    <t>National University of Defense Technology - China; National University of Defense Technology - China</t>
  </si>
  <si>
    <t>Zhou, B (corresponding author), Natl Univ Def Technol, Sch Comp, Key Lab Software Engn Complex Syst, Changsha, Peoples R China.</t>
  </si>
  <si>
    <t>binzhou@nudt.edu.cn</t>
  </si>
  <si>
    <t>Zhang, Zhouran/JWO-2560-2024; Zhao, Bin/C-9348-2013</t>
  </si>
  <si>
    <t>, Zhouran/0000-0002-6668-1174</t>
  </si>
  <si>
    <t>National Key Research and Development Program of China [2018YFC0831703]; National Natural Science Foundation of China [61732022, 61732004, 62072131, 61672020]</t>
  </si>
  <si>
    <t>Funding This work is supported by the National Key Research and Development Program of China (2018YFC0831703) and the National Natural Science Foundation of China (Nos. 61732022, 61732004, 62072131, and 61672020).</t>
  </si>
  <si>
    <t>10.3389/fphy.2021.787185</t>
  </si>
  <si>
    <t>YK4FQ</t>
  </si>
  <si>
    <t>WOS:000745171200001</t>
  </si>
  <si>
    <t>Ding, RH; Kong, QZ; Sun, LF; Liu, XY; Xu, LQ; Li, YY; Zuo, XL; Li, YQ</t>
  </si>
  <si>
    <t>Ding, Ruihao; Kong, Qingzhou; Sun, Longfei; Liu, Xuyan; Xu, Leiqi; Li, Yueyue; Zuo, Xiuli; Li, Yanqing</t>
  </si>
  <si>
    <t>Health information in short videos about metabolic dysfunction-associated steatotic liver disease: Analysing quality and reliability</t>
  </si>
  <si>
    <t>LIVER INTERNATIONAL</t>
  </si>
  <si>
    <t>metabolic dysfunction-associated steatotic liver disease; patient education; public health; quality; reliability</t>
  </si>
  <si>
    <t>Background &amp; AimsShort videos, crucial for disseminating health information on metabolic dysfunction-associated steatotic liver disease (MASLD), lack a clear evaluation of quality and reliability. This study aimed to assess the quality and reliability of MASLD-related videos on Chinese platforms.MethodsVideo samples were collected from three platforms (TikTok, Kwai and Bilibili) during the period from November 2019 to July 2023. Two independent reviewers evaluated the integrity of the information contained therein by scoring six key aspects of its content: definition, epidemiology, risk factors, outcomes, diagnosis and treatment. The quality and reliability of the videos were assessed using the Journal of the American Medical Association (JAMA) criteria, the Global Quality Score (GQS) and the modified DISCERN score.ResultsA total of 198 videos were included. The video content exhibited an overall unsatisfactory quality, with a primary emphasis on risk factors and treatment, while diagnosis and epidemiology were seldom addressed. Regarding the sources of the videos, the GQS and modified DISCERN scores varied significantly between the platforms (p = .003), although they had generally similar JAMA scores (p = .251). Videos created by medical professionals differed significantly in terms of JAMA scores (p = .046) compared to those created by nonmedical professionals, but there were no statistically significant differences in GQS (p = .923) or modified DISCERN scores (p = .317).ConclusionsThe overall quality and reliability of the videos were poor and varied between platforms and uploaders. Platforms and healthcare professionals should strive to provide more reliable health-related information regarding MASLD.</t>
  </si>
  <si>
    <t>[Ding, Ruihao; Kong, Qingzhou; Sun, Longfei; Liu, Xuyan; Xu, Leiqi; Li, Yueyue; Zuo, Xiuli; Li, Yanqing] Shandong Univ, Dept Gastroenterol, Qilu Hosp, Jinan 250012, Shandong, Peoples R China; [Ding, Ruihao; Kong, Qingzhou; Sun, Longfei; Liu, Xuyan; Xu, Leiqi; Li, Yueyue; Zuo, Xiuli; Li, Yanqing] Shandong Univ, Lab Translat Gastroenterol, Qilu Hosp, Jinan, Shandong, Peoples R China; [Ding, Ruihao; Kong, Qingzhou; Sun, Longfei; Liu, Xuyan; Xu, Leiqi; Li, Yueyue; Zuo, Xiuli; Li, Yanqing] Shandong Univ, Qilu Hosp, Shandong Prov Clin Res Ctr Digest Dis, Jinan, Shandong, Peoples R China</t>
  </si>
  <si>
    <t>Li, YY (corresponding author), Shandong Univ, Dept Gastroenterol, Qilu Hosp, Jinan 250012, Shandong, Peoples R China.</t>
  </si>
  <si>
    <t>lyynqj@126.com</t>
  </si>
  <si>
    <t>1478-3223</t>
  </si>
  <si>
    <t>1478-3231</t>
  </si>
  <si>
    <t>LIVER INT</t>
  </si>
  <si>
    <t>Liver Int.</t>
  </si>
  <si>
    <t>10.1111/liv.15871</t>
  </si>
  <si>
    <t>RR0G9</t>
  </si>
  <si>
    <t>WOS:001178291900001</t>
  </si>
  <si>
    <t>Colley, L; Dybka, A; Gauthier, A; Laboissonniere, J; Mougeot, A; Mowla, N; Dick, K; Khalil, H; Wainer, G</t>
  </si>
  <si>
    <t>Leong, HV; Sarvestani, SS; Teranishi, Y; Cuzzocrea, A; Kashiwazaki, H; Towey, D; Yang, JJ; Shahriar, H</t>
  </si>
  <si>
    <t>Colley, Laura; Dybka, Andrew; Gauthier, Adam; Laboissonniere, Jacob; Mougeot, Alexandre; Mowla, Nayeeb; Dick, Kevin; Khalil, Hoda; Wainer, Gabriel</t>
  </si>
  <si>
    <t>Elucidation of the Relationship Between a Song's Spotify Descriptive Metrics and its Popularity on Various Platforms</t>
  </si>
  <si>
    <t>2022 IEEE 46TH ANNUAL COMPUTERS, SOFTWARE, AND APPLICATIONS CONFERENCE (COMPSAC 2022)</t>
  </si>
  <si>
    <t>46th Annual IEEE-Computer-Society International Computers, Software, and Applications Conference (COMPSAC) - Computers, Software, and Applications in an Uncertain World</t>
  </si>
  <si>
    <t>JUN 27-JUL 01, 2022</t>
  </si>
  <si>
    <t>Song Popularity; Spotify; Web Scraping; Acoustics</t>
  </si>
  <si>
    <t>COMPUTERIZED ANALYSIS; MUSIC; TYPICALITY; ENERGY</t>
  </si>
  <si>
    <t>The music industry and personal music consumption have evolved dramatically with the advent of streaming platforms. In this evolving landscape, there is considerable interest in understanding what factors contribute to a song's popularity. Extrinsic (i.e. non-acoustic) features of a given song, such as the record label, and/or intrinsic (i.e. acoustic) features such as its energy may contribute to popularity on a given digital platform. In this work, we, for the first time, sought to systematically study how a song's Spotify acoustic descriptive features correlated with popularity metrics on various Internet platforms. Since each platform defines popularity according to platform-specific metrics, a large-scale correlation-based analysis was generated. The digital platforms considered in this article are Google Trends, WhoSampled, TikTok, Twitter, YouTube, and the Billboard Top100. Platform-specific scrapers were created and all data was aggregated with the Spotify Echo Nest dataset of descriptive acoustic metrics. While the majority of correlations were unremarkable considering both Spearman and Pearson coefficients, a number of corroborating and contradictory findings resulted, with notable implications for acoustic features on various digital platforms. Notably, the YouTube view count was found to be positively correlated to the Spotify song popularity (rho = 0.822), year (rho = 0.600), and energy (rho = 0.455) and moderately negatively correlated to accousticness (rho = -0.542) and instrumentalness (rho = -0.345). All reproducing code and aggregated data from this work are open-source for use by the broader research community.</t>
  </si>
  <si>
    <t>[Colley, Laura; Dybka, Andrew; Laboissonniere, Jacob; Mowla, Nayeeb; Dick, Kevin; Khalil, Hoda; Wainer, Gabriel] Carleton Univ, Dept Syst &amp; Comp Engn, Ottawa, ON, Canada; [Gauthier, Adam; Mougeot, Alexandre] Carleton Univ, Dept Elect Engn, Ottawa, ON, Canada</t>
  </si>
  <si>
    <t>Dick, K (corresponding author), Carleton Univ, Dept Syst &amp; Comp Engn, Ottawa, ON, Canada.</t>
  </si>
  <si>
    <t>kevin.dick@carleton.ca; hoda.khalil@carleton.ca; gwainer@sce.carleton.ca</t>
  </si>
  <si>
    <t>Khalil, Hoda/AAV-7553-2021; Wainer, Gabriel/A-2797-2008</t>
  </si>
  <si>
    <t>Wainer, Gabriel/0000-0003-3366-9184</t>
  </si>
  <si>
    <t>978-1-6654-8810-5</t>
  </si>
  <si>
    <t>10.1109/COMPSAC54236.2022.00042</t>
  </si>
  <si>
    <t>Computer Science, Interdisciplinary Applications; Computer Science, Software Engineering</t>
  </si>
  <si>
    <t>BT8XQ</t>
  </si>
  <si>
    <t>WOS:000855983300034</t>
  </si>
  <si>
    <t>Pang, H; Ruan, Y</t>
  </si>
  <si>
    <t>Pang, Hua; Ruan, Yang</t>
  </si>
  <si>
    <t>Disentangling composite influences of social connectivity and system interactivity on continuance intention in mobile short video applications: The pivotal moderation of user-perceived benefits</t>
  </si>
  <si>
    <t>Social interactivity; System interactivity; Perceived benefits; TikTok continuance intention; Young people</t>
  </si>
  <si>
    <t>DECISION-MAKING</t>
  </si>
  <si>
    <t>The expeditious proliferation of wireless network technology has caused the widespread integration of mobile short video apps into our daily routines, offering unprecedented opportunities for information dissemination and interactive communication. Despite extensive researches on the interactivity of mobile short video app, there has been a limited focus on understanding the underlying factors that contribute to users' perceived benefits and continuance intention. Leveraging insights from preceding studies, this study develops a conceptual research model that investigates how two distinct facets of interactivity, namely social interactivity and system interactivity, influence users' perceived benefits from mobile short video apps, ultimately impacting their intention to continue using them. This analysis rigorously scrutinizes data garnered from 808 users of mobile short video applications, employing structural equation modeling to validate the proposed hypotheses. The findings conclusively reveal that interactivity significantly affects users' perceived benefits from mobile short video apps. Moreover, the study elucidates that perceived benefits from these apps are the significant predictors of continuance intention. Furthermore, interactivity could indirectly influence continuance intention via the mediation of perceived benefits. These findings possess the potential not only to augment our comprehension of perceived benefits and continuance intention from the interactivity perspective but also to furnish valuable insights for scholars in the field. The research sheds light on effective methodologies to encourage the adoption of mobile short video applications and to boost user engagement in a society oversaturated with mobile technology.</t>
  </si>
  <si>
    <t>[Pang, Hua] Tianjin Univ, Sch New Media &amp; Commun, Tianjin 300072, Peoples R China; [Pang, Hua; Ruan, Yang] Tianjin Univ, Coll Management &amp; Econ, Tianjin 300072, Peoples R China</t>
  </si>
  <si>
    <t>Tianjin University; Tianjin University</t>
  </si>
  <si>
    <t>Pang, H (corresponding author), Tianjin Univ, Sch New Media &amp; Commun, Tianjin 300072, Peoples R China.</t>
  </si>
  <si>
    <t>huapang@tju.edu.cn</t>
  </si>
  <si>
    <t>Ruan, Yang/KLZ-5332-2024</t>
  </si>
  <si>
    <t>National Social Science Fund of China [19CXW035]</t>
  </si>
  <si>
    <t>This work was supported by the National Social Science Fund of China (Grant No. 19CXW035) .</t>
  </si>
  <si>
    <t>10.1016/j.jretconser.2024.103923</t>
  </si>
  <si>
    <t>K9S4M</t>
  </si>
  <si>
    <t>WOS:001347223500001</t>
  </si>
  <si>
    <t>Sun, JZ; Chang, H; Zhao, WX; Yu, YJ; Yang, LF; Huang, XL</t>
  </si>
  <si>
    <t>Sun, Jingzhou; Chang, He; Zhao, Wenxuan; Yu, Youjian; Yang, Lifang; Huang, Xianglin</t>
  </si>
  <si>
    <t>A Multimedia Graph Collaborative Filter</t>
  </si>
  <si>
    <t>Visualization; Bipartite graph; Acoustics; Information filters; Collaboration; Licenses; Feature extraction; Multimedia recommendation; collaborative filter; graph neural network; deep learning</t>
  </si>
  <si>
    <t>The Multimedia recommendation has always been an active research field in the area of personalized recommendation, and the core of multimedia recommenders is learning multimodal representations for the users and items. Traditional multimedia recommenders first extract multimodal (such as visual, acoustic, and textual) features by pre-trained networks, and then incorporate ID embeddings with the features to enrich the representations of both users and items. However, these methods only employ multimodal information of the directly interacting items. Recent graph-based efforts utilize high-order connectivities and the message pass mechanism of the graph. The multimodal information of high-hop items is propagated along with the high-order connectivities in a graph and aggregated to enrich the representations of users and items, such as adopting a parallel graph structure to model user preferences on different modalities. However, the users' preferences for different modalities are unknown. The bipartite graph structure for the entire modalities should differ from the single modality. In this work, we devise a new multimedia recommendation framework, a Multimedia Graph Collaborative Filter (MGCF). In MGCF, a light graph framework with a fusion component is developed to integrate and distill the useful multimodal information. Moreover, the attention mechanism is adopted to enhance the importance of aggregated information. Extensive experiments are conducted on two public datasets: Tiktok and MovieLens. The results show that our model outperforms several state-of-art multimedia recommenders. Further analysis demonstrates the importance of modeling multimodal information for better user and item representations. The code will be open soon.</t>
  </si>
  <si>
    <t>[Sun, Jingzhou; Chang, He; Zhao, Wenxuan; Yang, Lifang; Huang, Xianglin] Commun Univ China, Key Lab Convergent Media &amp; Intelligent Technol, Minist Educ, Beijing 100024, Peoples R China; [Yu, Youjian] Tianjin Chengjian Univ, Sch Comp &amp; Informat Engn, Tianjin 300384, Peoples R China</t>
  </si>
  <si>
    <t>Communication University of China; Tianjin Chengjian University</t>
  </si>
  <si>
    <t>Yu, YJ (corresponding author), Tianjin Chengjian Univ, Sch Comp &amp; Informat Engn, Tianjin 300384, Peoples R China.</t>
  </si>
  <si>
    <t>yyj@tcu.edu.cn</t>
  </si>
  <si>
    <t>wenxuan, zhao/0000-0002-3296-1047; Chang, He/0000-0002-7203-0677; Sun, Jingzhou/0000-0003-0249-369X</t>
  </si>
  <si>
    <t>scheme-Research on Key Technologies of Mobile Digital Reading Service; major project-R&amp;D and Application of Mobile Digital Reading Service Technologies, National Key Research and Development Program-RD; Application Demonstration of Common Key Technologies in Modern Service Industry [2019YFB1406101]; Key Laboratory of Convergent Media and Intelligent Technology, Communication University of China, Ministry of Education</t>
  </si>
  <si>
    <t>scheme-Research on Key Technologies of Mobile Digital Reading Service; major project-R&amp;D and Application of Mobile Digital Reading Service Technologies, National Key Research and Development Program-RD; Application Demonstration of Common Key Technologies in Modern Service Industry; Key Laboratory of Convergent Media and Intelligent Technology, Communication University of China, Ministry of Education</t>
  </si>
  <si>
    <t>This work was funded by the scheme-Research on Key Technologies of Mobile Digital Reading Service, the scheme is in the major project-R&amp;D and Application of Mobile Digital Reading Service Technologies, which is in The National Key Research and Development Program-R&amp;D and Application Demonstration of Common Key Technologies in Modern Service Industry (Grant No. 2019YFB1406101). This work was supported by the Key Laboratory of Convergent Media and Intelligent Technology, Communication University of China, Ministry of Education.</t>
  </si>
  <si>
    <t>10.1109/ACCESS.2022.3174212</t>
  </si>
  <si>
    <t>1I7MA</t>
  </si>
  <si>
    <t>WOS:000797410200001</t>
  </si>
  <si>
    <t>Zhu, MC; Zhang, RC; Wang, HZ</t>
  </si>
  <si>
    <t>Zhu, Mingcheng; Zhang, Rongchuan; Wang, Haizhou</t>
  </si>
  <si>
    <t>Recognizing irrelevant faces in short-form videos based on feature fusion and active learning</t>
  </si>
  <si>
    <t>Face protection; Feature fusion; Loss function; Domain adaptation</t>
  </si>
  <si>
    <t>PRIVACY PROTECTION; MARGIN LOSS; DEEP; PIXELATION; TRACKING</t>
  </si>
  <si>
    <t>In recent years, short-form videos spread rapidly around the world and became a popular way of enter-tainment for people to share their daily lives. However, many videos record behaviors of other people without their awareness and are uploaded onto the short-form video platforms. Such behavior severely invades personal privacy and can even bring risks of personal information leakage. At present, few studies focus on detecting privacy violations in short-form videos. Meanwhile, due to the difficulty in transfer-ring existing models to the scenario of short-form videos and the lack of reliable datasets, it is very chal-lenging to recognize irrelevant faces in short-form videos. To deal with this problem, we constructed and published an irrelevant faces dataset (IF-Dataset) with 43,965 irrelevant face images and 89,924 relevant face images based on the videos collected from Douyin (the Chinese version of TikTok). In addition, we constructed a framework that implemented our proposed deep learning model Multi-features Multi -head Fusion Network (MMFNet) to recognize irrelevant faces from short-form videos. The experimental results show that the F1 score of the MMFNet can reach 87.03%. We also proposed a novel loss function as well as an active learning system to improve the generalization ability of models, which can reach the Relative Error Reduction (RER) up to 29.58%. Our work provides both theoretical and practical support for face protection in short-form videos.(c) 2022 Elsevier B.V. All rights reserved.</t>
  </si>
  <si>
    <t>[Zhu, Mingcheng; Zhang, Rongchuan; Wang, Haizhou] Sichuan Univ, Sch Cyber Sci &amp; Engn, Chengdu, Peoples R China</t>
  </si>
  <si>
    <t>Wang, HZ (corresponding author), Sichuan Univ, Sch Cyber Sci &amp; Engn, Chengdu, Peoples R China.</t>
  </si>
  <si>
    <t>whzh.nc@scu.edu.cn</t>
  </si>
  <si>
    <t>Zhu, Mingcheng/HGE-0394-2022</t>
  </si>
  <si>
    <t>Zhu, Mingcheng/0000-0002-1964-5437</t>
  </si>
  <si>
    <t>National Natural Science Founda-tion of China (NSFC) [61802270, 61802271, 81602935, 81773548]; Joint Research Fund of China Ministry of Education and China Mobile Company [CM20200409]; Key Research and Development Program of Science and Technology Department of Sichuan Province [2020YFS0575]; Sichuan Univer-sity and Yibin Municipal People?s Government University [2020CDYB-29]; City Strategic Cooperation Special Fund Project</t>
  </si>
  <si>
    <t>National Natural Science Founda-tion of China (NSFC)(National Natural Science Foundation of China (NSFC)); Joint Research Fund of China Ministry of Education and China Mobile Company; Key Research and Development Program of Science and Technology Department of Sichuan Province; Sichuan Univer-sity and Yibin Municipal People?s Government University; City Strategic Cooperation Special Fund Project</t>
  </si>
  <si>
    <t>This work is supported by the National Natural Science Founda-tion of China (NSFC) under Grant Nos. 61802270, 61802271, 81602935, and 81773548. In addition, this work is also partially supported by Joint Research Fund of China Ministry of Education and China Mobile Company (No. CM20200409) , the Key Research and Development Program of Science and Technology Department of Sichuan Province (No. 2020YFS0575) , and the Sichuan Univer-sity and Yibin Municipal People?s Government University and City Strategic Cooperation Special Fund Project (Grant No. 2020CDYB-29) .</t>
  </si>
  <si>
    <t>AUG 28</t>
  </si>
  <si>
    <t>10.1016/j.neucom.2022.06.064</t>
  </si>
  <si>
    <t>3D9GE</t>
  </si>
  <si>
    <t>WOS:000829601500003</t>
  </si>
  <si>
    <t>van der Boon, RMA; Camm, AJ; Aguiar, C; Biasin, E; Breithardt, G; Bueno, H; Drossart, ; Hoppe, N; Kamenjasevic, E; Ladeiras-Lopes, R; Mcgreavy, P; Lanzer, P; Vidal-Perez, R; Bruining, N</t>
  </si>
  <si>
    <t>van der Boon, Robert M. A.; Camm, A. John; Aguiar, C.; Biasin, E.; Breithardt, G.; Bueno, H.; Drossart, I; Hoppe, N.; Kamenjasevic, E.; Ladeiras-Lopes, R.; Mcgreavy, Paul; Lanzer, P.; Vidal-Perez, R.; Bruining, Nico</t>
  </si>
  <si>
    <t>Risks and benefits of sharing patient information on social media: a digital dilemma</t>
  </si>
  <si>
    <t>EUROPEAN HEART JOURNAL - DIGITAL HEALTH</t>
  </si>
  <si>
    <t>Social media; Legal; Ethical; Privacy; Patient information; Education</t>
  </si>
  <si>
    <t>Social media (SoMe) has witnessed remarkable growth and emerged as a dominant method of communication worldwide. Platforms such as Facebook, X (formerly Twitter), LinkedIn, Instagram, TikTok, and YouTube have become important tools of the digital native generation. In the field of medicine, particularly, cardiology, attitudes towards SoMe have shifted, and professionals increasingly utilize it to share scientific findings, network with experts, and enhance teaching and learning. Notably, SoMe is being leveraged for teaching purposes, including the sharing of challenging and intriguing cases. However, sharing patient data, including photos or images, online carries significant implications and risks, potentially compromising individual privacy both online and offline. Privacy and data protection are fundamental rights within European Union treaties, and the General Data Protection Regulation (GDPR) serves as the cornerstone of data protection legislation. The GDPR outlines crucial requirements, such as obtaining 'consent' and implementing 'anonymization', that must be met before sharing sensitive and patient-identifiable information. Additionally, it is vital to consider the patient's perspective and prioritize ethical and social considerations when addressing challenges associated with sharing patient information on SoMe platforms. Given the absence of a peer-review process and clear guidelines, we present an initial approach, a code of conduct, and recommendations for the ethical use of SoMe. In conclusion, this comprehensive review underscores the importance of a balanced approach that ensures patient privacy and upholds ethical standards while harnessing the immense potential of SoMe to advance cardiology practice and facilitate knowledge dissemination. Graphical Abstract</t>
  </si>
  <si>
    <t>[van der Boon, Robert M. A.; Bruining, Nico] Erasmus MC, Cardiovasc Inst, Dept Cardiol, Rotterdam, Netherlands; [Camm, A. John] St Geroges Univ London, Genet &amp; Cardiovasc Sci Inst, Cardiol Clin Acad Grp, London SW17 0RE, England; [Aguiar, C.] Hosp Santa Cruz, Ctr Hosp Lisboa Ocidental, Dept Cardiol, Av Prof Dr Reinaldo Dos Santos, P-2790134 Lisbon, Portugal; [Biasin, E.] Katholieke Univ Leuven, Ctr IT &amp; IP Law CiTiP, Sint Michielsstraat 6 Box 3443,MTC Bldg,3rd Floor,, B-3000 Leuven, Belgium; [Breithardt, G.] Univ Hosp Munster, Dept Cardiol Electrophysiol 2, Munster, Germany; [Bueno, H.] Ctr Nacl Invest Cardiovasc CNIC, Madrid 328029, Spain; [Bueno, H.] Hosp Univ 12 Octubre, Cardiol Dept, Madrid, Spain; [Bueno, H.] Inst Invest Sanitaria Hosp 12 Octubre imas12, Madrid, Spain; [Bueno, H.] Ctr Invest Biomed Red Enfermedades Cardiovaculares, Madrid, Spain; [Bueno, H.] Univ Complutense Madrid, Fac Med, Madrid, Spain; [Drossart, I; Mcgreavy, Paul] European Soc Cardiol, Patient Forum, European Heart House,2035 Route Colles,CS 80179 Bi, F-06903 Sophia Antipolis, France; [Drossart, I] European Soc Cardiol, European Heart House,2035 Route Colles,CS 80179 Bi, F-06903 Sophia Antipolis, France; [Hoppe, N.] Leibniz Univ Hannover, CELLS Ctr Ethics &amp; Law Life Sci, Otto Brenner Str 1, D-30159 Hannover, Germany; [Ladeiras-Lopes, R.] UpHill Hlth SA, Lisbon, Portugal; [Ladeiras-Lopes, R.] Univ Porto, Dept Surg &amp; Physiol, Fac Med, Alameda Prof Hernani Monteiro, P-4200319 Porto, Portugal; [Lanzer, P.] Middle German Heart Ctr, Internal Med, Friedrich Ludwig Jahn Str 2, Bitterfeld D-06749, Germany; [Vidal-Perez, R.] Complexo Hosp Univ, Serv Cardiol, Unidad Imagen &amp; Func Cardiaca, La Coruna 15006, Spain; [Vidal-Perez, R.] Ctr Invest Biomed Red Enfermedades Cardiovasc CIBE, Madrid, Spain</t>
  </si>
  <si>
    <t>Erasmus University Rotterdam; Erasmus MC; Erasmus MC Cardiovascular Institute; Universidade de Lisboa; Centro Hospitalar de Lisboa Ocidental, EPE; KU Leuven; University of Munster; Centro Nacional de Investigaciones Cardiovasculares (CNIC); Hospital Universitario 12 de Octubre; Complutense University of Madrid; Leibniz University Hannover; Universidade do Porto; Complejo Hospitalario Universitario A Coruna; CIBER - Centro de Investigacion Biomedica en Red; CIBERCV</t>
  </si>
  <si>
    <t>Bruining, N (corresponding author), Erasmus MC, Cardiovasc Inst, Dept Cardiol, Rotterdam, Netherlands.</t>
  </si>
  <si>
    <t>n.bruining@erasmusmc.nl</t>
  </si>
  <si>
    <t>Bruining, Nico/ABG-5155-2020; Biasin, Elisabetta/HJI-0460-2023; van der Boon, Robert/AAT-8359-2021; Camm, Alan/K-9882-2013; Aguiar, Carlos/ADG-1602-2022; BUENO, HECTOR/I-3910-2015</t>
  </si>
  <si>
    <t>Aguiar, Carlos/0000-0002-5970-6353; BUENO, HECTOR/0000-0003-0277-7596; van der Boon, Robert/0000-0001-6340-2590; Biasin, Elisabetta/0000-0001-9090-3315; Bruining, Nico/0000-0002-0272-5617</t>
  </si>
  <si>
    <t>European Society of Cardiology</t>
  </si>
  <si>
    <t>This work was funded by the European Society of Cardiology.</t>
  </si>
  <si>
    <t>2634-3916</t>
  </si>
  <si>
    <t>EUR HEART J-DIGIT HL</t>
  </si>
  <si>
    <t>Eur. Heart. J.-Digit. Health</t>
  </si>
  <si>
    <t>MAY 20</t>
  </si>
  <si>
    <t>10.1093/ehjdh/ztae009</t>
  </si>
  <si>
    <t>RJ3D8</t>
  </si>
  <si>
    <t>Green Published, Green Accepted, gold</t>
  </si>
  <si>
    <t>WOS:001175531300001</t>
  </si>
  <si>
    <t>Gu, ZY; Zhao, XY</t>
  </si>
  <si>
    <t>Gu, Zheyin (Jane); Zhao, Xuying</t>
  </si>
  <si>
    <t>Content Length Limit: How Does It Matter for a Consumer-to-Consumer Media Platform?</t>
  </si>
  <si>
    <t>INFORMATION SYSTEMS RESEARCH</t>
  </si>
  <si>
    <t>consumer-to-consumer (C2C) media platform; digital content; content length limit; game theory</t>
  </si>
  <si>
    <t>CUSTOMER SATISFACTION; 2-SIDED MARKETS; COMPETITION; COMMERCIALS; IMPACT; RECOGNITION; REPETITION; DIVERSITY</t>
  </si>
  <si>
    <t>Our study is inspired by the rapid growth of consumer-to-consumer (C2C) media platforms such as TikTok. We adopt a classical economical approach to modeling how utility-maximizing consumers select content pieces to view on a C2C media platform through a sequential inspection process and investigate how a platform in pursuit of market performance can devise an optimal policy on content length limit to induce desired viewer behaviors. First, we show that when content on the platform are longer, viewers set a higher standard of match value in selecting content to view, leading to a lower click-through rate of contributed content on the platform. This finding suggests that a tight limit on content length increases click-through rate. Second, we show that extended content length on the platform first enhances platform performance but then hurts its performance, following an inverted U-shape curve. This pattern holds true for short-term performance measured by viewer traffic and total viewing time, as well as for long-term performance measured by total consumer surplus. This finding suggests the existence of an optimal content length. Third, we find that the optimal content length that maximizes viewer traffic is smaller than that maximizes total viewing time, which is further smaller than that maximizes consumer surplus. As such, a platform that switches the strategic focus from short-term advertising revenue to long-term growth will benefit from extending content length limit.</t>
  </si>
  <si>
    <t>[Gu, Zheyin (Jane)] Univ Connecticut, Mkt Dept, Storrs, CT 06269 USA; [Zhao, Xuying] Texas A&amp;M Univ, Dept Informat &amp; Operat Management, College Stn, TX 77843 USA</t>
  </si>
  <si>
    <t>University of Connecticut; Texas A&amp;M University System; Texas A&amp;M University College Station</t>
  </si>
  <si>
    <t>Gu, ZY (corresponding author), Univ Connecticut, Mkt Dept, Storrs, CT 06269 USA.</t>
  </si>
  <si>
    <t>jane.gu@uconn.edu; xzhao@mays.tamu.edu</t>
  </si>
  <si>
    <t>Zhao, Xuying/0000-0002-7695-5829; GU, ZHEYIN (Jane)/0000-0002-8166-0144</t>
  </si>
  <si>
    <t>1047-7047</t>
  </si>
  <si>
    <t>1526-5536</t>
  </si>
  <si>
    <t>INFORM SYST RES</t>
  </si>
  <si>
    <t>Inf. Syst. Res.</t>
  </si>
  <si>
    <t>10.1287/isre.2022.0595</t>
  </si>
  <si>
    <t>EF9T7</t>
  </si>
  <si>
    <t>WOS:001137632900001</t>
  </si>
  <si>
    <t>González-Larrea, B; Hernández-Serrano, MJ; Renés-Arellano, P</t>
  </si>
  <si>
    <t>Fonseca, D</t>
  </si>
  <si>
    <t>Alier, M</t>
  </si>
  <si>
    <t>Gonzalez-Larrea, Belen; Jose Hernandez-Serrano, Maria; Renes-Arellano, Paula</t>
  </si>
  <si>
    <t>Analysis of the prevalence type in the adolescents' social networks use by age and gender</t>
  </si>
  <si>
    <t>TEEM'21: NINTH INTERNATIONAL CONFERENCE ON TECHNOLOGICAL ECOSYSTEMS FOR ENHANCING MULTICULTURALITY</t>
  </si>
  <si>
    <t>9th International Conference on Technological Ecosystems for Enhancing Multiculturality (TEEM)</t>
  </si>
  <si>
    <t>OCT 27-29, 2021</t>
  </si>
  <si>
    <t>Univ Politecnica Catalunya, Inst Educ Sci,Univ Politecnica Catalunya, Barcelona Sci &amp; Engn Educ Res Grp,Ramon Llull Univ,Ramon Llull Univ, Res Grp Technol Enhanced Learning Salle,Univ Salamanca,GRiAL</t>
  </si>
  <si>
    <t>adolescents; social networks use; digital risks</t>
  </si>
  <si>
    <t>The paper presents a theoretical framework on the relevance of the use of social networks by young people, who are motivated to use them to establish interactions with their peers, generate new links or create groups and communities. In one way or another, the new virtual experiences are forms of life and interaction among young people from which they can acquire a digital identity, values and a sense of belonging to a social group, which will influence their personal development. Taking this theoretical approach into consideration, the general objective of this study is to analyze how young people use some of the platforms and social media. Through descriptive research, a sample of 2.066 Spanish adolescents from 12 to 18 years who responded to an online questionnaire was analyzed, considering differences in prevalence of use by age and gender. Results highlighted a higher prevalence of use of Instagram, WhatsApp and TikTok, compared to other social networks such as Snapchat or Facebook without differences by age or gender. Some of the conclusions derived from the study indicate that social networks are an indisputable vehicle for young people to communicate, and even more so through the pandemic, and therefore, it is essential to consider whether the digital environment in which they interact is safe. In this line, this study advocates a critical and constructive training that presents young people as the true protagonists of their virtual actions and aware of the risks and advantages that are established in their daily lives.</t>
  </si>
  <si>
    <t>[Gonzalez-Larrea, Belen; Jose Hernandez-Serrano, Maria] Univ Salamanca, Salamanca, Spain; [Renes-Arellano, Paula] Univ Cantabria, Santander, Spain</t>
  </si>
  <si>
    <t>University of Salamanca; Universidad de Cantabria</t>
  </si>
  <si>
    <t>González-Larrea, B (corresponding author), Univ Salamanca, Salamanca, Spain.</t>
  </si>
  <si>
    <t>belengonzalezlarrea@usal.es; mjhs@usal.es; renesp@unican.es</t>
  </si>
  <si>
    <t>ARELLANO, PAULA/K-8390-2014</t>
  </si>
  <si>
    <t>Gonzalez-Larrea, Belen/0000-0003-2983-081X</t>
  </si>
  <si>
    <t>State Agency of Research from the Spanish Ministry of Science, Innovation, and Universities [PGC2018-097884-B-I00, RTI2018-093303-B-I00]; European Regional Development Fund (ERDF); Alfamed Network (Red Euroamericana de Investigadores)</t>
  </si>
  <si>
    <t>State Agency of Research from the Spanish Ministry of Science, Innovation, and Universities; European Regional Development Fund (ERDF)(European Union (EU)); Alfamed Network (Red Euroamericana de Investigadores)</t>
  </si>
  <si>
    <t>The present work is framed within the following projects: CONNECT-ID. La identidad hiperconectada de la juventud y su percepcion del tiempo en el ocio digital, financed by the State Agency of Research from the Spanish Ministry of Science, Innovation, and Universities (Ref. PGC2018-097884-B-I00); and project Youtubers e Instagrammers: la competencia mediatica en los prosumidores emergentes (Ref. RTI2018-093303-B-I00), financed by the State Agency of Research from the Spanish Ministry of Science, Innovation, and Universities, the European Regional Development Fund (ERDF) and the Alfamed Network (Red Euroamericana de Investigadores).</t>
  </si>
  <si>
    <t>978-1-4503-9066-8</t>
  </si>
  <si>
    <t>10.1145/3486011.3486486</t>
  </si>
  <si>
    <t>BT0BM</t>
  </si>
  <si>
    <t>WOS:000786466100077</t>
  </si>
  <si>
    <t>Vivas, GC</t>
  </si>
  <si>
    <t>Vivas, Gabriela Cordoba</t>
  </si>
  <si>
    <t>The Free Speech Bus: Making gender ideology appear through media and performance</t>
  </si>
  <si>
    <t>Gender ideology; performance; media; anti-gender movements; fascism</t>
  </si>
  <si>
    <t>This article argues that the concept of gender ideology produces and reproduces reactionary subjectivities using different media (videos, texts, memes, images, etc.), diverse platforms (Facebook, WhatsApp, YouTube, TikTok, etc.), and performative actions that form a decentralized propaganda machine that propagates, mobilizes, agitates, and organizes reactionary bases. Using close reading as method of inquiry, I analyze a vast archive of images, videos, and documents from the Spanish organization Hazte Oir/CitizenGo, focusing on the #FreeSpeechBus campaign in which buses with transphobic (2017) and antifeminist (2019) slogans toured different cities across Spain and around the world.The article unfolds in four parts. In the first part, I describe gender ideology and the bus campaign as the product of a decentralized propaganda machine that produces, agitates, and organizes reactionary subjectivities through media and incarnated discourses. In the second section, I situate my perspective in relation to existing literature about gender ideology. In the third section, I will illustrate how gender ideology relies on the appropriation of the vocabulary and mobilization strategies traditionally associated with liberation movements as well as a fascist and right-wing repertoire of performative and media strategies. In the final part, I show the importance of fostering a transfeminist antifascism to fight gender ideology, an approach that supports the work of activists who are fighting in the trenches, builds on efforts to decenter white cis women as the subject of feminism, supports sex workers, and reclaims media and performance as indispensable weapons in the political battle.</t>
  </si>
  <si>
    <t>[Vivas, Gabriela Cordoba] SUNY Buffalo, Dept Media Study, Buffalo, NY USA; [Vivas, Gabriela Cordoba] 231 Ctr Arts, Buffalo, NY 14260 USA</t>
  </si>
  <si>
    <t>Vivas, GC (corresponding author), 231 Ctr Arts, Buffalo, NY 14260 USA.</t>
  </si>
  <si>
    <t>cordobav@buffalo.edu</t>
  </si>
  <si>
    <t>Cordoba Vivas, Gabriela/0000-0002-7487-5550</t>
  </si>
  <si>
    <t>I want to thank Rian Ciela Hammond for their generous and generative comments and feedback, the Gender Institute at University at Buffalo for supporting my research and Paige Sarlin and the department of Media Study at the University at Buffalo for guiding; Gender Institute at University at Buffalo</t>
  </si>
  <si>
    <t>I want to thank Rian Ciela Hammond for their generous and generative comments and feedback, the Gender Institute at University at Buffalo for supporting my research and Paige Sarlin and the department of Media Study at the University at Buffalo for guiding and supporting my work.</t>
  </si>
  <si>
    <t>10.1080/10894160.2023.2275718</t>
  </si>
  <si>
    <t>YR9U4</t>
  </si>
  <si>
    <t>WOS:001095613700001</t>
  </si>
  <si>
    <t>Wang, YF; Sui, YD; Wang, X; Liu, ZG; He, XN</t>
  </si>
  <si>
    <t>Wang, Yanfang; Sui, Yongduo; Wang, Xiang; Liu, Zhenguang; He, Xiangnan</t>
  </si>
  <si>
    <t>Exploring lottery ticket hypothesis in media recommender systems</t>
  </si>
  <si>
    <t>INTERNATIONAL JOURNAL OF INTELLIGENT SYSTEMS</t>
  </si>
  <si>
    <t>iterative magnitude-based pruning; lightweight embedding; lottery ticket hypothesis; media recommender system; model pruning</t>
  </si>
  <si>
    <t>Media recommender systems aim to capture users' preferences and provide precise personalized recommendation of media content. There are two critical components in the common paradigm of modern recommender models: (1) representation learning, which generates an embedding for each user and item; and (2) interaction modeling, which fits user preferences toward items based on their representations. In spite of great success, when a great amount of users and items exist, it usually needs to create, store, and optimize a huge embedding table, where the scale of model parameters easily reach millions or even larger. Hence, it naturally raises questions about the heavy recommender models: Do we really need such large-scale parameters? We get inspirations from the recently proposed lottery ticket hypothesis (LTH), which argues that the dense and over-parameterized model contains a much smaller and sparser sub-model that can reach comparable performance to the full model. In this paper, we extend LTH to media recommender systems, aiming to find the winning tickets in deep recommender models. To the best of our knowledge, this is the first work to study LTH in media recommender systems. With Matrix Factorization and Light Graph Convolution Networks as the backbone models, we found that there widely exist winning tickets in recommender models. On three media convergence data sets-Yelp2018, TikTok and Kwai, the winning tickets can achieve comparable recommendation performance with only 29%similar to 48%, 7%similar to 10%, and 3%similar to 17% of parameters, respectively.</t>
  </si>
  <si>
    <t>[Wang, Yanfang; Sui, Yongduo; He, Xiangnan] Univ Sci &amp; Technol China, Sch Informat Sci &amp; Technol, Hefei 230022, Anhui, Peoples R China; [Wang, Xiang] Natl Univ Singapore, Sch Comp, Singapore, Singapore; [Liu, Zhenguang] Zhejiang Univ, Coll Comp Sci &amp; Technol, Hangzhou, Zhejiang, Peoples R China</t>
  </si>
  <si>
    <t>Chinese Academy of Sciences; University of Science &amp; Technology of China, CAS; National University of Singapore; Zhejiang University</t>
  </si>
  <si>
    <t>He, XN (corresponding author), Univ Sci &amp; Technol China, Sch Informat Sci &amp; Technol, Hefei 230022, Anhui, Peoples R China.</t>
  </si>
  <si>
    <t>hexn@ustc.edu.cn</t>
  </si>
  <si>
    <t>He, Xiangnan/G-3986-2011</t>
  </si>
  <si>
    <t>National Key Research and Development Program of China [2020YFB1406703]; National Natural Science Foundation of China [U19A2079, 61972372, 62121002]</t>
  </si>
  <si>
    <t>National Key Research and Development Program of China, Grant/Award Number: 2020YFB1406703; National Natural Science Foundation of China, Grant/Award Numbers: U19A2079, 61972372 and 62121002</t>
  </si>
  <si>
    <t>0884-8173</t>
  </si>
  <si>
    <t>1098-111X</t>
  </si>
  <si>
    <t>INT J INTELL SYST</t>
  </si>
  <si>
    <t>Int. J. Intell. Syst.</t>
  </si>
  <si>
    <t>10.1002/int.22827</t>
  </si>
  <si>
    <t>ZY7DX</t>
  </si>
  <si>
    <t>WOS:000743082500001</t>
  </si>
  <si>
    <t>Zhu, XY; Wang, J; Yuan, Q; Zhang, Z</t>
  </si>
  <si>
    <t>Zhu, Xiaoyan; Wang, Jun; Yuan, Qi; Zhang, Zhe</t>
  </si>
  <si>
    <t>Multi-stream (Q , r) model and optimization for data prefetching</t>
  </si>
  <si>
    <t>EUROPEAN JOURNAL OF OPERATIONAL RESEARCH</t>
  </si>
  <si>
    <t>Inventory; Constrained multi-stream (Q, r ) model; Data prefetching; Optimization; Computing system</t>
  </si>
  <si>
    <t>INVENTORY SYSTEM; Q POLICY; MULTIPRODUCT; MANAGEMENT; SIMULATION; DEMAND</t>
  </si>
  <si>
    <t>Modern high-end computing systems, such as storage servers used in Youtube and Tiktok, serve large numbers of concurrent streams, each of which requires aggressive prefetching. This multi-stream prefetching problem, which strives to serve as many requests as possible from the memory cache and minimize response time, remains as an open challenge in computer science research. To address the efficient resource management for data prefetching, this paper introduces a novel method adopted from inventory management of multiple products in operations research. It proposes a unique constrained multi-stream (Q, r) model which simultaneously determines the prefetching degree (order quantity) Q and trigger distance (reorder point) r for each application stream, taking into account the distinct data request rates of the streams. The model has the objective of minimizing the cache miss level (backorder level), which determines the access latency, as well as constraints on the cache space (inventory space) and the total prefetching frequency (total order frequency). Specifically, the disk access time (lead time) is a function of both the prefetching degree and the total prefetching frequency, the latter of which represents the system load. We present the analytical properties of the model, provide numerical optimization examples, and conduct sensitivity analysis to further demonstrate the insights of this prefetching problem. Significantly, an empirical evaluation proves the effectiveness of the prefetching policy provided by our model. (C) 2021 Elsevier B.V. All rights reserved.</t>
  </si>
  <si>
    <t>[Zhu, Xiaoyan] Univ Chinese Acad Sci, Sch Econ &amp; Management, Beijing, Peoples R China; [Wang, Jun] Beijing Foreign Studies Univ, Int Business Sch, Beijing, Peoples R China; [Yuan, Qi] Inc, Amobee, 1500 Whetstone Way, Baltimore, MD 21230 USA; [Zhang, Zhe] Anyscale, 110 Sproul Hall Berkeley, Berkeley, CA 94720 USA</t>
  </si>
  <si>
    <t>Chinese Academy of Sciences; University of Chinese Academy of Sciences, CAS; Beijing Foreign Studies University</t>
  </si>
  <si>
    <t>Wang, J (corresponding author), Beijing Foreign Studies Univ, Int Business Sch, Beijing, Peoples R China.</t>
  </si>
  <si>
    <t>xzhu5@ucas.ac.cn; junwang@bfsu.edu.cn; origin.yuan@hotmail.com; zhz@apache.org</t>
  </si>
  <si>
    <t>zhu, xiaoyan/AAQ-6601-2021</t>
  </si>
  <si>
    <t>Wang, Jun/0000-0001-8261-1371</t>
  </si>
  <si>
    <t>National Natural Sci-ence Foundation of China (NSFC) [71971206, 71571178, 71731008]</t>
  </si>
  <si>
    <t>National Natural Sci-ence Foundation of China (NSFC)(National Natural Science Foundation of China (NSFC))</t>
  </si>
  <si>
    <t>Acknowledgement This work was supported in part by the National Natural Sci-ence Foundation of China (NSFC) under grants 71971206, 71571178, and 71731008.</t>
  </si>
  <si>
    <t>0377-2217</t>
  </si>
  <si>
    <t>1872-6860</t>
  </si>
  <si>
    <t>EUR J OPER RES</t>
  </si>
  <si>
    <t>Eur. J. Oper. Res.</t>
  </si>
  <si>
    <t>10.1016/j.ejor.2021.12.007</t>
  </si>
  <si>
    <t>Management; Operations Research &amp; Management Science</t>
  </si>
  <si>
    <t>Business &amp; Economics; Operations Research &amp; Management Science</t>
  </si>
  <si>
    <t>1T5HR</t>
  </si>
  <si>
    <t>WOS:000804759900008</t>
  </si>
  <si>
    <t>Tam, KYY; Inzlicht, M</t>
  </si>
  <si>
    <t>Tam, Katy Y. Y.; Inzlicht, Michael</t>
  </si>
  <si>
    <t>Fast-Forward to Boredom: How Switching Behavior on Digital Media Makes People More Bored</t>
  </si>
  <si>
    <t>JOURNAL OF EXPERIMENTAL PSYCHOLOGY-GENERAL</t>
  </si>
  <si>
    <t>boredom; enjoyment; media use; media multitasking; attention</t>
  </si>
  <si>
    <t>SELF-DETERMINATION THEORY; MULTITASKING; PRONENESS; ENJOYMENT; STUDENTS; MODEL; USERS; WORK; CONSEQUENCES; PREDICTORS</t>
  </si>
  <si>
    <t>Boredom is unpleasant, with people going to great lengths to avoid it. One way to escape boredom and increase stimulation is to consume digital media, for example watching short videos on YouTube or TikTok. One common way that people watch these videos is to switch between videos and fast-forward through them, a form of viewing we call digital switching. Here, we hypothesize that people consume media this way to avoid boredom, but this behavior paradoxically intensifies boredom. Across seven experiments (total N = 1,223; six preregistered), we found a bidirectional, causal relationship between boredom and digital switching. When participants were bored, they switched (Study 1), and they believed that switching would help them avoid boredom (Study 2). Switching between videos (Study 3) and within video (Study 4), however, led not to less boredom but more boredom; it also reduced satisfaction, reduced attention, and lowered meaning. Even when participants had the freedom to watch videos of personal choice and interest on YouTube, digital switching still intensified boredom (Study 5). However, when examining digital switching with online articles and with nonuniversity samples, the findings were less conclusive (Study 6), potentially due to factors such as opportunity cost (Study 7). Overall, our findings suggest that attempts to avoid boredom through digital switching may sometimes inadvertently exacerbate it. When watching videos, enjoyment likely comes from immersing oneself in the videos rather than swiping through them.</t>
  </si>
  <si>
    <t>[Tam, Katy Y. Y.; Inzlicht, Michael] Univ Toronto Scarborough, Dept Psychol, 1265 Mil Trail, Toronto, ON M1C 1A4, Canada; [Inzlicht, Michael] Univ Toronto, Rotman Sch Management, Toronto, ON, Canada</t>
  </si>
  <si>
    <t>University of Toronto; University Toronto Scarborough; University of Toronto</t>
  </si>
  <si>
    <t>Tam, KYY (corresponding author), Univ Toronto Scarborough, Dept Psychol, 1265 Mil Trail, Toronto, ON M1C 1A4, Canada.</t>
  </si>
  <si>
    <t>ktyytam@gmail.com</t>
  </si>
  <si>
    <t>Inzlicht, Michael/F-8292-2014</t>
  </si>
  <si>
    <t>Tam, Katy Yuen Yan/0000-0003-2197-8705</t>
  </si>
  <si>
    <t>0096-3445</t>
  </si>
  <si>
    <t>1939-2222</t>
  </si>
  <si>
    <t>J EXP PSYCHOL GEN</t>
  </si>
  <si>
    <t>J. Exp. Psychol.-Gen.</t>
  </si>
  <si>
    <t>10.1037/xge0001639</t>
  </si>
  <si>
    <t>J9S5Y</t>
  </si>
  <si>
    <t>WOS:001300938300001</t>
  </si>
  <si>
    <t>Guo, ZH; Jia, Q; Fan, BY; Wang, D; Xu, C; Wang, YW; Zhao, YQ; Li, RA</t>
  </si>
  <si>
    <t>Guo, Zhenhua; Jia, Qi; Fan, Baoyu; Wang, Di; Xu, Cong; Wang, Yanwei; Zhao, Yaqian; Li, Rengang</t>
  </si>
  <si>
    <t>MVIndEmo: a dataset for micro video public-induced emotion prediction on social media</t>
  </si>
  <si>
    <t>MULTIMEDIA SYSTEMS</t>
  </si>
  <si>
    <t>Induced emotion; Emotion classification; Emotion polarity; Micro video; Social media; Multi-modal</t>
  </si>
  <si>
    <t>Distinct from the realm of perceived emotion research, induced emotion pertains to the emotional responses engendered within content consumers. This facet has garnered considerable attention and finds extensive application in the analysis of public social media. However, the advent of micro videos presents unique challenges when attempting to discern the induced emotional patterns exhibited by content consumers, owing to their free-style representation and other factors. Consequently, we have put forth two novel tasks concerning the recognition of public-induced emotion on micro videos: emotion polarity and emotion classification. Additionally, we have introduced a accessible dataset specifically tailored for the analysis of public-induced emotion on micro videos. The data corpus has been meticulously collected from Tiktok, a burgeoning social media platform renowned for its trendsetting content. To construct the dataset, we have selected eight captivating topics that elicit vibrant social discussions. In devising our label generation strategy, we have employed an automated approach characterized by the fusion of multiple expert models. This strategy incorporates a confidence measure method that relies on three distinct models for effectively aggregating user comments. To accommodate adaptable benchmark configurations, we provide both binary classification labels and probability distribution labels. The dataset encompasses a vast collection of 7,153 labeled micro videos. We have undertaken an extensive statistical analysis of the dataset to provide a comprehensive overview composition. It is our earnest aspiration that this dataset will serve as a catalyst for pioneering research avenues in the analysis of emotional patterns and the understanding of multi-modal information.</t>
  </si>
  <si>
    <t>[Guo, Zhenhua; Jia, Qi; Fan, Baoyu; Wang, Di; Xu, Cong; Wang, Yanwei; Zhao, Yaqian; Li, Rengang] Inspur Elect Informat Ind Co Ltd, Beijing 100084, Peoples R China; [Li, Rengang] Tsinghua Univ, Shuang Qing Rd, Beijing 100084, Peoples R China</t>
  </si>
  <si>
    <t>Inspur; Tsinghua University</t>
  </si>
  <si>
    <t>Jia, Q (corresponding author), Inspur Elect Informat Ind Co Ltd, Beijing 100084, Peoples R China.</t>
  </si>
  <si>
    <t>guozhenhua@ieisystem.com; jiaqi01@ieisystem.com; fanbaoyu@ieisystem.com; wangdi11@ieisystem.com; xucong@ieisystem.com; wangyanwei@ieisystem.com; zhaoyaqian@ieisystem.com; hsslab@gmail.com</t>
  </si>
  <si>
    <t>guo, zhenhua/AAD-1578-2020</t>
  </si>
  <si>
    <t>jia, qi/0000-0003-0481-4311</t>
  </si>
  <si>
    <t>National Key Research and Development Program of China - Ministry of Science and Technology of the People's Republic of China [2021ZD0113004]</t>
  </si>
  <si>
    <t>National Key Research and Development Program of China - Ministry of Science and Technology of the People's Republic of China(National Key Research &amp; Development Program of China)</t>
  </si>
  <si>
    <t>Please add: This research was funded by the National Key Research and Development Program of China (No.2021ZD0113004) grant funded by the Ministry of Science and Technology of the People's Republic of China.</t>
  </si>
  <si>
    <t>0942-4962</t>
  </si>
  <si>
    <t>1432-1882</t>
  </si>
  <si>
    <t>MULTIMEDIA SYST</t>
  </si>
  <si>
    <t>Multimedia Syst.</t>
  </si>
  <si>
    <t>10.1007/s00530-023-01221-8</t>
  </si>
  <si>
    <t>GX7Y5</t>
  </si>
  <si>
    <t>WOS:001156050100002</t>
  </si>
  <si>
    <t>van der Wal, A; Valkenburg, PM; van Driel, II</t>
  </si>
  <si>
    <t>van der Wal, Amber; Valkenburg, Patti M.; van Driel, Irene I.</t>
  </si>
  <si>
    <t>In Their Own Words: How Adolescents Use Social Media and How It Affects Them</t>
  </si>
  <si>
    <t>focus groups; adolescents; social media experiences; individual differences; mood management; well-being; differential susceptibility to media effects model; TikTok; Instagram; Snapchat</t>
  </si>
  <si>
    <t>The aim of this qualitative study was to uncover homogeneity (commonalities between adolescents), heterogeneity (differences between adolescents), and duality (differences within adolescents) in the relationship between adolescents' social media use and well-being. To do so, 8 focus groups with 55 adolescents aged 14-17 were conducted. Anchored in the differential susceptibility to media effects model, we examined adolescents' (1) individual motives and (2) moods leading to social media use, (3) the nature of this use, (4) their affective responses, and (5) perceived longer-term effects. Through deductive thematic analysis, we noted large homogeneity in motives for social media use but heterogeneity in moods leading to social media use. In addition, our findings revealed heterogeneity and duality in the affective responses and the perceived long-term effects of social media use. This duality, where the same individual is affected in both positive and negative ways by social media use, appeared in various forms: concurrently, when adolescents experience conflicting feelings simultaneously, such as feeling both envy and inspiration; alternately, when adolescents shift between experiences, such as feelings of connection and isolation; and sequentially, for example, where initial enjoyment gradually turns into boredom. Furthermore, duality appeared across different cognitive and affective aspects of well-being. Directions for future research are provided on how to examine the role and meaning of various forms of homogeneity, heterogeneity, and duality in the relationship between adolescents' social media use and well-being.</t>
  </si>
  <si>
    <t>[van der Wal, Amber; van Driel, Irene I.] Univ Amsterdam, Amsterdam Sch Commun Res ASCoR, Amsterdam, Netherlands; [Valkenburg, Patti M.] Univ Amsterdam, Amsterdam, Netherlands; [van der Wal, Amber] Univ Amsterdam, Amsterdam Sch Commun Res, POB 15791, NL-1001 NG Amsterdam, Netherlands</t>
  </si>
  <si>
    <t>University of Amsterdam; University of Amsterdam; University of Amsterdam</t>
  </si>
  <si>
    <t>van der Wal, A (corresponding author), Univ Amsterdam, Amsterdam Sch Commun Res, POB 15791, NL-1001 NG Amsterdam, Netherlands.</t>
  </si>
  <si>
    <t>a.vanderwal@uva.nl</t>
  </si>
  <si>
    <t>van der Wal, Amber/AHB-4243-2022</t>
  </si>
  <si>
    <t>Van Der Wal, Amber/0000-0002-0301-5502</t>
  </si>
  <si>
    <t>NWO Spinoza Prize; Dutch Research Council (NWO) [024.001.003]</t>
  </si>
  <si>
    <t>NWO Spinoza Prize; Dutch Research Council (NWO)(Netherlands Organization for Scientific Research (NWO))</t>
  </si>
  <si>
    <t>The author(s) disclosed receipt of the following financial support for the research, authorship, and/or publication of this article: This study was funded by an NWO Spinoza Prize and a Gravitation grant (NWO Grant 024.001.003; Consortium on Individual Development) awarded to P.M.V. by the Dutch Research Council (NWO).</t>
  </si>
  <si>
    <t>10.1177/20563051241248591</t>
  </si>
  <si>
    <t>OQ3T9</t>
  </si>
  <si>
    <t>WOS:001208708500001</t>
  </si>
  <si>
    <t>Wang, YW</t>
  </si>
  <si>
    <t>Wang, Yunwen</t>
  </si>
  <si>
    <t>Humor and camera view on mobile short-form video apps influence user experience and technology-adoption intent, an example of TikTok (DouYin)</t>
  </si>
  <si>
    <t>Social media; Short-form video; Mobile app; Immersion; Social presence; HCI</t>
  </si>
  <si>
    <t>VIRTUAL-REALITY; SOCIAL PRESENCE; MEDIA; INFORMATION; ROBOT</t>
  </si>
  <si>
    <t>Mobile short-form videos on social media apps are increasingly popular. Human-Computer Interaction (HCI) theories may be extended to short-form video apps to understand and improve app user experience, as well as to persuade new technology-adoption. The present study examined the psychological responses and persuasive outcomes associated with short-form videos on a mobile social media app. In a 2 (low- V.S. high-level humor) X 2 (first- V.S. third-person view) between-subject experimental design, participants (N = 81) were randomly assigned one of the four sets of videos about smart homes; post-viewing, they filled out an online questionnaire. Results of ANCOVA demonstrated significant effects of videos' humor and camera view on the viewer perceptions of Immersion, Social Presence and Entertainment but not on Spatial Presence and Perceptual Realism: Humor had mixed effects on the interaction between users and the mobile app; the first-person camera view elevated viewers' Immersion, Social Presence, Entertainment. As a PROCESS mediation test showed, Social Presence mediated (by 56.78%) the indirect link between the level of humor getting from a video and the viewers' post-viewing intent to adopt the technology depicted in the video. The study demonstrated values of extending HCI theories to mobile short-form video apps. Implications were discussed in terms of using appropriate humor and camera view for improving user experience and persuading serious agenda.</t>
  </si>
  <si>
    <t>[Wang, Yunwen] Univ Southern Calif, Annenberg Sch Commun &amp; Journalism, 3630 Watt Way,G4, Los Angeles, CA 90089 USA</t>
  </si>
  <si>
    <t>Wang, YW (corresponding author), Univ Southern Calif, Annenberg Sch Commun &amp; Journalism, 3630 Watt Way,G4, Los Angeles, CA 90089 USA.</t>
  </si>
  <si>
    <t>yunwenwa@usc.edu</t>
  </si>
  <si>
    <t>Wang, Yunwen/AAE-3943-2022</t>
  </si>
  <si>
    <t>Wang, Yunwen/0000-0002-3197-1366</t>
  </si>
  <si>
    <t>10.1016/j.chb.2020.106373</t>
  </si>
  <si>
    <t>LU2AG</t>
  </si>
  <si>
    <t>WOS:000537562000005</t>
  </si>
  <si>
    <t>Li, R</t>
  </si>
  <si>
    <t>Li, Run</t>
  </si>
  <si>
    <t>Platformisation Practice for Emancipation or Subordination? A Multimodal Critical Discourse Study of Self-presentations of African-Chinese Families on Douyin</t>
  </si>
  <si>
    <t>CRITICAL ARTS-SOUTH-NORTH CULTURAL AND MEDIA STUDIES</t>
  </si>
  <si>
    <t>African-Chinese families; Chinese social media; digital practice; media self-presentations; multimodal critical discourse analysis; platformisation</t>
  </si>
  <si>
    <t>In China, the rise in popularity of African-Chinese families is largely driven by the influence of new media, with many African women turning to Chinese social media platforms to document their daily lives and explore economic opportunities through increased online visibility. However, scholarly attention to the self-presentation of African-Chinese families on these platforms remains minimal. Addressing this gap, this study, through analysing 26 selected short videos posted on Douyin (Chinese Tiktok), employs multimodal critical discourse analysis to investigate how African women in African-Chinese families conduct self-presentations on Douyin. The study found that African women in African-Chinese families, when engaging in digital practices, employ certain discursive strategies to conduct self-presentations in alignment with the Chinese context and national conditions. In videos, they identify with and construct patriarchal norms within heteronormative families, align with China's political agenda, and perform ambiguous feminism. It is argued that African women's digital practices represent an acceptance and response to the platformisation of Chinese social media. This study sheds light on the complex ways in which marginalised groups navigate digital platforms to gain visibility, while also revealing the potential of such practices to reinforce gender inequalities in the Chinese context. By highlighting these factors, this research contributes to a deeper understanding of the intersection between digital media, cultural integration, and gender politics in the context of contemporary China.</t>
  </si>
  <si>
    <t>[Li, Run] Univ Lancaster, Dept Linguist &amp; English Language, Lancaster, England</t>
  </si>
  <si>
    <t>Lancaster University</t>
  </si>
  <si>
    <t>Li, R (corresponding author), Univ Lancaster, Dept Linguist &amp; English Language, Lancaster, England.</t>
  </si>
  <si>
    <t>r.li28@lancaster.ac.uk</t>
  </si>
  <si>
    <t>0256-0046</t>
  </si>
  <si>
    <t>1992-6049</t>
  </si>
  <si>
    <t>CRIT ARTS</t>
  </si>
  <si>
    <t>Crit. Arts</t>
  </si>
  <si>
    <t>2024 SEP 20</t>
  </si>
  <si>
    <t>10.1080/02560046.2024.2402423</t>
  </si>
  <si>
    <t>G3W0K</t>
  </si>
  <si>
    <t>WOS:001315967900001</t>
  </si>
  <si>
    <t>Cho, B; Le, BM; Kim, J; Woo, S; Tariq, S; Abuadbba, A; Moore, K</t>
  </si>
  <si>
    <t>Cho, Beomsang; Le, Binh M.; Kim, Jiwon; Woo, Simon; Tariq, Shahroz; Abuadbba, Alsharif; Moore, Kristen</t>
  </si>
  <si>
    <t>Towards Understanding of Deepfake Videos in the Wild</t>
  </si>
  <si>
    <t>Deepfake Videos; Deepfake Detection; Deepfake Datasets</t>
  </si>
  <si>
    <t>Deepfakes have become a growing concern in recent years, prompting researchers to develop benchmark datasets and detection algorithms to tackle the issue. However, existing datasets suffer from significant drawbacks that hamper their effectiveness. Notably, these datasets fail to encompass the latest deepfake videos produced by state-of-the-art methods that are being shared across various platforms. This limitation impedes the ability to keep pace with the rapid evolution of generative AI techniques employed in real-world deepfake production. Our contributions in this IRB-approved study are to bridge this knowledge gap from current real-world deepfakes by providing in-depth analysis. We first present the largest and most diverse and recent deepfake dataset (RWDF-23) collected from the wild to date, consisting of 2,000 deepfake videos collected from 4 platforms targeting 4 different languages span created from 21 countries: Reddit, YouTube, TikTok, and Bilibili. By expanding the dataset's scope beyond the previous research, we capture a broader range of real-world deepfake content, reflecting the ever-evolving landscape of online platforms. Also, we conduct a comprehensive analysis encompassing various aspects of deepfakes, including creators, manipulation strategies, purposes, and real-world content production methods. This allows us to gain valuable insights into the nuances and characteristics of deepfakes in different contexts. Lastly, in addition to the video content, we also collect viewer comments and interactions, enabling us to explore the engagements of internet users with deepfake content. By considering this rich contextual information, we aim to provide a holistic understanding of the evolving deepfake phenomenon and its impact on online platforms.</t>
  </si>
  <si>
    <t>[Cho, Beomsang; Le, Binh M.; Kim, Jiwon; Woo, Simon] Sungkyunkwan Univ, Seoul, South Korea; [Tariq, Shahroz; Abuadbba, Alsharif; Moore, Kristen] CSIROs Data61, Eveleigh, NSW, Australia</t>
  </si>
  <si>
    <t>Sungkyunkwan University (SKKU); Commonwealth Scientific &amp; Industrial Research Organisation (CSIRO)</t>
  </si>
  <si>
    <t>Woo, S (corresponding author), Sungkyunkwan Univ, Seoul, South Korea.</t>
  </si>
  <si>
    <t>gababsang@g.skku.edu; bmle@g.skku.edu; merwl0@g.skku.edu; swoo@g.skku.edu; shahroz.tariq@data61.csiro.au; sharif.abuadbba@data61.csiro.au; kristen.moore@data61.csiro.au</t>
  </si>
  <si>
    <t>Tariq, Shahroz/AAL-4231-2021; Abuadbba, Alsharif/AAD-7875-2022</t>
  </si>
  <si>
    <t>Institute for Information &amp; communication Technology Planning &amp; evaluation (IITP) - Korean government MSIT [2022-0-01199, 2022-0-01045, 2022-0-00688, 2021-0-02068, 2019-0-00421, RS-2023-00230337]</t>
  </si>
  <si>
    <t>Institute for Information &amp; communication Technology Planning &amp; evaluation (IITP) - Korean government MSIT(Institute for Information &amp; Communication Technology Planning &amp; Evaluation (IITP), Republic of Korea)</t>
  </si>
  <si>
    <t>This work was partly supported by Institute for Information &amp; communication Technology Planning &amp; evaluation (IITP) grants funded by the Korean government MSIT: (No. 2022-0-01199, Graduate School of Convergence Security at Sungkyunkwan University), (No. 2022-0-01045, Self-directed Multi-Modal Intelligence for solving unknown, open domain problems), (No. 2022-0-00688, AI Platform to Fully Adapt and Reflect Privacy-Policy Changes), (No. 2021-0-02068, Artificial Intelligence Innovation Hub), (No. 2019-0-00421, AI Graduate School Support Program at Sungkyunkwan University), and (No. RS-2023-00230337, Advanced and Proactive AI Platform Research and Development Against Malicious deepfakes).</t>
  </si>
  <si>
    <t>10.1145/3583780.3614729</t>
  </si>
  <si>
    <t>WOS:001161549504108</t>
  </si>
  <si>
    <t>Kamal, R; Nugent, C; Cleland, I; McCullagh, P</t>
  </si>
  <si>
    <t>Bravo, J; Ochoa, S; Favela, J</t>
  </si>
  <si>
    <t>Kamal, Rashid; Nugent, Chris; Cleland, Ian; McCullagh, Paul</t>
  </si>
  <si>
    <t>Opportunistic Sensing of Behavioural Data to Prioritise Smartphone Notifications in the Wild</t>
  </si>
  <si>
    <t>PROCEEDINGS OF THE INTERNATIONAL CONFERENCE ON UBIQUITOUS COMPUTING &amp; AMBIENT INTELLIGENCE (UCAMI 2022)</t>
  </si>
  <si>
    <t>Proceedings of the International Conference on Ubiquitous Computing &amp; Ambient Intelligence (UCAmI)</t>
  </si>
  <si>
    <t>NOV 29-DEC 02, 2022</t>
  </si>
  <si>
    <t>Cordoba, SPAIN</t>
  </si>
  <si>
    <t>User experience in ambient computing; Use of context and location information in user interfaces; Mobile interfaces; Behavioral modeling; Ubiquitous computing</t>
  </si>
  <si>
    <t>Catching the attention of users, via their smartphone, is most often achieved through push notifications. Such an approach is already in place within applications such as Facebook, Google, Instagram, TikTok, and Twitter. Emails and messaging apps are also used to send notifications, which can assist users who may otherwise miss important events. As a result of these multiple services the user may be overwhelmed with notifications and frequently interrupted during key task. To address this concern, a mobile app has been developed for collecting different phone events and sensors data in-the-wild. This data which is then used as the basis for behavioural modeling to profile a user and subsequently detect the best time to send a notification. Within the mobile app, a service is running continuously in the background, collecting sensor data (such as accelerometer and gyroscope data), notification data such as notification title, and user response data relating to engagement with notifications and phone events such as foreground app name, battery percentage etc. Additionally, the app collects user cognitive state data through self-reporting. This paper analyse a dataset contributed by five users. In total, 2766 notifications were received over period of up to 10 days. 78% percent of the time, users ignored or remove notifications based on the data analysis. It is therefore a serious issue in the realm of ubiquitous computing that there is a constant bombardment of push notifications.</t>
  </si>
  <si>
    <t>[Kamal, Rashid; Nugent, Chris; Cleland, Ian; McCullagh, Paul] Ulster Univ, Sch Comp, York St, Belfast BT15 1ED, Antrim, North Ireland</t>
  </si>
  <si>
    <t>Ulster University</t>
  </si>
  <si>
    <t>Kamal, R (corresponding author), Ulster Univ, Sch Comp, York St, Belfast BT15 1ED, Antrim, North Ireland.</t>
  </si>
  <si>
    <t>kamal-r@ulster.ac.uk</t>
  </si>
  <si>
    <t>McCullagh, Paul/AAL-7877-2020</t>
  </si>
  <si>
    <t>Kamal, Rashid/0000-0002-3409-1970; McCullagh, Paul/0000-0002-9060-6262; Nugent, Chris/0000-0003-0882-7902</t>
  </si>
  <si>
    <t>978-3-031-21332-8; 978-3-031-21333-5</t>
  </si>
  <si>
    <t>10.1007/978-3-031-21333-5_92</t>
  </si>
  <si>
    <t>Computer Science, Artificial Intelligence; Computer Science, Cybernetics; Computer Science, Theory &amp; Methods; Engineering, Electrical &amp; Electronic</t>
  </si>
  <si>
    <t>BU6TC</t>
  </si>
  <si>
    <t>WOS:000928814300091</t>
  </si>
  <si>
    <t>Martindale, JM; Mink, JW</t>
  </si>
  <si>
    <t>Martindale, Jaclyn M.; Mink, Jonathan W.</t>
  </si>
  <si>
    <t>The Rise of Functional Tic-Like Behaviors: What Do the COVID-19 Pandemic and Social Media Have to Do With It? A Narrative Review</t>
  </si>
  <si>
    <t>tourette; tic; functional tic; functional movement disorders; mass psychogenic illness; TikTok; COVID-19; tic-like behavior</t>
  </si>
  <si>
    <t>DE-LA-TOURETTE; PSYCHOGENIC MOVEMENT-DISORDERS; OBSESSIVE-COMPULSIVE DISORDER; SELF-INJURIOUS-BEHAVIOR; PSYCHOLOGICAL IMPACT; CLINICAL-FEATURES; MASS HYSTERIA; SYMPTOMS; CHILDREN; SPECTRUM</t>
  </si>
  <si>
    <t>BackgroundThere has been a rise in explosive onset of tic-like behaviors during the COVID-19 pandemic. Historically, this is an uncommon phenomenology of functional movement disorders across all ages. Both the psychological burden of the pandemic and social media usage have been implicated in the rise of these tic-like behaviors. MethodsThis paper provides a narrative review of the literature on chronic tic disorders, functional tics, and mass functional illness with particular focus on the key distinguishing features, role of social media, and the role of COVID-19. ResultsThe COVID-19 pandemic has profoundly affected the mental health of many individuals, including children, adolescents, and their caregivers. Implementation of lockdowns, lifestyle disruptions, school closures, and social distancing have driven a surge in social media and digital technology use. The combination of predisposing factors, the psychological burden of the COVID-19 pandemic, and social media are implicated in the rise and spread of tic-like behaviors; which may represent a modern-day form of mass functional illness. While many of the features overlap with functional tics, there are emerging distinctive features that are important to recognize. A more encompassing term, Functional Tic-Like Behaviors, is used to better reflect multiple contributing factors. ConclusionKnowledge of these differences is essential to mitigate downstream health effects and poor outcomes.</t>
  </si>
  <si>
    <t>[Martindale, Jaclyn M.] Wake Forest Univ, Bowman Gray Sch Med, Dept Neurol, Atrium Hlth Wake Forest Baptist, Winston Salem, NC 27101 USA; [Mink, Jonathan W.] Univ Rochester, Dept Neurol, Med Ctr, Rochester, NY USA</t>
  </si>
  <si>
    <t>Wake Forest University; Wake Forest Baptist Medical Center; University of Rochester</t>
  </si>
  <si>
    <t>Martindale, JM (corresponding author), Wake Forest Univ, Bowman Gray Sch Med, Dept Neurol, Atrium Hlth Wake Forest Baptist, Winston Salem, NC 27101 USA.</t>
  </si>
  <si>
    <t>jmartind@wakehealth.edu</t>
  </si>
  <si>
    <t>JUL 11</t>
  </si>
  <si>
    <t>10.3389/fped.2022.863919</t>
  </si>
  <si>
    <t>6H9VC</t>
  </si>
  <si>
    <t>WOS:000885777000001</t>
  </si>
  <si>
    <t>Li, WH; Fu, YW; Guo, JP; Mao, JX</t>
  </si>
  <si>
    <t>Li, Wenhua; Fu, Yuwo; Guo, Junpeng; Mao, Jiaxin</t>
  </si>
  <si>
    <t>The formation mechanism of the excessive use of short-form video apps: an IT affordance perspective</t>
  </si>
  <si>
    <t>Excessive use; Short-form video app; IT affordances; Perceived values</t>
  </si>
  <si>
    <t>SOCIAL NETWORKING SITES; PERCEIVED VALUE; INFORMATION QUALITY; MODERATING ROLE; PLS-SEM; ONLINE; ADDICTION; INTERNET; CONSEQUENCES; SATISFACTION</t>
  </si>
  <si>
    <t>PurposeRecently, short-form video apps, as a new form of social media, have attracted users and rapidly emerged by virtue of their personalized recommendation algorithms, interesting forms of live interaction, and diverse interactive functions, which may lead to excessive use. From the perspective of IT affordances, this study combines the cognitive-affective-behavioral model and perceived values theory to examine the formation mechanism of the excessive use of short-form video apps.Design/methodology/approachWe surveyed a total of 351 users who have used Tiktok, a typical short-form video app, and used their questionnaires to test the research model.FindingsSearching affordance has a positive impact on perceived information value and perceived entertainment value. Furthermore, meta-voicing, recommending, and livestreaming affordance have a positive impact on perceived information value, perceived entertainment value, and perceived social networking value, which also have a positive impact on negative affect anticipation. In addition, negative affect anticipation is significantly positively correlated with excessive use.Originality/valueIn terms of theory, this study introduces the theory of IT affordances and perceived values into the cognitive-affective-behavioral model, to the best of our knowledge, for the first time. Furthermore, it conducts situational research on the formation mechanism of excessive use of short-form video apps and makes up for the lack of studying of excessive use behavior from the perspective of technical factors.</t>
  </si>
  <si>
    <t>[Li, Wenhua; Fu, Yuwo; Guo, Junpeng; Mao, Jiaxin] Tianjin Univ, Coll Management &amp; Econ, Tianjin, Peoples R China; [Guo, Junpeng] Tianjin Univ, Lab Computat &amp; Analyt Complex Management Syst, Tianjin, Peoples R China</t>
  </si>
  <si>
    <t>Guo, JP (corresponding author), Tianjin Univ, Coll Management &amp; Econ, Tianjin, Peoples R China.</t>
  </si>
  <si>
    <t>guojp@tju.edu.cn</t>
  </si>
  <si>
    <t>Li, Wenhua/0000-0001-5424-9352; Guo, Junpeng/0000-0002-3884-3180</t>
  </si>
  <si>
    <t>National Natural Science Foundation of China [72171165]; Humanities and Social Science Fund of Ministry of Education of China [21YJA630021]</t>
  </si>
  <si>
    <t>National Natural Science Foundation of China(National Natural Science Foundation of China (NSFC)); Humanities and Social Science Fund of Ministry of Education of China(Ministry of Education, China)</t>
  </si>
  <si>
    <t>This study is supported by the National Natural Science Foundation of China (72171165) and the Humanities and Social Science Fund of Ministry of Education of China (21YJA630021), which are gratefully acknowledged.</t>
  </si>
  <si>
    <t>10.1108/ITP-04-2022-0253</t>
  </si>
  <si>
    <t>A3U0K</t>
  </si>
  <si>
    <t>WOS:001281803600001</t>
  </si>
  <si>
    <t>Barrios-Rubio, A</t>
  </si>
  <si>
    <t>Barrios-Rubio, Andres</t>
  </si>
  <si>
    <t>The Media and Information in the Content Diet of Colombian Social Media Users</t>
  </si>
  <si>
    <t>media; social networks; digital users; information; consumption</t>
  </si>
  <si>
    <t>The mass media are central to everyday life, a meeting point for citizens with the facts of the current social situation, and a space for the meaning, perception, interpretation, and construction of the notion of reality in the collective imagination. The impact of technology and communication platforms on the social fabric has opened up access to information and atomized trust and credibility in the face of the journalistic brand, an instance of crisis on the smartphone screen in which the media are relegated to the background and influencers, opinion leaders, and the protagonists of the facts themselves, in direct contact with the followers, gain relevance. The transformation configured in the users' content diet aims to review the industry's behavior on social networks to interpret why it is losing its place in the citizens' consumption agenda. This research, which relied on a mixed methodology, downloaded messages from Facebook, X/Twitter, Instagram, YouTube, and TikTok profiles of two written, five audio, and two audiovisual media in a period of 91 days, and added them to what was carried out in the same period in 2019 and 2021. The corpus of the study made it possible to prove the composition of the communication, the operational tactics, and the thematic axis. The research concluded that the Colombian mass media need to innovate to establish productive routines that bet on digital native products, corresponding to the dynamics of networked consumption by an audience that concentrates all actions on screen devices.</t>
  </si>
  <si>
    <t>[Barrios-Rubio, Andres] Nebrija Univ, Fac Commun &amp; Arts, Madrid 28240, Spain</t>
  </si>
  <si>
    <t>Universidad Antonio de Nebrija</t>
  </si>
  <si>
    <t>Barrios-Rubio, A (corresponding author), Nebrija Univ, Fac Commun &amp; Arts, Madrid 28240, Spain.</t>
  </si>
  <si>
    <t>Barrios-Rubio, Andres/E-4710-2015</t>
  </si>
  <si>
    <t>Barrios-Rubio, Andres/0000-0001-9838-779X</t>
  </si>
  <si>
    <t>10.3390/soc14010006</t>
  </si>
  <si>
    <t>GF8F3</t>
  </si>
  <si>
    <t>WOS:001151335100001</t>
  </si>
  <si>
    <t>Dmitrovic, LG; Selec, H; Cerepinko, D</t>
  </si>
  <si>
    <t>Dmitrovic, Lovorka Gotal; Selec, Hrvoje; Cerepinko, Darijo</t>
  </si>
  <si>
    <t>Cinemetrics of Environmental Educational Video Materials According to the Analysis of the Use of Colour and Frame Length</t>
  </si>
  <si>
    <t>JOURNAL OF SUSTAINABLE DEVELOPMENT OF ENERGY WATER AND ENVIRONMENT SYSTEMS-JSDEWES</t>
  </si>
  <si>
    <t>Short educational movie; Complex system; Models development; Transition points</t>
  </si>
  <si>
    <t>In the era of social media and the dominance of video-based social media sites such as TikTok, short educational movies could serve as a powerful tool for appraising environmental problems and promoting effective protection practices. According to System Theory, educational video can be observed as a complex system of various patterns of visual and acoustic codes that can be quantified and presented as Ishikawa diagrams. Through the analysis of two award-winning educational short movies on environmental protection, this paper presents the development of models for educational movie production by combining theoretical concepts of message composition from communication theory with technical enhancements based on cinemetrics, psychophysiology and statistical methods derived from the simulation modelling. Analysis of the two technical characteristics of the movies: frame (shot) length and distribution of the Red-Green-Blue colour spectrum, confirms explicated theoretical assumptions. Statistical analysis shows that technical transition points (represented by colour equilibrium and inverse Gaussian distribution of shot length) correspond to the movie narration, colour enhancements (peaks) are consistent with the elements of storytelling, and colour patterns in the movie follow psychophysiological assumptions of the meaning of colour, amplifying anticipated viewers response through unique distribution for each of the analyzed colours. Considering the acceleration of content production and the rising lack of focus of modern media consumers, the findings presented in this paper offer a useful tool for the development and production of educational and environmental video materials, its systematisation, optimisation, capacity to clarify complex environmental subjects and engage the various public.</t>
  </si>
  <si>
    <t>[Dmitrovic, Lovorka Gotal; Cerepinko, Darijo] Univ North, Univ Ctr Varazdin, Krizaniceva 31, Varazhdin, Croatia; [Selec, Hrvoje] Univ North, Univ Ctr Koprivnica, Trg Zarka Dolinara 1, Koprivnica, Croatia</t>
  </si>
  <si>
    <t>University North - Croatia; University North - Croatia</t>
  </si>
  <si>
    <t>Dmitrovic, LG (corresponding author), Univ North, Univ Ctr Varazdin, Krizaniceva 31, Varazhdin, Croatia.</t>
  </si>
  <si>
    <t>lgotaldmitrovic@unin.hr; hrselec@unin.hr; darijo.cerepinko@unin.hr</t>
  </si>
  <si>
    <t>INT CENTRE SUSTAINABLE DEV ENERGY WATER &amp; ENV SYSTEMS-SDEWES</t>
  </si>
  <si>
    <t>IVANA LUCICA 5, ZAGREB, 10000, CROATIA</t>
  </si>
  <si>
    <t>1848-9257</t>
  </si>
  <si>
    <t>J SUSTAIN DEV ENERGY</t>
  </si>
  <si>
    <t>J. Sustain. Dev. Energy Water Environ. Syst.-JSDEWES</t>
  </si>
  <si>
    <t>10.13044/j.sdewes.d11.0451</t>
  </si>
  <si>
    <t>Environmental Sciences</t>
  </si>
  <si>
    <t>L5ET8</t>
  </si>
  <si>
    <t>WOS:001023501500001</t>
  </si>
  <si>
    <t>Shang, SS; Du, CH; Wu, JL</t>
  </si>
  <si>
    <t>Shang, Shanshan; Du, Chenhui; Wu, Jilan</t>
  </si>
  <si>
    <t>Comparison on effect mechanism of continuance usage between entertainment and knowledge apps: a qualitative analysis of online reviews</t>
  </si>
  <si>
    <t>Continuance usage behaviour; Effect mechanisms; Comparison; Characteristics; Comparisons; Applications</t>
  </si>
  <si>
    <t>MOBILE APPS; INTENTION; SERVICE; DETERMINANTS; SATISFACTION</t>
  </si>
  <si>
    <t>Purpose Continuance usage of mobile applications (apps) has attracted much attention from scholars and enterprises, while the extant research mainly focuses on continuance intention. The inner effect mechanism of the characteristics of apps is still unclear. Under the tenet of continuance usage behaviour, through analysis of characteristics derived from online reviews, this paper aims to establish an effective model and discloses the commonalities and differences between two mainstream apps, which are entertainment and knowledge apps. Design/methodology/approach The authors collected reviews of TikTok and Zhihu, which are typical representatives of entertainment and knowledge apps, respectively, from 2018 to 2020. They then derive effect factors and establish the effect model using grounded theory. A deep comparison is then conducted. They analysed the similarities and differences in the general effect model, internal effect mechanism and detailed characteristics of the two types of apps. Findings Entertainment app and knowledge apps share the same general effect mechanism; that is, the effect chain of characteristics to perceived value then finally to continuance usage behaviour. However, obvious differences also exist in detailed and specific effects between the two apps. Originality/value The present research is among the first to have a deep analysis of the comparison of entertainment apps and knowledge apps under the context of continuance usage behaviour. The findings contribute to understanding continuance usage behaviours. Suggestions are proposed on how to promote apps, which may benefit app managers.</t>
  </si>
  <si>
    <t>[Shang, Shanshan; Du, Chenhui] Shanghai Int Studies Univ, Sch Business &amp; Management, Shanghai, Peoples R China; [Wu, Jilan] Shanghai Univ Finance &amp; Econ, Sch Informat Management &amp; Engn, Shanghai, Peoples R China; [Wu, Jilan] Shanghai Univ Finance &amp; Econ, Zhejiang Coll, Jinhua, Zhejiang, Peoples R China</t>
  </si>
  <si>
    <t>Shanghai International Studies University; Shanghai University of Finance &amp; Economics; Shanghai University of Finance &amp; Economics</t>
  </si>
  <si>
    <t>Wu, JL (corresponding author), Shanghai Univ Finance &amp; Econ, Sch Informat Management &amp; Engn, Shanghai, Peoples R China.;Wu, JL (corresponding author), Shanghai Univ Finance &amp; Econ, Zhejiang Coll, Jinhua, Zhejiang, Peoples R China.</t>
  </si>
  <si>
    <t>shangshanshan@shisu.edu.cn; 18301917590@163.com; wujilan@mail.sufe.edu.cn</t>
  </si>
  <si>
    <t>Du, Chenhui/AAY-2882-2020</t>
  </si>
  <si>
    <t>10.1108/EL-07-2021-0140</t>
  </si>
  <si>
    <t>YT5OD</t>
  </si>
  <si>
    <t>WOS:000727769900001</t>
  </si>
  <si>
    <t>Guo, ZW; Li, Y; Yang, ZG; Li, XP; Lee, LK; Li, Q; Liu, WY</t>
  </si>
  <si>
    <t>Guo, Zhiwei; Li, Yang; Yang, Zhenguo; Li, Xiaoping; Lee, Lap-Kei; Li, Qing; Liu, Wenyin</t>
  </si>
  <si>
    <t>Cross-Modal Attention Network for Detecting Multimodal Misinformation From Multiple Platforms</t>
  </si>
  <si>
    <t>IEEE TRANSACTIONS ON COMPUTATIONAL SOCIAL SYSTEMS</t>
  </si>
  <si>
    <t>Fake news; Feature extraction; Social networking (online); Videos; Blogs; Web sites; Video on demand; Cross-modal attention; misinformation detection; social media</t>
  </si>
  <si>
    <t>FAKE NEWS; FEATURES</t>
  </si>
  <si>
    <t>Misinformation detection in short videos on social media has become a pressing issue due to its popularity. However, datasets for misinformation detection are limited in terms of modality and sources, hindering the development of effective detection methods. In this article, we introduce a novel dataset denoted the multiplatform multimodal misinformation (3M) dataset. Our dataset is collected specifically to investigate and address misinformation in a multimodal context. A total of 17 352 videos were collected from two prominent social media platforms, namely TikTok and Weibo. The 3M dataset covers 30 different topics, such as sports, health, news, and art, providing a diverse range of content for analysis. We propose a novel approach named cross-modal attention misinformation detection (CAMD) for effectively detecting and addressing multimodal misinformation. CAMD leverages the cross-modal attention module to facilitate effective information exchange and fusion between modalities by learning the correlations and weights among them. The cross-modal attention module is capable of learning multilevel modality correlations, focuses primarily on the interaction between multimodal sequences across different time steps, and simultaneously adjusts the information from the source modality based on the information of the target modality. Extensive experiments on the 3M dataset show that the proposed method achieves state-of- the-art performance. Specifically, CAMD achieves accuracy, F1-score, precision, and recall values of 76.86%, 58.05%, 87.86%, and 58.70%, respectively, on the 3M dataset.</t>
  </si>
  <si>
    <t>[Guo, Zhiwei; Li, Yang; Yang, Zhenguo; Li, Xiaoping] Guangdong Univ Technol, Sch Comp Sci, Guangzhou 510006, Peoples R China; [Lee, Lap-Kei] Hong Kong Metropolitan Univ, Sch Sci &amp; Technol, Hong Kong 999077, Peoples R China; [Li, Qing] Hong Kong Polytech Univ, Dept Comp, Hong Kong 999077, Peoples R China; [Liu, Wenyin] Zhongguancun Lab, Beijing 100194, Peoples R China</t>
  </si>
  <si>
    <t>Guangdong University of Technology; Hong Kong Metropolitan University; Hong Kong Polytechnic University; Zhongguancun Laboratory</t>
  </si>
  <si>
    <t>Yang, ZG (corresponding author), Guangdong Univ Technol, Sch Comp Sci, Guangzhou 510006, Peoples R China.</t>
  </si>
  <si>
    <t>2112105142@mail2.gdut.edu.cn; soap_ly@163.com; yzg@gdut.edu.cn; xpli@gdut.edu.cn; lklee@hkmu.edu.hk; csqli@comp.polyu.edu.hk; liuwy@gdut.edu.cn</t>
  </si>
  <si>
    <t>Li, Xiaoping/ABA-5184-2021; Yang, Zhenguo/X-9205-2019; Guo, Zhiwei/AAV-4479-2021; Li, Qing/JMH-1365-2023; Lee, Lap-Kei/AAT-7933-2020; Li, Qing/H-4100-2011</t>
  </si>
  <si>
    <t>Li, Qing/0000-0003-3370-471X; Lee, Lap-Kei/0000-0001-9619-6041; Liu, Wenyin/0000-0002-6237-6607; Li, Yang/0009-0000-2168-2088; Guo, Zhiwei/0009-0004-5569-8925</t>
  </si>
  <si>
    <t>National Key Research and Development Program of China [2022YFB3305500]; National Natural Science Foundation of China [62076073, 62273089]; Hong Kong Research Grants Council through the General Research Fund [15200023]; RGC of the HKSAR, China [UGC/FDS16/E17/21]; Open Fund of Key Laboratory of Computing Power Network and Information Security, Ministry of Education [2023ZD035]</t>
  </si>
  <si>
    <t>National Key Research and Development Program of China(National Key Research &amp; Development Program of China); National Natural Science Foundation of China(National Natural Science Foundation of China (NSFC)); Hong Kong Research Grants Council through the General Research Fund; RGC of the HKSAR, China; Open Fund of Key Laboratory of Computing Power Network and Information Security, Ministry of Education</t>
  </si>
  <si>
    <t>This work was supported in part by the National Key Research and Development Program of China under Grant 2022YFB3305500; in part by the National Natural Science Foundation of China under Grant 62076073 and Grant 62273089; in part by the Hong Kong Research Grants Council through the General Research Fund under Project 15200023; in part by the RGC of the HKSAR, China, under Grant UGC/FDS16/E17/21; and in part by the Open Fund of Key Laboratory of Computing Power Network and Information Security, Ministry of Education under Grant 2023ZD035.</t>
  </si>
  <si>
    <t>2329-924X</t>
  </si>
  <si>
    <t>IEEE T COMPUT SOC SY</t>
  </si>
  <si>
    <t>IEEE Trans. Comput. Soc. Syst.</t>
  </si>
  <si>
    <t>10.1109/TCSS.2024.3373661</t>
  </si>
  <si>
    <t>D6O4F</t>
  </si>
  <si>
    <t>WOS:001193843600001</t>
  </si>
  <si>
    <t>Kasmani, MF</t>
  </si>
  <si>
    <t>Kasmani, Mohd Faizal</t>
  </si>
  <si>
    <t>Undi 18: Understanding the political participation of first-time Malay voters through social media</t>
  </si>
  <si>
    <t>Search Conference</t>
  </si>
  <si>
    <t>Social media; politics; participation; expression; personalization; youth voters</t>
  </si>
  <si>
    <t>CONTEXT COLLAPSE; INTERNET; PERSONALIZATION; NEWS; COMMUNICATION; AFFORDANCES; ENGAGEMENT; EXPRESSION; EXPOSURE; IMPACT</t>
  </si>
  <si>
    <t>With the voting age for Malaysians lowered from 21 to 18 effective December 2021, first-time voters' political participation among Malaysia's youth will be in the spotlight. This indicates that an additional 5.8 million voters aged between 18 and 21 are anticipated in Malaysia's 2022 election. Appealing to young voters, who are digital natives, is a crucial factor in the 15th General Election campaign. As a highly personalized and individualized space, this study explores how these first-time voters use social media for political participation, interacting with politicians and expressing their political views and thoughts. Based on online interviews with 44 first-time Malay voters aged between 18 and 20 years old, this article investigates how these young, first-time voters engage in political expression and interact with politicians as well as their political participation behaviour through social media. Findings show that respondents mainly participate in low levels of online political participation. Although all participants agreed that political expression is crucial for democracy, many respondents are reluctant to share their political views online due to a lack of knowledge to discuss and debate politics. Facebook and Twitter emerged as the favorite platforms for political news due to the credibility of information, while Instagram and TikTok were the least favorite. Personalization of politics appears to work effectively for politicians who actively post on social media. Syed Saddiq, Muhyiddin Yassin and Najib Razak were the top favorite politicians among the respondents.</t>
  </si>
  <si>
    <t>[Kasmani, Mohd Faizal] Univ Sains Islam Malaysia, Nilai, Malaysia</t>
  </si>
  <si>
    <t>Universiti Sains Islam Malaysia</t>
  </si>
  <si>
    <t>Kasmani, MF (corresponding author), Univ Sains Islam Malaysia, Nilai, Malaysia.</t>
  </si>
  <si>
    <t>faizalkasmani@usim.edu.my</t>
  </si>
  <si>
    <t>Kasmani, Faizal/AAA-5636-2022</t>
  </si>
  <si>
    <t>O0AW4</t>
  </si>
  <si>
    <t>WOS:001040543200003</t>
  </si>
  <si>
    <t>Yang, PP; Baracchi, D; Iuliani, M; Shullani, D; Ni, RR; Zhao, Y; Piva, A</t>
  </si>
  <si>
    <t>Yang, Pengpeng; Baracchi, Daniele; Iuliani, Massimo; Shullani, Dasara; Ni, Rongrong; Zhao, Yao; Piva, Alessandro</t>
  </si>
  <si>
    <t>Efficient Video Integrity Analysis Through Container Characterization</t>
  </si>
  <si>
    <t>IEEE JOURNAL OF SELECTED TOPICS IN SIGNAL PROCESSING</t>
  </si>
  <si>
    <t>Containers; Streaming media; Forensics; Nickel; Object recognition; Operating systems; Video forensics; video container; social media; integrity; authentication; video tampering; decision trees; machine learning</t>
  </si>
  <si>
    <t>Most video forensic techniques look for traces within the data stream that are, however, mostly ineffective when dealing with strongly compressed or low resolution videos. Recent research highlighted that useful forensic traces are also left in the video container structure, thus offering the opportunity to understand the life-cycle of a video file without looking at the media stream itself. In this article we introduce a container-based method to identify the software used to perform a video manipulation and, in most cases, the operating system of the source device. As opposed to the state of the art, the proposed method is both efficient and effective and can also provide a simple explanation for its decisions. This is achieved by using a decision-tree-based classifier applied to a vectorial representation of the video container structure. We conducted an extensive validation on a dataset of 7000 video files including both software manipulated contents (ffmpeg, Exiftool, Adobe Premiere, Avidemux, and Kdenlive), and videos exchanged through social media platforms (Facebook, TikTok, Weibo and YouTube). This dataset has been made available to the research community. The proposed method achieves an accuracy of 97.6% in distinguishing pristine from tampered videos and classifying the editing software, even when the video is cut without re-encoding or when it is downscaled to the size of a thumbnail. Furthermore, it is capable of correctly identifying the operating system of the source device for most of the tampered videos.</t>
  </si>
  <si>
    <t>[Yang, Pengpeng; Ni, Rongrong; Zhao, Yao] Beijing Jiaotong Univ, Inst Informat Sci, Beijing 100044, Peoples R China; [Yang, Pengpeng; Ni, Rongrong; Zhao, Yao] Beijing Jiaotong Univ, Beijing Key Lab Adv Informat Sci &amp; Network Techno, Beijing 100044, Peoples R China; [Baracchi, Daniele; Iuliani, Massimo; Shullani, Dasara; Piva, Alessandro] Univ Florence, Dept Informat Engn, I-50139 Florence, Italy; [Iuliani, Massimo; Piva, Alessandro] PIN Scrl, FORLAB, Multimedia Forens Lab, I-59100 Prato, Italy</t>
  </si>
  <si>
    <t>Beijing Jiaotong University; Beijing Jiaotong University; University of Florence</t>
  </si>
  <si>
    <t>Ni, RR (corresponding author), Beijing Jiaotong Univ, Inst Informat Sci, Beijing 100044, Peoples R China.;Piva, A (corresponding author), Univ Florence, Dept Informat Engn, I-50139 Florence, Italy.</t>
  </si>
  <si>
    <t>14120339@bjtu.edu.cn; daniele.baracchi@unifi.it; massimo.iuliani@unifi.it; dasara.shullani@unifi.it; rrni@bjtu.edu.cn; yzhao@bjtu.edu.cn; alessandro.piva@unifi.it</t>
  </si>
  <si>
    <t>Yang, Pengpeng/D-7789-2015; Baracchi, Daniele/AHD-5162-2022; Piva, Alessandro/B-8948-2008</t>
  </si>
  <si>
    <t>Zhao, Yao/0000-0002-8581-9554; Piva, Alessandro/0000-0002-3047-0519; BARACCHI, DANIELE/0000-0002-7364-1955</t>
  </si>
  <si>
    <t>National Key Research and Development of China [2016YFB0800404]; National NSF of China [U1936212, 61672090]; AFRL; DARPA [FA8750-16-2-0188]; Italian Ministry of Education, Universities and Research MIUR [2017Z595XS]</t>
  </si>
  <si>
    <t>National Key Research and Development of China(National Key Research &amp; Development Program of China); National NSF of China(National Natural Science Foundation of China (NSFC)); AFRL(United States Department of DefenseUS Air Force Research Laboratory); DARPA(United States Department of DefenseDefense Advanced Research Projects Agency (DARPA)); Italian Ministry of Education, Universities and Research MIUR(Ministry of Education, Universities and Research (MIUR))</t>
  </si>
  <si>
    <t>This work was supported in part by the National Key Research and Development of China under Grant 2016YFB0800404, in part by National NSF of China under Grants U1936212 and 61672090, in part by AFRL, in part by DARPA under Grant FA8750-16-2-0188, and in part by the Italian Ministry of Education, Universities and Research MIUR under Grant 2017Z595XS.</t>
  </si>
  <si>
    <t>1932-4553</t>
  </si>
  <si>
    <t>1941-0484</t>
  </si>
  <si>
    <t>IEEE J-STSP</t>
  </si>
  <si>
    <t>IEEE J. Sel. Top. Signal Process.</t>
  </si>
  <si>
    <t>10.1109/JSTSP.2020.3008088</t>
  </si>
  <si>
    <t>NG8BM</t>
  </si>
  <si>
    <t>WOS:000564205000004</t>
  </si>
  <si>
    <t>Allahverdi, FZ</t>
  </si>
  <si>
    <t>Allahverdi, Fatima Zehra</t>
  </si>
  <si>
    <t>Relationship between perceived social media addiction and social media applications frequency usage among university students</t>
  </si>
  <si>
    <t>PSYCHOLOGY IN THE SCHOOLS</t>
  </si>
  <si>
    <t>perceived social media addiction; regression analysis; social media applications; social media frequency use</t>
  </si>
  <si>
    <t>ADOLESCENTS; CONSEQUENCES; PERSONALITY; PREVALENCE; IMPACT</t>
  </si>
  <si>
    <t>The study adds to the literature by analyzing data from Kuwait University, a public university in the Gulf region of the Middle East, where research in the area of social media is relatively new. The study is the first to quantify the relationship of different social media applications frequency usage with perceived social media addiction among university students. Specifically, the relationship between gender, area of study, social media applications frequency usage, and the social media addiction as self-perceived were quantified. A total of 380 university students were asked how often they use the following applications: Instagram, Facebook, YouTube, Twitter, Pinterest, LinkedIn, TikTok, Snapchat, and WhatsApp. The response rate was 85%, with 322 students responding to the survey that was handed out as a hard copy. The data were collected by picking random classes to implement random sampling. Descriptive results indicated that around 70% of students believed they were addicted to social media somewhere between 75 and 100%. This was followed by utilizing multiple hierarchical regression for data analysis. Results indicated a significant relationship between the area of study (science, engineering, and social sciences), gender, and social media applications of Instagram, Facebook, and Twitter. Female students perceived themselves as about 5% more addicted to social media. Social science and engineering students perceived themselves as about 17% and 12% more addicted than science students, respectively. Furthermore, Instagram, Facebook, and Twitter contributed up to about 12%, 11%, and 10%, respectively, to the perceived social media addiction.</t>
  </si>
  <si>
    <t>[Allahverdi, Fatima Zehra] Univ Ankara, Dept Psychol, Social Sci, TR-06050 Ankara, Turkey</t>
  </si>
  <si>
    <t>Ankara University</t>
  </si>
  <si>
    <t>Allahverdi, FZ (corresponding author), Univ Ankara, Dept Psychol, Social Sci, TR-06050 Ankara, Turkey.</t>
  </si>
  <si>
    <t>zehra.allahverdi@asbu.edu.tr</t>
  </si>
  <si>
    <t>Allahverdi, Fatima/AFG-1355-2022</t>
  </si>
  <si>
    <t>Allahverdi, Fatima Zehra/0000-0002-9599-6407</t>
  </si>
  <si>
    <t>0033-3085</t>
  </si>
  <si>
    <t>1520-6807</t>
  </si>
  <si>
    <t>PSYCHOL SCHOOLS</t>
  </si>
  <si>
    <t>Psychol. Schools</t>
  </si>
  <si>
    <t>10.1002/pits.22662</t>
  </si>
  <si>
    <t>0X1ON</t>
  </si>
  <si>
    <t>WOS:000751507600001</t>
  </si>
  <si>
    <t>Malik, M; Bauer-Maison, N; Guarna, G; D'Souza, RD</t>
  </si>
  <si>
    <t>Malik, Mahnoor; Bauer-Maison, Natasha; Guarna, Giuliana; D'Souza, Rohan D.</t>
  </si>
  <si>
    <t>Social Media Misinformation about Pregnancy and COVID-19 Vaccines: A Systematic Review</t>
  </si>
  <si>
    <t>MEDICAL PRINCIPLES AND PRACTICE</t>
  </si>
  <si>
    <t>Social media; Misinformation; COVID-19 vaccines; Vaccination hesitancy; Pregnancy</t>
  </si>
  <si>
    <t>SERIES</t>
  </si>
  <si>
    <t>Objective: The objectives of this study were to identify common social media misconceptions about COVID-19 vaccination in pregnancy, explain the spread of misinformation, and identify solutions to guide clinical practice and policy. Methodology: A systematic review was conducted and the databases Embase and Medline were searched from December 2019 to February 8, 2023, using terms related to social media, pregnancy, COVID-19 vaccines and misinformation. The inclusion criteria were original research studies that discussed misinformation about COVID-19 vaccination during pregnancy on social media. The exclusion criteria were review articles, no full text, and not published in English. Two independent reviewers conducted screening, extraction, and quality assessment. Results: Our search identified 76 articles, of which 3 fulfilled eligibility criteria. Included studies were of moderate and high quality. The social media platforms investigated included Facebook, Google Searches, Instagram, Reddit, TikTok, and Twitter. Misinformation was related to concerns regarding vaccine safety, and its association with infertility. Misinformation was increased due to lack of content monitoring on social media, exclusion of pregnant women from early vaccine trials, lack of information from reputable health sources on social media, and others. Suggested solutions were directed at pregnancy care providers (PCPs) and public health/government. Suggestions included: (i) integrating COVID-19 vaccination information into antenatal care, (ii) PCPs and public health should increase their social media presence to disseminate information, (iii) address population-specific vaccine concerns in a culturally relevant manner, and others. Conclusion: Increased availability of information from reputable health sources through multiple channels could increase COVID-19 vaccine uptake in the pregnant population and help combat misinformation.</t>
  </si>
  <si>
    <t>[Malik, Mahnoor; Bauer-Maison, Natasha; Guarna, Giuliana; D'Souza, Rohan D.] McMaster Univ, Dept Obstet &amp; Gynaecol, Hamilton, ON, Canada; [Malik, Mahnoor] Univ Toronto, Temerty Fac Med, Toronto, ON, Canada; [Bauer-Maison, Natasha] McMaster Univ, Michael G DeGroote Sch Med, Hamilton, ON, Canada; [D'Souza, Rohan D.] McMaster Univ, Med Ctr, Dept Obstet &amp; Gynecol, Div Maternal &amp; Fetal Med, Hamilton, ON, Canada; [D'Souza, Rohan D.] McMaster Univ, Dept Hlth Res Methods Evidence &amp; Impact, Hamilton, ON, Canada</t>
  </si>
  <si>
    <t>McMaster University; University of Toronto; McMaster University; McMaster University; McMaster University</t>
  </si>
  <si>
    <t>Malik, M (corresponding author), McMaster Univ, Dept Obstet &amp; Gynaecol, Hamilton, ON, Canada.;Malik, M (corresponding author), Univ Toronto, Temerty Fac Med, Toronto, ON, Canada.</t>
  </si>
  <si>
    <t>mahnoori.malik@mail.utoronto.ca</t>
  </si>
  <si>
    <t>D'Souza, Rohan/F-7997-2016</t>
  </si>
  <si>
    <t>D'Souza, Rohan/0000-0002-4049-2017</t>
  </si>
  <si>
    <t>1011-7571</t>
  </si>
  <si>
    <t>1423-0151</t>
  </si>
  <si>
    <t>MED PRIN PRACT</t>
  </si>
  <si>
    <t>Med. Princ. Pract.</t>
  </si>
  <si>
    <t>10.1159/000538346</t>
  </si>
  <si>
    <t>TR9G9</t>
  </si>
  <si>
    <t>WOS:001243099000001</t>
  </si>
  <si>
    <t>Suárez-Llevat, C; Jiménez-Gómez, B; Ruiz-Núñez, C; Fernández-Quijano, I; Rodriguez-González, EM; de la Torre-domingo, C; Herrera-Peco, I</t>
  </si>
  <si>
    <t>Suarez-Llevat, Carolina; Jimenez-Gomez, Beatriz; Ruiz-Nunez, Carlos; Fernandez-Quijano, Invencion; Rodriguez-Gonzalez, Eva Maria; de la Torre-domingo, Carlos; Herrera-Peco, Ivan</t>
  </si>
  <si>
    <t>Social networks use in the context of Schizophrenia: a review of the literature</t>
  </si>
  <si>
    <t>disinformation; health literacy; mental health; schizophrenia; social networks</t>
  </si>
  <si>
    <t>1ST-EPISODE PSYCHOSIS; MENTAL-HEALTH; STIGMA; COMMUNICATION; EDUCATION; YOUTUBE</t>
  </si>
  <si>
    <t>Schizophrenia is a persistent mental health condition that, while presenting challenges, underscores the dynamic nature of cognitive functions and encourages a unique perspective on how individuals engage with their surroundings. Social networks, as a means of communication of great importance at the present time, are for this type of people a way of interacting with their environment with a high level of security. The aim is to find out how schizophrenia is dealt with in different social networks and to differentiate between different types of articles dealing with the use of Facebook, X (former Twitter), YouTube, TikTok, Instagram, and Weibo. A total of 45 articles to i) Social networks used, ii) Country of analyzed users, iii) age of the users analyzed, iv) focus of the analyzed manuscript (mental health literacy, stigmatization, detection of patterns associated with schizophrenia, and Harmful substance use). It was observed that 45.45% of the studies analyzed were conducted in the USA population, followed by UK and China (13.64%). The most analyzed social networks were those based on audiovisual communication (60%). Furthermore, the two main foci addressed in these articles were: stigmatization of schizophrenia with 16 articles (35.55%), following by the prediction of schizophrenia-detecting patterns with 15 articles (33.33%) and the use of social networks to stigmatize people with schizophrenia (38%) and only 14 articles (31.11%) were focused on mental health literacy. Likewise, it was found that there is great potential in the use of the analysis of the content generated, as possible predictors of the presence of this disease, which would allow rapid detection and intervention for psychosis and schizophrenia.</t>
  </si>
  <si>
    <t>[Suarez-Llevat, Carolina] Univ Alfonso X El Sabio, Fac Med, Psychol Dept, Madrid, Spain; [Suarez-Llevat, Carolina] Univ Europea Madrid, Fac Biomed &amp; Hlth Sci, Sch Doctoral Studies &amp; Res Biomed, Madrid, Spain; [Jimenez-Gomez, Beatriz] Univ Europea Madrid, Dept Nursing Human Nutr &amp; Dietet, Madrid, Spain; [Ruiz-Nunez, Carlos] Univ Malaga, Sch Med, Program Biomed Translat Res &amp; New Hlth Technol, Malaga, Spain; [Fernandez-Quijano, Invencion] Alfonso X el Sabio Univ, Fac Med, Psychol Dept, Madrid, Spain; [Rodriguez-Gonzalez, Eva Maria; de la Torre-domingo, Carlos; Herrera-Peco, Ivan] Univ Alfonso X el Sabio, Fac Hlth Sci, Madrid, Spain</t>
  </si>
  <si>
    <t>Universidad Alfonso X el Sabio (UAX); European University of Madrid; European University of Madrid; Universidad de Malaga; Universidad Alfonso X el Sabio (UAX); Universidad Alfonso X el Sabio (UAX)</t>
  </si>
  <si>
    <t>Herrera-Peco, I (corresponding author), Univ Alfonso X el Sabio, Fac Hlth Sci, Madrid, Spain.</t>
  </si>
  <si>
    <t>iherrpec@uax.es</t>
  </si>
  <si>
    <t>H.Peco, Ivan/S-8753-2017; Ruiz Nunez, Carlos A./ISV-0833-2023</t>
  </si>
  <si>
    <t>Ruiz Nunez, Carlos A./0000-0003-2872-1494</t>
  </si>
  <si>
    <t>MAY 31</t>
  </si>
  <si>
    <t>10.3389/fpsyt.2024.1255073</t>
  </si>
  <si>
    <t>UG4C5</t>
  </si>
  <si>
    <t>WOS:001246882400001</t>
  </si>
  <si>
    <t>Tian, J; Cheng, PX; Wang, XN; Xiang, H; Gao, Q; Zhu, HP</t>
  </si>
  <si>
    <t>Tian, Jiang; Cheng, Peixia; Wang, Xiaonan; Xiang, Henry; Gao, Qi; Zhu, Huiping</t>
  </si>
  <si>
    <t>Exploring home fall events among infants and toddlers using social media information: an infodemiology study in China</t>
  </si>
  <si>
    <t>INJURY PREVENTION</t>
  </si>
  <si>
    <t>Fall; Injury Compensation; Social Network Analysis</t>
  </si>
  <si>
    <t>PEDIATRIC INJURIES; UNITED-STATES; CHILDREN; SAFETY; WINDOWS; TRIAL</t>
  </si>
  <si>
    <t>Background Practical interventions of fall prevention are challenging for infants and toddlers. This study aimed to explore specific details of falls that occurred at home for kids 0-3 years old using key information from social media platforms, which provided abundant data sources for fall events.Methods We used internet-based search techniques to collect fall events information from 2013 to 2023. The search was restricted and implemented between 1 and 12 April 2023. Online platforms included Baidu, Weibo, WeChat, TikTok, Toutiao and Little Red Book. A qualitative descriptive approach was used to analyse the fall events and major factors, including the fall event time, child age, environmental factors and behavioural characteristics of children and caregivers.Results We identified 1005 fall injury cases among infants and toddlers. Fall mechanisms included falls from household furniture (71.2%), falls from height (21.4%) and falls on the same level (7.4%). Environmental risk factors mainly consisted of not using or installing bed rails incorrectly, a gap between beds, unstable furniture, slippery ground and windows without guardrails. Behavioural factors included caregivers leaving a child alone, lapsed attention, turning around to retrieve something, misusing baby products, inadequately holding the child and falling asleep with children. Child behavioural factors included walking or running while holding an object in hand or mouth and underdeveloped walking skills.Conclusion Interventions for preventing falls should be designed specifically for Chinese families, especially considering family function in the context of Chinese culture. Social media reports could provide rich information for researchers.</t>
  </si>
  <si>
    <t>[Tian, Jiang; Wang, Xiaonan; Gao, Qi] Capital Med Univ, Sch Publ Hlth, Dept Epidemiol &amp; Hlth Stat, Beijing, Peoples R China; [Cheng, Peixia; Zhu, Huiping] Capital Med Univ, Sch Publ Hlth, Dept Maternal &amp; Child Hlth, Beijing 100069, Peoples R China; [Xiang, Henry] Nationwide Childrens Hosp, Res Inst, Ctr Injury Res &amp; Policy, Columbus, OH USA; [Xiang, Henry] Nationwide Childrens Hosp, Res Inst, Ctr Pediat Trauma Res, Columbus, OH USA</t>
  </si>
  <si>
    <t>Capital Medical University; Capital Medical University; University System of Ohio; Ohio State University; Nationwide Childrens Hospital; Research Institute at Nationwide Children's Hospital; University System of Ohio; Ohio State University; Nationwide Childrens Hospital; Research Institute at Nationwide Children's Hospital</t>
  </si>
  <si>
    <t>Gao, Q (corresponding author), Capital Med Univ, Sch Publ Hlth, Dept Epidemiol &amp; Hlth Stat, Beijing, Peoples R China.;Zhu, HP (corresponding author), Capital Med Univ, Sch Publ Hlth, Dept Maternal &amp; Child Hlth, Beijing 100069, Peoples R China.</t>
  </si>
  <si>
    <t>gaoqi@ccmu.edu.cn; zhuhuiping79@163.com</t>
  </si>
  <si>
    <t>Xiang, Henry/0000-0001-8112-319X</t>
  </si>
  <si>
    <t>National Natural Science Foundation of China [82073563]</t>
  </si>
  <si>
    <t>This study was funded by the National Natural Science Foundation of China (Grant No 82073563).</t>
  </si>
  <si>
    <t>1353-8047</t>
  </si>
  <si>
    <t>1475-5785</t>
  </si>
  <si>
    <t>INJURY PREV</t>
  </si>
  <si>
    <t>Inj. Prev.</t>
  </si>
  <si>
    <t>2024 MAY 20</t>
  </si>
  <si>
    <t>10.1136/ip-2023-045014</t>
  </si>
  <si>
    <t>RS2I3</t>
  </si>
  <si>
    <t>WOS:001229581100001</t>
  </si>
  <si>
    <t>Cramp, H; Swana, K; Zhou, YN</t>
  </si>
  <si>
    <t>Cramp, Hannah; Swana, Kasongo; Zhou, Yana</t>
  </si>
  <si>
    <t>Overview of 2023 UK Trade Mark Cases</t>
  </si>
  <si>
    <t>IIC-INTERNATIONAL REVIEW OF INTELLECTUAL PROPERTY AND COMPETITION LAW</t>
  </si>
  <si>
    <t>Trade marks; Infringement; Opposition; Cancellation; Passing off; Acquiescence</t>
  </si>
  <si>
    <t>In 2023, in the UK, a number of interesting cases involving wide-ranging issues in the intellectual property areas were decided. Asics v. World Champion Imprint Club Ltd concerned a UKIPO opposition whereby the UK differed in its overall finding from the EU. Stitch Editing Ltd v. TikTok Information Technologies UK Ltd was a High Court case (on appeal from the UK Tribunal) regarding the registrability of the mark STITCH. Despite appeal cases being almost always challenging for the appellant (as it would concern a review of the first instance case, and not a re-hearing of a dispute), in certain circumstances, it is the right course of action to take. Marriott Worldwide Corporation v. Delta Air Lines, Inc. involved an invalidation action which started in the UK Tribunal but was also later appealed to the High Court. The case is a useful reminder regarding the territorial scope of co-existence agreements. In Lifestyle Equities CV v. Royal County of Berkshire Polo Club Limited, the English High Court was being asked to determine infringement claims spanning a number of jurisdictions. Lidl v. Tesco involved numerous issues, and the authors note that both sides have filed applications for permission to appeal. This would be useful to shed further light on intention to use marks in the context of bad faith. easyGroup v. Nuclei highlights instances where an absence of evidence of actual confusion will play a pertinent role in determining whether a likelihood of confusion exists. Finally, in Industrial Cleaning Equipment v. Intelligent Cleaning Equipment, departing again from the current EU position, the courts in the UK provide clarity on the knowledge requirement for statutory acquiescence.</t>
  </si>
  <si>
    <t>[Cramp, Hannah; Swana, Kasongo; Zhou, Yana] Stobbs, Cambridge, England</t>
  </si>
  <si>
    <t>Zhou, YN (corresponding author), Stobbs, Cambridge, England.</t>
  </si>
  <si>
    <t>yana.zhou@iamstobbs.com</t>
  </si>
  <si>
    <t>0018-9855</t>
  </si>
  <si>
    <t>2195-0237</t>
  </si>
  <si>
    <t>IIC-INT REV INTELL P</t>
  </si>
  <si>
    <t>Int. Rev. Intellect. Prop. Compet. Law</t>
  </si>
  <si>
    <t>10.1007/s40319-024-01453-9</t>
  </si>
  <si>
    <t>MX8E1</t>
  </si>
  <si>
    <t>WOS:001194849400001</t>
  </si>
  <si>
    <t>Lewis, A</t>
  </si>
  <si>
    <t>Lewis, Angela</t>
  </si>
  <si>
    <t>Public diplomacy through development assistance: China's 10,000 Villages Project across Africa</t>
  </si>
  <si>
    <t>PLACE BRANDING AND PUBLIC DIPLOMACY</t>
  </si>
  <si>
    <t>China; Africa; StarTimes; Development; Television; Framing</t>
  </si>
  <si>
    <t>MEDIA; COMMUNICATION; SOUTH; POWER</t>
  </si>
  <si>
    <t>In 2016, the rural setting of Saina village, Kajiado county in Kenya became the pilot testing ground for China's project to provide access to television to underserved African communities (China Daily 2016). This initiative was later renamed the Access to Satellite Television 10,000 Villages Project, an infrastructure programme to enable populations outside metropolitan areas to receive television. As the contractor was a pay-TV company and this coincided with Kenya's digital migration transition, not only were more channels available, so was improved reception. This China led provision upgrade offered public diplomacy potential, both through the project execution and Chinese television content access, as digital migration provided CGTN as a free channel. Academic focus on the nonstate contribution to China's development projects under public-private partnership (PPP) arrangements has been inadequate, especially given the momentous ambition of the Belt and Road Initiative (BRI), involving scores of Chinese companies and hundreds of projects. In particular, there has also been little focus on this development assistance project despite the involvement of 20 African countries. Using framing analysis of StarTimes news coverage, this research examines how news about the project was constructed over five years, from 2015 to 2019. Results revealed that stories regarding the 10,000 Villages Project and China were minimal. This could mean that, similar to nonstate actors in developed countries, StarTimes prefers an image that downplays government connections. The low profile could also have been to shield this nonstate actor from the type of negative perceptions of company and country ties which have defined TikTok and Huawei in English language media. Whatever the reason, the result has been reduced public diplomacy benefits.</t>
  </si>
  <si>
    <t>[Lewis, Angela] Xian Jiaotong Liverpool Univ, Suzhou 215000, Peoples R China</t>
  </si>
  <si>
    <t>Xi'an Jiaotong-Liverpool University</t>
  </si>
  <si>
    <t>Lewis, A (corresponding author), Xian Jiaotong Liverpool Univ, Suzhou 215000, Peoples R China.</t>
  </si>
  <si>
    <t>anqier99@yahoo.com</t>
  </si>
  <si>
    <t>1751-8040</t>
  </si>
  <si>
    <t>1751-8059</t>
  </si>
  <si>
    <t>PLACE BRANDING PUBLI</t>
  </si>
  <si>
    <t>Place Branding Public Dipl.</t>
  </si>
  <si>
    <t>10.1057/s41254-023-00318-1</t>
  </si>
  <si>
    <t>D3N8B</t>
  </si>
  <si>
    <t>WOS:001143953100001</t>
  </si>
  <si>
    <t>Residents and the place branding process: socio-spatial construction of a locked-down city's brand identity</t>
  </si>
  <si>
    <t>JOURNAL OF PLACE MANAGEMENT AND DEVELOPMENT</t>
  </si>
  <si>
    <t>Place branding process; Place brand identity; Participatory place branding; Resident; City; Crisis; Transformation; COVID-19; Lockdown; Social media; Video; Douyin; TikTok</t>
  </si>
  <si>
    <t>CO-CREATION; CONSUMER; TRANSFORMATION; PERSPECTIVES; DYNAMICS; REGION; SENSE</t>
  </si>
  <si>
    <t>PurposeBuilding on Kavaratzis and Hatch's (2013) identity-based place branding model, this paper aims to explore the spatial and social dimensions of the place brand identity formation process and how residents used social media to participate in the process of shaping a city brand during a crisis. Design/methodology/approachAdopting an interpretive and social constructionist approach, this study analyses a sample of 187 short videos created and posted by Wuhan residents on the social media app Douyin during a COVID-19 lockdown. The authors read the videos as cultural texts and analysed underlying social processes in the construction of place brand identity by residents. FindingsThis study develops an adapted conceptual model of place identity formation unfolding in four sub-processes: expressing, impressing, mirroring and reflecting, and each sub-process subsumes two dimensions: the social and the spatial. In addition, this study empirically describes how residents participated in place branding processes in two ways, namely, their construction of city brand identity via communicative practice and their exertion of changes to a city brand during a crisis. The model reveals how place brands emerge and can be transformed. Originality/valueThis paper amplifies Kavaratzis and Hatch's (2013) identity-based place branding model by testing it in an empirical study and highlighting the social and spatial dimensions. This paper contributes to research about participatory place branding by exploring how residents participated in the place branding process. This study analysed short videos on social media, a new communication format, rather than textual narratives dominating past studies.</t>
  </si>
  <si>
    <t>[Feng, Songming] Beijing Normal Univ, Hong Kong Baptist Univ,United Int Coll UIC, Fac Humanities &amp; Social Sci, Dept Commun, Zhuhai, Peoples R China; [Feng, Songming; Berndt, Adele; Ots, Mart] Jonkoping Univ, Media Managementand Transformat Ctr MMTC, Jonkoping Int Business Sch, Jonkoping, Sweden; [Berndt, Adele] Univ Pretoria, Gordon Inst Business Sci, Johannesburg, South Africa</t>
  </si>
  <si>
    <t>Hong Kong Baptist University; Beijing Normal University; Jonkoping University; University of Pretoria</t>
  </si>
  <si>
    <t>Feng, SM (corresponding author), Beijing Normal Univ, Hong Kong Baptist Univ,United Int Coll UIC, Fac Humanities &amp; Social Sci, Dept Commun, Zhuhai, Peoples R China.;Feng, SM (corresponding author), Jonkoping Univ, Media Managementand Transformat Ctr MMTC, Jonkoping Int Business Sch, Jonkoping, Sweden.</t>
  </si>
  <si>
    <t>songmingfeng@uic.edu.cn; adele.berndt@ju.se; Mart.Ots@ju.se</t>
  </si>
  <si>
    <t>Ots, Mart/0000-0002-0301-9765; Feng, Songming/0000-0002-4645-2200; Berndt, Adele/0000-0002-6633-632X</t>
  </si>
  <si>
    <t>1753-8335</t>
  </si>
  <si>
    <t>1753-8343</t>
  </si>
  <si>
    <t>J PLACE MANAG DEV</t>
  </si>
  <si>
    <t>J. Place Manag. Dev.</t>
  </si>
  <si>
    <t>JUL 18</t>
  </si>
  <si>
    <t>10.1108/JPMD-02-2022-0018</t>
  </si>
  <si>
    <t>M0PQ3</t>
  </si>
  <si>
    <t>WOS:001025925300001</t>
  </si>
  <si>
    <t>Gupta, AK; Hall, DC</t>
  </si>
  <si>
    <t>Gupta, Aditya K.; Hall, Deanna C.</t>
  </si>
  <si>
    <t>Hair loss treatment and restoration: Online interest trends and video-based social media content</t>
  </si>
  <si>
    <t>hair loss; hair loss treatment; hair transplant; online trends; social</t>
  </si>
  <si>
    <t>Background: Public interest in hair loss topics and treatments can be observed by examining online trends, such as those monitored by Google Trends. Social media has also gained the interest of the dermatology community. Video-based social media sites are being used to provide the public with informational content related to hair loss and treatments, but it may not always be unbiased or reliable. Aims: This research examined the interest in hair loss and treatment related trends in recent years through Google Trends, as well as examined what videos from YouTube and TikTok that the average person may encounter when performing searches related to hair loss and treatments. Results: Google Trends showed that the COVID-19 pandemic had an initial negative impact on interests of hair loss and treatment related topics, both worldwide and in the United States. External events, such as a celebrity receiving a hair transplant, can influence the interests of the general public with the topic. The social media sites showed that there was a high level of interest in the topics, approximately 25% of videos involved a medical professional, and many involved personal experiences or natural remedies. Conclusions: Interest in hair loss and treatments continues to grow. Clinicians should do their best to follow the current public interests and be aware of where patients may be obtaining information. Being aware of general interest trends online can benefit clinicians by allowing them to prepare their clinics for potential influxes.</t>
  </si>
  <si>
    <t>[Gupta, Aditya K.; Hall, Deanna C.] Mediprobe Res Inc, 645 Windermere Road, London, ON N5X 2P1, Canada; [Gupta, Aditya K.] Univ Toronto, Sch Med, Div Dermatol, Dept Med, Toronto, ON, Canada</t>
  </si>
  <si>
    <t>Mediprobe Research Inc.; University of Toronto</t>
  </si>
  <si>
    <t>Gupta, AK (corresponding author), Mediprobe Res Inc, 645 Windermere Road, London, ON N5X 2P1, Canada.</t>
  </si>
  <si>
    <t>Gupta, Aditya K./0000-0002-8664-7723; Hall, Deanna C./0000-0001-9352-3326</t>
  </si>
  <si>
    <t>10.1111/jocd.15194</t>
  </si>
  <si>
    <t>7H5RS</t>
  </si>
  <si>
    <t>WOS:000827104900001</t>
  </si>
  <si>
    <t>Cai, YJ; Wu, YB; Xue, WL</t>
  </si>
  <si>
    <t>Cai, Yajun; Wu, Yibin; Xue, Weili</t>
  </si>
  <si>
    <t>Social media retailing in the creator economy</t>
  </si>
  <si>
    <t>OMEGA-INTERNATIONAL JOURNAL OF MANAGEMENT SCIENCE</t>
  </si>
  <si>
    <t>Creator economy; Platform retailing; Content creation; Incentive strategy</t>
  </si>
  <si>
    <t>ONLINE; STRATEGIES; BEHAVIOR</t>
  </si>
  <si>
    <t>Social media retailing (SMR) platform becomes popular nowadays. It is characterized by creative combination of content creation and product selling, which differs from traditional e-tailing (TE) with product selling alone. Motivated by the real-world practices like social media platforms TikTok and douyin.com, we endeavor to study if the SMR model performs better than the TE model in a monopoly setting. By building a stylized economic model, we find that the SMR model does not always outperform the TE model. Specifically, when the SMR platform collects less commission from the seller than the TE platform, the seller, consumers, and the social welfare all benefit more from the SMR model, while the platform benefits more from the SMR model if and only if the creator's social influence is high enough or the cost of content creation is small enough. For the incentive structure of the content rewards in the SMR model, we find that a strong incentive mechanism (e.g., the quadratic form) is more powerful than a weak one (e.g., the linear form). The previous one will encourage the creator to choose a much higher quality level of content creation and meanwhile allow the platform, consumers, and social welfare to become better off. Counterintuitively, providing more generous content rewards is not always helpful for the creator (seller) and it may reduce her profit. Our findings will guide the platform to effectively design incentive mechanisms to boost the content creation and retailing in the SMR model and help the influencers efficiently create contents, engage their followers (fans), and price their products sold on the SMR platform.</t>
  </si>
  <si>
    <t>[Cai, Yajun; Wu, Yibin; Xue, Weili] Southeast Univ, Sch Econ &amp; Management, Nanjing 210093, Peoples R China</t>
  </si>
  <si>
    <t>Xue, WL (corresponding author), Southeast Univ, Sch Econ &amp; Management, Nanjing 210093, Peoples R China.</t>
  </si>
  <si>
    <t>wlxue1981@gmail.com</t>
  </si>
  <si>
    <t>Cai, Julianne/0000-0002-2890-5595</t>
  </si>
  <si>
    <t>Southeast Uni-versity [:1114007007, 3214002309A2]; National Nature Science Foundation of China [72231002, 72171045]</t>
  </si>
  <si>
    <t>Southeast Uni-versity; National Nature Science Foundation of China(National Natural Science Foundation of China (NSFC))</t>
  </si>
  <si>
    <t>We sincerely thank the editors and reviewers for their critical and important comments on the paper, which help improve the paper significantly. Yajun Cai's work was supported by the Southeast Uni-versity [Grant Numbers:1114007007, 3214002309A2] , and Weili Xue's work is supported by National Nature Science Foundation of China [Grant Numbers: 72231002, 72171045] .</t>
  </si>
  <si>
    <t>0305-0483</t>
  </si>
  <si>
    <t>1873-5274</t>
  </si>
  <si>
    <t>OMEGA-INT J MANAGE S</t>
  </si>
  <si>
    <t>Omega-Int. J. Manage. Sci.</t>
  </si>
  <si>
    <t>10.1016/j.omega.2023.103014</t>
  </si>
  <si>
    <t>EJ6H8</t>
  </si>
  <si>
    <t>WOS:001138592500001</t>
  </si>
  <si>
    <t>Ramsey-Soroghaye, B; Onalu, C; Anyaegbu, P</t>
  </si>
  <si>
    <t>Ramsey-Soroghaye, Blessing; Onalu, Chinyere; Anyaegbu, Precious</t>
  </si>
  <si>
    <t>Perceived Impact of Cancel Culture and the Mental Health Challenges Associated With the Aftermath: A Discourse for Social Workers in Nigeria</t>
  </si>
  <si>
    <t>JOURNAL OF SOCIAL SERVICE RESEARCH</t>
  </si>
  <si>
    <t>Cancel culture; social service research; mental challenges; social workers; Nigeria</t>
  </si>
  <si>
    <t>Historically, cancel culture has always existed the only variation is in its manifestation. Canceling an individual, group, or organization denotes to boycotting and publicly shaming them in response to a perceived or actual transgression, most often involving political viewpoints or social justice issues. The aim of this phenomenology qualitative research study was to investigate how cancel culture on social media sites leads to associated mental challenges. The study conducted In-depth interviews with 25 participants who were purposively selected graduates of University of Nigeria, Nsukka; and the data gotten was thematically analyzed. Findings show that social media sites have significantly contributed to cancel culture and the most indicated social media sites identified in this study were Facebook, Instagram, Twitter and most recently TikTok. Participants also noted that cancel culture has positive impacts but when taken to the extreme it negatively impacts the canceled and to a large extent their family leading to mental health issues such as isolation, loneliness, depression, anxiety, low self-esteem, and mental health problems. The study recommends that social workers who are part of social service providers should encourage zero tolerance against cancel culture. In conclusion, punitive measures and bans should also be issued to anyone promoting or instigating this act as its negative impact is more severe than its positive impact. Future research may use a quantitative research design to have a general view of the factors promoting cancel culture and the best methods in controlling canceling, this will create room for better social services and an advancement in social service research.</t>
  </si>
  <si>
    <t>[Ramsey-Soroghaye, Blessing] Univ Port Harcourt, Dept Social Work, Choba, Nigeria; [Onalu, Chinyere; Anyaegbu, Precious] Univ Nigeria, Dept Social Work, Nsukka, Nigeria</t>
  </si>
  <si>
    <t>University of Port Harcourt; University of Nigeria</t>
  </si>
  <si>
    <t>Onalu, C (corresponding author), Univ Nigeria, Dept Social Work, Nsukka, Nigeria.</t>
  </si>
  <si>
    <t>chinyere.onalu@unn.edu.ng</t>
  </si>
  <si>
    <t>0148-8376</t>
  </si>
  <si>
    <t>1540-7314</t>
  </si>
  <si>
    <t>J SOC SERV RES</t>
  </si>
  <si>
    <t>J. Soc. Serv. Res.</t>
  </si>
  <si>
    <t>SEP 3</t>
  </si>
  <si>
    <t>10.1080/01488376.2023.2254804</t>
  </si>
  <si>
    <t>S6PL3</t>
  </si>
  <si>
    <t>WOS:001058836700001</t>
  </si>
  <si>
    <t>Livraga, G; Motta, A; Viviani, M</t>
  </si>
  <si>
    <t>Livraga, Giovanni; Motta, Alessandro; Viviani, Marco</t>
  </si>
  <si>
    <t>Assessing User Privacy on Social Media: The Twitter Case Study</t>
  </si>
  <si>
    <t>PROCEEDINGS OF THE 2022 WORKSHOP ON OPEN CHALLENGES IN ONLINE SOCIAL NETWORKS, OASIS 2022/33RD ACM CONFERENCE ON HYPERTEXT AND SOCIAL MEDIA, HT 2022</t>
  </si>
  <si>
    <t>Workshop on Open Challenges in Online Social Networks (OASIS)</t>
  </si>
  <si>
    <t>JUN 28, 2022</t>
  </si>
  <si>
    <t>Privacy; Confidentiality; Vector Space Model; Social Media</t>
  </si>
  <si>
    <t>DISCLOSURE</t>
  </si>
  <si>
    <t>At the time of writing, nearly four billion people worldwide employ social media platforms such as Facebook, Instagram, WeChat, TikTok, etc. to share content of various kinds, which may also include personal data. In addition to this, users interact with members of the virtual community, leaving behind important behavioral traces. In most cases, people do not have a full understanding of who will be able to access and use such a body of information, and for what purposes. Although social platforms provide users with some tools to protect their privacy, the very nature of these technologies and the psychological characteristics of users often lead them to ignore such solutions. To address this issue, in this paper we aim to propose a model for assessing the privacy of users on social media by identifying the critical aspects associated with their content and interactions generated on such platforms. This model, in particular, considers distinct features, of different kinds, that capture the level of users' exposure with respect to privacy. These features, dropped into a vector space, are used to derive a score that expresses, in a measurable way, the privacy risk of users compared to the information available on social media about them. The proposed model is instantiated and tested on data collected from the microblogging platform Twitter, on which the results of the experimental evaluation are analyzed. Specifically, the model is tested by considering both a binary scenario, i.e., where users' privacy is evaluated as at risk or not, a multi-class scenario, i.e., where their privacy is evaluated against different risk ranges, and a ranking scenario, i.e., where the users are ranked according to their privacy assessment.</t>
  </si>
  <si>
    <t>[Livraga, Giovanni] Univ Milan, Milan, Italy; [Motta, Alessandro; Viviani, Marco] Univ Milano Bicocca, Milan, Italy</t>
  </si>
  <si>
    <t>University of Milan; University of Milano-Bicocca</t>
  </si>
  <si>
    <t>Livraga, G (corresponding author), Univ Milan, Milan, Italy.</t>
  </si>
  <si>
    <t>giovanni.livraga@unimi.it; marco.viviani@unimib.it</t>
  </si>
  <si>
    <t>EC within the H2020 Program; Italian Ministry of Research within the PRIN program</t>
  </si>
  <si>
    <t>This work was supported in part by the EC within the H2020 Program under project MARSAL, and by the Italian Ministry of Research within the PRIN program under project HOPE.</t>
  </si>
  <si>
    <t>978-1-4503-9279-2</t>
  </si>
  <si>
    <t>10.1145/3524010.3539502</t>
  </si>
  <si>
    <t>BW2OF</t>
  </si>
  <si>
    <t>WOS:001122675400001</t>
  </si>
  <si>
    <t>Hight, MO; Nguyen, NQ; Su, TA</t>
  </si>
  <si>
    <t>Hight, Matthew O.; Nguyen, Nhien Q.; Su, Timothy A.</t>
  </si>
  <si>
    <t>Chemical Anthropomorphism: Acting Out General Chemistry Concepts in Social Media Videos Facilitates Student-Centered Learning and Public Engagement</t>
  </si>
  <si>
    <t>First-Year Undergraduate/General; High School/Introductory Chemistry; General Public; Public Understanding/Outreach; Collaborative/Cooperative Learning; Communication; Distance Learning; Internet/Web-Based Learning; Multimedia-Based Learning; Student-Centered Learning</t>
  </si>
  <si>
    <t>PLATFORM; YOUTUBE; CONTEXTUALIZATION</t>
  </si>
  <si>
    <t>This article describes the educational and public engagement outcomes of an activity called the ChemClout Challenge that was implemented in a general chemistry course at UC Riverside. Students worked in groups to make chemistry-themed videos, posted them to social media platforms, then voted on their favorite videos. The majority of students elected to make videos where they anthropomorphized general chemistry concepts, physically acting out principles such as ideal gas law relationships and electrolyte solubility. Students reported enjoying these anthropomorphized videos most. These types of videos received over one million views worldwide within the first month of posting on the social media platform, TikTok. After the course was over, 75 students completed voluntary Likert scale surveys to assess the educational and outreach impact of the ChemClout Challenge. Eighty-eight percent of students reported that the activity made chemistry more relatable, whereas 76% of students noted that the activity helped them retain course concepts two months after the course was completed, indicating the activity benefitted student learning. Moreover, 84% of students reported that their friends and family members outside of UC Riverside watched the videos, with 72% of students reporting that they explained the chemical concepts of their videos to their friends. These studies indicate that student-created social media videos that anthropomorphize chemistry are highly effective vectors for student-centered learning and public engagement in chemical concepts. This activity may find particular utility for educators during the COVID-19 pandemic, as it is compatible with distance learning.</t>
  </si>
  <si>
    <t>[Hight, Matthew O.; Nguyen, Nhien Q.; Su, Timothy A.] Univ Calif Riverside, Dept Chem, Riverside, CA 92507 USA</t>
  </si>
  <si>
    <t>University of California System; University of California Riverside</t>
  </si>
  <si>
    <t>Su, TA (corresponding author), Univ Calif Riverside, Dept Chem, Riverside, CA 92507 USA.</t>
  </si>
  <si>
    <t>timothys@ucr.edu</t>
  </si>
  <si>
    <t>Su, Timothy/I-4022-2016</t>
  </si>
  <si>
    <t>Su, Timothy/0000-0001-5934-3292; Hight, Matthew/0000-0003-1482-8768</t>
  </si>
  <si>
    <t>APR 13</t>
  </si>
  <si>
    <t>10.1021/acs.jchemed.0c01139</t>
  </si>
  <si>
    <t>RO2QP</t>
  </si>
  <si>
    <t>WOS:000640890900024</t>
  </si>
  <si>
    <t>Ni, YP; Fabbri, M; Zhang, C; Stewart, KA</t>
  </si>
  <si>
    <t>Ni, Yanping; Fabbri, Morris; Zhang, Chi; Stewart, Kearsley A.</t>
  </si>
  <si>
    <t>Reciprocity in Quarantine: Observations from Wuhan's COVID-19 Digital Landscapes</t>
  </si>
  <si>
    <t>ASIAN BIOETHICS REVIEW</t>
  </si>
  <si>
    <t>COVID-19; SARS-CoV-2; Quarantine; Reciprocity; Wuhan; China; Social media; Mutual aid; Douyin; TikTok</t>
  </si>
  <si>
    <t>SOLIDARITY</t>
  </si>
  <si>
    <t>The 2003 SARS pandemic heralded the return of quarantine as a vital part of twenty-first century public health practice. Over the last two decades, MERS, Ebola, and other emerging infectious diseases each posed unique challenges for applying quarantine ethics lessons learned from the 2003 SARS-CoV-1 outbreak. In an increasingly interdependent and connected global world, the use of quarantine to contain the spread of SARS-CoV-2, or COVID-19, similarly poses new and unexpected ethical challenges. In this essay, we look beyond standard debates about the ethics of quarantine and state power to explore a key quarantine principle, Reciprocity, and how it is being negotiated by healthcare workers, volunteers, and citizens in the context of the Wuhan, China, quarantine. We analyze Reciprocity through the lens of two Wuhan case studies: (1) healthcare workers, particularly nurses, who are simultaneously essential workers and quarantined citizens, asked by their hospital administration to shave their heads because adequate PPE was not available, and (2) citizen-to-citizen mutual aid societies attempting to fill gaps in essential supplies left unfilled by the state. We analyze social media and video-blogs from Wuhan, on the platforms of Douyin and Sina Weibo, to understand how people define and respond to ethical and legal obligations in the wake of COVID-19. It is no surprise that quarantine principles from the 2003 SARS outbreak are inadequate for COVID-19 and that both infectious disease outbreak responses and ethics must adapt to the virtual age. We offer ideas to strengthen and clarify Reciprocal obligations for the state, hospital administrators, and citizens as the globe prepares for the next wave of COVID-19 circulating now.</t>
  </si>
  <si>
    <t>[Ni, Yanping] Duke Univ, Asian Pacific Studies Inst, Durham, NC USA; [Fabbri, Morris] Duke Univ, Sci &amp; Soc, Durham, NC USA; [Zhang, Chi] Duke Univ, Duke Global Hlth Inst, Durham, NC USA; [Stewart, Kearsley A.] Duke Univ, Duke Global Hlth Inst, Global Hlth &amp; Cultural Anthropol, Durham, NC 27708 USA</t>
  </si>
  <si>
    <t>Duke University; Duke University; Duke University; Duke University</t>
  </si>
  <si>
    <t>Stewart, KA (corresponding author), Duke Univ, Duke Global Hlth Inst, Global Hlth &amp; Cultural Anthropol, Durham, NC 27708 USA.</t>
  </si>
  <si>
    <t>k.stewart@duke.edu</t>
  </si>
  <si>
    <t>Ni, Yanping/0000-0001-9110-0047; Fabbri, Morris/0000-0001-7390-4631</t>
  </si>
  <si>
    <t>1793-8759</t>
  </si>
  <si>
    <t>1793-9453</t>
  </si>
  <si>
    <t>ASIAN BIOETHICS REV</t>
  </si>
  <si>
    <t>Asian Bioeth. Rev.</t>
  </si>
  <si>
    <t>10.1007/s41649-020-00150-2</t>
  </si>
  <si>
    <t>Ethics; Medical Ethics</t>
  </si>
  <si>
    <t>Social Sciences - Other Topics; Medical Ethics</t>
  </si>
  <si>
    <t>OV1PT</t>
  </si>
  <si>
    <t>WOS:000591136600001</t>
  </si>
  <si>
    <t>Han, Y; Yang, F</t>
  </si>
  <si>
    <t>Han, Yang; Yang, Feng</t>
  </si>
  <si>
    <t>Will Using Social Media Benefit or Harm Users' Self-Esteem? It Depends on Perceived Relational-Closeness</t>
  </si>
  <si>
    <t>social media; self-esteem; social comparison; social support; perceived relational-closeness; mental health</t>
  </si>
  <si>
    <t>FACEBOOK FRIENDS; AFFECTIVE CONSEQUENCES; MODERATING ROLE; SUPPORT; IMPACT; CULTURE; STRESS; SITES; SCALE</t>
  </si>
  <si>
    <t>Prior research concerning social media use and self-esteem showed inconsistent findings. In the current research, two studies were conducted to examine the moderating role of perceived relational-closeness between social media use and self-esteem, and the underlying mediating mechanisms. In Study 1 (a quasi-experimental study), by assigning participants to the weak (reporting TikTok use intensity) or strong (reporting WeChat use intensity) relational-closeness condition, we found that using social media with weak relational-closeness harmed users' self-esteem, while using social media with strong relational-closeness benefited users' self-esteem. Moreover, participants in the strong relational-closeness condition reported higher social support perception and self-esteem than those in the weak relational-closeness condition. Further analyses showed that upward social comparison mediated the relationship between social media use and self-esteem in the weak relational-closeness; in the strong relational-closeness condition, upward social comparison and perceived social support both mediated the relationship between social media use and self-esteem, but perceived social support played a dominant role in the mediating effects. In Study 2 (an experimental study), we presented the same examination experiences-sharing for all participants. We found that, even exposed to the same stimuli, participants in the strong relational-closeness condition (declaring that the experiences-sharing was extracted from QQ) still reported higher social support perception and self-esteem than those participants in the weak relational-closeness condition (declaring that the experiences-sharing was extracted from Bilibili). The current research provided a possible explanation to reconcile previously inconsistent findings about social media use and self-esteem.</t>
  </si>
  <si>
    <t>[Han, Yang] Beijing Sport Univ, Psychol Dept, Beijing, Peoples R China; [Yang, Feng] Taishan Univ, Teacher Educ Dept, Taishan, Peoples R China; [Yang, Feng] Taishan Univ, Teacher Educ Dept, 525 Dongyue St, Tai An 271000, Shandong, Peoples R China</t>
  </si>
  <si>
    <t>Beijing Sport University; Taishan University; Taishan University</t>
  </si>
  <si>
    <t>Yang, F (corresponding author), Taishan Univ, Teacher Educ Dept, 525 Dongyue St, Tai An 271000, Shandong, Peoples R China.</t>
  </si>
  <si>
    <t>sdnuyangfeng@hotmail.com</t>
  </si>
  <si>
    <t>Yang, Feng/0000-0002-9632-9163</t>
  </si>
  <si>
    <t>The authors express sincere thanks to reviewers for their constructive suggestions.</t>
  </si>
  <si>
    <t>10.1177/20563051231203680</t>
  </si>
  <si>
    <t>U5TG5</t>
  </si>
  <si>
    <t>WOS:001085420900001</t>
  </si>
  <si>
    <t>Akhmedova, A; Sutcliffe, J; Greenhow, C; Fisher, MH; Sung, CN</t>
  </si>
  <si>
    <t>Akhmedova, Aisel; Sutcliffe, Jennifer; Greenhow, Christine; Fisher, Marisa H.; Sung, Connie</t>
  </si>
  <si>
    <t>Social media use among neurodivergent college students: benefits, harms and implications for education</t>
  </si>
  <si>
    <t>Social media; Neurodivergent college students; Psychological well-being; Education; Benefits; Harms</t>
  </si>
  <si>
    <t>AUTISM SPECTRUM; NETWORK SITES; ONLINE; DISABILITIES; DISCLOSURE; FACEBOOK; FRIENDS; COMMUNICATION; LONELINESS; ANXIETY</t>
  </si>
  <si>
    <t>PurposeSocial media have been associated with social benefits and enhanced psychological well-being among non-disabled individuals; the purpose of this study is to examine whether social media may have similar benefits for young neurodivergent adults with autism, anxiety, or attention-deficit and hyperactivity disorder who may experience communication differences. To the best of the authors' knowledge, this first-of-its kind study explores the nature of social media use and related psychological well-being among neurodivergent college undergraduates.Design/methodology/approachThis qualitative study is part of a larger effort. The authors surveyed undergraduates with and without disabilities at U.S. higher education institutions on their social media use and psychological well-being. A total of 131 students responded, including 24 neurodivergent individuals, the results of which are reported elsewhere. Participants were 18-25 years old, of varied genders and racial/ethnic backgrounds; for neurodivergent adults, questions focused on social challenges. From the survey, a sample of five neurodivergent individuals was drawn for this small-scale, exploratory interview study.FindingsThis paper reports descriptive statistics from survey results to contextualize analysis of students' social media use (e.g. purposes, practices, benefits and harms). Students used mainly Instagram, TikTok and YouTube to promote well-being primarily through engaging positive relationships and positive emotions. Students reported several benefits of using social media to develop their disability identity and few harms.Originality/valueUnderstanding the impact of social media use on undergraduates with disabilities could help us not only improve services as teachers, counselors and other helping professionals who support young adults to leverage their everyday technologies-in-use but also address digital equity issues.</t>
  </si>
  <si>
    <t>[Akhmedova, Aisel; Sutcliffe, Jennifer; Greenhow, Christine; Fisher, Marisa H.; Sung, Connie] Michigan State Univ, Coll Educ, E Lansing, MI 48824 USA; [Sutcliffe, Jennifer] Michigan State Univ, Coll Educ, Educ Psychol &amp; Educ Technol Hybrid Program, E Lansing, MI USA; [Greenhow, Christine] Michigan State Univ, Educ Psychol &amp; Educ Technol, E Lansing, MI 48824 USA; [Fisher, Marisa H.; Sung, Connie] Michigan State Univ, Ctr Serv, Training &amp; Res Independence &amp; Desired Employment S, E Lansing, MI USA; [Fisher, Marisa H.; Sung, Connie] Michigan State Univ, Dept Counseling Educ Psychol &amp; Special Educ, E Lansing, MI USA</t>
  </si>
  <si>
    <t>Michigan State University; Michigan State University; Michigan State University; Michigan State University; Michigan State University</t>
  </si>
  <si>
    <t>Greenhow, C (corresponding author), Michigan State Univ, Coll Educ, E Lansing, MI 48824 USA.;Greenhow, C (corresponding author), Michigan State Univ, Educ Psychol &amp; Educ Technol, E Lansing, MI 48824 USA.</t>
  </si>
  <si>
    <t>greenhow@msu.edu</t>
  </si>
  <si>
    <t>10.1108/ILS-01-2024-0005</t>
  </si>
  <si>
    <t>WOS:001273628500001</t>
  </si>
  <si>
    <t>Tirocchi, S</t>
  </si>
  <si>
    <t>Tirocchi, Simona</t>
  </si>
  <si>
    <t>Generation Z, values, and media: from influencers to BeReal, between visibility and authenticity</t>
  </si>
  <si>
    <t>FRONTIERS IN SOCIOLOGY</t>
  </si>
  <si>
    <t>Generation Z; values; BeReal; influencers; digital literacy</t>
  </si>
  <si>
    <t>RETHINKING; EDUCATION</t>
  </si>
  <si>
    <t>This study examines the connection between values perceived as important by Generation Z and the values conveyed by the media contents chosen and consumed by young individuals. The article's main objective is to identify the values that a sample of Italian university students, aged between 20 and 23, consider most significant. It explores their perceptions and expectations regarding contemporary society and the ethical trends therein. Furthermore, it investigates their preferred media and the values they believe these media platforms convey, trying to investigate the relationship between values and favorite media. Media and digital platforms, indeed, play an increasingly vital role in shaping and disseminating values. YouTubers, influencers, or, in a broader context, content on social media platforms (such as Instagram, TikTok, as well as entertainment platforms like Netflix) demonstrate how the new mediators of communication and the forms of media content favored by young individuals are, more evidently than ever, intertwined with the sharing of values, norms, and social expectations, much like family and school once were. One example that emerged from the research concerned the success of the Bereal platform, linked on the one hand to the desire to make public and share one's self-image, and on the other hand to the need to show oneself as authentic. Through the conduct of five focus groups in December 2022 involving 60 university students from the University of Turin, this research reveals a substantial continuity in the values considered most important by young individuals (compared to previous national surveys). The article also demonstrates how the values conveyed by the media favored by young people do not always correspond to traditional ones and express needs that, at times, the new digital platforms and their protagonists manage to intercept.</t>
  </si>
  <si>
    <t>[Tirocchi, Simona] Univ Turin, Turin, Italy</t>
  </si>
  <si>
    <t>Tirocchi, S (corresponding author), Univ Turin, Turin, Italy.</t>
  </si>
  <si>
    <t>2297-7775</t>
  </si>
  <si>
    <t>FRONT SOCIOL</t>
  </si>
  <si>
    <t>Front. Sociol.</t>
  </si>
  <si>
    <t>JAN 10</t>
  </si>
  <si>
    <t>10.3389/fsoc.2023.1304093</t>
  </si>
  <si>
    <t>FP8S7</t>
  </si>
  <si>
    <t>WOS:001147148800001</t>
  </si>
  <si>
    <t>Li, H; Tu, XX</t>
  </si>
  <si>
    <t>Li, Hui; Tu, Xinxin</t>
  </si>
  <si>
    <t>Who generates your video ads? The matching effect of short-form video sources and destination types on visit intention</t>
  </si>
  <si>
    <t>Destination type; Matching effect; Short-form video; User engagement; Visit intention</t>
  </si>
  <si>
    <t>CONSTRUAL-LEVEL THEORY; SPATIAL DISTANCE; CREDIBILITY; INFORMATION; REPRESENTATION; DETERMINANTS; ACCEPTANCE; ENGAGEMENT</t>
  </si>
  <si>
    <t>PurposeShort-form videos have gradually become important marketing tools for tourist destinations. However, chaotic sources and homogenized content have led to poor user experiences. Taking Kulangsu and Xi'an City Wall in China as examples, this study explored the influence of matching short-form video sources with destination types on user engagement and visit intention.Design/methodology/approachThis study selected three short-form videos from different sources for each destination on TikTok and conducted an empirical research using a 3 x 2 experimental design to examine the proposed research model.FindingsThe results showed that the matching effect between short-form video sources and destination types will positively affect user engagement and visit intention. (1) the short-form videos with user-generated content (UGC) or professional user-generated content (PUGC) in hedonic destinations can obtain higher user engagement and visit intention; (2) the short-form videos with professionally generated content (PGC) or PUGC in utilitarian destinations can obtain higher user engagement and visit intention and (3) perceived credibility and perceived usefulness played mediating roles in these interactions.Originality/valueThis study considers short-form video sources as antecedent variables influencing user engagement and visit intention and confirms the matching effect between short-form video sources and tourism destination types. The findings will help researchers and marketers better understand the impact of short-form video on destination marketing.</t>
  </si>
  <si>
    <t>[Li, Hui; Tu, Xinxin] Tianjin Univ Technol, Sch Management, Tianjin, Peoples R China</t>
  </si>
  <si>
    <t>Tianjin University of Technology</t>
  </si>
  <si>
    <t>Li, H (corresponding author), Tianjin Univ Technol, Sch Management, Tianjin, Peoples R China.</t>
  </si>
  <si>
    <t>lihuimarketing@163.com</t>
  </si>
  <si>
    <t>Humanities and Social Science Fund of Ministry of Education of China [22YJAZH045]</t>
  </si>
  <si>
    <t>Humanities and Social Science Fund of Ministry of Education of China(Ministry of Education, China)</t>
  </si>
  <si>
    <t>This work was supported by the Humanities and Social Science Fund of Ministry of Education of China under Grant No. 22YJAZH045. The authors are grateful to the anonymous reviewers and the editors for their comments that significantly improved the study.</t>
  </si>
  <si>
    <t>10.1108/APJML-04-2023-0300</t>
  </si>
  <si>
    <t>KI8N0</t>
  </si>
  <si>
    <t>WOS:001068175400001</t>
  </si>
  <si>
    <t>Yuan, K; Kong, ZS; Zheng, CC; Sun, M; Wen, X</t>
  </si>
  <si>
    <t>Yuan, Kun; Kong, Zishang; Zheng, Chuanchuan; Sun, Ming; Wen, Xing</t>
  </si>
  <si>
    <t>Capturing Co-existing Distortions in User-Generated Content for No-reference Video Quality Assessment</t>
  </si>
  <si>
    <t>video quality assessment; user-generated content; spatiotemporal information; distortions; video Transformer; sparse sampling</t>
  </si>
  <si>
    <t>NOISE</t>
  </si>
  <si>
    <t>Video Quality Assessment (VQA), which aims to predict the perceptual quality of a video, has attracted raising attention with the rapid development of streaming media technology, such as Facebook, TikTok, Kwai, and so on. Compared with other sequence-based visual tasks (e.g., action recognition), VQA faces two under-estimated challenges unresolved in User Generated Content (UGC) videos. First, it is not rare that several frames containing serious distortions (e.g., blocking, blurriness), can determine the perceptual quality of the whole video, while other sequence-based tasks require more frames of equal importance for representations. Second, the perceptual quality of a video exhibits a multi-distortion distribution, due to the differences in the duration and probability of occurrence for various distortions. In order to solve the above challenges, we propose Visual Quality Transformer (VQT) to extract quality-related sparse features more efficiently. Methodologically, a Sparse Temporal Attention (STA) is proposed to sample keyframes by analyzing the temporal correlation between frames, which reduces the computational complexity from O(T-2) to O(T log T). Structurally, a Multi-Pathway Temporal Network (MPTN) utilizes multiple STA modules with different degrees of sparsity in parallel, capturing coexisting distortions in a video. Experimentally, VQT demonstrates superior performance than many state-of-the-art methods in three public no-reference VQA datasets. Furthermore, VQT shows better performance in four full-reference VQA datasets against widely-adopted industrial algorithms (i.e., VMAF and AVQT).</t>
  </si>
  <si>
    <t>[Yuan, Kun; Zheng, Chuanchuan; Sun, Ming; Wen, Xing] Kuaishou Technol, Beijing, Peoples R China; [Kong, Zishang] Peking Univ, Beijing, Peoples R China</t>
  </si>
  <si>
    <t>Yuan, K (corresponding author), Kuaishou Technol, Beijing, Peoples R China.</t>
  </si>
  <si>
    <t>yuankun03@kuaishou.com; zishang.kong@pku.edu.cn; zhengchuanchuan@kuaishou.com; sunming03@kuaishou.com; wenxing@kuaishou.com</t>
  </si>
  <si>
    <t>10.1145/3581783.3612023</t>
  </si>
  <si>
    <t>WOS:001199449101023</t>
  </si>
  <si>
    <t>Zhang, HG; Zhang, J; Shi, Y</t>
  </si>
  <si>
    <t>Zhang, Honggao; Zhang, Jie; Shi, Yu</t>
  </si>
  <si>
    <t>A Method to Study Group Relationship of College Students Based on Predictive Social Network</t>
  </si>
  <si>
    <t>SCIENTIFIC PROGRAMMING</t>
  </si>
  <si>
    <t>With the rise of social network platforms such as WeChat, Weibo, and TikTok, social networks have developed from simple social networks to complex social networks. Researchers have gradually found that the traditional data sampling methods can no longer meet the development needs of the complex social network structure. In order to save network resources, various methods of social relationship prediction have been proposed. In this paper, we propose a BTCS algorithm based on low sampling rate under cognitive model and conduct several sets of comparison experiments under different networks and different sampling rates, and the results show that the BTCS algorithm improves the prediction accuracy and reduces the prediction time under low sampling rate. To address the problems of poor stability and slow prediction speed of random sampling prediction methods, this paper proposes a CCS algorithm in colleges and universities using the characteristics of high awareness among nodes within the same college. It can effectively combine the cognitive characteristics of the nodes with the college attributes and apply them to the relationship prediction to realize the college-oriented relationship prediction. The simulation results show that the CCS algorithm is more stable than other random sampling prediction methods. The results make full use of the cognitive characteristics and college attributes of nodes in social networks; reduce the influence of multiple factors such as response time, data packet loss, and individual behavior on relationship prediction; and improve the efficiency of college student group relationship prediction, which has certain theoretical significance and application prospects.</t>
  </si>
  <si>
    <t>[Zhang, Honggao] Linyi Univ, Sch Educ, Linyi 276000, Shandong, Peoples R China; [Zhang, Jie] Linyi Univ, Sch Pharm, Linyi 276000, Shandong, Peoples R China; [Shi, Yu] Hebei Acad Fine Arts, Shijiazhuang 050700, Hebei, Peoples R China</t>
  </si>
  <si>
    <t>Linyi University; Linyi University</t>
  </si>
  <si>
    <t>Shi, Y (corresponding author), Hebei Acad Fine Arts, Shijiazhuang 050700, Hebei, Peoples R China.</t>
  </si>
  <si>
    <t>zhanghonggao@126.com; zhangjielyu@126.com; sy@hbafa.edu.cn</t>
  </si>
  <si>
    <t>major commissioned project of Social Science Planning research of Shandong Province, Xi Jinping's Education Thought in the New Era [18AWTJ51]</t>
  </si>
  <si>
    <t>major commissioned project of Social Science Planning research of Shandong Province, Xi Jinping's Education Thought in the New Era</t>
  </si>
  <si>
    <t>THe authors thank the major commissioned project of Social Science Planning research of Shandong Province, Xi Jinping's Education Thought in the New Era (no. 18AWTJ51).</t>
  </si>
  <si>
    <t>1058-9244</t>
  </si>
  <si>
    <t>1875-919X</t>
  </si>
  <si>
    <t>SCI PROGRAMMING-NETH</t>
  </si>
  <si>
    <t>Sci. Program.</t>
  </si>
  <si>
    <t>10.1155/2022/5970188</t>
  </si>
  <si>
    <t>Computer Science, Software Engineering</t>
  </si>
  <si>
    <t>3F6JY</t>
  </si>
  <si>
    <t>WOS:000830774400003</t>
  </si>
  <si>
    <t>Ai, M; Li, BA; Gong, HY; Yu, QW; Xue, SJ; Zhang, Y; Zhang, YZ; Hang, P</t>
  </si>
  <si>
    <t>Ai, Meng; Li, Biao; Gong, Heyang; Yu, Qingwei; Xue, Shengjie; Zhang, Yuan; Zhang, Yunzhou; Hang, Peng</t>
  </si>
  <si>
    <t>LBCF: A Large-Scale Budget-Constrained Causal Forest Algorithm</t>
  </si>
  <si>
    <t>Personalization; Heterogeneous causal effects; Constraint optimization; Treatment Selection; Distributed Computing</t>
  </si>
  <si>
    <t>Offering incentives (e.g., coupons at Amazon, discounts at Uber and video bonuses at Tiktok) to user is a common strategy used by online platforms to increase user engagement and platform revenue. Despite its proven effectiveness, these marketing incentives incur an inevitable cost and might result in a low ROI (Return on Investment) if not used properly. On the other hand, different users respond differently to these incentives, for instance, some users never buy certain products without coupons, while others do anyway. Thus, how to select the right amount of incentives (i.e. treatment) to each user under budget constraints is an important research problem with great practical implications. In this paper, we call such problem as a budget-constrained treatment selection (BTS) problem. The challenge is how to efficiently solve BTS problem on a Large-Scale dataset and achieve improved results over the existing techniques. We propose a novel tree-based treatment selection technique under budget constraints, called Large-Scale BudgetConstrained Causal Forest (LBCF) algorithm, which is also an efficient treatment selection algorithm suitable for modern distributed computing systems. A novel offline evaluation method is also proposed to overcome an intrinsic challenge in assessing solutions' performance for BTS problem in randomized control trials (RCT) data. We deploy our approach in a real-world scenario on a largescale video platform, where the platform gives away bonuses in order to increase users' campaign engagement duration. The simulation analysis, offline and online experiments all show that our method outperforms various tree-based state-of-the-art baselines 1. The proposed approach is currently serving over hundreds of millions of users on the platform and achieves one of the most tremendous improvements over these months.</t>
  </si>
  <si>
    <t>[Ai, Meng; Li, Biao; Gong, Heyang; Yu, Qingwei; Xue, Shengjie; Zhang, Yuan; Zhang, Yunzhou; Hang, Peng] Kuaishou Inc, Beijing, Peoples R China; [Gong, Heyang] Univ Sci &amp; Technol China, Hefei, Peoples R China</t>
  </si>
  <si>
    <t>Ai, M (corresponding author), Kuaishou Inc, Beijing, Peoples R China.</t>
  </si>
  <si>
    <t>aimeng@kuaishou.com; libiao@kuaishou.com; gongheyang03@kuaishou.com; yuqingwei@kuaishou.com; xueshengjie@kuaishou.com; zhangyuan13@kuaishou.com; zhangyunzhou@kuaishou.com; jiangpeng@kuaishou.com</t>
  </si>
  <si>
    <t>Biao, Li/AES-1376-2022</t>
  </si>
  <si>
    <t>10.1145/3485447.3512103</t>
  </si>
  <si>
    <t>WOS:000852713002036</t>
  </si>
  <si>
    <t>Alexander, N; Brenman, D; Eshirow, J; Rosenblatt, J; Wolter, J; Scherer, W; Valeiras, J</t>
  </si>
  <si>
    <t>Alexander, Nolan; Brenman, David; Eshirow, John; Rosenblatt, Joshua; Wolter, Justin; Scherer, William; Valeiras, James</t>
  </si>
  <si>
    <t>The Future of Livestreaming: Strategy and Predictive Analysis for Future Operations of Facebook Live</t>
  </si>
  <si>
    <t>2021 SYSTEMS AND INFORMATION ENGINEERING DESIGN SYMPOSIUM (IEEE SIEDS 2021)</t>
  </si>
  <si>
    <t>Systems and Information Engineering Design Symposium (IEEE SIEDS)</t>
  </si>
  <si>
    <t>APR 29-30, 2021</t>
  </si>
  <si>
    <t>Livestreaming; Social Media; Market Analysis; Competitive Analysis; Natural Language Processing; Latent Dirichlet Analysis; Sentiment Analysis</t>
  </si>
  <si>
    <t>Social Network Services (SNS) are systems that allow users to build social relations with one another, with one of the largest SNSs being Facebook, totaling 2.6 billion active monthly users in 2020. Their live streaming service, Facebook Live, is one of the fastest-growing branches of the company, allowing creators to synchronously broadcast original content to the public. However, in the rapidly growing world of technology, Facebook Live faces fierce competition from other live streaming platforms (Twitch, YouTube Live, etc.) and well as other video-on-demand providers (Netflix, Hulu, TikTok, etc.). To better understand current issues and future directions, our team focused on the Facebook Live platform, to develop a three to five-year strategic plan for the platform. We focus on Facebook Live's growth opportunities from a multitude of perspectives, including the competitive landscape, interface modification, future projections based on historical trends, and competitive analysis. Our approach utilizes the systems analysis process, focusing top-down on objectives and metrics. To produce a comprehensive strategy for future operations, we employ analytical methods ranging from quantitative data analysis to qualitative exploration of industry trends. These quantitative methods include statistical analysis, time-series forecasting, and natural language processing. Qualitative methods include domain research into the history, current state, and possible future for live-streaming. Forthcoming, the results for the complete analysis will be synthesized into a multi-recommendation strategic report to provide Facebook with flexible guidance for continuing operations. We also present a comments summarization and visualization feature for viewers and creators, three to five-year market forecasts after COVID-19 lockdowns, and attractive emerging markets including education and morning shows.</t>
  </si>
  <si>
    <t>[Alexander, Nolan; Brenman, David; Eshirow, John; Rosenblatt, Joshua; Wolter, Justin; Scherer, William] Univ Virginia, Dept Engn Syst &amp; Environm, Charlottesville, VA 22904 USA; [Valeiras, James] Facebook Inc, New York, NY USA</t>
  </si>
  <si>
    <t>University of Virginia; Facebook Inc</t>
  </si>
  <si>
    <t>Alexander, N (corresponding author), Univ Virginia, Dept Engn Syst &amp; Environm, Charlottesville, VA 22904 USA.</t>
  </si>
  <si>
    <t>nka5we@virginia.edu; db3za@virginia.edu; eshirow@virginia.edu; jmr6vb@virginia.ed; jsw6ch@virginia.edu; wts@virginia.edu; james.valeiras@gmail.com</t>
  </si>
  <si>
    <t>Facebook, Inc.</t>
  </si>
  <si>
    <t>Facebook, Inc.(Facebook Inc)</t>
  </si>
  <si>
    <t>The team would like to thank Facebook, Inc. for sponsoring this project.</t>
  </si>
  <si>
    <t>978-1-6654-1250-6</t>
  </si>
  <si>
    <t>BT4CY</t>
  </si>
  <si>
    <t>WOS:000828133400014</t>
  </si>
  <si>
    <t>Guilbeault, D; Delecourt, S; Hull, T; Desikan, BS; Chu, M; Nadler, E</t>
  </si>
  <si>
    <t>Guilbeault, Douglas; Delecourt, Solene; Hull, Tasker; Desikan, Bhargav Srinivasa; Chu, Mark; Nadler, Ethan</t>
  </si>
  <si>
    <t>Online images amplify gender bias</t>
  </si>
  <si>
    <t>NATURE</t>
  </si>
  <si>
    <t>STEREOTYPES; ENGAGEMENT; CULTURE; SCIENCE; WORDS</t>
  </si>
  <si>
    <t>Each year, people spend less time reading and more time viewing images1, which are proliferating online2-4. Images from platforms such as Google and Wikipedia are downloaded by millions every day2,5,6, and millions more are interacting through social media, such as Instagram and TikTok, that primarily consist of exchanging visual content. In parallel, news agencies and digital advertisers are increasingly capturing attention online through the use of images7,8, which people process more quickly, implicitly and memorably than text9-12. Here we show that the rise of images online significantly exacerbates gender bias, both in its statistical prevalence and its psychological impact. We examine the gender associations of 3,495 social categories (such as 'nurse' or 'banker') in more than one million images from Google, Wikipedia and Internet Movie Database (IMDb), and in billions of words from these platforms. We find that gender bias is consistently more prevalent in images than text for both female- and male-typed categories. We also show that the documented underrepresentation of women online13-18 is substantially worse in images than in text, public opinion and US census data. Finally, we conducted a nationally representative, preregistered experiment that shows that googling for images rather than textual descriptions of occupations amplifies gender bias in participants' beliefs. Addressing the societal effect of this large-scale shift towards visual communication will be essential for developing a fair and inclusive future for the internet. We find that gender bias is more prevalent in images than text, that the underrepresentation of women online is substantially worse in images and that googling for images amplifies gender bias in a person's beliefs.</t>
  </si>
  <si>
    <t>[Guilbeault, Douglas; Delecourt, Solene] Univ Calif Berkeley, Haas Sch Business, Berkeley, CA 94720 USA; [Hull, Tasker] Psiphon Inc, Toronto, ON, Canada; [Desikan, Bhargav Srinivasa] Inst Publ Policy Res, London, England; [Chu, Mark] Columbia Univ, Sch Arts, New York, NY USA; [Nadler, Ethan] Univ Southern Calif, Dept Phys, Los Angeles, CA USA</t>
  </si>
  <si>
    <t>University of California System; University of California Berkeley; Columbia University; University of Southern California</t>
  </si>
  <si>
    <t>Guilbeault, D (corresponding author), Univ Calif Berkeley, Haas Sch Business, Berkeley, CA 94720 USA.</t>
  </si>
  <si>
    <t>douglas.guilbeault@haas.berkeley.edu</t>
  </si>
  <si>
    <t>Delecourt, Solene/LCE-4875-2024; Guilbeault, Douglas/KUD-6312-2024</t>
  </si>
  <si>
    <t>Guilbeault, Douglas/0000-0002-0177-3027</t>
  </si>
  <si>
    <t>Fisher Center for Business Analytics; Center for Equity, Gender and Leadership; Barbara and Gerson Bakar Fellowship; Cora Jane Flood Endowment Fund</t>
  </si>
  <si>
    <t>We acknowledge members of the MRL (Macro Research Lunch) seminar at the Haas School of Business and the Computational Culture lab, as well as Nina Guilbeault, Nicholas Guilbeault, P. Reginato and R. Lo Sardo for helpful feedback on this project. We thank S. Nanniyur for assistance with data collection. This project was funded by grants from the Fisher Center for Business Analytics; the Center for Equity, Gender and Leadership; and the Barbara and Gerson Bakar Fellowship, each awarded to D.G., and by a grant from the Cora Jane Flood Endowment Fund awarded to S.D., all through the University of California, Berkeley.</t>
  </si>
  <si>
    <t>0028-0836</t>
  </si>
  <si>
    <t>1476-4687</t>
  </si>
  <si>
    <t>Nature</t>
  </si>
  <si>
    <t>2024 FEB 14</t>
  </si>
  <si>
    <t>10.1038/s41586-024-07068-x</t>
  </si>
  <si>
    <t>JF5D4</t>
  </si>
  <si>
    <t>WOS:001171755900002</t>
  </si>
  <si>
    <t>Pan, YZ; Gao, C; Chang, JX; Niu, Y; Song, Y; Gai, K; Jin, DP; Li, Y</t>
  </si>
  <si>
    <t>Pan, Yunzhu; Gao, Chen; Chang, Jianxin; Niu, Yanan; Song, Yang; Gai, Kun; Jin, Depeng; Li, Yong</t>
  </si>
  <si>
    <t>Understanding and Modeling Passive-Negative Feedback for Short-video Sequential Recommendation</t>
  </si>
  <si>
    <t>Short-video Sequential Recommendation; Sub-interest Learning; Passive-negative Feedback; Self-supervised Learning</t>
  </si>
  <si>
    <t>Sequential recommendation is one of the most important tasks in recommender systems, which aims to recommend the next interacted item with historical behaviors as input. Traditional sequential recommendation always mainly considers the collected positive feedback such as click, purchase, etc. However, in short-video platforms such as TikTok, video viewing behavior may not always represent positive feedback. Specifically, the videos are played automatically, and users passively receive the recommended videos. In this new scenario, users passively express negative feedback by skipping over videos they do not like, which provides valuable information about their preferences. Different from the negative feedback studied in traditional recommender systems, this passive-negative feedback can reflect users' interests and serve as an important supervision signal in extracting users' preferences. Therefore, it is essential to carefully design and utilize it in this novel recommendation scenario. In this work, we first conduct analyses based on a large-scale real-world short-video behavior dataset and illustrate the significance of leveraging passive feedback. We then propose a novel method that deploys the sub-interest encoder, which incorporates positive feedback and passive-negative feedback as supervision signals to learn the user's current active sub-interest. Moreover, we introduce an adaptive fusion layer to integrate various sub-interests effectively. To enhance the robustness of our model, we then introduce a multi-task learning module to simultaneously optimize two kinds of feedback - passive-negative feedback and traditional randomly-sampled negative feedback. The experiments on two large-scale datasets verify that the proposed method can significantly outperform state-of-the-art approaches. The code is released at https:// github.com/ tsinghua-fib-lab/ RecSys2023-SINE to benefit the community.</t>
  </si>
  <si>
    <t>[Pan, Yunzhu] Univ Elect Sci &amp; Technol China, Chengdu, Peoples R China; [Gao, Chen; Jin, Depeng; Li, Yong] Tsinghua Univ, Beijing Natl Res Ctr Informat Sci &amp; Technol, Dept Elect Engn, Beijing, Peoples R China; [Chang, Jianxin; Niu, Yanan; Song, Yang] Beijing Kuaishou Technol Co Ltd, Beijing, Peoples R China; [Gai, Kun] Unaffiliated, Beijing, Peoples R China</t>
  </si>
  <si>
    <t>University of Electronic Science &amp; Technology of China; Tsinghua University</t>
  </si>
  <si>
    <t>Gao, C (corresponding author), Tsinghua Univ, Beijing Natl Res Ctr Informat Sci &amp; Technol, Dept Elect Engn, Beijing, Peoples R China.</t>
  </si>
  <si>
    <t>chgao96@gmail.com</t>
  </si>
  <si>
    <t>jin, du/G-4747-2012; Li, Yong/AFD-8722-2022; Gao, Chen/KZU-1046-2024; Song, Yangyi/JBJ-7119-2023</t>
  </si>
  <si>
    <t>Gao, Chen/0000-0002-7561-5646</t>
  </si>
  <si>
    <t>National Key Research and Development Program of China [2022YFB3104702]; National Natural Science Foundation of China [62272262, 61972223, U1936217, U20B2060]</t>
  </si>
  <si>
    <t>This work is partially supported by the National Key Research and Development Program of China under 2022YFB3104702, and the National Natural Science Foundation of China under 62272262, 61972223, U1936217, and U20B2060.</t>
  </si>
  <si>
    <t>10.1145/3604915.3608814</t>
  </si>
  <si>
    <t>WOS:001156630300053</t>
  </si>
  <si>
    <t>Sanzari, CM; Gorrell, S; Anderson, LM; Reilly, EE; Niemiec, MA; Orloff, NC; Anderson, DA; Hormes, JM</t>
  </si>
  <si>
    <t>Sanzari, Christina M.; Gorrell, Sasha; Anderson, Lisa M.; Reilly, Erin E.; Niemiec, Martha A.; Orloff, Natalia C.; Anderson, Drew A.; Hormes, Julia M.</t>
  </si>
  <si>
    <t>The impact of social media use on body image and disordered eating behaviors: Content matters more than duration of exposure</t>
  </si>
  <si>
    <t>Social media; Body image; Disordered eating; Body positivity; Body neutrality; Weight loss</t>
  </si>
  <si>
    <t>FACEBOOK USE; NUMBER-BOPO</t>
  </si>
  <si>
    <t>Social media use is rapidly expanding in terms of frequency, duration, and the diversity of platforms available. Given evidence for associations between social media use, body image disturbances, and disordered eating it is important to identify potentially harmful aspects of social media use that could serve as intervention targets. This study surveyed two demographically diverse undergraduate student cohorts in 2015 and 2022 to compare patterns in social media use, body image, and disordered eating behaviors between samples, including as a function of the COVID-19 pandemic, and to test the hypothesized moderating role of specific content consumed in the association between social media use and maladaptive outcomes. Participants in 2022 reported greater body image disturbances, more frequent vomiting and laxative use, and more time spent on a greater number of social media accounts, with significantly greater use of image-based platforms such as Snapchat, TikTok, and YouTube. Moderated regression analyses suggest that type of content consumed, but not the amount of time spent on social media or diversity of platforms utilized, is associated with body image disturbances and disor-dered eating behaviors after controlling for gender and body mass index. Specifically, exposure to weight loss content was associated with lower body appreciation, greater fears of negative appearance evaluation, and more frequent binge eating. Contrary to initial hypotheses, exposure to body positivity/neutrality content did not have protective effects. Findings suggest that interventions targeting negative consequences of social media use should focus on addressing content consumed, rather than time spent on social media platforms.</t>
  </si>
  <si>
    <t>[Sanzari, Christina M.; Anderson, Drew A.; Hormes, Julia M.] SUNY Albany, Dept Psychol, Albany, NY USA; [Gorrell, Sasha; Reilly, Erin E.] Univ Calif San Francisco, Dept Psychiat &amp; Behav Sci, San Francisco, CA USA; [Anderson, Lisa M.] Univ Minnesota, Dept Psychiat &amp; Behav Sci, Med Sch, Minneapolis, MN USA; [Niemiec, Martha A.] Beth Israel Lahey Hlth, Cambridge, MA USA; [Orloff, Natalia C.] Childrens Hosp Philadelphia, Philadelphia, PA USA; [Sanzari, Christina M.] SUNY Albany, Dept Psychol, Social Sci 399,1400 Washington Ave, Albany, NY 12222 USA</t>
  </si>
  <si>
    <t>State University of New York (SUNY) System; University at Albany, SUNY; University of California System; University of California San Francisco; University of Minnesota System; University of Minnesota Twin Cities; University of Pennsylvania; Pennsylvania Medicine; Childrens Hospital of Philadelphia; State University of New York (SUNY) System; University at Albany, SUNY</t>
  </si>
  <si>
    <t>Sanzari, CM (corresponding author), SUNY Albany, Dept Psychol, Social Sci 399,1400 Washington Ave, Albany, NY 12222 USA.</t>
  </si>
  <si>
    <t>csanzari@albany.edu</t>
  </si>
  <si>
    <t>Gorrell, Sasha/AAF-4299-2019</t>
  </si>
  <si>
    <t>Reilly, Erin/0000-0001-9269-0747</t>
  </si>
  <si>
    <t>National Science Foundation Graduate Research Fellowship [1645421]; National Institutes of Mental Health [K23MH126201, K23MH123910, K23MH131871]; National Institute of Mental Health [K23MH131871, K23MH126201] Funding Source: NIH RePORTER</t>
  </si>
  <si>
    <t>National Science Foundation Graduate Research Fellowship(National Science Foundation (NSF)); National Institutes of Mental Health(United States Department of Health &amp; Human ServicesNational Institutes of Health (NIH) - USANIH National Institute of Mental Health (NIMH)); National Institute of Mental Health(United States Department of Health &amp; Human ServicesNational Institutes of Health (NIH) - USANIH National Institute of Mental Health (NIMH))</t>
  </si>
  <si>
    <t>Preparation of this manuscript is supported in part by the National Science Foundation Graduate Research Fellowship [Grant No. 1645421] , awarded to Christina Sanzari. Dr. Gorrell is supported by the National Institutes of Mental Health (K23MH126201) ; Dr. Anderson is supported by the National Institutes of Mental Health (K23MH123910) ; Dr. Reilly is supported by the National Institutes of Mental Health (K23MH131871)</t>
  </si>
  <si>
    <t>10.1016/j.eatbeh.2023.101722</t>
  </si>
  <si>
    <t>F6FA8</t>
  </si>
  <si>
    <t>WOS:000983270100001</t>
  </si>
  <si>
    <t>Gerardo, RG; Encisco, EM; Miller, KP; Ponsky, TA; Aranda, A</t>
  </si>
  <si>
    <t>Gerardo, Rodrigo G.; Encisco, Ellen M.; Miller, Kiersten P.; Ponsky, Todd A.; Aranda, Arturo</t>
  </si>
  <si>
    <t>Social media: The forefront of pediatric surgical education, recruitment, and information</t>
  </si>
  <si>
    <t>JOURNAL OF PEDIATRIC SURGERY OPEN</t>
  </si>
  <si>
    <t>Social media; Surgical education</t>
  </si>
  <si>
    <t>PERCUTANEOUS ENDOSCOPIC GASTROSTOMY; TUBE PLACEMENT; LAPAROSCOPIC GASTROSTOMY; RISK-FACTORS; CHILDREN; COMPLICATIONS; OUTCOMES; INFANTS; METAANALYSIS; INSERTION</t>
  </si>
  <si>
    <t>Background: The use of social media and mobile applications in surgery has grown exponentially over the past decade with a wide array of functions ranging from surgical education, recruitment to training programs, and improving the ability to share clinical information. It behooves surgical training programs and pediatric surgeons to engage in social media as the modern surgical trainee is learning and networking on a professional level through social media platforms on their mobile devices. Methods: This is a retrospective analysis of social media analytics from a single general surgery residency program as well as an online pediatric surgery educational resource, StayCurrentMD. Social media followers were stratified by age groups. Furthermore, we summarize the various uses for social media and mobile applications for surgical trainees and pediatric surgeons. Results: The StayCurrentMD social media followers from Facebook, Instagram, TikTok, and YouTube included 10,218 total followers and the Wright State University General Surgery Residency had 2,066 followers from Facebook and Instagram. The age group for most followers was 25-34 years of age for all social media platforms except for Facebook which had slightly higher proportions of followers in the 35-44 age group. Conclusion: The modern medical student does not learn about training programs from in-person interviews and today's surgical trainee is no longer in the library to read about surgical technique or current practice guidelines - they're on their phones. Surgical training programs, surgical societies, and surgical educators of the world need to adapt to these changes in technology to improve surgical education and distribute information to surgical providers on a potentially global scale.</t>
  </si>
  <si>
    <t>[Gerardo, Rodrigo G.; Aranda, Arturo] Dayton Childrens Hosp, Div Pediat Surg, Dayton, OH 45404 USA; [Encisco, Ellen M.; Miller, Kiersten P.; Ponsky, Todd A.] Cincinnati Childrens Hosp Med Ctr, Dept Pediat Gen &amp; Thorac Surg, Cincinnati, OH USA</t>
  </si>
  <si>
    <t>Cincinnati Children's Hospital Medical Center</t>
  </si>
  <si>
    <t>Gerardo, RG (corresponding author), Dayton Childrens Hosp, Div Pediat Surg, Dayton, OH 45404 USA.</t>
  </si>
  <si>
    <t>rodrigo.gerardo@wright.edu</t>
  </si>
  <si>
    <t>2949-7116</t>
  </si>
  <si>
    <t>J PEDIATR SURG OPEN</t>
  </si>
  <si>
    <t>J. Pediatr. Surg. Open</t>
  </si>
  <si>
    <t>10.1016/j.yjpso.2023.100054</t>
  </si>
  <si>
    <t>Pediatrics; Surgery</t>
  </si>
  <si>
    <t>M2M4A</t>
  </si>
  <si>
    <t>WOS:001355929000007</t>
  </si>
  <si>
    <t>Katz, A; Tepper, Y; Birk, O; Eran, A</t>
  </si>
  <si>
    <t>Katz, Ariel; Tepper, Yoav; Birk, Ohad; Eran, Alal</t>
  </si>
  <si>
    <t>Web and social media searches highlight menstrual irregularities as a global concern in COVID-19 vaccinations</t>
  </si>
  <si>
    <t>Delineation of public concerns that prevent vaccine compliance is a major step in generating assurances and enhancing the success of COVID-19 prevention programs. We therefore sought to identify public concerns associated with COVID-19 vaccines, as reflected by web and social media searches, with a focus on menstrual irregularities. We used trajectory analyses of web and social media search data in combination with global COVID-19 data to reveal time-dependent correlations between vaccination rates and the relative volume of vaccine and period related searches. A surge of period and vaccine related Google searches followed the introduction of Covid vaccines around the world, and the commencement of vaccination programs in English speaking countries and across the United States. The relative volume of searches such as Covid vaccine menstrual irregularities, Covid vaccine menstrual period, Pfizer vaccine menstruation, and Moderna vaccine menstruation was each significantly correlated with vaccination rates (Spearman r = 0.42-0.88, P = 4.33 x 10(-34)-1.55 x 10(-5)), and significantly different before and after the introduction of Covid vaccines (Mann-Whitney P = 2.00 x 10(-21)-7.10 x 10(-20)). TikTok users were more engaged in period problems in 2021 than ever before. International, national, and state-level correlations between COVID-19 vaccinations and online activity demonstrate a global major concern of vaccine-related menstrual irregularities. Whether it is a potential side effect or an unfounded worry, monitoring of web and social media activity could reveal the public perception of COVID-19 prevention efforts, which could then be directly addressed and translated into insightful public health strategies.</t>
  </si>
  <si>
    <t>[Katz, Ariel; Eran, Alal] Ben Gurion Univ Negev, Dept Life Sci, Beer Sheva, Israel; [Birk, Ohad] Ben Gurion Univ Negev, Fac Hlth Sci, Soroka Med Ctr, Genet Inst, Beer Sheva, Israel; [Eran, Alal] Boston Childrens Hosp, Computat Hlth Informat Program, Boston, MA 02115 USA</t>
  </si>
  <si>
    <t>Ben Gurion University; Ben Gurion University; Soroka Medical Center; Harvard University; Boston Children's Hospital</t>
  </si>
  <si>
    <t>Katz, A; Eran, A (corresponding author), Ben Gurion Univ Negev, Dept Life Sci, Beer Sheva, Israel.;Eran, A (corresponding author), Boston Childrens Hosp, Computat Hlth Informat Program, Boston, MA 02115 USA.</t>
  </si>
  <si>
    <t>katzari@post.bgu.ac.il; alal_eran@hms.harvard.edu</t>
  </si>
  <si>
    <t>Eran, Alal/AAA-8776-2021</t>
  </si>
  <si>
    <t>Birk, Ohad/0000-0003-1430-1296</t>
  </si>
  <si>
    <t>10.1038/s41598-022-20844-x</t>
  </si>
  <si>
    <t>5M5DY</t>
  </si>
  <si>
    <t>WOS:000871116800065</t>
  </si>
  <si>
    <t>Mahajan, KC; Dharwadker, AP; Gupta, S; Schumitsch, B</t>
  </si>
  <si>
    <t>Mahajan, Khushhall Chandra; Dharwadker, Amey Porobo; Gupta, Saurabh; Schumitsch, Brad</t>
  </si>
  <si>
    <t>VideoRecSys 2023: First Workshop on Large-Scale Video Recommender Systems</t>
  </si>
  <si>
    <t>Recommender system; Video recommendation</t>
  </si>
  <si>
    <t>The demand for personalized video recommendations has grown exponentially with the widespread use of video content across various domains, including entertainment, e-commerce, education and social media. The explosive growth of video content on the internet, combined with the ubiquitous availability of high-speed internet and advancements in mobile camera technology have made it easier than ever for users to create, access and consume videos. With the proliferation of online social media applications like Instagram, YouTube, Facebook and TikTok, the need for large-scale video recommendation systems which can provide users with personalized and relevant recommendations has increased. However, building effective and scalable video recommender systems for large-scale applications is a challenging task due to several technical and operational factors such as the huge volume of video content, the diversity of user preferences, noise and biases in underlying data and the need for real-time recommendations. At the same time, building a fair recommendation system which can distribute content from niche interests and emerging creators besides more popular content is very important to balance the demand and supply side of the ecosystem. This makes large-scale video recommendations an interesting, rapidly evolving and challenging problem which requires more discussions around various nuanced topics. The goal of this workshop is to provide a platform for researchers, practitioners, and industry experts to discuss and share insights on the latest trends, challenges and opportunities in the field of large-scale video recommendations, where the corpus of content to recommend from is in the order of hundreds of millions or even tens of billions. We hope that this workshop will foster collaborations in the growing recommender systems community and spark new ideas for future research in this exciting and rapidly evolving field.</t>
  </si>
  <si>
    <t>[Mahajan, Khushhall Chandra; Dharwadker, Amey Porobo; Gupta, Saurabh; Schumitsch, Brad] Meta Inc, Menlo Pk, CA 94025 USA</t>
  </si>
  <si>
    <t>Mahajan, KC (corresponding author), Meta Inc, Menlo Pk, CA 94025 USA.</t>
  </si>
  <si>
    <t>khushhall@meta.com; ameydhar@meta.com; saurabg@meta.com; bschumitsch@meta.com</t>
  </si>
  <si>
    <t>Porobo Dharwadker, Amey/GYA-3329-2022; Mahajan, Khushhall Chandra/HDN-0925-2022</t>
  </si>
  <si>
    <t>Gupta, Saurabh/0009-0002-3337-8408; Porobo Dharwadker, Amey/0000-0002-0209-8406; Mahajan, Khushhall Chandra/0000-0003-3054-1142</t>
  </si>
  <si>
    <t>10.1145/3604915.3608762</t>
  </si>
  <si>
    <t>WOS:001156630300172</t>
  </si>
  <si>
    <t>Shipway, JR; Tupper, M; Willer, DF</t>
  </si>
  <si>
    <t>Shipway, J. Reuben; Tupper, Mark; Willer, David F.</t>
  </si>
  <si>
    <t>Gross to gourmet: A social media analysis of Naked Clams as a sustainable delicacy</t>
  </si>
  <si>
    <t>FOOD FRONTIERS</t>
  </si>
  <si>
    <t>AI; culinary innovation; food security; novel foods; nutrient-dense foods; shipworms</t>
  </si>
  <si>
    <t>SHIPWORM</t>
  </si>
  <si>
    <t>Amidst a global food crisis, securing sustainable food sources is vital. Bivalves such as Naked Clams, historically known as shipworms, offer a promising solution due to their low environmental impact, high nutritional value, and rapid growth rates. Contrary to their image as pests, Naked Clams are the fastest growing bivalves and have various health benefits. Believed to be the world's first aquaculture species, cultivated by Aboriginal Australians 8000 years ago, they are a delicacy in Southeast Asia. Public perception of Naked Clams remains largely unexplored, hindered by their association as pests and worm-like appearance. This study assesses the perception of Naked Clams through social media, analyzing 40 posts across Facebook, Instagram, TikTok, and YouTube, with millions of views and likes. Analysis of nearly 8000 comments revealed that public perception was split, though generally more positive than negative. Concerns included appearance, potential religious dietary conflicts, and the risk of parasites, which can be addressed with educational campaigns. Importantly, 84% of commenters who tried Naked Clams reported liking them. Naked Clams are noted for their high protein content, nutrient density, and health benefits, and are enjoyed in diverse culinary forms, from traditional raw dishes, to battered calamari-style street foods, to innovative recipes like Naked Clam ice cream. This study highlights the untapped potential of Naked Clams in global diets and calls for further exploration into moving Naked Clams from gross to gourmet. This study analyzed public sentiment on Naked Clams using social media data and AI tools. Findings reveal Naked Clams are a versatile and nutritious food source with global appeal, and signpost strategies for shifting public perception of these bivalves from gross to gourmet. image</t>
  </si>
  <si>
    <t>[Shipway, J. Reuben] Univ Plymouth, Sch Biol &amp; Marine Sci, Plymouth, England; [Shipway, J. Reuben] Gen Org Conservat Coral Reefs &amp; Turtles Red Sea, Jeddah, Saudi Arabia; [Tupper, Mark] Univ Cumbria, Inst Sci &amp; Environm, Carlisle, England; [Tupper, Mark] Terra Nexus, Nad Al Sheba, Dubai, U Arab Emirates; [Willer, David F.] Univ Cambridge, Dept Zool, David Attenborough Bldg,Pembroke St, Cambridge CB2 3QZ, England</t>
  </si>
  <si>
    <t>University of Plymouth; University of Cumbria; University of Cambridge</t>
  </si>
  <si>
    <t>Shipway, JR (corresponding author), Univ Plymouth, Sch Biol &amp; Marine Sci, Plymouth, England.;Willer, DF (corresponding author), Univ Cambridge, Dept Zool, David Attenborough Bldg,Pembroke St, Cambridge CB2 3QZ, England.</t>
  </si>
  <si>
    <t>reuben.shipway@plymouth.ac.uk; dw460@cam.ac.uk</t>
  </si>
  <si>
    <t>Willer, David/M-3759-2017</t>
  </si>
  <si>
    <t>Willer, David/0000-0002-9010-8503; Shipway, J. Reuben/0000-0002-6838-1917</t>
  </si>
  <si>
    <t>Henslow Fellowship at Murray Edwards College, University of Cambridge; BBSRC Impact Accelerator Grant [G116601]; Seale Hayne Educational trust; Impact Accelerator Grant</t>
  </si>
  <si>
    <t>Henslow Fellowship at Murray Edwards College, University of Cambridge; BBSRC Impact Accelerator Grant(UK Research &amp; Innovation (UKRI)Biotechnology and Biological Sciences Research Council (BBSRC)); Seale Hayne Educational trust; Impact Accelerator Grant</t>
  </si>
  <si>
    <t>DFW was funded by a Henslow Fellowship at Murray Edwards College, University of Cambridge. This project was supported by a BBSRC Impact Accelerator Grant (G116601) and the Seale Hayne Educational trust.Impact Accelerator Grant, Grant/Award Number:G116601</t>
  </si>
  <si>
    <t>2643-8429</t>
  </si>
  <si>
    <t>Food Frontiers</t>
  </si>
  <si>
    <t>10.1002/fft2.487</t>
  </si>
  <si>
    <t>L4U7B</t>
  </si>
  <si>
    <t>WOS:001314501400001</t>
  </si>
  <si>
    <t>Bravo, CA; Walker, MJ; Papadopoulos, A; Mcwhirter, JE</t>
  </si>
  <si>
    <t>Bravo, Caroline A.; Walker, Meghan J.; Papadopoulos, Andrew; Mcwhirter, Jennifer E.</t>
  </si>
  <si>
    <t>Social media use in HPV-, cervical cancer-, and cervical screening-related research: A scoping review</t>
  </si>
  <si>
    <t>PREVENTIVE MEDICINE</t>
  </si>
  <si>
    <t>Cervical cancer; Human papillomavirus; Cervical screening; Human papillomavirus DNA tests; Social media; Health communication</t>
  </si>
  <si>
    <t>HUMAN-PAPILLOMAVIRUS; HEALTH COMMUNICATION; BREAST-CANCER; SAUDI-ARABIA; KNOWLEDGE; PREVENTION; AWARENESS; WOMEN; MODEL; RECOMMENDATIONS</t>
  </si>
  <si>
    <t>Objective: In response to the World Health Organization's global call to eliminate cervical cancer, many countries have targets to implement human papillomavirus (HPV) primary screening. Social media may offer opportunities to promote uptake of HPV screening. We aimed to describe the extent of the scientific literature regarding social media research on HPV, cervical cancer and cervical screening. Methods: Seven databases were searched for peer-reviewed English-language studies related to social media research and HPV, cervical cancer and cervical screening published up to November 2023. One reviewer completed the title/abstract screening and two reviewers independently reviewed full-text articles. Data extraction was carried out by one reviewer and verified by a second reviewer. Information such as the research topic, social media platform of interest, participant characteristics, methods, analysis type, outcome measures, and key findings were collected. Results: In the 58 articles included, researchers used social media in the following ways: evaluate content, recruit participants or disseminate a survey/questionnaire, disseminate health communication content, examine the relationship between social media use and outcomes, and to conduct experiments testing the effects of social media content on outcomes. Twitter and Facebook were the most common platforms mentioned. Four articles explicitly mentioned theory. Conclusions: Opportunities for research are identified such as further exploration of how newer social media platforms such as Instagram and TikTok can be used to share HPV content, examination of appropriate images for effective communication, and determining key features of social media content to promote information sharing and improve cervical screening knowledge, attitudes and behaviours.</t>
  </si>
  <si>
    <t>[Bravo, Caroline A.; Papadopoulos, Andrew; Mcwhirter, Jennifer E.] Univ Guelph, Dept Populat Med, Guelph, ON, Canada; [Walker, Meghan J.] Ontario Hlth Canc Care Ontario, Toronto, ON, Canada; [Walker, Meghan J.] Univ Toronto, Dalla Lana Sch Publ Hlth, Toronto, ON, Canada; [Mcwhirter, Jennifer E.] Populat Med Bldg,50 Stone Rd East, Guelph, ON N1G 2W1, Canada</t>
  </si>
  <si>
    <t>University of Guelph; University of Toronto</t>
  </si>
  <si>
    <t>Mcwhirter, JE (corresponding author), Populat Med Bldg,50 Stone Rd East, Guelph, ON N1G 2W1, Canada.</t>
  </si>
  <si>
    <t>j.mcwhirter@uoguelph.ca</t>
  </si>
  <si>
    <t>0091-7435</t>
  </si>
  <si>
    <t>1096-0260</t>
  </si>
  <si>
    <t>PREV MED</t>
  </si>
  <si>
    <t>Prev. Med.</t>
  </si>
  <si>
    <t>10.1016/j.ypmed.2023.107798</t>
  </si>
  <si>
    <t>GO1V8</t>
  </si>
  <si>
    <t>WOS:001153529600001</t>
  </si>
  <si>
    <t>D'Amico, RS; Immidisetti, AV; Katz, J; White, T; Bedi, A; Baum, G; Ellis, J; Levine, M; Ortiz, R; Boockvar, JA; Langer, DJ</t>
  </si>
  <si>
    <t>D'Amico, Randy S.; Immidisetti, Amanda, V; Katz, Joshua; White, Tim; Bedi, Anupama; Baum, Griffin; Ellis, Jason; Levine, Mitchell; Ortiz, Rafael; Boockvar, John A.; Langer, David J.</t>
  </si>
  <si>
    <t>Web-Based Education and Social Media Increase Access to Careers in Neurosurgery: The Lenox Hill Hospital BRAINterns Experience</t>
  </si>
  <si>
    <t>WORLD NEUROSURGERY</t>
  </si>
  <si>
    <t>BRAINterns; COVID-19; Diversity; Medical education; Neurosurgery; Virtual education; Webinar</t>
  </si>
  <si>
    <t>COVID-19; RESIDENTS; CONCORDANCE; STUDENTS; WEBINARS; WOMEN; RACE</t>
  </si>
  <si>
    <t>OBJECTIVE: To replace educational opportunities lost during the coronavirus disease 2019 (COVID-19) pandemic, the Department of Neurosurgery at Lenox Hill Hospital produced an open-access webinar series (BRAINterns) that covered a broad range of health care topics with a focus on neurosurgery. - METHODS: This 8-week webinar series ran from July 1 to August 28, 2020. An optional exit survey was distributed to participants. Data were analyzed to characterize and better understand trends among a global cohort of participants. RESULTS: A total of 16,484 people registered for BRAIN-terns, and 6675 took the survey (40.5% response rate). Responders represented 87 countries, of which the majority were from the United States and Canada (90.48%, n = 6039). Responders were primarily female (82.9%, n = 5521). Racial and ethnic representation was majority Asian (42%, n = 2798), followed by White (22.7%, n = 1514), Hispanic/ Latino (16.2%, n = 1080), and Black and African American (7.7%, n = 516). Participants reported hearing about BRAIN-terns through various social media platforms (72.18%, n = 4818)-the most popular was TikTok (33.4%, n = 2232). Overall, 93.4% of participants reported that the course was a good use of their time during the pandemic, and 86.7% reported that the course helped replace lost opportunities. CONCLUSIONS: These data demonstrate that webinar-based education is an effective method of expanding access to careers in medicine and in particular, neurosurgery, to traditionally underrepresented populations. Social media can be a powerful tool to combat barriers to early exposure and vastly improve diversity within the field.</t>
  </si>
  <si>
    <t>[D'Amico, Randy S.; Katz, Joshua; White, Tim; Bedi, Anupama; Baum, Griffin; Ellis, Jason; Levine, Mitchell; Ortiz, Rafael; Boockvar, John A.; Langer, David J.] Donald &amp; Barbara Zucker Sch Med Hofstra, Lenox Hill Hosp, Dept Neurol Surg, New York, NY 11549 USA; [Immidisetti, Amanda, V] Rutgers State Univ, Roben Wood Johnson Med Sch, New Brunswick, NJ USA</t>
  </si>
  <si>
    <t>Northwell Health; Rutgers University System; Rutgers University New Brunswick</t>
  </si>
  <si>
    <t>D'Amico, RS (corresponding author), Donald &amp; Barbara Zucker Sch Med Hofstra, Lenox Hill Hosp, Dept Neurol Surg, New York, NY 11549 USA.</t>
  </si>
  <si>
    <t>rdamico8@northwell.edu</t>
  </si>
  <si>
    <t>; Baum, Griffin/A-6377-2016</t>
  </si>
  <si>
    <t>Katz, Joshua/0000-0001-9457-0204; Immidisetti, Amanda V/0000-0001-9764-7756; Baum, Griffin/0000-0003-2690-1264</t>
  </si>
  <si>
    <t>1878-8750</t>
  </si>
  <si>
    <t>1878-8769</t>
  </si>
  <si>
    <t>WORLD NEUROSURG</t>
  </si>
  <si>
    <t>World Neurosurg.</t>
  </si>
  <si>
    <t>E445</t>
  </si>
  <si>
    <t>E465</t>
  </si>
  <si>
    <t>10.1016/j.wneu.2021.03.034</t>
  </si>
  <si>
    <t>SM8GR</t>
  </si>
  <si>
    <t>WOS:000657837500047</t>
  </si>
  <si>
    <t>Carson, A; Muller, D</t>
  </si>
  <si>
    <t>Carson, Andrea; Muller, Denis</t>
  </si>
  <si>
    <t>Symbiosis or Precarity? Digital Platforms' Role on Australian Digital-Native Journalism and Their Funding Models</t>
  </si>
  <si>
    <t>Australia; digital-native journalism; Facebook; Google; journalism business models; Meta; News Media Bargaining Code; platform dependency; social media; TikTok</t>
  </si>
  <si>
    <t>ONLINE; CRISIS; MEDIA</t>
  </si>
  <si>
    <t>Legacy media outlets, especially newspapers, have confronted significant challenges this century due to the shift of advertising revenues to digital platforms like Facebook and Google. Major events like the Global Financial Crisis (2007-2009) and Covid-19 pandemic intensified the financial strain, resulting in further downsizing and newsroom closures. Despite these difficulties, digital -native journalism has experienced widespread growth globally. This article explores funding models of selected digital -native journalism in Australia, drawing on platform dependency theory to address questions of what role digital technology platforms and nascent regulation have played in shaping the state of digital -native journalism in Australia. Australia's concentrated media ownership landscape and its introduction of the world -first News Media Bargaining Code (NMBC), provide a unique backdrop to examine the economic and regulatory environment that impacts Australia's digital -native journalism. Using a case -study approach, the research explores seven diverse digital -native news outlets over six years across three time periods: several years after the Global Financial Crisis (2017), just prior to the Covid-19 pandemic (2020-), and after the introduction of the NMBC (2023). Expert interviews provide insights into the role of digital platforms in shaping digital -only media. The digital native fail rate in this study is high (&gt;40%). But we also find that of those that endure, the most successful placed a premium on building a distinctive brand (often through specialized reporting), adopting a diversified (hybrid) funding model, and growing audience share through trust. Most benefited from regulation in the form of the NMBC to increase newsroom resources, yet were also cautious of platform dependency.</t>
  </si>
  <si>
    <t>[Carson, Andrea] La Trobe Univ, Dept Polit Media &amp; Philosophy, Melbourne, Australia; [Muller, Denis] Univ Melbourne, Ctr Adv Journalism, Melbourne, Australia</t>
  </si>
  <si>
    <t>La Trobe University; University of Melbourne</t>
  </si>
  <si>
    <t>Carson, A (corresponding author), La Trobe Univ, Dept Polit Media &amp; Philosophy, Melbourne, Australia.</t>
  </si>
  <si>
    <t>a.carson@latrobe.edu.au</t>
  </si>
  <si>
    <t>Carson, Andrea/AAH-2320-2019</t>
  </si>
  <si>
    <t>CARSON, ANDREA/0000-0001-5503-3334</t>
  </si>
  <si>
    <t>Facebook Inc</t>
  </si>
  <si>
    <t>Facebook Inc(Facebook Inc)</t>
  </si>
  <si>
    <t>A Facebook Inc grant contributed to the first wave of this three-part study.</t>
  </si>
  <si>
    <t>10.17645/mac.7529</t>
  </si>
  <si>
    <t>OK5M0</t>
  </si>
  <si>
    <t>WOS:001207176900001</t>
  </si>
  <si>
    <t>Jones, SC; Boniface, ER; Boehnlein, C; Packham, AJ; Baldwin, MK</t>
  </si>
  <si>
    <t>Jones, Sydney C.; Boniface, Emily R.; Boehnlein, Colin; Packham, Alexandra Jones; Baldwin, Maureen K.</t>
  </si>
  <si>
    <t>Menstrual Health Literacy among Adolescents and Young Adults Who Menstruate: Impact of Christian Family Background and United States Region</t>
  </si>
  <si>
    <t>Health literacy; Menstruation; Amenorrhea; Gonadal hormones; Contraception; Health education; Sex education; Religion; Christianity</t>
  </si>
  <si>
    <t>DYSMENORRHEA; ATTITUDES; WOMEN</t>
  </si>
  <si>
    <t>Study Objective: To compare menstrual health literacy among adolescents and young adults on the basis of family religious background and United States region Methods: We conducted a cross-sectional online survey of post-menarcheal US adolescents and young adults aged 14-24 years who identified their family religious background, including Christian or non-religious, with recruitment via the social media platform TikTok. We asked participants several questions to assess their health literacy regarding common myths about the use of gonadal steroid hormones for menstrual suppression. Results: From 3250 online survey respondents, 2997 met the criteria for analysis, with 1989 identifying their family as Christian (66.4%) and 1008 identifying their family as non-religious (33.6%), with equal representation by US region. Health literacy was lower among those with a Christian family background, with concerns that menstrual suppression is unhealthy (16.4% vs 10.5% with non -religious background, P &lt; .01), is unsafe (31.4% vs 24.2%, P &lt; .01), and could lead to infertility (32.6% vs 20.0%, P &lt; .01). Similarly, adolescents and young adults from the US South were worried that menstrual suppression is unhealthy (31.5%; P &lt; .01) and would lead to infertility (33.8%; P &lt; .01). Conclusion: Health literacy is lower among adolescents and young adults with a Christian family background and those who live in the South. These results demonstrate a need for an evidence -based national curriculum that addresses the safe and effective use of hormonal medications for menstrual suppression.</t>
  </si>
  <si>
    <t>[Jones, Sydney C.; Boniface, Emily R.; Boehnlein, Colin; Baldwin, Maureen K.] Oregon Hlth &amp; Sci Univ, Portland, OR USA; [Packham, Alexandra Jones] Washington State Univ, Spokane, WA USA; [Baldwin, Maureen K.] 3181 SW Sam Jackson Pk Rd,UHN 50, Portland, OR 97239 USA</t>
  </si>
  <si>
    <t>Oregon Health &amp; Science University; Washington State University</t>
  </si>
  <si>
    <t>Baldwin, MK (corresponding author), 3181 SW Sam Jackson Pk Rd,UHN 50, Portland, OR 97239 USA.</t>
  </si>
  <si>
    <t>schaum@ohsu.edu</t>
  </si>
  <si>
    <t>NIH [K12HD085809]</t>
  </si>
  <si>
    <t>NIH(United States Department of Health &amp; Human ServicesNational Institutes of Health (NIH) - USA)</t>
  </si>
  <si>
    <t>Dr Baldwin is supported by NIH K12HD085809.</t>
  </si>
  <si>
    <t>10.1016/j.jpag.2023.07.006</t>
  </si>
  <si>
    <t>HU9A5</t>
  </si>
  <si>
    <t>WOS:001162125400001</t>
  </si>
  <si>
    <t>Alghamdi, HY; Alrashed, AM; Alzahrani, SM; Alzahrani, KM</t>
  </si>
  <si>
    <t>Alghamdi, Hussam Y.; Alrashed, Abdulaziz M.; Alzahrani, Sultan M.; Alzahrani, Khalid M.</t>
  </si>
  <si>
    <t>The impact of social media and other internet sources on cosmetic interventions among females in Saudi Arabia: a cross-sectional observational study</t>
  </si>
  <si>
    <t>EUROPEAN JOURNAL OF PLASTIC SURGERY</t>
  </si>
  <si>
    <t>Cosmetic intervention; Internet; Social media; Acceptance of cosmetic surgery scale; Saudi Arabia</t>
  </si>
  <si>
    <t>SURGERY; ACCEPTANCE</t>
  </si>
  <si>
    <t>Background Cosmetic surgery may help in improving physical appearance and increasing self-esteem. Mass media may contribute to women's preference for cosmetic interventions. The study aimed to assess the social media influence impact on the performing of cosmetic interventions and to evaluate the acceptance level of those interventions among females in Saudi Arabia who rely on the internet as an information source.Methods The study was a cross-sectional study conducted from December 2022 to January 2023 among females living in Saudi Arabia. Data were collected using a self-administered questionnaire. Participants' acceptance of cosmetic interventions was evaluated using an Arabic version of the validated Acceptance of Cosmetic Surgery Scale (ACSS).Results The study included 1790 females. Most individuals were single (73.9%), and 59.6% fell into the 18-25 age group. About 14.2% of respondents used Snapchat to get information about cosmetic surgery. Younger females (&lt; 25 years) used TikTok (9.8% vs. 3.6%) and Twitter (13.7% vs. 10%) to gain knowledge about cosmetic interventions (P-value &lt; 0.001). The mean score of the overall acceptance of cosmetic surgery was 42.87. Snapchat platforms significantly increased the acceptability of cosmetic interventions (P-value = 0.032).Conclusions The present study highlighted the significance of social media's impact on the level of acceptance of cosmetic surgery among participated females. Further investigations are recommended to assess the effects of internet sources, especially social media, on the general population's acceptance level and the rate of performing cosmetic surgery.</t>
  </si>
  <si>
    <t>[Alghamdi, Hussam Y.; Alrashed, Abdulaziz M.; Alzahrani, Sultan M.; Alzahrani, Khalid M.] Taif Univ, Coll Med, Al Taif 21944, Saudi Arabia</t>
  </si>
  <si>
    <t>Taif University</t>
  </si>
  <si>
    <t>Alghamdi, HY (corresponding author), Taif Univ, Coll Med, Al Taif 21944, Saudi Arabia.</t>
  </si>
  <si>
    <t>hussam.y.alghamdi@gmail.com</t>
  </si>
  <si>
    <t>Alzahrani, Salha/HJG-6032-2022</t>
  </si>
  <si>
    <t>Taif University, Taif, Saudi Arabia; [TURSP-2020/11]</t>
  </si>
  <si>
    <t>Taif University, Taif, Saudi Arabia(Taif University);</t>
  </si>
  <si>
    <t>This research is supported by Taif University Researchers Supporting Project Number (TURSP-2020/11), Taif University, Taif 21944, Saudi Arabia. The sponsors did not have any role in study design; in the collection, analysis, and interpretation of data; in the writing of the report; or in the decision to submit the article for publication.</t>
  </si>
  <si>
    <t>0930-343X</t>
  </si>
  <si>
    <t>1435-0130</t>
  </si>
  <si>
    <t>EUR J PLAST SURG</t>
  </si>
  <si>
    <t>Eur. J. Plast. Surg.</t>
  </si>
  <si>
    <t>10.1007/s00238-023-02118-5</t>
  </si>
  <si>
    <t>AP1T1</t>
  </si>
  <si>
    <t>WOS:001094621300001</t>
  </si>
  <si>
    <t>Balaban, DC; Szambolics, J</t>
  </si>
  <si>
    <t>Balaban, Delia Cristina; Szambolics, Julia</t>
  </si>
  <si>
    <t>A Proposed Model of Self-Perceived Authenticity of Social Media Influencers</t>
  </si>
  <si>
    <t>authenticity; Instagram; interaction; social media; social media influencers; TikTok; YouTube</t>
  </si>
  <si>
    <t>SPONSORSHIP TRANSPARENCY; CREDIBILITY; CONCEPTUALIZATION; CELEBRITIES; FOLLOWERS; INSTAGRAM; JUDGMENTS; ENDORSER; IMPACT</t>
  </si>
  <si>
    <t>It is rather contradictory that there is a high demand for authenticity in today's virtual space, where some platforms encourage the proliferation of idealized images, the products of digital alteration. Previous studies have examined how social media users perceive the authenticity and credibility of new digital celebrities-influencers-and the impacts on advertising outcomes. Authenticity in media communication has been defined in many ways, but most definitions include factors such as sincerity, trustworthiness, accuracy, originality, and spontaneity. Prior research on authenticity in computer-mediated communication emphasized the importance of three levels of authenticity, that of the source, of the message, and of the interaction. How social media influencers (SMIs) perceive their own authenticity is an understudied topic. SMIs are simultaneously perceived by their audiences as celebrities, experts, and consumers. Expanding their audiences is one of their goals. Being authentic at the beginning of one's SMI career as a content creator might be simple, but it becomes much more challenging after one's audience has grown significantly. Sponsorship can pose a challenge to an SMI's authenticity. The present study aims to explore the role that authenticity plays for SMIs and develop a theoretical framework for understanding the self-perceived authenticity of SMIs. For this purpose, in-depth interviews were conducted with SMIs that have both national and international audiences (N = 20). Sincerity, expertise, uniqueness, commitment to values, mediated realness, visibility, communication style, spontaneity, transparent and creative brand endorsement, commitment to followers, and frequency of interaction are the components of the proposed model.</t>
  </si>
  <si>
    <t>[Balaban, Delia Cristina; Szambolics, Julia] Babes Bolyai Univ, Dept Commun Publ Relat &amp; Advertising, Cluj Napoca, Romania</t>
  </si>
  <si>
    <t>Balaban, DC (corresponding author), Babes Bolyai Univ, Dept Commun Publ Relat &amp; Advertising, Cluj Napoca, Romania.</t>
  </si>
  <si>
    <t>balaban@fspac.ro</t>
  </si>
  <si>
    <t>Balaban, Delia/AAZ-9383-2020</t>
  </si>
  <si>
    <t>Balaban, Delia Cristina/0000-0003-3509-533X; Szambolics, Julia/0000-0003-0066-9292</t>
  </si>
  <si>
    <t>10.17645/mac.v10i1.4765</t>
  </si>
  <si>
    <t>WOS:000762434300010</t>
  </si>
  <si>
    <t>Jiang, CH; Xu, JJ; Xu, C; Chen, SY; Chen, JY; Xia, JS; Liao, Z; Zou, WB; Fang, X</t>
  </si>
  <si>
    <t>Jiang, Chun-Hui; Xu, Jia-Jia; Xu, Chao; Chen, Shi-Yue; Chen, Jia-Yun; Xia, Jing-Song; Liao, Zhuan; Zou, Wen-Bin; Fang, Xue</t>
  </si>
  <si>
    <t>Status quo of the public's knowledge of probiotics based on video-sharing platforms</t>
  </si>
  <si>
    <t>Probiotics; The public; Knowledge; Online videos; Social media</t>
  </si>
  <si>
    <t>Background Probiotics have been deemed multipotent and unprecedentedly applied in the health field recently. However, there are challenges in promoting credible and reliable resources while avoiding misinformation regarding probiotics for the public. Methods This study analysed 400 eligible probiotic-related videos selected from YouTube, and the three most popular video-sharing platforms (Bilibili, Weibo and TikTok) in China. Video retrieval was performed on September 5th, 2022. GQS and tailored DISCERN tool assess each video's quality, usage, and reliability. A comparative analysis of videos from different sources was carried out. Results The identity distribution of probiotic video-producers was predominantly experts (n = 202, 50.50%), followed by amateurs (n = 161, 40.25%) and health-related institutions (n = 37, 9.25%). The videos' content category mainly discussed the function of probiotics (n = 120, 30%), the way to choose suitable products (n = 81, 20.25%), and the methods for taking probiotics (n = 71, 17.75%).The overall quality of videos was moderate (3/5 point) assessed by GQS, while the usage (1/6 point) and reliability (2/5 point) detailing probiotics assessed by tailored DISCERN tool were poor. The attitude of probiotic video-producers was primarily positive (n = 323, 80.75%), followed by neutral (n = 52, 13.00%) and negative (n = 25, 6.25%) (P &lt; 0.001). Conclusions The current study showed that videos on social media platforms publicise important information including the concepts, usage, and precautions of probiotics to the public. But the overall quality of uploaded videos about probiotics was unsatisfactory. More efforts are needed to improve the higher-quality content of probioticrelated online videos and better propagate probiotic knowledge to the public in the future.</t>
  </si>
  <si>
    <t>[Jiang, Chun-Hui; Xu, Chao; Chen, Jia-Yun; Xia, Jing-Song; Liao, Zhuan; Zou, Wen-Bin; Fang, Xue] Naval Mil Med Univ, Changhai Hosp, Dept Gastroenterol, 168 Changhai Rd, Shanghai 200433, Peoples R China; [Xu, Jia-Jia] Beicai Community Hlth Serv Ctr Pudong New Dist, Dept Gen Med, Shanghai, Peoples R China; [Chen, Shi-Yue] Naval Mil Med Univ, Changhai Hosp, Dept Radiol, Shanghai, Peoples R China; [Xia, Jing-Song] Univ Shanghai Sci &amp; Technol, Sch Hlth Sci &amp; Engn, Shanghai, Peoples R China</t>
  </si>
  <si>
    <t>Naval Medical University; Naval Medical University; University of Shanghai for Science &amp; Technology</t>
  </si>
  <si>
    <t>Zou, WB; Fang, X (corresponding author), Naval Mil Med Univ, Changhai Hosp, Dept Gastroenterol, 168 Changhai Rd, Shanghai 200433, Peoples R China.</t>
  </si>
  <si>
    <t>dr.wenbinzou@hotmail.com; fxsmmu@hotmail.com</t>
  </si>
  <si>
    <t>xu, jiajia/AAL-9885-2020; Zou, Wen-Bin/ACK-2432-2022; Chen, Jiayun/HJO-9192-2023</t>
  </si>
  <si>
    <t>Jiang, ChunHui/0000-0002-1237-585X</t>
  </si>
  <si>
    <t>National Natural Science Foundation of China [81800479, 82170568]; Projects of Logistical Support Department, China [2020-JY06, 21QNPY037]</t>
  </si>
  <si>
    <t>National Natural Science Foundation of China(National Natural Science Foundation of China (NSFC)); Projects of Logistical Support Department, China</t>
  </si>
  <si>
    <t>This work was supported by the National Natural Science Foundation of China (Grant No.81800479, No.82170568); Projects of Logistical Support Department, China [2020-JY06, 21QNPY037].</t>
  </si>
  <si>
    <t>10.1186/s12889-023-15456-7</t>
  </si>
  <si>
    <t>Q8YC7</t>
  </si>
  <si>
    <t>WOS:001060310600001</t>
  </si>
  <si>
    <t>Muñoz-Rodríguez, JM; Alonso, CP; Pessoa, T; Martín-Lucas, J</t>
  </si>
  <si>
    <t>Munoz-Rodriguez, Jose Manuel; Alonso, Carmen Patino; Pessoa, Teresa; Martin-Lucas, Judith</t>
  </si>
  <si>
    <t>Identity profile of young people experiencing a sense of risk on the internet: A data mining application of decision tree with CHAID algorithm</t>
  </si>
  <si>
    <t>Risk; Perception; Internet; Identity; Adolescents; CHAID</t>
  </si>
  <si>
    <t>ADOLESCENTS; PREDICTORS; EDUCATION</t>
  </si>
  <si>
    <t>Social media, interactive games, and digital platforms are just some of the ways in which the internet has become part of our lives, and more specifically so among young people. Among other things, this technology is the reason young people are spending increasingly more time online than offline, prompting numerous risks that they are sometimes unaware of. The following quantitative research is based on this premise, and it pursues two objectives, namely, to discover whether or not young people experience a sense of risk linked to their use of the internet and identify the kind of young people that say they do or do not perceive any such risk. A total of 1991 young people answered the Technology Use Studies questionnaire. The classification tree technique based on the Chi-square Automatic Interaction Detector (CHAID) was applied to identify the predictive variables associated with the sense of risk in young people. Two highly significant results have been forthcoming: firstly, we present the factors with the biggest impact on a young person's internet-related sense of risk, involving isolation when they cannot go online, followed by variables such as gender, the use of TikTok, and videogames, the consumption of pornography, and distraction from study time. Secondly, our results indicate that the young people that feel isolated when they cannot go online are precisely the ones that do not experience a sense of online risk. It is therefore of vital importance for education to generate and provide young people with strategies that allow them to establish a healthy and responsible relationship with tech-nologies such as the internet.</t>
  </si>
  <si>
    <t>[Munoz-Rodriguez, Jose Manuel; Martin-Lucas, Judith] Univ Salamanca, Fac Educ, Dept Theory &amp; Hist Educ, Paseo Canalejas 169, Salamanca 37008, Spain; [Alonso, Carmen Patino] Univ Salmanca, Stat Dept, Calle Alfonso X El Sabio S-N, Salamanca 37007, Spain; [Pessoa, Teresa] Univ Coimbra, Fac Psychol &amp; Educ Sci, Rua Colegio Novo 1, P-3000115 Coimbra, Portugal</t>
  </si>
  <si>
    <t>University of Salamanca; Universidade de Coimbra</t>
  </si>
  <si>
    <t>Martín-Lucas, J (corresponding author), Univ Salamanca, Fac Educ, Dept Theory &amp; Hist Educ, Paseo Canalejas 169, Salamanca 37008, Spain.</t>
  </si>
  <si>
    <t>pepema@usal.es; carpatino@usal.es; tpessoa@fpce.uc.pt; judithmartin@usal.es</t>
  </si>
  <si>
    <t>Patino-Alonso, Carmen/I-4608-2014; Martin-Lucas, Judith/T-3533-2018</t>
  </si>
  <si>
    <t>Pessoa, Teresa/0000-0002-5252-3618; Martin-Lucas, Judith/0000-0002-1655-0280</t>
  </si>
  <si>
    <t>CONNECT-ID. La identidad hiperconectada de la juventud y su percepcion del tiempo en el ocio digital - Spain's Ministry of Science, Innovation and Universities [PGC 2018-097884-B-I00]; NATEC-ID. Analisis de los procesos de (des-re) conexion con la NAturaleza y con la TEcnologia en la construccion de la IDentidad infantil - Spain's Ministry of Science and Innovation [PID 2021-122993NB-100]; Tecnologia disruptiva como catalizadora de la transicion ecologica desde la educacion ambiental. estudio y diseno de soluciones tecnoeducativas desde NaturTEC Kids livinglab - Spain's Ministry of Science and Innovation [TED 2021-130300A-C22]</t>
  </si>
  <si>
    <t>CONNECT-ID. La identidad hiperconectada de la juventud y su percepcion del tiempo en el ocio digital - Spain's Ministry of Science, Innovation and Universities; NATEC-ID. Analisis de los procesos de (des-re) conexion con la NAturaleza y con la TEcnologia en la construccion de la IDentidad infantil - Spain's Ministry of Science and Innovation; Tecnologia disruptiva como catalizadora de la transicion ecologica desde la educacion ambiental. estudio y diseno de soluciones tecnoeducativas desde NaturTEC Kids livinglab - Spain's Ministry of Science and Innovation</t>
  </si>
  <si>
    <t>This work was supported by CONNECT-ID. La identidad hiperconectada de la juventud y su percepcion del tiempo en el ocio digital [Hyperconnected identity of young people and their perception of time in digital pastimes], funded by Spain's Ministry of Science, Innovation and Universities, grant number (Ref. PGC 2018-097884-B-I00), NATEC-ID. Analisis de los procesos de (des-re) conexion con la NAturaleza y con la TEcnologia en la construccion de la IDentidad infantil [Analysis of the processes of (dis-re) connection with NAture and TEchnology when building a child's IDentity] funded by Spain's Ministry of Science and Innovation (PID 2021-122993NB-100), and Tecnologia disruptiva como catalizadora de la transicion ecologica desde la educacion ambiental. estudio y diseno de soluciones tecnoeducativas desde NaturTEC Kids livinglab funded by Spain's Ministry of Science and Innovation (TED 2021-130300A-C22).</t>
  </si>
  <si>
    <t>10.1016/j.compedu.2023.104743</t>
  </si>
  <si>
    <t>8Q9YP</t>
  </si>
  <si>
    <t>WOS:000927554100001</t>
  </si>
  <si>
    <t>Manago, AM; Walsh, AS; Barsigian, LL</t>
  </si>
  <si>
    <t>Manago, Adriana M.; Walsh, Abigail S.; Barsigian, Logan L.</t>
  </si>
  <si>
    <t>The contributions of gender identification and gender ideologies to the purposes of social media use in adolescence</t>
  </si>
  <si>
    <t>adolescent social media use; gender differences; gender identity; masculinity and femininity ideology; uses and gratifications theory</t>
  </si>
  <si>
    <t>NETWORKING SITES; HEGEMONIC MASCULINITY; FEMININITY IDEOLOGY; SELF-PRESENTATION; DIGITAL MEDIA; ONLINE; GIRLS; FACEBOOK; ROLES; BOYS</t>
  </si>
  <si>
    <t>Gender differences in adolescent social media use are often documented in the research literature, yet few studies delve into why they occur. Accordingly, we investigated whether gender identification and gender ideologies are associated with five major purposes of social media use in adolescence (emotion and activity bonding with friends, social compensation, appearance validation, and bullying). Participants were 309 cisgender U.S. high school students (Mage = 15.74; 59% girls; 53% white) primarily using Instagram and Snapchat but also TikTok (more popular with girls) and Discord (more popular with boys) in 2019. Girls reported greater use of social media for emotion bonding, appearance validation, and social compensation compared to boys, who reported greater competitive activity bonding. Girls and boys did not differ in their use of social media for bullying. In linear regressions, masculinity ideology predicted purposes associated with girls (appearance validation, social compensation), as well as those associated with boys (competitive activity bonding), regardless of gender. Femininity ideology uniquely predicted emotion bonding and social compensation but only mediated the effect of gender for the latter. Findings illustrate that gender is important for understanding uses and gratifications of social media in adolescence, but traditional masculinity ideology is similar across genders and relates to multiple functions of social media in boys' and girls' lives. More work is needed to conceptualize gender beliefs and values in Gen Z, given recent challenges to gender binary ideology and low reliability of the scales in this study, which were developed before social media.</t>
  </si>
  <si>
    <t>[Manago, Adriana M.; Walsh, Abigail S.; Barsigian, Logan L.] Univ Calif Santa Cruz, Dept Psychol, Santa Cruz, CA 95064 USA</t>
  </si>
  <si>
    <t>Manago, AM (corresponding author), Univ Calif Santa Cruz, Dept Psychol, Santa Cruz, CA 95064 USA.</t>
  </si>
  <si>
    <t>amanago@ucsc.edu</t>
  </si>
  <si>
    <t>Barsigian, Logan/0000-0003-0429-6227</t>
  </si>
  <si>
    <t>Hellman Fellowship and the Institute for Social Transformation, both housed at the University of California, Santa Cruz</t>
  </si>
  <si>
    <t>The research was supported by a Hellman Fellowship and the Institute for Social Transformation, both housed at the University of California, Santa Cruz.</t>
  </si>
  <si>
    <t>10.3389/fpsyg.2022.1011951</t>
  </si>
  <si>
    <t>8F6YU</t>
  </si>
  <si>
    <t>WOS:000919807300001</t>
  </si>
  <si>
    <t>Díaz-Altozano, P; Padilla-Castillo, G; Requeijo-Rey, P</t>
  </si>
  <si>
    <t>Diaz-Altozano, Paula; Padilla-Castillo, Graciela; Requeijo-Rey, Paula</t>
  </si>
  <si>
    <t>Girls's sexualization on social networks: the need for semantic intelligence on Instagram</t>
  </si>
  <si>
    <t>Instagram; photographs; millennials; sexualization; semantic intelligence</t>
  </si>
  <si>
    <t>GENDER; MEDIA; BODY; CONSTRUCTION; YOUTUBERS; CELEBRITY; ACTIVISM; AUTHORS; WOMEN; IMAGE</t>
  </si>
  <si>
    <t>Introduction. Instagram is the millennials' favourite social network. Its community regulations prohibit nudes, except in cases of mastectomies, breastfeeding, paintings and sculptures. Its artificial intelligence only detects percentages of skin in photographs. Lacking semantic intelligence, its algorithms do not discover other forms of sexualization. In this subterfuge, children and girls show their bodies dressed and reified, in school uniforms, surrounded by children's elements. They recreate the Lolita myth and get millions of followers. Objectives. This paper describes this dark phenomenon to investigate: the hashtags that use this new form of sexualization not censurable by the algorithms; the objective and subjective perceptions of those photographs; and a proposal for gender intervention. Methodology. The research contains two phases: a longitudinal bibliographic exploration, which delves into Instagram and its conditions of use, personal identity and narrative, and semantic intelligence to read photographs; and an inquiry that correlates the reciprocity of hashtags, its normal denotation and its sexualized connotation. Results. The results are arranged around two modalities: children who are not of legal age to have an account and girls who are of legal age to have an account. The quantitative part includes: hashtag, account name, country and followers. The qualitative part explores: description of the elements of the photographs, normal meanings and implicit sexualized meanings. Conclusions and discussion. It is concluded that it is necessary to: detect other hashtags that describe other sexualizations; expand this prospect internationally; extrapolate this research to other social networks, such as YouTube and TikTok; share the results with social networks and the Security Forces; monitor the use of social networks by parents; training in educational settings; acquisition of semantic intelligence by social networks and minors.</t>
  </si>
  <si>
    <t>[Diaz-Altozano, Paula; Padilla-Castillo, Graciela; Requeijo-Rey, Paula] Univ Complutense Madrid, Madrid, Spain</t>
  </si>
  <si>
    <t>Díaz-Altozano, P (corresponding author), Univ Complutense Madrid, Madrid, Spain.</t>
  </si>
  <si>
    <t>pauladiazaltozano@ucm.es; gracielp@ucm.es; p.requeijo@ucm.es</t>
  </si>
  <si>
    <t>Requeijo Rey, Paula/GQQ-1609-2022; Padilla-Castillo, Graciela/H-1367-2015</t>
  </si>
  <si>
    <t>10.5209/infe.69559</t>
  </si>
  <si>
    <t>RB4EX</t>
  </si>
  <si>
    <t>WOS:000632067000004</t>
  </si>
  <si>
    <t>Armstrong-Javors, A; Realbuto, E; Dy-Hollins, ME; Scharf, JM</t>
  </si>
  <si>
    <t>Armstrong-Javors, Amy; Realbuto, Evan; Dy-Hollins, Marisela E.; Scharf, Jeremiah M.</t>
  </si>
  <si>
    <t>Increase in Functional Tic Presentations in Sexual Orientation and Gender Identity Minority Youth During Coronavirus Disease 2019</t>
  </si>
  <si>
    <t>Sexual orientation and gender identity (SOGI); Functional tic disorders; Youth; COVID-19 pandemic; Social media</t>
  </si>
  <si>
    <t>PSYCHOGENIC MOVEMENT-DISORDERS; SOCIAL MEDIA; TRANSGENDER; TIKTOK; CARE; DIAGNOSIS; COVID-19; CHILDREN; ONSET</t>
  </si>
  <si>
    <t>Background: Functional tic disorders are among the least common functional movement disorders, but their prevalence rose during the coronavirus disease 2019 (COVID-19) pandemic. Although female adolescents develop functional neurological disorders at higher rates than males, investigations into sexual orientation and gender identity (SOGI) status of these patients are limited. Methods: We completed a retrospective, cross-sectional time series examining the incidence of newonset functional tic disorders in youth presenting to the Massachusetts General Hospital Movement Disorder clinics before and during the COVID-19 pandemic. Data were collected by searching for relevant International Classification of Diseases (ICD)-10 diagnostic codes in youth aged nine to 26 years using a hospital-wide data repository. Individual cases were reviewed for inclusion based on clinical criteria and expert consensus. Results: The prevalence of functional tic presentations in youth rose 8.6-fold from pre- to postpandemic levels (Fisher exact test P &lt; 0.001), whereas the prevalence of developmental tic presentations pre- and postpandemic remained stable (114 vs 112). SOGI minority youth comprised 37% of those with functional tics (total n 1/4 19). Ninety five percent of patients with functional tics identified as female, with 10% of these identifying as transgender. Conclusions: Our data confirm previously demonstrated dramatic rises in functional tic presentations during the COVID-19 pandemic and, more notably, reveal a strong association with SOGI minority status. We highlight the potential link between functional tic disorders and SOGI minority status. Providing a safe and supportive clinical environment and addressing stress linked to SOGI minority status may help to improve patient prognosis.</t>
  </si>
  <si>
    <t>[Armstrong-Javors, Amy; Realbuto, Evan; Dy-Hollins, Marisela E.; Scharf, Jeremiah M.] Massachusetts Gen Hosp, Dept Neurol, 55 Fruit St, Boston, MA 02114 USA; [Realbuto, Evan] Kent State Univ, Dept Clin Psychol, Kent, OH USA</t>
  </si>
  <si>
    <t>Harvard University; Massachusetts General Hospital; University System of Ohio; Kent State University; Kent State University Salem; Kent State University Kent</t>
  </si>
  <si>
    <t>Armstrong-Javors, A (corresponding author), Massachusetts Gen Hosp, Dept Neurol, 55 Fruit St, Boston, MA 02114 USA.</t>
  </si>
  <si>
    <t>aarmstrong-javors@mgb.org</t>
  </si>
  <si>
    <t>Dy-Hollins, Marisela/0000-0002-5688-324X</t>
  </si>
  <si>
    <t>NIH; Tourette Association of America; [K12NS098482]</t>
  </si>
  <si>
    <t>NIH(United States Department of Health &amp; Human ServicesNational Institutes of Health (NIH) - USA); Tourette Association of America;</t>
  </si>
  <si>
    <t>Amy Armstrong-Javors is a peer reviewer and editor for Pediatric Neurology. Evan Realbuto has no financial disclosures or conflicts of interest. Marisela E. Dy-Hollins has received research support from the Tourette Association of America and NIH K12NS098482. Jeremiah M Scharf has no financial disclosures or con flicts of interest. This research did not receive any specific grant from funding agencies in the public, commercial, or not -for -pro fit sectors.</t>
  </si>
  <si>
    <t>10.1016/j.pediatrneurol.2024.03.027</t>
  </si>
  <si>
    <t>SU5N3</t>
  </si>
  <si>
    <t>WOS:001236974600001</t>
  </si>
  <si>
    <t>Elliott, C; Truman, E; Black, JE</t>
  </si>
  <si>
    <t>Elliott, Charlene; Truman, Emily; Black, Jason Edward</t>
  </si>
  <si>
    <t>Tracking teen food marketing: Participatory research to examine persuasive power and platforms of exposure</t>
  </si>
  <si>
    <t>APPETITE</t>
  </si>
  <si>
    <t>Max. 6): Adolescence; Food marketing; Monitoring Policy; Teenager; Power</t>
  </si>
  <si>
    <t>UNHEALTHY FOOD</t>
  </si>
  <si>
    <t>Food marketing has long been recognized to influence children's food preferences and consumption patterns, yet only in recent years have teenagers been recognized as a uniquely vulnerable audience for food marketing appeals. Marketing pressures on teenagers around food promotion continue to intensify, yet little is known about the marketing channels and specific persuasive appeals targeting this audience. Given this research gap, this participatory research study engages teenagers to capture the food marketing targeting them and to identify its persuasive power and platforms of exposure. Using a specially designed mobile app called GrabFM! (Grab Food Marketing!) teenagers (ages 13-17, n = 309) identified and tagged examples of teen-targeted food marketing in their physical and digital environments over a 7-day period. Results reveal that: 1) digital platforms dominate teen-targeted food marketing, with over three quarters of the ads found on Instagram, Snapchat, TikTok, ad YouTube; 2) branded beverages, fast food, and candy/chocolate comprise the majority (72%) of ads; and 3) the most powerful techniques for attracting teens attention are visual style, special offer and theme. In 40% of advertisements submitted, teenagers used only one indicator to identify teen-targeted, although older teenagers (ages 15-17) were more likely to report multiple indicators per ad. This study provides important insights into the platforms targeting teenagers (and their relative importance), the food products endorsed, and the specific appeals that teenagers find persuasive. For the purposes of monitoring, it is helpful to know that digital platforms comprise the majority of teen-directed food promotions, and that the Big Food brands have been joined by countless smaller players to sell food to teens.</t>
  </si>
  <si>
    <t>[Elliott, Charlene; Truman, Emily] Univ Calgary, Commun Media &amp; Film, 2500 Univ Drive NW, Calgary, AB T2N 1N4, Canada; [Black, Jason Edward] Univ Calgary, Cumming Sch Med, Dept Community Hlth Sci, 3330 Hosp Dr NW, Calgary, AB T2N 4N1, Canada</t>
  </si>
  <si>
    <t>University of Calgary; University of Calgary</t>
  </si>
  <si>
    <t>Elliott, C (corresponding author), Univ Calgary, Commun Media &amp; Film, 2500 Univ Drive NW, Calgary, AB T2N 1N4, Canada.</t>
  </si>
  <si>
    <t>celliott@ucalgary.ca; emily.truman@ucalgary.ca; jason.black@ucalgary.ca</t>
  </si>
  <si>
    <t>Elliott, Charlene/0000-0003-2615-2144; Truman, Emily/0000-0003-3377-9869</t>
  </si>
  <si>
    <t>CIHR Canada Research Chairs program; Health Canada</t>
  </si>
  <si>
    <t>CIHR Canada Research Chairs program(Canadian Institutes of Health Research (CIHR)); Health Canada</t>
  </si>
  <si>
    <t>This work was supported by the CIHR Canada Research Chairs program and funding from Health Canada. The funders were not involved in any stage of the study.</t>
  </si>
  <si>
    <t>ACADEMIC PRESS LTD- ELSEVIER SCIENCE LTD</t>
  </si>
  <si>
    <t>24-28 OVAL RD, LONDON NW1 7DX, ENGLAND</t>
  </si>
  <si>
    <t>0195-6663</t>
  </si>
  <si>
    <t>1095-8304</t>
  </si>
  <si>
    <t>Appetite</t>
  </si>
  <si>
    <t>10.1016/j.appet.2023.106550</t>
  </si>
  <si>
    <t>Behavioral Sciences; Nutrition &amp; Dietetics</t>
  </si>
  <si>
    <t>F3HL5</t>
  </si>
  <si>
    <t>WOS:000981287700001</t>
  </si>
  <si>
    <t>Morrisroe, KA; Longo, K; Pebley, P; Jain, L</t>
  </si>
  <si>
    <t>Morrisroe, Kathleen A.; Longo, Katherine; Pebley, Patricia; Jain, Lakshit</t>
  </si>
  <si>
    <t>Fitting in an Unfit Society With Autism Spectrum Disorder: Case Report</t>
  </si>
  <si>
    <t>psycho-social intelligence; social psychiatry; social networks; inpatient psychiatry services; social constructivist learning environment; case report; self harm; camouflaging; behavioral mimicking; autism spectrum disorder</t>
  </si>
  <si>
    <t>Evaluating behavioral mimicking is important in healthcare providers' everyday functioning with an increased presentation of Tourette syndrome-like cases during the COVID-19 pandemic, seen due to the popular video creators on social media (e.g., TikTok) exhibiting these behaviors. Individuals with autism spectrum disorder (ASD) face difficulties with connection and assimilation, and they adapt by camouflaging their behaviors to fit with those of the neurotypical majority. Our team evaluated the behaviors of one individual with ASD to establish whether camouflaging was playing a role in her psychiatric stabilization in our inpatient psychiatric unit. We present a case of a 30-year-old female with ASD, admitted to our longterm inpatient psychiatric facility for significant mood dysregulation that persisted despite numerous treatment approaches (mediations, groups, etc.). While her initial behaviors included head banging and selfinduced falls, her behaviors seemed to change based on those of her peers, in an apparent attempt to camouflage into the social environment within the unit. She also appeared to learn new self-harm behaviors, such as skin picking, from peers around her. The team was able to establish a temporal link between some instances of peers exhibiting specific behaviors and our patient engaging in similar behavior. Although inpatient units effectively manage long-term stabilization in other psychiatric disorders, these environments are not designed for individuals with ASD. Treatment teams should recognize the malleability of behaviors in patients with ASD and must identify and manage behavioral mimicking early during inpatient psychiatric treatment; otherwise, it may lead to significant harm.</t>
  </si>
  <si>
    <t>[Morrisroe, Kathleen A.] Univ Connecticut, Dept Psychiat, Sch Med, Farmington, CT USA; [Longo, Katherine] Univ Hartford, Grad Inst Profess Psychol, Dept Psychol, Hartford, CT USA; [Longo, Katherine; Pebley, Patricia] Connecticut Valley Hosp, Dept Psychol, Middletown, CT USA; [Jain, Lakshit] Univ Connecticut, Dept Psychiat, Hartford, CT 06103 USA</t>
  </si>
  <si>
    <t>University of Connecticut; University of Hartford; University of Connecticut</t>
  </si>
  <si>
    <t>Jain, L (corresponding author), Univ Connecticut, Dept Psychiat, Hartford, CT 06103 USA.</t>
  </si>
  <si>
    <t>lakshit.jain@ct.gov</t>
  </si>
  <si>
    <t>Jain, Lakshit/ACA-7879-2022</t>
  </si>
  <si>
    <t>Jain, Lakshit/0000-0003-3080-9356</t>
  </si>
  <si>
    <t>CUREUS INC</t>
  </si>
  <si>
    <t>PO BOX 61002, PALO ALTO, CA 94306 USA</t>
  </si>
  <si>
    <t>e36966</t>
  </si>
  <si>
    <t>10.7759/cureus.36966</t>
  </si>
  <si>
    <t>F2NW7</t>
  </si>
  <si>
    <t>WOS:000980774100014</t>
  </si>
  <si>
    <t>Brown, K</t>
  </si>
  <si>
    <t>Brown, Kevin</t>
  </si>
  <si>
    <t>Karaoke Instagram Amateur desire and the performance economy</t>
  </si>
  <si>
    <t>PERFORMANCE RESEARCH</t>
  </si>
  <si>
    <t>In this study, I compare and contrast online and offline performances of karaoke and ask, what are the material phenomena associated with the two practices? How are they different and/or the same? What does this tell us about the connection between performance and technology, especially in relation to amateur singing and its mediatized forms? Following this mode of enquiry, I find that examples of online and offline karaoke provide useful insight into ways amateur performances are inevitably permeated by commerce. I also offer hope and guidance towards how future networks of amateur performances might escape this fate. I have begun a new study of karaoke in and around Columbia, Missouri (USA), with a special focus on local singing in rural communities. Alongside this I am examining how karaoke has grown into a pervasive online genre of amateur performance. I'm doing extensive research of performances of karaoke presented on social media sites like Instagram, Facebook, YouTube and TikTok. This ongoing study seeks to reveal connections between desire and materialism - drawing parallels between karaoke, online commerce and commercialism - as well as exploring the flattening and globalizing of local performance when presented on social media. In a brand new world where 'anyone can do it', businesses keep finding new ways to draw people in and capitalize on their desire for celebrity, even if they are only famous for a few minutes. While karaoke may begin as a kind of amateur local singing that provides consumers with an open media text, the possibility of agency in its interpretation becomes closed the instant it hits the global network. Once these performances are reactivated on social media, any 'voids' that karaoke opens up are almost immediately commodified and closed.</t>
  </si>
  <si>
    <t>[Brown, Kevin] Univ Missouri, Theatre, Columbia, MO 65211 USA</t>
  </si>
  <si>
    <t>University of Missouri System; University of Missouri Columbia</t>
  </si>
  <si>
    <t>Brown, K (corresponding author), Univ Missouri, Theatre, Columbia, MO 65211 USA.</t>
  </si>
  <si>
    <t>1352-8165</t>
  </si>
  <si>
    <t>1469-9990</t>
  </si>
  <si>
    <t>PERFORM RES</t>
  </si>
  <si>
    <t>Perform. Res.</t>
  </si>
  <si>
    <t>10.1080/13528165.2020.1738893</t>
  </si>
  <si>
    <t>LG0WF</t>
  </si>
  <si>
    <t>WOS:000527831500007</t>
  </si>
  <si>
    <t>Burke, A; Kumpulainen, K; Smith, C</t>
  </si>
  <si>
    <t>Burke, Anne; Kumpulainen, Kristiina; Smith, Caighlan</t>
  </si>
  <si>
    <t>Children's digital play as collective family resilience in the face of the pandemic</t>
  </si>
  <si>
    <t>Agency; childhood cultures; children's use of social media platforms; children's perspectives; co-construction; family involvement; home and community; identity; narrative; play</t>
  </si>
  <si>
    <t>COVID-19; EXPERIENCE; RISK</t>
  </si>
  <si>
    <t>In this article we explore how digital play as conducted through various social media and online meeting platforms facilitated resiliency and confidence building in children during the COVID-19 pandemic. Using day-in-the-life methodology and narrative inquiry, we disseminate and examine observations collected on children aged 2-10 during lockdown in a Newfoundland neighbourhood. Children utilized platforms such as TikTok, YouTube, and Zoom to embrace their agentic digital play in ways that repurposed the platforms to fulfil life milestones and social needs otherwise impacted and disrupted by pandemic restrictions. Through a series of vignettes and interviews, our research not only examines how such digital play benefits children and their healthy development, but how parents reacted to and assisted with their children's agentic digital platform manipulation and how this provided positive benefits and enriching experiences to the entire family. We additionally explore the conflicts and tensions both children and parents encountered in securely implementing free play via digital platforms, including fears of excess screen-time, digital dependency, and online threats, all of which risk limiting children's ability to independently explore their creativity and identities through digital play if not handled sensitively. Despite the hurdles to implementing digital play, this study exposes why it is essential for families to navigate this online terrain; this study ultimately poses that digital play and online platforms not only were beneficial to maintaining and building family resilience during the pandemic but will be vital assets in sustaining resiliency and positive mindsets moving forward with pandemic recovery.</t>
  </si>
  <si>
    <t>[Burke, Anne; Smith, Caighlan] Mem Univ, St John, NF, Canada; [Kumpulainen, Kristiina] Simon Fraser Univ, Burnaby, BC, Canada; [Burke, Anne] Mem Univ, 252 Elizabeth Ave, St John, NF A1C 5S7, Canada</t>
  </si>
  <si>
    <t>Memorial University Newfoundland; Simon Fraser University; Memorial University Newfoundland</t>
  </si>
  <si>
    <t>Burke, A (corresponding author), Mem Univ, 252 Elizabeth Ave, St John, NF A1C 5S7, Canada.</t>
  </si>
  <si>
    <t>amburke@mun.ca</t>
  </si>
  <si>
    <t>Burke, Anne/0000-0001-7678-0849</t>
  </si>
  <si>
    <t>10.1177/14687984221124179</t>
  </si>
  <si>
    <t>9X6EV</t>
  </si>
  <si>
    <t>WOS:000941855600001</t>
  </si>
  <si>
    <t>Vall-Roqué, H; Andrés, A; Saldaña, C</t>
  </si>
  <si>
    <t>Vall-Roque, Helena; Andres, Ana; Saldana, Carmina</t>
  </si>
  <si>
    <t>The impact of COVID-19 lockdown on social network sites use, body image disturbances and self-esteem among adolescent and young women</t>
  </si>
  <si>
    <t>PROGRESS IN NEURO-PSYCHOPHARMACOLOGY &amp; BIOLOGICAL PSYCHIATRY</t>
  </si>
  <si>
    <t>COVID-19; Social networks; Body image; Self-esteem; Eating disorders</t>
  </si>
  <si>
    <t>CHILDREN; MEDIA</t>
  </si>
  <si>
    <t>Objective: This study aimed to determine the impact of COVID-19 lockdown on social network sites (SNS) use and to explore whether SNS use is associated with body image disturbances and low self-esteem. Methods: A total of 2601 women living in Spain aged 14-35 years completed questionnaire measures of SNS use, self-esteem, body dissatisfaction and drive for thinness. In the survey, participants were asked about their use of SNS at the moment of answering the survey and before lockdown. Results: A statistically significant increase was found in the frequency of use of all studied SNS (Instagram, YouTube, TikTok, Twitter and Facebook) during lockdown, as well as in the number of women following appearance-focused Instagram accounts. Moreover, significant relationships were found between the frequency of Instagram use and body dissatisfaction, drive for thinness and low self-esteem in the younger age group (14-24), and between the frequency of Instagram use and drive for thinness in the older age group (25-35). Following appearance-focused accounts on Instagram was related to body dissatisfaction and drive for thinness in the younger group, and only to drive for thinness in the older group (25-35). Following appearance-focused accounts on Instagram and a higher frequency of use of Instagram significantly predicted higher levels of drive for thinness. Conclusion: These results suggest that lockdown has had an impact on SNS use, and this might be linked to increased drive for thinness and eating disorder risk among adolescent and young women.</t>
  </si>
  <si>
    <t>[Vall-Roque, Helena; Saldana, Carmina] Univ Barcelona, Fac Psychol, Dept Clin Psychol &amp; Psychobiol, Passeig Vall dHebron 171, Barcelona 08035, Spain; [Andres, Ana] Ramon Llull Univ, Fac Psychol Educ &amp; Sport Sci, C Cister 34, Barcelona 08022, Spain; [Saldana, Carmina] Univ Barcelona, Inst Neurosci, Passeig Vall dHebron 171, Barcelona 08035, Spain</t>
  </si>
  <si>
    <t>University of Barcelona; Universitat Ramon Llull; University of Barcelona</t>
  </si>
  <si>
    <t>Vall-Roqué, H (corresponding author), Univ Barcelona, Fac Psychol, Dept Clin Psychol &amp; Psychobiol, Passeig Vall dHebron 171, Barcelona 08035, Spain.</t>
  </si>
  <si>
    <t>helena.vall@ub.edu; anaav2@blanquerna.url.edu; csaldana@ub.edu</t>
  </si>
  <si>
    <t>; Andres, Ana/A-4250-2009</t>
  </si>
  <si>
    <t>Saldana, Carmina/0000-0002-9602-7317; Andres, Ana/0000-0002-6488-1658; Vall-Roque, Helena/0000-0003-4235-0810</t>
  </si>
  <si>
    <t>0278-5846</t>
  </si>
  <si>
    <t>1878-4216</t>
  </si>
  <si>
    <t>PROG NEURO-PSYCHOPH</t>
  </si>
  <si>
    <t>Prog. Neuro-Psychopharmacol. Biol. Psychiatry</t>
  </si>
  <si>
    <t>10.1016/j.pnpbp.2021.110293</t>
  </si>
  <si>
    <t>Clinical Neurology; Neurosciences; Pharmacology &amp; Pharmacy; Psychiatry</t>
  </si>
  <si>
    <t>Neurosciences &amp; Neurology; Pharmacology &amp; Pharmacy; Psychiatry</t>
  </si>
  <si>
    <t>TG0DE</t>
  </si>
  <si>
    <t>WOS:000671082800032</t>
  </si>
  <si>
    <t>Fernández, EO; Castillo, GP; Domínguez, EV</t>
  </si>
  <si>
    <t>Ortega Fernandez, Eglee; Padilla Castillo, Graciela; Vaquerizo Dominguez, Enrique</t>
  </si>
  <si>
    <t>AUDIO-VISUAL PILLS AND UNIVERSITY TEACHING IN COMMUNICATION. BREAKING THE DIGITAL DIVIDE AND NEW COMPETENCES</t>
  </si>
  <si>
    <t>social media; qualitative analysis; digital divide; self-learning; audio-visual pills; teaching competence; professional competence</t>
  </si>
  <si>
    <t>SOCIAL NETWORKS; YOUNG-PEOPLE; COGNITIVE-ABILITIES; HIGHER-EDUCATION; STUDENTS; MOOCS; INSTAGRAM; MEDIA; SPAIN; USERS</t>
  </si>
  <si>
    <t>Objective. The digital gap has become visible with online teaching made compulsory by the health pandemic. Social media have grown in number of users and their elements of free, editing and storage is shown as a new teaching and learning tool. This paper focuses on audio-visual pills or short mini-videos as a challenge and opportunity for teacher updating; the best motivation and elaboration of a professional portfolio for students; and the breaking of the digital gap. Methodology. This study analyses the production of short videos for Instagram or TikTok, between 5 and 15 minutes long, in the Bachelor's Degree in Journalism and Bachelor's Degree in Advertising and Public Relations at the Faculty of Information Sciences of the Complutense University of Madrid. Based on an open question, the opinion of 252 students on their experience with the videos was collected. Results. The answers coincide in a very positive assessment, arguing that creativity is encouraged, professional skills are improved and self-learning contents are materialised in a creative way. Conclusions. Although the digital divide is still open, the audio-visual pills offer an accessible, free and almost therapeutic solution in such hard times, where a large part of face-to-face relationships have been lost, including those in the university classroom. Originality. This original research delves into this new paradigm of teaching and learning, studying the audiovisual pills or mini-videos in social networks and all their possibilities.</t>
  </si>
  <si>
    <t>[Ortega Fernandez, Eglee; Vaquerizo Dominguez, Enrique] Univ Nebrija, Madrid, Spain; [Padilla Castillo, Graciela] Univ Complutense Madrid, Madrid, Spain</t>
  </si>
  <si>
    <t>Universidad Antonio de Nebrija; Complutense University of Madrid</t>
  </si>
  <si>
    <t>Fernández, EO (corresponding author), Univ Nebrija, Madrid, Spain.</t>
  </si>
  <si>
    <t>eortegafe@nebrija.es; gracielp@ucm.es; evaquerizo@nebrija.es</t>
  </si>
  <si>
    <t>Domínguez, Enrique/AAP-7779-2021; Ortega Fernandez, Eglee/V-2997-2018</t>
  </si>
  <si>
    <t>ZB0EF</t>
  </si>
  <si>
    <t>WOS:000756525500008</t>
  </si>
  <si>
    <t>Radu, MC; Manolescu, LS; Armean, SM; Prasacu, I; Vermeulen, J; Tudose, MEP; Medar, C; Chivu, RD</t>
  </si>
  <si>
    <t>Radu, Mihaela Corina; Manolescu, Loredana S.; Armean, Sebastian M.; Prasacu, Irina; Vermeulen, Joeri; Tudose, Melania Elena Pop; Medar, Cosmin; Chivu, Razvan D.</t>
  </si>
  <si>
    <t>Predictors of Pregnant Women's Decision to Opt for Cesarean Section in Romania</t>
  </si>
  <si>
    <t>childbirth education; midwives; torch; pregnant women; cesarean</t>
  </si>
  <si>
    <t>ANTENATAL EDUCATION; DELIVERY; CHILDBIRTH; BIRTH; ASSOCIATION; PERCEPTIONS; FEAR</t>
  </si>
  <si>
    <t>Introduction: In Romania, the latest official report indicates that more than half of the births (80,890 cases, representing 52.88% of the total) are performed by cesarean, a rate significantly higher than the World Health Organization (WHO) recommendation of 15-20%. This study aims to identify the predictors associated with women's decisions to opt for cesarean in Romania. Materials and methods: An analytical cross-sectional observational study was conducted in the general population of Romania. The study was carried out over the course of 2023, with a total duration of four months. During this period, researchers targeted pregnant women from various regions of the country, regardless of their place of residence, age, or education level. The primary data collection tool was a selfadministered online questionnaire, distributed via Google Forms, an accessible and efficient platform that allows for automatic response collection. The questionnaire was distributed online, particularly on social media platforms frequented by pregnant women, such as Facebook, Instagram, and TikTok. Results: A total of 1,301 participants were validated. Socio-demographic and clinical factors significantly influence women's decisions to give birth by cesarean. Among these participants, 435 expressed a preference for cesarean delivery. Key predictors include fear of pain and concern for the child's health. Fear of pain at birth is the first predictor in Romanian women to choose cesarean (OR=2.09; 95% CI: 1.62-2.68). Concerns about the child's health do not increase the likelihood of opting for a cesarean. Conclusion: By utilizing valuable resources such as midwives and implementing strategies like birth plans, significant contributions can be made toward reducing the cesarean rate and improving the childbirth experience for women worldwide.</t>
  </si>
  <si>
    <t>[Radu, Mihaela Corina] Carol Davila Univ Med &amp; Pharm, Nursing, Bucharest, Romania; [Radu, Mihaela Corina] Emergency Cty Hosp, Obstet, Ploie?ti, Russia; [Manolescu, Loredana S.] Carol Davila Univ Med &amp; Pharm, Virol Microbiol &amp; Parasitol, Bucharest, Romania; [Armean, Sebastian M.] Iuliu Hatieganu Univ Med &amp; Pharm, Pharmacol Toxicol &amp; Clin Pharmacol, Cluj Napoca, Romania; [Prasacu, Irina] Carol Davila Univ Med &amp; Pharm, Fundamental Sci, Bucharest, Romania; [Vermeulen, Joeri] Erasmus Brussels Univ Appl Sci &amp; Arts, Healthcare, Brussels, Belgium; [Vermeulen, Joeri] Vrije Univ Brussel, Publ Hlth Biostat &amp; Med Informat, Brussels, Belgium; [Tudose, Melania Elena Pop] Carol Davila Univ Med &amp; Pharm, Obstet &amp; Gynecol, Bucharest, Romania; [Medar, Cosmin] Clin Hosp Prof Dr Theodor Burghele, Clin Lab Radiol &amp; Med Imaging, Bucharest, Romania; [Chivu, Razvan D.] Carol Davila Univ Med &amp; Pharm, Publ Hlth Sci, Bucharest, Romania</t>
  </si>
  <si>
    <t>Carol Davila University of Medicine &amp; Pharmacy; Carol Davila University of Medicine &amp; Pharmacy; Iuliu Hatieganu University of Medicine &amp; Pharmacy; Carol Davila University of Medicine &amp; Pharmacy; Vrije Universiteit Brussel; Carol Davila University of Medicine &amp; Pharmacy; Carol Davila University of Medicine &amp; Pharmacy</t>
  </si>
  <si>
    <t>Manolescu, LS (corresponding author), Carol Davila Univ Med &amp; Pharm, Virol Microbiol &amp; Parasitol, Bucharest, Romania.</t>
  </si>
  <si>
    <t>loredana.manolescu@umfcd.ro</t>
  </si>
  <si>
    <t>Vermeulen, Joeri/AFS-4845-2022; Manolescu, Loredana/AAC-5584-2020; Armean, Sebastian/AAO-3923-2020; CHIVU, Razvan/ISA-6985-2023; Radu, Mihaela Corina/ABD-7359-2021; Tudose, Melania Elena/AAA-9098-2021; Medar, Cosmin/HZL-7003-2023</t>
  </si>
  <si>
    <t>Tudose, Melania Elena/0000-0002-5116-7690; Medar, Cosmin/0000-0001-8341-1769</t>
  </si>
  <si>
    <t>Carol Davila University of Medicine and Pharmacy</t>
  </si>
  <si>
    <t>Publication of this paper was supported by the Carol Davila University of Medicine and Pharmacy through the institutional program Publish not Perish.</t>
  </si>
  <si>
    <t>e69185</t>
  </si>
  <si>
    <t>10.7759/cureus.69185</t>
  </si>
  <si>
    <t>G2V9M</t>
  </si>
  <si>
    <t>WOS:001315281300014</t>
  </si>
  <si>
    <t>Shomai, S; Unwin, P; Sealey, C</t>
  </si>
  <si>
    <t>Shomai, Shilla; Unwin, Peter; Sealey, Clive</t>
  </si>
  <si>
    <t>Kidfluencers' lived experiences of influencer culture: a time for regulation?</t>
  </si>
  <si>
    <t>INTERNATIONAL JOURNAL OF SOCIOLOGY AND SOCIAL POLICY</t>
  </si>
  <si>
    <t>Kidfluencers/kidfluencing; Child online safety; Legislation; Social harms; Social media</t>
  </si>
  <si>
    <t>CHILD</t>
  </si>
  <si>
    <t>PurposeKidfluencer is a relatively new term and refers to where young people actively exert influence on lifestyle and consumer behaviour through the use of social media. This study focused on capturing the complexities of this phenomenon, and issues of concern for policymakers that subsequently occur.Design/methodology/approachThe study used semi-structured interviews to capture the retrospective experiences of ten young people as kidfluencers on the social media platforms, Facebook, Instagram, TikTok and YouTube.FindingsThe findings identified several issues associated with being a kidfluencer, such as affecting individuals' work-life balance, their education, how safe they felt online and physically, how they maintained friendships, pressure to increase their profile and their mental health well-being. Overall, the study suggests that kidfluencing has specific negative effects on kidfluencers and their childhood experiences, which should be of concern to policy makers.Research limitations/implicationsAll participants were above the age of eighteen. Therefore, their contributions reflect upon their past, rather than speaking about their recent experiences, which can lead to retrospective bias. The sample size is small, reflecting the difficulties in accessing this sensitive area for study.Practical implicationsThe study provides support for the decision taken in France to introduce legislation that protects kidfluencers, which may suggest a need for legislation in other countries.Originality/valueThe study is relevant in the context of the new law adopted by the French National Assembly in 2020 to provide a legal framework for the activities of child influencers on a range of online platforms. To date, France is the only country where such laws have been enacted. So far, there has been no specific evaluation of this law, and very little research on welfare issues experienced by kidfluencers themselves, making this study timely.</t>
  </si>
  <si>
    <t>[Shomai, Shilla; Unwin, Peter; Sealey, Clive] Univ Worcester, Worcester, England</t>
  </si>
  <si>
    <t>University of Worcester</t>
  </si>
  <si>
    <t>Shomai, S (corresponding author), Univ Worcester, Worcester, England.</t>
  </si>
  <si>
    <t>shos1_22@uni.worc.ac.uk</t>
  </si>
  <si>
    <t>Unwin, Peter/0000-0003-1985-1959; Shomai, Shilla/0000-0002-8958-8749</t>
  </si>
  <si>
    <t>0144-333X</t>
  </si>
  <si>
    <t>1758-6720</t>
  </si>
  <si>
    <t>INT J SOCIOL SOC POL</t>
  </si>
  <si>
    <t>Int. J. Sociol. Soc. Policy</t>
  </si>
  <si>
    <t>11/12</t>
  </si>
  <si>
    <t>10.1108/IJSSP-03-2024-0109</t>
  </si>
  <si>
    <t>G9H8P</t>
  </si>
  <si>
    <t>WOS:001246223600001</t>
  </si>
  <si>
    <t>Tomczak, KK; Worhach, J; Rich, M; Ludolph, OS; Eppling, S; Sideridis, G; Katz, TC</t>
  </si>
  <si>
    <t>Tomczak, Kinga K.; Worhach, Jennifer; Rich, Michael; Swearingen Ludolph, Olivia; Eppling, Susan; Sideridis, Georgios; Katz, Tamar C.</t>
  </si>
  <si>
    <t>Time is ticking for TikTok tics: A retrospective follow-up study in the post-COVID-19 isolation era</t>
  </si>
  <si>
    <t>BRAIN AND BEHAVIOR</t>
  </si>
  <si>
    <t>functional tic-like behaviors; functional tics; tic disorders; Tourette syndrome</t>
  </si>
  <si>
    <t>PSYCHOGENIC NONEPILEPTIC SEIZURES; DISORDER; ADOLESCENTS; PREVALENCE; DIAGNOSIS; ILLNESS; PILOT</t>
  </si>
  <si>
    <t>IntroductionDuring the COVID-19 pandemic, an influx of adolescents presented worldwide with acute onset of functional tic-like behaviors (FTLBs). Our goal was to evaluate psychosocial factors around onset, to elucidate outcomes after pandemic isolation protocols were lifted, and to examine therapy and medication management.MethodsA retrospective review was performed of 56 patients ages 10-18 years with new-onset FTLBs seen at Boston Children's Hospital beginning in March 2020. Demographic factors, medical history, and treatment were evaluated. Patient outcomes were determined retrospectively based on the Clinical Global Impression Improvement (CGI-I) and Severity (CGI-S) scales from follow-up visits. CGI-I scores assessed the progression of FTLBs; CGI-S assessed overall function.ResultsNinety-six percent of patients were female-assigned at birth with high rates of comorbid anxiety (93%) and depression (71%). Forty-five percent were gender-diverse. Based on scales that assessed FTLBs (CGI-I) and overall functioning (CGI-S), up to 79% of patients improved independent of comorbid diagnosis or treatment. Evidence-based tic-specific treatments were not more effective than other treatments. A subset of patients had improvement in their FTLBs but not in their general functioning and continued to have other psychosomatic presentations.ConclusionWhile many patients' FTLBs improved, it is critical to remain alert to patients' overall function and to assess for other functional neurological disorders and mental health concerns. The tendency of FTLBs to improve in this population, independent of treatment, highlights the unique pathophysiology of FTLBs. Future research on contributing psychosocial factors and specific treatment protocols will allow optimal support for these patients.</t>
  </si>
  <si>
    <t>[Tomczak, Kinga K.; Worhach, Jennifer; Swearingen Ludolph, Olivia] Boston Childrens Hosp, Dept Neurol, Tic Disorders &amp; Tourette Syndrome Program, Boston, MA USA; [Rich, Michael] Boston Childrens Hosp, Clin Interact Media &amp; Internet Disorders CIMAID, Boston, MA USA; [Rich, Michael] Boston Childrens Hosp, Div Adolescent Young Adult Med, Digital Wellness Lab, Boston, MA USA; [Eppling, Susan] Online OTs, Occupat Therapy, Boston, MA USA; [Eppling, Susan] CBIT Therapy, Boston, MA USA; [Sideridis, Georgios] Harvard Med Sch, Boston Childrens Hosp, Biostat &amp; Res Design Ctr, Inst Ctr Clin &amp; Translat Res, Boston, MA USA; [Katz, Tamar C.] Boston Childrens Hosp, Dept Psychiat, Boston, MA USA; [Tomczak, Kinga K.] Boston Childrens Hosp, Dept Neurol, Boston, MA 02115 USA</t>
  </si>
  <si>
    <t>Harvard University; Boston Children's Hospital; Harvard University; Boston Children's Hospital; Harvard University; Boston Children's Hospital; Harvard University; Boston Children's Hospital; Harvard Medical School; Harvard University; Boston Children's Hospital; Harvard University; Boston Children's Hospital</t>
  </si>
  <si>
    <t>Tomczak, KK (corresponding author), Boston Childrens Hosp, Dept Neurol, Boston, MA 02115 USA.</t>
  </si>
  <si>
    <t>kinga.tomczak@childrens.harvard.edu</t>
  </si>
  <si>
    <t>Tics and Tourette Program at Boston Children's Hospital</t>
  </si>
  <si>
    <t>This project was undertaken with no specific funding support. We would like to thank Sara DelVecchio and Katelyn Laracy from the Tics and Tourette Program at Boston Children's Hospital for contributing to this work.</t>
  </si>
  <si>
    <t>111 RIVER ST, HOBOKEN, NJ 07030 USA</t>
  </si>
  <si>
    <t>2162-3279</t>
  </si>
  <si>
    <t>BRAIN BEHAV</t>
  </si>
  <si>
    <t>Brain Behav.</t>
  </si>
  <si>
    <t>e3451</t>
  </si>
  <si>
    <t>10.1002/brb3.3451</t>
  </si>
  <si>
    <t>Behavioral Sciences; Neurosciences</t>
  </si>
  <si>
    <t>Behavioral Sciences; Neurosciences &amp; Neurology</t>
  </si>
  <si>
    <t>KT3D4</t>
  </si>
  <si>
    <t>WOS:001182167500001</t>
  </si>
  <si>
    <t>Bargoni, A; Giachino, C; Gutuleac, R; Streimikiene, D</t>
  </si>
  <si>
    <t>Bargoni, Augusto; Giachino, Chiara; Gutuleac, Rada; Streimikiene, Dalia</t>
  </si>
  <si>
    <t>Is this really me? Investigating brand personality self-congruity on consumer behavior in video-based social media</t>
  </si>
  <si>
    <t>brand engagement; brand personality self-congruity; emotional attachment; influencer marketing</t>
  </si>
  <si>
    <t>PHYSICAL ATTRACTIVENESS; CELEBRITY ENDORSEMENTS; PURCHASE INTENTION; ENGAGEMENT; INFLUENCERS; IMPACT; AUTHENTICITY; CREDIBILITY; CONGRUENCE; PRODUCTS</t>
  </si>
  <si>
    <t>This research aims to explore the role of brand personality self-congruity (BPC) in affecting consumers' purchase behavior in a particular setting: video-based social media (i.e., TikTok). Moreover, we test the moderating role of consumers' emotional attachment to the influencer and the mediating role of brand engagement in affecting purchase intention. Finally, we delve into the antecedents of influencer effectiveness and their relationship with consumers' actual purchases. To do so, we leverage two quantitative studies (n1 = 248; n3 = 247) and a qualitative one. Results from Study 1 indicate that the lower consumers perceive the gap between the brand personality and self-image, the more they are inclined to engage with and purchase a brand. Moreover, we find that the emotional attachment to the influencer does not play a role in influencing purchase intention, positing that emotional attachment and BPC have different emotion dynamics with different purchase outcomes. Building on Study 1, Study 2 leverages a focus group to identify the antecedents of influencer effectiveness. Results highlight that a sense of indulgence appears in the minds of consumers when confronted with brands that have a lower congruity with their self. This sense of indulgence, in the case of low BPC, hinders the ability of the influencer to create an engagement between the brand and the consumer. Finally, Study 3 quantitatively tests the antecedents of influencer effectiveness under two conditions (entertaining vs. informative content type) highlighting the different influence of the antecedents on individuals with high (vs. low) BPC.</t>
  </si>
  <si>
    <t>[Bargoni, Augusto; Giachino, Chiara; Gutuleac, Rada] Univ Turin, Dept Management Valter Cantino, Turin, Italy; [Bargoni, Augusto] Pan European Univ, European Ctr Business Res, Prague, Czech Republic; [Streimikiene, Dalia] Vilnius Univ, Kaunas Fac, Kaunas, Lithuania</t>
  </si>
  <si>
    <t>University of Turin; Vilnius University</t>
  </si>
  <si>
    <t>Gutuleac, R (corresponding author), Univ Turin, Dept Management Valter Cantino, Turin, Italy.</t>
  </si>
  <si>
    <t>rada.gutuleac@unito.it</t>
  </si>
  <si>
    <t>Gutuleac, Rada/JBJ-0628-2023; Bargoni, Augusto/ABO-1572-2022</t>
  </si>
  <si>
    <t>Bargoni, Augusto/0000-0002-1437-2994; GUTULEAC, RADA/0000-0002-0036-7318</t>
  </si>
  <si>
    <t>10.1002/mar.21969</t>
  </si>
  <si>
    <t>MT3F1</t>
  </si>
  <si>
    <t>WOS:001153291900001</t>
  </si>
  <si>
    <t>Tedre, M; Denning, PJ; Toivonen, T</t>
  </si>
  <si>
    <t>Tedre, Matti; Denning, Peter J.; Toivonen, Tapani</t>
  </si>
  <si>
    <t>CT 2.0</t>
  </si>
  <si>
    <t>PROCEEDINGS OF 21ST KOLI CALLING CONFERENCE ON COMPUTING EDUCATION RESEARCH, KOLI CALLING 2021,</t>
  </si>
  <si>
    <t>21st Koli Calling Conference on Computing Education Research (Koli Calling)</t>
  </si>
  <si>
    <t>NOV 18-21, 2021</t>
  </si>
  <si>
    <t>Aalto Univ,Univ Toronto Mississauga,Univ Eastern Finland</t>
  </si>
  <si>
    <t>Computational thinking; K-12; Machine learning; Artificial intelligence; School</t>
  </si>
  <si>
    <t>PROTEIN-STRUCTURE PREDICTION; ARTIFICIAL-INTELLIGENCE</t>
  </si>
  <si>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</si>
  <si>
    <t>[Tedre, Matti; Toivonen, Tapani] Univ Eastern Finland, Joensuu, Finland; [Denning, Peter J.] Naval Postgrad Sch, Monterey, CA USA</t>
  </si>
  <si>
    <t>University of Eastern Finland; United States Department of Defense; United States Navy; Naval Postgraduate School</t>
  </si>
  <si>
    <t>Tedre, M (corresponding author), Univ Eastern Finland, Joensuu, Finland.</t>
  </si>
  <si>
    <t>matti.tedre@uef.fi; pjd@nps.edu; tapani.toivonen@uef.fi</t>
  </si>
  <si>
    <t>978-1-4503-8488-9</t>
  </si>
  <si>
    <t>10.1145/3488042.3488053</t>
  </si>
  <si>
    <t>BW2MT</t>
  </si>
  <si>
    <t>WOS:001119104600011</t>
  </si>
  <si>
    <t>Chen, HY; Ren, JF</t>
  </si>
  <si>
    <t>Salvendy, G; Wei, J</t>
  </si>
  <si>
    <t>Chen, Haoyu; Ren, Jifan</t>
  </si>
  <si>
    <t>The Effect of Influencer Persona on Consumer Decision-Making Towards Short-Form Video Ads-From the Angle of Narrative Persuasion</t>
  </si>
  <si>
    <t>DESIGN, OPERATION AND EVALUATION OF MOBILE COMMUNICATIONS, MOBILE 2022</t>
  </si>
  <si>
    <t>3rd International Conference on Design, Operation and Evaluation of Mobile Communications (MOBILE) Held as Part of 24th International Conference on Human-Computer Interaction (HCII)</t>
  </si>
  <si>
    <t>Influencer marketing; Social media marketing; Influencer persona</t>
  </si>
  <si>
    <t>SOCIAL MEDIA; TRANSPORTATION; FUTURE; IMPACT</t>
  </si>
  <si>
    <t>The growth of Internet and social media have substantially changed how customers engage, interact, and communicate with brands and marketers. Individuals with strong personal appeal and influence play a key role in facilitating greater brand outreach and better performance of online ads. Influencers convey similar or distinct persona to match different atmosphere of social media platforms and types of products and services that they intend to promote. Simultaneously, influencers constantly produce textual and visual narrations of their lives and experiences to enhance consumer trusts and foster consumer responses. However, little is known about the role of influencer personal image establishment on driving online consumer engagement. Besides, there are lack of researches that consider the consolidated effect of influencer persona and narratives during the persuasion process. Instagram, Facebook, Sina Weibo and Twitter have been the most examined social media platforms. However, short video-based social media platforms such as TikTok that embed distinct product and content structures still lack academic attention. In light of the significant role of influencers on consumer attitudes and behaviors, and as this research domain is still developing, a research from a new research perspective is needed. This study derives practical implications across various domains, such as social media marketing, digital advertising, and video advertisement in which identification of key factors of information propagators is essential. Taken together, the findings highlight the critical interplay of influencer persona, expressions of the posts and consumer psychological factors in driving consumer engagement and purchase intention, especially for short-form video-based ads.</t>
  </si>
  <si>
    <t>[Chen, Haoyu; Ren, Jifan] Harbin Inst Technol, Shenzhen 518055, Peoples R China</t>
  </si>
  <si>
    <t>Ren, JF (corresponding author), Harbin Inst Technol, Shenzhen 518055, Peoples R China.</t>
  </si>
  <si>
    <t>renjifan@hit.edu.cn</t>
  </si>
  <si>
    <t>Natural Science Foundation of China [71831005]; Shenzhen Humanities &amp; Social Sciences Key Research Bases [KP191001]</t>
  </si>
  <si>
    <t>Natural Science Foundation of China(National Natural Science Foundation of China (NSFC)); Shenzhen Humanities &amp; Social Sciences Key Research Bases</t>
  </si>
  <si>
    <t>This work was supported by the Natural Science Foundation of China (grant number 71831005) and Shenzhen Humanities &amp; Social Sciences Key Research Bases (grant number KP191001).</t>
  </si>
  <si>
    <t>978-3-031-05014-5; 978-3-031-05013-8</t>
  </si>
  <si>
    <t>10.1007/978-3-031-05014-5_18</t>
  </si>
  <si>
    <t>Computer Science, Hardware &amp; Architecture; Computer Science, Interdisciplinary Applications; Telecommunications</t>
  </si>
  <si>
    <t>BU0YW</t>
  </si>
  <si>
    <t>WOS:000873574900018</t>
  </si>
  <si>
    <t>Griner, SB; Akpan, I; Johnson, KC; Maynard, G; Alkhatib, SA; Webb, NJ; Galvin, A; Kline, N; Litt, DM; Lewis, MA; Thompson, EL</t>
  </si>
  <si>
    <t>Griner, Stacey B.; Akpan, Idara; Johnson, Kaeli C.; Maynard, Grace; Alkhatib, Sarah A.; Webb, Nathaniel J.; Galvin, Annalynn; Kline, Nolan; Litt, Dana M.; Lewis, Melissa A.; Thompson, Erika L.</t>
  </si>
  <si>
    <t>Examining Community Preferences for Adaption and Dissemination of an Efficacious Brief Intervention on Alcohol Use and Sexual Behavior</t>
  </si>
  <si>
    <t>alcohol use; sexual behavior; interventions; health communication; dissemination channels; young adults; community stakeholders</t>
  </si>
  <si>
    <t>COLLEGE-STUDENTS</t>
  </si>
  <si>
    <t>Compared to other age groups, 18- to 25-year olds (young adults) are more likely to engage in heavy alcohol use and inconsistent contraceptive use, increasing their susceptibility to sexually transmitted infections (STIs) and unintended pregnancy. The Studying Alcohol and Related Risks (STARR) intervention was efficacious in reducing young adult alcohol-related risky sexual behavior, including reducing the number of casual sexual partners and alcohol use prior to sex. We conducted a qualitative study to guide the adaptation of the STARR intervention to include additional content on contraceptive use and prepare for dissemination of the intervention to a community audience. We conducted 10 focus groups with young adults (n = 16) and semistructured interviews with local community stakeholders (n = 12) to examine: (a) intervention characteristics, such as compatibility, adaptability, and design and packaging and (b) dissemination and communication channels. Focus groups and interviews were audio-recorded, transcribed, and thematically analyzed. Participants found the proposed intervention acceptable and highlighted the need to promote STI prevention among young adults. Participants viewed text-based interventions as accessible and effective. Key considerations included developing personalized messages from credible sources, using gender-inclusive language, and sending messages at strategic timepoints. Social media (Instagram, Twitter, Snapchat, TikTok), events, and campus resources were described as avenues to create awareness and disseminate information about the proposed intervention. Findings demonstrate the need for innovative and tailored young adult health programs that incorporate multilevel dissemination strategies. This study highlights the need for implementation activities that will improve the adoption and dissemination of evidence-based programs, particularly among young adults.</t>
  </si>
  <si>
    <t>[Griner, Stacey B.; Akpan, Idara; Johnson, Kaeli C.; Maynard, Grace; Alkhatib, Sarah A.; Webb, Nathaniel J.; Litt, Dana M.; Lewis, Melissa A.] Univ North Texas Hlth Sci Ctr, Ft Worth, TX USA; [Galvin, Annalynn] UT Hlth Houston, Houston, TX USA; [Kline, Nolan] Univ Cent Florida, Orlando, FL USA; [Thompson, Erika L.] Univ Texas Hlth &amp; Sci Ctr San Antonio, San Antonio, TX 78229 USA</t>
  </si>
  <si>
    <t>State University System of Florida; University of Central Florida; University of Texas System; University of Texas Health Science Center at San Antonio</t>
  </si>
  <si>
    <t>Thompson, EL (corresponding author), Univ Texas Hlth &amp; Sci Ctr San Antonio, San Antonio, TX 78229 USA.</t>
  </si>
  <si>
    <t>thompsone1@uthscsa.edu</t>
  </si>
  <si>
    <t>Johnson, Kaeli/0000-0001-6257-7196</t>
  </si>
  <si>
    <t>National Institute of Minority Health and Health Disparities, U54 Texas Center for Health Disparities Pilot Projects [5U54 MD006882]</t>
  </si>
  <si>
    <t>National Institute of Minority Health and Health Disparities, U54 Texas Center for Health Disparities Pilot Projects</t>
  </si>
  <si>
    <t>This project is funded by the National Institute of Minority Health and Health Disparities, U54 Texas Center for Health Disparities Pilot Projects (grant no. 5U54 MD006882). The funding agency had no role in the design of the study or in the writing of the manuscript.</t>
  </si>
  <si>
    <t>10.1177/15248399241291866</t>
  </si>
  <si>
    <t>M3P1E</t>
  </si>
  <si>
    <t>WOS:001356686100001</t>
  </si>
  <si>
    <t>Sun, RM; Zhang, MX; Yeh, CM; Ung, COL; Wu, AMS</t>
  </si>
  <si>
    <t>Sun, Ruimei; Zhang, Meng Xuan; Yeh, Chunmin; Ung, Carolina Oi Lam; Wu, Anise M. S.</t>
  </si>
  <si>
    <t>The metacognitive-motivational links between stress and short-form video addiction</t>
  </si>
  <si>
    <t>Short -form video addiction; Stress; Metacognition; Escape/coping motives</t>
  </si>
  <si>
    <t>INTERNET GAMING DISORDER; SOCIAL MEDIA; POSITIVE METACOGNITIONS; PSYCHOMETRIC PROPERTIES; QUESTIONNAIRE; ASSOCIATION; MOTIVES; ANXIETY; SYMPTOMS; EMOTION</t>
  </si>
  <si>
    <t>The recent, sudden growth of short -form video platforms, such as TikTok, has prompted public concern regarding short -form video addiction (SVA), a potential behavioral addiction with adverse health and social consequences. Whereas stress is positively related to SVA, research investigating its underlying psychological mechanism is warranted. Based on the self -regulatory executive function model, this study examined the potential mediating roles of metacognition and motives for short -form video use in a snowball sample of 422 participants, aged 15-66 years (36.3% male; M age = 26.55, SD = 11.38), via an anonymous online survey. Consistent with the results of structural equation modeling, those of path analysis supported the mediating roles of metacognition (i.e., positive beliefs about worry [POS] and negative beliefs about worry [NEG]) and motives (for escape/coping). To be specific, the significant mediators of the stress-SVA link were POS (8 = 0.041, 95% CI [0.006, 0.081]), NEG (8 = 0.102, 95% CI [0.026, 0.180]), escape motive (8 = 0.052, 95% CI [0.010, 0.103]), as well as NEG and escape motive serially (8 = 0.039, 95% CI [0.008, 0.079]). Our findings suggest not only the central role of metacognition, through which stress activates one's motives to use short -form video to escape/cope, contributing to SVA, but also the risk -enhancing roles of NEG and escape motive in explaining the metacognitive-motivational mechanisms underlying the positive association between stress and SVA. Intervention programs for behavioral addictions, including SVA, may consider regulating metacognition of individuals, especially those under high levels of stress.</t>
  </si>
  <si>
    <t>[Sun, Ruimei; Yeh, Chunmin; Wu, Anise M. S.] Univ Macau, Fac Social Sci, Dept Psychol, Macau, Peoples R China; [Sun, Ruimei; Wu, Anise M. S.] Univ Macau, Inst Collaborat Innovat, Ctr Cognit &amp; Brain Sci, Macau, Peoples R China; [Zhang, Meng Xuan] Southeast Univ, Sch Humanities, Dept Med Humanities, Nanjing, Jiangsu, Peoples R China; [Zhang, Meng Xuan] Southeast Univ, Psychol Res &amp; Educ Ctr, Sch Humanities, Nanjing, Jiangsu, Peoples R China; [Ung, Carolina Oi Lam] Univ Macau, Inst Chinese Med Sci, State Key Lab Qual Res Chinese Med, Macau, Peoples R China; [Ung, Carolina Oi Lam] Univ Macau, Fac Hlth Sci, Dept Publ Hlth &amp; Med Adm, Macau, Peoples R China; [Wu, Anise M. S.] Univ Macau, Fac Social Sci, Dept Psychol, Ave da Univ, Macau, Peoples R China</t>
  </si>
  <si>
    <t>University of Macau; University of Macau; Southeast University - China; Southeast University - China; University of Macau; University of Macau; University of Macau</t>
  </si>
  <si>
    <t>Wu, AMS (corresponding author), Univ Macau, Fac Social Sci, Dept Psychol, Ave da Univ, Macau, Peoples R China.</t>
  </si>
  <si>
    <t>anisewu@um.edu.mo</t>
  </si>
  <si>
    <t>Ung, Carolina/AAR-2672-2020; zhang, mengxuan/KUD-5112-2024; Wu, Anise/AAJ-4293-2020</t>
  </si>
  <si>
    <t>University of Macau [MYRG2022-00130-FSS, MYRG-CRG2022-00003-FSS-ICI]</t>
  </si>
  <si>
    <t>Funding This study was supported by the University of Macau [Grant numbers MYRG2022-00130-FSS and MYRG-CRG2022-00003-FSS-ICI] .</t>
  </si>
  <si>
    <t>10.1016/j.techsoc.2024.102548</t>
  </si>
  <si>
    <t>RN8Y9</t>
  </si>
  <si>
    <t>WOS:001228446900002</t>
  </si>
  <si>
    <t>Immidisetti, AV; Rosenberg, AE; Katz, J; Shlifer, A; Ellis, J; Ortiz, RA; Boockvar, JA; D'Amico, RS; Langer, DJ</t>
  </si>
  <si>
    <t>Immidisetti, Amanda V.; Rosenberg, Ashley E.; Katz, Joshua; Shlifer, Artur; Ellis, Jason; Ortiz, Rafael A.; Boockvar, John A.; D'Amico, Randy S.; Langer, David J.</t>
  </si>
  <si>
    <t>BRAINterns 2.0: Durability of Webinar-Based Education and Social Media Beyond the Coronavirus Disease 2019 Pandemic</t>
  </si>
  <si>
    <t>BRAINterns; Diversity; Education; Medical education; Recruitment; Social media; Webinar; Women in neurosurgery</t>
  </si>
  <si>
    <t>BACKGROUND: Webinars offer novel educational op-portunities beyond those of traditional, in-person experi-ences. BRAINterns is an open-access webinar-based education platform created to replace opportunities lost during the coronavirus disease 2019 pandemic. This pro-gram previously showed the efficacy of webinars to expand access to careers in medicine, and in particular, neurosurgery. BRAINterns 2.0 was established to assess the durability of Web-based learning.METHODS: A modified 4-week webinar series was held during July 2021. A retrospective exit survey was distrib-uted to participants and responses analyzed.RESULTS: A total of 16,045 people registered for BRAINterns 2.0, representing 103 countries. Survey re-sponses were received from 3765 participants (23% response rate). New, first-time registrants comprised 66% of participants, with the rest being returning par-ticipants. A total of 342 students participated in a dedicated module delivered entirely in Spanish. Females represented 81% of respondents. Participants identified that desirable elements of the program were opportu- -ities to hear from women (53%) and people of color (44%) in health care. Participants heard about the series through TikTok (n = 1251; 33%), Instagram (n = 1109; 29%), Facebook (n = 637; 17%), and word of mouth (n = 708; 19%) with assistance from an ambassador program.CONCLUSIONS: Webinar-based education programs continue to be of interest to students in an increasingly digital world. Social media, and specifically the use of educational ambassadors, are effective to improve visi-bility of educational programs across a diverse population of students. Understanding the desires of participants is critical to building a successful online education platform.</t>
  </si>
  <si>
    <t>[Immidisetti, Amanda V.] Rutgers State Univ, Robert Wood Johnson Med Sch, New Brunswick, NJ USA; [Rosenberg, Ashley E.; Shlifer, Artur; Ellis, Jason; Ortiz, Rafael A.; Boockvar, John A.; D'Amico, Randy S.; Langer, David J.] Lenox Hill Hosp, Donald &amp; Barbara Zucker Sch Med Hofstra, Dept Neurol Surg, New York, NY 10075 USA; [Katz, Joshua] Thomas Jefferson Univ, Sidney Kimmel Med Coll, Philadelphia, PA USA</t>
  </si>
  <si>
    <t>Rutgers University System; Rutgers University New Brunswick; Rutgers University Biomedical &amp; Health Sciences; Northwell Health; Jefferson University</t>
  </si>
  <si>
    <t>D'Amico, RS (corresponding author), Lenox Hill Hosp, Donald &amp; Barbara Zucker Sch Med Hofstra, Dept Neurol Surg, New York, NY 10075 USA.</t>
  </si>
  <si>
    <t>rdamico@northwell.edu</t>
  </si>
  <si>
    <t>Rosenberg, Ashley/JLM-4908-2023</t>
  </si>
  <si>
    <t>Katz, Joshua/0000-0001-9457-0204; Immidisetti, Amanda V/0000-0001-9764-7756; Langer, David/0000-0001-6028-2765</t>
  </si>
  <si>
    <t>E79</t>
  </si>
  <si>
    <t>E99</t>
  </si>
  <si>
    <t>10.1016/j.wneu.2022.07.146</t>
  </si>
  <si>
    <t>6I3OF</t>
  </si>
  <si>
    <t>WOS:000886037000009</t>
  </si>
  <si>
    <t>Rawel, J</t>
  </si>
  <si>
    <t>Rawel, Jorg</t>
  </si>
  <si>
    <t>An allergy of society: on the question of how a societal lockdown becomes possible</t>
  </si>
  <si>
    <t>Communications technologies; Systems theory; Social systems; Social networks; Second-order cybernetics; Autopoiesis</t>
  </si>
  <si>
    <t>Purpose Given the form of functional differentiation of modern society, a far-reaching coordination of functional systems as a dissolution of their heterarchical relationship to each other, as was apparently possible in the social lockdown during the corona pandemic, should have been extremely unlikely. The purpose of this study is to explain how this was nevertheless achieved. Design/methodology/approach From the perspective of systems theory, social action in principle does not present itself as a problem but as a solution to (latent) social problems. In the sociological analysis presented here, it is therefore precisely a matter of uncovering or pointing out those (changed) social structures in which a social lockdown appears as a solution. Findings The paper explains that with the emergence of social media through applications such as Facebook, Instagram, Twitter, and TikTok, a new force is establishing itself at the level of society as a system. It is one that is characterized by being highly vulnerable to moral communication. A susceptibility to morality manifests, on the one hand, through an individual differentiation of society made possible by social media - for example, in the emerging Chinese social credit system - and, on the other hand, through the specific communicative structures of the social media themselves. It is argued that social media, in the form of a moral authority with a lasting effect on society as a whole, make a significant contribution to realizing the social lockdown. Originality/value The originality of the paper results from the fact that the emergence of a new social phenomenon (lockdown) is explained.</t>
  </si>
  <si>
    <t>[Rawel, Jorg] Kazimieras Simonavicius Univ, Next Soc Inst, Vilnius, Lithuania</t>
  </si>
  <si>
    <t>Kazimieras Simonavicius University</t>
  </si>
  <si>
    <t>Rawel, J (corresponding author), Kazimieras Simonavicius Univ, Next Soc Inst, Vilnius, Lithuania.</t>
  </si>
  <si>
    <t>joerg.raewel@gmail.com</t>
  </si>
  <si>
    <t>MAR 29</t>
  </si>
  <si>
    <t>10.1108/K-11-2020-0797</t>
  </si>
  <si>
    <t>0I3FP</t>
  </si>
  <si>
    <t>WOS:000653174800001</t>
  </si>
  <si>
    <t>Elliott, CD; Truman, E</t>
  </si>
  <si>
    <t>Elliott, Charlene D.; Truman, Emily</t>
  </si>
  <si>
    <t>Food marketing on digital platforms: what do teens see?</t>
  </si>
  <si>
    <t>Teenagers; Food marketing; Persuasive power; Digital media; Marketing appeals; Digital platforms</t>
  </si>
  <si>
    <t>Objective: Given the aggressive marketing of foods and beverages to teenagers on digital platforms, and the paucity of research documenting teen engagement with food marketing and its persuasive content, the objective of this study is to examine what teenagers see as teen-targeted food marketing on four popular digital platforms and to provide insight into the persuasive power of that marketing.Design: This is an exploratory, participatory research study, in which teenagers used a special mobile app to capture all teen-targeted food and beverage marketing they saw on digital media for 7 d. For each ad, participants identified the brand, product and specific appeals that made it teen-targeted, as well as the platform on which it was found.Setting: Online (digital media) with teenagers in Canada.Participants: Two hundred and seventy-eight teenagers, aged 13-17 years, were participated. Most participants were girls (63 %) and older teenagers (58 % aged 16-17 years).Results: Participants captured 1392 teen-targeted food advertisements from Instagram, Snapchat, TikTok and YouTube. The greatest number of food marketing examples came from Instagram (46 %) (with no difference across genders or age), while beverages (28 center dot 7 %), fast food (25 center dot 1 %) and candy/chocolate were the top categories advertised. When it comes to persuasive power, visual style was the top choice across all platforms and participants, with other top techniques (special offer, theme and humour), ranking differently, depending on age, gender and platform.Conclusions: This study provides insight into the nature of digital food marketing and its persuasive power for teenagers, highlighting considerations of selection and salience when it comes to examining food marketing and monitoring.</t>
  </si>
  <si>
    <t>[Elliott, Charlene D.; Truman, Emily] Univ Calgary, Commun Media &amp; Film, 2500 Univ Dr NW, Calgary, AB T2N 1N4, Canada</t>
  </si>
  <si>
    <t>Elliott, CD (corresponding author), Univ Calgary, Commun Media &amp; Film, 2500 Univ Dr NW, Calgary, AB T2N 1N4, Canada.</t>
  </si>
  <si>
    <t>charlene.elliott@ucalgary.ca</t>
  </si>
  <si>
    <t>CIHR Canada Research Chairs programme; Health Canada</t>
  </si>
  <si>
    <t>CIHR Canada Research Chairs programme(Canadian Institutes of Health Research (CIHR)); Health Canada</t>
  </si>
  <si>
    <t>This work was supported by the CIHR Canada Research Chairs programme and funding from Health Canada.</t>
  </si>
  <si>
    <t>e48</t>
  </si>
  <si>
    <t>10.1017/S1368980024000235</t>
  </si>
  <si>
    <t>HN7J0</t>
  </si>
  <si>
    <t>WOS:001160244700001</t>
  </si>
  <si>
    <t>Yang, X; Yang, B; Tang, CL; Mo, XH; Hu, B</t>
  </si>
  <si>
    <t>Yang, Xian; Yang, Bin; Tang, Chaolan; Mo, Xiaohong; Hu, Bin</t>
  </si>
  <si>
    <t>Visual Attention Quality Research for Social Media Applications: A Case Study on Photo Sharing Applications</t>
  </si>
  <si>
    <t>Visual attention quality; social media applications; eye movement; user behavior; page layout</t>
  </si>
  <si>
    <t>TASK; CONTINGENT; SPEED</t>
  </si>
  <si>
    <t>With the rapid growth of smart terminal industry and User-Generated Content products, Social Media Applications (SMA) products, represented by TikTok, have been booming growth. How to capture and maintain users' attention in order to prolong their stay on the product and increase customer stickiness has become the focus of the industry. Therefore, according to the duration and characteristics of users using SMA, this paper takes the layout of SMA as an example to study the visual attention quality. Firstly, through the literature review, the study of visual attention quality in SMA was summarized into four aspects, including the span, maintenance, allocation, and switch of attention. Secondly, eye movement and behavior experiments were designed based on common content consumption tasks of SMA users to verify the hypotheses proposed in this paper. According to the results: (1) In terms of attention maintenance, linear layout outperformed masonry layout, masonry layout outperformed matrix layout, and in terms of attention span, the reverse was true; (2) In attention allocation, linear layout showed the best anti-interference characteristics; The masonry layout is suitable to be used in the task search stage and also in the dual-task execution stage; (3) In terms of attention switch, the energy cost of attention switch increased in the order of matrix layout, masonry layout and linear layout. (4) In terms of interaction, double-clicking interaction had more advantages in attention allocation and cognitive load than swiping interaction. The research in this paper has provided objective and quantitative data support for the design and operation of SMA products.</t>
  </si>
  <si>
    <t>[Yang, Xian; Yang, Bin; Tang, Chaolan; Mo, Xiaohong] Guangdong Univ Technol, Sch Art &amp; Design, Guangzhou, Peoples R China; [Hu, Bin] Macau Univ Sci &amp; Technol, Fac Humanities &amp; Arts, Macau, Peoples R China</t>
  </si>
  <si>
    <t>Guangdong University of Technology; Macau University of Science &amp; Technology</t>
  </si>
  <si>
    <t>Mo, XH (corresponding author), Guangdong Univ Technol, Sch Art &amp; Design, Guangzhou, Peoples R China.;Hu, B (corresponding author), Macau Univ Sci &amp; Technol, Fac Humanities &amp; Arts, Macau, Peoples R China.</t>
  </si>
  <si>
    <t>jackiemo@mail2.gdut.edu.cn; binhu@must.edu.mo</t>
  </si>
  <si>
    <t>Yang, Bin/JTS-9026-2023</t>
  </si>
  <si>
    <t>Guangdong Planning Office of Philosophy and Social Science [GD20CTS07]; 2022 Higher Education Scientific Research Planning Project [22SY0105]</t>
  </si>
  <si>
    <t>Guangdong Planning Office of Philosophy and Social Science; 2022 Higher Education Scientific Research Planning Project</t>
  </si>
  <si>
    <t>This study was supported in part by the Guangdong Planning Office of Philosophy and Social Science under Grant [GD20CTS07]; in part by the 2022 Higher Education Scientific Research Planning Project under Grant [22SY0105].</t>
  </si>
  <si>
    <t>10.1080/10447318.2023.2201556</t>
  </si>
  <si>
    <t>YP0D3</t>
  </si>
  <si>
    <t>WOS:000972819000001</t>
  </si>
  <si>
    <t>Boehnlein, C; Boniface, ER; Packham, AJ; Baldwin, MK</t>
  </si>
  <si>
    <t>Boehnlein, Colin; Boniface, Emily R.; Packham, Alexandra Jones; Baldwin, Maureen K.</t>
  </si>
  <si>
    <t>A Social Media Survey of US Adolescent Preferences for Menstrual Bleeding Patterns</t>
  </si>
  <si>
    <t>Menstruation; Menstrual management; Menstrual pattern; Amenorrhea; Adolescent; Online survey; Health literacy; Contracep- tion; Health education; Sex education</t>
  </si>
  <si>
    <t>YOUNG-ADULTS; ATTITUDES; INCONVENIENCE; CONTRACEPTION; ACCEPTABILITY; AMENORRHEA; MENSES; WOMEN</t>
  </si>
  <si>
    <t>Study Objective: To assess preferences for menstrual pattern and acceptability and knowledge about the safety of induced amenorrhea among adolescents and young adults Methods: We conducted a cross-sectional online survey of US residents aged 14-24 years at least 1 year post -menarche. Online recruitment was conducted via the social media platform TikTok on a teen reproductive health channel. Survey questions focused on menstrual history, menstrual pattern preferences, and demographic characteristics. The primary outcome was the proportion of postmenstrual individuals who would prefer amenorrhea vs scheduled bleeding. Results: From 5113 potential respondents who accessed the eligibility screening, 3001 completed surveys and met the inclusion criteria. Most were aged 14-18 (63.7%), distributed proportionally among all US Census regions. When asked if they could pick their period -bleeding style without any permanent impacts, almost three-quarters chose no bleeding at all (amenorrhea; 71.5%) compared with scheduled periods (28.5%). However, 63.7% agreed or were uncertain when faced with the statement It might be unsafe if hormone medications stop your period bleeding.  After adjusting for age, gender expression, race, religion, heavy bleeding, and frequent bleeding, factors associated with preference for amenorrhea vs regular bleeding were younger age, masculine gender expression, White race, and non-Christian religious background. Baseline bleeding amount and frequency were not associated with preference for amenorrhea. Conclusion: More than two-thirds of US adolescents and young adults indicated a preference for medication -induced amenorrhea if the method was assured to not have any permanent effects on the body, despite highly prevalent misconceptions about health and safety.</t>
  </si>
  <si>
    <t>[Boehnlein, Colin; Boniface, Emily R.; Baldwin, Maureen K.] Oregon Hlth &amp; Sci Univ, Portland, OR USA; [Packham, Alexandra Jones] Washington State Univ, Spokane, WA USA; [Baldwin, Maureen K.] Oregon Hlth &amp; Sci Univ, 3181 SW Sam Jackson Pk Rd,Mailcode UHN 50, Portland, OR 97239 USA</t>
  </si>
  <si>
    <t>Oregon Health &amp; Science University; Washington State University; Oregon Health &amp; Science University</t>
  </si>
  <si>
    <t>Baldwin, MK (corresponding author), Oregon Hlth &amp; Sci Univ, 3181 SW Sam Jackson Pk Rd,Mailcode UHN 50, Portland, OR 97239 USA.</t>
  </si>
  <si>
    <t>10.1016/j.jpag.2023.10.005</t>
  </si>
  <si>
    <t>IR9V5</t>
  </si>
  <si>
    <t>WOS:001168185200001</t>
  </si>
  <si>
    <t>Zhang, M; Han, H</t>
  </si>
  <si>
    <t>Zhang, Mu; Han, Han</t>
  </si>
  <si>
    <t>Operation Strategies for the PUGC Social Media Video Platform Based on the Value-Chain Perspective-A Chinese Case 'Bilibili'</t>
  </si>
  <si>
    <t>Value chain in HCI; PUGC platform; Operation management</t>
  </si>
  <si>
    <t>With the rapid development of digital technology and Internet industry, the threshold of video creation and communication has been lowered continuously, and the monopoly of traditional media on the right to speak has been weakened, and the decentralization of video content manufacturing has been realized. More and more network users began to participate in the production of content products. In this process, a number of video platforms with UGC and PUGC as content production modes were formed. YouTube meets the needs of different users with professional and diversified video content, and has a number of loyal users. Twitter has grown into a composite video platform through mergers and acquisitions. China's short video software TikTok has achieved great success in overseas markets, and the download volume ranks first in Europe. Social network platform giants such as Instagram, Facebook and Snapchat also laid out the video field according to the characteristics of their original products. With the increasing competition, many changes in the supply and demand of video content products have prompted the reconstruction of the value chain of video platform. Therefore, video platform urges to stand out in today's highly competitive media market in constantly upgrading and optimizing its own value chain and adopting corresponding strategies to promote the production of content providers and the experience needs of content consumers. Under such context, this paper carries out a discussion based on the research of China's representative PUGC video platform Bilibili, so as to generate some possible operation strategies in perspective of value chain for the future development of PUGC video platform.</t>
  </si>
  <si>
    <t>[Zhang, Mu; Han, Han] Shenzhen Univ, Shenzhen, Peoples R China</t>
  </si>
  <si>
    <t>Han, H (corresponding author), Shenzhen Univ, Shenzhen, Peoples R China.</t>
  </si>
  <si>
    <t>zhangmu@szu.edu.cn; han.han@szu.edu.cn</t>
  </si>
  <si>
    <t>10.1007/978-3-031-05061-9_16</t>
  </si>
  <si>
    <t>WOS:000911435700016</t>
  </si>
  <si>
    <t>Khan, Y; Thakur, S</t>
  </si>
  <si>
    <t>Pudaruth, S; Singh, U</t>
  </si>
  <si>
    <t>Khan, Yaseen; Thakur, Surendra</t>
  </si>
  <si>
    <t>Fake News Detection of South African COVID-19 Related Tweets using Machine Learning</t>
  </si>
  <si>
    <t>5TH INTERNATIONAL CONFERENCE ON ARTIFICIAL INTELLIGENCE, BIG DATA, COMPUTING AND DATA COMMUNICATION SYSTEMS (ICABCD2022)</t>
  </si>
  <si>
    <t>5th International Conference on Artificial Intelligence, Big Data, Computing and Data Communication Systems (ICABCD)</t>
  </si>
  <si>
    <t>AUG 04-05, 2022</t>
  </si>
  <si>
    <t>Durban, SOUTH AFRICA</t>
  </si>
  <si>
    <t>IEEE S Africa Sect,Soc Informat Technologists &amp; Engineers</t>
  </si>
  <si>
    <t>Machine Learning; fake news; covid-19; NLP</t>
  </si>
  <si>
    <t>BIG DATA; SCIENCE</t>
  </si>
  <si>
    <t>Social Media has grown in popularity in recent years' comprising of billions of users who in turn exchange and communicate content at a volume and rate impractical to examine manually. Fake News are now being used on these platforms to manipulate and affect societies across the world as was the case in the 2016 United States of America (USA) elections and of recent during the 2019 coronavirus disease (COVID-19) pandemic. South Africa is not immune to the spread of Fake News, particularly, through Social Media platforms such as Twitter, Facebook and TikTok. It is, therefore, important to detect the presence of Fake News computationally in order assist the mitigation of its spread and prevent perceivable negative effects. This study addresses the issue by developing a Machine Learning (ML) model to analyze large amounts of data associated with Social Media. Curated annotated datasets from CONSTRAINT AAAI 2021; COVID-19 Rumour, FNIR and Zenodo's COVID-19 datasets; Googk and Polifact Fact Checked websites; were utilized to develop the ML model Specifically, the model was trained on 36254 data points and applied on a South African related COVID-19 Twitter dataset collected for cursory analysis. In total, 27 ML models were experimented with and the collected South African COVID-19 related Twitter dataset comprised of 976087 tweets from 8 November 2020 until 19 July 2021. The results detected 329107 tweets as being 'Fake' based on the LightGBM Classifier which was chosen as the most feasible model in terms of speed and a balanced accuracy score of 0.82. The proposed model is unique as it is trained on a larger combined dataset and supplements existing efforts to combat misinformation, disinformation and malinformation spread on Twitter.</t>
  </si>
  <si>
    <t>[Khan, Yaseen; Thakur, Surendra] Durban Univ Technol, Dept Informat Technol, Durban, South Africa</t>
  </si>
  <si>
    <t>Durban University of Technology</t>
  </si>
  <si>
    <t>Khan, Y (corresponding author), Durban Univ Technol, Dept Informat Technol, Durban, South Africa.</t>
  </si>
  <si>
    <t>khanyas786@gmail.com; thakur@dut.ac.za</t>
  </si>
  <si>
    <t>Thakur, Surendra/ABD-6595-2020</t>
  </si>
  <si>
    <t>Thakur, Surendra/0000-0003-4900-0119</t>
  </si>
  <si>
    <t>978-1-6654-8422-0</t>
  </si>
  <si>
    <t>10.1109/icABCD54961.2022.9856272</t>
  </si>
  <si>
    <t>BT9YT</t>
  </si>
  <si>
    <t>WOS:000865949100034</t>
  </si>
  <si>
    <t>Kang, H; Shin, W; Huang, JR</t>
  </si>
  <si>
    <t>Kang, Hyunjin; Shin, Wonsun; Huang, Junru</t>
  </si>
  <si>
    <t>Teens' privacy management on video-sharing social media: the roles of perceived privacy risk and parental mediation</t>
  </si>
  <si>
    <t>Video-sharing social media; Perceived privacy risk; Parental mediation; Privacy disclosure; Privacy boundary linkage; Privacy boundary control</t>
  </si>
  <si>
    <t>INFORMATION DISCLOSURE; SELF-DISCLOSURE; NETWORKING SITES; CALCULUS MODEL; ONLINE; PARADOX; FACEBOOK; COMMUNICATION; CHILDREN; EFFICACY</t>
  </si>
  <si>
    <t>Purpose This study investigates how different parental mediation strategies (active versus restrictive) and teen Douyin users' privacy risk perceptions are associated with their privacy management behaviors. Design/methodology/approach An online survey with teen Douyin users (N = 500) was administered in mainland China. Findings Perceived privacy risk leads teenagers to implement stricter privacy management strategies. However, different types of parental mediation have different impacts on teens' privacy management behaviors. Discussion-based active mediation is positively correlated with privacy disclosure and privacy boundary linkage, while rule-based restrictive mediation is positively associated with privacy boundary control. In addition, active mediation encourages teens to use their own judgment about privacy risks when deciding how much personal information to disclose and with whom they want to share their information. Conversely, restrictive mediation results in teens making decisions about disclosing private information without taking their own risk assessments into account. Originality/value Video-sharing social media platforms like TikTok and Douyin have become a cultural trend among teen social media users. However, loss of privacy is a potentially serious downside of using such platforms. Despite the platforms' popularity among this age group, little is known about the ways teens manage their privacy on such social media platforms. By examining how teens' privacy risk perception and parental intervention shape three different aspects of privacy boundary management (i.e. privacy disclosure, privacy boundary linkage, and privacy boundary control), this study provides a comprehensive understanding of teen Douyin users' privacy management.</t>
  </si>
  <si>
    <t>[Kang, Hyunjin; Huang, Junru] Nanyang Technol Univ, Wee Kim Wee Sch Commun &amp; Informat, Singapore, Singapore; [Shin, Wonsun] Univ Melbourne, Sch Culture &amp; Commun, Media &amp; Commun, Parkville, Vic, Australia</t>
  </si>
  <si>
    <t>hjkang@ntu.edu.sg; wonsun.shin@unimelb.edu.au; junru001@e.ntu.edu.sg</t>
  </si>
  <si>
    <t>Shin, Wonsun/E-6526-2014; Huang, Junru/JCE-6763-2023</t>
  </si>
  <si>
    <t>Kang, Hyunjin/0000-0002-8076-7126; Huang, Junru/0000-0001-8757-5824; Shin, Wonsun/0000-0002-1636-8171</t>
  </si>
  <si>
    <t>Ministry of Education, Singapore [2019-T1-002-115]</t>
  </si>
  <si>
    <t>Ministry of Education, Singapore(Ministry of Education, Singapore)</t>
  </si>
  <si>
    <t>Funding: The research was supported by the first author's Tier 1 Grant (2019-T1-002-115) from the Ministry of Education, Singapore</t>
  </si>
  <si>
    <t>JAN 18</t>
  </si>
  <si>
    <t>10.1108/INTR-01-2021-0005</t>
  </si>
  <si>
    <t>YM4EV</t>
  </si>
  <si>
    <t>WOS:000672618600001</t>
  </si>
  <si>
    <t>Sanz-Martin, D; Ubago-Jiménez, JL; Cachón-Zagalaz, J; Zurita-Ortega, F</t>
  </si>
  <si>
    <t>Sanz-Martin, Daniel; Ubago-Jimenez, Jose Luis; Cachon-Zagalaz, Javier; Zurita-Ortega, Felix</t>
  </si>
  <si>
    <t>Impact of Physical Activity and Bio-Psycho-Social Factors on Social Network Addiction and Gender Differences in Spanish Undergraduate Education Students</t>
  </si>
  <si>
    <t>emotional attention; emotional clarity; emotional repair; sitting time; physical activity; body mass index</t>
  </si>
  <si>
    <t>ASSOCIATION</t>
  </si>
  <si>
    <t>Social network use has increased in recent years. Social networks are fast-changing and may cause negative effects such as dependence and addiction. Hence, it was decided to establish two research aims: (1) to identify the social network used by university students and their use levels according to their sex and (2) to analyse how age, body mass index, physical activity, emotional intelligence and social network type affect addiction to social networks according to young people's sex. A cross-sectional study was designed involving Spanish university students from Education Degrees. The mean age of the participants was 20.84 years (+/- 2.90). Females made up 69.8% of the sample and males 30.2%. An online questionnaire was administered that included sociodemographic questions, IPAQ-SF and TMMS-24. This study found that all students use WhatsApp and more than 97% have YouTube and Instagram accounts. The linear regression model obtained was as follows: social network addiction = 3.355 + 0.336*emotional attention - 0.263*emotional clarity. There is a positive relationship between social network addiction and emotional attention (r = 0.25; p &lt; 0.001) and negative relationships between social network addiction and emotional clarity (r = -0.16; p = 0.002) and between social network addiction and age (r = -0.17; p = 0.001). University students report lower levels of social network addiction and slightly higher levels of social network addiction among females. In addition, there are significant differences between the average social network addiction scores of university students in terms of their use of Telegram, TikTok and Twitch.</t>
  </si>
  <si>
    <t>[Sanz-Martin, Daniel] Univ Isabel I, Fac Humanities &amp; Social Sci, Burgos 09003, Spain; [Sanz-Martin, Daniel; Cachon-Zagalaz, Javier] Univ Jaen, Mus Plast &amp; Corporal Express Didact Dept, Jaen 23071, Spain; [Ubago-Jimenez, Jose Luis; Zurita-Ortega, Felix] Univ Granada, Fac Educ Sci, Dept Didact Mus Plast &amp; Corporal Express, Granada 18071, Spain</t>
  </si>
  <si>
    <t>Universidad de Jaen; University of Granada</t>
  </si>
  <si>
    <t>Ubago-Jiménez, JL (corresponding author), Univ Granada, Fac Educ Sci, Dept Didact Mus Plast &amp; Corporal Express, Granada 18071, Spain.</t>
  </si>
  <si>
    <t>daniel.sanz6718@ui1.es; jlubago@ugr.es; jcachon@ujaen.es; felixzo@ugr.es</t>
  </si>
  <si>
    <t>ZURITA, FELIX/K-5401-2019; Sanchez, Maria/KHW-9235-2024; Ubago-Jimenez, Jose Luis/J-4644-2019; Sanz-Martin, Daniel/D-9446-2019; ZURITA, FELIX/I-9017-2017</t>
  </si>
  <si>
    <t>Ubago-Jimenez, Jose Luis/0000-0002-7252-209X; Sanz-Martin, Daniel/0000-0003-4382-3552; Cachon Zagalaz, Javier/0000-0001-5085-0423; ZURITA, FELIX/0000-0002-1189-894X</t>
  </si>
  <si>
    <t>10.3390/bs14020110</t>
  </si>
  <si>
    <t>JR1Y9</t>
  </si>
  <si>
    <t>WOS:001174813800001</t>
  </si>
  <si>
    <t>Salim, S; Turnbull, B; Moustafa, N</t>
  </si>
  <si>
    <t>Salim, Sara; Turnbull, Benjamin; Moustafa, Nour</t>
  </si>
  <si>
    <t>Data analytics of social media 3.0: Privacy protection perspectives for integrating social media and Internet of Things (SM-IoT) systems</t>
  </si>
  <si>
    <t>AD HOC NETWORKS</t>
  </si>
  <si>
    <t>Social media; Internet of Things (ioT); Data analytics; Privacy preservation</t>
  </si>
  <si>
    <t>IMPACT; NETWORKS</t>
  </si>
  <si>
    <t>With the rapid evolution of web technologies, Web 3.0 aims to expand on current and emerging social media platforms such as Facebook, Twitter, and TikTok, and integrate emerging computing paradigms, including the Internet of Things (IoT), named social media 3.0. The combinations of these platforms in Web 3.0 promises consumers greater integration, interaction, and more seamless movement between physical spaces. However, ensuring the privacy of data across such systems is a potential challenge in this space. In this study, we propose a new privacy-preserving social media 3.0 framework that illustrates the interaction of SM and IoT services and estimates how this interaction could impact users' behaviors. The framework consists of three main components. First, a new relational dataset, named SM-IoT, is designed to dynamically connect users with their IoT services and assist in processing data heterogeneity. Second, a data pre-processing module is employed for filtering heterogeneous data and providing a certain level of privacy preservation on the data. Third, data analytics using different statistical and machine/deep learning methods are applied to examine data complexity and identify users' behaviors. The results revealed that our proposed framework can efficiently identify users' behaviors from social media 3.0 data sources. The outcomes of comparing our SM-IoT dataset with two other well-known SM datasets, namely Pokec and Renren, as well as Activity Recognition with Ambient Sensing (ARAS) IoT dataset reveals the fidelity of our dataset to be used for future evaluations of privacy-preserving and machine learning-based decision-making techniques.</t>
  </si>
  <si>
    <t>[Salim, Sara; Turnbull, Benjamin; Moustafa, Nour] Univ New South Wales, Sch Engn &amp; Informat Technol, Canberra, ACT, Australia</t>
  </si>
  <si>
    <t>Salim, S (corresponding author), Univ New South Wales, Sch Engn &amp; Informat Technol, Canberra, ACT, Australia.</t>
  </si>
  <si>
    <t>s.salim@student.adfa.edu.au</t>
  </si>
  <si>
    <t>Turnbull, Benjamin/IZE-8140-2023; Moustafa, Nour/Z-1160-2018</t>
  </si>
  <si>
    <t>Salim, Sara/0000-0002-0577-4625; Turnbull, Benjamin/0000-0003-0440-5032</t>
  </si>
  <si>
    <t>1570-8705</t>
  </si>
  <si>
    <t>1570-8713</t>
  </si>
  <si>
    <t>AD HOC NETW</t>
  </si>
  <si>
    <t>Ad Hoc Netw.</t>
  </si>
  <si>
    <t>10.1016/j.adhoc.2022.102786</t>
  </si>
  <si>
    <t>YW0WA</t>
  </si>
  <si>
    <t>WOS:000753141400001</t>
  </si>
  <si>
    <t>Madraki, G; Grasso, I; Otala, JM; Liu, Y; Matthews, J</t>
  </si>
  <si>
    <t>Madraki, Golshan; Grasso, Isabella; Otala, Jacqueline M.; Liu, Yu; Matthews, Jeanna</t>
  </si>
  <si>
    <t>Characterizing and Comparing COVID-19 Misinformation Across Languages, Countries and Platforms</t>
  </si>
  <si>
    <t>WEB CONFERENCE 2021: COMPANION OF THE WORLD WIDE WEB CONFERENCE (WWW 2021)</t>
  </si>
  <si>
    <t>30th World Wide Web (WWW) Conference (WebConf)</t>
  </si>
  <si>
    <t>APR 19-23, 2021</t>
  </si>
  <si>
    <t>Assoc Comp Machinery,Microsoft Res,Amazon, Sci,Facebook,Pinterest,Finvolution,Megagon Labs,Google,Yahoo! Res,Posta Slovenije,QLector,EventRegistry,Natl Sci Fdn,Web4Good Fdn,Bloomberg,Outbrain</t>
  </si>
  <si>
    <t>COVID-19; Misinformation/Disinformation; Social Media; Different Languages</t>
  </si>
  <si>
    <t>Misinformation/disinformation about COVID-19 has been rampant on social media around the world. In this study, we investigate COVID-19 misinformation/disinformation on social media in multiple languages/countries: Chinese (Mandarin)/China, English/USA, and Farsi (Persian)/Iran; and on multiple platforms such as Twitter, Facebook, Instagram, WhatsApp, Weibo, WeChat and TikTok. Misinformation, especially about a global pandemic, is a global problem yet it is common for studies of COVID-19 misinformation on social media to focus on a single language, like English, a single country, like the USA, or a single platform, like Twitter. We utilized opportunistic sampling to compile 200 specific items of viral and yet debunked misinformation across these languages, countries and platforms emerged between January 1 and August 31. We then categorized this collection based both on the topics of the misinformation and the underlying roots of that misinformation. Our multi-cultural and multi-linguistic team observed that the nature of COVID-19 misinformation on social media varied in substantial ways across different languages/countries depending on the cultures, beliefs/religions, popularity of social media, types of platforms, freedom of speech and the power of people versus governments. We observe that politics is at the root of most of the collected misinformation across all three languages in this dataset. We further observe the different impact of government restrictions on platforms and platform restrictions on content in China, Iran, and the USA and their impact on a key question of our age: how do we control misinformation without silencing the voices we need to hold governments accountable?</t>
  </si>
  <si>
    <t>[Madraki, Golshan] Clarkson Univ, Sch Business, Potsdam, NY 13676 USA; [Grasso, Isabella; Otala, Jacqueline M.] Clarkson Univ, Potsdam, NY 13676 USA; [Liu, Yu] Clarkson Univ, Elect &amp; Comp Engn Dept, Potsdam, NY 13676 USA; [Matthews, Jeanna] Clarkson Univ, Comp Sci Dept, Potsdam, NY 13676 USA</t>
  </si>
  <si>
    <t>Clarkson University; Clarkson University; Clarkson University; Clarkson University</t>
  </si>
  <si>
    <t>Madraki, G (corresponding author), Clarkson Univ, Sch Business, Potsdam, NY 13676 USA.</t>
  </si>
  <si>
    <t>gmadraki@clarkson.edu; grassoi@clarkson.edu; otalajm@clarkson.edu; yuliu@clarkson.edu; jnm@clarkson.edu</t>
  </si>
  <si>
    <t>Matthews, Jeanna/AAQ-8226-2021</t>
  </si>
  <si>
    <t>Grasso, Izzi/0000-0002-4829-3776; Matthews, Jeanna/0000-0001-5955-0996</t>
  </si>
  <si>
    <t>Clarkson University Epidemic and Virus-Related Research Innovation fund</t>
  </si>
  <si>
    <t>The authors would like to kindly acknowledge assistance from Gillian Kurtic and Yan Chen for contributions to the paper including help reviewing, organizing, and formatting. We also thank Dr. Ricardo Baeza-Yates for his detailed feedback, wise advice and thought-provoking questions. We gratefully acknowledge funding from Clarkson University Epidemic and Virus-Related Research Innovation fund.</t>
  </si>
  <si>
    <t>978-1-4503-8313-4</t>
  </si>
  <si>
    <t>10.1145/3442442.3452304</t>
  </si>
  <si>
    <t>BS6LP</t>
  </si>
  <si>
    <t>WOS:000749534900029</t>
  </si>
  <si>
    <t>Song, JB; Liu, J</t>
  </si>
  <si>
    <t>Song, Jinbao; Liu, Jing</t>
  </si>
  <si>
    <t>A data-driven short video international communication model based on indicator system communication network and attention BiLSTM neural network</t>
  </si>
  <si>
    <t>As one of the most popular ways to disseminate Internet content in the current era of media convergence, short videos have increasingly become part of people's daily lives. This paper takes TikTok as the research object, focusing on the study of short video communication process. The research objective of this paper is to improve the international communication effect of short videos through data-driven analysis and strategy research on the law of international communication of short videos. Firstly, the key objective indicator system about international communication of short videos is constructed, the definition, selection and design logic of key objective indicators are introduced, the construction idea of the corresponding indicator system is proposed, and then the key objective indicator system about international communication of short videos and related data set are constructed. Secondly, an international communication network model for short videos is built. The construction of this network model is divided into three steps, the construction of the short video communication network KOIS-PN based on the key objective indicators system, the construction of AT-BiLSTM neural network model to adapt to the research scenario of short video international communication, the construction of an international communication network model of short videos combining KOIS-PN and AT-BiLSTM. The international short video communication network is constructed according to the key objective index system of international short video, and the key objective index system is used as nodes in the communication network, and the short video communication network is constructed by hierarchical relationship. Thirdly, the performance of the core theoretical model proposed in this paper is verified. The experimental results show that, the KOISPN-ATBiLSTM international communication network model of short videos has certain validity and advancement.</t>
  </si>
  <si>
    <t>[Song, Jinbao; Liu, Jing] Commun Univ China, State Key Lab Media Convergence &amp; Commun, Beijing, Peoples R China</t>
  </si>
  <si>
    <t>Communication University of China</t>
  </si>
  <si>
    <t>Song, JB (corresponding author), Commun Univ China, State Key Lab Media Convergence &amp; Commun, Beijing, Peoples R China.</t>
  </si>
  <si>
    <t>songjinbao@cuc.edu.cn</t>
  </si>
  <si>
    <t>Song, Jin/HHS-8731-2022</t>
  </si>
  <si>
    <t>Asia Media Research Center, Communication University of China [AMRC2023-4]</t>
  </si>
  <si>
    <t>Asia Media Research Center, Communication University of China</t>
  </si>
  <si>
    <t>This research was supported by Asia Media Research Center, Communication University of China (No. AMRC2023-4).</t>
  </si>
  <si>
    <t>JUN 24</t>
  </si>
  <si>
    <t>10.1038/s41598-024-65098-x</t>
  </si>
  <si>
    <t>WS4M6</t>
  </si>
  <si>
    <t>WOS:001256850300007</t>
  </si>
  <si>
    <t>Luo, HC; Zhang, X; Su, SP; Zhang, MY; Yin, MY; Feng, SY; Peng, R; Li, HS</t>
  </si>
  <si>
    <t>Luo, Hongcheng; Zhang, Xing; Su, Songpeng; Zhang, Mingyang; Yin, Mingyue; Feng, Siyuan; Peng, Rui; Li, Hansen</t>
  </si>
  <si>
    <t>Using structural equation modeling to explore the influences of physical activity, mental health, well-being, and loneliness on Douyin usage at bedtime</t>
  </si>
  <si>
    <t>physical activity; public health; mental health; social media; domain-specific behaviors</t>
  </si>
  <si>
    <t>SOCIAL MEDIA USE; CONFIDENCE-INTERVALS; INSOMNIA SYMPTOMS; TEST STATISTICS; GENDER; SPECIFICATION; ASSOCIATIONS; ANXIETY</t>
  </si>
  <si>
    <t>Douyin is the Chinese version of TikTok. Using Douyin at bedtime is a very common behavior among Douyin users. However, the reasons why users like using Douyin before sleep are yet unclear. We conducted a cross-section survey from January 1st to January 16th, 2023 to capture data to examine the associations of depression, anxiety, life satisfaction, well-being, loneliness, and physical activity with Douyin usage at bedtime. The mediation role of insomnia in these associations was examined. A total of 3,392 participants who met the inclusion criteria were included for analysis. Our structural equation modeling analysis showed that depression on (beta = 0.08; p &lt; 0.05), anxiety (beta = 0.06; p &lt; 0.05), and loneliness (beta = 0.14; p &lt; 0.05) were directly associated with increased Douyin usage at bedtime, and were also indirectly associated with Douyin usage through insomnia (depression: beta = 0.18; p &lt; 0.05, anxiety: beta = 0.16; p &lt; 0.05, and loneliness: beta = 0.12; p &lt; 0.05). Life satisfaction (beta = -0.05; p &lt; 0.05) and well-being (beta = -0.20; p &lt; 0.05) were directly associated with decreased Douyin usage at bedtime, and were also indirectly associated with Douyin usage through insomnia (life satisfaction: beta = -0.09; p &lt; 0.05, and well-being: beta = -0.11; p &lt; 0.05). However, physical activity was unexpectedly associated with increased Douyin usage at bedtime (beta = 0.20; p &lt; 0.05). In conclusion, our findings shed new light on the specific reasons why Douyin users like using Douyin at bedtime.</t>
  </si>
  <si>
    <t>[Luo, Hongcheng] Xichang Univ, Sch Phys Educ, Xichang, Peoples R China; [Zhang, Xing] Univ Granada, Fac Sport Sci, Dept Phys Educ &amp; Sport, Granada, Spain; [Su, Songpeng] Guangzhou Sport Univ, Sch Athlet Training, Guangzhou, Peoples R China; [Zhang, Mingyang] Guangzhou Sport Univ, Digitalized Strength &amp; Conditioning Training Lab, Guangzhou, Peoples R China; [Zhang, Mingyang] Jishou Univ, Inst Sports Sci, Jishou, Peoples R China; [Yin, Mingyue] Shanghai Univ Sport, Sch Athlet Performance, Shanghai, Peoples R China; [Feng, Siyuan] Univ Wisconsin, Lab Genet, Madison, WI USA; [Peng, Rui] McGill Univ, Montreal, PQ, Canada; [Li, Hansen] Southwest Univ, Inst Sports Sci, Coll Phys Educ, Chongqing, Peoples R China</t>
  </si>
  <si>
    <t>University of Granada; Guangzhou Sport University; Guangzhou Sport University; Jishou University; Shanghai University of Sport; University of Wisconsin System; University of Wisconsin Madison; McGill University; Southwest University - China</t>
  </si>
  <si>
    <t>Luo, HC (corresponding author), Xichang Univ, Sch Phys Educ, Xichang, Peoples R China.</t>
  </si>
  <si>
    <t>925409269@qq.com</t>
  </si>
  <si>
    <t>Zhang, Mingyang/AEC-5093-2022; Feng, Siyuan/ITT-1738-2023</t>
  </si>
  <si>
    <t>10.3389/fpubh.2023.1306206</t>
  </si>
  <si>
    <t>FI2T9</t>
  </si>
  <si>
    <t>WOS:001145074900001</t>
  </si>
  <si>
    <t>Rackoff, GN; Monocello, LT; Fowler, LA; Vázquez, MM; Shah, JL; Fitzsimmons-Craft, EE; Taylor, CB; Eisenberg, D; Wilfley, DE; Newman, MG</t>
  </si>
  <si>
    <t>Rackoff, Gavin N.; Monocello, Lawrence T.; Fowler, Lauren A.; Vazquez, Melissa M.; Shah, Jillian; Fitzsimmons-Craft, Ellen E.; Taylor, C. Barr; Eisenberg, Daniel; Wilfley, Denise E.; Newman, Michelle G.</t>
  </si>
  <si>
    <t>Using social influence strategies to improve rates of online mental health survey participation: Results from two experiments</t>
  </si>
  <si>
    <t>JOURNAL OF BEHAVIORAL AND COGNITIVE THERAPY</t>
  </si>
  <si>
    <t>Methodology; Online surveys; Social media; Influencer; Sampling; Recruitment</t>
  </si>
  <si>
    <t>BACKGROUND: Online surveys are routinely used in mental health screening and treatment follow-up assessment, though they can yield low response rates. We tested the effects of social psychology-informed influence strategies for increasing rates of participation in an online mental health screening survey (Experiment 1) and a treatment follow-up survey (Experiment 2). METHODS and RESULTS: In Experiment 1 (N = 45,569), embedding one or any combination of three motivational appeals (personal gain, community gain, and inclusivity) in screening survey invitation and reminder emails unexpectedly led to lower rates of survey participation compared to when the appeals were not included (overall participation rate = 12.02%, ORs = 0.75 to 0.97, ps &lt;.001). In Experiment 2 (N = 873), a video of a TikTok influencer encouraging survey participation embedded in treatment follow-up survey invitation and reminder emails did not significantly affect survey completion compared to a humorous gif unrelated to survey participation (overall participation rate = 47.88%, OR = 1.18, p =.200). Moderator analyses revealed that the video led to higher rates of participation than the gif among White participants (OR = 1.39, p =.031) and non-Hispanic participants (OR = 1.35, p =.029) only, whereas the video led to lower rates of participation than the gif among students who did not disclose their race (OR = 0.31, p =.010). CONCLUSIONS: Efforts to improve online survey participation should be balanced with possible downsides (e.g., added email length) and should be evaluated for differential performance among population subgroups prior to widespread implementation. (C) 2023 Association Francaise de Therapie Comportementale et Cognitive. Published by Elsevier Masson SAS. All rights reserved.</t>
  </si>
  <si>
    <t>[Rackoff, Gavin N.; Newman, Michelle G.] Penn State Univ, Dept Psychol, University Pk, PA USA; [Monocello, Lawrence T.; Fowler, Lauren A.; Vazquez, Melissa M.; Shah, Jillian; Fitzsimmons-Craft, Ellen E.; Wilfley, Denise E.] Washington Univ, Dept Psychiat, Sch Med, St Louis, MO USA; [Taylor, C. Barr] Stanford Univ, Sch Med, Dept Psychiat &amp; Behav Sci, Stanford, CA USA; [Taylor, C. Barr] Palo Alto Univ, Ctr m2Hlth, Palo Alto, CA USA; [Eisenberg, Daniel] Univ Calif Los Angeles, Fielding Sch Publ Hlth, Dept Hlth Policy &amp; Management, Los Angeles, CA USA; [Rackoff, Gavin N.] Penn State Univ, Dept Psychol, 378 Moore Bldg, University Pk, PA 16801 USA</t>
  </si>
  <si>
    <t>Pennsylvania Commonwealth System of Higher Education (PCSHE); Pennsylvania State University; Pennsylvania State University - University Park; Washington University (WUSTL); Stanford University; University of California System; University of California Los Angeles; Pennsylvania Commonwealth System of Higher Education (PCSHE); Pennsylvania State University; Pennsylvania State University - University Park</t>
  </si>
  <si>
    <t>Rackoff, GN (corresponding author), Penn State Univ, Dept Psychol, 378 Moore Bldg, University Pk, PA 16801 USA.</t>
  </si>
  <si>
    <t>gnr18@psu.edu</t>
  </si>
  <si>
    <t>Monocello, Lawrence/AAA-1411-2022; Newman, Michelle G./I-4370-2013</t>
  </si>
  <si>
    <t>Monocello, Lawrence/0000-0001-9367-9080; Wilfley, Denise/0000-0002-3599-8689; Fitzsimmons-Craft, Ellen/0000-0001-7064-3835; Vazquez, Melissa/0000-0002-4651-7561; Fowler, Lauren A./0000-0002-9240-7267; Newman, Michelle G./0000-0003-0873-1409</t>
  </si>
  <si>
    <t>National Institute of Mental Health [R01MH115128, K08MH120341, T32HL130357, K01MD017630]; National Heart, Lung, and Blood Institute; National Institute on Minority Health and Health Disparities</t>
  </si>
  <si>
    <t>National Institute of Mental Health(United States Department of Health &amp; Human ServicesNational Institutes of Health (NIH) - USANIH National Institute of Mental Health (NIMH)); National Heart, Lung, and Blood Institute(United States Department of Health &amp; Human ServicesNational Institutes of Health (NIH) - USANIH National Heart Lung &amp; Blood Institute (NHLBI)); National Institute on Minority Health and Health Disparities(United States Department of Health &amp; Human ServicesNational Institutes of Health (NIH) - USANIH National Institute on Minority Health &amp; Health Disparities (NIMHD))</t>
  </si>
  <si>
    <t>Role of funding source This study was supported by National Institute of Mental Health grants R01MH115128, K08MH120341, and grants T32HL130357 and K01MD017630 from the National Heart, Lung, and Blood Institute and the National Institute on Minority Health and Health Disparities, respectively. The funding agencies are not responsible for any data collection, analysis, or interpretation in this manuscript. No author is being paid to write this article by a pharmaceutical com-pany or other agency.</t>
  </si>
  <si>
    <t>2589-9791</t>
  </si>
  <si>
    <t>J BEHAV COGN THER</t>
  </si>
  <si>
    <t>J. Behav. Cogn. Ther.</t>
  </si>
  <si>
    <t>10.1016/j.jbct.2023.05.001</t>
  </si>
  <si>
    <t>S2ET8</t>
  </si>
  <si>
    <t>Green Submitted, Green Accepted, Bronze</t>
  </si>
  <si>
    <t>WOS:001069359600001</t>
  </si>
  <si>
    <t>Otto, T; Thies, B</t>
  </si>
  <si>
    <t>Otto, Thorsten; Thies, Barbara</t>
  </si>
  <si>
    <t>Exploring the influence of instagram use on materialism and situational intrinsic learning motivation: An online experimental study</t>
  </si>
  <si>
    <t>Social media use; materialism; intrinsic learning motivation; higher education</t>
  </si>
  <si>
    <t>MEDIATING ROLE; SOCIAL MEDIA; NEED-SATISFACTION; COLLEGE-STUDENTS; FACEBOOK USE; ADOLESCENTS; VALUES; SELF; ASSOCIATIONS; ACHIEVEMENT</t>
  </si>
  <si>
    <t>In recent years, social media such as YouTube, TikTok, and Instagram have become an essential part of the everyday lives of children and young adults. Integrating elements of these social media into higher education may have the potential to enhance situational intrinsic learning motivation through the emotional design and proximity to students' lives, but this also poses the risk of fostering a situational materialistic focus due to the ubiquitous materialistic content on especially Instagram, undermining situational intrinsic learning motivation. In the present study, we examined if the primary use of Instagram is associated with higher materialism and how exposure to Instagram-framed pictures influences situational intrinsic learning motivation. The current study conducted an online experiment. Participants (N = 148) were randomly assigned to one of three groups after they rated items about general and problematic social media use and materialism. In the first two groups, participants were asked to rate the pleasantness of luxury or nature Instagram-framed pictures. A third group received no pictures. Afterwards, the situational intrinsic learning motivation was assessed through a mock working task. The findings prove that people who (primarily) use Instagram tend to be more materialistic than people who (primarily) use another social medium and that exposure to Instagram-framed pictures neither positively nor negatively influenced situational intrinsic learning motivation but moderated the relationship between problematic social media use and situational intrinsic learning motivation. Limitations, implications, and future directions for social media use inhigher education are discussed.</t>
  </si>
  <si>
    <t>[Otto, Thorsten; Thies, Barbara] TU Braunschweig, Inst Educ Psychol, Bienroder Weg 82, D-38106 Braunschweig, Niedersachsen, Germany</t>
  </si>
  <si>
    <t>Braunschweig University of Technology</t>
  </si>
  <si>
    <t>Otto, T (corresponding author), TU Braunschweig, Inst Educ Psychol, Bienroder Weg 82, D-38106 Braunschweig, Niedersachsen, Germany.</t>
  </si>
  <si>
    <t>t.otto@tu-braunschweig.de; barbara.thies@tu-braunschweig.de</t>
  </si>
  <si>
    <t>Technische Universitt Braunschweig (1042)</t>
  </si>
  <si>
    <t>2024 MAY 28</t>
  </si>
  <si>
    <t>10.1007/s10639-024-12762-4</t>
  </si>
  <si>
    <t>SH9F1</t>
  </si>
  <si>
    <t>WOS:001233674500003</t>
  </si>
  <si>
    <t>Kristensen, JB; Henriksen, FM; Mayerhöffer, E</t>
  </si>
  <si>
    <t>Kristensen, Jakob Baek; Henriksen, Frederik Moller; Mayerhoffer, Eva</t>
  </si>
  <si>
    <t>Did COVID-19 Blur Partisan Boundaries? A Comparison of Partisan Affinity and Source Heterophily in Online Alternative News-Sharing Networks Before and During the COVID-19 Pandemic</t>
  </si>
  <si>
    <t>alternative media; partisanship; counter-publics; source heterophily; source homophily; COVID-19; anti-system; network analysis; polarization; echo chambers</t>
  </si>
  <si>
    <t>ANTI-SYSTEM PARTIES; ECHO-CHAMBERS; FILTER BUBBLES; POLITICAL SPACE; SOCIAL MEDIA; EXPOSURE; CONSUMPTION</t>
  </si>
  <si>
    <t>This study explores partisan and group heterophily within cross-platform online communities that share alternative news media content in Denmark, Sweden, Germany, and Austria. The analysis is related to the emergence of anti-systemic cross-partisan counter-publics in Europe that have gained momentum with the outbreak of COVID-19 and the subsequent resistance against government restrictions. Comparing two periods (before and after the outbreak of COVID-19), we investigate whether these developments foster cross-partisan information sharing in online communities that form around right-wing, left-wing, and anti-systemic alternative news media content. Drawing on a network-analytical approach, we study networks formed around URL sharing of alternative news content across Facebook, Instagram, Twitter, Reddit, Telegram, TikTok, YouTube, and VKontakte. Data include 30 million social media posts from January 2019 to September 2021. The results show that overall source heterophily in online alternative news networks increases slightly with the COVID-19 pandemic, mainly due to the increased proliferation of anti-system news. This increase is, however, not an expression of a more profound collapse of bi-partisan, left-right cleavages and is contingent on country contexts. Except for the time of the initial outbreak, the overall sharing of COVID-19-related content tends to increase rather than decrease partisan homophily. Finally, the results show that non-bi-partisan, anti-system media have had a significant effect on alternative media information ecosystems during the COVID-19 pandemic.</t>
  </si>
  <si>
    <t>[Kristensen, Jakob Baek; Henriksen, Frederik Moller; Mayerhoffer, Eva] Roskilde Univ, Roskilde, Denmark; [Kristensen, Jakob Baek] Roskilde Univ, Dept Commun &amp; Arts, Univ Vej 1, DK-4000 Roskilde, Denmark</t>
  </si>
  <si>
    <t>Roskilde University; Roskilde University</t>
  </si>
  <si>
    <t>Kristensen, JB (corresponding author), Roskilde Univ, Dept Commun &amp; Arts, Univ Vej 1, DK-4000 Roskilde, Denmark.</t>
  </si>
  <si>
    <t>jakobbk@ruc.dk</t>
  </si>
  <si>
    <t>Kristensen, Jakob/IUP-9504-2023</t>
  </si>
  <si>
    <t>Mayerhoffer, Eva/0000-0002-4644-9060; Kristensen, Jakob Baek/0000-0002-9821-5004; Henriksen, Frederik/0000-0001-8614-8783</t>
  </si>
  <si>
    <t>Carlsberg Foundation [CF20-0247]</t>
  </si>
  <si>
    <t>The author(s) disclosed receipt of the following financial support for the research, authorship, and/or publication of this article: The research, authorship and publication of this article have been funded by the Carlsberg Foundation, funding code CF20-0247.</t>
  </si>
  <si>
    <t>10.1177/20563051231192963</t>
  </si>
  <si>
    <t>Q5QK9</t>
  </si>
  <si>
    <t>WOS:001058066100001</t>
  </si>
  <si>
    <t>Telili, A; Fezza, SA; Hamidouche, W; Meftah, HFZB</t>
  </si>
  <si>
    <t>Telili, Ahmed; Fezza, Sid Ahmed; Hamidouche, Wassim; Meftah, Hanene F. Z. Brachemi</t>
  </si>
  <si>
    <t>2BiVQA: Double Bi-LSTM-based Video Quality Assessment of UGC Videos</t>
  </si>
  <si>
    <t>Blind video quality assessment; user-generated content; deep learning; Bi-LSTM; spatial pooling; temporal pooling</t>
  </si>
  <si>
    <t>STATISTICS; CLASSIFICATION; PREDICTION; NETWORKS</t>
  </si>
  <si>
    <t>Recently, with the growing popularity of mobile devices as well as video sharing platforms (e.g., YouTube, Facebook, TikTok, and Twitch), User-Generated Content (UGC) videos have become increasingly common and now account for a large portion of multimedia traffic on the internet. Unlike professionally generated videos produced by filmmakers and videographers, typically, UGC videos contain multiple authentic distortions, generally introduced during capture and processing by naive users. Quality prediction of UGC videos is of paramount importance to optimize and monitor their processing in hosting platforms, such as their coding, transcoding, and streaming. However, blind quality prediction of UGC is quite challenging, because the degradations of UGC videos are unknown and very diverse, in addition to the unavailability of pristine reference. Therefore, in this article, we propose an accurate and efficient Blind Video Quality Assessment (BVQA) model for UGC videos, which we name 2BiVQA for double Bi-LSTM Video Quality Assessment. 2BiVQA metric consists of three main blocks, including a pre-trained Convolutional Neural Network to extract discriminative features from image patches, which are then fed into two Recurrent Neural Networks for spatial and temporal pooling. Specifically, we use two Bi-directional Long Short-term Memory networks, the first is used to capture short-range dependencies between image patches, while the second allows capturing long-range dependencies between frames to account for the temporal memory effect. Experimental results on recent large-scale UGC VQA datasets show that 2BiVQA achieves high performance at lower computational cost than most state-of-the-art VQA models. The source code of our 2BiVQA metric is made publicly available at https://github.com/atelili/2BiVQA.</t>
  </si>
  <si>
    <t>[Telili, Ahmed; Hamidouche, Wassim] Univ Rennes, INSA Rennes, CNRS, IETR UMR 6164, 20 Ave Buttes Coesmes, F-35000 Rennes, France; [Fezza, Sid Ahmed; Meftah, Hanene F. Z. Brachemi] Natl Higher Sch Telecommun &amp; ICT, BP 1518 El MNaouer,Route Es Senia, Oran 31000, Algeria</t>
  </si>
  <si>
    <t>Centre National de la Recherche Scientifique (CNRS); CNRS - Institute for Engineering &amp; Systems Sciences (INSIS); Universite de Rennes; Institut National des Sciences Appliquees de Rennes</t>
  </si>
  <si>
    <t>Telili, A (corresponding author), Univ Rennes, INSA Rennes, CNRS, IETR UMR 6164, 20 Ave Buttes Coesmes, F-35000 Rennes, France.</t>
  </si>
  <si>
    <t>atelili@insa-rennes.fr; sfezza@ensttic.dz; whamidouche@insa-rennes.fr; hbrachemi@inttic.dz</t>
  </si>
  <si>
    <t>Telili, Ahmed/LKO-0544-2024; Fezza, Sid Ahmed/JJF-6642-2023</t>
  </si>
  <si>
    <t>Brachemi Meftah, Hanene F. Z./0009-0008-1399-4506; Telili, Ahmed/0000-0002-2659-7840; Fezza, Sid Ahmed/0000-0001-6453-8588</t>
  </si>
  <si>
    <t>10.1145/3632178</t>
  </si>
  <si>
    <t>GN6G9</t>
  </si>
  <si>
    <t>WOS:001153382100010</t>
  </si>
  <si>
    <t>Kini, SD; Houssein, FA; Derbarsegian, A; Adams, SM; Phillips, KM; Sedaghat, AR</t>
  </si>
  <si>
    <t>Kini, Sameer D.; Houssein, Firas A.; Derbarsegian, Armo; Adams, Sarah M.; Phillips, Katie M.; Sedaghat, Ahmad R.</t>
  </si>
  <si>
    <t>Surveying the Landscape of Social Media Usage for Health Care by Otolaryngology Patients</t>
  </si>
  <si>
    <t>access; Facebook; gender; health care; Instagram; Medicare; social media; TikTok; Twitter</t>
  </si>
  <si>
    <t>Objective To determine factors associated with social media usage for finding a doctor or seeking medical advice among otolaryngology patients. Methods Cross-sectional study of 361 patients visiting our clinics. All participants were asked if they were aware social media may be used to find doctors and if they had ever done so, and also if they were aware social media could be used to get advice about a medical condition or its treatment and if they had ever done so. Demographic characteristics were examined for association with affirmative answers to these questions. Results Facebook was the most used social media platform with 50.7% using Facebook daily. Over 50% of participants were aware social media could be used to find a doctor or seek medical advice. Daily use of Facebook was associated with using social media for finding a doctor (OR = 2.57, 95%CI: 1.41-4.67, p = 0.002) and seeking medical advice (OR = 1.72, 95%CI: 1.09-2.71, p = 0.020). Having Medicare was associated with using social media to find a doctor (OR = 2.20, 95%CI: 1.15-4.21, p = 0.017), whereas Medicaid was associated with using social media for medical advice (OR = 1.99, 95%CI: 1.08-3.67, p = 0.027). Conclusion A majority of otolaryngology patients may be aware of health care applications of social media, with Facebook being the dominant platform, and Medicare insurance identifying patients who may most use social media in this manner. There is also an indication that social determinants of health, as reflected by Medicaid insurance, may be associated with using social media to seek medical advice. Level of Evidence NA Laryngoscope, 2022</t>
  </si>
  <si>
    <t>[Kini, Sameer D.; Houssein, Firas A.; Derbarsegian, Armo; Adams, Sarah M.; Phillips, Katie M.; Sedaghat, Ahmad R.] Univ Cincinnati, Coll Med, Dept Otolaryngol Head &amp; Neck Surg, 231 Albert Sabin Way, Cincinnati, OH 45267 USA</t>
  </si>
  <si>
    <t>Sedaghat, AR (corresponding author), Univ Cincinnati, Coll Med, Dept Otolaryngol Head &amp; Neck Surg, 231 Albert Sabin Way, Cincinnati, OH 45267 USA.</t>
  </si>
  <si>
    <t>ahmad.sedaghat@uc.edu</t>
  </si>
  <si>
    <t>Phillips, Katie/AAY-8052-2020</t>
  </si>
  <si>
    <t>DERBARSEGIAN, ARMO/0000-0002-8792-231X; Adams, Sarah Marie/0000-0002-6790-9492</t>
  </si>
  <si>
    <t>10.1002/lary.30484</t>
  </si>
  <si>
    <t>W7PY4</t>
  </si>
  <si>
    <t>WOS:000884542900001</t>
  </si>
  <si>
    <t>Bozzola, E; Spina, G; Agostiniani, R; Barni, S; Russo, R; Scarpato, E; Di Mauro, A; Di Stefano, AV; Caruso, C; Corsello, G; Staiano, A</t>
  </si>
  <si>
    <t>Bozzola, Elena; Spina, Giulia; Agostiniani, Rino; Barni, Sarah; Russo, Rocco; Scarpato, Elena; Di Mauro, Antonio; Di Stefano, Antonella Vita; Caruso, Cinthia; Corsello, Giovanni; Staiano, Annamaria</t>
  </si>
  <si>
    <t>The Use of Social Media in Children and Adolescents: Scoping Review on the Potential Risks</t>
  </si>
  <si>
    <t>social media; adolescents; children; social network; health; COVID-19</t>
  </si>
  <si>
    <t>SCHOOL-AGED CHILDREN; HEALTH BEHAVIOR; DIGITAL MEDIA; EXPOSURE; FACEBOOK; ANXIETY</t>
  </si>
  <si>
    <t>In recent years, social media has become part of our lives, even among children. From the beginning of COVID-19 pandemic period, media device and Internet access rapidly increased. Adolescents connected Internet alone, consulting social media, mostly Instagram, TikTok, and YouTube. During lockdown, the Internet usage allowed communication with peers and the continuity activities such as school teaching. However, we have to keep in mind that media usage may be related to some adverse consequences especially in the most vulnerable people, such as the young. Aim of the review is to focus on risks correlated to social media use by children and adolescents, identifying spies of rising problems and engaging in preventive recommendations. The scoping review was performed according to PRISMA guidelines, searching on PubMed the terms social media or social network, health, and pediatrics. Excluding articles not pertinent, we found 68 reports. Out of them, 19 were dealing with depression, 15 with diet, and 15 with psychological problems, which appeared to be the most reported risk of social media use. Other identified associated problems were sleep, addiction, anxiety, sex related issues, behavioral problems, body image, physical activity, online grooming, sight, headache, and dental caries. Public and medical awareness must rise over this topic and new prevention measures must be found, starting with health practitioners, caregivers, and websites/application developers. Pediatricians should be aware of the risks associated to a problematic social media use for the young's health and identify sentinel signs in children as well as prevent negative outcomes in accordance with the family.</t>
  </si>
  <si>
    <t>[Bozzola, Elena; Spina, Giulia; Barni, Sarah] IRCCS Bambino Gesu Children Hosp, Pediat Unit, I-00100 Rome, Italy; [Bozzola, Elena; Spina, Giulia; Agostiniani, Rino; Barni, Sarah; Russo, Rocco; Scarpato, Elena; Di Mauro, Antonio; Di Stefano, Antonella Vita; Caruso, Cinthia; Corsello, Giovanni; Staiano, Annamaria] Italian Pediat Soc, I-00100 Rome, Italy; [Agostiniani, Rino] San Jacopo Hosp, Dept Pediat, I-51100 Pistoia, Italy; [Scarpato, Elena] Univ Federico II, Sect Pediat, Dept Translat Med Sci, I-80100 Naples, Italy; [Corsello, Giovanni] Univ Palermo, Dept Hlth Promot Mother &amp; Child Care, Internal Med &amp; Med Specialties G DAlessandro, I-90100 Palermo, Italy</t>
  </si>
  <si>
    <t>IRCCS Bambino Gesu; Ospedale San Jacopo di Pistoia; University of Naples Federico II; University of Palermo</t>
  </si>
  <si>
    <t>Bozzola, E (corresponding author), IRCCS Bambino Gesu Children Hosp, Pediat Unit, I-00100 Rome, Italy.;Bozzola, E (corresponding author), Italian Pediat Soc, I-00100 Rome, Italy.</t>
  </si>
  <si>
    <t>elena.bozzola@opbg.net</t>
  </si>
  <si>
    <t>Scarpato, Elena/AAC-3586-2022; Barni, Sarah/HME-2166-2023; Di Mauro, Antonio/F-5131-2019</t>
  </si>
  <si>
    <t>Di Mauro, Antonio/0000-0001-7052-9784; bozzola, elena/0000-0001-5947-2414; Spina, Giulia/0000-0002-5685-5468</t>
  </si>
  <si>
    <t>10.3390/ijerph19169960</t>
  </si>
  <si>
    <t>4C8WV</t>
  </si>
  <si>
    <t>WOS:000846727000001</t>
  </si>
  <si>
    <t>Zhong, J</t>
  </si>
  <si>
    <t>Zhong, Juan</t>
  </si>
  <si>
    <t>The 'similar other': the construction of African housewives in rural China in short videos</t>
  </si>
  <si>
    <t>LANGUAGE AND INTERCULTURAL COMMUNICATION</t>
  </si>
  <si>
    <t>Rural-urban divide; online communication; vlogging; interculurality; Chinese-like features</t>
  </si>
  <si>
    <t>This article explores the reasons for the popularity of the top two most popular African female vloggers, Rose and Felista, on Douyin (Chinese TikTok). By analysing the textual layout, the theme (topic) of the videos, and the vloggers' daily interaction with the local people and online viewers, this article argues that the short videos emphasize their Chinese-like features, i.e. their adeptness in the local language, tradition, and custom. The African vloggers as the 'similar other' reveal that online intercultural communication between African and Chinese is shaped by social, economic, and political forces in the rural urban divide in contemporary China. (sic)(sic)(sic)(sic)(sic)(sic)(sic)(sic)(sic)(sic)(sic)(sic)(sic)(sic)(sic)(sic)(sic)(sic)(sic)(sic)(sic)(sic)(sic)(sic)(sic):(sic)(sic)(sic)(sic)(sic)(sic)(sic)(sic)(sic)(sic)(sic)(sic).(sic)(sic)(sic)(sic)(sic)(sic)(sic)(sic)(sic)(sic)(sic),(sic)(sic)((sic)(sic))(sic)(sic)(sic)(sic)(sic)(sic)(sic)(sic)(sic)(sic)(sic)(sic)(sic)(sic)(sic)(sic)(sic)(sic)(sic)(sic), (sic)(sic)(sic)(sic)(sic)(sic)(sic)(sic)(sic)(sic)(sic)(sic)(sic)(sic)(sic)(sic)(sic), (sic)(sic)(sic)(sic)(sic)(sic)(sic)(sic)(sic)(sic)(sic)(sic)(sic)(sic)(sic)(sic)(sic)(sic)(sic)(sic)(sic)(sic)(sic)(sic)(sic).(sic)(sic)(sic)(sic)(sic)(sic)(sic)(sic)'(sic)(sic)(sic)(sic)(sic)'(sic)(sic)(sic)(sic)(sic)(sic)(sic)(sic)(sic)(sic)(sic)(sic)(sic)(sic)(sic)(sic)(sic)(sic)(sic)(sic)(sic)(sic)(sic)(sic)(sic)(sic)(sic)(sic)(sic)(sic)(sic)(sic)(sic)(sic)(sic)(sic)(sic)(sic)(sic)(sic),(sic)(sic)(sic)(sic)(sic)(sic)(sic)(sic)(sic)(sic)(sic)(sic)(sic)(sic)(sic).</t>
  </si>
  <si>
    <t>[Zhong, Juan] Southeast Univ, Sch Foreign Languages, Rd 2, Nanjing, Peoples R China</t>
  </si>
  <si>
    <t>Zhong, J (corresponding author), Southeast Univ, Sch Foreign Languages, Rd 2, Nanjing, Peoples R China.</t>
  </si>
  <si>
    <t>zhongjuan@seu.edu.cn</t>
  </si>
  <si>
    <t>Humanities and Social Sciences Fund of Ministry of Education of China [24YJC752028]; Fundamental Research Funds for the Central Universities [2242024S30041]; The Start-up Research Fund of Southeast University [RF1028624003]</t>
  </si>
  <si>
    <t>Humanities and Social Sciences Fund of Ministry of Education of China(Ministry of Education, China); Fundamental Research Funds for the Central Universities(Fundamental Research Funds for the Central Universities); The Start-up Research Fund of Southeast University</t>
  </si>
  <si>
    <t>This work is supported by Humanities and Social Sciences Fund of Ministry of Education of China [grant no 24YJC752028]; The Fundamental Research Funds for the Central Universities [grant no 2242024S30041]; The Start-up Research Fund of Southeast University [grant no RF1028624003].</t>
  </si>
  <si>
    <t>1470-8477</t>
  </si>
  <si>
    <t>1747-759X</t>
  </si>
  <si>
    <t>LANG INTERCULT COMM</t>
  </si>
  <si>
    <t>Lang. Intercult. Commun.</t>
  </si>
  <si>
    <t>2024 NOV 19</t>
  </si>
  <si>
    <t>10.1080/14708477.2024.2423614</t>
  </si>
  <si>
    <t>M4V0T</t>
  </si>
  <si>
    <t>WOS:001357522200001</t>
  </si>
  <si>
    <t>Schapsis, C; Chiagouris, L; Wingate, N</t>
  </si>
  <si>
    <t>Schapsis, Claudio; Chiagouris, Larry; Wingate, Nikki</t>
  </si>
  <si>
    <t>Decoding Generation Z's habits: the augmented reality shift from gimmick to utility in omni-digital shopping</t>
  </si>
  <si>
    <t>JOURNAL OF PRODUCT AND BRAND MANAGEMENT</t>
  </si>
  <si>
    <t>Habit; Augmented reality; Omni-digital touchpoints; Generation Z; UTAUT2; Learning transfer</t>
  </si>
  <si>
    <t>VIRTUAL TRY-ON; USER ACCEPTANCE; INFORMATION-TECHNOLOGY; CONSUMER ACCEPTANCE; MOBILE DEVICES; BANK CUSTOMERS; UNIFIED THEORY; INTENTION; ADOPTION; IMPACT</t>
  </si>
  <si>
    <t>PurposeBuilding on technology acceptance and learning transfer theories, this study aims to evaluate the integration of mobile augmented reality (MAR) in omnichannel retailing touchpoints for Generation Z (or Gen Z)'s apparel shopping, assessing how habitual augmented reality (AR) use in nonretailing contexts impacts Gen Z's motivations, acceptance and use of MAR shopping apps.Design/methodology/approachA total of 562 participants downloaded a footwear MAR app and completed a survey. Data were analyzed using confirmatory factor analysis and multivariate regression to explore moderated mediation effects.FindingsThe study reveals a paradigm shift: Gen Z's habitual use of AR in social media (e.g. Snapchat and TikTok face filters) significantly influences their intent to use MAR in shopping, overshadowing hedonic motivations. This marks a transition from AR as a gimmick to a practical utility in omnichannel touchpoints, with performance expectancy emerging as a critical mediator in adopting MAR for utilitarian purposes.Research limitations/implicationsThis study highlights how Gen Z consumers' tech habits influence their pragmatic view of MAR, urging re-exploration of the main constructs of the Unified Theory of Acceptance and Use of Technology 2 (UTAUT2) model.Practical implicationsFindings suggest Gen Z values practicality over fun in MAR shopping apps, guiding marketers to emphasize tangible benefits for this demographic.Originality/valueThis research underscores the evolving perception of AR in retail among mobile natives, highlighting the shift from novelty to habitual utility. It offers strategic insights for integrating AR into omnichannel strategies, catering to the utilitarian expectations of Gen Z in the digital retail landscape.</t>
  </si>
  <si>
    <t>[Schapsis, Claudio; Wingate, Nikki] Sacred Heart Univ, Jack Welch Coll Business &amp; Technol, Fairfield, CT 06825 USA; [Chiagouris, Larry] Pace Univ, Lubin Sch Business, New York, NY USA</t>
  </si>
  <si>
    <t>Sacred Heart University; Pace University</t>
  </si>
  <si>
    <t>Schapsis, C (corresponding author), Sacred Heart Univ, Jack Welch Coll Business &amp; Technol, Fairfield, CT 06825 USA.</t>
  </si>
  <si>
    <t>schapsisc@sacredheart.edu</t>
  </si>
  <si>
    <t>Schapsis, Claudio/JSL-3468-2023</t>
  </si>
  <si>
    <t>Schapsis, Claudio/0000-0002-1506-3405</t>
  </si>
  <si>
    <t>1061-0421</t>
  </si>
  <si>
    <t>2054-1643</t>
  </si>
  <si>
    <t>J PROD BRAND MANAG</t>
  </si>
  <si>
    <t>J. Prod. Brand Manag.</t>
  </si>
  <si>
    <t>10.1108/JPBM-12-2023-4879</t>
  </si>
  <si>
    <t>A6T3U</t>
  </si>
  <si>
    <t>WOS:001283838500001</t>
  </si>
  <si>
    <t>Vassey, J; Laestadius, LI; Unger, JB</t>
  </si>
  <si>
    <t>Vassey, Julia; Laestadius, Linnea I.; Unger, Jennifer B.</t>
  </si>
  <si>
    <t>Reviving Old Tricks in New Tobacco Marketing: Presence of e-Cigarette Brand Names on Merchandise Promoted by Influencers on Social Media.</t>
  </si>
  <si>
    <t>Social media; e-cigarettes; tobacco; nicotine; influencers</t>
  </si>
  <si>
    <t>BackgroundTobacco brand sharing or brand stretching involves the placement of tobacco brand names, logos, or other distinctive elements of tobacco brands, on nontobacco products, e.g., merchandize, such as clothing, sunglasses, or sporting goods. The Tobacco Master Settlement Agreement (MSA) imposed major restrictions on tobacco company marketing practices in 1999, including banning the sale and distribution of merchandize with combustible cigarette or smokeless tobacco brand names or logos. However, the MSA does not include restrictions on e-cigarette marketing, as these products were not yet on the market at the time of the settlement. Exposure to or use of e-cigarette branded merchandize advertised on social media could contribute to normalization of e-cigarette use by youth.MethodsWe estimated the prevalence of merchandize (e.g., t-shirts, caps, and key chains) with e-cigarette brand names or logos in 2000 TikTok videos (2021-2022) that featured U.S. and international micro-influencers (content creators with about 10,000-100,000 followers) who promoted e-cigarettes on behalf of e-cigarette brands.ResultsOf 152 (8%) promotional videos had merchandize with e-cigarette brand names or logos. Of 125 (6%) featured micro-influencers wearing branded clothing items, i.e., t-shirts, caps, beanies, hoodies, and sweatshirts; and 27 (2%) featured influencers wearing or showing branded accessories, i.e., face masks, stickers, pins, mugs, car air fresheners, lanyards, and key chains.ConclusionsTobacco control authorities should consider adopting provisions banning the sale, distribution, and direct (e.g., by e-cigarette brands) or indirect (e.g., by influencers) advertising of merchandize bearing e-cigarette brand names or logos.</t>
  </si>
  <si>
    <t>[Vassey, Julia; Unger, Jennifer B.] Univ Southern Calif, Dept Populat &amp; Publ Hlth Sci, 1845 North Soto St, Los Angeles, CA 90032 USA; [Laestadius, Linnea I.] Univ Wisconsin, Zilber Coll Publ Hlth, Milwaukee, WI USA</t>
  </si>
  <si>
    <t>University of Southern California; University of Wisconsin System; University of Wisconsin Milwaukee</t>
  </si>
  <si>
    <t>Vassey, J (corresponding author), Univ Southern Calif, Dept Populat &amp; Publ Hlth Sci, 1845 North Soto St, Los Angeles, CA 90032 USA.</t>
  </si>
  <si>
    <t>Unger, Jennifer/0000-0001-9064-6603; Vassey, Julia/0000-0003-3002-2000</t>
  </si>
  <si>
    <t>National Institute of Health [1R01CA260459-01]; NCI &amp; The U.S. FDA Center for Tobacco Products (CTP) Award [2U54CA180905]</t>
  </si>
  <si>
    <t>National Institute of Health(United States Department of Health &amp; Human ServicesNational Institutes of Health (NIH) - USA); NCI &amp; The U.S. FDA Center for Tobacco Products (CTP) Award</t>
  </si>
  <si>
    <t>Research reported in this publication was supported by the National Institute of Health (Grant The National Cancer Institute; # 1R01CA260459-01) and the NCI &amp; The U.S. FDA Center for Tobacco Products (CTP) Award; (NCI/FDA Grant #2U54CA180905). The funders had no role in study design; collection, analysis, and interpretation of data; writing the report; and the decision to submit the report for publication. The content is solely the responsibility of the authors and does not necessarily represent the official views of the funders.</t>
  </si>
  <si>
    <t>10.1080/10826084.2024.2427157</t>
  </si>
  <si>
    <t>M1T4O</t>
  </si>
  <si>
    <t>WOS:001355432300001</t>
  </si>
  <si>
    <t>Wei, DH; Zhang, J; Li, HZ; Xue, ZC; Peng, YJ; Han, R</t>
  </si>
  <si>
    <t>Wei, Dehui; Zhang, Jiao; Li, Haozhe; Xue, Zhichen; Peng, Yajie; Han, Rui</t>
  </si>
  <si>
    <t>Multipath Smart Preloading Algorithms in Short Video Peer-to-Peer CDN Transmission Architecture</t>
  </si>
  <si>
    <t>IEEE NETWORK</t>
  </si>
  <si>
    <t>Streaming media; Costs; Quality of experience; Computer architecture; Bit rate; Servers; Reinforcement learning; Videos; Smart devices; Peer-to-peer computing; Telecommunication traffic; Multipath channels; Content distribution networks; Preloading; Reinforcement Learning; PCDN; Multipath transmission; Short video</t>
  </si>
  <si>
    <t>The rapid growth of short video users has brought high traffic costs to content providers. Saving Content Distribution Network (CDN) costs while maintaining users' playback Quality of Experience (QoE) is a significant problem for major short video platforms like Douyin (the Chinese counterpart of TikTok). Two commonly utilized cost-saving methods: PCDN (peer-to-peer CDN, fetching data from multiple low-cost but low-bandwidth edge devices with a multipath transmission protocol) and preloading control (minimizing unnecessary future playing data by downloading videos in segmented data ranges), each may hurt users' experience respectively. Worse still, both methods combined have a synergistic negative effect over QoE. In this paper, we focus on experiences, algorithms, and prospects to solve this cost-QoE dilemma. We first introduce Douyin's current PCDN multipath architecture and then review learning-based preloading techniques. Second, based on Reinforcement Learning (RL), we propose a Multipath-aware Smart Preloading algorithm, which consists of three schemes: one to decide the best size of the next range of preloaded data, another to design a water level valve algorithm that prioritizes preloading between currently playing video's unfinished data and the next video's beginning data, and the last one to determine the bitrate level of the next video. Douyin's anonymous user feedback shows our Smart Preloading algorithm reduces traffic waste by $\sim 26$ % while ensuring QoE. Third, we analyze and outlook the future of video systems, including trends in PCDN and other open issues.</t>
  </si>
  <si>
    <t>[Wei, Dehui; Zhang, Jiao; Li, Haozhe] BUPT, State Key Lab Networking &amp; Switching Technol, Beijing 100876, Peoples R China; [Zhang, Jiao] Purple Mt Labs, Nanjing 211111, Peoples R China; [Xue, Zhichen; Peng, Yajie; Han, Rui] ByteDance Ltd, Beijing 100085, Peoples R China</t>
  </si>
  <si>
    <t>Beijing University of Posts &amp; Telecommunications</t>
  </si>
  <si>
    <t>Zhang, J (corresponding author), BUPT, State Key Lab Networking &amp; Switching Technol, Beijing 100876, Peoples R China.</t>
  </si>
  <si>
    <t>jiaozhang@bupt.edu.cn</t>
  </si>
  <si>
    <t>Li, Haozhe/HHC-9710-2022</t>
  </si>
  <si>
    <t>Rui, Han/0009-0004-0603-3492; , Yajie/0009-0006-1977-7647; Xue, Zhichen/0009-0002-5440-1195</t>
  </si>
  <si>
    <t>National Key Research and Development Program of China [2022YFB2901700]; National Natural Science Foundation of China (NSFC) [62132022]; Fok Ying Tung Education Foundation [171059]; BUPT Excellent Ph.D. Students Foundation [CX2021102]</t>
  </si>
  <si>
    <t>National Key Research and Development Program of China(National Key Research &amp; Development Program of China); National Natural Science Foundation of China (NSFC)(National Natural Science Foundation of China (NSFC)); Fok Ying Tung Education Foundation(Fok Ying Tung Education Foundation); BUPT Excellent Ph.D. Students Foundation</t>
  </si>
  <si>
    <t>This work was supported in part by the National Key Research and Development Program of China under Grant 2022YFB2901700, in part by the National Natural Science Foundation of China (NSFC) under Grant 62132022, in part by the Fok Ying Tung Education Foundation under Grant 171059, and in part by the BUPT Excellent Ph.D. Students Foundation under Grant CX2021102.</t>
  </si>
  <si>
    <t>0890-8044</t>
  </si>
  <si>
    <t>1558-156X</t>
  </si>
  <si>
    <t>IEEE Netw.</t>
  </si>
  <si>
    <t>10.1109/MNET.2023.3321526</t>
  </si>
  <si>
    <t>Computer Science, Hardware &amp; Architecture; Computer Science, Information Systems; Engineering, Electrical &amp; Electronic; Telecommunications</t>
  </si>
  <si>
    <t>TA5B9</t>
  </si>
  <si>
    <t>WOS:001238538200024</t>
  </si>
  <si>
    <t>Abi-Rafeh, J; Cattelan, L; Xu, HH; Bassiri-Tehrani, B; Kazan, R; Nahai, F</t>
  </si>
  <si>
    <t>Abi-Rafeh, Jad; Cattelan, Leila; Xu, Hong Hao; Bassiri-Tehrani, Brian; Kazan, Roy; Nahai, Foad</t>
  </si>
  <si>
    <t>Artificial Intelligence-Generated Social Media Content Creation and Management Strategies for Plastic Surgeons</t>
  </si>
  <si>
    <t>GLOBALIZATION</t>
  </si>
  <si>
    <t>Background Social media platforms have come to represent integral components of the professional marketing and advertising strategy for plastic surgeons. Effective and consistent content development, however, remains technically demanding and time consuming, prompting most to employ, at non-negligible costs, social media marketing specialists for content planning and development.Objectives In the present study, we aimed to investigate the ability of presently available artificial intelligence (AI) models to assist plastic surgeons in their social media content development and sharing plans.Methods An AI large language model was prompted on the study's objectives through a series of standardized user interactions. Social media platforms of interest, on which the AI model was prompted, included Instagram, TikTok, and X (formerly Twitter).Results A 1-year, entirely AI-generated social media plan, comprising a total of 1091 posts for the 3 aforementioned social media platforms, is presented. Themes of the AI-generated content proposed for each platform were classified in 6 categories, including patient-related, practice-related, educational, uplifting, interactive, and promotional posts. Overall, 91 publicly recognized holidays and observant and awareness days were incorporated into the content calendars. The AI model demonstrated an ability to differentiate between the distinct formats of each of the 3 social media platforms investigated, generating unique ideas for each, and providing detailed content development and posting instructions, scripts, and post captions, leveraging features specific to each platform.Conclusions By providing detailed and actionable social media content creation and posting plans to plastic surgeons, presently available AI models can be readily leveraged to assist in and significantly alleviate the burden associated with social media account management, content generation, and potentially patient conversion.</t>
  </si>
  <si>
    <t>[Abi-Rafeh, Jad; Kazan, Roy] McGill Univ Hlth Ctr, Div Plast Reconstruct &amp; Aesthet Surg, Montreal, PQ, Canada; [Cattelan, Leila] McGill Univ Hlth Ctr, Dept Med, Montreal, PQ, Canada; [Xu, Hong Hao] Laval Univ, Fac Med, Quebec City, PQ, Canada; [Nahai, Foad] Emory Univ, Div Plast &amp; Reconstruct Surg, 875 Johnson Ferry Rd NE, Atlanta, GA 30304 USA</t>
  </si>
  <si>
    <t>McGill University; McGill University; Laval University; Emory University</t>
  </si>
  <si>
    <t>Nahai, F (corresponding author), Emory Univ, Div Plast &amp; Reconstruct Surg, 875 Johnson Ferry Rd NE, Atlanta, GA 30304 USA.</t>
  </si>
  <si>
    <t>nahaimd@aol.com</t>
  </si>
  <si>
    <t>å®æµ©, å¾/HKE-7858-2023; Bassiri-Tehrani, Brian/GON-8545-2022</t>
  </si>
  <si>
    <t>Abi-Rafeh, Jad/0000-0002-7483-1515; Bassiri-Tehrani, Brian/0000-0003-4891-4920</t>
  </si>
  <si>
    <t>10.1093/asj/sjae036</t>
  </si>
  <si>
    <t>UE0H8</t>
  </si>
  <si>
    <t>WOS:001193092800001</t>
  </si>
  <si>
    <t>Minh, NH; Hai, LS; Phi, NA; Duyen, LBT; Giang, LTQ</t>
  </si>
  <si>
    <t>Minh, Nguyen Hue; Hai, Liu Sy; Phi, Nguyen Anh; Duyen, Le Bui Thao; Giang, Le Thi Quynh</t>
  </si>
  <si>
    <t>The Impact of TikTok UGC Videos on Online Purchase Intention: Mediating Role of Cognitive States</t>
  </si>
  <si>
    <t>PACIFIC ASIA JOURNAL OF THE ASSOCIATION FOR INFORMATION SYSTEMS</t>
  </si>
  <si>
    <t>UGC Videos; Online Purchase Intention; Ho Chi Minh City; S-O-R model</t>
  </si>
  <si>
    <t>USER-GENERATED CONTENT; MENTAL-IMAGERY; SOCIAL MEDIA; DECISION-MAKING; CELEBRITY ENDORSEMENT; EMPIRICAL-EXAMINATION; PRESENTATION FORMAT; ATTITUDE FORMATION; PRODUCT REVIEWS; CONSUMER</t>
  </si>
  <si>
    <t>Background: User-Generated Content (UGC) videos have received considerable attention in recent years thanks to their great potential for buyers and sellers. However, the effect of this content on consumer behavior remains unclear, especially in the context of developing countries (e.g., Vietnam). By applying the Stimulus-Organism-Response model (S-O-R model), this paper examines the effect of UGC videos on online purchase intention. Moreover, the mediating role of cognitive responses, consisting of perceived credibility, perceived diagnosticity, and mental imagery, is also examined to offer valuable insights to businesses, enabling them to leverage and effectively promote the trends of UGC videos. Method: A convenience sampling method was employed to collect the data. A total of 318 valid respondents participated in this survey. The data was analyzed with the Partial Least Squares Structural Equation Modeling method (PLS-SEM). Results: The findings show that UGC videos have a direct impact on online purchase intention. This paper also verified that cognitive states mediate the relationship between stimuli and subsequent behavioral intentions. Conclusion: Our research findings enrich the literature on consumer's online purchase intentions by applying the S-O-R framework by highlighting the role of cognitive responses, and improving generalizability by contributing additional consumer behavior findings in developing Asian nations. Moreover, this paper offers businesses insights into the formation of customers' purchase intentions while watching UGC videos. Based on that, this paper raises practical recommendations regarding promoting the UGC video trend and creating UGC videos effectively to improve the cognitive states perceived by customers, including credibility, diagnostic value, and mental imagery.</t>
  </si>
  <si>
    <t>[Minh, Nguyen Hue; Hai, Liu Sy; Phi, Nguyen Anh; Duyen, Le Bui Thao; Giang, Le Thi Quynh] Univ Econ Ho Chi Minh City, Sch Int Business &amp; Mkt, Ho Chi Minh City, Vietnam</t>
  </si>
  <si>
    <t>Minh, NH (corresponding author), Univ Econ Ho Chi Minh City, Sch Int Business &amp; Mkt, Ho Chi Minh City, Vietnam.</t>
  </si>
  <si>
    <t>minhnh@ueh.edu.vn; hailiu.31201020249@st.ueh.edu.vn; phinguyen.31201021731@st.ueh.edu.vn; duyenle.31201021660@st.ueh.edu.vn; giangle.31201021681@st.ueh.edu.vn</t>
  </si>
  <si>
    <t>University of Economics Ho Chi Minh City, Vietnam [2023-09-20-1842]</t>
  </si>
  <si>
    <t>University of Economics Ho Chi Minh City, Vietnam</t>
  </si>
  <si>
    <t>This research is funded by the University of Economics Ho Chi Minh City, Vietnam under Grant number 2023-09-20-1842.</t>
  </si>
  <si>
    <t>GEORGIA STATE UNIV, 35 BROAD STREET, STE 916-917, ATLANTA, GA 30303 USA</t>
  </si>
  <si>
    <t>1943-7536</t>
  </si>
  <si>
    <t>1943-7544</t>
  </si>
  <si>
    <t>PAC ASIA J ASSOC INF</t>
  </si>
  <si>
    <t>Pac. Asia J. Assoc. Inf. Syst.</t>
  </si>
  <si>
    <t>10.17705/1pais.16107</t>
  </si>
  <si>
    <t>A8Z2J</t>
  </si>
  <si>
    <t>WOS:001285357100007</t>
  </si>
  <si>
    <t>Chen, DM; Zhang, LY; Peng, Y; Si, XZ</t>
  </si>
  <si>
    <t>Chen, Dongming; Zhang, Liyun; Peng, Ya; Si, Xiaozheng</t>
  </si>
  <si>
    <t>Exploring the association between social media and farmers' knowledge of a worldwide invasive agricultural pest, Spodoptera frugiperda (Lepidoptera: Noctuidae)</t>
  </si>
  <si>
    <t>PEST MANAGEMENT SCIENCE</t>
  </si>
  <si>
    <t>exotic insect pests; pest control information; smartphone apps; farmers engagement; public education</t>
  </si>
  <si>
    <t>FOREST OWNERS; MANAGEMENT; PLANTS</t>
  </si>
  <si>
    <t>BACKGROUND: Public education has profound effects on the management effectiveness of invasive alien species by shaping stakeholders' knowledge systems. However, our understanding of the association between social media and farmers' knowledge is lacking for the majority of invasive agricultural pests. In this study, we used the fall armyworm (FAW), Spodoptera frugiperda, one of the most invasive insects globally, as a case to test the hypothesis that social media has a significant association with farmers' knowledge of FAW. To address this, we developed a theoretical framework, conducted extensive household questionnaires in the China-Myanmar-Laos border region (China), and used quantitative descriptions and binary logistic regressions in statistical analyses.RESULTS: Our results showed that (1) farmers frequently reported using 12 social media applications on smartphones (SMASs), and obtained FAW-relevant information from six of them, with high preferences for WeChat and TikTok, (2) farmers possessed a generally high level of knowledge of FAW which was significantly associated with their socio-demographic profiles, and (3) FAW-relevant information from SMASs was significantly associated with certain aspects of farmers' knowledge of FAW.CONCLUSIONS: We concluded that social media has a significant association with farmers' knowledge of FAW. We suggest that well-designed and -conducted educational programs based on the use of SMASs could help improve the management of FAW, and the Department of Agricultural Extension could play an important and necessary role. Our findings provide insights into this novel educational approach for the management of serious invasive agricultural pests.(c) 2023 Society of Chemical Industry.</t>
  </si>
  <si>
    <t>[Zhang, Liyun] Yunnan Univ, South Sect, Inst Int Rivers &amp; Ecosecur, East Outer Ring Rd, Kunming 650500, Yunnan, Peoples R China; [Chen, Dongming; Zhang, Liyun; Peng, Ya; Si, Xiaozheng] Yunnan Univ, Inst Int Rivers &amp; Ecosecur, Kunming, Peoples R China; [Chen, Dongming; Zhang, Liyun; Peng, Ya; Si, Xiaozheng] Yunnan Univ, Yunnan Key Lab Int Rivers &amp; Transboundary Ecosecur, Kunming, Peoples R China; [Chen, Dongming; Zhang, Liyun; Peng, Ya; Si, Xiaozheng] Yunnan Univ, Asian Int Rivers Ctr, Kunming, Peoples R China</t>
  </si>
  <si>
    <t>Yunnan University; Yunnan University; Yunnan University; Yunnan University</t>
  </si>
  <si>
    <t>Zhang, LY (corresponding author), Yunnan Univ, South Sect, Inst Int Rivers &amp; Ecosecur, East Outer Ring Rd, Kunming 650500, Yunnan, Peoples R China.</t>
  </si>
  <si>
    <t>zhangliyun@ynu.edu.cn</t>
  </si>
  <si>
    <t>Zhang, Liyun/HSF-2667-2023</t>
  </si>
  <si>
    <t>Zhang, Liyun/0000-0002-0994-4994</t>
  </si>
  <si>
    <t>This work was supported by the Yunnan International Joint Laboratory of Fruit-Vegetable-Flower Invasive Insect Pests Management (grant number 202303AP140018) and the National Natural Science Foundation of China (grant number 42161011; 41461009). The author [202303AP140018]; Yunnan International Joint Laboratory of Fruit-Vegetable-Flower Invasive Insect Pests Management [42161011, 41461009]; National Natural Science Foundation of China</t>
  </si>
  <si>
    <t>This work was supported by the Yunnan International Joint Laboratory of Fruit-Vegetable-Flower Invasive Insect Pests Management (grant number 202303AP140018) and the National Natural Science Foundation of China (grant number 42161011; 41461009). The author; Yunnan International Joint Laboratory of Fruit-Vegetable-Flower Invasive Insect Pests Management; National Natural Science Foundation of China(National Natural Science Foundation of China (NSFC))</t>
  </si>
  <si>
    <t>This work was supported by the Yunnan International Joint Laboratory of Fruit-Vegetable-Flower Invasive Insect Pests Management (grant number 202303AP140018) and the National Natural Science Foundation of China (grant number 42161011; 41461009). The authors thank Mr. Huiyun Zeng, Ms. Min Zhu, and Ms. Yuqi Xie from Yunnan University for their assistance in the field. We are thankful to Dr. Kathryn Piatek for her editing suggestions.</t>
  </si>
  <si>
    <t>1526-498X</t>
  </si>
  <si>
    <t>1526-4998</t>
  </si>
  <si>
    <t>PEST MANAG SCI</t>
  </si>
  <si>
    <t>Pest Manag. Sci.</t>
  </si>
  <si>
    <t>10.1002/ps.7796</t>
  </si>
  <si>
    <t>Agronomy; Entomology</t>
  </si>
  <si>
    <t>Agriculture; Entomology</t>
  </si>
  <si>
    <t>KG8F2</t>
  </si>
  <si>
    <t>WOS:001093823400001</t>
  </si>
  <si>
    <t>Serenko, A</t>
  </si>
  <si>
    <t>Serenko, Alexander</t>
  </si>
  <si>
    <t>The human capital management perspective on quiet quitting: recommendations for employees, managers, and national policymakers</t>
  </si>
  <si>
    <t>Human capital; Social exchange theory; Knowledge loss; Quiet quitting; The Great Renegotiation; The Great Resignation</t>
  </si>
  <si>
    <t>KNOWLEDGE MANAGEMENT</t>
  </si>
  <si>
    <t>Purpose- The purpose of this Real Impact Viewpoint Article is to analyze the quiet quitting phenomenon from the human capital management perspective.Design/methodology/approach- The methods comprise the analysis of 672 TikTok comments, the use of secondary data and literature review.Findings- Quiet quitting is a mindset in which employees deliberately limit work activities to their job description, meet yet not exceed the preestablished expectations, never volunteer for additional tasks and do all this to merely maintain their current employment status while prioritizing their well-being over organizational goals. Employees quiet quit due to poor extrinsic motivation, burnout and grudges against their managers or organizations. Quiet quitting is a double-edged sword: while it helps workers avoid burnout, engaging in this behavior may jeopardize their professional careers. Though the term is new, the ideas behind quiet quitting are not and go back decades.Practical implications- Employees engaged in quiet quitting should become more efficient, avoid burnout, prepare for termination or resignation and manage future career difficulties. In response to quiet quitting, human capital managers should invest in knowledge sharing, capture the knowledge of potential quiet quitters, think twice before terminating them, conduct a knowledge audit, focus on high performers, introduce burnout management programs, promote interactional justice between managers and subordinates and fairly compensate for going above and beyond. Policymakers should prevent national human capital depletion, promote work-life balance as a national core value, fund employee mental health support and invest in employee efficiency innovation.Originality/value- This Real Impact Viewpoint Article analyzes quiet quitting from the human capital management perspective.</t>
  </si>
  <si>
    <t>[Serenko, Alexander] Univ Ontario Inst Technol, Fac Business &amp; IT, Oshawa, ON, Canada</t>
  </si>
  <si>
    <t>Ontario Tech University</t>
  </si>
  <si>
    <t>Serenko, A (corresponding author), Univ Ontario Inst Technol, Fac Business &amp; IT, Oshawa, ON, Canada.</t>
  </si>
  <si>
    <t>a.serenko@utoronto.ca</t>
  </si>
  <si>
    <t>Serenko, Alexander/AAT-2082-2020</t>
  </si>
  <si>
    <t>10.1108/JKM-10-2022-0792</t>
  </si>
  <si>
    <t>DS0B2</t>
  </si>
  <si>
    <t>WOS:000967953000001</t>
  </si>
  <si>
    <t>Low, BYH; Somiah, V; Nie, KS</t>
  </si>
  <si>
    <t>Low, Benjamin Y. H.; Somiah, Vilashini; Nie, Kho Suet</t>
  </si>
  <si>
    <t>The Right to Cyberbully? A Gendered Analysis During COVID-19 in Malaysia</t>
  </si>
  <si>
    <t>&lt; italic &gt; COVID-19 &lt;; italic &gt;; &lt; italic &gt; cyberbullying &lt;; italic &gt;; &lt; italic &gt; gender &lt;; italic &gt;; &lt; italic &gt; influencers &lt;; italic &gt;; &lt; italic &gt; female cyber victimization &lt;; italic &gt;</t>
  </si>
  <si>
    <t>ONLINE HARASSMENT; OFFLINE VIOLENCE; STUDENTS; VICTIMIZATION; AGGRESSION; PREVALENCE; CYBERSTALKING; PERCEPTIONS; SAFETY; YOUTH</t>
  </si>
  <si>
    <t>This paper explores the rhetoric of cyberbullying with a focus on Malaysian female influencers during the COVID-19 pandemic. The research objectives entailed identifying various critical rhetoric and attacks against female influencers on digital platforms, understanding diverse levels of cyberbullying experienced by influencers from different backgrounds, and analysing reasons behind online aggressive behaviours. The study's theoretical framework contributes to intersectionality theory by examining how the COVID-19 context shapes nuances in Female Cyber Victimisation. Methodologically, the research employs critical discourse analysis to study language in online comments and responses reflecting cyberbullying against Malaysian female influencers. The analysis covers social media platforms (YouTube, Instagram, Facebook, TikTok) and forums (Hardware Zone, Lowyat.net, Cari.com.my), focusing on cyberbullying content over two years. Three prominent Malaysian female influencers targeted by cyberbullying namely Cathryn Li, Veveonah and Ain Husniza were selected for their distinct demographics and contexts, showcasing varying cyberbullying rhetoric. Findings reveal male internet commenters' presumptions about female influencers are shaped by religion and modesty perceptions. Influencers challenging gender norms face escalated negativity. Cathryn Li, perceived as less modest and non-Muslim, faced extensive derogatory comments affecting her mental health. Ain Husniza faced mockery due to her Malay Muslim background, while Veveonah was targeted for political motives. Rooted in conservative gender roles, societal expectations contribute to targeting female influencers, resulting in ridicule and harassment. These cases underscore the intricate interplay of gender, cultural norms, and online harassment, highlighting the necessity for comprehensive interventions to combat cyberbullying and safeguard the well-being of female influencers.</t>
  </si>
  <si>
    <t>[Low, Benjamin Y. H.] Taylors Univ, Sch Media &amp; Commun, Subang Jaya, Malaysia; [Somiah, Vilashini] Univ Malaya, Gender Studies Programme, Kuala Lumpur, Malaysia; [Nie, Kho Suet] Univ Kebangsaan Malaysia, Ctr Res Media &amp; Commun, Bangi, Malaysia</t>
  </si>
  <si>
    <t>Taylor's University; Universiti Malaya; Universiti Kebangsaan Malaysia</t>
  </si>
  <si>
    <t>Low, BYH (corresponding author), Taylors Univ, Sch Media &amp; Commun, Subang Jaya, Malaysia.</t>
  </si>
  <si>
    <t>benjaminyewhoong.loh@taylors.edu.my; vilasomiah@um.edu.my; suetnie@ukm.edu.my</t>
  </si>
  <si>
    <t>SOMIAH, Vilashini/GMW-4813-2022</t>
  </si>
  <si>
    <t>Somiah, Vilashini/0000-0002-6558-1331</t>
  </si>
  <si>
    <t>10.17576/JKMJC-2023-3903-16</t>
  </si>
  <si>
    <t>WOS:001163088500016</t>
  </si>
  <si>
    <t>Fisher, TL; Lewandowski, A; Romano, LM; Keniston, A; Cole, J</t>
  </si>
  <si>
    <t>Fisher, Thomas L.; Lewandowski, Alan; Romano, Lucie M.; Keniston, Alyssa; Cole, Jolynn</t>
  </si>
  <si>
    <t>B-5 The Clinical Utility of Neuropsychological Assessment in Combatting Resource Misappropriation in the Social Media Era: a Case Series</t>
  </si>
  <si>
    <t>ARCHIVES OF CLINICAL NEUROPSYCHOLOGY</t>
  </si>
  <si>
    <t>Objective Following the rise in popularity of social media applications such as TikTok, Instagram, and X, young adults are being exposed to more mental health-related content, particularly related to Autism Spectrum Disorder (ASD). Unfortunately, 30-84% of this content contains inaccurate or misleading information, which may be assimilated into personal accounts of psychological concerns reported to physicians (Borges do Nascimento et al., 2022; Bastiaens et al., 2024). This can contribute to misdiagnosis, resource misallocation, and inappropriate or contraindicated intervention. The present case series emphasizes the utility of neuropsychological assessment in assisting with proper diagnosis and subsequent treatment planning and intervention. Method This case series covers six patients ranging in age from 18 to 50, five of whom are female, who were referred for neuropsychological evaluation pursuant to self-suspected ASD based on symptom descriptions obtained via popular media. The comprehensive neuropsychological battery included both self-report measures of ASD symptomology (Social Responsiveness Scale) and the Autism Diagnostic Observation Schedule (ADOS-2). Results Neuropsychological testing reflects significant discrepancies between subjective and objective measures of ASD symptoms. These objective findings, combined with the patient's history and objective measures of psychological functioning, support the accurate diagnosis of a variety of mental health disorders while ruling out ASD. Conclusions This case underscores the importance of neuropsychological assessment in providing meaningful and objective diagnostic data to combat a growing public health crisis of young adults overidentifying with ASD symptoms based on information presented online. Neuropsychological intervention is critical in aiding physicians in accurate differential diagnoses, providing psychoeducation and treatment recommendations, and conserving medical resources.</t>
  </si>
  <si>
    <t>0887-6177</t>
  </si>
  <si>
    <t>1873-5843</t>
  </si>
  <si>
    <t>ARCH CLIN NEUROPSYCH</t>
  </si>
  <si>
    <t>Arch. Clin. Neuropsychol.</t>
  </si>
  <si>
    <t>10.1093/arclin/acae067.166</t>
  </si>
  <si>
    <t>Psychology, Clinical; Psychology</t>
  </si>
  <si>
    <t>K4I8W</t>
  </si>
  <si>
    <t>WOS:001311846700001</t>
  </si>
  <si>
    <t>Lai, YK; Liao, FQ; He, ZX; Lai, WG; Zhu, CP; Du, YQ; Li, ZS</t>
  </si>
  <si>
    <t>Lai, Yongkang; Liao, Foqiang; He, Zixuan; Lai, Weiguo; Zhu, Chunping; Du, Yiqi; Li, Zhaoshen</t>
  </si>
  <si>
    <t>The status quo of short videos as a health information source of Helicobacter pylori: a cross-sectional study</t>
  </si>
  <si>
    <t>Helicobacter pylori; short video; health information; quality; reliability</t>
  </si>
  <si>
    <t>Background: Health education about Helicobacter pylori (H. pylori) is one of the most effective methods to prevent H. pylori infection and standardize H. pylori eradication treatment. Short videos enable people to absorb and remember information more easily and are an important source of health education. This study aimed to assess the information quality of H. pylori-related videos on Chinese short video-sharing platforms. Methods: A total of 242 H. pylori-related videos from three Chinese short video-sharing platforms with the most users, TikTok, Bilibili, and Kwai, were retrieved. The Global Quality Score (GQS) and the modified DISCERN tool were used to assess the quality and content of videos, respectively. Additionally, comparative analyzes of videos based on different sources and common H. pylori issues were also conducted. Results: The median GQS score and DISCERN score was 2 for H. pylori-related videos analyzed in this study. Non-gastroenterologists posted the most H. pylori-related videos (136/242, 56.2%). Videos from gastroenterologists (51/242, 21.0%) had the highest GQS and DISCERN scores, with a median of 3. Few videos had content on family-based H. pylori infection control and management (5.8%), whether all H. pylori-positive patients need to undergo eradication treatment (27.7%), and the adverse effects of H. pylori eradication therapy (16.1%). Conclusion: Generally, the content and quality of the information in H. pylori-related videos were unsatisfactory, and the quality of the video correlated with the source of the video. Videos from gastroenterologists provided more correct guidance with higher-quality information on the prevention and treatment of H. pylori infection.</t>
  </si>
  <si>
    <t>[Lai, Yongkang; Lai, Weiguo; Zhu, Chunping; Li, Zhaoshen] Nanchang Univ, Ganzhou Peoples Hosp, Jiangxi Med Coll, Dept Gastroenterol, Ganzhou, Peoples R China; [Lai, Yongkang; He, Zixuan; Du, Yiqi; Li, Zhaoshen] Naval Med Univ, Shanghai Changhai Hosp, Dept Gastroenterol, Shanghai, Peoples R China; [Liao, Foqiang] Nanchang Univ, Dept Gastroenterol, Affiliated Hosp 1, Nanchang, Peoples R China</t>
  </si>
  <si>
    <t>Nanchang University; Naval Medical University; Nanchang University</t>
  </si>
  <si>
    <t>Li, ZS (corresponding author), Nanchang Univ, Ganzhou Peoples Hosp, Jiangxi Med Coll, Dept Gastroenterol, Ganzhou, Peoples R China.;Du, YQ; Li, ZS (corresponding author), Naval Med Univ, Shanghai Changhai Hosp, Dept Gastroenterol, Shanghai, Peoples R China.</t>
  </si>
  <si>
    <t>duyiqi@hotmail.com; chzshenli@163.com</t>
  </si>
  <si>
    <t>yongkang, lai/JBR-9816-2023; he, zixuan/ADY-7938-2022</t>
  </si>
  <si>
    <t>JAN 8</t>
  </si>
  <si>
    <t>10.3389/fpubh.2023.1344212</t>
  </si>
  <si>
    <t>GT7M3</t>
  </si>
  <si>
    <t>WOS:001154987300001</t>
  </si>
  <si>
    <t>Sehl, A; Schützeneder, J</t>
  </si>
  <si>
    <t>Sehl, Annika; Schuetzeneder, Jonas</t>
  </si>
  <si>
    <t>Political Knowledge to Go: An Analysis of Selected Political Influencers and Their Formats in the Context of the 2021 German Federal Election</t>
  </si>
  <si>
    <t>political influencer; political communication; social media; elections; Germany</t>
  </si>
  <si>
    <t>This study provides insights into the role of political social media influencers (PSMI) as relatively new actors in political communication. It examines their content and motives in the context of elections. Considering the German federal election in 2021, it uses content analysis of 20 PSMI offers with 301 pieces of content and a supplemental online survey to explore how PSMI communicated on various platforms/formats (Instagram posts/videos, podcast episodes, TikTok, YouTube) in the 2 months before the election. The findings show that the PSMI in this sample, who were all nominated for an award, provided (basic) political knowledge for a broad target audience without significant prior knowledge. In line with this, the findings further reveal that while the content of the PSMI overall was characterized by a high density of information, their density of opinion or self-presentation was comparatively low, with platform affordances influencing these characteristics. This corresponds to the motives stated by the PSMI in the supplemental online survey. While the findings for the PSMI in our sample are to some extent in line with role conceptions of journalists in Germany-the sample spans from professional journalists to influencers without any connection to journalism-they diverge in other respects from routines of the profession. The findings of our country-specific contribution allow for a more systemic understanding of PSMI, especially in the context of elections, by highlighting that they can add to information sources available by offering (basic) political education, especially for a young target audience on social media.</t>
  </si>
  <si>
    <t>[Sehl, Annika] Catholic Univ Eichstatt Ingolstadt, Ingolstadt, Germany; [Schuetzeneder, Jonas] Magdeburg Stendal Univ Appl Sci, Magdeburg, Germany</t>
  </si>
  <si>
    <t>Sehl, A (corresponding author), Catholic Univ Eichstatt Ingolstadt, Dept Journalism, Ostenstr 25, D-85072 Ingolstadt, Germany.</t>
  </si>
  <si>
    <t>annika.sehl@ku.de</t>
  </si>
  <si>
    <t>Sehl, Annika/Z-3551-2019</t>
  </si>
  <si>
    <t>Schutzeneder, Jonas/0000-0001-6606-7505; Sehl, Annika/0000-0002-8949-569X</t>
  </si>
  <si>
    <t>10.1177/20563051231177916</t>
  </si>
  <si>
    <t>I8MC7</t>
  </si>
  <si>
    <t>WOS:001005261700001</t>
  </si>
  <si>
    <t>Ng, L; Ng, XY; van der Eijk, Y</t>
  </si>
  <si>
    <t>Ng, Lionel; Ng, Xian Yi; van der Eijk, Yvette</t>
  </si>
  <si>
    <t>Vaping in a heavily regulated setting: cross-sectional survey of e-cigarette use, perceptions and social media exposure</t>
  </si>
  <si>
    <t>Advertising and Promotion; Electronic nicotine delivery devices; Harm Reduction; Priority; special populations; Social marketing</t>
  </si>
  <si>
    <t>BackgroundSingapore has completely banned e-cigarettes and the government's cautious stance against vaping has been consistent. Despite this, vaping appears to have gained popularity in Singapore, especially among younger people. With the heavy marketing of vaping products on social media, it is possible that such marketing, due to its cross-border nature, is reaching younger Singaporeans and driving changes in vaping-related perceptions or behaviours. This study examines their exposure to vaping-related content on social media, and whether such exposure is associated with more positive perceptions of vaping or e-cigarette ever use. MethodsAnalysis of cross-sectional survey data of 550 adult (age 21-40 years) Singaporeans recruited via convenience methods in May 2022, using descriptive statistics, bivariate analyses, and multiple linear and logistic regression models. Results16.9% of participants reported they had ever used e-cigarettes. 18.5% of those who used social media recalled seeing vaping-related content on a social media platform in the past 6 months, mostly from influencers or friends, and on Instagram, Facebook, TikTok and/or YouTube. Reporting exposure to such content was not associated with e-cigarette ever use. It was associated with having a more positive overall perception of vaping (beta=1.47; 95% CI: 0.17 to 2.78), although no significant difference was observed when examining only health-related perceptions. ConclusionEven in a heavily regulated environment such as Singapore's, people appear to be exposed to vaping-related content on social media platforms and this exposure is, in turn, associated with more positive perceptions of vaping, but not e-cigarette ever use.</t>
  </si>
  <si>
    <t>[Ng, Lionel; Ng, Xian Yi; van der Eijk, Yvette] Natl Univ Singapore, Saw Swee Hock Sch Publ Hlth, Singapore, Singapore</t>
  </si>
  <si>
    <t>van der Eijk, Y (corresponding author), Natl Univ Singapore, Saw Swee Hock Sch Publ Hlth, Singapore, Singapore.</t>
  </si>
  <si>
    <t>yvette.eijk@nus.edu.sg</t>
  </si>
  <si>
    <t>van der Eijk, Yvette/0000-0002-8095-1214</t>
  </si>
  <si>
    <t>e11</t>
  </si>
  <si>
    <t>e17</t>
  </si>
  <si>
    <t>10.1136/tc-2022-057805</t>
  </si>
  <si>
    <t>LX1D2</t>
  </si>
  <si>
    <t>WOS:000943423800001</t>
  </si>
  <si>
    <t>Vecchi, A; Brennan, L</t>
  </si>
  <si>
    <t>Vecchi, Alessandra; Brennan, Louis</t>
  </si>
  <si>
    <t>Two tales of internationalization-Chinese internet firms? expansion into the European market</t>
  </si>
  <si>
    <t>Chinese internet firms; OFDI; Internationalization; Europe</t>
  </si>
  <si>
    <t>ENTREPRENEURIAL; COMPANIES; LOCATION; STRATEGY</t>
  </si>
  <si>
    <t>This article focuses on Chinese Internet firms' overseas expansion, particularly in the European market. By relying on an exploratory approach and by conducting in-depth case studies of three high-profile firms - Alibaba (AliExpress), Tencent (WeChat) and ByteDance (TikTok), the research provides rich insights into such expansion, and more specifically, an understanding of their motives, strategies and challenges. The research contributes to the limited literature on the internationalization of Chinese service firms. While largely affirming the literature on internationalization, the multiple case study approach adopted provides rich granular insights into the distinctive motives, strategies and challenges that Chinese Internet firms can face in the European market. It identifies particular nuances that are easily missed in studies based on secondary data. In particular, two clearly distinct processes of internationalization in Europe emerge. While existing work on the internationalization of Chinese Internet firms has mostly regarded them as a cohesive and homogeneous set of companies, our findings suggest that we are dealing with two different sets of companies whose approaches toward internationalization seem to be radically different, revealing two tales of internationalization. From the findings it emerges that differently from the Internet firms that started to internationalize earlier as part of a first wave of interna-tionalization, the firms that started to internationalize later as a part of a second wave have done so, with a significant speedier pace by also adopting a bolder internationalization strategy that shares some common features with the first movers but that also displays a remarkably higher level of sophistication. Significantly, this type of firm does not seem to suffer from any liability of any kind.</t>
  </si>
  <si>
    <t>[Vecchi, Alessandra] Univ Ferrara, Dept Environm &amp; Prevent Sci DEPS, Cso Ercole 1Este 32, I-44121 Ferrara, Italy; [Brennan, Louis] Trinity Coll Dublin, Trinity Business Sch, Dublin, Ireland</t>
  </si>
  <si>
    <t>University of Ferrara; Trinity College Dublin</t>
  </si>
  <si>
    <t>Vecchi, A (corresponding author), Univ Ferrara, Dept Environm &amp; Prevent Sci DEPS, Cso Ercole 1Este 32, I-44121 Ferrara, Italy.</t>
  </si>
  <si>
    <t>a.vecchi@unife.it; brennanml@tcd.ie</t>
  </si>
  <si>
    <t>vecchi, alessandra/0000-0003-3449-7927</t>
  </si>
  <si>
    <t>10.1016/j.jbusres.2022.07.024</t>
  </si>
  <si>
    <t>3P9HG</t>
  </si>
  <si>
    <t>WOS:000837844200009</t>
  </si>
  <si>
    <t>Zhong, LY; Li, YH; Li, YL; Zou, TX; Yu, TL; Dai, CY</t>
  </si>
  <si>
    <t>Zhong, Lanyan; Li, Yanhua; Li, Yalong; Zou, Tongxiang; Yu, Tailin; Dai, Chuanyin</t>
  </si>
  <si>
    <t>Local farmers' perceptions of ecosystem services and disservices provided by the Black-necked Crane (Grus nigricollis) and their conservation implications</t>
  </si>
  <si>
    <t>GLOBAL ECOLOGY AND CONSERVATION</t>
  </si>
  <si>
    <t>Ecological compensation; Ecosystem service evaluation; Conservation management; Farmers; Black-necked Crane</t>
  </si>
  <si>
    <t>AGRICULTURAL INTENSIFICATION; BIODIVERSITY CONSERVATION; PROTECTED AREAS; SOCIAL MEDIA; HABITAT; POPULATION; KNOWLEDGE; BENEFITS; INSIGHTS; WETLANDS</t>
  </si>
  <si>
    <t>Incorporating local farmers' perceptions into conservation management has great significance because they have become the key stakeholders in wildlife conservation, especially that of wa-terbirds. The Black-necked Crane (Grus nigricollis) interacts closely with local farmers throughout its distribution, resulting in human-bird conflict. The evaluation of ecosystem services/disser-vices among local populations should help to address this relationship. We examined local farmers' perceptions of agreement with the ecosystem services and disservices provided by the Black-necked Crane in one of its large wintering sites by conducting semi-structured interviews with farmers around Caohai Wetland in Guizhou Province, China. The influences of socio-demographic variables, ecological knowledge, and attitude on farmers' agreement with ecosystem services and disservices were explored by generalized linear mixed models. Most of the farmers perceived a few benefits from the Black-necked Crane, whereas approximately one-third of them regarded the species as harmful. The most mentioned service was aesthetic value, fol-lowed by leisure and ecotourism, and therapeutic value, while crop consumption was the most commonly mentioned disservice. Their levels of agreement with services were associated with attitude and age, while those with disservices were determined by education attainment and household size. Local government and conservation organizations could use social media plat-forms, such as TikTok and WeChat, to convey information on the benefits or ecosystem services provided by the black-necked crane, and ecological compensation could be implemented to alleviate farmer-bird conflict. This study demonstrated the significance of the inclusion of local stakeholders and ecosystem service evaluation in conservation management. This framework can be applied to other protected species or ecosystems facing similar situations.</t>
  </si>
  <si>
    <t>[Zhong, Lanyan; Li, Yanhua; Zou, Tongxiang; Yu, Tailin; Dai, Chuanyin] Guangxi Normal Univ, Key Lab Ecol Rare &amp; Endangered Species &amp; Environm, Minist Educ, Guilin 541006, Peoples R China; [Zhong, Lanyan; Li, Yanhua; Zou, Tongxiang; Yu, Tailin; Dai, Chuanyin] Guangxi Normal Univ, Guangxi Key Lab Rare &amp; Endangered Anim Ecol, Guilin 541006, Peoples R China; [Li, Yalong] Guizhou Acad Sci, Caohai Ecol Stn, Weining 553100, Peoples R China</t>
  </si>
  <si>
    <t>Guangxi Normal University; Guangxi Normal University</t>
  </si>
  <si>
    <t>Yu, TL; Dai, CY (corresponding author), Guangxi Normal Univ, Key Lab Ecol Rare &amp; Endangered Species &amp; Environm, Minist Educ, Guilin 541006, Peoples R China.</t>
  </si>
  <si>
    <t>Dai, Chuanyin/0000-0003-3950-8197</t>
  </si>
  <si>
    <t>NSFC [32060310]; Guangxi Science and Technology Project [AD20159030]</t>
  </si>
  <si>
    <t>NSFC(National Natural Science Foundation of China (NSFC)); Guangxi Science and Technology Project</t>
  </si>
  <si>
    <t>The authors thank the respondents for their trust, knowledge and views during the interviews. This study was financially supported by the NSFC (32060310) and the Guangxi Science and Technology Project (AD20159030).</t>
  </si>
  <si>
    <t>2351-9894</t>
  </si>
  <si>
    <t>GLOB ECOL CONSERV</t>
  </si>
  <si>
    <t>Glob. Ecol. Conserv.</t>
  </si>
  <si>
    <t>e02614</t>
  </si>
  <si>
    <t>10.1016/j.gecco.2023.e02614</t>
  </si>
  <si>
    <t>R7TV2</t>
  </si>
  <si>
    <t>WOS:001066352000001</t>
  </si>
  <si>
    <t>Martinic, L; Modric, AS; Strbac, N</t>
  </si>
  <si>
    <t>Martinic, Lorena; Modric, Ana Safran; Strbac, Nikolina</t>
  </si>
  <si>
    <t>Zagreb Library Association social media Editorial Board</t>
  </si>
  <si>
    <t>BOSNIACA-JOURNAL OF THE NATIONAL AND UNIVERSITY LIBRARY OF BOSNIA AND HERZEGOVINA</t>
  </si>
  <si>
    <t>social networks; Zagreb Library Association; statistics; follower growth; original content</t>
  </si>
  <si>
    <t>In this paper, we will present the Editorial Board of Social Networks of the Zagreb Library Association (ZLA), when it was founded, how it functions, and the challenges it faces. The article will mention which social networks the Editorial Board uses to promote ZLA, and its members, but also to attract new ones. The paper will further explain how the Edito-rial Board chooses content to publish and how it creates its own, original content. It will present in detail all original categories, both ongoing and finished, and a free online visual editor used by the Editorial Board.The second part of this paper will present the analysis of the activities on each social network where ZLA has active profiles (Facebook, Instagram, LinkedIn, Twitter (today X), YouTube, Pinterest, TikTok). These statistical data will be compared: page followers and number of posts in each year from the beginning of 2020 to the first half of the current year. It will also be analysed to what extent the number of posts and their content affects the followers' growth on each of the social networks.In conclusion, the paper will argue that content is not enough, it is also important how often it is published. It will present differences in the popularity and usage of social net-works, the dynamics of publishing, and the choice of format, which the Editorial Board thinks is sometimes more important than the content.Finally, it will show the importance of its own, original content, which sets this Editorial Board apart from the content of social networks of other associations, libraries, and book bloggers. Thanks to high-quality and inspiring content, attractive visuals for announce-ments, and a well-thought-out publishing schedule, the Editorial Board has reached an enviable number of followers with whom it interacts regularly.</t>
  </si>
  <si>
    <t>[Martinic, Lorena] Ethnog Museum Lib, Zagreb, Croatia; [Modric, Ana Safran; Strbac, Nikolina] Zagreb City Lib, Zagreb, Croatia</t>
  </si>
  <si>
    <t>Martinic, L (corresponding author), Ethnog Museum Lib, Zagreb, Croatia.</t>
  </si>
  <si>
    <t>lorena@emz.hr; ana.safran@kgz.hr; nikolina.strbac@kgz.hr</t>
  </si>
  <si>
    <t>Strbac, Nikolina/0000-0002-5575-4710</t>
  </si>
  <si>
    <t>NATL &amp; UNIV LIBRARY BOSNIA &amp; HERZEGOVINA</t>
  </si>
  <si>
    <t>SARAJEVO</t>
  </si>
  <si>
    <t>ZMAJA OD BOSNE 8B, SARAJEVO, 71000, BOSNIA &amp; HERCEG</t>
  </si>
  <si>
    <t>1512-5033</t>
  </si>
  <si>
    <t>2303-8888</t>
  </si>
  <si>
    <t>BOSNIACA</t>
  </si>
  <si>
    <t>Bosniaca</t>
  </si>
  <si>
    <t>10.37083/bosn.2023.28.167</t>
  </si>
  <si>
    <t>CL0H0</t>
  </si>
  <si>
    <t>WOS:001125284300018</t>
  </si>
  <si>
    <t>Urman, A; Makhortykh, M</t>
  </si>
  <si>
    <t>Urman, Aleksandra; Makhortykh, Mykola</t>
  </si>
  <si>
    <t>How transparent are transparency reports? Comparative analysis of transparency reporting across online platforms</t>
  </si>
  <si>
    <t>Transparency reports; Transparency; Online platforms; Santa Clara Principles; Compliance; Comparative analysis; Regulation; Digital Services Act</t>
  </si>
  <si>
    <t>Over the last decade, transparency reports have been adopted by most large information technology companies. These reports provide important information on the requests tech companies receive from state actors around the world and the ways they respond to these requests, including what content the companies remove from platforms they own. In theory, such reports shall make inner workings of companies more transparent, in particular with respect to their collaboration with state actors. They shall also allow users and external entities (e.g., researchers or watchdogs) to assess to what extent companies adhere to their own policies on user privacy and content moderation as well as to the principles formulated by global entities that advocate for the freedom of expression and privacy online such as the Global Network Initiative or Santa Clara Principles. However, whether the current state of transparency reports actually is conducive to meaningful transparency remains an open question. In this paper, we aim to address this through a critical comparative analysis of transparency reports using Santa Clara Principles 2.0 (SCP 2.0) as the main analytical framework. Specifically, we aim to make three contributions: first, we conduct a comparative analysis of the types of data disclosed by major tech companies and social media platforms in their transparency reports. The companies and platforms analyzed include Google (incl. YouTube), Microsoft (incl. its subsidiaries Github and LinkedIn), Apple, Meta (prev. Facebook), TikTok, Twitter, Snapchat, Pinterest, Reddit and Amazon (incl. subsidiary Twitch). Second, we evaluate to what degree the released information complies with SCP 2.0 and how it aligns with different purposes of transparency. Finally, we outline recommendations that could improve the level of transparency within the reports and beyond, and contextualize our recommendations with regard to the Digital Services Act (DSA) that received the final approval of the European Council in October 2022.</t>
  </si>
  <si>
    <t>[Urman, Aleksandra] Univ Zurich, Dept Informat, Social Comp Grp, Zurich, Switzerland; [Makhortykh, Mykola] Univ Bern, Inst Commun &amp; Media Studies, Bern, Switzerland; [Urman, Aleksandra] Andreasstr 15, CH-8050 Zurich, Switzerland</t>
  </si>
  <si>
    <t>University of Zurich; University of Bern</t>
  </si>
  <si>
    <t>Urman, A (corresponding author), Andreasstr 15, CH-8050 Zurich, Switzerland.</t>
  </si>
  <si>
    <t>urman@ifi.uzh.ch</t>
  </si>
  <si>
    <t>Urman, Aleksandra/AAD-2217-2020; Makhortykh, Mykola/S-4127-2019</t>
  </si>
  <si>
    <t>Makhortykh, Mykola/0000-0001-7143-5317</t>
  </si>
  <si>
    <t>10.1016/j.telpol.2022.102477</t>
  </si>
  <si>
    <t>C6CK9</t>
  </si>
  <si>
    <t>WOS:000962772100001</t>
  </si>
  <si>
    <t>He, ZX; Wang, ZJ; Song, YH; Liu, YL; Kang, L; Fang, X; Wang, TC; Fan, XM; Li, ZS; Wang, SL; Bai, Y</t>
  </si>
  <si>
    <t>He, Zixuan; Wang, Zhijie; Song, Yihang; Liu, Yilong; Kang, Le; Fang, Xue; Wang, Tongchang; Fan, Xuanming; Li, Zhaoshen; Wang, Shuling; Bai, Yu</t>
  </si>
  <si>
    <t>The Reliability and Quality of Short Videos as a Source of Dietary Guidance for Inflammatory Bowel Disease: Cross-sectional Study</t>
  </si>
  <si>
    <t>inflammatory bowel disease; diet; information quality; social media; gastroenterology; nutrition; videos; health communication</t>
  </si>
  <si>
    <t>RANDOMIZED CONTROLLED-TRIAL; ULCERATIVE-COLITIS; SOCIAL MEDIA; HEALTH INFORMATION; PATIENT; MANAGEMENT; EDUCATION; INTERNET; CHILDREN; BELIEFS</t>
  </si>
  <si>
    <t>Background: Dietary management is considered a potential adjunctive treatment for inflammatory bowel disease (IBD). Short-video sharing platforms have enabled patients to obtain dietary advice more conveniently. However, accessing useful resources while avoiding misinformation is not an easy task for most patients. Objective: This study aimed to evaluate the quality of the information in IBD diet-related videos on Chinese short-video sharing platforms. Methods: We collected and extracted information from a total of 125 video samples related to the IBD diet on the 3 Chinese short-video sharing platforms with the most users: TikTok, Bilibili, and Kwai. Two independent physicians evaluated each video in terms of content comprehensiveness, quality (rated by Global Quality Score), and reliability (rated by a modified DISCERN tool). Finally, comparative analyses of the videos from different sources were conducted. Results: The videos were classified into 6 groups based on the identity of the uploaders, which included 3 kinds of medical professionals (ie, gastroenterologists, nongastroenterologists, and clinical nutritionists) and 3 types of non-medical professionals (ie, nonprofit organizations, individual science communicators, and IBD patients). The overall quality of the videos was poor. Further group comparisons demonstrated that videos from medical professionals were more instructive in terms of content comprehensiveness, quality, and reliability than those from non-medical professionals. Moreover, IBD diet-related recommendations from clinical nutritionists and gastroenterologists were of better quality than those from nongastroenterologists, while recommendations from nonprofit organizations did not seem to be superior to other groups of uploaders. Conclusions: The overall quality of the information in IBD diet-related videos is unsatisfactory and varies significantly depending on the source. Videos from medical professionals, especially clinical nutritionists and gastroenterologists, may provide dietary guidance with higher quality for IBD patients.</t>
  </si>
  <si>
    <t>[He, Zixuan; Wang, Zhijie; Song, Yihang; Kang, Le; Fang, Xue; Wang, Tongchang; Fan, Xuanming; Li, Zhaoshen; Wang, Shuling; Bai, Yu] Naval Med Univ, Changhai Hosp, Dept Gastroenterol, Shanghai, Peoples R China; [He, Zixuan; Wang, Zhijie; Song, Yihang; Li, Zhaoshen; Wang, Shuling; Bai, Yu] Changhai Clin Res Unit, Shanghai, Peoples R China; [Liu, Yilong] Naval Med Univ, Coll Basic Med, Shanghai, Peoples R China; [Bai, Yu] Naval Med Univ, Changhai Hosp, Dept Gastroenterol, 168 Changhai Rd, Shanghai 200433, Peoples R China</t>
  </si>
  <si>
    <t>Naval Medical University; Naval Medical University; Naval Medical University</t>
  </si>
  <si>
    <t>Bai, Y (corresponding author), Naval Med Univ, Changhai Hosp, Dept Gastroenterol, 168 Changhai Rd, Shanghai 200433, Peoples R China.</t>
  </si>
  <si>
    <t>md.baiyu@foxmail.com</t>
  </si>
  <si>
    <t>bai, yu/HLW-5287-2023; he, zixuan/ADY-7938-2022; Song, Yi-Hang/ABD-8008-2022; Wang, Zhijie/ACL-5759-2022</t>
  </si>
  <si>
    <t>Wang, Tongchang/0000-0001-6621-3912; fan, xuanming/0000-0002-1387-8213; He, zixuan/0000-0002-5883-4038; Song, Yihang/0000-0002-8686-9481; Wang, Zhijie/0000-0001-8015-5413</t>
  </si>
  <si>
    <t>National Natural Science Foundation of China [81873546, 82170567]; Shu Guang project of the Shanghai Municipal Education Commission; Shanghai Education Development Foundation [19SG30]; National Key R&amp;D Program of China [2018YFC1313103]; 234 Discipline Climbing Plan of Changhai Hospital, Second Military Medical University/Naval Medical University [2019YXK004]</t>
  </si>
  <si>
    <t>National Natural Science Foundation of China(National Natural Science Foundation of China (NSFC)); Shu Guang project of the Shanghai Municipal Education Commission; Shanghai Education Development Foundation; National Key R&amp;D Program of China; 234 Discipline Climbing Plan of Changhai Hospital, Second Military Medical University/Naval Medical University</t>
  </si>
  <si>
    <t>YB, SW, and ZL are joint senior authors. ZH conceived and designed the study. ZH and ZW reviewed and scored the videos. ZH, YS, and YL collected and analyzed the data. LK and TW interpreted the data. ZH wrote the original draft. XF, SW, and XF revised the manuscript. YB and ZL reviewed and edited the manuscript. All authors contributed to the article and approved the submitted version. This work was supported by the National Natural Science Foundation of China (grants 81873546 and 82170567) , the Shu Guang project of the Shanghai Municipal Education Commission and Shanghai Education Development Foundation (grant 19SG30) , the National Key R &amp; D Program of China (grant 2018YFC1313103) and the 234 Discipline Climbing Plan of Changhai Hospital, Second Military Medical University/Naval Medical University (grant 2019YXK004) .</t>
  </si>
  <si>
    <t>e41518</t>
  </si>
  <si>
    <t>10.2196/41518</t>
  </si>
  <si>
    <t>J1GF4</t>
  </si>
  <si>
    <t>WOS:001007152100007</t>
  </si>
  <si>
    <t>Zarban, NA; Alammari, OB; Abu Sabah, S; Alshamrani, NSM; Alqathanin, MA; Alrabeeah, NA; Basalib, SG</t>
  </si>
  <si>
    <t>Zarban, Noora A.; Alammari, Omar B.; Abu Sabah, Saeed; Alshamrani, Nawaf Saleh M.; Alqathanin, Muath A.; Alrabeeah, Norah A.; Basalib, Samaher G.</t>
  </si>
  <si>
    <t>Prevalence and Risk Factors of Dry Eye Disease in Association With the Increased Use of Electronic Devices Among University Students in Western Saudi Arabia</t>
  </si>
  <si>
    <t>saudi arabia; pediatrics; adults; dry eye disease; ocular surface disease index; osdi; osdi scoring system; osdi questionnaire; prevalence of dry eye symptoms; dry eye disorder</t>
  </si>
  <si>
    <t>MEDICAL-STUDENTS; UNITED-STATES; QUESTIONNAIRE; SYMPTOMS; COVID-19; IMPACT</t>
  </si>
  <si>
    <t>Aim: Dry eye disease (DED) is a prevalent ocular condition that significantly impacts individuals' quality of life and performance. It is characterized by the instability of the tear film, which causes ocular surface inflammation and damage that leads to ocular symptoms. However, this study aimed to determine the prevalence of DED and identify associated risk factors among university students in western Saudi Arabia. Methods: A total of 402 university students participated in this study. The sample size was determined using Raosoft software (Raosoft, Inc., Seattle, WA), considering an estimated student population of 20,000. Data were collected between January and March 2023 through an online questionnaire distributed to the participants. The questionnaire comprised three sections, covering general information, behaviors related to digital device (DD) use, and the validated Arabic version of the Ocular Surface Disease Index (OSDI) questionnaire. OSDI scores were calculated, and the severity of DED was categorized using established cutoff points. Results: Among the 402 university students who took part in the survey, the majority (63.2%) were aged between 21 and 25 years, with females representing the dominant gender (72.9%). Notably, 90.8% of participants reported using DDs at bedtime. Over 60% of students had been using DDs for more than 10 years, and approximately 61.7% reported having more than six hours of daily screen time. Mobile devices were the most commonly used electronic devices (67.2%), and TikTok emerged as the most frequently used application (35.6%). Based on the OSDI criteria, 21.1% of students had mild DED symptoms, 14.9% had moderate symptoms, and 38.6% had severe symptoms. Hence, the prevalence of students exhibiting positive DED symptoms was 74.6%, while 25.4% were negative.</t>
  </si>
  <si>
    <t>[Zarban, Noora A.] King AbdulAziz Univ, Emergency Med, Jeddah, Saudi Arabia; [Alammari, Omar B.; Alshamrani, Nawaf Saleh M.; Alqathanin, Muath A.] King Khalid Univ Hosp, Coll Med, Riyadh, Saudi Arabia; [Abu Sabah, Saeed] King Khalid Univ Hosp, Ophthalmol, Riyadh, Saudi Arabia; [Alrabeeah, Norah A.] Al Maarefa Univ, Coll Med, Riyadh, AL, Brazil; [Basalib, Samaher G.] Ibn Sina Natl Coll Med Studies, Coll Med, Jeddah, Saudi Arabia</t>
  </si>
  <si>
    <t>King Abdulaziz University; King Saud University; King Khalid University Hospital; King Saud University; King Khalid University Hospital; Ibn Sina National College for Medical Studies</t>
  </si>
  <si>
    <t>Alammari, OB (corresponding author), King Khalid Univ Hosp, Coll Med, Riyadh, Saudi Arabia.</t>
  </si>
  <si>
    <t>alammari1.omar@gmail.com</t>
  </si>
  <si>
    <t>e51554</t>
  </si>
  <si>
    <t>10.7759/cureus.51554</t>
  </si>
  <si>
    <t>II4R3</t>
  </si>
  <si>
    <t>WOS:001165689300015</t>
  </si>
  <si>
    <t>Kini, SD; Houssein, FA; Adams, SM; Derbarsegian, A; Phillips, KM; Sedaghat, AR</t>
  </si>
  <si>
    <t>Kini, Sameer D.; Houssein, Firas A.; Adams, Sarah M.; Derbarsegian, Armo; Phillips, Katie M.; Sedaghat, Ahmad R.</t>
  </si>
  <si>
    <t>Concerns regarding health-related social media usage amongst otolaryngology patients</t>
  </si>
  <si>
    <t>EUROPEAN ARCHIVES OF OTO-RHINO-LARYNGOLOGY</t>
  </si>
  <si>
    <t>Social media; Healthcare; Concerns; Facebook; Medicare; Gender</t>
  </si>
  <si>
    <t>Purpose The objective of this study was to determine concerns of otolaryngology patients regarding health-related social media usage.Methods A total of 372 otolaryngology patients were asked to report their level of concern (on a scale of not at all, a little, somewhat, or highly concerned) regarding health-related social media usage as it pertained to risk of loss of privacy or anonymity related to your health condition, reliability of disease/treatment information, and reliability of physician reviews/recommendations. Demographics and social media usage patterns (on Facebook, Instagram, Twitter, TikTok or other platforms) were compared to concerns about health-related social media usage.Results The level of concern was highest for reliability of disease/treatment information and least for loss of privacy/anonymity (p &lt; 0.001). Concern about loss of privacy/anonymity was associated with age over 25 years (OR = 3.12, 95%CI 1.66-5.86, p &lt; 0.001) and negatively with daily use of Twitter (OR = 0.54, 95%CI 0.30-0.96, p = 0.035). Concern about reliability of disease/treatment information was negatively associated with Medicare insurance (OR = 0.57, 95%CI 0.35-0.93, p = 0.024), which is available to adults aged &gt;= 65 years, and concern over reliability of physician reviews/recommendations was associated with patients identifying their race as Asian, American Indian and other (OR = 3.16, 95%CI 1.22-8.19, p = 0.018).Conclusions The greatest concern about health-related social media usage is related to reliability of disease/treatment information, though notably less among patients with Medicare who represent adults of age 65 years or older. Concerns over loss of privacy/anonymity and reliability of physician reviews/recommendations are also prevalent and associated with patient demographics. These concerns may constrain utilization of social media for healthcare purposes, which highlights the importance of reliable sources of information.</t>
  </si>
  <si>
    <t>[Kini, Sameer D.; Houssein, Firas A.; Adams, Sarah M.; Derbarsegian, Armo; Phillips, Katie M.; Sedaghat, Ahmad R.] Univ Cincinnati, Dept Otolaryngol Head &amp; Neck Surg, Coll Med, 231 Albert Sabin Way, Cincinnati, OH 45267 USA</t>
  </si>
  <si>
    <t>Sedaghat, AR (corresponding author), Univ Cincinnati, Dept Otolaryngol Head &amp; Neck Surg, Coll Med, 231 Albert Sabin Way, Cincinnati, OH 45267 USA.</t>
  </si>
  <si>
    <t>Adams, Sarah Marie/0000-0002-6790-9492; DERBARSEGIAN, ARMO/0000-0002-8792-231X</t>
  </si>
  <si>
    <t>0937-4477</t>
  </si>
  <si>
    <t>1434-4726</t>
  </si>
  <si>
    <t>EUR ARCH OTO-RHINO-L</t>
  </si>
  <si>
    <t>Eur. Arch. Oto-Rhino-Laryn.</t>
  </si>
  <si>
    <t>10.1007/s00405-023-08303-3</t>
  </si>
  <si>
    <t>IX5O9</t>
  </si>
  <si>
    <t>WOS:001096115800002</t>
  </si>
  <si>
    <t>Ionescu, S; Hannák, A; Pagan, N</t>
  </si>
  <si>
    <t>Ionescu, Stefania; Hannak, Aniko; Pagan, Nicolo</t>
  </si>
  <si>
    <t>The role of luck in the success of social media influencers</t>
  </si>
  <si>
    <t>APPLIED NETWORK SCIENCE</t>
  </si>
  <si>
    <t>Social networks; Recommender systems; Popularity biases; Algorithmic fairness; Agent-based modeling; Markov chains</t>
  </si>
  <si>
    <t>PRINCIPLE</t>
  </si>
  <si>
    <t>MotivationSocial media platforms centered around content creators (CCs) faced rapid growth in the past decade. Currently, millions of CCs make livable incomes through platforms such as YouTube, TikTok, and Instagram. As such, similarly to the job market, it is important to ensure the success and income (usually related to the follower counts) of CCs reflect the quality of their work. Since quality cannot be observed directly, two other factors govern the network-formation process: (a) the visibility of CCs (resulted from, e.g., recommender systems and moderation processes) and (b) the decision-making process of seekers (i.e., of users focused on finding CCs). Prior virtual experiments and empirical work seem contradictory regarding fairness: While the first suggests the expected number of followers of CCs reflects their quality, the second says that quality does not perfectly predict success.ResultsOur paper extends prior models in order to bridge this gap between theoretical and empirical work. We (a) define a parameterized recommendation process which allocates visibility based on popularity biases, (b) define two metrics of individual fairness (ex-ante and ex-post), and (c) define a metric for seeker satisfaction. Through an analytical approach we show our process is an absorbing Markov Chain where exploring only the most popular CCs leads to lower expected times to absorption but higher chances of unfairness for CCs. While increasing the exploration helps, doing so only guarantees fair outcomes for the highest (and lowest) quality CC. Simulations revealed that CCs and seekers prefer different algorithmic designs: CCs generally have higher chances of fairness with anti-popularity biased recommendation processes, while seekers are more satisfied with popularity-biased recommendations. Altogether, our results suggest that while the exploration of low-popularity CCs is needed to improve fairness, platforms might not have the incentive to do so and such interventions do not entirely prevent unfair outcomes.</t>
  </si>
  <si>
    <t>[Ionescu, Stefania; Hannak, Aniko; Pagan, Nicolo] Univ Zurich, Dept Informat, Zurich, Switzerland</t>
  </si>
  <si>
    <t>Ionescu, S (corresponding author), Univ Zurich, Dept Informat, Zurich, Switzerland.</t>
  </si>
  <si>
    <t>ionescu@ifi.uzh.ch</t>
  </si>
  <si>
    <t>Swiss National Science Foundation (SNSF) under the NCCR Automation grant [180545]</t>
  </si>
  <si>
    <t>Swiss National Science Foundation (SNSF) under the NCCR Automation grant(Swiss National Science Foundation (SNSF))</t>
  </si>
  <si>
    <t>The authors gratefully acknowledge financial support from the Swiss National Science Foundation (SNSF) under the NCCR Automation grant (Grant No. 180545).</t>
  </si>
  <si>
    <t>2364-8228</t>
  </si>
  <si>
    <t>APPL NETW SCI</t>
  </si>
  <si>
    <t>Appl. Netw. Sci.</t>
  </si>
  <si>
    <t>JUL 25</t>
  </si>
  <si>
    <t>10.1007/s41109-023-00573-4</t>
  </si>
  <si>
    <t>Computer Science, Theory &amp; Methods; Multidisciplinary Sciences</t>
  </si>
  <si>
    <t>N2RF5</t>
  </si>
  <si>
    <t>WOS:001035539500001</t>
  </si>
  <si>
    <t>Jeyaraman, M; Ramasubramanian, S; Kumar, S; Jeyaraman, N; Selvaraj, P; Nallakumarasamy, A; Bondili, SK; Yadav, S</t>
  </si>
  <si>
    <t>Jeyaraman, Madhan; Ramasubramanian, Swaminathan; Kumar, Shanmugapriya; Jeyaraman, Naveen; Selvaraj, Preethi; Nallakumarasamy, Arulkumar; Bondili, Suresh K.; Yadav, Sankalp</t>
  </si>
  <si>
    <t>Multifaceted Role of Social Media in Healthcare: Opportunities, Challenges, and the Need for Quality Control</t>
  </si>
  <si>
    <t>medical education; patient -centred care; latest research; healthcare; effects of social media</t>
  </si>
  <si>
    <t>Social media, leveraging Web 2.0 technologies, plays a vital role in healthcare, medical education, and research by fostering collaboration and enabling research dissemination. Healthcare professionals use these platforms to improve public health literacy, but concerns about misinformation and content accuracy persist. In 2023, platforms like Facebook (Meta Platforms, Inc., Menlo Park, California, United States), YouTube (Google LLC, Mountain View, California, United States), Instagram (Meta Platforms, Inc.), TikTok (ByteDance Ltd, Beijing, China), and Twitter (X Corp., Carson City, Nevada, United States) have become essential in healthcare, offering patient communication, professional development, and knowledge-sharing opportunities. However, challenges such as breaches of patient confidentiality and unprofessional conduct remain. Social media has transformed medical education, providing unique networking and professional development opportunities. Further studies are needed to determine its educational value. Healthcare professionals must follow ethical and professional guidelines, particularly regarding patient privacy, confidentiality, disclosure rules, and copyright laws. Social media significantly impacts patient education and healthcare research. Platforms like WhatsApp (Meta Platforms, Inc.) effectively improve patient compliance and outcomes. Yet, the rapid dissemination of false news and misinformation on social media platforms presents risks. Researchers must consider potential biases and content quality when extracting data. Quality control and regulation are crucial in addressing potential dangers and misinformation in social media and healthcare. Stricter regulations and monitoring are needed due to cases of deaths resulting from social media trends and false news spread. Ethical frameworks, informed consent practices, risk assessments, and appropriate data management strategies are essential for responsible research using social media technologies. Healthcare professionals and researchers must judiciously use social media, considering its risks to maximize benefits and mitigate potential drawbacks. By striking the right balance, healthcare professionals can enhance patient outcomes, medical education, research, and the overall healthcare experience.</t>
  </si>
  <si>
    <t>[Jeyaraman, Madhan] ACS Med Coll &amp; Hosp, Dr MGR MG Ramachandran Educ &amp; Res Inst, Orthopaed, Chennai, India; [Ramasubramanian, Swaminathan] Govt Med Coll, Med, Omandurar Govt Estate, Chennai, India; [Kumar, Shanmugapriya] Sri Lalithambigai Med Coll &amp; Hosp, Dr MGR MG Ramachandran Educ &amp; Res Inst, Resp Med, Chennai, India; [Jeyaraman, Naveen] Sri Balaji Vidyapeeth, Shri Sathya Sai Med Coll &amp; Res Inst, Orthopaed, Nellikuppam, India; [Selvaraj, Preethi] Sri Lalithambigai Med Coll &amp; Hosp, Dr MGR MG Ramachandran Educ &amp; Res Inst, Community Med, Chennai, India; [Nallakumarasamy, Arulkumar] All India Inst Med Sci, Orthopaed &amp; Traumatol, Bhubaneswar, India; [Nallakumarasamy, Arulkumar] Banaras Hindu Univ, Inst Med Sci, Orthoped, Varanasi, India; [Bondili, Suresh K.] Kauvery Hosp, Med Oncol, Chennai, India; [Yadav, Sankalp] Shri Madan Lal Khurana Chest Clin, Med, New Delhi, India</t>
  </si>
  <si>
    <t>Shri Sathya Sai Medical College &amp; Research Institute; All India Institute of Medical Sciences (AIIMS) Bhubaneswar; Banaras Hindu University (BHU)</t>
  </si>
  <si>
    <t>Yadav, S (corresponding author), Shri Madan Lal Khurana Chest Clin, Med, New Delhi, India.</t>
  </si>
  <si>
    <t>drsankalpyadav@gmail.com</t>
  </si>
  <si>
    <t>Jeyaraman, Madhan/ABB-8464-2020; Ramasubramanian, Swaminathan/ISA-0083-2023; Selvaraj, Preethi/KLC-8942-2024; Yadav, Sankalp/C-8076-2016</t>
  </si>
  <si>
    <t>Ramasubramanian, Swaminathan/0000-0001-8845-8427; Yadav, Sankalp/0000-0001-6367-7228</t>
  </si>
  <si>
    <t>MAY 16</t>
  </si>
  <si>
    <t>10.7759/cureus.39111</t>
  </si>
  <si>
    <t>J5DD0</t>
  </si>
  <si>
    <t>WOS:001009812400048</t>
  </si>
  <si>
    <t>Stratton, J</t>
  </si>
  <si>
    <t>Stratton, Jon</t>
  </si>
  <si>
    <t>Parodies for a pandemic: coronavirus songs, creativity and lockdown</t>
  </si>
  <si>
    <t>CULTURAL STUDIES</t>
  </si>
  <si>
    <t>Pandemic; parodies; YouTube; popular music; copyright; everyday life</t>
  </si>
  <si>
    <t>One of the common responses to the coronavirus pandemic and the lockdowns that have been a feature of almost all countries has been the making of what have come to be called parodies. These are songs with new lyrics set to the tunes of established and well-known popular songs. The new lyrics describe life during the pandemic, the experience of isolation during lockdown, the importance of wearing masks and washing hands, the importance of social distancing when one is out. The pandemic parodies are a comment, sometimes jocular sometimes more anguished, on the new normal. They are posted on social media sites, mostly YouTube but also other sites such as TikTok, and invite comments from their audience about everything from the quality of the recording to the accuracy of the lyrics in reflecting people's lives during this time. Some of these parodies are by semi-professional singers, others by amateurs. Most of the parodists are white males and most of the songs parodied are from the 1970s and 1980s, part of the cultural capital of Generation X. This article argues that calling these songs parodies invites misunderstanding. They function more like the ballads of the eighteenth and nineteenth centuries when new lyrics would be written to be sung to well-known tunes. Often these lyrics would be commentaries on significant public or political events. This article argues that the pandemic parodies function similarly only now rather than the new lyrics being sold in the streets by hawkers, the songs are available on the web. At a time when the popular music industry is undergoing a fundamental transformation as a consequence of the impact of new technologies such as streaming, these pandemic parodies suggest another transformation in the production and consumption of popular music.</t>
  </si>
  <si>
    <t>[Stratton, Jon] Univ South Australia, UniSA Creat, Adelaide, SA, Australia</t>
  </si>
  <si>
    <t>University of South Australia</t>
  </si>
  <si>
    <t>Stratton, J (corresponding author), Univ South Australia, UniSA Creat, Adelaide, SA, Australia.</t>
  </si>
  <si>
    <t>jon.stratton@unisa.edu.au</t>
  </si>
  <si>
    <t>Stratton, Jon/0000-0001-6787-9388</t>
  </si>
  <si>
    <t>0950-2386</t>
  </si>
  <si>
    <t>1466-4348</t>
  </si>
  <si>
    <t>CULT STUD</t>
  </si>
  <si>
    <t>Cult. Stud.</t>
  </si>
  <si>
    <t>10.1080/09502386.2021.1898035</t>
  </si>
  <si>
    <t>Anthropology; Cultural Studies</t>
  </si>
  <si>
    <t>RX1OH</t>
  </si>
  <si>
    <t>WOS:000646989800017</t>
  </si>
  <si>
    <t>Zhang, H; Qian, JX</t>
  </si>
  <si>
    <t>Zhang, Han; Qian, Junxi</t>
  </si>
  <si>
    <t>Branding the 'VBA' (Village Basketball Association) to revitalise a Miao village: Platform ruralism in the making</t>
  </si>
  <si>
    <t>digital geographies; Guizhou; platform ruralism; qualitative content analysis; rural revitalisation</t>
  </si>
  <si>
    <t>AGRICULTURAL TECHNOLOGIES; SOCIETY</t>
  </si>
  <si>
    <t>In recent years, short-video platforms represented by Douyin (TikTok) and Kuaishou (Kwai) have expanded to rural China. The rural, as an emerging 'sunken market' for digital platforms to generate revenue, has become an uncharted terrain for digital platforms to compete for, particularly in the context of the state's rural revitalisation strategy. Yao Shunwei, an independent photographer, uploaded a short video on Douyin in July 2022, recording a village basketball game in a Miao village (Taipan Village) in Guizhou to celebrate the Chixin Festival. The game quickly gained phenomenal popularity on digital platforms and was branded as 'VBA' (Village BA, appropriating the term NBA), contributing significantly to the revitalisation of the village. So far, work on rural places in their entanglement with digital platforms remains limited, lopsided on the rhetoric of a digital divide between the urban and the rural. Proposing the tentative concept of platform ruralism, this study probes into the emergent rural subjectivities and agencies vis-&amp; agrave;-vis the negotiation, adaptation, innovation and autonomy of rural economies, livelihoods and socio-cultural practices as they are imbricated by digital technologies and platforms. As such, it looks at how digital platforms have rescaled rural basketball activities and turned them into a nationally influential brand to enhance the wellbeing, social cohesion and cultural identity of rural communities. The branding of 'VBA' demonstrates how the rural can take on an active and resilient role in the rise of digital platforms. This essay traces the remarkable surge in popularity of the 'VBA' (Village Basketball Association) of Taipan Village, a Miao hamlet in Southwest China. It engages with the notion of platform ruralism to demonstrate how digital platforms are embedded in social, economic and cultural innovations in rural areas, ushering in the formation of new subjectivities for rural people and the revitalisation of local sociocultural fabrics.image</t>
  </si>
  <si>
    <t>[Zhang, Han; Qian, Junxi] Univ Hong Kong, Dept Geog, Pokfulam Rd, Hong Kong, Peoples R China</t>
  </si>
  <si>
    <t>Qian, JX (corresponding author), Univ Hong Kong, Dept Geog, Pokfulam Rd, Hong Kong, Peoples R China.</t>
  </si>
  <si>
    <t>jxqian@hku.hk</t>
  </si>
  <si>
    <t>Qian, Junxi/AAW-7342-2021</t>
  </si>
  <si>
    <t>Qian, Junxi/0000-0001-9638-3808</t>
  </si>
  <si>
    <t>National Natural Science Foundation of China [41871124, 42071171]; National Science Foundation of China; Hui Oi Chow Trust Fund at the University of Hong Kong</t>
  </si>
  <si>
    <t>National Natural Science Foundation of China(National Natural Science Foundation of China (NSFC)); National Science Foundation of China(National Natural Science Foundation of China (NSFC)); Hui Oi Chow Trust Fund at the University of Hong Kong</t>
  </si>
  <si>
    <t>This study receives financial support from the National Science Foundation of China (Grant Nos. 41871124 and 42071171), and the Hui Oi Chow Trust Fund at the University of Hong Kong.</t>
  </si>
  <si>
    <t>10.1111/area.12951</t>
  </si>
  <si>
    <t>A5Y3D</t>
  </si>
  <si>
    <t>WOS:001235619000001</t>
  </si>
  <si>
    <t>Kornakova, EV; Bereznyatskaya, MA; Tutova, E; Karelova, MA; Sveshnikova, OA</t>
  </si>
  <si>
    <t>Kornakova, E., V; Bereznyatskaya, M. A.; Tutova, E., V; Karelova, M. A.; Sveshnikova, O. A.</t>
  </si>
  <si>
    <t>PSYCHOLOGY OF THE INFLUENCE OF SHORT VISUAL CONTENT ON THE INTERNAL AND COGNITIVE ACTIVITIES OF SCHOOL CHILDREN</t>
  </si>
  <si>
    <t>VOPROSY PSIKHOLOGII</t>
  </si>
  <si>
    <t>attention; cognitive activity; blog culture; video clips; short viral videos; digitalization; vlog; clip thinking</t>
  </si>
  <si>
    <t>Throughout human history, cognitive systems have regularly undergone various changes due to the invention of various technological devices and leaps in the development of Homo sapiens: from the emergence of primitive tools and spoken language to the creation of writing and arithmetic. 30 years ago, a new innovative turn occurred - the Internet emerged, designed to significantly modify and transform human thinking. Since the 2000s, the educational environment has undergone intensive computerization, digitalization and corresponding school reforms; changes are also found in human thought and speech activity and behavior: the digital generation has begun to gravitate toward superficial thinking when processing information, characterized by rapid switching of attention. Modern children, in addition to being influenced by the educational environment, are subject to cybersocialization: they grow up in close contact with social networks and blog culture, with rich emotionally colored visual content. As a result, the realities of the 2020s were characterized by the fact that it became increasingly difficult for people to get acquainted with information through texts with a linear structure, so they began to give preference to viewing emotionally expressive interactive content, and the audience now seeks to receive the bulk of the material they are looking for through the digital Internet space. Nowadays, most of the visual information that has become appealing to consumers is clip; it is distributed among users in the form of vertical content (short viral videos, blogs, letsplays, shorts, stories and TikTok), which acts as a mass communication tool that has a certain influence on thinking and regulates attention, as well as the cognitive activity of schoolchildren. Since social networks today have a great influence on public consciousness, some educational material and teaching methods should be combined with the methods and techniques of presenting information used by bloggers.</t>
  </si>
  <si>
    <t>[Kornakova, E., V; Bereznyatskaya, M. A.; Tutova, E., V; Karelova, M. A.; Sveshnikova, O. A.] Russian Peoples Friendship Univ, Moscow, Russia</t>
  </si>
  <si>
    <t>Peoples Friendship University of Russia</t>
  </si>
  <si>
    <t>Kornakova, EV (corresponding author), Russian Peoples Friendship Univ, Moscow, Russia.</t>
  </si>
  <si>
    <t>MEZHDUNARODNAYA KNIGA</t>
  </si>
  <si>
    <t>39 DIMITROVA UL., MOSCOW, 113095, RUSSIA</t>
  </si>
  <si>
    <t>0042-8841</t>
  </si>
  <si>
    <t>VOP PSIKHOL+</t>
  </si>
  <si>
    <t>Vopr. Psikhologii</t>
  </si>
  <si>
    <t>H9U7B</t>
  </si>
  <si>
    <t>WOS:001326816200007</t>
  </si>
  <si>
    <t>Tao, ZL; Wei, YW; Wang, X; He, XN; Huang, XL; Chua, TS</t>
  </si>
  <si>
    <t>Tao, Zhulin; Wei, Yinwei; Wang, Xiang; He, Xiangnan; Huang, Xianglin; Chua, Tat-Seng</t>
  </si>
  <si>
    <t>MGAT: Multimodal Graph Attention Network for Recommendation</t>
  </si>
  <si>
    <t>INFORMATION PROCESSING &amp; MANAGEMENT</t>
  </si>
  <si>
    <t>Personalized recommendation; Graph; Gate mechanism; Attention mechanism; Micro-videos</t>
  </si>
  <si>
    <t>Graph neural networks (GNNs) have shown great potential for personalized recommendation. At the core is to reorganize interaction data as a user-item bipartite graph and exploit high-order connectivity among user and item nodes to enrich their representations. While achieving great success, most existing works consider interaction graph based only on ID information, foregoing item contents from multiple modalities (e.g., visual, acoustic, and textual features of micro-video items). Distinguishing personal interests on different modalities at a granular level was not explored until recently proposed MMGCN (Wei et al., 2019). However, it simply employs GNNs on parallel interaction graphs and treats information propagated from all neighbors equally, failing to capture user preference adaptively. Hence, the obtained representations might preserve redundant, even noisy information, leading to non-robustness and suboptimal performance. In this work, we aim to investigate how to adopt GNNs on multimodal interaction graphs, to adaptively capture user preference on different modalities and offer in-depth analysis on why an item is suitable to a user. Towards this end, we propose a new Multimodal Graph Attention Network, short for MGAT, which disentangles personal interests at the granularity of modality. In particular, built upon multimodal interaction graphs, MGAT conducts information propagation within individual graphs, while leveraging the gated attention mechanism to identify varying importance scores of different modalities to user preference. As such, it is able to capture more complex interaction patterns hidden in user behaviors and provide a more accurate recommendation. Empirical results on two micro-video recommendation datasets, Tiktok and MovieLens, show that MGAT exhibits substantial improvements over the state-of-the-art baselines like NGCF (Wang, He, et al., 2019) and MMGCN (Wei et al., 2019). Further analysis on a case study illustrates how MGAT generates attentive information flow over multimodal interaction graphs.</t>
  </si>
  <si>
    <t>[Tao, Zhulin; Huang, Xianglin] Commun Univ China, State Key Lab Media Convergence &amp; Commun, Beijing, Peoples R China; [Wei, Yinwei] Shangdong Univ, Jinan, Peoples R China; [Wang, Xiang; Chua, Tat-Seng] Natl Univ Singapore, Singapore, Singapore; [He, Xiangnan] Univ Sci &amp; Technol China, Hefei, Peoples R China</t>
  </si>
  <si>
    <t>Communication University of China; Shandong University; National University of Singapore; Chinese Academy of Sciences; University of Science &amp; Technology of China, CAS</t>
  </si>
  <si>
    <t>Huang, XL (corresponding author), Commun Univ China, State Key Lab Media Convergence &amp; Commun, Beijing, Peoples R China.;Wang, X (corresponding author), Natl Univ Singapore, Singapore, Singapore.</t>
  </si>
  <si>
    <t>taozhulin@gmail.com; weiyinwei@hotmail.com; xiangwang@u.nus.edu; xiangnanhe@gmail.com; huangxl@cuc.edu.cn; chuats@comp.nus.edu.sg</t>
  </si>
  <si>
    <t>Wei, Yinwei/JHX-9398-2023; He, Xiangnan/G-3986-2011</t>
  </si>
  <si>
    <t>National Research Foundation Singapore under its AI Singapore Programme; Asia Big Data Association [AISG-100E-2018-002]; National Research Foundation, Prime Minister's Office, Singapore under its IRC@SG Funding Initiative; national key research and development program of china [2019YFB1406201]; future school program [CSDP17FS3231]; Linksure Network Holding Pte Ltd</t>
  </si>
  <si>
    <t>National Research Foundation Singapore under its AI Singapore Programme(National Research Foundation, Singapore); Asia Big Data Association; National Research Foundation, Prime Minister's Office, Singapore under its IRC@SG Funding Initiative(National Research Foundation, Singapore); national key research and development program of china(National Key Research &amp; Development Program of China); future school program; Linksure Network Holding Pte Ltd</t>
  </si>
  <si>
    <t>This research is part of NExT++ research and also supported by the National Research Foundation Singapore under its AI Singapore Programme, Linksure Network Holding Pte Ltd, and the Asia Big Data Association(Award No.: AISG-100E-2018-002). NExT++ is supported by the National Research Foundation, Prime Minister's Office, Singapore under its IRC@SG Funding Initiative. Moreover, this research is also supported by the national key research and development program of china(no.2019YFB1406201) and the future school program (no.CSDP17FS3231).</t>
  </si>
  <si>
    <t>0306-4573</t>
  </si>
  <si>
    <t>1873-5371</t>
  </si>
  <si>
    <t>INFORM PROCESS MANAG</t>
  </si>
  <si>
    <t>Inf. Process. Manage.</t>
  </si>
  <si>
    <t>10.1016/j.ipm.2020.102277</t>
  </si>
  <si>
    <t>MC0OB</t>
  </si>
  <si>
    <t>WOS:000542996300022</t>
  </si>
  <si>
    <t>Lala, K</t>
  </si>
  <si>
    <t>Lala, Karan</t>
  </si>
  <si>
    <t>TikTok the Tortfeasor: A Framework to Discuss Social-Platform Externalities and Arguments Favoring Ex Ante Mitigations</t>
  </si>
  <si>
    <t>UNIVERSITY OF CHICAGO LAW REVIEW</t>
  </si>
  <si>
    <t>LIABILITY</t>
  </si>
  <si>
    <t>In recent years, social media platforms have grown increasingly complex in how they invite, intersect with, and influence third-party speech. This complexity lies in stark contrast to the simplicity of the statute that governs those very platforms: Section 230 of the Communications Decency Act. Although Section 230 has cabined liability for platforms in the past, some have advocated for activist judges to deploy tools available to them to hold platforms accountable and mitigate harm to users as research documenting the negative impact of social products on user well-being has matured. This Comment reviews Section 230 jurisprudence to develop a novel taxonomy that explicates the statute's boundaries and provides both an opening for ex post liability and a rough metric for its limits. It divides claims against platforms into three categories-content specific, content dependent, and content agnostic-based on the proximity of the alleged injury to user-generated content and the degree of the platform's participation. Noting the incentive for plaintiffs to frame claims as content agnostic to evade premature dismissal under Section 230, this Comment also formalizes a remedies test that courts can use to distinguish legitimate contentagnostic claims from those in name only. Armed with this vocabulary, this Comment turns its attention to a number of cases pending against social platforms. Applying the remedies test, it determines that a handful of pending allegations give rise to legitimate content-agnostic claims. Noting that content-agnostic injuries are material but not yet fully understood, this Comment ultimately argues that an ex ante regulatory regime operationalized by an expert agency is better suited to address social-platform externalities than an ex post liability regime. It discusses several reasons to disfavor an ex post regime or favor an ex ante regime before outlining what an adequate ex ante regulatory regime could look like with respect to its mandate, powers, structure, and staffing.</t>
  </si>
  <si>
    <t>[Lala, Karan] Univ Chicago, Law Sch, Chicago, IL 60637 USA</t>
  </si>
  <si>
    <t>Lala, K (corresponding author), Univ Chicago, Law Sch, Chicago, IL 60637 USA.</t>
  </si>
  <si>
    <t>UNIV CHICAGO LAW SCH</t>
  </si>
  <si>
    <t>1111 E 60TH ST, CHICAGO, IL 60637 USA</t>
  </si>
  <si>
    <t>0041-9494</t>
  </si>
  <si>
    <t>U CHICAGO LAW REV</t>
  </si>
  <si>
    <t>Univ. Chic. Law Rev.</t>
  </si>
  <si>
    <t>J8P1N</t>
  </si>
  <si>
    <t>WOS:001339617300004</t>
  </si>
  <si>
    <t>Finnegan, P; Murphy, M; O'Connor, C</t>
  </si>
  <si>
    <t>Finnegan, Paula; Murphy, Michelle; O'Connor, Cathal</t>
  </si>
  <si>
    <t>#corticophobia: a review on online misinformation related to topical steroids</t>
  </si>
  <si>
    <t>Misinformation about topical corticosteroids (TCS) can lead to corticophobia, a complex multifaceted phenomenon that exploits patients with skin disease, creates cognitive dissonance, and can obstruct successful treatment. This study aimed to examine the content of TCS-related misinformation available online. Key themes of TCS-related misinformation identified in this study included TCS withdrawal or 'red skin syndrome', exaggeration of potential adverse effects, and alternative underlying causes or natural therapies. Misinformation in healthcare is at crisis level worldwide, with the internet as primary source of prevarication. Topical corticosteroids (TCS) are a safe and effective treatment used in multiple dermatological conditions. Nonadherence to prescribed TCS can be due to phobia secondary to misinformation. TCS phobia is a complex multifaceted phenomenon that exploits patients with skin disease, creates cognitive dissonance and can obstruct successful treatment. This study aimed to examine the content of TCS-related misinformation available online. A formal review of PubMed was performed using the terms 'topical corticosteroids' AND 'misinformation' OR 'disinformation' OR 'conspiracy theory, along with an informal Google search using combinations of these terms and further targeted searches on social media applications including Facebook (TM), Twitter (TM), Instagram (TM) and TikTok (TM). 'Topical steroid withdrawal', 'red skin syndrome' or 'TCS addiction' is a particularly prevalent myth currently being propagated on social media, with most content suggesting that eczema is due to a 'leaky gut' or food intolerance and not to skin inflammation. The risks of potential adverse effects such as skin thinning and stunted growth/development are often exaggerated. Multiple websites promoting misinformation were frequently endorsed by companies advertising consultations or testing to identify 'underlying causes', or 'natural' products as alternative treatments, including 'herbal' remedies, which can contain significant quantities of corticosteroids or other potent ingredients. The dermatology community should be vigilant of the type of TCS-related misinformation online and be active in attempts to counteract it with evidence-based advice.</t>
  </si>
  <si>
    <t>[Finnegan, Paula; Murphy, Michelle; O'Connor, Cathal] South Infirm Victoria Univ Hosp, Dept Dermatol, Old Blackrock Rd, Ballintemple T12 X23H, Cork, Ireland; [Murphy, Michelle; O'Connor, Cathal] Univ Coll Cork, Dept Med, Cork, Ireland</t>
  </si>
  <si>
    <t>O'Connor, C (corresponding author), South Infirm Victoria Univ Hosp, Dept Dermatol, Old Blackrock Rd, Ballintemple T12 X23H, Cork, Ireland.</t>
  </si>
  <si>
    <t>O'Connor, Cathal/0000-0001-7084-5293; Murphy, Michelle/0000-0003-2431-076X</t>
  </si>
  <si>
    <t>FEB 2</t>
  </si>
  <si>
    <t>10.1093/ced/llac019</t>
  </si>
  <si>
    <t>A3EE1</t>
  </si>
  <si>
    <t>WOS:000953989300008</t>
  </si>
  <si>
    <t>Kruglova, LA</t>
  </si>
  <si>
    <t>Kruglova, Lyudmila A.</t>
  </si>
  <si>
    <t>Audiovisual media consumption of the digital generation: The trend towards deep listening in the pandemic</t>
  </si>
  <si>
    <t>VESTNIK TOMSKOGO GOSUDARSTVENNOGO UNIVERSITETA FILOLOGIYA-TOMSK STATE UNIVERSITY JOURNAL OF PHILOLOGY</t>
  </si>
  <si>
    <t>media consumption; podcasts; YouTube; Generation Z; media transformation</t>
  </si>
  <si>
    <t>The article presents the results of a study of the consumption of audiovisual content on the Internet, in particular vodcasts in the Russian-speaking part of YouTube, by representatives of the Russian digital generation. Today, YouTube controls almost a third of the internet traffic in the world. More than 65% of viewers say they experience YouTube content as real life. For two COVID-19 years, we have seen a continued increase in interest in podcasting in Russia. YouTube media bloggers started making podcasts, but not just audio podcasts, but so-called vodcasts, that is, video bloggers audiovisually broadcast the process of recording a podcast on YouTube. There are several possible reasons for this trend: Joe Rogan's impressive popularity, the desire to try oneself in a new format, a tribute to fashion, the audience's request for longer and deeper content, etc. Based on the analysis of media preferences of the control group of representatives of the digital tribe, an attempt was made to explore the content strategies of 59 Russian-language vodcasts on the site of the Russian-language YouTube, as well as their social media. The material of the study allows determining one of the vectors for the development of digital audiovisual content for deep and long listening during the pandemic. Comparative analysis was carried out on 23 audience, content, economic and other indicators. Based on the results of the study, it is possible to single out the audience's request for long pseudo-deep content, as opposed to super-short audiovisual forms (TikTok, Reels on Instagram, Watch on Facebook, etc.). In vodcasting, most bloggers only take the fashionable name podcast, just some associative idea of the form, for their shows and interviews, thus trying to create an atmosphere of a confidential, unhurried, intimate and deep conversation, which is mainly inherent in radio or auditory communication methods.</t>
  </si>
  <si>
    <t>[Kruglova, Lyudmila A.] Lomonosov Moscow State Univ, Moscow, Russia</t>
  </si>
  <si>
    <t>Lomonosov Moscow State University</t>
  </si>
  <si>
    <t>Kruglova, LA (corresponding author), Lomonosov Moscow State Univ, Moscow, Russia.</t>
  </si>
  <si>
    <t>abiljo@mail.ru</t>
  </si>
  <si>
    <t>Kruglova, Ludmila/X-2224-2018</t>
  </si>
  <si>
    <t>Kruglova, Ludmila/0000-0001-5022-4772</t>
  </si>
  <si>
    <t>1998-6645</t>
  </si>
  <si>
    <t>2310-5046</t>
  </si>
  <si>
    <t>VESTN TOMSK U-FILOL</t>
  </si>
  <si>
    <t>Vestn. Tomsk. Gos. Univ. Filol.</t>
  </si>
  <si>
    <t>10.17223/19986645/77/12</t>
  </si>
  <si>
    <t>5C0TK</t>
  </si>
  <si>
    <t>WOS:000863980400012</t>
  </si>
  <si>
    <t>Zhang, YW; Han, HH; Lv, J; Chu, LF</t>
  </si>
  <si>
    <t>Zhang, Yongwen; Han, Huanhuan; Lv, Jie; Chu, Lanfang</t>
  </si>
  <si>
    <t>Association of mobile phone usage time with incidence of diabetic retinopathy in type 2 diabetes: a prospective cohort study</t>
  </si>
  <si>
    <t>ENDOCRINE JOURNAL</t>
  </si>
  <si>
    <t>Mobile phone usage time; Type 2 diabetes; Diabetic retinopathy; Physical activity; Sedentary behavior</t>
  </si>
  <si>
    <t>RISK; DIAGNOSIS; PREVALENCE; EXERCISE; MELLITUS; AGE</t>
  </si>
  <si>
    <t>We prospectively analyzed the association between mobile phone usage time and the incidence of diabetic retinopathy (DR) in type 2 diabetes (T2D) among participants.We included a total of 4,371 patients with T2D among the participants. Mobile phone usage time was quantified at baseline by summing up the hours spent on mobile phone use. The types of mobile phone usage time in our study include game time, TikTok time, WeChat time, watching movies or reading time, and online shopping time. We categorized patients into four groups according to different mobile phone usage time: =1.5 h/day (n = 1,101), 1.6-3.5 h/day (n = 1,098), 3.6-7.5 h/day (n = 1,095), and &gt;7.6 h/day (n = 1,077). Fundus photography was performed every year from January 2012 to January 2020. During a follow-up of 8 years, 1,119 were affected by DR, resulting in an overall incidence of 25.6%. The incidences of mild nonproliferative DR (NPDR), moderate NPDR, severe NPDR, and proliferative DR (PDR) were 10.1%, 5.1%, 5.1%, and 5.2%, respectively. In comparisons with participants in the lowest category (=1.5 h/day), the hazard ratios (HRs) of DR were 1.19 (95% confidence interval [CI] 1.07, 1.31, p = 0.040) for 1.6-3.5 h/day, 1.60 (95% CI 1.40, 1.81, p &lt; 0.001) for 3.6-7.5 h/day, and 1.85 (95% CI 1.61, 2.09, p &lt; 0.001) for &gt;7.6 h/day, respectively. Our results provide the general population with a feasible and practical alternative for the reduction of mobile phone use behavior time and new measures to prevent the occurrence of DR.</t>
  </si>
  <si>
    <t>[Zhang, Yongwen; Han, Huanhuan] Nanjing Univ Chinese Med, Nanjing Integrated Tradit Chinese &amp; Western Med Ho, Dept Endocrinol, Nanjing 210014, Peoples R China; [Lv, Jie] Nanjing Univ Chinese Med, Nanjing Integrated Tradit Chinese &amp; Western Med Ho, Dept Ophthalmol, Nanjing 210014, Peoples R China; [Chu, Lanfang] Gen Hosp Eastern Theater Command, Dept Integrated Tradit Chinese &amp; Western Med, PLA, Nanjing 210012, Peoples R China; [Zhang, Yongwen] Nanjing Univ Chinese Med, Nanjing Integrated Tradit Chinese &amp; Western Med Ho, Dept Endocrinol, 179 Xiaolingwei, Nanjing 210014, Peoples R China</t>
  </si>
  <si>
    <t>Nanjing University of Chinese Medicine; Nanjing University of Chinese Medicine; Nanjing University of Chinese Medicine</t>
  </si>
  <si>
    <t>Zhang, YW (corresponding author), Nanjing Univ Chinese Med, Nanjing Integrated Tradit Chinese &amp; Western Med Ho, Dept Endocrinol, 179 Xiaolingwei, Nanjing 210014, Peoples R China.</t>
  </si>
  <si>
    <t>651543010@qq.com</t>
  </si>
  <si>
    <t>JAPAN ENDOCRINE SOC</t>
  </si>
  <si>
    <t>KYOTO</t>
  </si>
  <si>
    <t>75 YANAGINOBANBA NISHIIRU-MASUYA-CHO, SANJOU-DORI, NAKAGYOU-KU, KYOTO, 604-8111, JAPAN</t>
  </si>
  <si>
    <t>0918-8959</t>
  </si>
  <si>
    <t>1348-4540</t>
  </si>
  <si>
    <t>ENDOCR J</t>
  </si>
  <si>
    <t>Endocr. J.</t>
  </si>
  <si>
    <t>10.1507/endocrj.EJ22-0431</t>
  </si>
  <si>
    <t>C2UE4</t>
  </si>
  <si>
    <t>WOS:000918356100001</t>
  </si>
  <si>
    <t>Rutherford, BN; Lim, CCW; Johnson, B; Cheng, B; Chung, J; Huang, S; Sun, TZ; Leung, J; Chan, GCK</t>
  </si>
  <si>
    <t>Rutherford, Brienna N.; Lim, Carmen C. W.; Johnson, Benjamin; Cheng, Brandon; Chung, Jack; Huang, Sandy; Sun, Tianze; Leung, Janni; Chan, Gary C. K.</t>
  </si>
  <si>
    <t>#TurntTrending: a systematic review of substance use portrayals on social media platforms</t>
  </si>
  <si>
    <t>alcohol; cannabis; e-cigarettes; opiates; polysubstance; social media; substance use; tobacco</t>
  </si>
  <si>
    <t>ELECTRONIC CIGARETTES; SMOKELESS TOBACCO; ALCOHOL-USE; YOUTUBE; TWITTER; VIDEOS; MARIJUANA; SMOKING; TWEETS; HOOKAH</t>
  </si>
  <si>
    <t>Aims There is a growing body of literature exploring the types of substance-related content and their portrayals on various social media platforms. We aimed to summarize how content related to substances is portrayed on various social media platforms. Methods This systematic review was pre-registered on PROSPERO (ref: CRD42021291853). A comprehensive search was conducted in the databases of PubMed, Scopus, PsycINFO and Web of Science in April 2021. Original qualitative studies published post-2004 that included thematic and sentiment analyses of social media content on tobacco, alcohol, psychostimulant, e-cigarette, cannabis, opiate, stimulant/amphetamine, inhalant and novel psychoactive substance were included. Social media platforms were defined as online web- or application-based platforms that allowed users to generate content and interact via 'liking', comment or messaging features. Only studies that included summative and/or thematic content analyses of substance-related social media content were included. Results A total of 73 studies, which covered 15 905 182 substance-related posts on Twitter, YouTube, Instagram, Pinterest, TikTok and Weibo, were identified. A total of 76.3% of all substance-related content was positive in its depiction of substance use, with 20.2% of content depicting use negatively. Sentiment regarding opiate use however was commonly negative (55.5%). Most studies identified themes relating to Health, Safety and Harms (65.0%) of substance use. Themes relating to Promotions/Advertisements (63.3%), Informative content (55.0%) and Use behaviours (43.3%) were also frequently identified. Conclusions Substance-related content that promotes engagement with substance use or actively depicts use appears to be widely available on social media. The large public presence of this content may have concerning influences on attitudes, behaviours and risk perceptions relating to substance use, particularly among the most vulnerable and heaviest users of social media-adolescents and young adults.</t>
  </si>
  <si>
    <t>[Rutherford, Brienna N.; Lim, Carmen C. W.; Johnson, Benjamin; Cheng, Brandon; Chung, Jack; Sun, Tianze; Leung, Janni; Chan, Gary C. K.] Univ Queensland, Natl Ctr Youth Subst Use Res, St Lucia, Qld 4072, Australia; [Rutherford, Brienna N.; Lim, Carmen C. W.; Johnson, Benjamin; Cheng, Brandon; Chung, Jack; Sun, Tianze] Univ Queensland, Sch Psychol, St Lucia, Qld, Australia; [Huang, Sandy] Univ Queensland, Sch Med, St Lucia, Qld, Australia</t>
  </si>
  <si>
    <t>University of Queensland; University of Queensland; University of Queensland</t>
  </si>
  <si>
    <t>Cheng, Brandon/KFQ-0408-2024; Sun, Tianze/LFS-0433-2024; Lim, Carmen/O-7634-2016; Chan, Gary/B-7220-2015; Leung, Janni/H-1003-2012; Stjepanovic, Daniel/B-3658-2009</t>
  </si>
  <si>
    <t>Chan, Gary/0000-0002-7569-1948; Cheng, Hsu-Chen/0000-0002-4429-371X; Johnson, Benjamin/0000-0003-2831-0150; Leung, Janni/0000-0001-5816-2959; Rutherford, Brienna/0000-0002-6034-6527; Stjepanovic, Daniel/0000-0003-4307-423X; Sun, Tianze/0000-0002-3939-9499; Lim, Carmen/0000-0003-1595-6307; Chung, Jack/0000-0003-3142-3316</t>
  </si>
  <si>
    <t>University of Queensland (UQ) Graduate School Scholarship; National Centre for Youth Substance Use Research (NCYSUR) Top-Up Scholarship; NHMRC Investigator Fellowship; UQ development fellowship; Commonwealth funding from the Australian Government Department of Health</t>
  </si>
  <si>
    <t>University of Queensland (UQ) Graduate School Scholarship; National Centre for Youth Substance Use Research (NCYSUR) Top-Up Scholarship; NHMRC Investigator Fellowship(National Health &amp; Medical Research Council (NHMRC) of Australia); UQ development fellowship; Commonwealth funding from the Australian Government Department of Health</t>
  </si>
  <si>
    <t>B.N.R., C.C.W.L., B.C., J.C. and T.S. are supported by The University of Queensland (UQ) Graduate School Scholarship. C.C.W.L. and T.S. are also supported by a National Centre for Youth Substance Use Research (NCYSUR) Top-Up Scholarship. G.C.K.C. is supported by an NHMRC Investigator Fellowship. J.L. is supported by a UQ development fellowship. NCYSUR is supported by Commonwealth funding from the Australian Government Department of Health provided under the Drug and Alcohol Program.</t>
  </si>
  <si>
    <t>0965-2140</t>
  </si>
  <si>
    <t>1360-0443</t>
  </si>
  <si>
    <t>Addiction</t>
  </si>
  <si>
    <t>10.1111/add.16020</t>
  </si>
  <si>
    <t>7M2RU</t>
  </si>
  <si>
    <t>WOS:000851240200001</t>
  </si>
  <si>
    <t>Drummond, N; Miller, A; Kramer, M; Zielinski, R</t>
  </si>
  <si>
    <t>Drummond, Nora; Miller, Alexa; Kramer, Melia; Zielinski, Ruth</t>
  </si>
  <si>
    <t>Social Media and Nutritional Guidelines in Pregnancy</t>
  </si>
  <si>
    <t>JOURNAL OF MIDWIFERY &amp; WOMENS HEALTH</t>
  </si>
  <si>
    <t>dietary guidelines; nutrition; pregnancy; social media</t>
  </si>
  <si>
    <t>ANANAS-COMOSUS</t>
  </si>
  <si>
    <t>IntroductionNutrition impacts health outcomes of pregnant people and their fetuses. Discussing nutrition with patients may be challenging for health care providers. In this vacuum, patients use social media for health information during pregnancy. Little is known about the type and quality of nutrition information that is available on social media. The aim of this study was to qualitatively explore the pregnancy nutrition messages contained in social media videos for content and evaluate the information's concordance with evidence-based guidelines.MethodsA review of current social media video content for nutrition in pregnancy was conducted across 4 platforms: YouTube, Instagram, Facebook, and TikTok. Content analysis was used to descriptively and categorically analyze the social media video content.ResultsIn the 62 social media videos reviewed, most were not consistent with established guidelines, were inaccurate, or presented a homogenous and unrealistic image of the pregnant person. Four categories of nutrition in pregnancy social media information emerged: what to eat, what not to eat, what I ate: aspirational, and what I ate: rebellion. Few videos were produced by health care organizations. Some were produced by anonymous organizations, with the majority made by pregnant or postpartum people. Many were testimonial or confessional in style. Despite regulations requiring identification of paid posts and advertisements, it was difficult to discern if videos were authentic sharing of patient experiences or advertisements.DiscussionThere is incorrect and incomplete information on social media surrounding nutrition in pregnancy. Professional guidelines for nutrition in pregnancy are available but are not as accessible to patients as social media videos. Social media use is associated with disordered eating and increased risk of anxiety and depression. However, targeted interventions by health care providers that use social media platforms have been successful in the distribution of credible health information. Midwives and other health care providers should share evidence-based nutrition recommendation with patients to facilitate meaningful conversations around nutrition in pregnancy during in person and online interactions.</t>
  </si>
  <si>
    <t>[Drummond, Nora; Miller, Alexa; Kramer, Melia; Zielinski, Ruth] Univ Michigan, Sch Nursing, Ann Arbor, MI 48109 USA</t>
  </si>
  <si>
    <t>Drummond, N (corresponding author), Univ Michigan, Sch Nursing, Ann Arbor, MI 48109 USA.</t>
  </si>
  <si>
    <t>noradrum@umich.edu</t>
  </si>
  <si>
    <t>Zielinski, Ruth/0000-0002-5119-9123</t>
  </si>
  <si>
    <t>1526-9523</t>
  </si>
  <si>
    <t>1542-2011</t>
  </si>
  <si>
    <t>J MIDWIFERY WOM HEAL</t>
  </si>
  <si>
    <t>J. Midwifery Women Health</t>
  </si>
  <si>
    <t>10.1111/jmwh.13645</t>
  </si>
  <si>
    <t>TC7B2</t>
  </si>
  <si>
    <t>WOS:001226952800001</t>
  </si>
  <si>
    <t>Feng, TT</t>
  </si>
  <si>
    <t>Feng, Tingting</t>
  </si>
  <si>
    <t>The impact of cloud technology and the MatLab app on the academic performance and cognitive load of further mathematics students</t>
  </si>
  <si>
    <t>Academic performance; Cloud technology; Further mathematics; MATLAB; Nanoeducation; Self-regulatory learning; TikTok</t>
  </si>
  <si>
    <t>The globalization of educational processes has intensified the introduction of interactive learning forms. Education systems around the world have undergone transformation, modernization, and innovation. These processes also implied the implementation of advanced technological tools to improve the quality of teaching various subjects, including further mathematics. Remote nano-learning is one of the current technologies that have the potential to turn the presentation of material into a self-regulating individual process. Therefore, the purpose of the study is to determine the impact of nano-learning technology such as cloud and MatLab app on the academic performance and cognitive load of further mathematics students. Cloud and MatLab apps are the new technologies designed to improve the teaching of and learning of Further Mathematics. The main study method was testing, and 100 students. The students additionally studied mathematics in the field of electronics and automation. The Pearson correlation coefficient (0.88, 0.85, 0.76), Shapiro-Wilk test (0.94), and t-test were utilized for statistical processing. The results showed that the experimental group performed significantly better than the control group. According to the result, there was a significant difference between the test results of the two groups, indicating the effectiveness of the experiment. No significant differences were found in the cognitive load of the two groups. The limiting factors of the study were the short study time, sample size, different learning styles, and individual characteristics of students. Based on the evidence presented, it is possible to develop and implement effective teaching methods that contribute to academic progress in further mathematics. This study can help university teachers explain to understand complex mathematical problems to their students and use cloud technology and MATLAB software to solve and reduce the complexity of tasks.</t>
  </si>
  <si>
    <t>[Feng, Tingting] Qiongtai Normal Univ, Coll Sci, Haikou, Peoples R China</t>
  </si>
  <si>
    <t>Qiongtai Normal University</t>
  </si>
  <si>
    <t>Feng, TT (corresponding author), Qiongtai Normal Univ, Coll Sci, Haikou, Peoples R China.</t>
  </si>
  <si>
    <t>passionting@163.com</t>
  </si>
  <si>
    <t>Feng, Tingting/JMP-9700-2023</t>
  </si>
  <si>
    <t>2023 DEC 18</t>
  </si>
  <si>
    <t>10.1007/s10639-023-12386-0</t>
  </si>
  <si>
    <t>CN8M3</t>
  </si>
  <si>
    <t>WOS:001126019600001</t>
  </si>
  <si>
    <t>Reuter, K; Leyderman, M; Billinson, EP; Wallace, JF; Moran, M; Milam, J</t>
  </si>
  <si>
    <t>Reuter, Katja; Leyderman, Michael; Billinson, Eric P.; Wallace, Josh F.; Moran, Meghan; Milam, Joel</t>
  </si>
  <si>
    <t>Associations Between Characteristics of Adolescent and Young Adult Cancer Survivors and Their Use of Different Social Media Platforms: An Observational Study of Social Media Accounts</t>
  </si>
  <si>
    <t>JOURNAL OF ADOLESCENT AND YOUNG ADULT ONCOLOGY</t>
  </si>
  <si>
    <t>social media; adolescents; young adults; AYA; cancer; cancer survivor</t>
  </si>
  <si>
    <t>HEALTH; LIFE; CARE; PATTERNS; NEEDS</t>
  </si>
  <si>
    <t>Background: The growing number of adolescent and young adult (AYA) cancer survivors and their unmet needs demand innovative communication and care strategies. This study uses social media data to examine how survivors' demographic and clinical characteristics relate to their social media use. Methods: Data from 300 AYA cancer survivors on six social media sites (YouTube, Instagram, Facebook, TikTok, Reddit, X/formerly Twitter) were collected between August 2022 and March 2023 and analyzed using descriptive statistics and statistical tests (chi-square, Fisher's exact, Welch, Games-Howell post-hoc, logistic regression). Results: Significant differences were observed across platforms for mean current age (p &lt; 0.001) and age at diagnosis (p &lt; 0.001). We also found significant associations between social media type used and current age, age at diagnosis, years since diagnosis, and the timing of social media account creation. AYAs who created their social media account post-diagnosis were less likely to use YouTube (p = 0.003) and more likely to use Facebook (p = 0.009). Treatment completion was associated with increased use of platform X (p = 0.004). Non-White individuals in our sample were less likely to use Facebook (p = 0.008). Significant associations were found between observed sex and platform usage (p &lt; 0.001), with males more likely to use Reddit (p &lt; 0.001) and X (p &lt; 0.001). Conclusions: Significant associations were found between demographic and clinical attributes of AYA cancer survivors and the type of social media they used, suggesting that AYA-specific social media-based interventions should be tailored to subgroup characteristics (e.g., social media type, developmental stage based on age at diagnosis and current age, sex).</t>
  </si>
  <si>
    <t>[Reuter, Katja; Leyderman, Michael; Billinson, Eric P.] SUNY Upstate Med Univ, Dept Med, New York, NY 13210 USA; [Wallace, Josh F.] SUNY Upstate Med Univ, Dept Publ Hlth &amp; Prevent Med, Syracuse, NY USA; [Moran, Meghan] Johns Hopkins Bloomberg Sch Publ Hlth, Dept Hlth Behav &amp; Soc, Baltimore, MD USA; [Milam, Joel] Univ Calif Irvine, Susan &amp; Henry Samueli Coll Hlth Sci, Dept Epidemiol &amp; Biostat, Irvine, CA USA</t>
  </si>
  <si>
    <t>State University of New York (SUNY) System; State University of New York (SUNY) Upstate Medical Center; State University of New York (SUNY) System; State University of New York (SUNY) Upstate Medical Center; Johns Hopkins University; Johns Hopkins Bloomberg School of Public Health; University of California System; University of California Irvine</t>
  </si>
  <si>
    <t>Reuter, K (corresponding author), SUNY Upstate Med Univ, Dept Med, New York, NY 13210 USA.</t>
  </si>
  <si>
    <t>reuterk@upstate.edu</t>
  </si>
  <si>
    <t>2156-5333</t>
  </si>
  <si>
    <t>2156-535X</t>
  </si>
  <si>
    <t>J ADOLESC YOUNG ADUL</t>
  </si>
  <si>
    <t>J. Adolesc. Young Adult Oncol.</t>
  </si>
  <si>
    <t>10.1089/jayao.2023.0159</t>
  </si>
  <si>
    <t>J6G2H</t>
  </si>
  <si>
    <t>WOS:001338022100001</t>
  </si>
  <si>
    <t>Wen, X; Xian, T; Liao, CC; Huang, ZY</t>
  </si>
  <si>
    <t>Wen, Xin; Xian, Teli; Liao, Chengcheng; Huang, Ziyao</t>
  </si>
  <si>
    <t>Is Beauty the Key to Market Entry? Evaluating Influencer Beauty Through Computer Vision and Multimodal Machine Learning</t>
  </si>
  <si>
    <t>JOURNAL OF BUSINESS-TO-BUSINESS MARKETING</t>
  </si>
  <si>
    <t>Influencer beauty; livestreaming commerce; computer vision; multimodal machine learning; field experiment</t>
  </si>
  <si>
    <t>PHYSICAL ATTRACTIVENESS; TRUST; TRUSTWORTHINESS; PREMIUM; IMPRESSIONS; BEHAVIOR; EMOTION; SEARCH; TASTE; FACE</t>
  </si>
  <si>
    <t>PurposeLivestreaming commerce is becoming increasingly frequent, and this rapid development has benefited from ever-increasing numbers of influencers joining businesses. Given this context, the purpose of this study is to examine the nonlinear effect of influencers' beauty on viewer purchases.MethodologyBased on the unstructured data of 2,597 livestreaming clips from TikTok, we first leverage a computer vision-based API interface, Face++, to calculate influencer beauty. Economic models are used to investigate this relationship. Second, the Sobel test is used to test the mediating effects of LSTM-based influencer trustworthiness. Finally, two moderators, product category and influencer type, are verified to clarify the boundary conditions.FindingsFirst, there is an inverted U-shaped relation between influencer beauty and sales rate. Second, influencer trustworthiness mediates the impact of influencer beauty on sales rate. Finally, we find that compared with newcomer influencer selling experience products, veteran influencer beauty has a greater impact on sales when selling search products.ImplicationsFirst, to the best of our knowledge, this is one of the few empirical studies evaluating influencer beauty through video data. More broadly, our research contributes to the rich influencer marketing literature by taking advantage of the abundant visual information provided by the new business context of livestreaming. The second is the new method of computer vision and multimodal machine learning. The combination of these new methods provides a scalable toolkit for unstructured data mining for academia and a realistic reference for livestreaming commerce for industry. The third contribution is content validity. We depend on hard archival data, which reflect changes in influencer beauty and viewers' purchases in real time. This study extends the external validity of past studies and has greater reference value for real livestreaming businesses.</t>
  </si>
  <si>
    <t>[Wen, Xin; Xian, Teli; Liao, Chengcheng; Huang, Ziyao] Sichuan Univ, Sch Business, 24,Sect 1,South 1,1 Ring Rd, Chengdu, Sichuan, Peoples R China</t>
  </si>
  <si>
    <t>Huang, ZY (corresponding author), Sichuan Univ, Sch Business, 24,Sect 1,South 1,1 Ring Rd, Chengdu, Sichuan, Peoples R China.</t>
  </si>
  <si>
    <t>China Postdoctoral Science Foundation [2024M752286, 2023M732416]; The 2023 Sichuan University Innovation Research Project From 0 to 1 [2023CX35]; National Natural Science Foundation of China [72302168, 71925003]</t>
  </si>
  <si>
    <t>China Postdoctoral Science Foundation(China Postdoctoral Science Foundation); The 2023 Sichuan University Innovation Research Project From 0 to 1; National Natural Science Foundation of China(National Natural Science Foundation of China (NSFC))</t>
  </si>
  <si>
    <t>This work was supported by China Postdoctoral Science Foundation [Grant No. 2024M752286]; 2023 Sichuan University Innovation Research Project From 0 to 1 [Grant numbers 2023CX35]; National Natural Science Foundation of China [Grant No. 72302168] and [Grant No. 71925003]; the China Postdoctoral Science Foundation [Grant No. 2023M732416].</t>
  </si>
  <si>
    <t>1051-712X</t>
  </si>
  <si>
    <t>1547-0628</t>
  </si>
  <si>
    <t>J BUS-BUS MARK</t>
  </si>
  <si>
    <t>J. Bus.-Bus. Mark.</t>
  </si>
  <si>
    <t>10.1080/1051712X.2024.2399156</t>
  </si>
  <si>
    <t>G1O8C</t>
  </si>
  <si>
    <t>WOS:001314408500001</t>
  </si>
  <si>
    <t>Di Gennaro, F; Segala, FV; Guido, G; Poliseno, M; De Santis, L; Belati, A; Santoro, CR; Bottalico, IF; Pellegrino, C; Novara, R; Frallonardo, L; Cormio, M; Camporeale, M; Cotugno, S; Giliberti, V; Di Gregorio, S; Totaro, V; Catucci, N; De Giosa, A; Giusto, R; Lanera, IV; Angarano, G; Lo Caputo, S; Saracino, A</t>
  </si>
  <si>
    <t>Di Gennaro, Francesco; Segala, Francesco Vladimiro; Guido, Giacomo; Poliseno, Mariacristina; De Santis, Laura; Belati, Alessandra; Santoro, Carmen Rita; Bottalico, Irene Francesca; Pellegrino, Carmen; Novara, Roberta; Frallonardo, Luisa; Cormio, Mariangela; Camporeale, Michele; Cotugno, Sergio; Giliberti, Vincenzo; Di Gregorio, Stefano; Totaro, Valentina; Catucci, Nicola; De Giosa, Anna; Giusto, Roberta; Lanera, Ilaria Viviana; Angarano, Gioacchino; Lo Caputo, Sergio; Saracino, Annalisa</t>
  </si>
  <si>
    <t>Knowledge, attitudes, and practices about HIV and other sexually transmitted infections among High School students in Southern Italy: A cross-sectional survey</t>
  </si>
  <si>
    <t>ADOLESCENTS; BEHAVIOR</t>
  </si>
  <si>
    <t>High School students, recognized as a high-risk group for sexually transmitted infections (STIs), were the focal point of an educational campaign in Southern Italy to share information and good practices about STIs and HIV/AIDS. A baseline survey comprising 76 items was conducted via the REDCap platform to assess students' initial knowledge, attitudes, and practices (KAP) related to STIs and HIV/AIDS. Sociodemographic variables were also investigated. The association between variables and KAP score was assessed by Kruskal-Wallis' or Spearman's test, as appropriate. An ordinal regression model was built to estimate the effect size, reported as odds ratio (OR) with a 95% confidence interval (CI), for achieving higher KAP scores among students features. On a scale of 0 to 29, 1702 participants achieved a median KAP score of 14 points. Higher scores were predominantly reported by students from classical High Schools (OR 3.19, 95% C.I. 1.60-6.33, p&lt;0.001). Additionally, elevated scores were associated with sexually active students (OR 1.48, 95% C.I. 1.12-1.96, p = 0.01), those vaccinated against Human Papilloma Virus (OR 2.47, 95% C.I. 1.89-3.24, p&lt;0.001), those who had used emergency contraception (OR 1.56, 95% C.I. 1.09-2.24, p = 0.02, Table 2) and those obtaining information from TikTok (OR 1.62, 95% C.I. 1.14-2.30, p = 0.01). Conversely, being heterosexual was associated with an overall lower score (OR 0.48, 95% C.I. 0.32-0.73, p&lt;0.001). High School students, often due to early sexual debut, seek information about HIV and STIs independently using social channels. However, the overall level of knowledge, attitudes, and practices remains low. Urgent school-based interventions are needed for this age group.</t>
  </si>
  <si>
    <t>[Di Gennaro, Francesco; Segala, Francesco Vladimiro; Guido, Giacomo; Poliseno, Mariacristina; De Santis, Laura; Belati, Alessandra; Santoro, Carmen Rita; Pellegrino, Carmen; Novara, Roberta; Frallonardo, Luisa; Cormio, Mariangela; Camporeale, Michele; Cotugno, Sergio; Giliberti, Vincenzo; Di Gregorio, Stefano; Totaro, Valentina; Saracino, Annalisa] Univ Bari Aldo Moro, Dept Precis &amp; Regenerat Med, Clin Infect Dis, Bari, Italy; [Di Gennaro, Francesco; Segala, Francesco Vladimiro; Guido, Giacomo; Poliseno, Mariacristina; De Santis, Laura; Belati, Alessandra; Santoro, Carmen Rita; Pellegrino, Carmen; Novara, Roberta; Frallonardo, Luisa; Cormio, Mariangela; Camporeale, Michele; Cotugno, Sergio; Giliberti, Vincenzo; Saracino, Annalisa] Univ Bari Aldo Moro, Ionian Area DiMePRe J, Bari, Italy; [Bottalico, Irene Francesca; Lo Caputo, Sergio] Univ Foggia, Dept Med &amp; Surg Sci, Infect Dis Unit, Foggia, Italy; [Catucci, Nicola; De Giosa, Anna; Giusto, Roberta; Lanera, Ilaria Viviana] Assoc CAMA LILA Bari, Bari, Italy; [Angarano, Gioacchino] ANLAIDS Puglia Onlus, Bari, Italy</t>
  </si>
  <si>
    <t>Universita degli Studi di Bari Aldo Moro; Universita degli Studi di Bari Aldo Moro; University of Foggia</t>
  </si>
  <si>
    <t>Poliseno, M (corresponding author), Univ Bari Aldo Moro, Dept Precis &amp; Regenerat Med, Clin Infect Dis, Bari, Italy.;Poliseno, M (corresponding author), Univ Bari Aldo Moro, Ionian Area DiMePRe J, Bari, Italy.</t>
  </si>
  <si>
    <t>polisenomc@gmail.com</t>
  </si>
  <si>
    <t>Poliseno, Mariacristina/HDN-8717-2022; Fanelli, Francesca/O-1734-2015; Raffaelli, Francesca/GLV-4184-2022; Guido, Giacomo/KYQ-4009-2024</t>
  </si>
  <si>
    <t>Poliseno, Mariacristina/0000-0002-9896-489X; Di Gennaro, Francesco/0000-0003-3453-5647</t>
  </si>
  <si>
    <t>APR 19</t>
  </si>
  <si>
    <t>e0301297</t>
  </si>
  <si>
    <t>10.1371/journal.pone.0301297</t>
  </si>
  <si>
    <t>OK6O1</t>
  </si>
  <si>
    <t>WOS:001207205100006</t>
  </si>
  <si>
    <t>Assoumou, SA; Bonilla, HV; Vautour, L; White, C; Newcomb, AR; Kibbe, D; Goldie, J; Merrill, A; Monahan, M; Linas, BP; Drainoni, ML; Pierre, CM; Graham, R</t>
  </si>
  <si>
    <t>Assoumou, Sabrina A.; Bonilla, Haley V.; Vautour, Lillian; White, Caitlin; Newcomb, Amanda Read; Kibbe, David; Goldie, John; Merrill, Alison; Monahan, Melissa; Linas, Benjamin P.; Drainoni, Mari-Lynn; Pierre, Cassandra M.; Graham, Robert</t>
  </si>
  <si>
    <t>Boston Medical Center's Communications Campaign to Build Confidence in Covid-19 Vaccines</t>
  </si>
  <si>
    <t>NEJM CATALYST INNOVATIONS IN CARE DELIVERY</t>
  </si>
  <si>
    <t>Health systems play an important role in efforts to build vaccine confidence in communities that have been hardest hit by diseases such as Covid-19. Boston Medical Center (BMC), New England's largest safety-net hospital, along with its community partners implemented a Covid Response Program aimed at building vaccine confidence. The program was supported by a multifaceted and multilingual communications campaign including (1) traditional and social media channels with trusted messengers, (2) consistent and accessible core messaging, (3) transparent dialogue, and (4) partnership with state and local health government officials. Between December 2020 and June 2022, BMC disseminated 650 social media posts, leading to 12 million impressions and more than 1.8 million post engagements. The campaign included a TikTok video later featured during the U.S. presidential inauguration, resulting in more than 3.7 million views. BMC's HealthCity digital publication released 20 articles that gained more than 73,000 views, and the frequently asked questions/vaccine scheduling site, translated into seven languages, reached 844,000 page visits. At 6 months into the vaccination program, 70% of patients 18 years and older in BMC primary care had received at least one shot, and 60% were fully vaccinated, having received either two messenger ribonucleic acid doses or one adenovirus vaccine. The proportions rose to 82% with one dose and 75% fully vaccinated at 12 months. By 24 months into the program, 83% of patients in BMC primary care had received at least one shot, and 77% were fully vaccinated; however, notable differences existed by race or ethnicity. Seventy-six percent of Black patients and 75% of Latine patients were fully vaccinated compared with 85% of Asian patients and 81% white patients. Key lessons learned include the importance of a multilingual, multimedia campaign and the need for bidirectional communication that could quickly shift to address evolving issues.</t>
  </si>
  <si>
    <t>[Assoumou, Sabrina A.] Boston Univ, Chobanian &amp; Avedisian Sch Med, Dept Med, Sect Infect Dis,Boston Med Ctr, Boston, MA 02215 USA; [Bonilla, Haley V.] Boston Med Ctr, Sect Infect Dis, Boston, MA USA; [Vautour, Lillian] Boston Med Ctr Hlth Syst, Mkt, Boston, MA USA; [White, Caitlin] Boston Med Ctr Hlth Syst, Boston, MA USA; [Newcomb, Amanda Read] Boston Med Ctr, Digital Mkt Analyt Mkt &amp; Commun, Boston, MA USA; [Kibbe, David] Boston Med Ctr, External Commun, Boston, MA USA; [Goldie, John] Boston Med Ctr, Syst Analyt, Boston, MA USA; [Merrill, Alison] Boston Med Ctr Hlth Syst, Internal Commun Mkt &amp; Commun, Boston, MA USA; [Monahan, Melissa] Boston Med Ctr Hlth Syst, Boston, MA USA; [Linas, Benjamin P.] Boston Univ, Chobanian &amp; Avedisian Sch Med, Med, Boston, MA USA; [Linas, Benjamin P.] Boston Univ, Sch Publ Hlth, Epidemiol, Boston, MA USA; [Drainoni, Mari-Lynn] Boston Univ, Chobanian &amp; Avedisian Sch Med, Dept Med, Sect Infect Dis, Boston, MA USA; [Drainoni, Mari-Lynn] Boston Univ, Sch Publ Hlth, Dept Hlth Law Policy &amp; Management, Boston, MA USA; [Drainoni, Mari-Lynn] Boston Univ, Evans Ctr Implementat &amp; Improvement Sci, Chobanian &amp; Avedisian Sch Med, Dept Med, Boston, MA USA; [Pierre, Cassandra M.] Boston Med Ctr, Publ Hlth Programs, Boston, MA USA; [Graham, Robert] Boston Med Ctr Hlth Syst, Mkt &amp; Commun, Boston, MA USA</t>
  </si>
  <si>
    <t>Boston Medical Center; Boston University; Boston Medical Center; Boston Medical Center; Boston Medical Center; Boston Medical Center; Boston University; Boston University; Boston University; Boston University; Boston University; Boston Medical Center</t>
  </si>
  <si>
    <t>Assoumou, SA (corresponding author), Boston Univ, Chobanian &amp; Avedisian Sch Med, Dept Med, Sect Infect Dis,Boston Med Ctr, Boston, MA 02215 USA.</t>
  </si>
  <si>
    <t>Assoumou, Sabrina/0000-0002-5169-620X</t>
  </si>
  <si>
    <t>National Institute of Drug Abuse [K23DA044085]; Avedisian School of Medicine (Department of Medicine Evans Career Investment and Evans Junior Faculty Merit Award); National Heart, Lung, and Blood Institute [OT2 HL161615-01]</t>
  </si>
  <si>
    <t>National Institute of Drug Abuse(United States Department of Health &amp; Human ServicesNational Institutes of Health (NIH) - USANIH National Institute on Drug Abuse (NIDA)); Avedisian School of Medicine (Department of Medicine Evans Career Investment and Evans Junior Faculty Merit Award); National Heart, Lung, and Blood Institute(United States Department of Health &amp; Human ServicesNational Institutes of Health (NIH) - USANIH National Heart Lung &amp; Blood Institute (NHLBI))</t>
  </si>
  <si>
    <t>We thank community partners for their contribution to vaccination efforts. This work was supported by the National Institute of Drug Abuse (grant K23DA044085 to S.A.A.), Boston University Chobanian &amp; Avedisian School of Medicine (Department of Medicine Evans Career Investment and Evans Junior Faculty Merit Award to S.A.A.), and the National Heart, Lung, and Blood Institute (grant OT2 HL161615-01 to B.P.L.). The content is solely the responsibility of the authors and does not necessarily represent the official views of the National Institutes of Health.</t>
  </si>
  <si>
    <t>MASSACHUSETTS MEDICAL SOC</t>
  </si>
  <si>
    <t>WALTHAM</t>
  </si>
  <si>
    <t>WALTHAM WOODS CENTER, 860 WINTER ST,, WALTHAM, MA 02451-1413 USA</t>
  </si>
  <si>
    <t>2642-0007</t>
  </si>
  <si>
    <t>NEJM CATAL INNOV CAR</t>
  </si>
  <si>
    <t>NEJM Catal. Innov. Care Deliv.</t>
  </si>
  <si>
    <t>CAT230322</t>
  </si>
  <si>
    <t>10.1056/CAT.23.0322</t>
  </si>
  <si>
    <t>M0F6S</t>
  </si>
  <si>
    <t>WOS:001354392800006</t>
  </si>
  <si>
    <t>Ferraz, D; Rabel, EJ; Franzoni, A; Carral, MD</t>
  </si>
  <si>
    <t>Ferraz, Dulce; Rabel, Eileen J.; Franzoni, Amandine; Carral, Maria Del Rio</t>
  </si>
  <si>
    <t>Young Women's Experiences of Health and Well-Being in a Postfeminist Social Media Culture: The MeStories Study Protocol</t>
  </si>
  <si>
    <t>critical health psychology; young women; social media; narrative identities; social practices; postfeminism</t>
  </si>
  <si>
    <t>BODY-IMAGE; FITSPIRATION IMAGERY; SELF; LIFE; MOOD; DISSATISFACTION; SITES</t>
  </si>
  <si>
    <t>Introduction: To date, there is much controversy in the literature on the impacts of social media use on young women's health and wellbeing. Alongside the massive popularity of platforms like Instagram and TikTok, the social media culture has become a key mediator of social discourses on health, femininities, bodies, and identities. In contemporary Western societies, the individual pursuit of health is highly valued, related to contemporary forms of governance that emphasize self-regulation, individual responsibility, and individual choice. Furthermore, postfeminist discourses strongly encourage women to engage in constant work on their body, health, and identity. In this context, it is imperative to understand how the contemporary social media culture relates to young women's health, body, and sense of self. Aims: The overall aim of this study is to understand the role of a new social media culture on narrative constructions of a sense of self among young women in late adolescence, aged 18-20 years old, and, particularly the ways in which such narrative identities relate to experiences and practices involving health and wellbeing. Methods: In this 3-year research we adopt a social constructionist approach in critical health psychology focused on socio-culturally situated practices and meanings involved in the construction of human experience. We adopt a qualitative research approach - consisting of in-depth interviews, focus groups and photo elicitation techniques - with people self-identifying as women. Data analysis will employ both narrative and reflexive thematic analysis. Ethics and dissemination: The study protocol was approved by the Ethics Committee of the University of Lausanne. Findings will be published in scientific journals, presented at meetings, and will serve for public health and educational purposes. Content in form of flyers and posts will be designed to communicate findings to participants via current social media platforms.</t>
  </si>
  <si>
    <t>[Ferraz, Dulce; Rabel, Eileen J.; Franzoni, Amandine; Carral, Maria Del Rio] Univ Lausanne, Fac Social &amp; Polit Sci, PHASE Psychol Hlth Aging &amp; Sport Examinat, Lausanne, Switzerland; [Ferraz, Dulce] Univ Lumiere Lyon 2 Lyon, UMR1296, Radiat, Def,Sante,Environm, Lyon, France; [Ferraz, Dulce] Fundacao Oswaldo Cruz, FIOCRUZ Brasilia, Escola FIOCRUZ Governo, Brasilia, DF, Brazil</t>
  </si>
  <si>
    <t>University of Lausanne; Fundacao Oswaldo Cruz</t>
  </si>
  <si>
    <t>Ferraz, D (corresponding author), Univ Lausanne, Fac Social &amp; Polit Sci, UNIL Geopolis Quartier Mouline, PHASE Psychol Hlth Aging &amp; Sport Examinat, CH-1015 Lausanne, Switzerland.</t>
  </si>
  <si>
    <t>dulce.ferraz@unil.ch</t>
  </si>
  <si>
    <t>Rabel, Eileen Jasmina/0000-0003-3646-8345; del Rio Carral, Maria/0000-0002-1676-3964; de Souza Ferraz, Dulce Aurelia/0000-0002-0443-3183; Franzoni, Amandine/0000-0002-3567-4318</t>
  </si>
  <si>
    <t>Fond National Suisse (FNS) (Schweizerischer Nationalfonds zur Forderung der Wissenschaftlichen Forschung) [10001F_201142/1]</t>
  </si>
  <si>
    <t>Fond National Suisse (FNS) (Schweizerischer Nationalfonds zur Forderung der Wissenschaftlichen Forschung)</t>
  </si>
  <si>
    <t>The author(s) disclosed receipt of the following financial support for the research, authorship, and/or publication of this article: This work is supported by the Fond National Suisse (FNS) (Schweizerischer Nationalfonds zur Forderung der Wissenschaftlichen Forschung), grant number 10001F_201142/1.</t>
  </si>
  <si>
    <t>10.1177/16094069221114489</t>
  </si>
  <si>
    <t>4D0FL</t>
  </si>
  <si>
    <t>WOS:000846817200001</t>
  </si>
  <si>
    <t>Rahman, E; Carruthers, JDA; Rao, P; Rahman, Z; Esfahlani, SS; Webb, WR</t>
  </si>
  <si>
    <t>Rahman, Eqram; Carruthers, Jean D. A.; Rao, Parinitha; Rahman, Zakia; Esfahlani, Shabnam Sadeghi; Webb, William Richard</t>
  </si>
  <si>
    <t>From Posts to Perceptions: Sentiment and Psychological Analysis of Aesthetic Enhancements on Social Media</t>
  </si>
  <si>
    <t>Aesthetic medicine; Sentiment analysis; Social media; Psychological impact; Artificial intelligence (AI), machine learning; Public perception</t>
  </si>
  <si>
    <t>BODY-IMAGE CONCERNS; PLASTIC-SURGERY; MEDICINE; IMPACT</t>
  </si>
  <si>
    <t>IntroductionSocial media platforms significantly influence public perception and individual behaviour, particularly regarding aesthetic enhancements. Instagram, TikTok, Douyin, Kuaishou, X, Sina Weibo, and VK showcase content related to various aesthetic procedures, shaping societal norms around beauty and self-image. Despite the prevalence of this content, understanding its psychological impact and societal attitudes remains underexplore.MethodsWe analysed over 14.9 million social media posts related to aesthetic enhancements from seven platforms, collected between January 2019 and January 2024. Data collection utilized platform-specific APIs and web scraping, focusing on relevant keywords and hashtags. Posts were cleaned, normalized, and translated. Sentiment analysis used VADER and machine learning models (logistic regression, SVM, random forest, and BERT). Psychological factors were identified using latent Dirichlet allocation (LDA) and Bayesian modelling.ResultsInitial VADER analysis categorized sentiments as 45% positive, 30% neutral, and 25% negative, with an 85% accuracy. The BERT-based model improved accuracy to 92%. Positive sentiments peaked during Summer, neutral sentiments were highest in April, and negative sentiments remained stable. Psychological analysis revealed a strong positive correlation between self-esteem and positive sentiments, while societal pressure was negatively correlated. Younger users and females exhibited significant variations in sentiment and psychological factors.ConclusionThis study provides a comprehensive analysis of aesthetic enhancement discourse on social media, revealing seasonal and demographic sentiment variations and profound psychological impacts. These insights are crucial for practitioners in the aesthetic industry and mental health professionals to tailor strategies and support mechanisms. The study emphasizes the need for responsible messaging and realistic beauty representations to mitigate negative psychological effects.Level of Evidence IVThis journal requires that authors assign a level of evidence to each article. For a full description of these Evidence-Based Medicine ratings, please refer to the Table of Contents or the online Instructions to Authors www.springer.com/00266.</t>
  </si>
  <si>
    <t>[Rahman, Eqram; Webb, William Richard] Innovat Aesthet, Res &amp; Innovat Hub, London WC2H9JQ, England; [Carruthers, Jean D. A.] Univ British Columbia, Dept Ophthalmol, Vancouver, BC, Canada; [Carruthers, Jean D. A.] Carruthers Cosmet, Vancouver, BC, Canada; [Rao, Parinitha] Aesthet Dermatol Practice, Skin Address, Bengaluru, India; [Rahman, Zakia] Stanford Univ, Stanford Dermatol, Sch Med, Redwood City, CA USA; [Esfahlani, Shabnam Sadeghi] Anglia Ruskin Univ, Med Technol Res Ctr MTRC, Sch Engn &amp; Built Environm, Chelmsford, England</t>
  </si>
  <si>
    <t>University of British Columbia; Stanford University; Anglia Ruskin University</t>
  </si>
  <si>
    <t>Rahman, E (corresponding author), Innovat Aesthet, Res &amp; Innovat Hub, London WC2H9JQ, England.</t>
  </si>
  <si>
    <t>Eqram.rahman@gmail.com</t>
  </si>
  <si>
    <t>Rahman, Eqram/0000-0002-8443-8338</t>
  </si>
  <si>
    <t>2024 OCT 28</t>
  </si>
  <si>
    <t>10.1007/s00266-024-04455-7</t>
  </si>
  <si>
    <t>K7E9R</t>
  </si>
  <si>
    <t>WOS:001345482100001</t>
  </si>
  <si>
    <t>Frey, J; Black, KJ; Malaty, IA</t>
  </si>
  <si>
    <t>Frey, Jessica; Black, Kevin J.; Malaty, Irene A.</t>
  </si>
  <si>
    <t>TikTok Tourette's: Are We Witnessing a Rise in Functional Tic-Like Behavior Driven by Adolescent Social Media Use?</t>
  </si>
  <si>
    <t>PSYCHOLOGY RESEARCH AND BEHAVIOR MANAGEMENT</t>
  </si>
  <si>
    <t>functional tics; social media; functional tic-like behavior; COVID-19 pandemic; Tourette syndrome</t>
  </si>
  <si>
    <t>PSEUDO-TICS; YOUTH; COPROLALIA; PERCEPTION; DISORDERS; KNOWLEDGE</t>
  </si>
  <si>
    <t>Perceptions of Tourette syndrome (TS) and tic disorders are often driven by social media. During the COVID-19 pandemic, social media consumption greatly increased, particularly in the adolescent population. In parallel with increased social media consumption, there has also been an increase in tic severity and functional tic-like behavior (FTLB). Given that many of the tic videos posted on social media are misleading, perpetuate false beliefs about TS, or reinforce tic-like behaviors, there is increasing concern that these videos are driving the rapid increase in FTLBs. Several studies have reviewed newly presenting cases of FTLB and have found shared characteristics, including that a higher proportion of affected individuals are female, there is a low proportion with a history of childhood or family tics, and symptom onset is typically acute and develops in the teenage years. In addition, the quality of the tics seen in association with FTLB mirrors many of the tics seen on popular social media channels, with higher rates of coprophenomena, tic attacks, and involvement of the trunk and extremities than is seen with typical tics. FTLBs are likely a specific subgroup of functional tics largely influenced by the portrayal of and growing popularity of functional tics posted on social media during the COVID-19 pandemic. However, several factors, including increased anxiety, social isolation, and social media use in general during the pandemic are likely also contributing factors to the surge of FTLBs seen recently. In this era of increased social media consumption, it will become increasingly important for clinicians to educate patients about where and how medical information is spread, to ensure the best possible diagnosis, treatment, and outcomes for patients.</t>
  </si>
  <si>
    <t>[Frey, Jessica] West Virginia Univ, Dept Neurol, Rockefeller Neurosci Inst, 1 Med Ctr Dr, Morgantown, WV 26505 USA; [Black, Kevin J.] Washington Univ, Dept Psychiat, St Louis, MO 63110 USA; [Black, Kevin J.] Washington Univ, Dept Neurol, St Louis, MO 63110 USA; [Black, Kevin J.] Washington Univ, Dept Radiol, St Louis, MO 63110 USA; [Black, Kevin J.] Washington Univ, Dept Neurosci, St Louis, MO 63110 USA; [Malaty, Irene A.] Univ Florida, Dept Neurol, Fixel Inst Neurol Dis, Gainesville, FL USA</t>
  </si>
  <si>
    <t>West Virginia University; Washington University (WUSTL); Washington University (WUSTL); Washington University (WUSTL); Washington University (WUSTL); State University System of Florida; University of Florida</t>
  </si>
  <si>
    <t>Frey, J (corresponding author), West Virginia Univ, Dept Neurol, Rockefeller Neurosci Inst, 1 Med Ctr Dr, Morgantown, WV 26505 USA.</t>
  </si>
  <si>
    <t>jess.el.frey@gmail.com</t>
  </si>
  <si>
    <t>Malaty, Irene/AAE-2553-2020; Black, Kevin/B-8272-2008</t>
  </si>
  <si>
    <t>Black, Kevin/0000-0002-6921-9567</t>
  </si>
  <si>
    <t>Teva/Nuvelution</t>
  </si>
  <si>
    <t>Teva/Nuvelution(Teva Pharmaceutical Industries)</t>
  </si>
  <si>
    <t>Dr Jessica Frey reports grants from the Tourette Association of America, outside the submitted work. Dr Kevin J Black reports personal fees from SK Life Science, Inc., Medscape, Mededicus, and Huntington Study Group; grants from Emalex Biosciences, outside the submitted work; and he is also an invited member of a working group on functional ticlike behavior convened by the Tourette Association of America. Dr Irene A Malaty participated in research funded by Teva/Nuvelution, outside the submitted work; and she serves on the medical advisory board of the Tourette Association of America (uncompensated). The authors report no other conflicts of interest in this work.</t>
  </si>
  <si>
    <t>1179-1578</t>
  </si>
  <si>
    <t>PSYCHOL RES BEHAV MA</t>
  </si>
  <si>
    <t>Psychol. Res. Behav. Manag.</t>
  </si>
  <si>
    <t>10.2147/PRBM.S359977</t>
  </si>
  <si>
    <t>8Z9ZI</t>
  </si>
  <si>
    <t>WOS:000933727100001</t>
  </si>
  <si>
    <t>Hasanatuludhhiyah, N; Purba, AKR; d'Arqom, A; Wibowo, IN; Visuddho, V; Mustika, A</t>
  </si>
  <si>
    <t>Hasanatuludhhiyah, Nurina; Purba, Abdul Khairul Rizki; d'Arqom, Annette; Wibowo, Idznika Nurannisa; Visuddho, Visuddho; Mustika, Arifa</t>
  </si>
  <si>
    <t>Digital Health Literacy Related to COVID-19 and Social Media Use among High School Students</t>
  </si>
  <si>
    <t>JOURNAL OF HEALTH LITERACY</t>
  </si>
  <si>
    <t>Background and Objectives: The COVID-19 pandemic raises a concern about the urgent issue of low levels of digital health literacy (DHL). Adequate DHL may mitigate the negative impacts of proliferating misinformation. This study as digital health information sources among high school students in East Java, Indonesia. The differences in DHL levels across sociodemographic factors, medical history, and social media preferences were also analyzed. Materials and Methods: This was a cross-sectional study, conducted in 2021, and enrolled high school students aged 15-18. The subjects were selected for convenience, with a minimum sample size of 384. An online questionnaire was shared through a survey platform. The sociodemographic variables and medical history were collected. The DHL measuring items were adapted from the validated DHL instrument developed in the COVID-19 context. Data were analyzed with SPSS 17.0. Results: We collected 432 responses. More than half of respondents (56.5%) have adequate DHL. Although 81.7 percent of respondents reported that searching for online information was easy, only 53.5 percent reported ease in appraising the reliability aspect. Fathers' education varied by DHL. Students whose fathers hold post-graduate degrees showed a significantly higher level of DHL than those of lower educational backgrounds. Students experiencing COVID-19 infection of their own or close relatives showed higher total DHL and information search scores. Instagram and TikTok were the most frequently chosen social media as digital health information sources, but no significant difference in DHL across the preference for social media. Conclusion: Even though the information can be obtained easily, there are still difficulties in evaluating its reliability. Considering the proportion of respondents with inadequate DHL, stakeholders in the health and education sectors need to develop DHL-promoting strategies for adolescents. Improvement in evaluating reliability should be the target of focus. Paper Type: Research Article Keywords: COVID-19, digital health literacy, health education, health information, adolescence</t>
  </si>
  <si>
    <t>[Hasanatuludhhiyah, Nurina] Univ Airlangga, Fac Med, Doctoral Program Med Sci, Surabaya, Indonesia; [Hasanatuludhhiyah, Nurina; Purba, Abdul Khairul Rizki; d'Arqom, Annette; Mustika, Arifa] Univ Airlangga, Fac Med, Dept Anat Histol &amp; Pharmacol, Surabaya, Indonesia; [Wibowo, Idznika Nurannisa; Visuddho, Visuddho] Univ Airlangga, Fac Med, Med Program, Surabaya, Indonesia</t>
  </si>
  <si>
    <t>Airlangga University; Airlangga University; Airlangga University</t>
  </si>
  <si>
    <t>Mustika, A (corresponding author), Univ Airlangga, Fac Med, Dept Anat Histol &amp; Pharmacol, Surabaya, Indonesia.</t>
  </si>
  <si>
    <t>arifa-m@fk.unair.ac.id</t>
  </si>
  <si>
    <t>Mustika, Arifa/KIY-7453-2024; Purba, Abdul/AAP-3507-2020; Hasanatuludhhiyah, Nurina/AAJ-8626-2021</t>
  </si>
  <si>
    <t>mustika, arifa/0000-0001-6461-5782</t>
  </si>
  <si>
    <t>Funding: This study was funded by RKAT Faculty of Medicine, Universitas Airlangga (No 388/UN3/2021) .</t>
  </si>
  <si>
    <t>Mashhad Univ Med Sciences-Iranian Assoc Health Educ &amp; Health Promotion</t>
  </si>
  <si>
    <t>TEHRAN</t>
  </si>
  <si>
    <t>RM 215-ALLAMEH TABATABAI UNIV-KARIM KHAN ZAND ST, TEHRAN, IRAN</t>
  </si>
  <si>
    <t>2476-4728</t>
  </si>
  <si>
    <t>J HEALTH LIT</t>
  </si>
  <si>
    <t>J. Health Lit.</t>
  </si>
  <si>
    <t>10.22038/jhl.2023.74713.1472</t>
  </si>
  <si>
    <t>E6E3D</t>
  </si>
  <si>
    <t>WOS:001303911400001</t>
  </si>
  <si>
    <t>Sun, YD; Shan, YJ; Xie, JQ; Chen, K; Hu, J</t>
  </si>
  <si>
    <t>Sun, Yadong; Shan, Yanjie; Xie, Jiaqiong; Chen, Ke; Hu, Jia</t>
  </si>
  <si>
    <t>The Relationship Between Social Media Information Sharing Characteristics and Problem Behaviors Among Chinese College Students Under Recommendation Algorithms</t>
  </si>
  <si>
    <t>user-generated content; recommendation algorithms; latent profile analysis; internalizing problem behaviors; externalizing problem behaviors</t>
  </si>
  <si>
    <t>Purpose: With the development of information technology and various social media, recommendation algorithms have increasingly more influence on users' social media usage. To date, there has been limited research focused on analyzing the impact of recommendation algorithms on social media use and their corresponding role in the development of problematic behaviors. The present study analyzes the impact of recommendation algorithms on college students' information sharing and internalizing, externalizing problem behaviors to address the aforementioned shortcomings. Methods: An online questionnaire survey was conducted among 34,752 college students in China. A latent profile analysis was conducted to explore the various behavioral patterns of Chinese college students' information sharing across the three social media platforms identified for this study. The Bolck-Croon-Hagenaars (BCH) method Regression Mixture Modeling was then used to analyze the differences in internalizing and externalizing problem behaviors among the different subgroups of Chinese college students. Results: The level of information sharing by college students across different social media platforms could be divided into WeChat Moments low-frequency information sharing, middle-frequency comprehensive information sharing, TikTok high-frequency information sharing, and Sina Weibo high-frequency information sharing. Significant differences were observed regarding internalizing and externalizing problem behaviors among college students in different information-sharing subgroups. Conclusion: This study identified four subgroups with different information-sharing characteristics using latent profile analysis. Among them, college students who are in subgroup of social media information sharing influenced by recommendation algorithms exhibit higher frequency of information sharing and higher level of internalizing and externalizing problematic behaviors. These results expand our understanding of college students' social media usage and problem behaviors from a technological perspective. In future, the negative impacts of recommendation algorithms on college students can be reduced by improving their awareness of these algorithms and optimizing the algorithms themselves.</t>
  </si>
  <si>
    <t>[Sun, Yadong; Shan, Yanjie; Xie, Jiaqiong; Chen, Ke] Chongqing Univ, Fac Social Sci, Chongqing, Peoples R China; [Hu, Jia] Chongqing Univ, Inst Adv Studies Humanities &amp; Social Sci, Chongqing, Peoples R China</t>
  </si>
  <si>
    <t>Chongqing University; Chongqing University</t>
  </si>
  <si>
    <t>Chen, K; Hu, J (corresponding author), Chongqing Univ, Shapingba 400044, Chongqing, Peoples R China.</t>
  </si>
  <si>
    <t>chenke197729@163.com; hujia827@cqu.edu.cn</t>
  </si>
  <si>
    <t>Xie, jiaqiong/GVR-9279-2022</t>
  </si>
  <si>
    <t>College Ideological and Political Work Cultivation Project of the Ministry of Education [ISZS2021-2]; Chinese Academy of Engineering Consulting [2023-CQ-XZ-07]; Project of the China Association of Higher Education [2020FDD07]; Project of Chongqing Municipal Programs for Social Science [2021ZTZD10]; Project of the Chongqing Municipal Committee of Science and Technology [cstc202ljsyj-zzysbAX0076]; Chongqing graduate teaching reform project [yjg242003]; Projects of the Chongqing Municipal Education Commission of China [19SKZDZX13, 19SKSZ001]; Fundamental Research Funds for the Central Universities [2022CDJSKZX07, 2018CDJSK01XK04]</t>
  </si>
  <si>
    <t>College Ideological and Political Work Cultivation Project of the Ministry of Education; Chinese Academy of Engineering Consulting; Project of the China Association of Higher Education; Project of Chongqing Municipal Programs for Social Science; Project of the Chongqing Municipal Committee of Science and Technology; Chongqing graduate teaching reform project; Projects of the Chongqing Municipal Education Commission of China; Fundamental Research Funds for the Central Universities(Fundamental Research Funds for the Central Universities)</t>
  </si>
  <si>
    <t>This work was supported by the College Ideological and Political Work Cultivation Project of the Ministry of Education (ISZS2021-2) , Chinese Academy of Engineering Consulting research project (2023-CQ-XZ-07) , Project of the China Association of Higher Education (2020FDD07) , Project of Chongqing Municipal Programs for Social Science (2021ZTZD10) , Project of the Chongqing Municipal Committee of Science and Technology (cstc202ljsyj-zzysbAX0076) , Chongqing graduate teaching reform project (yjg242003) , Projects of the Chongqing Municipal Education Commission of China (19SKZDZX13 and 19SKSZ001) , and Fundamental Research Funds for the Central Universities (2022CDJSKZX07 and 2018CDJSK01XK04) .</t>
  </si>
  <si>
    <t>10.2147/PRBM.S466398</t>
  </si>
  <si>
    <t>ZM2H6</t>
  </si>
  <si>
    <t>WOS:001275645800001</t>
  </si>
  <si>
    <t>Kim, YW; Byun, YC; Han, DS; Dominic, D; Cyriac, S</t>
  </si>
  <si>
    <t>Kim, Yong-Woon; Byun, Yung-Cheol; Han, Dong Seog; Dominic, Dalia; Cyriac, Sibu</t>
  </si>
  <si>
    <t>High-Movement Human Segmentation in Video Using Adaptive N-Frames Ensemble</t>
  </si>
  <si>
    <t>CMC-COMPUTERS MATERIALS &amp; CONTINUA</t>
  </si>
  <si>
    <t>High movement; human segmentation; artificial intelligence; deep learning; ensemble; video instance segmentation</t>
  </si>
  <si>
    <t>SEMANTIC SEGMENTATION; IMAGE; NETWORK</t>
  </si>
  <si>
    <t>Awide range of camera apps and online video conferencing services support the feature of changing the background in real-time for aesthetic, privacy, and security reasons. Numerous studies show that the Deep-Learning (DL) is a suitable option for human segmentation, and the ensemble of multiple DL-based segmentation models can improve the segmentation result. However, these approaches are not as effective when directly applied to the image segmentation in a video. This paper proposes an Adaptive N-Frames Ensemble (AFE) approach for high-movement human segmentation in a video using an ensemble of multiple DL models. In contrast to an ensemble, which executes multiple DL models simultaneously for every single video frame, the proposed AFE approach executes only a single DL model upon a current video frame. It combines the segmentation outputs of previous frames for the final segmentation output when the frame difference is less than a particular threshold. Our method employs the idea of the N-Frames Ensemble (NFE) method, which uses the ensemble of the image segmentation of a current video frame and previous video frames. However, NFE is not suitable for the segmentation of fast-moving objects in a video nor a video with low frame rates. The proposed AFE approach addresses the limitations of the NFE method. Our experiment uses three human segmentation models, namely Fully Convolutional Network (FCN), DeepLabv3, and Mediapipe. We evaluated our approach using 1711 videos of the TikTok50f dataset with a single-person view. The TikTok50f dataset is a reconstructed version of the publicly available TikTok dataset by cropping, resizing and dividing it into videos having 50 frames each. This paper compares the proposed AFE with single models and the Two-Models Ensemble, as well as the NFE models. The experiment results show that the proposed AFE is suitable for low-movement as well as high-movement human segmentation in a video.</t>
  </si>
  <si>
    <t>[Kim, Yong-Woon; Dominic, Dalia; Cyriac, Sibu] CHRIST Deemed Univ, Ctr Digital Innovat, Bangalore 560029, Karnataka, India; [Byun, Yung-Cheol] Jeju Natl Univ, Dept Comp Engn, Jeju 63243, South Korea; [Han, Dong Seog] Kyungpook Natl Univ, Sch Elect Engn, Daegu 41566, South Korea</t>
  </si>
  <si>
    <t>Christ University; Jeju National University; Kyungpook National University (KNU)</t>
  </si>
  <si>
    <t>Byun, YC (corresponding author), Jeju Natl Univ, Dept Comp Engn, Jeju 63243, South Korea.</t>
  </si>
  <si>
    <t>ycb@jejunu.ac.kr</t>
  </si>
  <si>
    <t>Kim, Yong Woon/ABA-6890-2021</t>
  </si>
  <si>
    <t>byeon, yeongcheol/0000-0003-1107-9941; Kim, Yong-Woon/0000-0002-4759-0138</t>
  </si>
  <si>
    <t>Ministry of Small and Mediumsized Enterprises (SMEs) and Startups (MSS), Korea, under the Regional Specialized Industry Development Program (RD) [S3091627]</t>
  </si>
  <si>
    <t>Ministry of Small and Mediumsized Enterprises (SMEs) and Startups (MSS), Korea, under the Regional Specialized Industry Development Program (RD)</t>
  </si>
  <si>
    <t>This research was financially supported by the Ministry of Small and Mediumsized Enterprises (SMEs) and Startups (MSS), Korea, under the Regional Specialized Industry Development Program (R&amp;D, S3091627) supervised by the Korea Institute for Advancement of Technology (KIAT).</t>
  </si>
  <si>
    <t>1546-2218</t>
  </si>
  <si>
    <t>1546-2226</t>
  </si>
  <si>
    <t>CMC-COMPUT MATER CON</t>
  </si>
  <si>
    <t>CMC-Comput. Mat. Contin.</t>
  </si>
  <si>
    <t>10.32604/cmc.2022.028632</t>
  </si>
  <si>
    <t>Computer Science, Information Systems; Materials Science, Multidisciplinary</t>
  </si>
  <si>
    <t>Computer Science; Materials Science</t>
  </si>
  <si>
    <t>5D1QI</t>
  </si>
  <si>
    <t>WOS:000864724700018</t>
  </si>
  <si>
    <t>Huang, L; Dong, XL; Yuan, H; Wang, LH</t>
  </si>
  <si>
    <t>Huang, Lu; Dong, Xiuli; Yuan, Hang; Wang, Lihua</t>
  </si>
  <si>
    <t>Enabling and Inhibiting Factors of the Continuous Use of Mobile Short Video APP: Satisfaction and Fatigue as Mediating Variables Respectively</t>
  </si>
  <si>
    <t>short video APP; continuous use intention; satisfaction and fatigue; enablers; inhibitors; ECM-ISC model</t>
  </si>
  <si>
    <t>EXPECTATION-CONFIRMATION MODEL; INFORMATION OVERLOAD; TECHNOLOGY OVERLOAD; SOCIAL-INFLUENCE; SELF-REGULATION; USAGE BEHAVIOR; ANTECEDENTS; INTENTION; TECHNOSTRESS; STRESS</t>
  </si>
  <si>
    <t>Purpose: The short video APP has entered the stage of competition for stock, making it crucial to keep users engaged in their APP to promote continuous usage. Previous studies on the continuous use intention of mobile short video APP were relatively limited, with most studies focusing only on promoting factors. Therefore, based on the dual -factor theory of enabling-inhibiting, and drawing on the Information System Continuance Model (ECM-ISC) and Cognitive Load Theory, this study extracted two variables, satisfaction and fatigue, to construct an integrated model to explore their enabling and inhibiting effects on continuous use intention.Methods: This study selected TikTok APP users as the respondents, obtained 681 valid questionnaires and analyzed with structural equation modeling (SEM) using SPSS24.0 and Amos23.0 software. Findings: The study investigated the factors that influence users' continuous use intention of short video APP. It shows that in enabling mechanism, perceived usefulness and social influence will increase user satisfaction and thus promote their continuous use intention, and perceived playfulness has a direct effect on the continuous use intention. In inhibiting mechanism, information overload and communication overload are positively correlated with emotional fatigue, which further reduces the continuous use intention. Contribution/Conclusion: Based on the dual-factor theory of enabling-inhibiting, the study established an integration model to more comprehensively reveal the impact mechanism of short video APP users' continuous use intention. The study found that the fatigue caused by information and communication overload can inhibit users' continuous use intention of short video APP. Therefore, to improve users' continuous use intention, short video APP should not only increase users' satisfaction but also reduce the fatigue caused by overload.</t>
  </si>
  <si>
    <t>[Huang, Lu; Dong, Xiuli; Yuan, Hang; Wang, Lihua] Sichuan Univ, Business Sch, Chengdu, Sichuan, Peoples R China</t>
  </si>
  <si>
    <t>Wang, LH (corresponding author), Sichuan Univ, Business Sch, Chengdu, Sichuan, Peoples R China.</t>
  </si>
  <si>
    <t>2470610738@qq.com</t>
  </si>
  <si>
    <t>Project of National Social Science Foundation of China [20BGL121]</t>
  </si>
  <si>
    <t>Project of National Social Science Foundation of China(National Office of Philosophy and Social Sciences)</t>
  </si>
  <si>
    <t>Funding This work is supported by grants from the Project of National Social Science Foundation of China [20BGL121] .</t>
  </si>
  <si>
    <t>10.2147/PRBM.S411337</t>
  </si>
  <si>
    <t>O8IJ4</t>
  </si>
  <si>
    <t>WOS:001046187200001</t>
  </si>
  <si>
    <t>Gong, N; Jin, XY; Liao, J; Li, YD; Zhang, MF; Cheng, Y; Xu, D</t>
  </si>
  <si>
    <t>Gong, Ni; Jin, Xiaoyuan; Liao, Jing; Li, Yundong; Zhang, Meifen; Cheng, Yu; Xu, Dong</t>
  </si>
  <si>
    <t>Authorized, clear and timely communication of risk to guide public perception and action: lessons of COVID-19 from China</t>
  </si>
  <si>
    <t>COVID-19; Risk communication; Information; Risk perception; Prevent measures; Lessons from China</t>
  </si>
  <si>
    <t>Backgrounds This study examined the dynamic association between risk communication and the public's risk perception and action across the COVID-19 outbreak timeline in China. Methods This study collected publicly available information on COVID-19 released on official channels (e.g., government websites and official media) by the Parehub tool. Also, the study used the Zhongyun Big Data Platform to search public datasets about released COVID-19 information on Chinese social media, such as TikTok and Weibo. An online survey was conducted via WeChat to Chinese citizens using a snowball sampling method. The questionnaire assessed changes in participants' risk perception and action against COVID-19. The data analysis examined information content and release-time trajectories against the public's risk perception and actions over time. Results Altogether, the collected data includes 1477 pieces of authorized information and 297,000 short videos on COVID-19. Of 1362 participants recruited from 33 provinces and municipalities of China, 1311 respondents (25-60 years, 42% male) were valid for future analysis. The study indicated that 85.7% of participants mainly relied on official channels to obtain information. Alongside the outbreak's progress, there was a gradual rise in information quantity, publishing frequency, and content variation. Correspondingly, the public's risk perception that take it seriously rose from 13 to 80%, 87.1% of those who took multiple actions compared to 25.9% initially. Conclusions Our findings indicated that insufficient information freely-accessible at the early stages of the outbreak might lead to the lack of risk awareness and the public's inadequate protective actions. Given the current global situation of COVID-19, the study highlights authorized, transparent, and timely two-way risk communication is vital to guide public perception and actions. Furthermore, our study provides risk communication recommendations and may contribute to developing full measures to address future crises.</t>
  </si>
  <si>
    <t>[Gong, Ni] Jinan Univ, Sch Nursing, Guangzhou, Guangdong, Peoples R China; [Jin, Xiaoyuan] Univ Minnesota, Sch Publ Hlth, St Paul, MN USA; [Liao, Jing] Sun Yat Sen Univ, Sch Publ Hlth, Sun Yat Sen Global Hlth Inst, Dept Med Stat &amp; Epidemiol, 135 Xingang West Rd, Guangzhou 510275, Guangdong, Peoples R China; [Liao, Jing] Sun Yat Sen Univ, Sun Yat Sen Global Hlth Inst, Sch Publ Hlth, Guangzhou, Guangdong, Peoples R China; [Liao, Jing] Sun Yat Sen Univ, Inst State Governance, Guangzhou, Guangdong, Peoples R China; [Li, Yundong] Guangdong Acad Social Sci, Guangzhou, Guangdong, Peoples R China; [Zhang, Meifen] Su Yat Sen Univ, Sch Nursing, Guangzhou, Guangdong, Peoples R China; [Cheng, Yu] Sun Yat Sen Univ, Sch Sociol &amp; Anthropol, Guangzhou, Guangdong, Peoples R China; [Xu, Dong] Southern Med Univ, Sch Hlth Management, Global Hlth &amp; Hlth Syst, Guangzhou, Guangdong, Peoples R China</t>
  </si>
  <si>
    <t>Jinan University; University of Minnesota System; University of Minnesota Twin Cities; Sun Yat Sen University; Sun Yat Sen University; Sun Yat Sen University; Sun Yat Sen University; Southern Medical University - China</t>
  </si>
  <si>
    <t>Liao, J (corresponding author), Sun Yat Sen Univ, Sch Publ Hlth, Sun Yat Sen Global Hlth Inst, Dept Med Stat &amp; Epidemiol, 135 Xingang West Rd, Guangzhou 510275, Guangdong, Peoples R China.;Liao, J (corresponding author), Sun Yat Sen Univ, Sun Yat Sen Global Hlth Inst, Sch Publ Hlth, Guangzhou, Guangdong, Peoples R China.;Liao, J (corresponding author), Sun Yat Sen Univ, Inst State Governance, Guangzhou, Guangdong, Peoples R China.</t>
  </si>
  <si>
    <t>liaojing5@mail.sysu.edu.cn</t>
  </si>
  <si>
    <t>Xu, Dong/Z-1502-2019</t>
  </si>
  <si>
    <t>Liao, Jing/0000-0001-6370-3430</t>
  </si>
  <si>
    <t>emergency project of social science research under Yunnan University [B2018219]; Natural Science Foundation of Guangdong Province of China [2018A030310305]; National Natural Science Foundation of China [71804201]; Natural Science Foundation of Guangdong Province [2018A0303130046]</t>
  </si>
  <si>
    <t>emergency project of social science research under Yunnan University; Natural Science Foundation of Guangdong Province of China(National Natural Science Foundation of Guangdong Province); National Natural Science Foundation of China(National Natural Science Foundation of China (NSFC)); Natural Science Foundation of Guangdong Province(National Natural Science Foundation of Guangdong Province)</t>
  </si>
  <si>
    <t>This study was funded by the emergency project of social science research under Yunnan University's first-class discipline of ethnology (B2018219) and the Natural Science Foundation of Guangdong Province of China (#2018A030310305). J.L. is supported by the National Natural Science Foundation of China (71804201) and the Natural Science Foundation of Guangdong Province (#2018A0303130046). Funding body did not give any interventions. All funding programs worked on data collections.</t>
  </si>
  <si>
    <t>AUG 12</t>
  </si>
  <si>
    <t>10.1186/s12889-021-11103-1</t>
  </si>
  <si>
    <t>UA6XA</t>
  </si>
  <si>
    <t>WOS:000685302000002</t>
  </si>
  <si>
    <t>Mohammed, SS; Knowles, LA; Cummings, JA</t>
  </si>
  <si>
    <t>Mohammed, Sarah S.; Knowles, Laura A.; Cummings, Jorden A.</t>
  </si>
  <si>
    <t>In the Eye of the Transcriber: Four Column Analysis Structure for Qualitative Research With Audiovisual Data</t>
  </si>
  <si>
    <t>multimodal analysis; social media; audiovisual data; qualitative coding; transcription</t>
  </si>
  <si>
    <t>For the past thirty years, qualitative psychology researchers have focused on the study of written or spoken word while relegating the study of visual communications to children or those deemed unable to speak (Reavey, 2021, p. 2). Thus, the discipline now pays much attention to the collection and analysis of spoken or written words but significantly less to visual and auditory expressions of experience (Reavey, 2021, p. 3), and most transcription methods for psychology researchers are those designed for interviews that only capture the spoken word. However, these transcription methods have yet to account for the current context of ubiquitous, technologically mediated interactions. People from diverse groups use social media platforms such as YouTube and TikTok to interact using speech, audio and video. While they offer rich data for qualitative psychology researchers, the tools to capture such multimodal expressions are still in early stages of development within the discipline (Marshall et al., 2021). In this article, we present a transcription structure that allows for the recording of both speech and visual elements in audiovisual content. Inspired by methods from communications and visual anthropology, the Four Column Analysis Structure (or, FoCAS) allows for the simultaneous analysis of both audio and visual data by allowing for the transcription of four dimensions: (1) timestamp, (2) setting, (3) scene, and (4) audio. Based on its application in two completed studies and one study in progress, we describe the development of the FoCAS, how to set it up, transcription conventions, and how to analyze qualitative data using all four columns. We additionally discuss sampling considerations and the advantages and disadvantages of the structure. By expanding the amount of meaningful data that can be captured by qualitative transcription, we hope the FoCAS can be used to create more multidimensional, rigorous analyses of audiovisual data.</t>
  </si>
  <si>
    <t>[Mohammed, Sarah S.; Knowles, Laura A.; Cummings, Jorden A.] Univ Saskatchewan, Saskatoon, SK, Canada</t>
  </si>
  <si>
    <t>University of Saskatchewan</t>
  </si>
  <si>
    <t>Mohammed, SS (corresponding author), Univ Saskatchewan, Saskatoon, SK, Canada.</t>
  </si>
  <si>
    <t>sarah.mohammed@usask.ca</t>
  </si>
  <si>
    <t>Mohammed, Sarah/0000-0001-8930-1413</t>
  </si>
  <si>
    <t>10.1177/16094069231197332</t>
  </si>
  <si>
    <t>T0QA5</t>
  </si>
  <si>
    <t>WOS:001075108900001</t>
  </si>
  <si>
    <t>Arillotta, D; Floresta, G; Guirguis, A; Corkery, JM; Catalani, V; Martinotti, G; Sensi, SL; Schifano, F</t>
  </si>
  <si>
    <t>Arillotta, Davide; Floresta, Giuseppe; Guirguis, Amira; Corkery, John Martin; Catalani, Valeria; Martinotti, Giovanni; Sensi, Stefano L.; Schifano, Fabrizio</t>
  </si>
  <si>
    <t>GLP-1 Receptor Agonists and Related Mental Health Issues; Insights from a Range of Social Media Platforms Using a Mixed-Methods Approach</t>
  </si>
  <si>
    <t>BRAIN SCIENCES</t>
  </si>
  <si>
    <t>GLP-1 receptor agonists; semaglutide; mental health; depression; anxiety; sleep disorders; food cravings; social media; netnography</t>
  </si>
  <si>
    <t>CHERRY-PICKING; DEPRESSION; OBESITY; SUICIDE; CHATGPT; FUTURE; ADULTS; RISK</t>
  </si>
  <si>
    <t>The emergence of glucagon-like peptide-1 receptor agonists (GLP-1 RAs; semaglutide and others) now promises effective, non-invasive treatment of obesity for individuals with and without diabetes. Social media platforms' users started promoting semaglutide/Ozempic as a weight-loss treatment, and the associated increase in demand has contributed to an ongoing worldwide shortage of the drug associated with levels of non-prescribed semaglutide intake. Furthermore, recent reports emphasized some GLP-1 RA-associated risks of triggering depression and suicidal thoughts. Consistent with the above, we aimed to assess the possible impact of GLP-1 RAs on mental health as being perceived and discussed in popular open platforms with the help of a mixed-methods approach. Reddit posts yielded 12,136 comments, YouTube videos 14,515, and TikTok videos 17,059, respectively. Out of these posts/entries, most represented matches related to sleep-related issues, including insomnia (n = 620 matches); anxiety (n = 353); depression (n = 204); and mental health issues in general (n = 165). After the initiation of GLP-1 RAs, losing weight was associated with either a marked improvement or, in some cases, a deterioration, in mood; increase/decrease in anxiety/insomnia; and better control of a range of addictive behaviors. The challenges of accessing these medications were a hot topic as well. To the best of our knowledge, this is the first study documenting if and how GLP-1 RAs are perceived as affecting mood, mental health, and behaviors. Establishing a clear cause-and-effect link between metabolic diseases, depression and medications is difficult because of their possible reciprocal relationship, shared underlying mechanisms and individual differences. Further research is needed to better understand the safety profile of these molecules and their putative impact on behavioral and non-behavioral addictions.</t>
  </si>
  <si>
    <t>[Arillotta, Davide] Univ Florence, Sch Clin Pharmacol &amp; Toxicol, I-50121 Florence, Italy; [Arillotta, Davide; Floresta, Giuseppe; Guirguis, Amira; Corkery, John Martin; Catalani, Valeria; Martinotti, Giovanni; Schifano, Fabrizio] Univ Hertfordshire, Sch Life &amp; Med Sci, Drug Misuse &amp; Novel Psychoact Subst Res Unit, Psychopharmacol, Hatfield AL10 9AB, England; [Floresta, Giuseppe] Univ Catania, Dept Drug &amp; Hlth Sci, I-95124 Catania, Italy; [Guirguis, Amira] Swansea Univ Med Sch, Swansea Univ, Fac Med Hlth &amp; Life Sci, Pharm, Swansea SA2 8PP, Wales; [Martinotti, Giovanni; Sensi, Stefano L.] Univ G dAnnunzio, Dept Neurosci Imaging &amp; Clin Sci, I-66100 Chieti, Italy; [Sensi, Stefano L.] Univ G dAnnunzio, Inst Adv Biomed Technol ITAB, Ctr Adv Studies &amp; Technol CAST, Via Vestini 21, I-66100 Chieti, Italy</t>
  </si>
  <si>
    <t>University of Florence; University of Hertfordshire; University of Catania; Swansea University; G d'Annunzio University of Chieti-Pescara; G d'Annunzio University of Chieti-Pescara</t>
  </si>
  <si>
    <t>Schifano, F (corresponding author), Univ Hertfordshire, Sch Life &amp; Med Sci, Drug Misuse &amp; Novel Psychoact Subst Res Unit, Psychopharmacol, Hatfield AL10 9AB, England.</t>
  </si>
  <si>
    <t>davide.arillotta@yahoo.it; giuseppe.floresta@unict.it; amira.guirguis@swansea.ac.uk; j.corkery@herts.ac.uk; v.catalani@herts.ac.uk; giovanni.martinotti@gmail.com; stefano.sensi@unich.it; f.schifano@herts.ac.uk</t>
  </si>
  <si>
    <t>Martinotti, Giovanni/AAC-7592-2022; Sensi, Stefano/J-3164-2016; Floresta, Giuseppe/X-6629-2019</t>
  </si>
  <si>
    <t>Martinotti, Giovanni/0000-0002-7292-2341; Catalani, Valeria/0000-0001-6338-8653; Floresta, Giuseppe/0000-0002-0668-1260; Arillotta, Davide/0000-0002-8843-0595; Corkery, John Martin/0000-0002-3849-817X</t>
  </si>
  <si>
    <t>University of Hertfordshire [GL11101336]</t>
  </si>
  <si>
    <t>University of Hertfordshire</t>
  </si>
  <si>
    <t>The study was carried out with the internal support of the University of Hertfordshire (GL11101336-Centre Clinical and Health Services QR).</t>
  </si>
  <si>
    <t>2076-3425</t>
  </si>
  <si>
    <t>BRAIN SCI</t>
  </si>
  <si>
    <t>Brain Sci.</t>
  </si>
  <si>
    <t>10.3390/brainsci13111503</t>
  </si>
  <si>
    <t>AU1I1</t>
  </si>
  <si>
    <t>WOS:001120871900001</t>
  </si>
  <si>
    <t>Wang, WX; Huang, JY; Chen, C; Gu, JZ; Zhang, JP; Wu, WB; He, PJ; Lyu, M</t>
  </si>
  <si>
    <t>Just, R; Fraser, G</t>
  </si>
  <si>
    <t>Wang, Wenxuan; Huang, Jingyuan; Chen, Chang; Gu, Jiazhen; Zhang, Jianping; Wu, Weibin; He, Pinjia; Lyu, Michael</t>
  </si>
  <si>
    <t>Validating Multimedia Content Moderation Software via Semantic Fusion</t>
  </si>
  <si>
    <t>PROCEEDINGS OF THE 32ND ACM SIGSOFT INTERNATIONAL SYMPOSIUM ON SOFTWARE TESTING AND ANALYSIS, ISSTA 2023</t>
  </si>
  <si>
    <t>32nd ACM SIGSOFT International Symposium on Software Testing and Analysis (ISSTA)</t>
  </si>
  <si>
    <t>Assoc Comp Machinery,ACM SIGSOFT,AITO</t>
  </si>
  <si>
    <t>Software testing; semantic fusion; multimedia content moderation; metamorphic testing</t>
  </si>
  <si>
    <t>The exponential growth of social media platforms, such as Facebook, Instagram, Youtube, and TikTok, has revolutionized communication and content publication in human society. Users on these platforms can publish multimedia content that delivers information via the combination of text, audio, images, and video. Meanwhile, the multimedia content release facility has been increasingly exploited to propagate toxic content, such as hate speech, malicious advertisement, and pornography. To this end, content moderation software has been widely deployed on these platforms to detect and blocks toxic content. However, due to the complexity of content moderation models and the difficulty of understanding information across multiple modalities, existing content moderation software can fail to detect toxic content, which often leads to extremely negative impacts (e.g., harmful effects on teen mental health). We introduce Semantic Fusion, a general, effective methodology for validating multimedia content moderation software. Our key idea is to fuse two or more existing single-modal inputs (e.g., a textual sentence and an image) into a new input that combines the semantics of its ancestors in a novel manner and has toxic nature by construction. This fused input is then used for validating multimedia content moderation software. We realized Semantic Fusion as DUO, a practical content moderation software testing tool. In our evaluation, we employ DUO to test five commercial content moderation software and two state-of-the-art models against three kinds of toxic contents. The results show that DUO achieves up to 100% error finding rate (EFR) when testing moderation software and it obtains up to 94.1% EFR when testing the state-of-the-art models. In addition, we leverage the test cases generated by DUO to retrain the two models we explored, which largely improves model robustness (2.5%similar to 5.7% EFR) while maintaining the accuracy on the original test set.</t>
  </si>
  <si>
    <t>[Wang, Wenxuan; Huang, Jingyuan; Chen, Chang; Gu, Jiazhen; Zhang, Jianping; Lyu, Michael] Chinese Univ Hong Kong, Hong Kong, Peoples R China; [Wu, Weibin] Sun Yat Sen Univ, Zhuhai, Peoples R China; [He, Pinjia] Chinese Univ Hong Kong, Shenzhen, Peoples R China</t>
  </si>
  <si>
    <t>Chinese University of Hong Kong; Sun Yat Sen University; The Chinese University of Hong Kong, Shenzhen</t>
  </si>
  <si>
    <t>He, PJ (corresponding author), Chinese Univ Hong Kong, Shenzhen, Peoples R China.</t>
  </si>
  <si>
    <t>wxwang@cse.cuhk.edu.hk; 1155173905@link.cuhk.edu.hk; ccchen@link.cuhk.edu.hk; jiazhengu@cuhk.edu.hk; jpzhang@cse.cuhk.edu.hk; wuwb36@mail.sysu.edu.cn; hepinjia@cuhk.edu.cn; lyu@cse.cuhk.edu.hk</t>
  </si>
  <si>
    <t>Wang, Wenxuan/AAW-9073-2020; Huang, Jingyuan/KZU-9358-2024; Gu, Jiazhen/KHX-5779-2024</t>
  </si>
  <si>
    <t>Research Grants Council of the Hong Kong Special Administrative Region, China [CUHK 14206921]; National Natural Science Foundation of China [62102340, 62206318]</t>
  </si>
  <si>
    <t>Research Grants Council of the Hong Kong Special Administrative Region, China(Hong Kong Research Grants Council); National Natural Science Foundation of China(National Natural Science Foundation of China (NSFC))</t>
  </si>
  <si>
    <t>The work described in this paper was supported by the Research Grants Council of the Hong Kong Special Administrative Region, China (No. CUHK 14206921 of the General Research Fund) and the National Natural Science Foundation of China (Grant Nos. 62102340 and 62206318)</t>
  </si>
  <si>
    <t>979-8-4007-0221-1</t>
  </si>
  <si>
    <t>10.1145/3597926.3598079</t>
  </si>
  <si>
    <t>BW2OB</t>
  </si>
  <si>
    <t>WOS:001122661400047</t>
  </si>
  <si>
    <t>Kaziaba, V; Burkova, T</t>
  </si>
  <si>
    <t>Kaziaba, Viktoria; Burkova, Tatiana</t>
  </si>
  <si>
    <t>Adolescence - Name - Internet: How Do German-Speaking Girls Name Themselves on the Web?</t>
  </si>
  <si>
    <t>STUDIEN ZUR DEUTSCHEN SPRACHE UND LITERATUR-ALMAN DILI VE EDEBIYATI DERGISI</t>
  </si>
  <si>
    <t>Adolescence; girls; Internet-communication; nickname; self-nomination</t>
  </si>
  <si>
    <t>The authors conducted the present study across onomastics and social-, gender-, Internet,- and psycho-linguistics. The paper analyzes virtual anthroponyms (so-called nicknames or usernames) that are result from self-nominations by German-speaking adolescent girls on the social Internet services Twitter, Facebook, Instagram, YouTube, Flickr, Pinterest, and TikTok. The study material covers four years (2017-2020) and examines 2,363 nicknames, as well as the accompanying personal metadata of 11-17-year-old users along with the results of online and offline interviews with informants. The paper seeks the main goal and hypothesis of t finding a correlation between the gender-age characteristics of adolescent Internet users and their linguistic embodiment in virtual communication in the form of self-nominations. The authors study and describe nicknames based on the positions of their semantic motivation and meaning, nominative potential, structural and grammatical design, and graphic organization. The linguocultural component of virtual self-nominations receives special emphasis. In addition, the authors provide the results of an experiment to determine the stability of nicknames over time. A descriptive linguistic analysis of the data reveals clear trends in the creation of self-nominations by adolescent girls. The authors discovered different specific gender and age markers through the lens of virtual anthroponyms: formation of self-concept against the background of striving for an emphasized individualization and simultaneous need for social acceptance, distinctly feminine manifestations, a tendency to positive or overestimated self-esteem, and increased interest in the pubertal phase. The users are equally inclined to deanonymize and to anonymize their personalities in the web space. However, in both cases, it is particularly important for girls to transfer their original self-nominative intentions to nicknames. The development of cognitive abilities and critical thinking by adolescent girls is manifested in linguistic creativity and involvement in the problematic or cultural context of interest.</t>
  </si>
  <si>
    <t>[Kaziaba, Viktoria] Northern Arctic Fed Univ, Dept Gen &amp; German Linguist, Severodvinsk, Russia; [Burkova, Tatiana] M Akmullah Bashkir State Pedag Univ, Dept Romanogerman Linguist &amp; Foreign Literature, Ufa, Russia</t>
  </si>
  <si>
    <t>Northern Arctic Federal University; Bashkir State Pedagogical University</t>
  </si>
  <si>
    <t>Kaziaba, V (corresponding author), Northern Arctic Fed Univ, Dept Gen &amp; German Linguist, Severodvinsk, Russia.</t>
  </si>
  <si>
    <t>kazaba@yandex.ru</t>
  </si>
  <si>
    <t>Kaziaba, Viktoria/M-3663-2016; Burkova, Tatiana/HKF-8171-2023</t>
  </si>
  <si>
    <t>German Academic Exchange Service (Deutscher Akademischer Austauschdienst); Ministry of Education and Science of the Russian Federation</t>
  </si>
  <si>
    <t>German Academic Exchange Service (Deutscher Akademischer Austauschdienst)(Deutscher Akademischer Austausch Dienst (DAAD)); Ministry of Education and Science of the Russian Federation(Ministry of Education and Science, Russian Federation)</t>
  </si>
  <si>
    <t>German Academic Exchange Service (Deutscher Akademischer Austauschdienst) and Ministry of Education and Science of the Russian Federation.</t>
  </si>
  <si>
    <t>ISTANBUL UNIV, FAC LETTERS</t>
  </si>
  <si>
    <t>DEPT GERMAN LANGUAGE &amp; LITERATURE, ISTANBUL, 34134, TURKEY</t>
  </si>
  <si>
    <t>1303-9407</t>
  </si>
  <si>
    <t>2619-9890</t>
  </si>
  <si>
    <t>STUD DTSCH SPRACHE L</t>
  </si>
  <si>
    <t>Stud. Dtsch. Sprache Lit.</t>
  </si>
  <si>
    <t>10.26650/sdsl2021-1027807</t>
  </si>
  <si>
    <t>2B9AD</t>
  </si>
  <si>
    <t>WOS:000810472100004</t>
  </si>
  <si>
    <t>Yi, SQ; Guo, Y; Lin, ZX; Cao, C</t>
  </si>
  <si>
    <t>Yi, Shiqi; Guo, Yu; Lin, Zixuan; Cao, Cong</t>
  </si>
  <si>
    <t>Is information evaluated subjectively? Social media has changed the way users search for medical information</t>
  </si>
  <si>
    <t>Medical platforms; health information; path transformation; elaboration likelihood model; signal theory</t>
  </si>
  <si>
    <t>SOURCE CREDIBILITY; MODERATING ROLE; TRUST; OVERLOAD; IMPACT; INTENTION; IDENTITY; QUALITY; ACCEPTANCE; ATTACHMENT</t>
  </si>
  <si>
    <t>Objective In recent years, social media platforms, such as TikTok and RedBook, have emerged as important channels through which users access and share medical information. Additionally, an increasing number of healthcare professionals have created social media accounts through which to disseminate medical knowledge. This paper explores why users obtain their medical information from social media and how the signals transmitted by social platforms affect use behaviours.Methods We combined the elaboration likelihood model and signal theories to construct a comprehensive model for this study. We used simple random sampling to investigate users' behaviours related to social media usage. A total of 351 valid questionnaires were completed by people in Mainland China. The participants were enthusiastic about social media platforms and had searched for health-related information on social media in the past three months. We analysed the data using partial least squares structural equation modelling to investigate the influence of two pathways and two signals (objective and subjective judgement pathways and positive and negative signals) on social media use behaviours.Results When seeking medical information on social media, users tend to rely on subjective judgment rather than objective judgment, although both are influential. Furthermore, in the current era, in which marketing methods involving big data algorithms and artificial intelligence prevail, negative signals, such as information overload, have a more pronounced impact than positive signals.Conclusions This study demonstrates that the subjective judgment path has a greater impact on users than the objective judgment path. Platforms are encouraged to focus more on users' emotional needs. The paper also discusses the negative impact of information overload on users, sounding an alarm for enterprises to control their use of homogeneous information resulting from the excessive use of big data algorithms.</t>
  </si>
  <si>
    <t>[Yi, Shiqi; Guo, Yu; Lin, Zixuan; Cao, Cong] Zhejiang Univ Technol, Sch Management, 288 Liuhe Rd, Hangzhou, Zhejiang, Peoples R China</t>
  </si>
  <si>
    <t>Cao, C (corresponding author), Zhejiang Univ Technol, Sch Management, 288 Liuhe Rd, Hangzhou, Zhejiang, Peoples R China.</t>
  </si>
  <si>
    <t>National Social Science Foundation of China [22BGJ037]; Fundamental Research Funds for the Provincial Universities of Zhejiang [GB202301004]; Zhejiang Provincial Federation of Social Sciences [2023N009]; Humanities and Social Sciences Research Project of Zhejiang Provincial Department of Education [Y202248811]; Zhejiang Province University Students Science and Technology Innovation Activity Program</t>
  </si>
  <si>
    <t>National Social Science Foundation of China(National Office of Philosophy and Social Sciences); Fundamental Research Funds for the Provincial Universities of Zhejiang; Zhejiang Provincial Federation of Social Sciences; Humanities and Social Sciences Research Project of Zhejiang Provincial Department of Education; Zhejiang Province University Students Science and Technology Innovation Activity Program</t>
  </si>
  <si>
    <t>This research was supported by the National Social Science Foundation of China, grant number 22BGJ037; the Fundamental Research Funds for the Provincial Universities of Zhejiang, grant number GB202301004; the Zhejiang Provincial Federation of Social Sciences, grant number 2023N009; the Humanities and Social Sciences Research Project of Zhejiang Provincial Department of Education, grant number Y202248811; and the Zhejiang Province University Students Science and Technology Innovation Activity Program, grant number 2023R403013.</t>
  </si>
  <si>
    <t>10.1177/20552076241259039</t>
  </si>
  <si>
    <t>SJ3T8</t>
  </si>
  <si>
    <t>WOS:001234054800001</t>
  </si>
  <si>
    <t>Bolaji, DA</t>
  </si>
  <si>
    <t>Bolaji, Damilola Adetola</t>
  </si>
  <si>
    <t>RETRACTED: Construction and Case Analysis of Sensor News Whole Chain Production Model Based on Artificial Intelligence Technology (Retracted Article)</t>
  </si>
  <si>
    <t>JOURNAL OF SENSORS</t>
  </si>
  <si>
    <t>Article; Retracted Publication</t>
  </si>
  <si>
    <t>In the current era of data explosion, people's media have access to a large amount of information through the Internet. How to generate effective and realistic news and let interested people accept it is a hot topic in the current news media industry. The continuous development of sensor technology and the application of artificial intelligence technology enable the directional push of intelligent sensor news to be realized. Intelligent sensor media uses sensor technology to monitor and collect information and then combines artificial intelligence and big data to process the information. After obtaining effective media information, it will be pushed in a targeted way and tracked for analysis. By analyzing the current situation and difficulties of sensor news, this paper seeks for an effective combination of artificial intelligence technology and sensor news and establishes a whole process directional push model for sensor news production and thermal tracking analysis. This model is pioneering and practical in the media field. In order to further verify the effectiveness of the model, the important application field of sensor news is selected as the simulation research object, and the specific selection and layout of sensors, the data analysis obtained by sensors, the push of environmental news, and the thermal tracking analysis are simulated. The results show that through data analysis, news editing, and targeted push of water pollution environmental news, the news has gained a certain degree of attention among the main design media. The popularity index is estimated based on the number of likes and comments forwarded by the current mainstream Internet media platforms (Toutiao, Tiktok, and Weibo). The environmental pollution news thermal index of the sensor reached the highest thermal index score of 12 on the 26th day after the activity. On the Weibo client, the message reached the highest heat index of 14 points on the 28th. The simulation analysis of actual cases further illustrates the advantages of this design framework.</t>
  </si>
  <si>
    <t>[Bolaji, Damilola Adetola] Shanghai Jiao Tong Univ, Sch Media &amp; Commun, Shanghai 200000, Peoples R China</t>
  </si>
  <si>
    <t>Bolaji, DA (corresponding author), Shanghai Jiao Tong Univ, Sch Media &amp; Commun, Shanghai 200000, Peoples R China.</t>
  </si>
  <si>
    <t>damilola@sjtu.edu.cn</t>
  </si>
  <si>
    <t>1687-725X</t>
  </si>
  <si>
    <t>1687-7268</t>
  </si>
  <si>
    <t>J SENSORS</t>
  </si>
  <si>
    <t>J. Sens.</t>
  </si>
  <si>
    <t>10.1155/2023/9428766</t>
  </si>
  <si>
    <t>Engineering, Electrical &amp; Electronic; Instruments &amp; Instrumentation</t>
  </si>
  <si>
    <t>Engineering; Instruments &amp; Instrumentation</t>
  </si>
  <si>
    <t>F0UK8</t>
  </si>
  <si>
    <t>WOS:000979582000003</t>
  </si>
  <si>
    <t>Cristófol-Rodríguez, FJ; Pérez-Escolar, M; Alcaide-Pulido, P</t>
  </si>
  <si>
    <t>Cristofol-Rodriguez, Francisco-Javier; Perez-Escolar, Marta; Alcaide-Pulido, Purificacion</t>
  </si>
  <si>
    <t>(Dis) Connection of Political Discourse with Sustainable Communication. Messages from Regional Candidates on Social Media During Election Campaigns</t>
  </si>
  <si>
    <t>2030 Agenda; Electoral Campaigns; Engagement; Political Communication; Political Debate; Political Responsibility; Regional Candidates; Regional Elections; Social Media; Sustainable Communication; Sustainable Devolopment Goals</t>
  </si>
  <si>
    <t>DEVELOPMENT GOALS; FACEBOOK</t>
  </si>
  <si>
    <t>The main objective of this research focuses on studying the political discourse of the 75 candidates who participated in the Spanish regional elections held on May 28, 2023, in twelve autonomous communities. The aim is to determine the possible alignment or disconnection of the political agenda of these regional candidates with the Sustainable Development Goals (SDGs) proposed by the UN in the 2030 Agenda. These global goals are key elements of sustainable communication and responsible leadership, as they are focused on overcoming the multiple global challenges humanity faces today. To achieve this goal, a mixed methodology was chosen, consisting of a quantitative analysis, of a descriptive nature, and a discourse analysis - qualitative method. The FanPage Karma tool allowed monitoring a total of 190 official accounts of regional candidates on Facebook, X, Instagram, and TikTok. After eliminating duplicates and selecting only those posts that explicitly mentioned the SDGs, the sample consisted of a total of n=1,523 unique messages, which were processed with MeaningCloud for sentiment analysis. The results show that most posts focus on decent work and economic growth (SDG 8), sustainable cities and communities (SDG 11), and global partnerships (SDG 17). On the other hand, hunger (SDG 2), health and well-being (SDG 3), and responsible consumption and production (SDG 12) are the least visible topics. The most proactive politicians in sustainable communication were Pablo Zuloaga, the PSOE candidate for the Parliament of Cantabria, and Juan Lobato, the PSOE candidate for the Assembly of Madrid. In contrast, Leticia Diaz, Vox's candidate for the Parliament of Cantabria, and Alejandra Jacinto, Podemos' candidate for the Assembly of Madrid, were the least proactive. In conclusion, although fewer than half of the messages from regional candidates mention the 2030 Agenda, sustainable messages related to governance, transparency, or social policies generate much more engagement than those related to environmental policies.</t>
  </si>
  <si>
    <t>[Cristofol-Rodriguez, Francisco-Javier] Univ Loyola Andalucia, Dept Commun &amp; Educ, Ave Univ 2, Dos Hermanas 41704, Sevilla, Spain; [Perez-Escolar, Marta] Univ Murcia, Fac Comunicac &amp; Documentac, Avda Teniente Flomesta 5, Murcia 30003, Spain; [Alcaide-Pulido, Purificacion] Univ Loyola Andalucia, Dept Comunicac &amp; Educ, Escritor Castilla Aguayo 4 Poniente Sur, Cordoba 14004, Spain</t>
  </si>
  <si>
    <t>Universidad Loyola Andalucia; University of Murcia; Universidad Loyola Andalucia</t>
  </si>
  <si>
    <t>Cristófol-Rodríguez, FJ (corresponding author), Univ Loyola Andalucia, Dept Commun &amp; Educ, Ave Univ 2, Dos Hermanas 41704, Sevilla, Spain.</t>
  </si>
  <si>
    <t>fjcristofol@uloyola.es; martaperez@um.es; martaperez@um.es</t>
  </si>
  <si>
    <t>e330305</t>
  </si>
  <si>
    <t>10.3145/epi.2024.0305</t>
  </si>
  <si>
    <t>L5N2J</t>
  </si>
  <si>
    <t>WOS:001351177800005</t>
  </si>
  <si>
    <t>Donaldson, SI; Dormanesh, A; Majmundar, A; Pérez, C; Lopez, H; Saghian, M; Beard, TA; Unger, JB; Allem, JP</t>
  </si>
  <si>
    <t>Donaldson, Scott, I; Dormanesh, Allison; Majmundar, Anuja; Perez, Cindy; Lopez, Heather; Saghian, Megan; Beard, Trista A.; Unger, Jennifer B.; Allem, Jon-Patrick</t>
  </si>
  <si>
    <t>Examining the Peer-Reviewed Literature on Tobacco-Related Social Media Data: Scoping Review</t>
  </si>
  <si>
    <t>Introduction Tobacco researchers have used social media data to examine tobacco industry marketing practices (eg, influencers), and to document user experience with tobacco products. This study summarized the literature that analyzed tobacco-related social media data, including domain, social media platform, tobacco product type, and themes of findings, among other variables.Aims and Methods PubMed, PsycINFO, Web of Science, and Communication Source were searched between 2004 and 2022. Peer-reviewed articles were included if they were written in English, included at least one tobacco-related term, and one social media-related term, and analyzed a social media post. Two coders screened all-titles and abstracts. The final sample consisted of (n = 255) articles. Studies were coded for domain, social media platform, tobacco product type, data source, type of data, coding and analytic method, and presence of validation procedure, among other variables.Results A total of 10 504 820 581 tobacco-related social media posts were assessed across 255 studies. User experience (54.1%) and promotion (23.1%) were the most researched domains. Researchers used data from Twitter the most (42.7%). Text (43.1%) was the most common type of data analyzed. Thematic analysis (80.8%) was the most common analytic technique. Themes of findings from content analyses often pertained to the health effects of tobacco use (61.0%) and promotion (44.2%).Conclusions Researchers have analyzed billions of tobacco-related social media posts to describe user experience with, and promotions related to, tobacco products like e-cigarettes on platforms like Twitter. Future research may examine tobacco-related social media data from newer platforms like TikTok.Implications Real-time surveillance of tobacco-related content on social media can keep the tobacco control community abreast of tobacco industry promotional strategies, user experience with tobacco products, and perceived health effects of tobacco use. A framework may be developed to establish best-practices for social media data collection and analysis, including strategies to identify posts from bot accounts and validate methodological approaches used in thematic analysis.</t>
  </si>
  <si>
    <t>[Donaldson, Scott, I; Dormanesh, Allison; Perez, Cindy; Lopez, Heather; Saghian, Megan; Beard, Trista A.; Unger, Jennifer B.; Allem, Jon-Patrick] Univ Southern Calif, Keck Sch Med, Dept Populat &amp; Publ Hlth Sci, Los Angeles, CA USA; [Majmundar, Anuja] Amer Canc Soc Inc, Tobacco Control Res Surveillance &amp; Hlth Equ Sci, Kennesaw, GA USA; [Allem, Jon-Patrick] Univ Southern Calif, Keck Sch Med, Dept Populat &amp; Publ Hlth Sci, 1845 N Soto St,3rd Floor,SSB 312D, Los Angeles, CA 90032 USA</t>
  </si>
  <si>
    <t>University of Southern California; American Cancer Society; University of Southern California</t>
  </si>
  <si>
    <t>Allem, JP (corresponding author), Univ Southern Calif, Keck Sch Med, Dept Populat &amp; Publ Hlth Sci, 1845 N Soto St,3rd Floor,SSB 312D, Los Angeles, CA 90032 USA.</t>
  </si>
  <si>
    <t>jonpatrickallem@gmail.com</t>
  </si>
  <si>
    <t>Majmundar, Anuja/AAK-6769-2021</t>
  </si>
  <si>
    <t>Dormanesh, Allison/0000-0001-9060-7356; Allem, Jon-Patrick/0000-0001-9135-8689; Beard, Trista/0000-0001-5543-4795; Donaldson, Scott/0000-0001-8145-0860</t>
  </si>
  <si>
    <t>California Tobacco Control Branch; Center for Healthy Communities of the California Department of Public Health [21-10032]; National Cancer Institute [U54 CA 180905]; Food and Drug Administration Center for Tobacco Products; Regents of the University of California; Research Grants Program Office; Tobacco-Related Diseases Research Program [T30IR0891]</t>
  </si>
  <si>
    <t>California Tobacco Control Branch; Center for Healthy Communities of the California Department of Public Health; National Cancer Institute(United States Department of Health &amp; Human ServicesNational Institutes of Health (NIH) - USANIH National Cancer Institute (NCI)); Food and Drug Administration Center for Tobacco Products; Regents of the University of California(University of California System); Research Grants Program Office; Tobacco-Related Diseases Research Program</t>
  </si>
  <si>
    <t>This study was supported by the California Tobacco Control Branch, Center for Healthy Communities of the California Department of Public Health through contract number 21-10032 Tobacco Industry Monitoring Evaluation (TIME), Grant #U54 CA 180905 from the National Cancer Institute and the Food and Drug Administration Center for Tobacco Products, and The Regents of the University of California, Research Grants Program Office, Tobacco-Related Diseases Research Program, Grant Number No. T30IR0891. The findings and conclusions in this article are those of the authors and do not necessarily represent the views or opinions of the California Department of Public Health, the NIH, or the California Health and Human Services Agency.</t>
  </si>
  <si>
    <t>10.1093/ntr/ntad186</t>
  </si>
  <si>
    <t>LY4J7</t>
  </si>
  <si>
    <t>WOS:001081426600001</t>
  </si>
  <si>
    <t>Zhang, W; Pankratova, LS</t>
  </si>
  <si>
    <t>Zhang, Wei; Pankratova, Liliia S.</t>
  </si>
  <si>
    <t>TRANSFORMATION OF PUBLIC COMMUNICATION OF GOVERNMENT AND CITIZENS IN CHINA AND RUSSIA IN THE CONTEXT OF DIGITALIZATION</t>
  </si>
  <si>
    <t>VOLGOGRADSKII GOSUDARSTVENNYI UNIVERSITET-VESTNIK-SERIYA 4-ISTORIYA REGIONOVEDENIE MEZHDUNARODNYE OTNOSHENIYA</t>
  </si>
  <si>
    <t>public communication; social media; communication between government and society; digitalization; open state; government; People's Republic of China; Russian Federation</t>
  </si>
  <si>
    <t>Introduction. The article is devoted to identifying and characterizing the main trends in the transformation of public communication between government and citizens through digital media in China and Russia. The dynamics of state policies regarding the use of social media as an information and communication resource for solving pragmatic management tasks, forming the image of authorities, and developing a dialogue with the population is traced. Methods and Materials. As a methodological basis for the study, the conceptualizations of the public sphere within the framework of a critical approach (J. Habermas, H. Arendt), the sociocultural tradition of interpreting communication, the ideas on the power and strength of Internet communications in the network society by M. Castells, and the theoretical foundations of communication management are used. Analisys. Three stages in the development of social media authorities in China are identified and presented. The specifics of public communication between the authorities and users of various services (Weibo, WeChat, and TikTok) are characterized based on their technological capabilities (affordances). Results. The social effects obtained from the widespread use of digital media by the Chinese government are indicated. The political and socio-cultural foundations of the emerging state policy regarding the use of social networks as a resource for public communication between the government and society in Russia are shown. The key challenges and tasks that need to be solved for the successful development of a public dialogue between the authorities and the population through digital media and the formation of the social media capital of the state in China and Russia are fixed. Authors'contribution. Wei Zhang prepared an analysis of the transformations in the use of digital media by the government in China. L.S. Pankratova outlined the theoretical and methodological framework of the study, presented the Russian case, translated materials on the case of China into Russian and carried out general scientific editing of the article.</t>
  </si>
  <si>
    <t>[Zhang, Wei] Huazhong Univ Sci &amp; Technol, Tongji Med Coll, Sch Med &amp; Hlth Management, Dept Hlth Informat, Hangkong Rd,13, Wuhan 430030, Peoples R China; [Pankratova, Liliia S.] St Petersburg State Univ, Dept Sociol Culture &amp; Commun, Univ Skaya Emb 7-9, St Petersburg 199034, Russia</t>
  </si>
  <si>
    <t>Huazhong University of Science &amp; Technology; Saint Petersburg State University</t>
  </si>
  <si>
    <t>Zhang, W (corresponding author), Huazhong Univ Sci &amp; Technol, Tongji Med Coll, Sch Med &amp; Hlth Management, Dept Hlth Informat, Hangkong Rd,13, Wuhan 430030, Peoples R China.</t>
  </si>
  <si>
    <t>weizhanghust@hust.edu.cn; l.s.pankratova@spbu.ru</t>
  </si>
  <si>
    <t>Zhang, Wei/AAS-6646-2021; Pankratova, Liliia/F-8480-2015</t>
  </si>
  <si>
    <t>Zhang, Wei/0000-0003-0178-0750; Pankratova, Liliia/0000-0002-7658-1409</t>
  </si>
  <si>
    <t>VOLGOGRAD STATE UNIV</t>
  </si>
  <si>
    <t>VOLGOGRAD</t>
  </si>
  <si>
    <t>PR-KT UNIVERSITETSKII 100, VOLGOGRAD, 400062, RUSSIA</t>
  </si>
  <si>
    <t>1998-9938</t>
  </si>
  <si>
    <t>2312-8704</t>
  </si>
  <si>
    <t>VOLGOGR GOS UNIV-VES</t>
  </si>
  <si>
    <t>Volgogr. Gos. Univ.-Vestn. Ser. 4-Istoriya Regionovedenie Mezdunar.</t>
  </si>
  <si>
    <t>10.15688/jvolsu4.2023.3.14</t>
  </si>
  <si>
    <t>O2CK7</t>
  </si>
  <si>
    <t>WOS:001041948600014</t>
  </si>
  <si>
    <t>Alotaibi, MM; Mohd, AB</t>
  </si>
  <si>
    <t>Alotaibi, Mohammed Matar; Mohd, Abdul Bari</t>
  </si>
  <si>
    <t>Saudi Diabetic Patients' Beliefs and Experiences with Health Related Information from Social Media</t>
  </si>
  <si>
    <t>JOURNAL OF PHARMACEUTICAL RESEARCH INTERNATIONAL</t>
  </si>
  <si>
    <t>Beliefs; diabetes; health information; social media</t>
  </si>
  <si>
    <t>Introduction: Social media and acceptance of the information related to health is becoming acceptable to an extent for the public. The use of social media is rapidly growing and it is being used both by healthcare professionals and patients. The aim of this study was to evaluate the use of social networking applications for experience and behaviour towards health information among diabetic patients. Materials and Methods: The present study was a cross sectional study, conducted in spring of 2020 (April to May). The distribution of the survey questionnaire was done online through various social media platforms with a convenience sample of people with diabetes (n=569), Eligibility criteria were aged 18 and above, Saudis with diagnosis of diabetes and willing to give consent were included in the study. Exclusion criteria were less than 18 years old and non-Saudis and non-diabetic. Results: Analysis of online survey data indicated that WhatsApp (89.1%) was the most commonly used social network followed by Snapchat (66.3%), Instagram (40.6%), Twitter (35%), Telegram (19.5%), Tiktok (12.5%) and Facebook (10%). About 25 (4.4%) participants strongly agreed that health information from social media impact life positively. More than half 290(51%) participants agreed to apply information only from the trusted websites. Near about half 275(48.3%) disagreed that social media could invent treatment for diabetes more than believing in health institution and medicinal industries. Nearly one-fourth 141(24.8%) of participants agreed that all health information from social media is right. Almost 264 (46.4%) said that they sometimes face health information in social media. Nearly 265(46.6%) patients mentioned that they never applied themselves any information claiming treating diabetes. Conclusion: This study shows the effect of social media on diabetic patients and various responses of diabetic patients in regard of their beliefs and experience towards health information from social media. Most of the respondents agreed that they apply information obtained from social network and the same could lead to some deleterious effects on health.</t>
  </si>
  <si>
    <t>[Alotaibi, Mohammed Matar; Mohd, Abdul Bari] Riyadh Elm Univ, Coll Pharm, Riyadh, Saudi Arabia</t>
  </si>
  <si>
    <t>Riyadh Elm University</t>
  </si>
  <si>
    <t>Alotaibi, MM (corresponding author), Riyadh Elm Univ, Coll Pharm, Riyadh, Saudi Arabia.</t>
  </si>
  <si>
    <t>mohammed.m1.alotaibi@student.riyadh.edu.sa</t>
  </si>
  <si>
    <t>SCIENCEDOMAIN INT</t>
  </si>
  <si>
    <t>GURGAON</t>
  </si>
  <si>
    <t>SCIENCEDOMAIN INT, GURGAON, 00000, INDIA</t>
  </si>
  <si>
    <t>2456-9119</t>
  </si>
  <si>
    <t>J PHARM RES INT</t>
  </si>
  <si>
    <t>J. Pharm. Res. Int.</t>
  </si>
  <si>
    <t>45B</t>
  </si>
  <si>
    <t>10.9734/JPRI/2021/v33i45B32814</t>
  </si>
  <si>
    <t>WG7UD</t>
  </si>
  <si>
    <t>WOS:000707199300035</t>
  </si>
  <si>
    <t>Símová, T; Zychová, K; Hartman, R</t>
  </si>
  <si>
    <t>Matos, F; Ferreiro, MD; Rosa, A; Salavisa, I</t>
  </si>
  <si>
    <t>Simova, Tereza; Zychova, Kristyna; Hartman, Richard</t>
  </si>
  <si>
    <t>Twitter Analysis: How the Covid-19 Change the Understanding of Virtual Teams</t>
  </si>
  <si>
    <t>PROCEEDINGS OF THE 16TH EUROPEAN CONFERENCE ON INNOVATION AND ENTREPRENEURSHIP (ECIE 2021), VOL 2</t>
  </si>
  <si>
    <t>Proceedings of the European Conference on Entrepreneurship and Innovation</t>
  </si>
  <si>
    <t>16th European Conference on Innovation and Entrepreneurship (ECIE)</t>
  </si>
  <si>
    <t>SEP 16-17, 2021</t>
  </si>
  <si>
    <t>Inst Univ Lisboa, ISCTE Business Sch, ELECTR NETWORK</t>
  </si>
  <si>
    <t>Inst Univ Lisboa, ISCTE Business Sch</t>
  </si>
  <si>
    <t>pandemic; social media analysis; virtual workplace; virtual environment; workplace</t>
  </si>
  <si>
    <t>In the light of the recent pandemic, the workplace has been changed. People from around the world have moved to the virtual world and virtual teams have become a critical part of innovation in most companies. The virtual team has been with us for many years thanks to the development of information and communication technologies, but the Covid-19 pandemic changed the working environment of millions of people from day to day. Virtual teams can be beneficial for employees as well as for companies, but also can bring many problems for the functionality of the team. Transformation to the virtual world is challenging innovation and it is not easy to go from a workplace environment to a virtual. For that reason, it is essential to investigate how companies and employees understand this change from office work to the virtual environment. The presented paper identified the main communities and factors that Twitter users used to describe their experience with virtual teams through hashtags during the Covid-19 pandemic. We investigated tweets with #virtualteam or #virtualteams to described and understand the virtual team communities. Data from the social network Twitter were analysed and compared for the years 2019 and 2020. For the social network analysis, we used SMAHR framework. SMAHR is a framework that is focused on social media analysis based on hashtag research. We detected two communities on the social network Twitter in 2019 - Management of virtual teams and understanding virtual teams as a Different way of business. In 2020 we spotted five communities on Twitter - Effect of Covid-19 on the workplace, Virtual meetings, Digital transformation, and two micro-communities. Future research should focus on a wider scope of searching hashtags; linguistic and etymologic research to define terms connected to virtual teams; a deeper understanding of communities and factors described by presented paper; study of communities on Twitter after the current pandemic; examination of communities on other social media networks (e.g., on Facebook, Instagram, TikTok or ResearchGate). Our research also opened the question about possible bias in social networking analysis.</t>
  </si>
  <si>
    <t>[Simova, Tereza; Zychova, Kristyna; Hartman, Richard] Czech Univ Life Sci Prague, Fac Econ &amp; Management, Dept Management, Prague, Czech Republic</t>
  </si>
  <si>
    <t>Czech University of Life Sciences Prague</t>
  </si>
  <si>
    <t>Símová, T (corresponding author), Czech Univ Life Sci Prague, Fac Econ &amp; Management, Dept Management, Prague, Czech Republic.</t>
  </si>
  <si>
    <t>simovat@lib.czu.cz; zychovak@rektorat.czu.cz; harman@af.czu.cz</t>
  </si>
  <si>
    <t>Simova, Tereza/S-4740-2018; Zychova, Kristyna/GVT-1061-2022</t>
  </si>
  <si>
    <t>Simova, Tereza/0000-0002-1774-4335; Zychova, Kristyna/0000-0002-2021-7894</t>
  </si>
  <si>
    <t>Internal Grant Agency (IGA) of FEM CULS in Prague [2020B0004]</t>
  </si>
  <si>
    <t>Internal Grant Agency (IGA) of FEM CULS in Prague</t>
  </si>
  <si>
    <t>We would like to thank doc. Ladislav Pilar for help with the SMARH framework and analysis and to doc. Martina Fejfarova for comments on the manuscript. This paper was supported by the Internal Grant Agency (IGA) of FEM CULS in Prague, registration no. 2020B0004-Use of artificial intelligence to predict communication on social networks.</t>
  </si>
  <si>
    <t>ACAD CONFERENCES LTD</t>
  </si>
  <si>
    <t>NR READING</t>
  </si>
  <si>
    <t>CURTIS FARM, KIDMORE END, NR READING, RG4 9AY, ENGLAND</t>
  </si>
  <si>
    <t>2049-1050</t>
  </si>
  <si>
    <t>2049-1069</t>
  </si>
  <si>
    <t>978-1-914587-15-3</t>
  </si>
  <si>
    <t>PROC EUR CONF ENTREP</t>
  </si>
  <si>
    <t>10.34190/EIE.21.256</t>
  </si>
  <si>
    <t>Business; Economics; Management</t>
  </si>
  <si>
    <t>BS7BU</t>
  </si>
  <si>
    <t>WOS:000758450600023</t>
  </si>
  <si>
    <t>Morris, K; Lane, F; Nelson, AL; Stohl, HE</t>
  </si>
  <si>
    <t>Morris, Kelsey; Lane, Fiona; Nelson, Anita L.; Stohl, Hindi E.</t>
  </si>
  <si>
    <t>How Do Women Vote: What Women Post About Home Birth Versus Hospital Birth on Popular Social Media Platforms</t>
  </si>
  <si>
    <t>social media; free birth; midwifery; birth; birth trauma; maternity care deserts; hospital birth; home birth</t>
  </si>
  <si>
    <t>PLANNED HOME; EXPERIENCES; PREGNANCIES; OUTCOMES; PLACE</t>
  </si>
  <si>
    <t>Introduction: The rates of home birth have been increasing; reliance on social media as a source of medical advice and support for patients has also been increasing. This is the first study that directly evaluates birthing people's perceptions, attitudes, and advice about planned home births expressed in public posts and comments on two popular social media platforms - Reddit and TikTok. Methods: Posts on each platform were searched from January 2017 through July 2022 using the terms home birth and home vs. hospital birth. Included posts were from the United States written in English, with at least 10 comments and 10 upvotes or likes. Up to five themes were collected per post or comment and were categorized as supportive, opposing, or neutral. The Institutional Review Board (IRB) determined that the project did not include human subjects. Results: Collectively, 777 posts and 47,452 comments were evaluated for inclusion; 257 posts and 2,408 comments met the inclusion criteria for analysis. In posts, 69% supported, 20% opposed, and 11% were neutral toward home birth (n = 257). Similarly, in comments, 53% supported, 28% opposed, and 19% were neutral (n = 2,408). Supportive themes included concerns about the safety of hospital delivery and reassurance about home birth safety, enhanced patient control with home deliveries, positive personal stories reinforcing home birth, concerns about excessive interventions in hospital birth, and advice about preparing for home birth. Opposing themes included concerns about risks of home birth, negligence of those attempting it, reassurance that hospital birth does offer women control, greater financial costs of home birth and that medical interventions can be lifesaving. Conclusion: These results can help physicians recognize some of the women's concerns about hospital births and what information they may find on social media guiding them as they formulate their birth plans. Overall, this information helps with the goal of balancing patient safety with the need to respect patient autonomy.</t>
  </si>
  <si>
    <t>[Morris, Kelsey] Pacific Western Univ Hlth Sci, Obstet &amp; Gynecol, Coll Osteopath Med, Pomona, CA 91766 USA; [Lane, Fiona] Pacific Northwest Western Univ Hlth Sci, Coll Osteopath Med, Obstet &amp; Gynecol, Lebanon, OR USA; [Nelson, Anita L.] Western Univ Hlth Sci, Coll Osteopath Med Pacific, Obstet &amp; Gynecol, Pomona, CA USA; [Stohl, Hindi E.] Harbor UCLA Med Ctr, David Geffen Sch Med UCLA, Obstet &amp; Gynecol, Torrance, CA USA</t>
  </si>
  <si>
    <t>Western University of Health Sciences; Western University of Health Sciences; University of California System; University of California Los Angeles; University of California Los Angeles Medical Center; David Geffen School of Medicine at UCLA</t>
  </si>
  <si>
    <t>Morris, K (corresponding author), Pacific Western Univ Hlth Sci, Obstet &amp; Gynecol, Coll Osteopath Med, Pomona, CA 91766 USA.</t>
  </si>
  <si>
    <t>kelsey.morris@westernu.edu</t>
  </si>
  <si>
    <t>e57621</t>
  </si>
  <si>
    <t>10.7759/cureus.57621</t>
  </si>
  <si>
    <t>OM5L3</t>
  </si>
  <si>
    <t>WOS:001207702900007</t>
  </si>
  <si>
    <t>Kruglova, LA; Dolganova, SA</t>
  </si>
  <si>
    <t>Kruglova, Liudmila A.; Dolganova, Sofiya A.</t>
  </si>
  <si>
    <t>Visualisation of Radio: Audiovisual Content Strategies of Moscow Radio Stations in Social Media</t>
  </si>
  <si>
    <t>THEORETICAL AND PRACTICAL ISSUES OF JOURNALISM</t>
  </si>
  <si>
    <t>. Broadcasting; social media; mass media; video content; in-ternet; audience</t>
  </si>
  <si>
    <t>This paper presents the results of a study of the content strat-egies related to visualisation of Moscow's top-rated radio stations in social media. The objectives were to determine the activity of Moscow radio stations and audience response in social media during the turbulent late 2022. First, the official accounts of forty three Moscow radio stations on the platforms VKontakte, Odnoklassniki, in the messenger Telegram* and on the video hosting YouTube, as well as Yandex Zen, Twitter*, TikTok*, Yappy, RuTube and so on were analyzed. For a more detailed analysis of content strategies, ten radio stations leading the Mediascope ranking were selected. The analy-sis was carried out according to the following criteria: the presence of official representation in social media, the number of subscribers, forms, formats and genres of activity of the radio station, the audience response to the content of the radio station in social networks and messengers. Particular attention in the study was paid to the ways in which the selected radio stations were visualized. The results of the analysis show that VKontakte remains the most popular platform for radio stations during the turbulence, followed by You -Tube, Odnoklassniki, Telegram* and Zen. Social media pages are used by stations as a specific method of expansion or as a means of strategic interac-tion with the audience. The predominance of video content is observed on two platforms - Vkontakte and YouTube; music stations are the most active in posting it. Radio stations are not particularly active in publishing video content on the site, and almost all of them post videos from their YouTube channels. A number of radio stations do not publish video content at all. The most popular are short vertical videos and 'long' horizontal recordings created from both on -air and unique off-air content. There are practically no broadcasts (except for the news content of Moscow Talks). The channels' audience is rather pas-sive. With regular video broadcasts and publication of content, radio stations achieve audience</t>
  </si>
  <si>
    <t>[Kruglova, Liudmila A.; Dolganova, Sofiya A.] Lomonosov Moscow State Univ, Moscow, Russia</t>
  </si>
  <si>
    <t>BAIKAL STATE UNIV</t>
  </si>
  <si>
    <t>IRKUTSK</t>
  </si>
  <si>
    <t>11 LENIN ST, IRKUTSK, 664003, RUSSIA</t>
  </si>
  <si>
    <t>2308-6203</t>
  </si>
  <si>
    <t>2308-6211</t>
  </si>
  <si>
    <t>THEOR PRACT ISSUES J</t>
  </si>
  <si>
    <t>Theor. Pract. Issues Journal.</t>
  </si>
  <si>
    <t>10.17150/2308-6203.2023.12(3).436-451</t>
  </si>
  <si>
    <t>U2JB9</t>
  </si>
  <si>
    <t>WOS:001083107900004</t>
  </si>
  <si>
    <t>Pop, LM; Iorga, M; Iurcov, R</t>
  </si>
  <si>
    <t>Pop, Lavinia Maria; Iorga, Magdalena; Iurcov, Raluca</t>
  </si>
  <si>
    <t>Body-Esteem, Self-Esteem and Loneliness among Social Media Young Users</t>
  </si>
  <si>
    <t>body image; body mass index; body esteem; loneliness; self-esteem; young adults; medical students; social network; health</t>
  </si>
  <si>
    <t>NETWORKING SITES; IMAGE CONCERNS; ADOLESCENTS; IMPACT; FACEBOOK; INTERNET; CHILDREN; HEALTH</t>
  </si>
  <si>
    <t>The use of social networking sites for socializing, having fun, solving academic tasks or even getting counselling for health-related problems is now inevitable. Methods: A total of 427 medical students, who are users of social media sites, were included in the research. Data about socio-demographic, anthropometric, and self-rated items regarding satisfaction with physical and mental health were collected. Three psychological tools were also used to measure self-esteem (Rosenberg Self-Esteem Scale), body-esteem (Body Esteem Scale for Adolescents and Adults) and loneliness (UCLA Loneliness Scale). Collected data were analyzed using SPSS version 23. Results: Students use these networks for socialization (49.0%), entertainment (31.1%) and academic tasks (19.9%), spending 3.38 +/- 0.80 h per day on SNSs. Less than half of them (47.5%) compared themselves to other SNS profiles. The use of Snapchat was found to be strongly positively correlated with self-esteem, and weight status was negatively correlated with the use of TikTok. More than three-quarters declared that they exercised to lose weight or to prevent weight gain. Participants were found to have a high level of body esteem. Almost half of the students proved to have a moderate to a high level of loneliness. Age and gender were found to be important: the younger the user, the higher the scores for loneliness and feeling depressed, and the greater the number of hours on SNSs. The total score for self-esteem was significantly higher in men than in women, and male students appreciated themselves as being in a better state of mental health than women. Conclusions: The results prove a relationship between the use of SNSs and the presence of loneliness, self-esteem and body-esteem, with gender differences. However, the use of SNSs should not be neglected in clinical settings, and are a good means of reaching patients and providing medical and psychological intervention.</t>
  </si>
  <si>
    <t>[Pop, Lavinia Maria; Iorga, Magdalena] Alexandru Ioan Cuza Univ, Fac Psychol &amp; Educ Sci, Iasi 700554, Romania; [Iorga, Magdalena] Grigore T Popa Univ Med &amp; Pharm, Behav Sci Dept, Iasi 700115, Romania; [Iurcov, Raluca] Univ Oradea, Dent Dept, Fac Med, Oradea 410073, Romania</t>
  </si>
  <si>
    <t>Alexandru Ioan Cuza University; Grigore T Popa University of Medicine &amp; Pharmacy; University of Oradea</t>
  </si>
  <si>
    <t>Iorga, M (corresponding author), Alexandru Ioan Cuza Univ, Fac Psychol &amp; Educ Sci, Iasi 700554, Romania.;Iorga, M (corresponding author), Grigore T Popa Univ Med &amp; Pharm, Behav Sci Dept, Iasi 700115, Romania.</t>
  </si>
  <si>
    <t>lavinia-maria.pop@umfiasi.ro; magdalena.iorga@umfiasi.ro; riurcov@uoradea.ro</t>
  </si>
  <si>
    <t>Iurcov, Raluca/AAP-1905-2021; Iorga, Magda/AAS-6406-2021; IORGA, Magdalena/D-1125-2015</t>
  </si>
  <si>
    <t>IORGA, Magdalena/0000-0002-7074-959X; Pop, Lavinia_Maria/0000-0002-7847-1289; Iurcov, Raluca Cristina/0000-0002-2953-3842</t>
  </si>
  <si>
    <t>10.3390/ijerph19095064</t>
  </si>
  <si>
    <t>1N5VV</t>
  </si>
  <si>
    <t>WOS:000800724100001</t>
  </si>
  <si>
    <t>Alnufaiy, B; Alzahrani, HG; Alqahtani, AS; Gufran, K; Alhamdan, A; Alhamdan, K</t>
  </si>
  <si>
    <t>Alnufaiy, Banna; Alzahrani, Hanadi Ghurmallah; Alqahtani, Abdullah Saad; Gufran, Khalid; Alhamdan, Alfaisal; Alhamdan, Khalid</t>
  </si>
  <si>
    <t>Periodontists' perceptions and attitudes toward the use of social media for professional purposes in Saudi Arabia</t>
  </si>
  <si>
    <t>BMC ORAL HEALTH</t>
  </si>
  <si>
    <t>Social media; Promotion; Periodontist; Dentist; Saudi Arabia</t>
  </si>
  <si>
    <t>HEALTH-CARE PROFESSIONALS; PROMOTION; KNOWLEDGE; DENTISTRY</t>
  </si>
  <si>
    <t>Background There is a notable increase in the usage of social media platforms, especially for health communication, as more clinicians and patients count on this kind of technology. Therefore, this research aimed to investigate the perception and attitude toward social media (SM) use for professionalism and dental practice promotion among periodontal specialists working in Saudi Arabia (KSA).Methods Electronic surveys were distributed in person or online using WhatsApp, Snapchat or Email from October 2022 until March 2023. The questionnaire was targeting periodontists in KSA, and it consists of three parts: the first part includes sociodemographic and professional data; the second part asks about the daily usage of SM in dental practice; and the third part asks about the periodontist's opinion about SM usage. Descriptive data were presented as numbers and percentages. The association between the demographic variables and the means of periodontists' opinions was tested using Pearson's chi-square test. Any value equal to or less than 0.05 was considered statistically significant.Results A total of 121 responses were received from the periodontists. Most of the participants were in the 36-45 age group, with a percentage of 40.5%. In terms of gender, males made up 52.9% of the population, while females made up 47.1%, and the majority of the participants were consultants. The most common SM platform used by periodontists for daily using and dental practice promotion was Snapchat (56.2%), followed by Instagram and Twitter (54.5% and 49.6%, respectively). There was a significant difference in proportions among Twitter, Snapchat and TikTok between older and younger periodontists, with a p value &lt; 0.05. There was no significant difference between the gender of the participants and their opinions regarding the usage of SM.Conclusions This study highlighted the effectiveness of SM in the promotion of dental practices and the discipline of periodontics, as more clinicians and patients rely on this kind of technology. These online platforms can improve periodontal practice in terms of dental health education, counseling, advertising, and oral health services.</t>
  </si>
  <si>
    <t>[Alnufaiy, Banna; Alzahrani, Hanadi Ghurmallah; Alqahtani, Abdullah Saad; Gufran, Khalid] Prince Sattam Bin Abdulaziz Univ, Coll Dent, Dept Prevent Dent Sci, Alkharj 11942, Saudi Arabia; [Alhamdan, Alfaisal] Gulf Med Univ, Coll Dent, Ajman, U Arab Emirates; [Alhamdan, Khalid] King Saud Univ, Dept Periodont &amp; Community Dent, KSU Unite 1-12372,POB 7669, Riyadh, Saudi Arabia; [Alhamdan, Khalid] King Saud Univ, Coll Dent, KSU Unite 1-12372,POB 7669, Riyadh, Saudi Arabia</t>
  </si>
  <si>
    <t>Prince Sattam Bin Abdulaziz University; King Saud University; King Saud University</t>
  </si>
  <si>
    <t>Alnufaiy, B (corresponding author), Prince Sattam Bin Abdulaziz Univ, Coll Dent, Dept Prevent Dent Sci, Alkharj 11942, Saudi Arabia.</t>
  </si>
  <si>
    <t>b.alnoufaiy@psau.edu.sa</t>
  </si>
  <si>
    <t>Alnufaiy, Banna/GVS-1232-2022; Alzahrani, Hanadi/JEZ-2989-2023; Gufran, Khalid/ABG-4312-2020; alnufaiy, Banna/KIE-3455-2024; Alqahtani, Abdullah S/GRX-4829-2022</t>
  </si>
  <si>
    <t>Gufran, Khalid/0000-0001-9623-559X; alnufaiy, Banna/0009-0008-2430-6158; Alqahtani, Abdullah S/0000-0003-0474-7067; Alzahrani, Hanadi/0009-0004-5542-3083</t>
  </si>
  <si>
    <t>The authors are thankful to the Saudi Society of Periodontology for their support and assistance in distributing the questionnaire. This study is supported via funding from Prince Sattam bin Abdulaziz University project number (PSAU/2023/R/1445).; Saudi Society of Periodontology [PSAU/2023/R/1445]; Prince Sattam bin Abdulaziz University</t>
  </si>
  <si>
    <t>The authors are thankful to the Saudi Society of Periodontology for their support and assistance in distributing the questionnaire. This study is supported via funding from Prince Sattam bin Abdulaziz University project number (PSAU/2023/R/1445).; Saudi Society of Periodontology; Prince Sattam bin Abdulaziz University(Prince Sattam Bin Abdulaziz University)</t>
  </si>
  <si>
    <t>The authors are thankful to the Saudi Society of Periodontology for their support and assistance in distributing the questionnaire. This study is supported via funding from Prince Sattam bin Abdulaziz University project number (PSAU/2023/R/1445).</t>
  </si>
  <si>
    <t>1472-6831</t>
  </si>
  <si>
    <t>BMC Oral Health</t>
  </si>
  <si>
    <t>OCT 8</t>
  </si>
  <si>
    <t>10.1186/s12903-023-03444-7</t>
  </si>
  <si>
    <t>T9CK2</t>
  </si>
  <si>
    <t>WOS:001080888300001</t>
  </si>
  <si>
    <t>Gaiha, SM; Lempert, LK; Lin, CYL; Halpern-Felsher, B</t>
  </si>
  <si>
    <t>Gaiha, Shivani Mathur; Lempert, Lauren Kass; Lin, Crystal; Halpern-Felsher, Bonnie</t>
  </si>
  <si>
    <t>E-cigarette access and age verification among adolescents, young adults, and adults</t>
  </si>
  <si>
    <t>E -cigarettes; Access; Age verification; Tobacco 21; Retail; Online; Social media; Point-of-sale</t>
  </si>
  <si>
    <t>HIGH-SCHOOL-STUDENTS; TOBACCO PRODUCT USE; UNITED-STATES; SALES; MIDDLE</t>
  </si>
  <si>
    <t>Background: Adolescents and young adults continue to access e-cigarettes despite regulatory efforts to prevent sales to those under 21. Prior research on sources of acquiring e-cigarettes excludes key online sources. This study aims to update evidence on where and how different age groups (adolescents, young adults, and adults) access e-cigarettes. Methods: A cross-sectional, online survey of 13-40 year-olds who used e-cigarettes in the past 30 days was conducted from November-December 2021. Study outcomes: where past 30-day users obtained and bought ecigarettes (retail stores; online, including e-cigarette company and multi-brand websites; social media; home delivery applications; and someone they know); and whether and how age was verified. Results: In our sample, 55.0% reported obtaining e-cigarettes from retail stores, 44.9% online, and 24.0% from someone they know (n = 2,256), although most 13-17-year-olds obtained their e-cigarettes from someone they know. Double the proportion of 21-40-year-olds (7.0%) and higher than 18-20-year-olds (9.8%), 13.4% of 13-17-year-olds obtained e-cigarettes through social media. Social media, Snapchat, Instagram, and TikTok were common platforms to buy e-cigarettes among those under 21; common sources on social media included friends their age, store/company accounts, and influencers. Approximately 20.0% of those under 21 bought e-cigarettes from internet vendors (including multi-brand websites) and 10.4-15.5% used home delivery applications. Across participants, 14.2% reported that their age was not verified, and 17.8% reported that their age was rarely verified. Conclusions: A sizeable proportion of adolescents and young adults under 21 years and adults above 21 acquired e-cigarettes from retail and online sources. Less than a quarter of those underage reported having their age verified all the time, warranting enforcement of existing age verification regulation and development of strategies to prevent underage access online.</t>
  </si>
  <si>
    <t>[Gaiha, Shivani Mathur; Lempert, Lauren Kass; Lin, Crystal; Halpern-Felsher, Bonnie] Stanford Univ, Dept Pediat, Div Adolescent Med, Stanford REACH Lab, Stanford, CA USA; [Gaiha, Shivani Mathur] Boston Childrens Hosp, Div Adolescent Young Adult Med, Boston, MA USA; [Gaiha, Shivani Mathur] Harvard Med Sch, Dept Pediat, Boston, MA USA</t>
  </si>
  <si>
    <t>Stanford University; Harvard University; Boston Children's Hospital; Harvard University; Harvard Medical School</t>
  </si>
  <si>
    <t>Halpern-Felsher, B (corresponding author), Stanford Univ, 3145 Porter Dr,Wing A,Room A104,MC 5395, Palo Alto, CA 94304 USA.</t>
  </si>
  <si>
    <t>bonnie.halpernfelsher@stanford.edu</t>
  </si>
  <si>
    <t>Taube Research Faculty Scholar Endowment; National Heart, Lung, and Blood Institute [U54 HL147127]; Food and Drug Administration Center for Tobacco Products; National Cancer Institute of the National Institutes of Health [K99CA267477]; Stanford Maternal and Child Health Research Institute; Stanford Medical School</t>
  </si>
  <si>
    <t>Taube Research Faculty Scholar Endowment; National Heart, Lung, and Blood Institute(United States Department of Health &amp; Human ServicesNational Institutes of Health (NIH) - USANIH National Heart Lung &amp; Blood Institute (NHLBI)); Food and Drug Administration Center for Tobacco Products; National Cancer Institute of the National Institutes of Health(United States Department of Health &amp; Human ServicesNational Institutes of Health (NIH) - USANIH National Cancer Institute (NCI)); Stanford Maternal and Child Health Research Institute; Stanford Medical School</t>
  </si>
  <si>
    <t>The research reported in this article was supported by the Taube Research Faculty Scholar Endowment to Bonnie Halpern-Felsher (BHF). Additional support was received from grant U54 HL147127 from the National Heart, Lung, and Blood Institute and the Food and Drug Administration Center for Tobacco Products (BHF, Co-PI). The research reported in this publication was also supported by the National Cancer Institute of the National Institutes of Health under Award Number K99CA267477 and the Stanford Maternal and Child Health Research Institute to Shivani Mathur Gaiha. The content is solely the responsibility of the authors and does not necessarily represent the official views of the National Institutes of Health or the Food and Drug Administration. Ms. Lin was further supported by a MedScholars grant from Stanford Medical School.</t>
  </si>
  <si>
    <t>10.1016/j.addbeh.2024.108193</t>
  </si>
  <si>
    <t>L9Z1W</t>
  </si>
  <si>
    <t>WOS:001354222700001</t>
  </si>
  <si>
    <t>Wang, S; Yang, J; Shang, FS</t>
  </si>
  <si>
    <t>Wang, Shuo; Yang, Jing; Shang, Fanshu</t>
  </si>
  <si>
    <t>A personalized recommendation model with multimodal preference-based graph attention network</t>
  </si>
  <si>
    <t>JOURNAL OF SUPERCOMPUTING</t>
  </si>
  <si>
    <t>Graph neural networks; Multimodal fusion; Gate mechanism; Attention mechanism</t>
  </si>
  <si>
    <t>Graph neural networks (GNNs) have indeed shown significant potential in the field of personalized recommendation. The core approach is to reorganize interaction data into a user-item bipartite graph, leveraging high-order connectivity between user and item nodes to enhance their representations. However, most existing methods only deploy graph neural networks on parallel interaction graphs and treat the information propagated from all neighbors as equivalent, failing to adaptively capture user preferences. Therefore, the representations obtained may contain redundant or even noisy information, leading to non-robustness and suboptimal performance. The recently proposed Multimodal Graph Attention Network (MGAT) disentangles personal interests at the granularity of modality, operating on individual modal interaction graphs while utilizing a gated attention mechanism to differentiate the impacts of different modalities on user preferences. However, MGAT merely uses averaging to fuse multimodal features, which might overlook unique or critical information within each modality. To address this issue, this paper proposes a multimodal preference-based graph attention network. Firstly, for each individual modality, a single-modality graph network is constructed by integrating the user-item interaction bipartite graph, enabling it to learn user preferences for that modality. GNNs are used to aggregate neighborhood information and enhance the representation of each node. Additionally, a GRU module is utilized to determine whether to aggregate neighborhood information, thereby achieving noise reduction. In addition, a lightweight complementary attention mechanism is proposed to fuse user and item representations learned from different modal graphs. The complementary attention mechanism can not only avoid information redundancy, but also alleviate the problem of modal loss to a certain extent, and ultimately input the fusion results into the prediction module. Experimental results on the MovieLens and TikTok datasets demonstrate the effectiveness of the multimodal information and attention fusion mechanism in improving recommendation accuracy. Compared to baseline state-of-the-art algorithms, the proposed model achieves significant improvements in the Precision@K, Recall@K, NDCG@K and AUC metrics. Our code is publicly available on GitHub: [https://github.com/Oasisway624/mgpat].</t>
  </si>
  <si>
    <t>[Wang, Shuo; Yang, Jing; Shang, Fanshu] Harbin Engn Univ, Harbin 150001, Peoples R China</t>
  </si>
  <si>
    <t>Harbin Engineering University</t>
  </si>
  <si>
    <t>Yang, J (corresponding author), Harbin Engn Univ, Harbin 150001, Peoples R China.</t>
  </si>
  <si>
    <t>tuzi@hrbeu.edu.cn; yangjing@hrbeu.edu.cn; hgcsfs@hrbeu.edu.cn</t>
  </si>
  <si>
    <t>Wang, Shuo/LIA-8273-2024</t>
  </si>
  <si>
    <t>Wang, Shuo/0000-0001-7462-1043</t>
  </si>
  <si>
    <t>0920-8542</t>
  </si>
  <si>
    <t>1573-0484</t>
  </si>
  <si>
    <t>J SUPERCOMPUT</t>
  </si>
  <si>
    <t>J. Supercomput.</t>
  </si>
  <si>
    <t>10.1007/s11227-024-06200-y</t>
  </si>
  <si>
    <t>Computer Science, Hardware &amp; Architecture; Computer Science, Theory &amp; Methods; Engineering, Electrical &amp; Electronic</t>
  </si>
  <si>
    <t>C5E8H</t>
  </si>
  <si>
    <t>WOS:001251113700003</t>
  </si>
  <si>
    <t>Yao, XL; Zhao, YXC; Song, SJ; Wang, XL</t>
  </si>
  <si>
    <t>Yao, Xinlin; Zhao, Yuxiang Chris; Song, Shijie; Wang, Xiaolun</t>
  </si>
  <si>
    <t>Beyond disclosure: the role of self-identity and context collapse in privacy management on identified social media for LGBTQ plus people</t>
  </si>
  <si>
    <t>Self-identity; Context collapse; Communication privacy management; Identified social media; LGBTQ plus</t>
  </si>
  <si>
    <t>PSYCHOLOGICAL OWNERSHIP; MENTAL-HEALTH; INFORMATION; ONLINE; NETWORK; SUPPORT; COMMUNICATION; EXPERIENCES; BEHAVIOR; USERS</t>
  </si>
  <si>
    <t>Purpose While anonymous online interactions could be helpful and less risky, they are usually not enough for LGBTQ+ people to satisfy the need of expressing their marginalized identity to networks of known ties (i.e. on identified social media like Facebook, WeChat, and TikTok). However, identified social media bring LGBTQ+ people both sources and challenges like context collapse that flattens diverse networks or audiences that are originally separated. Previous studies focus on LGBTQ+ people's disclosure and responses to context collapse, few studies investigate how their perceptions of context collapse are shaped and their privacy management beyond regulating disclosure on social media. Drawing on identity theory and communication privacy management (CPM), this study aims to investigate how the need of LGBTQ+ people for self-identity affects their perceived context collapse and results in privacy management on identified social media. Design/methodology/approach Given the target population is LGBTQ+ people, The authors recruited participants through active LGBTQ+ online communities, influential LGBTQ+ activists, and the snowballing sampling. The authors empirically examined the proposed model using the PLS-SEM technique with a valid sample of 232 respondents concerning their identity practices and privacy management on WeChat, a typical and popular identified social media in China. Findings The results suggested that the need for expressing the self and the need for maintaining continuity of self-identity have significant influences on perceived context collapse, but vary in directions. The perceived context collapse will motivate LGBTQ+ individuals to engage in privacy management to readjust rules on ownership, access, and extension. However, only ownership management helps them regain the perceived privacy control on social media. Originality/value This study incorporated and highlighted the influence of LGBTQ+ identity in shaping context collapse and online privacy management. This study contributes to the literature on privacy and information communication and yields practical implications, especially on improving privacy-related interactive design for identified social media services.</t>
  </si>
  <si>
    <t>[Yao, Xinlin] Nankai Univ, Business Sch, Tianjin, Peoples R China; [Zhao, Yuxiang Chris] Nanjing Univ Sci &amp; Technol, Sch Econ &amp; Management, Nanjing, Peoples R China; [Song, Shijie] Hohai Univ, Business Sch, Nanjing, Peoples R China; [Wang, Xiaolun] Nanjing Univ Aeronaut &amp; Astronaut, Coll Econ &amp; Management, Nanjing, Peoples R China</t>
  </si>
  <si>
    <t>Nankai University; Nanjing University of Science &amp; Technology; Hohai University; Nanjing University of Aeronautics &amp; Astronautics</t>
  </si>
  <si>
    <t>Zhao, Yuxiang/AFN-0341-2022; Yao, Xinlin/JHV-0707-2023; Song, Shijie/ABE-1182-2020</t>
  </si>
  <si>
    <t>Zhao, Yuxiang (Chris)/0000-0001-9281-3030; Song, Shijie/0000-0002-4544-2027; Wang, Xiaolun/0000-0001-7058-1208; Yao, Xinlin/0000-0002-9519-3807</t>
  </si>
  <si>
    <t>National Natural Science Foundation of China [72002103, 72204076]; Fundamental Research Funds for the Central Universities [63222055]</t>
  </si>
  <si>
    <t>National Natural Science Foundation of China(National Natural Science Foundation of China (NSFC)); Fundamental Research Funds for the Central Universities(Fundamental Research Funds for the Central Universities)</t>
  </si>
  <si>
    <t>The authors would like to acknowledge the financial support from the National Natural Science Foundation of China (#72002103, 72204076) and Fundamental Research Funds for the Central Universities (#63222055).</t>
  </si>
  <si>
    <t>10.1108/JD-04-2022-0080</t>
  </si>
  <si>
    <t>D3WL9</t>
  </si>
  <si>
    <t>WOS:000864848700001</t>
  </si>
  <si>
    <t>Perlis, RH; Green, J; Simonson, M; Ognyanova, K; Santillana, M; Lin, JN; Quintana, A; Chwe, H; Druckman, J; Lazer, D; Baum, MA; Della Volpe, J</t>
  </si>
  <si>
    <t>Perlis, Roy H.; Green, Jon; Simonson, Matthew; Ognyanova, Katherine; Santillana, Mauricio; Lin, Jennifer; Quintana, Alexi; Chwe, Hanyu; Druckman, James; Lazer, David; Baum, Matthew A.; Della Volpe, John</t>
  </si>
  <si>
    <t>Association Between Social Media Use and Self-reported Symptoms of Depression in US Adults</t>
  </si>
  <si>
    <t>IMPORTANCE Some studies suggest that social media use is associated with risk for depression, particularly among children and young adults. OBJECTIVE To characterize the association between self-reported use of individual social media platforms and worseningof depressive symptoms among adults. DESIGN. SETTING, AND PARTICIPANTS This survey study included data from 13 waves of a nonprobability internet survey conducted approximately monthly between May 2020 and May 2021 among individuals aged 18 years and older in the US. Data were analyzed in July and August 2021. MAIN OUTCOMES AND MEASURES Logistic regression was applied without reweighting, with a 5 point or greater increase in 9-item Patient Health Questionnaire (PHQ-9) score as outcome and participant sociodemographic features, baseline PHQ-9, and use of each social media platform as independent variables. RESULTS In total, 5395 of 8045 individuals (67.1%) with a PHQ-9 score below 5 on initial survey completed a second PHQ-9. These respondents had a mean (SD) age of 55.8 (15.2) years; 3546 respondents (65.7%) identified as female; 329 respondents (6.1%) were Asian, 570 (10.6%) Black, 256 (4.7%) Hispanic, 4118 (76.3%) White, and 122 (2.3%) American Indian or Alaska Native, Pacific Islander or Native Hawaiian, or other. Among eligible respondents, 482 (8.9%) reported 5 points or greater worsening of PHQ-9 score at second survey. In fully adjusted models for increase in symptoms, the largest adjusted odds ratio (aOR) associated with social media use was observed for Snapchat (aOR, 1.53; 95% CI, 1.19-1.96), Facebook (aOR, 1.42; 95% CI, 1.10481), and TikTok (aOR, 1.39; 95% CI, 1.03-1.87). CONCLUSIONS AND RELEVANCE Among survey respondents who did not report depressive symptoms initially, social media use was associated with greater likelihood of subsequent increase in depressive symptoms after adjustment for sociodemographic features and news sources. These data cannot elucidate the nature of this association, but suggest the need for further study to understand how social media use may factor into depression among adults.</t>
  </si>
  <si>
    <t>[Perlis, Roy H.] Massachusetts Gen Hosp, 185 Cambridge St,6th Floor, Boston, MA 02114 USA; [Perlis, Roy H.; Santillana, Mauricio] Harvard Med Sch, Boston, MA 02115 USA; [Green, Jon; Simonson, Matthew; Quintana, Alexi; Chwe, Hanyu; Lazer, David] Northeastern Univ, Boston, MA 02115 USA; [Santillana, Mauricio] Boston Childrens Hosp, Boston, MA USA; [Lin, Jennifer; Druckman, James] Northwestern Univ, Evanston, IL USA; [Baum, Matthew A.; Della Volpe, John] Harvard Univ, Cambridge, MA 02138 USA</t>
  </si>
  <si>
    <t>Harvard University; Massachusetts General Hospital; Harvard University; Harvard Medical School; Northeastern University; Harvard University; Boston Children's Hospital; Northwestern University; Harvard University</t>
  </si>
  <si>
    <t>Perlis, RH (corresponding author), Massachusetts Gen Hosp, 185 Cambridge St,6th Floor, Boston, MA 02114 USA.</t>
  </si>
  <si>
    <t>rperlis@mgh.harvard.edu</t>
  </si>
  <si>
    <t>Ognyanova, Katherine/M-4824-2019</t>
  </si>
  <si>
    <t>National Institute of Mental Health [R01MH116270]</t>
  </si>
  <si>
    <t>This study was supported by the National Institute of Mental Health (grant No. R01MH116270; Dr Perlis).</t>
  </si>
  <si>
    <t>e2136113</t>
  </si>
  <si>
    <t>10.1001/jamanetworkopen.2021.36113</t>
  </si>
  <si>
    <t>XD4ZK</t>
  </si>
  <si>
    <t>WOS:000722718900006</t>
  </si>
  <si>
    <t>Gum, L; Brown, A; Royals, R; Matricciani, L; Kelly, MA</t>
  </si>
  <si>
    <t>Gum, Lyn; Brown, Angela; Royals, Rebecca; Matricciani, Lisa; Kelly, Michelle A.</t>
  </si>
  <si>
    <t>Digital professionalism in preregistration nursing and midwifery students: A scoping review to explore perceptions of professionalism when using social media</t>
  </si>
  <si>
    <t>NURSE EDUCATION IN PRACTICE</t>
  </si>
  <si>
    <t>Digital; Professionalism; Nursing; Midwifery; Policy; Preregistration students; Social media</t>
  </si>
  <si>
    <t>Aim: This review aimed to scope the literature by examining preregistration nursing and midwifery students' perceptions regarding professional use of social media. Background: Digital professionalism refers to the competence required when interacting online, such as social network platforms by maintaining the values and attitudes which align with professional codes of conduct. With increasing social media platforms being used by nursing and midwifery students, there are concerns about professional behaviour and the implications for those who may not be clear on its use in the professional context of their profession. Design: Methodology included utilising best-practice guidelines for undertaking scoping reviews. The PCC framework (population, concept and context) was applied to this review; Population - preregistration nursing and/or midwifery students; Concept/s- professionalism when using social media platforms; and Context - preregistration (undergraduate) or entry level students studying either midwifery or nursing. The databases included in the review were MEDLINE, CINAHL, Embase (OVID) and Scopus due to their relevancy to health professional education, identifying 1087 articles up to May 2024, which were screened independently by two reviewers. Seventeen articles (17) met the inclusion criteria. Content analysis assisted with mapping of themes and subthemes. Results: The year of publication of the 17 primary studies ranged from 2012 to 2023. Twelve studies were cross-sectional, one was a randomised controlled trial, one was a retrospective analysis and three were qualitative designs. A wide number of countries were represented. Social media platforms included Facebook, Instagram, Twitter, WhatsApp, Snapchat, YouTube, WeChat, Ozone, QQ, Sina Weibo, TikTok and LinkedIn. Two major themes represented nursing and/or midwifery student views and experiences with their professional engagement when using social media, with a focus on digital professionalism: Professional Boundaries and Responsibility and Accountability. Conclusions: There is a need to ensure nursing and midwifery students are aware of social media policies and procedures which must have a strong presence within preregistration curricula. Further research is required to co-design and facilitate clear guidelines and further education on digital professionalism.</t>
  </si>
  <si>
    <t>[Gum, Lyn; Brown, Angela; Royals, Rebecca; Matricciani, Lisa; Kelly, Michelle A.] Univ South Australia, Clin &amp; Hlth Sci, Adelaide, SA, Australia; [Brown, Angela; Matricciani, Lisa] Rosemary Bryant AO Res Ctr, Adelaide, SA, Australia; [Matricciani, Lisa] Univ South Australia, Alliance Res Exercise Nutr &amp; Act ARENA, Adelaide, Australia</t>
  </si>
  <si>
    <t>University of South Australia; University of South Australia</t>
  </si>
  <si>
    <t>Gum, L (corresponding author), Univ South Australia, Adelaide, Australia.</t>
  </si>
  <si>
    <t>Lyn.Gum@unisa.edu.au</t>
  </si>
  <si>
    <t>Kelly, Michelle/V-3927-2019; Matricciani, Lisa/AFP-0187-2022; Gum, Lyn/GQS-8256-2022; Brown, Angela/H-6221-2016</t>
  </si>
  <si>
    <t>Matricciani, Lisa/0000-0002-4480-4188; Kelly, Michelle/0000-0002-6380-1150; Gum, Lyn/0000-0003-1418-0164; Brown, Angela/0000-0002-9170-8244</t>
  </si>
  <si>
    <t>1471-5953</t>
  </si>
  <si>
    <t>1873-5223</t>
  </si>
  <si>
    <t>NURSE EDUC PRACT</t>
  </si>
  <si>
    <t>Nurse Educ. Pract.</t>
  </si>
  <si>
    <t>10.1016/j.nepr.2024.104128</t>
  </si>
  <si>
    <t>H1Z6V</t>
  </si>
  <si>
    <t>WOS:001321495100001</t>
  </si>
  <si>
    <t>Ni, CX; Fei, YB; Wu, R; Cao, WX; Liu, WH; Huang, F; Shen, FM; Li, DJ</t>
  </si>
  <si>
    <t>Ni, Chen-xu; Fei, Yi-bo; Wu, Ran; Cao, Wen-xiang; Liu, Wenhao; Huang, Fang; Shen, Fu-ming; Li, Dong-jie</t>
  </si>
  <si>
    <t>Tumor Immunotherapy-Related Information on Internet-Based Videos Commonly Used by the Chinese Population: Content Quality Analysis</t>
  </si>
  <si>
    <t>immunotherapy; internet videos; quality; misinformation; health informatics; Chinese</t>
  </si>
  <si>
    <t>Background: Tumor immunotherapy is an innovative treatment today, but there are limited data on the quality of immunotherapy information on social networks. Dissemination of misinformation through the internet is a major social issue. Objective: Our objective was to characterize the quality of information and presence of misinformation about tumor immunotherapy on internet-based videos commonly used by the Chinese population. Methods: Using the keyword tumor immunotherapy in Chinese, we searched TikTok, Tencent, iQIYI, and BiliBili on March 5, 2022. We reviewed the 118 screened videos using the Patient Education Materials Assessment Tool-a validated instrument to collect consumer health information. DISCERN quality criteria and the JAMA (Journal of the American Medical Association) Benchmark Criteria were used for assessing the quality and reliability of the health information. The videos' content was also evaluated. Results: The 118 videos about tumor immunotherapy were mostly uploaded by channels dedicated to lectures, health-related animations, and interviews; their median length was 5 minutes, and 79% of them were published in and after 2018. The median understandability and actionability of the videos were 71% and 71%, respectively. However, the quality of information was moderate to poor on the validated DISCERN and JAMA assessments. Only 12 videos contained misinformation (score of &gt;1 out of 5). Videos with a doctor (lectures and interviews) not only were significantly less likely to contain misinformation but also had better quality and a greater forwarding number. Moreover, the results showed that more than half of the videos contain little or no content on the risk factors and management of tumor immunotherapy. Overall, over half of the videos had some or more information on the definition, symptoms, evaluation, and outcomes of tumor immunotherapy. Conclusions: Although the quality of immunotherapy information on internet-based videos commonly used by Chinese people is moderate, these videos have less misinformation and better content. Caution must be exercised when using these videos as a source of tumor immunotherapy-related information.</t>
  </si>
  <si>
    <t>[Ni, Chen-xu; Fei, Yi-bo; Wu, Ran; Cao, Wen-xiang; Liu, Wenhao; Huang, Fang; Shen, Fu-ming; Li, Dong-jie] Shanghai Tenth Peoples Hosp, 301 Middle Yanchang Rd, Shanghai 200072, Peoples R China</t>
  </si>
  <si>
    <t>Li, DJ (corresponding author), Shanghai Tenth Peoples Hosp, 301 Middle Yanchang Rd, Shanghai 200072, Peoples R China.</t>
  </si>
  <si>
    <t>djli@tongji.edu.cn</t>
  </si>
  <si>
    <t>HUANG, FANG/JBS-3517-2023; Li, Dong-Jie/AAQ-5991-2020</t>
  </si>
  <si>
    <t>Li, Dong-Jie/0000-0002-7119-9374; liu, wen hao/0009-0005-4132-0419</t>
  </si>
  <si>
    <t>Chinese Pharmaceutical Association Hospital Pharmacy department [CPA-Z05-ZC-2023002]; Program for research-oriented physicians of Shanghai Tenth People's Hospital [2023LCYJFZRC002]; Chongming 2022 Science and Technology Innovation Action Plan [CKY2022-24]</t>
  </si>
  <si>
    <t>Chinese Pharmaceutical Association Hospital Pharmacy department; Program for research-oriented physicians of Shanghai Tenth People's Hospital; Chongming 2022 Science and Technology Innovation Action Plan</t>
  </si>
  <si>
    <t>This work was supported by a research project designed by the Chinese Pharmaceutical Association Hospital Pharmacy department (CPA-Z05-ZC-2023002) , program for research-oriented physicians of Shanghai Tenth People's Hospital (grant 2023LCYJFZRC002) , and Chongming 2022 Science and Technology Innovation Action Plan (CKY2022-24) .</t>
  </si>
  <si>
    <t>e50561</t>
  </si>
  <si>
    <t>10.2196/50561</t>
  </si>
  <si>
    <t>IG5C7</t>
  </si>
  <si>
    <t>WOS:001165179600003</t>
  </si>
  <si>
    <t>Helbach, J; Stahlmann, K</t>
  </si>
  <si>
    <t>Helbach, Jasmin; Stahlmann, Katharina</t>
  </si>
  <si>
    <t>Changes in Digital Media Use and Physical Activity in German Young Adults under the Covid-19 Pandemic-A Cross-Sectional Study</t>
  </si>
  <si>
    <t>JOURNAL OF SPORTS SCIENCE AND MEDICINE</t>
  </si>
  <si>
    <t>Screen time; social media; exercise; COVID-19; young adults</t>
  </si>
  <si>
    <t>BODY-IMAGE; HEALTH; EXERCISE; VALIDITY; TIME</t>
  </si>
  <si>
    <t>Many studies observed a reduction of physical activity (PA) and an increase in digital media use in young adults during the COVID-19 pandemic. However, few studies have been conducted in Europe or looked at changes in the association between both behaviors. Hence, this study aims at investigating the changes in digital media use/social media use and PA as well as in its association among young adults in Germany. Cross-sectional data of 884 German young adults (mean age 22.36 (+/- 1.99), 76% female) collected via an online questionnaire between August 1 and September 30, 2020 were analyzed. Participants reported on digital media use (smartphone, television, computer, gaming console), social media use (Facebook, Instagram, Snap chat, Twitter, YouTube, TikTok) and PA (days/week of &gt;= 30 min. PA) separately for the period of strict infection control measures in Germany (March end of May 2020) and for normal times (before March 2020). Descriptive statistics of digital media use, social media use and PA were compared between both periods. Linear regression adjusted for sociodemographic and work-related characteristics were conducted for both periods with total media use, the various media devices and social media use, respectively, as independent and PA as dependent variables. Whereas PA did not differ between both periods, mean total digital media use increased by 1 hour during the period of strict infection control measures. Digital media use and social media use were negatively associated with PA in both time periods. Differences in these associations by sex could be found for some digital media devices. However, 60% of respondents did not comply with the WHO recommendations for PA. Under consideration of possible recall bias, young adults' digital media use, but not PA, seemed to have changed under the strict infection control measures. However, interventions are needed to increase PA and to prevent its reduction in the course of the pandemic.</t>
  </si>
  <si>
    <t>[Helbach, Jasmin; Stahlmann, Katharina] Univ Bremen, Hlth Sci Bremen, Bremen, Germany; [Stahlmann, Katharina] Friedrich Ebert Str 195, D-28199 Bremen, Germany</t>
  </si>
  <si>
    <t>University of Bremen</t>
  </si>
  <si>
    <t>Stahlmann, K (corresponding author), Univ Bremen, Hlth Sci Bremen, Bremen, Germany.;Stahlmann, K (corresponding author), Friedrich Ebert Str 195, D-28199 Bremen, Germany.</t>
  </si>
  <si>
    <t>helbach@uni-bremen.de; kstahlma@uni-bremen.de</t>
  </si>
  <si>
    <t>Stahlmann, Katharina/0000-0002-4704-310X</t>
  </si>
  <si>
    <t>JOURNAL SPORTS SCIENCE &amp; MEDICINE</t>
  </si>
  <si>
    <t>BURSA</t>
  </si>
  <si>
    <t>MEDICAL FACULTY ULUDAG UNIV, DEPT SPORTS MEDICINE, BURSA, 16059, TURKEY</t>
  </si>
  <si>
    <t>1303-2968</t>
  </si>
  <si>
    <t>J SPORT SCI MED</t>
  </si>
  <si>
    <t>J. Sport. Sci. Med.</t>
  </si>
  <si>
    <t>10.52082/jssm.2021.642</t>
  </si>
  <si>
    <t>WD4CH</t>
  </si>
  <si>
    <t>WOS:000704890300007</t>
  </si>
  <si>
    <t>Beyer, J</t>
  </si>
  <si>
    <t>Beyer, Judith</t>
  </si>
  <si>
    <t>Knitting masculinities: How men are challenging masculinity and needlework in a post-pandemic age</t>
  </si>
  <si>
    <t>gender fluidity; new masculinity; slow fashion; craftcore; pandemic fashion; embroidery</t>
  </si>
  <si>
    <t>The JW Anderson patchwork cardigan from the spring/summer 2020 menswear collection has become an iconic fashion item during the COVID-19 pandemic. Worn by Harry Styles, the cardigan inspired a worldwide TikTok trend of crafting and DIY-ing a replica at home with over 90 million views to date. In response, JW Anderson published the pattern online and the V&amp;A museum acquired the knitwear for its permanent collection. One year later, Olympic gold medallist Tom Daley was pictured knitting in the stands at the 2020 Olympic games - a craft he had picked up during the lockdowns. Both instances are challenging the notion of knitting and needlework as a feminine craft. In the past, men who embroidered, knitted or sewed their clothes were designated as infantile, effeminate and deviant from the hetero masculine norm. In today's post-pandemic climate, these associations are being challenged. Taking the cardigan and the resurgence of needlework as a case study, this article investigates the ways the COVID-19 pandemic influenced contemporary fashion consumption and re-stitched the meaning of male knitting. Focusing on the transformative aspects of slow fashion and gender fluidity in contemporary society, this article draws on a theoretical framework deriving from queer theory and sustainable fashion. Coined by Kate Fletcher, slow fashion encompasses a recalibration towards a focus on high-quality items over quantity and a slower production that does not exploit natural and human resources. Judith Butler's notion of gender performativity exposes gender as a social construct produced and maintained by a stylized repetition of acts, such as commonplace speech or nonverbal communication. Analysing the resurgence of male needlework through this critical lens, this article argues that it is the result of seismographic shifts within the contemporary fashion and popular culture that have been accelerated by the COVID-19 pandemic. Disrupting the fashion industry profoundly on a global scale, this article discusses how the pandemic can be seen as a catalyst for fashion in renegotiating masculinities.</t>
  </si>
  <si>
    <t>[Beyer, Judith] Massey Univ, Wallace St, Wellington 6021, New Zealand</t>
  </si>
  <si>
    <t>Massey University</t>
  </si>
  <si>
    <t>Beyer, J (corresponding author), Massey Univ, Wallace St, Wellington 6021, New Zealand.</t>
  </si>
  <si>
    <t>judithbeyer@gmx.com</t>
  </si>
  <si>
    <t>10.1386/fspc_00121_1</t>
  </si>
  <si>
    <t>F0S1H</t>
  </si>
  <si>
    <t>WOS:001306994400004</t>
  </si>
  <si>
    <t>Al-Mamun, F; Kaggwa, MM; Hosen, I; Sikder, MT; Griffiths, MD; Mamun, MA</t>
  </si>
  <si>
    <t>Al-Mamun, Firoj; Kaggwa, Mark Mohan; Hosen, Ismail; Sikder, Md. Tajuddin; Griffiths, Mark D.; Mamun, Mohammed A.</t>
  </si>
  <si>
    <t>Suicide related to the COVID-19 pandemic in India: A systematic review</t>
  </si>
  <si>
    <t>DISCOVER PSYCHOLOGY</t>
  </si>
  <si>
    <t>COVID-19 suicide; Suicide; Suicidal behavior; Suicide risk factors; Suicide methods; Media reported suicide</t>
  </si>
  <si>
    <t>BANGLADESH; RISK</t>
  </si>
  <si>
    <t>BackgroundThe suicide rate has increased during the pandemic in India. Moreover, several studies, especially press-media reporting suicide studies have been conducted but no systematic review has been attempted in this context. Therefore, the present study systematically investigated the risk factors associated with suicidal behaviors, and the method of suicide during the COVID-19 pandemic in India.MethodsFollowing the PRISMA guidelines, a systematic search was performed to include papers published up until September 30, 2022. From an initial 144 papers, 18 studies which met the inclusion criteria were included in the present review. The Pierson's method was used for quality assessment of the included studies in the present review.ResultsThe risk factors associated with suicide comprised: (i) socio-demographic factors (e.g., being aged between 31 and 50 years, male, married, unemployed), (ii) behavior and health-related factors (e.g., unavailability of alcohol and alcohol withdrawal symptoms, poor state of physical health and health issues, family disputes, relationship complexities, and sexual harassment), (iii) COVID-19-related factors (e.g., fear of COVID-19, COVID-19 test results, quarantine or isolation, financial hardship due to the pandemic, having influenza-like symptoms, experiencing stigmatization and ostracism despite testing negative, separation from family due to transport restrictions, misinterpreting other illness symptoms as COVID-19, saving the village from infection, watching COVID-19 videos on social media, online schooling, perceived stigma toward COVID-19, and being suspected of having COVID-19), and (iv) psychopathological stressors (depression, loneliness, stress, TikTok addiction, and poor mental health, suicidal tendencies, helplessness, and worrying). Hanging was the most common method of suicide. In addition, jumping from high buildings, poisoning, drowning, burning, cutting or slitting throat or wrists, self-immolation, medication overdose, electrocution, pesticide, and gun-shot were also used to carry out the suicide.ConclusionsFindings from this research suggest multiple reasons for suicide during the COVID-19 pandemic and knowledge of such factors could aid in developing suicide prevention strategies focusing the most vulnerable cohorts inside and outside India.</t>
  </si>
  <si>
    <t>[Al-Mamun, Firoj; Hosen, Ismail; Mamun, Mohammed A.] CHINTA Res Bangladesh, Savar 1342, Bangladesh; [Al-Mamun, Firoj; Hosen, Ismail; Sikder, Md. Tajuddin; Mamun, Mohammed A.] Jahangirnagar Univ, Dept Publ Hlth &amp; Informat, Savar 1342, Bangladesh; [Al-Mamun, Firoj] Univ South Asia, Dept Publ Hlth, Savar, Bangladesh; [Kaggwa, Mark Mohan] Mbarara Univ Sci &amp; Technol, Fac Med, Dept Psychiat, Mbarara, Uganda; [Griffiths, Mark D.] Nottingham Trent Univ, Psychol Dept, Int Gaming Res Unit, Nottingham, England; [Kaggwa, Mark Mohan] McMaster Univ, Dept Psychiat &amp; Behav Neurosci, Hamilton, ON, Canada</t>
  </si>
  <si>
    <t>Jahangirnagar University; Mbarara University of Science &amp; Technology; Nottingham Trent University; McMaster University</t>
  </si>
  <si>
    <t>Mamun, MA (corresponding author), CHINTA Res Bangladesh, Savar 1342, Bangladesh.;Mamun, MA (corresponding author), Jahangirnagar Univ, Dept Publ Hlth &amp; Informat, Savar 1342, Bangladesh.</t>
  </si>
  <si>
    <t>Kaggwa, Mark/AAD-9733-2021; Al Mamun, Firoj/AAX-8208-2021; Hosen, Ismail/GLR-7097-2022</t>
  </si>
  <si>
    <t>Mamun, Mohammed/0000-0002-1728-8966; Hosen, Ismail/0000-0001-6406-7325; Al-Mamun, Firoj/0000-0003-4611-9624</t>
  </si>
  <si>
    <t>2731-4537</t>
  </si>
  <si>
    <t>DISCOV PSYCHOL</t>
  </si>
  <si>
    <t>Discov. Psychol.</t>
  </si>
  <si>
    <t>10.1007/s44202-022-00063-1</t>
  </si>
  <si>
    <t>G9C6J</t>
  </si>
  <si>
    <t>WOS:001319536500001</t>
  </si>
  <si>
    <t>Crano, R</t>
  </si>
  <si>
    <t>Crano, Ricky</t>
  </si>
  <si>
    <t>The Joy of Following: Network Fascism and the Micropolitics of the Social Media Image</t>
  </si>
  <si>
    <t>DELEUZE AND GUATTARI STUDIES</t>
  </si>
  <si>
    <t>social media; Spinoza; joy; desire; fascism; micropolitics</t>
  </si>
  <si>
    <t>This article deploys Spinoza's ethic of joy alongside Deleuze and Guattari's exposition of micropolitics to expose how fascist desires and affects bloom and circulate through digital communications ecosystems that generally promote a diffusion or decentralisation of power. Beyond the steady barrage of alt-right content conscientiously documented by liberal journalists and progressive watchdogs, a more persistent and widespread fascist impulse permeates the very forms of some of our most banal digitally mediated acts and encounters. Rather than a sole looming authoritarian figurehead, the network itself - particularly with the new image paradigms propelled by apps such as Instagram and TikTok - has become the rallying point for the circulation of fascistic affects, burnished through the art and ethos of following: of rules, routines, protocols, accounts. I contend that a joyful passion accompanies much of this everyday experience of keeping up with one's feeds, engaging the platforms, participating in the spectacles. This is what Sontag, interrogating the appeal of the Third Reich, calls the 'joy of followers', a joy in fascist belonging, which is to suggest that fascist movements thrive not only on the circulation of negative affects like hatred and fear, but also on the profusion of pleasure and affiliation. Deleuze's Spinoza, resolutely anti-fascist, helps us parse this situation as it plays out in the social media sphere. Spinoza offers a bipartite conceptualisation of joy that allows us to diagnose the pleasures particular to fascist belonging and network belonging alike as passive, partial and indirect. Ultimately, what we today share with historical fascisms is a ubiquitous aesthetic that merges art with life and bodies with information, and a corresponding ethos that cultivates conformism, barbarises critical thought and redirects joyful impulses into reactionary social forms. As fascistic power relations spread anew through digital cultures' newly evolving modes of visuality, hapticity, vibration and expression, one can observe something of what Deleuze calls 'sad joy', a sort of joy rooted in conquest and domination. The aim of this article is to root out such sad joys, to appreciate their appeal, and ultimately to reject them in all their various forms.</t>
  </si>
  <si>
    <t>[Crano, Ricky] Univ Calif Irvine, Irvine, CA 92697 USA</t>
  </si>
  <si>
    <t>University of California System; University of California Irvine</t>
  </si>
  <si>
    <t>Crano, R (corresponding author), Univ Calif Irvine, Irvine, CA 92697 USA.</t>
  </si>
  <si>
    <t>2398-9777</t>
  </si>
  <si>
    <t>2398-9785</t>
  </si>
  <si>
    <t>DELEUZE GUATTARI STU</t>
  </si>
  <si>
    <t>Deleuze Guattari Stud.</t>
  </si>
  <si>
    <t>10.3366/dlgs.2022.0478</t>
  </si>
  <si>
    <t>1D8GR</t>
  </si>
  <si>
    <t>WOS:000794034900007</t>
  </si>
  <si>
    <t>Xi, MY</t>
  </si>
  <si>
    <t>Xi, Mengying</t>
  </si>
  <si>
    <t>RETRACTED: Reconstruction of New Media Art Ecology Based on Intelligent Technology Environment (Retracted Article)</t>
  </si>
  <si>
    <t>WIRELESS COMMUNICATIONS &amp; MOBILE COMPUTING</t>
  </si>
  <si>
    <t>SYSTEM</t>
  </si>
  <si>
    <t>With the rapid development of modern multimedia technology and Internet technology, the traditional media in people's daily life, including newspapers, magazines, radio, and television, are far less timely and extensive than the new media that use the Internet to spread, such as today's headlines, microblog, TikTok, and NetEase News. In the process of its own development, Internet new media has gradually derived new media art, which is different from traditional art forms, with the mixture of sound, light, and electricity as the form of expression and the Internet as the media. The wide spread of new media art depends very much on the development of the Internet. In the early stage, the audience of new media is not wide, such as Tianya Forum and Sina blog. It is only for information exchange and communication with people who use the computer Internet. At the same time, the content shared is limited to words and pictures. When the computer Internet began to popularize and the mobile network terminal began to develop, new media art immediately sprouted. Starting from instant messaging, Tencent QQ integrates the strengths of all kinds of new media and promotes the further development of new media art. Standing at the juncture of 2022, after more than ten years of continuous innovation and development, the expression terminal has come from the computer to the mobile phone we use every day. The media has quickly entered the 5 g network from 2G and 3G networks, and the communication path and time have been quite flexible. In addition, AI (artificial intelligence) and other intelligent technologies have begun to enter people's daily life. The combination of intelligent technology and new media art has brought new media art into another period of transformation and sublimation. This paper will discuss that in the current environment where intelligent technology has begun to be popularized in people's daily life, new media art achieves the result of ecological reconstruction by innovating and deepening its own characteristics in combination with intelligent technology.</t>
  </si>
  <si>
    <t>[Xi, Mengying] Beijing Univ Posts &amp; Telecommun, Business Adm Major, Zhengzhou 450003, Henan, Peoples R China</t>
  </si>
  <si>
    <t>Xi, MY (corresponding author), Beijing Univ Posts &amp; Telecommun, Business Adm Major, Zhengzhou 450003, Henan, Peoples R China.</t>
  </si>
  <si>
    <t>18407251@masu.edu.cn</t>
  </si>
  <si>
    <t>1530-8669</t>
  </si>
  <si>
    <t>1530-8677</t>
  </si>
  <si>
    <t>WIREL COMMUN MOB COM</t>
  </si>
  <si>
    <t>Wirel. Commun. Mob. Comput.</t>
  </si>
  <si>
    <t>10.1155/2022/8084536</t>
  </si>
  <si>
    <t>3L9EX</t>
  </si>
  <si>
    <t>WOS:000835064700003</t>
  </si>
  <si>
    <t>Sagrera, CE; Magner, J; Temple, J; Lawrence, R; Magner, TJ; Avila-Quintero, VJ; McPherson, P; Alderman, LL; Bhuiyan, MAN; Patterson, JC; Murnane, KS</t>
  </si>
  <si>
    <t>Sagrera, Caroline. E. E.; Magner, Johnette; Temple, Jazzlynn; Lawrence, Robert; Magner, Timothy. J. J.; Avila-Quintero, Victor. J. J.; McPherson, Pamela; Alderman, Laura Lane; Bhuiyan, Mohammad Alfrad Nobel; Patterson, James. C. C.; Murnane, Kevin. S. S.</t>
  </si>
  <si>
    <t>Social media use and body image issues among adolescents in a vulnerable Louisiana community</t>
  </si>
  <si>
    <t>Louisiana; social media; public health; adolescent; social determinants of health; disparities; body image</t>
  </si>
  <si>
    <t>NETWORK SITE USE; MENTAL-HEALTH; DISSATISFACTION; APPEARANCE; GIRLS; ASSOCIATIONS; EXPOSURE; FACEBOOK; PEER; COMORBIDITY</t>
  </si>
  <si>
    <t>Widespread concern has been expressed regarding unrealistic body image and adolescent eating disorder promoting content on social media (SM) platforms. Numerous research studies have examined the impact of SM on body image as well as social vulnerability on negative mental health outcomes. Despite this, few previous studies have examined the impact of SM on body image specifically in vulnerable, underserved, or predominantly minority communities. This study examines the impact of SM on body image issues (BII) in adolescents in a public school system where greater than 50% of the students live in impoverished households. In late 2019, high school student leaders in Northwest Louisiana developed a survey alongside Step Forward, a collective impact initiative. Questions investigated adolescent SM use and mental health in Caddo Parish, namely BII. Teachers within Caddo Parish Public School System administered the survey. Out of the 11,248 total high school students in the school system, nearly 50% were sampled for a sample size of 5,070. Hypotheses included: (1) females were more likely to use SM than males, (2) increasing time spent on SM would correlate with females reporting BII, with males remaining largely unaffected, and (3) highly visual social media (HVSM) platforms would be associated with greater reports of BII than non-HVSM platforms. Results showed females were more likely to use SM (p &lt; 0.001) and report BII (p &lt; 0.001) compared to males, while both sexes reported BII with increasing time spent on SM (p &lt; 0.001). A diversity of platforms were associated with increased BII among SM users compared to non-users (p &lt; 0.001): Pinterest, Reddit, Snapchat, TikTok, Twitter, and YouTube. This conclusion is tempered by the omission of race as a variable in the study design, the use of self-report, and the use of an unvalidated instrument. These findings suggest that the harmful association between SM use and BII may transcend culture and socioeconomic status for a broadly deleterious effect on adolescent mental wellbeing.</t>
  </si>
  <si>
    <t>[Sagrera, Caroline. E. E.; Magner, Johnette; McPherson, Pamela; Alderman, Laura Lane; Patterson, James. C. C.; Murnane, Kevin. S. S.] Louisiana State Univ Hlth Shreveport, Sch Med, Dept Psychiat &amp; Behav Med, Shreveport, LA 71103 USA; [Sagrera, Caroline. E. E.; Magner, Johnette; Magner, Timothy. J. J.; McPherson, Pamela; Alderman, Laura Lane; Patterson, James. C. C.; Murnane, Kevin. S. S.] Louisiana Addict Res Ctr, Shreveport, LA 71103 USA; [Magner, Johnette] Louisiana Tech Univ, Sch Commun, Media Studies, Ruston, LA USA; [Temple, Jazzlynn; Lawrence, Robert] Caddo Parish Magnet High Sch, Shreveport, LA USA; [Avila-Quintero, Victor. J. J.] Child Study Ctr, Yale Sch Med, New Haven, CT USA; [Bhuiyan, Mohammad Alfrad Nobel] Louisiana State Univ Hlth Shreveport, Dept Internal Med, Div Clin Informat, Shreveport, LA USA; [Patterson, James. C. C.; Murnane, Kevin. S. S.] Louisiana State Univ Hlth Shreveport, Sch Grad Studies, Dept Pharmacol Toxicol &amp; Neurosci, Shreveport, LA USA</t>
  </si>
  <si>
    <t>Louisiana State University System; Louisiana State University Health Sciences Center at Shreveport; University of Louisiana System; Louisiana Technical University; Yale University; Louisiana State University System; Louisiana State University Health Sciences Center at Shreveport; Louisiana State University System; Louisiana State University Health Sciences Center at Shreveport</t>
  </si>
  <si>
    <t>Sagrera, CE (corresponding author), Louisiana State Univ Hlth Shreveport, Sch Med, Dept Psychiat &amp; Behav Med, Shreveport, LA 71103 USA.;Sagrera, CE (corresponding author), Louisiana Addict Res Ctr, Shreveport, LA 71103 USA.</t>
  </si>
  <si>
    <t>caroline.sagrera@lsuhs.edu</t>
  </si>
  <si>
    <t>Avila-Quintero, Victor/KUF-2253-2024; Bhuiyan, Mohammad/R-1947-2018</t>
  </si>
  <si>
    <t>Community Foundation of North Louisiana; Caddo Parish School System; TAC; Department of Psychiatry and Behavioral Medicine; Louisiana Addiction Research Center; Department of Pharmacology, Toxicology and Neuroscience at the Louisiana State University Health Sciences Center-Shreveport</t>
  </si>
  <si>
    <t>This work was supported by the Community Foundation of North Louisiana, Caddo Parish School System, and the TAC. It was then further supported by the Department of Psychiatry and Behavioral Medicine, the Louisiana Addiction Research Center, and the Department of Pharmacology, Toxicology and Neuroscience at the Louisiana State University Health Sciences Center-Shreveport.</t>
  </si>
  <si>
    <t>10.3389/fpsyt.2022.1001336</t>
  </si>
  <si>
    <t>6I2AT</t>
  </si>
  <si>
    <t>WOS:000885932400001</t>
  </si>
  <si>
    <t>Gurtner, M; Smith, M; Gage, R; Howey-Brown, A; Wang, XY; Latavao, T; Deng, JD; Zwanenburg, SP; Stanley, J; Signal, L</t>
  </si>
  <si>
    <t>Gurtner, Marcus; Smith, Moira; Gage, Ryan; Howey-Brown, Anna; Wang, Xinyi; Latavao, Tevita; Deng, Jeremiah D.; Zwanenburg, Sander P.; Stanley, James; Signal, Louise</t>
  </si>
  <si>
    <t>Objective Assessment of the Nature and Extent of Children's Internet-Based World: Protocol for the Kids Online Aotearoa Study</t>
  </si>
  <si>
    <t>JMIR RESEARCH PROTOCOLS</t>
  </si>
  <si>
    <t>public health; child health; internet; policy; methods; child; youth; methodology; student; human-computer interaction; digital health; eHealth; technology use; computer use; user experience; perception; attitude; internet use; screen time; perceived behavior; phone use; social media</t>
  </si>
  <si>
    <t>Background: Children under 18 years of age account for approximately 1 in 3 internet users worldwide. Largely unregulated, the internet-based world is evolving rapidly and becoming increasingly intrusive. There is a dearth of objective research globally on children's real-time experiences of the internet-based world. Objective: This paper reports an objective methodology to study the nature and extent of children's internet-based world, their engagement with it, and how this impacts their health and well-being. Methods: A total of 180 year 8 students from 12 schools will be recruited into the study within the Wellington region of Aotearoa, New Zealand. Children use Zoom video teleconferencing software to record real-time, screen-shared internet-based content, for 4 consecutive days. Data on demographics, health and well-being, and attitudes and perceived behaviors in relation to the internet-based world are collected. Phone screen-time balances are retrieved. Data collection commenced in June 2021 and is anticipated to be completed in 2023. Results: Recordings show children exploring diverse web-based settings and content, including personalized content curated by algorithms on platforms such as TikTok, YouTube, and Instagram. Preliminary analysis shows that the data can be used to study a wide range of topics. Behavioral Observation Research Interaction Software is being used to manually code recordings. Artificial Intelligence techniques are also being applied, including hashtag extraction, optical character recognition, as well as object, pattern, speech, and lyric recognition. Conclusions: This novel methodology reveals the unique internet-based experiences of children. It is underpinned by a commitment to ensuring that their rights are protected. It seeks to provide concrete evidence on internet usage in this group and to facilitate appropriate political and societal action to effectively regulate the internet-based world to prevent harm to children. International Registered Report Identifier (IRRID): DERR1-10.2196/39017</t>
  </si>
  <si>
    <t>[Gurtner, Marcus; Smith, Moira; Gage, Ryan; Howey-Brown, Anna; Wang, Xinyi; Latavao, Tevita; Stanley, James; Signal, Louise] Univ Otago, Dept Publ Hlth, 23 Mein St Newtown, Wellington 6021, New Zealand; [Deng, Jeremiah D.; Zwanenburg, Sander P.] Univ Otago, Dept Informat Sci, Dunedin, New Zealand</t>
  </si>
  <si>
    <t>Gurtner, M (corresponding author), Univ Otago, Dept Publ Hlth, 23 Mein St Newtown, Wellington 6021, New Zealand.</t>
  </si>
  <si>
    <t>marcus.gurtner@otago.ac.nz</t>
  </si>
  <si>
    <t>Wang, Xinyi/HJH-9845-2023; Zwanenburg, Sander/GXV-9527-2022; Deng, Jeremiah/A-1287-2008; Zwanenburg, Sander Paul/J-7688-2017</t>
  </si>
  <si>
    <t>Gurtner, Marcus/0000-0001-6341-2019; Deng, Jeremiah/0000-0003-3727-4403; Zwanenburg, Sander Paul/0000-0001-8049-3324; Wang, Xinyi/0000-0001-5228-0751; Howey Brown, Anna/0000-0002-2089-5759</t>
  </si>
  <si>
    <t>University of Otago Research Grant [20406]</t>
  </si>
  <si>
    <t>University of Otago Research Grant</t>
  </si>
  <si>
    <t>This research was supported by a University of Otago Research Grant (20406). We thank the children, parents, caregivers, and schools who participated in and supported this research.</t>
  </si>
  <si>
    <t>1929-0748</t>
  </si>
  <si>
    <t>JMIR RES PROTOC</t>
  </si>
  <si>
    <t>JMIR RES. Protoc.</t>
  </si>
  <si>
    <t>e39017</t>
  </si>
  <si>
    <t>10.2196/39017</t>
  </si>
  <si>
    <t>T4AV2</t>
  </si>
  <si>
    <t>WOS:001077439900015</t>
  </si>
  <si>
    <t>Qing, C; Jin, S</t>
  </si>
  <si>
    <t>Qing, Chenglin; Jin, Shanyue</t>
  </si>
  <si>
    <t>What Drives Consumer Purchasing Intention in Live Streaming E-Commerce?</t>
  </si>
  <si>
    <t>live streaming e-commerce; purchasing intention; perceived ease of use; perceived trust; perceived usefulness; perceived value; quality</t>
  </si>
  <si>
    <t>INFORMATION-SYSTEMS SUCCESS; TECHNOLOGY ACCEPTANCE MODEL; PERCEIVED VALUE; USER ACCEPTANCE; DECISION-MAKING; SOCIAL COMMERCE; SERVICE QUALITY; TRUST; EASE; EXTENSION</t>
  </si>
  <si>
    <t>The live streaming e-commerce market continues to grow with the rapid increase in contactless communication due to COVID-19. Live streaming e-commerce goes beyond the confines of traditional e-commerce of simply selling goods or services. It supplies information and allows synchronous information exchange between the online viewer (consumer) and the Internet celebrity, who influences the consumers information behavior and ultimately contributes to the long-term profit generation of the company. From online commerce to new retail and live streaming, China has been at the forefront of innovation in online commerce worldwide. Therefore, this study focuses on investigating the influences of live streaming e-commerce quality, such as service quality (SEQ), information quality (IQ), and system quality (SQ), on consumer purchase intention in China by applying the extended model of technology acceptance. Furthermore, this study analyzes the paths through which the live streaming e-commerce quality affects the consumer purchase intention, based on paths of perceived usefulness (PU), perceived ease of use (PEU), perceived trust (PT), and perceived value (PV). To analyze this study, the data were collected from 231 customers who had used live streaming e-commerce apps in China (e.g., TikTok, Taobao, and Jingdong) and empirical analysis was applied. The results were summarized as follows: SQ is positively related to PU and PT. Similarly, IQ is positively related to PEU and PT. In addition, SEQ is also positively related to PU and PEU. Moreover, SQ affected the PV through PU and PT significantly and ultimately influenced consumer PI. Also, the path in which SEQ affects PU, which in turn affects PV, and ultimately PI, was found. This study found out the paths of how the live streaming E-commerce quality affects the consumer purchasing intention and contributes to the research field of e-commerce and consumer behaviors. Additionally, the results of this study give useful marketing suggestions for relevant financial institutions and enterprises.</t>
  </si>
  <si>
    <t>[Qing, Chenglin] Honam Univ, Dept Business Adm, Gwangju, South Korea; [Jin, Shanyue] Gachon Univ, Coll Business, Seongnam, South Korea</t>
  </si>
  <si>
    <t>Honam University; Gachon University</t>
  </si>
  <si>
    <t>Jin, S (corresponding author), Gachon Univ, Coll Business, Seongnam, South Korea.</t>
  </si>
  <si>
    <t>jsyrena0923@gachon.ac.kr</t>
  </si>
  <si>
    <t>Qing, chenglin/0000-0003-0098-396X</t>
  </si>
  <si>
    <t>JUN 27</t>
  </si>
  <si>
    <t>10.3389/fpsyg.2022.938726</t>
  </si>
  <si>
    <t>3Q4MS</t>
  </si>
  <si>
    <t>WOS:000838207900001</t>
  </si>
  <si>
    <t>Senthil, N; Kumar, T</t>
  </si>
  <si>
    <t>Alareeni, B; Hamdan, A</t>
  </si>
  <si>
    <t>Senthil, Nirmala; Kumar, Tarun</t>
  </si>
  <si>
    <t>Reviving Nostalgia: Retro Revival of Streetwear Using Graphic Design</t>
  </si>
  <si>
    <t>NAVIGATING THE TECHNOLOGICAL TIDE: THE EVOLUTION AND CHALLENGES OF BUSINESS MODEL INNOVATION, VOL 3, ICBT 2024</t>
  </si>
  <si>
    <t>International Conference on Business and Technology on Navigating the Technological Tide - The Evolution and Challenges of Business Model Innovation (ICBT)</t>
  </si>
  <si>
    <t>APR 19-20, 2024</t>
  </si>
  <si>
    <t>Cambridge, ENGLAND</t>
  </si>
  <si>
    <t>Streetwear; Graphic design; Vintage aesthetics; Youth culture; Nostalgia; Fashion trends; Cultural resonance; Technological culture; social media impact</t>
  </si>
  <si>
    <t>The influence of the return of vintage aesthetics in streetwear design on the 15-25-year-old population is the main subject of this study. The research explores the origins of streetwear historically, following its development from underground subcultures to mainstream fashion. Examined as a cultural trend, the blending of nostalgia with contemporary design aspects captures the general need for comfort in the ever-changing world of fashion. The psychology of nostalgia's appeal to today's youth is examined, highlighting the cultural and emotional foundations fuelling retro-styled fashions' resurgence. A survey of the literature on the relationship between streetwear, graphic design trends, and the impact of social media and technological culture is incorporated into the research. Insights into the existing environment are obtained via analysis of market patterns and projections. The knitwear Capital of India, Tirupur, is the site of primary research that includes interviews with specialists in the field as well as surveys of the target population. The results provide insight into consumer purchase patterns, brand inclinations, and the revival of trend awareness. The study also examines streetwear's historical foundations, development, and effects on self-expression and cultural resonance. Recent scholarly discourse analyses the impact of digital culture and social media, particularly the function of platforms like Instagram and TikTok, on the retro revival trend. An overview of present and future trajectories is provided by reviewing market trends and projections. The study also explores success stories and brand strategies, concentrating on case studies like Adidas, Supreme, and Off-White. To guarantee a full grasp of the issue, the technique employs a thorough approach that includes primary research, market assessments, and literature studies. Key findings from the surveys and interviews are included in the results and discussions, which provide insights into market dynamics, brand strategy, and consumer motivations. The study's summary of its findings, recommendations for future research, and implications for experts in the field highlight the dynamic interplay between streetwear, nostalgia, and graphic design in the formation of modern fashion culture.</t>
  </si>
  <si>
    <t>[Senthil, Nirmala] PES Univ, Bangalore 560085, Karnataka, India; [Kumar, Tarun] Indian Inst Sci, Bangalore 560012, Karnataka, India</t>
  </si>
  <si>
    <t>PES University; Indian Institute of Science (IISC) - Bangalore</t>
  </si>
  <si>
    <t>Kumar, T (corresponding author), Indian Inst Sci, Bangalore 560012, Karnataka, India.</t>
  </si>
  <si>
    <t>tarunkumar@iisc.ac.in</t>
  </si>
  <si>
    <t>978-3-031-67433-4; 978-3-031-67434-1</t>
  </si>
  <si>
    <t>10.1007/978-3-031-67434-1_52</t>
  </si>
  <si>
    <t>Business; Business, Finance; Computer Science, Interdisciplinary Applications</t>
  </si>
  <si>
    <t>BX6PH</t>
  </si>
  <si>
    <t>WOS:001313510800052</t>
  </si>
  <si>
    <t>Jiang, ZZ; Cui, SL; He, N; Li, KY; Tian, L</t>
  </si>
  <si>
    <t>Jiang, Zhong-Zhong; Cui, Shiliang; He, Na; Li, Kunyang; Tian, Lin</t>
  </si>
  <si>
    <t>Contract selection and piracy surveillance for video platforms in the age of social media</t>
  </si>
  <si>
    <t>contract selection; piracy surveillance; social media; video platform</t>
  </si>
  <si>
    <t>MOVIE PIRACY; COORDINATION; COMPETITION; RETAILER; DESIGN; SALES; GOODS</t>
  </si>
  <si>
    <t>Pirated video clips, a new form of piracy, have spread rapidly in recent years with the vigorous development of short-video social media platforms such as TikTok and Douyin. This has led to a huge loss of revenue for the film and TV drama industry where the negative economic impact trickles down from legitimate video platforms to content creators. As video platforms fight back against copyright infringement, they need to decide how much effort to invest in detecting and taking down pirated video clips that emerge on social media platforms. In addition, they need to decide whether a lump sum or unit price contract should be used to secure the playing rights for a video from the content creator. A content creator has no incentive to engage in piracy surveillance together with the video platform after signing a lump sum contract but has an incentive to do so after signing a unit price contract because he/she would receive royalties each time someone watches the copyrighted video. Using an analytical model framework, we find that the video platform should use a unit price contract when production of the video is less costly for the same quality (e.g., music-based, horror, and romance movies) but a lump sum contract when production is costly (e.g., Sci-fi, animation, and fantasy genres). We show that in equilibrium, the total surveillance effort between the video platform and the content creator is smaller and the video platform charges customers less to watch the copyrighted video under the lump sum contract compared to the unit price contract. As a result, the lump sum contract not only achieves higher consumer surplus compared to the unit price contract but also leads to a higher percentage of customers legally accessing the video program. Finally, the content creator's revenue is the same under both contracts, but the content creator may prefer the lump sum contract because it attracts more (legal or illegal) viewers and the increased visibility could be beneficial in the long run.</t>
  </si>
  <si>
    <t>[Jiang, Zhong-Zhong; He, Na] Northeastern Univ, Inst Behav &amp; Serv Operat Management, Sch Business Adm, Shenyang, Peoples R China; [Jiang, Zhong-Zhong] Northeastern Univ, Minist Educ, Key Lab Data Analyt &amp; Optimizat Smart Ind, Shenyang, Peoples R China; [Cui, Shiliang] Georgetown Univ, McDonough Sch Business, Washington, DC USA; [Li, Kunyang] Shanghai Jiao Tong Univ, Antai Coll Econ &amp; Management, Shanghai, Peoples R China; [Tian, Lin] Fudan Univ, Sch Management, Shanghai, Peoples R China; [Li, Kunyang] Shanghai Jiao Tong Univ, Antai Coll Econ &amp; Management, Shanghai 200030, Peoples R China</t>
  </si>
  <si>
    <t>Northeastern University - China; Northeastern University - China; Georgetown University; Shanghai Jiao Tong University; Fudan University; Shanghai Jiao Tong University</t>
  </si>
  <si>
    <t>Li, KY (corresponding author), Shanghai Jiao Tong Univ, Antai Coll Econ &amp; Management, Shanghai 200030, Peoples R China.</t>
  </si>
  <si>
    <t>likunyang@sjtu.edu.cn</t>
  </si>
  <si>
    <t>Li, Kunyang/KDU-7502-2024</t>
  </si>
  <si>
    <t>Li, Kunyang/0000-0002-4992-0030; Tian, Lin/0000-0001-5314-4188; Cui, Shiliang/0000-0002-6643-6865</t>
  </si>
  <si>
    <t>National Natural Science Foundation of China [71922008, 71971052]; Major Program of National Natural Science Foundation of China [72192830, 72192831]; Humanities and Social Sciences Research Project of the Ministry of Education of China [22YJC630031]; Fundamental Research Funds for the Central Universities</t>
  </si>
  <si>
    <t>National Natural Science Foundation of China(National Natural Science Foundation of China (NSFC)); Major Program of National Natural Science Foundation of China(National Natural Science Foundation of China (NSFC)); Humanities and Social Sciences Research Project of the Ministry of Education of China; Fundamental Research Funds for the Central Universities(Fundamental Research Funds for the Central Universities)</t>
  </si>
  <si>
    <t>The authors are deeply grateful to the Special Issue (Social Tech) Editors (DE), an anonymous Senior Editor (SE), and three anonymous reviewers, for their detailed comments through the review process. This work was supported by the National Natural Science Foundation of China (71971052), the Major Program of National Natural Science Foundation of China (72192830, 72192831), the Humanities and Social Sciences Research Project of the Ministry of Education of China (22YJC630031), the National Natural Science Foundation of China (71922008), and the Fundamental Research Funds for the Central Universities.</t>
  </si>
  <si>
    <t>2023 MAY 22</t>
  </si>
  <si>
    <t>10.1111/poms.13990</t>
  </si>
  <si>
    <t>G8TI8</t>
  </si>
  <si>
    <t>WOS:000991812400001</t>
  </si>
  <si>
    <t>Qiu, D; Li, YL; Li, L; He, J; Ouyang, FY; Xiao, SY</t>
  </si>
  <si>
    <t>Qiu, Dan; Li, Yilu; Li, Ling; He, Jun; Ouyang, Feiyun; Xiao, Shuiyuan</t>
  </si>
  <si>
    <t>Policies to Improve the Mental Health of People Influenced by COVID-19 in China: A Scoping Review</t>
  </si>
  <si>
    <t>policy implementation; China; mental health policy; COVID-19; scoping review</t>
  </si>
  <si>
    <t>SERVICES; OUTBREAK</t>
  </si>
  <si>
    <t>Background: In response to the potentially concurrent mental health crisis due to the COVID-19 outbreak, there have been ongoing mental health policies put in place in China. This review aims to systematically synthesize the implemented national-level mental health policies released by the Chinese government during the COVID-19 outbreak, and summarize the implementation of those mental health policies. Methods: Six databases and two websites were systematically searched, including published studies and gray literature published between December 1, 2019 and October 29, 2020. Results: A total of 40 studies were included. Among them, 19 were national-level policies on mental health released by the Chinese government, and 21 studies reported data on the implementation of those mental health policies. Mental health policies were issued for COVID-19 patients, suspected cases, medical staff, the general population, patients with mental illness, and mental institutions. In the early stage of the COVID-19 epidemic, attention was paid to psychological crisis intervention. In the later stage of the epidemic, the government focused mainly on psychological rehabilitation. During the COVID-19 outbreak, more than 500 psychiatrists from all over China were sent to Wuhan, about 625 hotlines were notified in 31 provinces, several online psychological consultation platforms were established, social software such as TikTok, Weibo, and WeChat were used for psychological education, and many books on mental health were published. Responding quickly, maximizing the use of resources, and emphasizing the importance of policy evaluation and implementation quality were characteristics of the mental health policies developed during the COVID-19 outbreak. Challenges facing China include a low rate of mental health service utilization, a lack of evaluation data on policy effects, and no existing national-level emergency response system and designated workforce to provide psychological crisis interventions during a national emergency or disaster. Conclusions: This review suggests that China has responded quickly and comprehensively to a possible mental health crisis during the COVID-19 outbreak, appropriate mental health policies were released for different members of the population. As the epidemic situation continues to change, the focus of mental health policies has been adjusted accordingly. However, we should note that there has been a lack of separate policies for specific mental health issues during the COVID-19 outbreak.</t>
  </si>
  <si>
    <t>[Qiu, Dan; Li, Yilu; Li, Ling; He, Jun; Ouyang, Feiyun; Xiao, Shuiyuan] Cent South Univ, Xiangya Sch Publ Hlth, Dept Social Med &amp; Hlth Management, Changsha, Peoples R China; [Xiao, Shuiyuan] Hunan Prov Key Lab Clin Epidemiol, Changsha, Peoples R China</t>
  </si>
  <si>
    <t>Central South University</t>
  </si>
  <si>
    <t>Xiao, SY (corresponding author), Cent South Univ, Xiangya Sch Publ Hlth, Dept Social Med &amp; Hlth Management, Changsha, Peoples R China.;Xiao, SY (corresponding author), Hunan Prov Key Lab Clin Epidemiol, Changsha, Peoples R China.</t>
  </si>
  <si>
    <t>xiaosy@csu.edu.cn</t>
  </si>
  <si>
    <t>He, Jun/0000-0003-4467-7649</t>
  </si>
  <si>
    <t>Ministry of Science and Technology of China [2016YFC0900802]</t>
  </si>
  <si>
    <t>Ministry of Science and Technology of China(Ministry of Science and Technology, China)</t>
  </si>
  <si>
    <t>This research was supported by the Ministry of Science and Technology of China (Grant No: 2016YFC0900802).</t>
  </si>
  <si>
    <t>10.3389/fpsyt.2020.588137</t>
  </si>
  <si>
    <t>PJ2EA</t>
  </si>
  <si>
    <t>WOS:000601586800001</t>
  </si>
  <si>
    <t>Xu, YB; Wen, SM; Zhang, LW; Su, J</t>
  </si>
  <si>
    <t>Xu, Yongbin; Wen, Sanmei; Zhang, Liwen; Su, Jing</t>
  </si>
  <si>
    <t>Is disinformation more likely to spread? A fuzzy-set qualitative comparative analysis of emerging infectious diseases on China's short video platform</t>
  </si>
  <si>
    <t>BMJ OPEN</t>
  </si>
  <si>
    <t>Public health; Social Media; PUBLIC HEALTH; China</t>
  </si>
  <si>
    <t>Objectives This study aimed to develop a model for the dissemination of information on emerging infectious diseases (EIDs) by identifying the specific features of mpox (monkeypox)-related short video content that encourages public sharing.Design This was an exploratory analysis of the dissemination of information on short video platform.Main outcome measures Focusing on Douyin (TikTok in mainland China), this study collected data from the top 500 most popular short videos using 'monkeypox' as the keyword from 1 May 2022 to 31 October 2022. Under the guidance of the health belief model, the videos were coded using two sets of conditional variables: information type variables and information content variables. The information type variables distinguish between fact-checking information and disinformation. Regarding information content variables, this study integrated the features of audiovisual media with the needs of the Chinese public, introducing efficacy information. The study then used fuzzy-set qualitative comparative analysis to analyse the correlation and consistency between the video contents and the level of public sharing, which was the outcome variable. Subsequently, a Poisson regression model was estimated to verify their significance on video-sharing volume.Results The results showed that there were three configurations of short video content related to mpox which could trigger a high level of sharing among the general public. It was found that the number of fact-checked cases in the most widely disseminated short videos of mpox was 21.8:1 compared with the number of disinformation cases. Therefore, it can be concluded that fact-checked information was more likely to spread than disinformation in the case of an outbreak of EIDs on China's short video platforms. Based on the analysis of the three configurations, we also found that they separately formed three paths of the short video communication model, and each path had a more significant variable playing a central role. We named each pathway after the core variable: authoritative source path, personal efficacy path and disinformation path.Conclusions This study developed a model for information dissemination of EIDs and found that fact-checked content was more likely to spread on Chinese short video platforms instead of disinformation. It also explored public demand for guidance on EIDs precautions.</t>
  </si>
  <si>
    <t>[Xu, Yongbin; Wen, Sanmei] Tsinghua Univ, Sch Journalism &amp; Commun, Beijing, Peoples R China; [Zhang, Liwen] Tongji Univ, Coll Arts &amp; Media, Shanghai, Peoples R China; [Su, Jing] Tsinghua Univ, Sch Humanities, Beijing, Peoples R China</t>
  </si>
  <si>
    <t>Tsinghua University; Tongji University; Tsinghua University</t>
  </si>
  <si>
    <t>Su, J (corresponding author), Tsinghua Univ, Sch Humanities, Beijing, Peoples R China.</t>
  </si>
  <si>
    <t>xuyongbin@tsinghua.edu.cn; wensm21@mails.tsinghua.edu.cn; liwenzlw@outlook.com; sujingxw@tsinghua.edu.cn</t>
  </si>
  <si>
    <t>Yongbin, Xu/AAS-8750-2020</t>
  </si>
  <si>
    <t>Xu, Yongbin/0009-0009-8673-7591</t>
  </si>
  <si>
    <t>Bill &amp; Melinda Gates Foundation</t>
  </si>
  <si>
    <t>Bill &amp; Melinda Gates Foundation(Bill &amp; Melinda Gates FoundationBill &amp; Melinda Gates Foundation Grand Challenges Explorations InitiativeCGIAR)</t>
  </si>
  <si>
    <t>This research was financially supported by the Bill &amp; Melinda Gates Foundation for the 'Global Health and Global Development Strategic Communication Project' (award number: N/A).</t>
  </si>
  <si>
    <t>2044-6055</t>
  </si>
  <si>
    <t>BMJ Open</t>
  </si>
  <si>
    <t>e083351</t>
  </si>
  <si>
    <t>10.1136/bmjopen-2023-083351</t>
  </si>
  <si>
    <t>J5H4E</t>
  </si>
  <si>
    <t>WOS:001337369800001</t>
  </si>
  <si>
    <t>Merrill, JE; Davidson, L; Riordan, BC; Logan, Z; Ward, RM</t>
  </si>
  <si>
    <t>Merrill, Jennifer E.; Davidson, Lily; Riordan, Benjamin C.; Logan, Zoey; Ward, Rose Marie</t>
  </si>
  <si>
    <t>Associations Between Posting About Alcohol on Social Networking Sites and Alcohol-Induced Blackouts in a Sample of Young Adults Not in 4-Year College</t>
  </si>
  <si>
    <t>PSYCHOLOGY OF ADDICTIVE BEHAVIORS</t>
  </si>
  <si>
    <t>alcohol; blackouts; social media; noncollege young adults; racial/ethnic identity</t>
  </si>
  <si>
    <t>NATIONAL EPIDEMIOLOGIC SURVEY; UNITED-STATES; USE DISORDERS; SUBSTANCE USE; HELP-SEEKING; DRINKING; FACEBOOK; HEALTH; REFERENCES; DISPARITIES</t>
  </si>
  <si>
    <t>Objective: Research among young adults (YA), in samples of majority White college students, indicates links between posting about alcohol on social media and self-reported drinking behavior. We sought to extend this work by examining unique associations between public versus private posting about alcohol and the high-risk outcome of alcohol-related blackouts among a sample of racially/ethnically diverse YA not in 4-year college. Method: A sample of 499 participants (ages 18-29; 52.5% female; 37.5% Black/African American, 26.9% White, 25.3% Hispanic/Latinx) completed an online survey about social media use and drinking behavior. Results: Across three platforms (Instagram, TikTok, Twitter [now known as X]), public posting on Instagram was most common. Adjusting for covariates, a higher frequency of private posting about alcohol was associated with a higher frequency of past-month blackouts. Tests of simple effects of posting on blackouts within racial/ethnic subgroups indicated that private posting about alcohol was significantly associated with past-month blackouts only among those who most strongly identified as Black/African American or White but not among those who most strongly identified as Hispanic/Latinx. Further, public posting was significantly associated with past-month blackouts, though the association was specific to White participants. Conclusions: Whether posting about alcohol may be useful in identifying risky drinking behavior may depend on racial/ethnic identification as well as whether private or public posting is being considered. Results have implications for eventual online interventions, which can identify individuals potentially at risk for hazardous drinking based on their social media posting behavior. Public Health Significance Statement This study of young adults not in 4-year college indicates that public posting about alcohol on social networking sites is associated with the frequency of alcohol-induced memory loss, though only among participants who most strongly identify as White. Among those who most strongly identify as Black/African American, or White, private posting about alcohol is related to alcohol-induced memory loss. Findings highlight the importance of considering racial/ethnic identity in research and interventions targeting potential links between social network posting and drinking behavior.</t>
  </si>
  <si>
    <t>[Merrill, Jennifer E.; Logan, Zoey] Brown Univ, Ctr Alcohol &amp; Addict Studies, BOXG S121 5, Providence, RI 02912 USA; [Merrill, Jennifer E.; Riordan, Benjamin C.] La Trobe Univ, Ctr Alcohol Policy &amp; Res, Melbourne, Australia; [Davidson, Lily; Ward, Rose Marie] Univ Cincinnati, Grad Coll, Dept Psychol, Cincinnati, OH USA</t>
  </si>
  <si>
    <t>Brown University; La Trobe University; University System of Ohio; University of Cincinnati</t>
  </si>
  <si>
    <t>Merrill, JE (corresponding author), Brown Univ, Ctr Alcohol &amp; Addict Studies, BOXG S121 5, Providence, RI 02912 USA.</t>
  </si>
  <si>
    <t>Jennifer_Merrill@brown.edu</t>
  </si>
  <si>
    <t>Riordan, Benjamin/U-4591-2019</t>
  </si>
  <si>
    <t>National Institute on Alcohol Abuse and Alcoholism [R21AA029749]</t>
  </si>
  <si>
    <t>National Institute on Alcohol Abuse and Alcoholism(United States Department of Health &amp; Human ServicesNational Institutes of Health (NIH) - USANIH National Institute on Alcohol Abuse &amp; Alcoholism (NIAAA))</t>
  </si>
  <si>
    <t>This study was supported by a grant from the National Institute on Alcohol Abuse and Alcoholism (Grant R21AA029749, multiple principal investigators: Jennifer E. Merrill and Rose Marie Ward). Data are available from Jennifer E. Merrill upon request. As of January 2024, data from this studyhave not been published or submitted elsewhere. Findings were presented at the Hawaii International Conference on System Sciences in January 2024,and a prior version was included in their online proceedings.</t>
  </si>
  <si>
    <t>0893-164X</t>
  </si>
  <si>
    <t>1939-1501</t>
  </si>
  <si>
    <t>PSYCHOL ADDICT BEHAV</t>
  </si>
  <si>
    <t>Psychol. Addict. Behav.</t>
  </si>
  <si>
    <t>10.1037/adb0001018</t>
  </si>
  <si>
    <t>Substance Abuse; Psychology, Multidisciplinary</t>
  </si>
  <si>
    <t>E1P9C</t>
  </si>
  <si>
    <t>WOS:001300806500001</t>
  </si>
  <si>
    <t>Donaldson, SI; Beard, TA; Chen-Sankey, JC; Ganz, O; Wackowski, OA; Allem, JP</t>
  </si>
  <si>
    <t>Donaldson, Scott, I; Beard, Trista A.; Chen-Sankey, Julia C.; Ganz, Ollie; Wackowski, Olivia A.; Allem, Jon-Patrick</t>
  </si>
  <si>
    <t>Recognition of Online E-cigarette Marketing and E-cigarette-Related Attitudes and Behaviors Among Young Adults</t>
  </si>
  <si>
    <t>SMOKELESS TOBACCO; RELIABILITY; EXPOSURE; SMOKING</t>
  </si>
  <si>
    <t>Introduction Past research examining the relationship between exposure to online e-cigarette marketing and e-cigarette-related attitudes and behaviors has relied on unaided recall measures that may suffer from self-report bias. To date, few studies have presented participants with e-cigarette marketing stimuli and assessed recognition. This study examined the associations between recognition of online e-cigarette marketing stimuli and e-cigarette-related attitudes and behaviors among young adults in California.Aims and Methods A non-probability representative sample of young adults (ages 18-24; N = 1500) living in California completed an online survey assessing their recognition of online e-cigarette marketing stimuli, including image-based (ie, Instagram and email) and audiovisual (ie, YouTube and TikTok) promotions, and positive e-cigarette-related attitudes (eg, appeal of e-cigarettes) and behaviors (eg, e-cigarette use). Adjusted and weighted logistic regression analyses were used.Results A total of 79.0% (n = 1185) of young adults, including 78.1% (n = 310/397) of participants under 21 years old, recognized online e-cigarette marketing. Participants who reported recognition of stimuli, compared with those who did not, had greater odds of reporting appeal of e-cigarettes (AOR = 2.26, 95% CI = 1.65 to 3.09) and e-cigarette purchase intentions (AOR = 1.66, 95% CI = 1.13 to 2.43) among all participants, and susceptibility to use e-cigarettes among never users (AOR = 2.29, 95% CI = 1.59 to 3.29).Conclusions Young adults in California recognized audiovisual and image-based online e-cigarette marketing. Such recognition may lead to positive e-cigarette-related attitudes and behavioral intentions, especially among never users. Future research should examine the causal relationships between the associations found in this study. Findings may inform the development and evaluation of psychometrically valid measures of online e-cigarette marketing exposures.Implications Recognition of online e-cigarette marketing stimuli was associated with greater odds of reporting the appeal and benefits of e-cigarettes, purchase intentions, and lifetime e-cigarette use among all participants, and susceptibility to use e-cigarettes among never users. These findings may motivate the development and evaluation of psychometrically valid measures of online e-cigarette marketing exposures.</t>
  </si>
  <si>
    <t>[Donaldson, Scott, I; Chen-Sankey, Julia C.; Ganz, Ollie; Wackowski, Olivia A.; Allem, Jon-Patrick] Rutgers Biomed &amp; Hlth Sci, Inst Nicotine &amp; Tobacco Studies, 303 George St,Suite 500, New Brunswick, NJ 08901 USA; [Donaldson, Scott, I] Rutgers Robert Wood Johnson Med Sch, Div Gen Internal Med, New Brunswick, NJ USA; [Beard, Trista A.] Univ Southern Calif, Keck Sch Med, Dept Populat &amp; Publ Hlth Sci, Los Angeles, CA USA</t>
  </si>
  <si>
    <t>Rutgers University System; Rutgers University New Brunswick; Rutgers University Biomedical &amp; Health Sciences; Rutgers University System; Rutgers University New Brunswick; Rutgers University Biomedical &amp; Health Sciences; University of Southern California</t>
  </si>
  <si>
    <t>Allem, JP (corresponding author), Rutgers Biomed &amp; Hlth Sci, Inst Nicotine &amp; Tobacco Studies, 303 George St,Suite 500, New Brunswick, NJ 08901 USA.</t>
  </si>
  <si>
    <t>jon.patrick.allem@rutgers.edu</t>
  </si>
  <si>
    <t>Chen-Sankey, Julia/0000-0002-1797-5248; Donaldson, Scott/0000-0001-8145-0860; Allem, Jon-Patrick/0000-0001-9135-8689; Beard, Trista/0000-0001-5543-4795</t>
  </si>
  <si>
    <t>California Tobacco Prevention Branch, Center for Healthy Communities of the California Department of Public Health [21-10032]; U.S. Food &amp; Drug Administration/National Cancer Institute, Center for Tobacco Products [R00CA242589]</t>
  </si>
  <si>
    <t>California Tobacco Prevention Branch, Center for Healthy Communities of the California Department of Public Health; U.S. Food &amp; Drug Administration/National Cancer Institute, Center for Tobacco Products</t>
  </si>
  <si>
    <t>This publication was funded by the California Tobacco Prevention Branch, Center for Healthy Communities of the California Department of Public Health through contract #21-10032 Tobacco Industry Monitoring Evaluation (TIME), and the U.S. Food &amp; Drug Administration/National Cancer Institute, Center for Tobacco Products, R00CA242589. The findings and conclusions in this article are those of the authors and do not necessarily represent the views or opinions of the California Department of Public Health, the California Health and Human Services Agency, the U.S. Government, National Institutes of Health, or the U.S. Food and Drug Administration.</t>
  </si>
  <si>
    <t>10.1093/ntr/ntae167</t>
  </si>
  <si>
    <t>ZJ5K2</t>
  </si>
  <si>
    <t>WOS:001274938500001</t>
  </si>
  <si>
    <t>Aran-Ramspott, S; Korres-Alonso, O; Elexpuru-Albizuri, I; Moro-Inchaurtieta, A; Bergillos-García, I</t>
  </si>
  <si>
    <t>Aran-Ramspott, Sue; Korres-Alonso, Oihane; Elexpuru-Albizuri, Iciar; Moro-Inchaurtieta, Alvaro; Bergillos-Garcia, Ignacio</t>
  </si>
  <si>
    <t>Young users of social media: an analysis from a gender perspective</t>
  </si>
  <si>
    <t>gender; social media; adolescence; youth; edu-communication; empowerment; perception; media literacy</t>
  </si>
  <si>
    <t>ADOLESCENTS; NETWORKING; OBJECTIFICATION; COMPETENCE; INSTAGRAM; STUDENTS; YOUTUBE; PEOPLE; GAP</t>
  </si>
  <si>
    <t>One of the major challenges for edu-communication research is to analyze the influence of social media on young and adolescent users. This article examines the evaluation of gender inequalities - real and symbolic - in the consumption of social networks such as YouTube and Instagram among young people. Within the framework of a Research &amp; Development &amp; innovation (R&amp;D + i) project, it presents a discursive-theoretical analysis of how young users of social media perceive the presence and representation of gender on social media and whether such digital representations can be associated with an empowering gender perspective. This study presents results from 14 focus groups (N = 83), composed of students aged 12 to 18, drawn from three Spanish Autonomous Communities (Catalonia, the Balearic Islands and the Basque Country). The results show that gender issues arise in participants' conversations, especially among female participants, who perceive the importance of physical appearance on platforms such as Instagram and TikTok. Female participants feel more pressure in terms of appearance and dress compared to male participants. Among male participants there are more expressions of self-affirmation and more mentions related to fun and social prestige. Both male and female participants express concern about the impact of that pressure on younger girls. The influence of social media on self-image is more evident among female participants, who make frequent mention of the importance of self-esteem in relation to beauty standards and exposure to idealized body images. Notably, there were no comments by male participants that acknowledge any influence of social media on their self-image. The findings are in line with existing research and taken as a whole gives rise to concern as to the gender disparities observed in the use of social media, which do not constitute a picture of female empowerment. This research underlines the importance of promoting a respectful and equitable environment in relation to gender equality within digital spaces. Thus, this study provides support for the need to develop and implement edu-communicative initiatives to foster critical thinking around the influence of social media in this context and the evaluation of the impact of such initiatives in future research.</t>
  </si>
  <si>
    <t>[Aran-Ramspott, Sue] Ramon Llull Univ, Blanquerna Sch Commun &amp; Int Relat, Barcelona, Spain; [Korres-Alonso, Oihane] Univ Deusto, Fac Educ &amp; Sport, Donostia San Sebastian, Spain; [Elexpuru-Albizuri, Iciar; Moro-Inchaurtieta, Alvaro] Univ Deusto, Fac Educ &amp; Sport, Bilbao, Spain; [Bergillos-Garcia, Ignacio] Comillas Pontif Univ, CESAG, Mallorca, Spain</t>
  </si>
  <si>
    <t>Universitat Ramon Llull; University of Deusto; University of Deusto; Comillas Pontifical University</t>
  </si>
  <si>
    <t>Korres-Alonso, O (corresponding author), Univ Deusto, Fac Educ &amp; Sport, Donostia San Sebastian, Spain.</t>
  </si>
  <si>
    <t>oihane.korres@deusto.es</t>
  </si>
  <si>
    <t>Elexpuru-Albizuri, Iciar/W-1116-2017; Aran-Ramspott, Sue/L-1107-2014; Moro, Alvaro/AAA-6659-2019</t>
  </si>
  <si>
    <t>Moro, Alvaro/0000-0003-0167-6048</t>
  </si>
  <si>
    <t>Spanish State Research Agency [Reference/AEI/10.13039/501100011033]; Ministry of Science and Innovation</t>
  </si>
  <si>
    <t>Spanish State Research Agency(Spanish Government); Ministry of Science and Innovation(Ministry of Science and Innovation, Spain (MICINN)Spanish Government)</t>
  </si>
  <si>
    <t>The author(s) declare that financial support was received for the research, authorship, and/or publication of this article. The research reported in this article has been financed with public funds from the National Plan financed by the Spanish State Research Agency, Project Reference/AEI/10.13039/501100011033. Ministry of Science and Innovation.</t>
  </si>
  <si>
    <t>10.3389/fpsyg.2024.1375983</t>
  </si>
  <si>
    <t>UD9O4</t>
  </si>
  <si>
    <t>WOS:001246243500001</t>
  </si>
  <si>
    <t>Jou, YT; Saflor, CS; Mariñas, KA; Manzano, HM; Uminga, JM; Verde, NA; Dela Fuente, G</t>
  </si>
  <si>
    <t>Jou, Yung-Tsan; Saflor, Charmine Sheena; Marinas, Klint Allen; Manzano, Hannah Maureen; Uminga, John Mark; Verde, Nicole Angela; Dela Fuente, Ginber</t>
  </si>
  <si>
    <t>An Integrated Multi-Criteria Decision Analysis and Structural Equation Modeling Application for the Attributes Influencing the Customer's Satisfaction and Trust in E-Commerce Applications</t>
  </si>
  <si>
    <t>e-commerce app; customer's trust; SEM; SERVQUAL; TOPSIS</t>
  </si>
  <si>
    <t>MULTIPLE-ITEM SCALE; SERVICE-QUALITY; CONSUMER TRUST; ADOPTION; PERCEPTIONS; DIMENSIONS; EXTENSION; SITES</t>
  </si>
  <si>
    <t>Since the COVID-19 pandemic has forced most industries to embrace an online platform utilizing technological breakthroughs, it has significantly impacted our daily lives. Businesses that use marketplaces to sell and trade products to customers while increasing their participation through online shopping or e-commerce are among the sectors that take advantage of these situations. The current study set out to evaluate the level of customer satisfaction, trust, and service quality of the e-commerce application to enhance the system and provide a better shopping experience. Facebook, Shopee, Lazada, Shein, and TikTok were the five e-commerce platforms evaluated. The Philippines was the location of this study, and at least 200 people answered the survey, which was conducted in-person and online and consisted of 72 questionnaires. The researchers assessed twelve latent variables: perceived security, customer satisfaction, application interface, brand equity, tangibility, reliability, responsiveness, assurance, empathy, and information credibility. Structural equation modeling and multi-criteria decision analysis were used to analyze the data. The findings demonstrated that assurance, application interface, information credibility, and brand equity directly impacted service quality. Moreover, a direct and significant correlation exists between customer satisfaction and service quality. Customers' trust is significantly impacted by their level of satisfaction and perception of security. The e-commerce apps were ranked using a multi-criteria decision analysis technique, which is the Technique for Order Preference by Similarity to Ideal Solution (TOPSIS) based on tangibility, responsiveness, assurance, reliability, and empathy. Facebook received a low rating, whereas Shopee was ranked highest. To further enhance the services offered, the lowest rated application may use the results from the combination of the TOPSIS and SEM results. Additionally, application providers, managers, and researchers examining the user-software interaction of relevant e-commerce applications might utilize the study's results to enhance their services regarding the purchasing experience and provide a sustainable service. Finally, this study is among the first to use the structural modeling approach to evaluate customer trust and satisfaction while integrating service quality and TOPSIS.</t>
  </si>
  <si>
    <t>[Jou, Yung-Tsan; Saflor, Charmine Sheena; Marinas, Klint Allen] Chung Yuan Christian Univ, Dept Ind &amp; Syst Engn, Taoyuan 320, Taiwan; [Saflor, Charmine Sheena; Marinas, Klint Allen; Manzano, Hannah Maureen; Uminga, John Mark; Verde, Nicole Angela; Dela Fuente, Ginber] Occidental Mindoro State Coll, Dept Ind Engn, San Jose 5100, Philippines; [Saflor, Charmine Sheena] De La Salle Univ, Dept Ind &amp; Syst Engn, Manila 1004, Philippines; [Marinas, Klint Allen] Mapua Univ, Sch Ind Engn &amp; Engn Management, Manila 1002, Philippines</t>
  </si>
  <si>
    <t>Chung Yuan Christian University; De La Salle University; Mapua University</t>
  </si>
  <si>
    <t>Saflor, CS (corresponding author), Chung Yuan Christian Univ, Dept Ind &amp; Syst Engn, Taoyuan 320, Taiwan.;Saflor, CS (corresponding author), Occidental Mindoro State Coll, Dept Ind Engn, San Jose 5100, Philippines.;Saflor, CS (corresponding author), De La Salle Univ, Dept Ind &amp; Syst Engn, Manila 1004, Philippines.</t>
  </si>
  <si>
    <t>ytjou@cycu.edu.tw; charmine.saflor@dlsu.edu.ph; kaamarinas@mapua.edu.ph; manzanohannahmaureen@gmail.com; johnmarkuminga7@gmail.com; nicoleverde45@gmail.com; ginberdelafuente@gmail.com</t>
  </si>
  <si>
    <t>Jou, Yung-Tsan/0000-0002-6503-0599; Saflor, Charmine Sheena/0000-0002-9184-5986; Marinas, Klint Allen/0000-0001-5196-8562</t>
  </si>
  <si>
    <t>10.3390/su16051727</t>
  </si>
  <si>
    <t>KW3L2</t>
  </si>
  <si>
    <t>WOS:001182958800001</t>
  </si>
  <si>
    <t>Zhang, LB; Ren, JF</t>
  </si>
  <si>
    <t>Zhang, Liangbo; Ren, Jifan</t>
  </si>
  <si>
    <t>Virtual Influencers: The Effects of Controlling Entity, Appearance Realism and Product Type on Advertising Effect</t>
  </si>
  <si>
    <t>Social media marketing; Virtual influencers; Appearance realism; Controlling entity; Advertisement attitude attitudes</t>
  </si>
  <si>
    <t>EXPERIENCE; SEARCH</t>
  </si>
  <si>
    <t>Virtual character technology is developing rapidly and is replacing human participation in social division of labor in many fields, such as online education, human customer service, marketing activities, etc. Among them, virtual influencer marketing has gradually become a popular phenomenon, and has been widely adopted among major social media platforms such as Instagram, Facebook, and TikTok. However, due to some long-standing user biases towards computer services, especially compared to human service providers, it is widely believed that computer service providers are lack of ability. As a type of computer product, virtual influencers are highly anthropomorphic in terms of appearance, voice, identity, interaction, etc. Among them, the realistic appearance is an important feature of virtual influencers, which may be an important factor affecting users' perception of their abilities, which in turn affect the advertising effectiveness. On the other hand, the controlling entity of virtual influencer is generally human or computer, that is, virtual influencer's behavior is generally manipulated by human or computer. Past studies suggest that the controlling entity are also an important factor affecting user attitudes. Does appearance realism affect virtual influencer perception? What can we do to improve user attitudes towards virtual influencer advertisements? Is there an interaction effect between the virtual influencer's appearance realism level and the type of controlling entity? Or, how does the virtual influencer's level of appearance realism and the type of controlling entity match make the advertisement attitude better? We intend to conduct a 2 (appearance realism: high/low) x 2 (controlling entity type: computer/human) between-group experiments. The expected result are: tunder a high level of appearance realism, the effect of computer controlling entity is better than that of human-controlling entity. The reason is that high-level appearance realism improves the user's ability to perceive virtual idols. The ability expectations of virtual influencers reduce perceived ability and thus advertisement attitude. We will further examine the moderating effect of product types. For search products, the effect of using computer controlling entity for virtual idols with a high-level appearance realism is enhanced, the advertisement attitude should be stronger; for experience products, human entity should perform better in advertising regardless high or low appearance realism.</t>
  </si>
  <si>
    <t>[Zhang, Liangbo; Ren, Jifan] Harbin Inst Technol Shenzhen, Sch Econ &amp; Management, Shenzhen, Peoples R China</t>
  </si>
  <si>
    <t>Ren, JF (corresponding author), Harbin Inst Technol Shenzhen, Sch Econ &amp; Management, Shenzhen, Peoples R China.</t>
  </si>
  <si>
    <t>10.1007/978-3-031-05014-5_25</t>
  </si>
  <si>
    <t>WOS:000873574900025</t>
  </si>
  <si>
    <t>Muhammad, AM; Basha, MB; AlHafidh, G</t>
  </si>
  <si>
    <t>Muhammad, Abid Mahmood; Basha, Mohamed Bilal; AlHafidh, Gail</t>
  </si>
  <si>
    <t>Use of emerging social media platforms in reshaping the UAE Islamic banks' promotional strategies</t>
  </si>
  <si>
    <t>Islamic bank; UAE; Promotion; Emerging SMPs</t>
  </si>
  <si>
    <t>SERVICE QUALITY DIMENSIONS; INTERNET BANKING; COMMUNICATION; DETERMINANTS; PERSPECTIVES; INTENTIONS; ENGAGEMENT; ATTITUDES; ADOPTION; REVIEWS</t>
  </si>
  <si>
    <t>PurposeThis paper aims to investigate customer attitude towards the use of emerging social media platforms (SMPs) for promotional activities by United Arab Emirates (UAE)-based Islamic banks, particularly, in the post-COVID-19 era. The key drivers of this research include analysing, anticipating and providing recommendations to reinvigorate the marketing and promotional strategies of the UAE Islamic banks to spark renewed customer interest.Design/methodology/approachThis study is anticipatory and descriptive in nature. Primary data is used to understand customer perception towards the use of emerging social media marketing tools by the UAE-based Islamic banks. Reliability, factor analysis and multiple regression analysis are applied to understand customer attitude. While focusing on the current COVID-19 scenario, the need for innovative structure is envisaged to meet the post-COVID-19 needs.FindingsThe findings of this research highlight the significance of emerging SMPs such as WhatsApp, TikTok, Pinterest, Viber, Snapchat and their application as promotional tools to inspire the purchase intention of customers in this virtual age. The results of the study reveal these emerging SMPs are predicted to be used as the preferred promotional tools for Islamic banks.Research limitations/implicationsThis paper is limited to the UAE Islamic banks and to a specified set of SMPs as promotional tools. Nevertheless, its findings have important implications that can be extended and validated through studying the post-COVID-19 customer attitude towards other innovative promotional tools used by commercial banks in general and Islamic banks in particular, in the GCC and Middle East and North Africa (MENA) regions.Originality/valueThere is currently limited available research on the innovative social media marketing techniques and promotional strategies. This study is a novel attempt to examine the adoption of the emerging SMPs as promotional tools by the UAE Islamic banks. This paper extends value to the existing studies on the impact of the pandemic on the promotional activities of the UAE Islamic banking industry. Nonetheless, while regionally specific, it is valuable in its potential application to the Islamic banking sector in the entire GCC and MENA region in the post-COVID-19 era.</t>
  </si>
  <si>
    <t>[Muhammad, Abid Mahmood] Jumeira Univ, Dept Business, Dubai, U Arab Emirates; [Basha, Mohamed Bilal] Higher Coll Technol, Dept Business Adm, Sharjah, U Arab Emirates; [AlHafidh, Gail] Higher Coll Technol, Dept Gen Studies, Sharjah, U Arab Emirates</t>
  </si>
  <si>
    <t>Higher Colleges of Technology - United Arab Emirates; Higher Colleges of Technology - United Arab Emirates</t>
  </si>
  <si>
    <t>Muhammad, AM (corresponding author), Jumeira Univ, Dept Business, Dubai, U Arab Emirates.</t>
  </si>
  <si>
    <t>abidmahmood70@gmail.com</t>
  </si>
  <si>
    <t>Basha, mohamed/L-6773-2019</t>
  </si>
  <si>
    <t>10.1108/JIMA-01-2022-0015</t>
  </si>
  <si>
    <t>WOS:001133515700001</t>
  </si>
  <si>
    <t>White, BK; Ishizumi, A; Lavery, L; Wright, A; Foley, T; O'Neill, R; Rambaud, K; Sreenath, RS; Salvi, C; Takahashi, R; D'Agostino, M; Nguyen, T; Briand, S; Purnat, TD</t>
  </si>
  <si>
    <t>White, Becky K.; Ishizumi, Atsuyoshi; Lavery, Lucy; Wright, Amy; Foley, Tom; O'Neill, Rhys; Rambaud, Kimberly; Sreenath, Ravi Shankar; Salvi, Cristiana; Takahashi, Ryoko; D'Agostino, Marcelo; Nguyen, Tim; Briand, Sylvie; Purnat, Tina D.</t>
  </si>
  <si>
    <t>Expressions of pandemic fatigue on digital platforms: a thematic analysis of sentiment and narratives for infodemic insights</t>
  </si>
  <si>
    <t>Pandemic fatigue; COVID-19; Mpox; Infodemic; Preparedness; Prevention</t>
  </si>
  <si>
    <t>Background The infodemic accompanying the COVID-19 pandemic has led to an overwhelming amount of information, including questions, concerns and misinformation. Pandemic fatigue has been identified as a concern from early in the pandemic. With new and ongoing health emergencies in 2022, it is important to understand how pandemic fatigue is being discussed and expressed by users on digital channels. This study aims to explore and report on key narrative themes associated with expressions of pandemic fatigue by users on digital platforms. Methods This paper describes the collection of publicly available data over a 3-month period from multiple online sources using the Meltwater and CrowdTangle platforms to source data from Twitter, Facebook, Instagram, YouTube, TikTok, Pinterest, Product Reviews, Twitch, blogs &amp; forums. A comprehensive search strategy was developed and tested. A total of 1,484,042 social media posts were identified during the time-period that included the defined search terms for pandemic fatigue. These data were initially sorted by highest levels of engagement and from this dataset, analysts reviewed the identified posts to isolate and remove irrelevant content and identify dominant narratives. A thematic analysis was carried out on these narratives to identify themes related to expression of pandemic fatigue. Two researchers reviewed the data and themes. Results The thematic analysis of narratives identified six main themes relating to expression of pandemic fatigue, and one theme of counter narratives against pandemic fatigue. Data volume increased concurrent with the time of the mpox emergency announcement. Emergent themes showed the different ways users expressed pandemic fatigue and how it was interlaced with issues of trust, preventative measure acceptance and uptake, misinformation, and being overwhelmed with multiple or sustained emergencies. Conclusions This paper has identified the different ways users express pandemic fatigue on digital channels over a 3-month period. Better understanding the implications of the information environment on user's perceptions, questions, and concerns regarding pandemic and more broadly emergency fatigue is vital in identifying relevant interventions and, in the longer term, strengthening the global architecture for health emergency preparedness, prevention, readiness and resilience, as evidenced in this paper. There are clear pathways for further research, including incorporating additional languages and reviewing these themes over longer time periods.</t>
  </si>
  <si>
    <t>[White, Becky K.; Ishizumi, Atsuyoshi; Takahashi, Ryoko; Nguyen, Tim; Briand, Sylvie; Purnat, Tina D.] WHO, Dept Pandem &amp; Epidem Preparedness &amp; Prevent, Hlth Emergencies Programme, Geneva, Switzerland; [Lavery, Lucy; Wright, Amy; Foley, Tom] Marble Global LTD, London, England; [O'Neill, Rhys] WHO, Reg Off Africa, Africa Infodem Response Alliance, Brazzaville, DEM REP CONGO; [Rambaud, Kimberly; Sreenath, Ravi Shankar; Salvi, Cristiana] WHO, Reg Off Europe, Risk Commun &amp; Community Engagement, Hlth Emergencies, Copenhagen, Denmark; [D'Agostino, Marcelo] Pan Amer Hlth Org, Informat Syst Hlth Evidence &amp; Intelligence Act Hl, Washington, DC USA; [D'Agostino, Marcelo] WHO, Reg Off Amer, Washington, DC USA</t>
  </si>
  <si>
    <t>World Health Organization; World Health Organization; World Health Organization; Pan American Health Organization; World Health Organization</t>
  </si>
  <si>
    <t>Purnat, TD (corresponding author), WHO, Dept Pandem &amp; Epidem Preparedness &amp; Prevent, Hlth Emergencies Programme, Geneva, Switzerland.</t>
  </si>
  <si>
    <t>tina.purnat@gmail.com</t>
  </si>
  <si>
    <t>Ishizumi, Atsuyoshi/CAJ-0185-2022; Ishizumi, Atsuyoshi/LDO-9947-2024</t>
  </si>
  <si>
    <t>White, Becky K/0000-0003-3234-1742; Ishizumi, Atsuyoshi/0000-0001-9678-5372</t>
  </si>
  <si>
    <t>World Health Organization</t>
  </si>
  <si>
    <t>World Health Organization(World Health Organization)</t>
  </si>
  <si>
    <t>MAR 5</t>
  </si>
  <si>
    <t>10.1186/s12889-024-17718-4</t>
  </si>
  <si>
    <t>KM0X8</t>
  </si>
  <si>
    <t>WOS:001180277000014</t>
  </si>
  <si>
    <t>Firmalino, MV; George, S; Schlieve, T</t>
  </si>
  <si>
    <t>Firmalino, Miracle Vania; George, Sanjeeth; Schlieve, Thomas</t>
  </si>
  <si>
    <t>Can a Social Media Application be a Valid Educational Tool for Oral and Maxillofacial Patients?</t>
  </si>
  <si>
    <t>JOURNAL OF ORAL AND MAXILLOFACIAL SURGERY</t>
  </si>
  <si>
    <t>Background: TikTok (ByteDance, Beijing, China) is the fastest growing social media application (SMA) to date and has become a major source of information for medicine. The rising use of media platforms by patients and practitioners alike plays a significant role in the perception of healthcare.Purpose: The purpose of this study is to identify the presence and popularity of oral and maxillofacial surgery content on the SMA, to measure whether the information shared is useful for viewers, and whether there are differences in quality of the videos between video content producer groups.Study design, setting, and sample: A cross-sectional study was used to evaluate oral and maxillofacial surgery content on the SMA. Included videos were published during a 3-month period (November 16, 2021 to February 17, 2022) and mentioned oral surgeryor 'wisdom teethin the video description, title, or hashtag.Independent variable: The independent variable was video content producer-content created by health professionals versus laypersons.Main outcome variable: Quality of each video was determined by the information in the video and its usefulness, using the Global Quality Scale (GQS) criteria.Covariates: Topic was categorized as educational or anecdotal. Popularity was measured by the number of likes accumulated.Analyses: Statistical analysis was performed using 2-sample t-tests. Statistical significance was achieved with a P value &lt; .05 with 95% confidence interval.Results: Of 558 videos searched, 426 videos met study criteria. GQS score was greater in health professional videos (M-HP= 3.30) versus layperson videos (M-L = 2.05) (P &lt; .05). Most video content producers were laypersons (69%) and videos were mostly anecdotal (87%). Health professional videos had greater popularity than layperson videos (P &lt; .05). Health professionals and laypersons averaged 25,148 likes and 2,109 likes, respectively. All videos combined totaled 3,939,685 likes.Conclusion: By analyzing GQS and the popularity of videos, it has shown that health professionals pro-duced higher quality videos along with greater number of likes. With 39% of videos by health professionals being educational, it shows that we are using the SMA to instruct patients. However, there is still room to produce more educational rather than anecdotal videos with the goal to provide accurate information to patients.(c) 2023 American Association of Oral and Maxillofacial Surgeons</t>
  </si>
  <si>
    <t>[Firmalino, Miracle Vania; George, Sanjeeth; Schlieve, Thomas] Univ Texas Southwestern, Parkland Mem Hosp, Div Oral &amp; Maxillofacial Surg, Dallas, TX USA; [Firmalino, Miracle Vania] 9118 Prado Lane, Dallas, TX 75220 USA</t>
  </si>
  <si>
    <t>University of Texas System; University of Texas Southwestern Medical Center Dallas</t>
  </si>
  <si>
    <t>Firmalino, MV (corresponding author), 9118 Prado Lane, Dallas, TX 75220 USA.</t>
  </si>
  <si>
    <t>miracle.firmalino@utsouthwestern.edu</t>
  </si>
  <si>
    <t>Schlieve, Thomas/0000-0002-9978-4225</t>
  </si>
  <si>
    <t>0278-2391</t>
  </si>
  <si>
    <t>1531-5053</t>
  </si>
  <si>
    <t>J ORAL MAXIL SURG</t>
  </si>
  <si>
    <t>J. Oral Maxillofac. Surg.</t>
  </si>
  <si>
    <t>10.1016/j.joms.2023.07.138</t>
  </si>
  <si>
    <t>W7JP2</t>
  </si>
  <si>
    <t>WOS:001093353400001</t>
  </si>
  <si>
    <t>Xiao, Y; Yu, SB</t>
  </si>
  <si>
    <t>Xiao, Yi; Yu, Shubin</t>
  </si>
  <si>
    <t>Using Humor to Promote Social Distancing on Tiktok During the COVID-19 Pandemic</t>
  </si>
  <si>
    <t>humor; health communication; COVID-19; risk perception; RAMS</t>
  </si>
  <si>
    <t>DOUBLE-EDGED-SWORD; HEALTH INFORMATION; COMMUNICATION; CRISES; MEDIA; RISK; FEAR; ORGANIZATIONS; ACCESSIBILITY; SEVERITY</t>
  </si>
  <si>
    <t>BackgroundDuring the COVID-19 pandemic, many humorous videos on how to practice social distancing appeared on social media. However, the effect of using humor as a crisis communication strategy to persuade people to conform to social distancing rules is not known. ObjectiveDrawing on the literature on humorous message framing and crisis communication, this research explores the effectiveness of a humorous message in communicating social distancing rules in two crisis severity phases (low vs. high severity) and also evaluates how humor affects individuals' online and offline engagement intentions during the COVID-19 pandemic. MethodsA 2 (message framing: humorous vs. non-humorous) x 2 (crisis severity phase: low vs. high) between-subjects design experiment was conducted to test the research questions during the first weeks of the COVID-19 pandemic in China from January 30 to February 2, 2020. ResultsThe results showed that the severity of the phase of a health crisis can significantly affect stakeholders' online and offline responses toward the disease. More specifically, in a low severity phase, humor led to increased source likability for the message, and more online and offline engagement intentions. However, no differences between a humorous and non-humorous message in perceived risk were observed. Whereas, in a high severity crisis phase, humor reduced individuals' offline engagement intentions and a decrease in perceived risk, no significant difference was found between a humorous and non-humorous message on source likeability. ConclusionHumor can motivate both more online engagement and offline protective action intention when the crisis severity phase is low, while when crisis severity soars, a non-humorous message should be more desirable. More specifically, using humor in communicating information about an infectious disease can enhance the spokesperson's likeability in a low severity phase, and also helps to spread health information to a larger audience. While, the negative side of using humor in communicating an infectious disease appears in severe crisis phases, as it then decreased the public's perception of risk, and triggers less protective actions. Going beyond previous research, this study recognized that crisis severity changes in different phases of the spread of infectious disease, thereby providing actionable strategy selections for crisis practitioners in a dynamic communication environment.</t>
  </si>
  <si>
    <t>[Xiao, Yi] Tianjin Univ, Sch New Media &amp; Commun, Tianjin, Peoples R China; [Xiao, Yi] Tsinghua Univ, Ctr Crisis Management Res, Beijing, Peoples R China; [Yu, Shubin] BI Norwegian Business Sch, Dept Commun &amp; Culture, Oslo, Norway</t>
  </si>
  <si>
    <t>Tianjin University; Tsinghua University; BI Norwegian Business School</t>
  </si>
  <si>
    <t>Yu, SB (corresponding author), BI Norwegian Business Sch, Dept Commun &amp; Culture, Oslo, Norway.</t>
  </si>
  <si>
    <t>shubin.yu@bi.no</t>
  </si>
  <si>
    <t>Yu, Shubin/JNE-2800-2023</t>
  </si>
  <si>
    <t>Yu, Shubin/0000-0001-7719-3056; Xiao, Yi/0000-0001-8477-5337</t>
  </si>
  <si>
    <t>Tianjin University [2021XSC-0092]; China Postdoctoral Science Foundation [2019M660696]</t>
  </si>
  <si>
    <t>Tianjin University; China Postdoctoral Science Foundation(China Postdoctoral Science Foundation)</t>
  </si>
  <si>
    <t>Funding This work was supported by Tianjin University (no. 2021XSC-0092) and the China Postdoctoral Science Foundation (no. 2019M660696).</t>
  </si>
  <si>
    <t>10.3389/fpsyg.2022.887744</t>
  </si>
  <si>
    <t>2S5UB</t>
  </si>
  <si>
    <t>WOS:000821856100001</t>
  </si>
  <si>
    <t>Handayani, PW; Zagatti, GA; Kefi, H; Bressan, S</t>
  </si>
  <si>
    <t>Handayani, Putu Wuri; Zagatti, Guilherme Augusto; Kefi, Hajer; Bressan, Stephane</t>
  </si>
  <si>
    <t>Impact of Social Media Usage on Users' COVID-19 Protective Behavior: Survey Study in Indonesia</t>
  </si>
  <si>
    <t>COVID-19; pandemic; infectious diseases; social media; trust; behavior; Indonesia</t>
  </si>
  <si>
    <t>HEALTH; INFORMATION; TRUST; PLATFORMS; KNOWLEDGE; SUPPORT; THREATS; FEAR; FLU</t>
  </si>
  <si>
    <t>Background: Social media have become the source of choice for many users to search for health information on COVID-19 despite possible detrimental consequences. Several studies have analyzed the association between health information-searching behavior and mental health. Some of these studies examined users' intentions in searching health information on social media and the impact of social media use on mental health in Indonesia.Objective: This study investigates both active and passive participation in social media, shedding light on cofounding effects from these different forms of engagement. In addition, this study analyses the role of trust in social media platforms and its effect on public health outcomes. Thus, the purpose of this study is to analyze the impact of social media usage on COVID-19 protective behavior in Indonesia. The most commonly used social media platforms are Instagram, Facebook, YouTube, TikTok, and Twitter.Methods: We used primary data from an online survey. We processed 414 answers to a structured questionnaire to evaluate the relationship between these users' active and passive participation in social media, trust in social media, anxiety, self-efficacy, and protective behavior to COVID-19. We modeled the data using partial least square structural equation modeling.Results: This study reveals that social media trust is a crucial antecedent, where trust in social media is positively associated with active contribution and passive consumption of COVID-19 content in social media, users' anxiety, self-efficacy, and protective behavior. This study found that active contribution of content related to COVID-19 on social media is positively correlated with anxiety, while passive participation increases self-efficacy and, in turn, protective behavior. This study also found that active participation is associated with negative health outcomes, while passive participation has the opposite effects. The results of this study can potentially be used for other infectious diseases, for example, dengue fever and diseases that can be transmitted through the air and have handling protocols similar to that of COVID-19.Conclusions: Public health campaigns can use social media for health promotion. Public health campaigns should post positive messages and distil the received information parsimoniously to avoid unnecessary and possibly counterproductive increased anxiety of the users.(JMIR Form Res 2023;7:e46661) doi: 10.2196/46661</t>
  </si>
  <si>
    <t>[Handayani, Putu Wuri] Univ Indonesia, Informat Syst Undergrad Study Program, Depok, Indonesia; [Zagatti, Guilherme Augusto] Natl Univ Singapore, Inst Data Sci, Singapore, Singapore; [Kefi, Hajer] Paris Sch Business, Digital Data Design, Paris, France; [Bressan, Stephane] Natl Univ Singapore, Sch Comp, Singapore, Singapore; [Handayani, Putu Wuri] Univ Indonesia, Fac Comp Sci Kampus UI Depok, Informat Syst Undergrad Study Program, Depok 16424, Indonesia</t>
  </si>
  <si>
    <t>University of Indonesia; National University of Singapore; National University of Singapore; University of Indonesia</t>
  </si>
  <si>
    <t>Handayani, PW (corresponding author), Univ Indonesia, Fac Comp Sci Kampus UI Depok, Informat Syst Undergrad Study Program, Depok 16424, Indonesia.</t>
  </si>
  <si>
    <t>Zagatti, Guilherme Augusto/0000-0003-1323-532X</t>
  </si>
  <si>
    <t>10.2196/46661</t>
  </si>
  <si>
    <t>WOS:000998643600020</t>
  </si>
  <si>
    <t>Wang, MJ; Chen, XT; Ma, S; Liu, G; Chen, C</t>
  </si>
  <si>
    <t>Wang, Meijiao; Chen, Xiaotong; Ma, Sai; Liu, Gordon; Chen, Chen</t>
  </si>
  <si>
    <t>Effectiveness of a mobile-based HIV prevention intervention for the rural and low-income population involving incentive policy to doctors in Liangshan, China: a randomized controlled trial protocol</t>
  </si>
  <si>
    <t>HIV prevention; Mobile-based intervention; Village doctors; Secondary knowledge transmission</t>
  </si>
  <si>
    <t>INJECTION-DRUG USERS; CULTURAL-ADAPTATION; HIV/AIDS KNOWLEDGE; CONDOM USE; STIGMA; PEOPLE; ATTITUDES; EPIDEMIC; PROGRAM; AIDS</t>
  </si>
  <si>
    <t>Background: The HIV/AIDS epidemic is a concerning problem in many parts of the world, especially in rural and poor areas. Due to health service inequality and public stigma towards the disease, it is difficult to conduct face-to-face interventions. The widespread use of mobile phones and social media applications thus provide a feasible and acceptable approach for HIV prevention and education delivery in this population. The study aims to develop a generalizable, effective, acceptable, and convenient mobile-based information intervention model to improve HIV-related knowledge, attitudes, practices, and health outcomes in poverty-stricken areas in China and measure the impact of incentive policies on the work of village doctors in Liangshan, China. Methods: A randomized controlled trial design is used to evaluate the effectiveness of an 18-month mobile-based HIV prevention intervention, collaborating with local village doctors and consisting of group-based knowledge dissemination and individualized communication on WeChat and the Chinese Version of TikTok in Liangshan, China. Each village is defined as a cluster managed by a village doctor with 20 adults possessing mobile phones randomly selected from different families as participants, totaling 200 villages. Clusters are randomized (1:1:1) to the Control without mobile-based knowledge dissemination, Intervention A with standardized compensation to the village doctors, or Intervention B with performance-based compensation to the village doctors. The intervention groups will receive biweekly messages containing HIV-related educational modules. Data will be collected at baseline and 6-, 12-, and 18-month periods for outcome measurements. The primary outcomes of the study are HIV-related knowledge improvement and the effectiveness of village doctor targeted incentive policies. The secondary outcomes include secondary knowledge transmission, behavioral changes, health outcomes, social factors, and study design's acceptability and reproducibility. These outcomes will be explored via various qualitative and quantitative means. Discussion: The findings will provide insights into the effectiveness, generalizability, and challenges of the mobile-based HIV prevention intervention for the population living in rural communities with low education levels and will guide the development of similar models in other low-income and culturally isolated regions.</t>
  </si>
  <si>
    <t>[Wang, Meijiao] Dalian Maritime Univ, Sch Publ Adm &amp; Humanities, Dalian, Liaoning, Peoples R China; [Wang, Meijiao; Liu, Gordon] Peking Univ, Natl Sch Dev, Beijing, Peoples R China; [Wang, Meijiao; Chen, Xiaotong; Ma, Sai; Liu, Gordon] Peking Univ, China Ctr Hlth Econ Res, Beijing, Peoples R China; [Liu, Gordon] Peking Univ, PKU Inst Global Hlth &amp; Dev, Beijing, Peoples R China; [Chen, Chen] Wuhan Univ, Sch Publ Hlth, Dept Global Hlth, Wuhan, Peoples R China</t>
  </si>
  <si>
    <t>Dalian Maritime University; Peking University; Peking University; Peking University; Wuhan University</t>
  </si>
  <si>
    <t>Liu, G (corresponding author), Peking Univ, PKU Inst Global Hlth &amp; Dev, Beijing, Peoples R China.;Chen, C (corresponding author), Wuhan Univ, Sch Publ Hlth, Dept Global Hlth, Wuhan, Peoples R China.</t>
  </si>
  <si>
    <t>gordonliu@nsd.pku.edu.cn; chenchen835@whu.edu.cn</t>
  </si>
  <si>
    <t>This study protocol was initiated with support in part by the National Natural Science Foundation of China (71833001). To further carry out the full study, it will seek additional funding to support its implementation. The funder had no role in the design of this study and will not have any role during its execution, analyses, interpretation of the data, or decision to submit results. The sponsor of this study is National Natural Science Foundation of China.</t>
  </si>
  <si>
    <t>10.1186/s12889-022-13930-2</t>
  </si>
  <si>
    <t>4H7PZ</t>
  </si>
  <si>
    <t>WOS:000850070400010</t>
  </si>
  <si>
    <t>Modrzejewska, A; Czepczor-Bernat, K; Modrzejewska, J; Roszkowska, A; Zembura, M; Matusik, P</t>
  </si>
  <si>
    <t>Modrzejewska, Adriana; Czepczor-Bernat, Kamila; Modrzejewska, Justyna; Roszkowska, Agnieszka; Zembura, Marcela; Matusik, Pawel</t>
  </si>
  <si>
    <t>#childhoodobesity - A brief literature review of the role of social media in body image shaping and eating patterns among children and adolescents</t>
  </si>
  <si>
    <t>childhood obesity; social media; body image; eating patterns; children; adolescents</t>
  </si>
  <si>
    <t>SCALE; RELIABILITY; ATTITUDES; FACEBOOK; OBESITY; PHOTOS</t>
  </si>
  <si>
    <t>Children's food preferences are closely related to their parents' food preferences and knowledge of food is linked to what their parents share with them. Parents, however, are not the only people who model such behavior. Paradoxically, the ubiquitous technological development can also pose a huge threat. In developed countries, 94% of teenagers use social media platforms such as: Instagram, Snapchat, Facebook, or TikTok, and this also applies to children. It can therefore be argued that parents' nutritional preferences and behavior are related to the same behaviors of children and there is an extensive literature on this subject. It is therefore important to check how other factors - new technology (and social media in particular) - can influence changes in this area. A literature search was conducted in the following databases: Google Scholar, PubMed, EBSCO in December 2021. After applying all the filters and verification of relevance in terms of the research on the topic of interest to us, 4 articles related to research on body image and social media and 4 articles related to research on food choices and social media among children and adolescents were obtained. The conducted analysis showed that various studies so far indicate that social media can have a very strong influence on the development of eating patterns and body image in children and adolescents, which in turn may be one of the risk factors for developing obesity when promoted behaviors are not associated with a healthy lifestyle. It is also worth pointing out that social media can be used as a resource in the prevention and treatment of obesity. A closer look at this topic seems to be particularly important due to the fact that, among adults, social media is not only a very important source of information about lifestyle, but also a source of social support when people attempting to lose weight. Therefore, by increasing preventive activity in social media and using modern solutions related to social media (including the use of hashtag signs), we can have a greater impact on the health awareness of children and adolescents around the world.</t>
  </si>
  <si>
    <t>[Modrzejewska, Adriana] Med Univ Silesiaia Katowice, Sch Hlth Sci Katowice, Dept Psychol, Katowice, Poland; [Czepczor-Bernat, Kamila] Univ Wroclaw, Inst Psychol, Wroclaw, Poland; [Modrzejewska, Justyna; Roszkowska, Agnieszka] Univ Bielsko Biala, Inst Pedag, Bielsko Biala, Poland; [Zembura, Marcela; Matusik, Pawel] Med Univ Silesiaia, Fac Med Sci Katowice, Dept Pediat Pediat Obes &amp; Metab Bone Dis, Katowice, Poland</t>
  </si>
  <si>
    <t>Medical University Silesia; University of Wroclaw; University of Bielsko-Biala; Medical University Silesia</t>
  </si>
  <si>
    <t>Modrzejewska, A (corresponding author), Med Univ Silesiaia Katowice, Sch Hlth Sci Katowice, Dept Psychol, Katowice, Poland.</t>
  </si>
  <si>
    <t>adriana.modrzejewska@sum.edu.pl</t>
  </si>
  <si>
    <t>Modrzejewska, Justyna/ABE-7863-2021; Matusik, Pawel/AAL-9365-2020; Czepczor-Bernat, Kamila/ADO-0243-2022</t>
  </si>
  <si>
    <t>Matusik, Pawel/0000-0002-8943-7051; Zembura, Marcela/0000-0003-2078-6330; MODRZEJEWSKA, JUSTYNA/0000-0002-6243-8150; Czepczor-Bernat, Kamila/0000-0002-1707-0000</t>
  </si>
  <si>
    <t>10.3389/fped.2022.993460</t>
  </si>
  <si>
    <t>5A7ZO</t>
  </si>
  <si>
    <t>WOS:000863101600001</t>
  </si>
  <si>
    <t>Sun, JL; Su, T; Li, JX; Dong, Z; Pu, GG; Xie, T; Su, ZD</t>
  </si>
  <si>
    <t>Cadar, C; Zhang, X</t>
  </si>
  <si>
    <t>Sun, Jingling; Su, Ting; Li, Junxin; Dong, Zhen; Pu, Geguang; Xie, Tao; Su, Zhendong</t>
  </si>
  <si>
    <t>Understanding and Finding System Setting-Related Defects in Android Apps</t>
  </si>
  <si>
    <t>ISSTA '21: PROCEEDINGS OF THE 30TH ACM SIGSOFT INTERNATIONAL SYMPOSIUM ON SOFTWARE TESTING AND ANALYSIS</t>
  </si>
  <si>
    <t>30th ACM SIGSOFT International Symposium on Software Testing and Analysis (ISSTA)</t>
  </si>
  <si>
    <t>JUL 11-17, 2021</t>
  </si>
  <si>
    <t>ACM SIGSOFT,Assoc Comp Machinery,Google,AWS,Dragon Testing,Microsoft Res,Facebook,KBR,NASA,JetBeans</t>
  </si>
  <si>
    <t>Empirical study; Testing; Android; Setting</t>
  </si>
  <si>
    <t>Android, the most popular mobile system, offers a number of user-configurable system settings (e.g., network, location, and permission) for controlling devices and apps. Even popular, well-tested apps may fail to properly adapt their behaviors to diverse setting changes, thus frustrating their users. However, there exists no effort to systematically investigate such defects. To this end, we conduct the first empirical study to understand the characteristics of these setting-related defects (in short as setting defects), which reside in apps and are triggered by system setting changes. We devote substantial manual effort (over three person-months) to analyze 1,074 setting defects from 180 popular apps on GitHub. We investigate their impact, root causes, and consequences. We find that setting defects have a wide, diverse impact on apps' correctness, and the majority of these defects (approximate to 70.7%) cause non-crash (logic) failures, and thus could not be automatically detected by existing app testing techniques due to the lack of strong test oracles. Motivated and guided by our study, we propose setting-wise metamorphic fuzzing, the first automated testing approach to effectively detect setting defects without explicit oracles. Our key insight is that an app's behavior should, in most cases, remain consistent if a given setting is changed and later properly restored, or exhibit expected differences if not restored. We realize our approach in SETDROID, an automated, end-to-end GUI testing tool, for detecting both crash and non-crash setting defects. SETDROID has been evaluated on 26 popular, open-source apps and detected 42 unique, previously unknown setting defects in 24 apps. To date, 33 have been confirmed and 21 fixed. We also apply SETDROID on five highly popular industrial apps, namely WeChat, QQMail, TikTok, CapCut, and AlipayHK, all of which each have billions of monthly active users. SETDROID successfully detects 17 previously unknown setting defects in these apps' latest releases, and all defects have been confirmed and fixed by the app vendors. The majority of SETDRom-detected defects (49 out of 59) cause non-crash failures, which could not be detected by existing testing tools (as our evaluation confirms). These results demonstrate SETDROID'S strong effectiveness and practicality.</t>
  </si>
  <si>
    <t>[Sun, Jingling; Su, Ting; Li, Junxin; Pu, Geguang] East China Normal Univ, Shanghai, Peoples R China; [Dong, Zhen] Natl Univ Singapore, Singapore, Singapore; [Xie, Tao] Peking Univ, Beijing, Peoples R China; [Su, Zhendong] Swiss Fed Inst Technol, Zurich, Switzerland</t>
  </si>
  <si>
    <t>East China Normal University; National University of Singapore; Peking University; Swiss Federal Institutes of Technology Domain; ETH Zurich</t>
  </si>
  <si>
    <t>Pu, GG (corresponding author), East China Normal Univ, Shanghai, Peoples R China.</t>
  </si>
  <si>
    <t>jingling.sun910@gmail.com; tsu@sei.ecnu.edu.cn; leejuniorxin@gmail.com; zhen.dong@comp.nus.edu.sg; ggpu@sei.ecnu.edu.cn; taoxie@pku.edu.cn; zhendong.su@inf.ethz.ch</t>
  </si>
  <si>
    <t>yilin, sun/GYR-2603-2022</t>
  </si>
  <si>
    <t>Xie, Tao/0000-0002-6731-216X</t>
  </si>
  <si>
    <t>National Key R&amp;D Program of China [2020AAA0107800]; NSFC [61632005, 62072178]; STC of Shanghai [19511103602]; Google Faculty Research Award</t>
  </si>
  <si>
    <t>National Key R&amp;D Program of China; NSFC(National Natural Science Foundation of China (NSFC)); STC of Shanghai; Google Faculty Research Award(Google Incorporated)</t>
  </si>
  <si>
    <t>This work is partially supported by the National Key R&amp;D Program of China No.2020AAA0107800, NSFC Project No. 62072178, NSFC Project No. 61632005, and the project of STC of Shanghai No. 19511103602. Ting Su and Zhendong Su are partially supported by a Google Faculty Research Award. Tao Xie is with the Key Laboratory of High Confidence Software Technologies (Peking University), Ministry of Education, China.</t>
  </si>
  <si>
    <t>978-1-4503-8459-9</t>
  </si>
  <si>
    <t>10.1145/3460319.3464806</t>
  </si>
  <si>
    <t>BS4UR</t>
  </si>
  <si>
    <t>WOS:000722628800018</t>
  </si>
  <si>
    <t>Muzykant, VL; Hu, RQ</t>
  </si>
  <si>
    <t>Muzykant, Valerii L.; Hu, Ruiqi</t>
  </si>
  <si>
    <t>Features of Chinese Media Coverage of the Special Military Operation (SMO) in Ukraine</t>
  </si>
  <si>
    <t>Special military operation; conflict; Internet community; Chinese media platforms; WarTok; Social networks</t>
  </si>
  <si>
    <t>With the beginning of the SMO in Ukraine, the world media began to actively publish news about the events taking place. China was no exception. Information from both sides of the military conflict is carefully analyzed by the Chinese audience, raising many questions about the smallest details of the Russian military operation. The relevance of the work lies in the fact that for the first time the key aspects of the media influence of the Chinese media on public opinion in the initial period of the Northern Military District were analyzed, when news from the battlefield was covered on media platforms both by the journalists themselves and by participants in the events equipped with smartphones. The emerging phrase WarTok began to mean posting the latest events from the battlefield and comments on them on the TikTok platform. The study took into account both the official media coverage of the SMO and the attitude of Chinese new media towards this event. The development of a special military operation as a media event was carried out by comparing the information index with the search index, as well as by comparing keyword searches and citations. The study revealed a trend of changes in the attitude of the Chinese media and the Internet community to this event, and the acceptance of the Russian position by the Chinese media community. Three Weibo accounts were studied (Russian Embassy in China, Ukrainian Embassy in China and Russia Today). Based on the results of the study, it can be stated that the term Russian -Ukrainian conflict has become established in the media field of the PRC, and the attitude of the Chinese audience to Russia's actions is assessed as positive. On the one hand, this is due to the official position of the Chinese government itself, on the other, the Russian Federation has successfully used Chinese social networks for close and effective interaction with the Chinese media community, and, unlike the situation in Western social networks, has taken control of this discourse. The emerging media agenda, with social media becoming the main battleground for public opinion, is forcing the journalistic community to recognize the particular importance of state ownership and control of new media platforms during the unfolding media wars.</t>
  </si>
  <si>
    <t>[Muzykant, Valerii L.; Hu, Ruiqi] Peoples Friendship Univ Russia, Dept Mass Commun, Moscow, Russia</t>
  </si>
  <si>
    <t>Muzykant, VL (corresponding author), Peoples Friendship Univ Russia, Dept Mass Commun, Moscow, Russia.</t>
  </si>
  <si>
    <t>muzykant-vl@rudn.ru; 972115969@qq.com</t>
  </si>
  <si>
    <t>Hu, RuiQi/JVO-8634-2024; Mouzykant, Valeri/AAE-1181-2020</t>
  </si>
  <si>
    <t>Mouzykant, Valeri/0000-0001-9422-351X</t>
  </si>
  <si>
    <t>10.17150/2308-6203.2024.13(1).52-68</t>
  </si>
  <si>
    <t>ML9S9</t>
  </si>
  <si>
    <t>WOS:001193900900005</t>
  </si>
  <si>
    <t>Chen, T</t>
  </si>
  <si>
    <t>Chen, Tian</t>
  </si>
  <si>
    <t>The use of social networks as marketing tools and its impact on online shopping among university students in the Chinese city of Nanjing, 2020</t>
  </si>
  <si>
    <t>social media; marketing; shopping on social media; impact; university student; Nanjing</t>
  </si>
  <si>
    <t>Introduction. In the digital age, social networks such as WeChat, QQ, Sina Weibo and TikTok, etc. They are an indispensable tool to communicate and have fun in everyday life for Chinese university students, but also to shop online. In recent years, making purchases on social networks has become a new online shopping model and a very popular behavior among Chinese youth. Objectives. The present work mainly analyses the following questions: what kind of impact is this use and consumption in the Youth of China generating? And about the new Chinese business models? Methodology. These questions are solved, we examined the most attractive social network among the university students in the city of Nanjing, and we observe its characteristics and peculiarities of uses and consumption. For this, we investigate the use of social networks as marketing tools for a total of 436 students from 20 universities in Nanjing by 2020. Through SPSS software, we analyze the correlation between the degree of students surveyed to the recommended products of social networks, At the same time, we also use multiple regression analysis to analyze the degree of confidence and attention from college students towards the recommended products in social networks and the frequency of purchase. Results. The main consequences are that, among them, the frequency of purchases of university students through social networks is more closely related to attention to the product (0.646), followed by the degree of trust in the products (0.625), being the correlation between the degree of trust in the product and the degree of attention the smallest (0.549). Conclusions. In the end, we found that the correlation coefficients between the analyzed grades are statistically significant, that is, there is a correlation between the three. The use of social networks as a marketing tool does have a positive impact on online purchases of university students, especially, it is concluded that both the trust of university students in the products recommended by social networks and their attention to the products recommended products have a positive and significant impact on the frequency of purchase of recommended products on social networks.</t>
  </si>
  <si>
    <t>[Chen, Tian] Suqian Univ, Suqian, Jiangsu, Peoples R China</t>
  </si>
  <si>
    <t>Chen, T (corresponding author), Suqian Univ, Suqian, Jiangsu, Peoples R China.</t>
  </si>
  <si>
    <t>tchen01@ucm.es</t>
  </si>
  <si>
    <t>10.4185/RLCS-2022-1740</t>
  </si>
  <si>
    <t>2V8PJ</t>
  </si>
  <si>
    <t>WOS:000824100600001</t>
  </si>
  <si>
    <t>De Veirman, M; Hudders, L; Nelson, MR</t>
  </si>
  <si>
    <t>De Veirman, Marijke; Hudders, Liselot; Nelson, Michelle R.</t>
  </si>
  <si>
    <t>What Is Influencer Marketing and How Does It Target Children? A Review and Direction for Future Research</t>
  </si>
  <si>
    <t>social media influencers; influencer marketing; children; native advertising; advertising literacy; YouTube; vlogs</t>
  </si>
  <si>
    <t>WORD-OF-MOUTH; CARTOON MEDIA CHARACTERS; ADVERTISING LITERACY; CELEBRITY ENDORSEMENTS; PERSUASION KNOWLEDGE; CONSUMER SOCIALIZATION; FOOD; DISCLOSURE; RESPONSES; IMPACT</t>
  </si>
  <si>
    <t>Children nowadays spend many hours online watching YouTube videos in which their favorite vloggers are playing games, unboxing toys, reviewing products, making jokes or just going about their daily activities. These vloggers regularly post attractive and entertaining content in the hope of building a large follower base. Although many of these vloggers are adults, the number of child vloggers is flourishing. The famous child vlogger Ryan of Ryan's World, for instance, has more than 19 million viewers and he is (at age seven) a social media influencer. The popularity of these vloggers incited advertisers to include them as a new marketing communication tool, also referred to as influencer marketing, in their marketing strategy. Accordingly, many influential vloggers now receive free products from brands in return for a mention in one of their videos and their other social media (e.g., TikTok or Instagram) and some are even paid to create a sponsored post or video and distribute it to their followers. This sponsored content appears to be highly influential and may affect young children's brand preferences. Given the limited advertising literacy skills (i.e., knowledge of advertising and skills to critically reflect on this advertising) of children under age 12, they are a vulnerable target group when it comes to persuasion. Therefore, caution is needed when implementing this marketing tactic to target them. However, research on how influencer marketing affects young children (under 12) is scarce and it is unclear how these young children can be empowered to critically cope with this fairly new form of persuasion. This paper therefore aims to shed light on why and how social media influencers have persuasive power over their young followers. The paper starts with providing insights into how and why social media influencers became a new source in advertising. We then discuss the few studies that have been conducted on influencer marketing among young children (under 12), based on a systematic literature review, and take these findings to formulate societal and policy implications and develop a future research agenda.</t>
  </si>
  <si>
    <t>[De Veirman, Marijke; Hudders, Liselot] Univ Ghent, Dept Commun Sci, Ghent, Belgium; [Hudders, Liselot] Univ Ghent, Dept Mkt, Ghent, Belgium; [Nelson, Michelle R.] Univ Illinois, Dept Advertising, Urbana, IL USA</t>
  </si>
  <si>
    <t>Ghent University; Ghent University; University of Illinois System; University of Illinois Urbana-Champaign</t>
  </si>
  <si>
    <t>De Veirman, M (corresponding author), Univ Ghent, Dept Commun Sci, Ghent, Belgium.</t>
  </si>
  <si>
    <t>marijke.deveirman@ugent.be</t>
  </si>
  <si>
    <t>Hudders, Liselot/AAM-9871-2021</t>
  </si>
  <si>
    <t>De Veirman, Marijke/0000-0002-9415-9180</t>
  </si>
  <si>
    <t>Fonds Wetenschappelijk Onderzoek [FWO3E02015003501, K209119N]</t>
  </si>
  <si>
    <t>Fonds Wetenschappelijk Onderzoek(FWO)</t>
  </si>
  <si>
    <t>This work was financially supported by Fonds Wetenschappelijk Onderzoek (Grant FWO3E02015003501 and K209119N).</t>
  </si>
  <si>
    <t>DEC 3</t>
  </si>
  <si>
    <t>10.3389/fpsyg.2019.02685</t>
  </si>
  <si>
    <t>NB1FN</t>
  </si>
  <si>
    <t>WOS:000560261000001</t>
  </si>
  <si>
    <t>Bojic, L</t>
  </si>
  <si>
    <t>Bojic, Ljubisa</t>
  </si>
  <si>
    <t>AI alignment: Assessing the global impact of recommender systems</t>
  </si>
  <si>
    <t>FUTURES</t>
  </si>
  <si>
    <t>AI alignment; Digital humanism; Recommender systems; Global impact; Social polarization</t>
  </si>
  <si>
    <t>SOCIAL MEDIA; PERSONALITY PREDICTION; INTERNET ADDICTION; NEGATIVITY BIAS; ONLINE; FRAMEWORK; CONTEXT; NEWS; WEB; EMOTIONS</t>
  </si>
  <si>
    <t>The recent growing concerns surrounding the pervasive adoption of generative AI can be traced back to the long-standing influence of AI algorithms that have predominantly served as content curators on large online platforms. These algorithms are used by online services and platforms to decide what content to show and in what order, and they can have a negative impact, including the spread of misinformation, social polarization, and echo chambers around important topics. Frances Haugen, a former Facebook employee turned whistleblower, has drawn significant public attention to this issue by revealing the company's alleged knowledge about the negative impacts of their own algorithms. Additionally, a recent initiative to ban TikTok as a threat to US national security indicates the influence of recommender systems. The objective of this study is threefold. The first goal is to provide an exhaustive evaluation of the profound worldwide influence exerted by algorithm-based recommendations. The second goal is to determine the degree of priority accorded by the scientific community to pivotal subjects in recommender systems discussions, such as misinformation, polarization, addiction, emotional contagion, privacy, and bias. Finally, the third goal is to assess whether the level of scientific research and discourse is commensurate with the significant impact these recommendation systems have globally. The research concludes the impact of recommender systems on society has been largely neglected by the scientific community, despite the fact that more than half of the world's population interacts with them on a daily basis. This becomes especially apparent when considering that algorithms exert influence not just on major societal issues but on every aspect of a user's online experience. The potential consequences for humanity are discussed, such as addiction to technology, weakening relations between humans, and the homogenizing effects on human minds. One possible direction to address the challenges posed by these algorithms is the application of algorithmic regulation to promote content diversity and facilitate democratic engagement, such as the tripartite solution which is elaborated upon in the conclusion. Therefore, future research should not only be centered around further evaluating influence of this technology, but also the analysis of how such systems can be regulated. A broader conversation among all stakeholders should be evoked on these potential approaches, aiming to align AI with societal values and enhance human wellbeing.</t>
  </si>
  <si>
    <t>[Bojic, Ljubisa] Inst Artificial Intelligence Res &amp; Dev Serbia, Fruskogorska 1, Novi Sad 21000, Serbia; [Bojic, Ljubisa] Univ Belgrade, Inst Philosophy &amp; Social Theory, Digital Soc Lab, Belgrade 11000, Serbia</t>
  </si>
  <si>
    <t>University of Belgrade</t>
  </si>
  <si>
    <t>Bojic, L (corresponding author), Fruskogorska 1, Novi Sad 21000, Serbia.</t>
  </si>
  <si>
    <t>ljubisa.bojic@ivi.ac.rs</t>
  </si>
  <si>
    <t>Bojic, Ljubisa/ISU-5749-2023</t>
  </si>
  <si>
    <t>Bojic, Ljubisa/0000-0002-5371-7975</t>
  </si>
  <si>
    <t>European Union [101120763-TANGO]; Ministry of Science, Technological Development and Innovation of the Republic of Serbia [451-03-66/2024-03/200025]; TWin of Online Social Networks (TWON) [HORIZON-CL2-2022-DEMOCRACY-01, 101095095]; Horizon Europe - Pillar II [101095095] Funding Source: Horizon Europe - Pillar II</t>
  </si>
  <si>
    <t>European Union(European Union (EU)); Ministry of Science, Technological Development and Innovation of the Republic of Serbia; TWin of Online Social Networks (TWON); Horizon Europe - Pillar II(European Union (EU)Horizon Europe - Pillar II)</t>
  </si>
  <si>
    <t>Funded by the European Union. Views and opinions expressed are however those of the author (s) only and do not necessarily reflect those of the European Union or the European Health and Digital Executive Agency (HaDEA) . Neither the European Union nor the granting authority can be held responsible for them. Grant Agreement no. 101120763-TANGO. This paper was realised with the support of the Ministry of Science, Technological Development and Innovation of the Republic of Serbia, according to the Agreement on the realisation and financing of scientific research: 451-03-66/2024-03/200025. This paper has been supported by the TWin of Online Social Networks (TWON) , a research project funded by the European Union, under the Horizon Europe framework (HORIZON-CL2-2022-DEMOCRACY-01, topic 07) . TWON poject number is 101095095. More details can be found on its official website: https:// www.twon-project.eu/.This research has been accomplished with the support and collaboration from the COST Action Network CA21129-What are Opinions? Integrating Theory and Methods for Automatically Analyzing Opinionated Communication (OPINION) -https:// www.opinion-network.eu/.</t>
  </si>
  <si>
    <t>0016-3287</t>
  </si>
  <si>
    <t>1873-6378</t>
  </si>
  <si>
    <t>Futures</t>
  </si>
  <si>
    <t>10.1016/j.futures.2024.103383</t>
  </si>
  <si>
    <t>Economics; Regional &amp; Urban Planning</t>
  </si>
  <si>
    <t>D3R0C</t>
  </si>
  <si>
    <t>WOS:001295378400001</t>
  </si>
  <si>
    <t>Stadnyk, A; Bondarenko, O; Khodus, O; Ihrushko, A; Stadnik, O; Vaniushyna, O</t>
  </si>
  <si>
    <t>Stadnyk, Alona; Bondarenko, Olha; Khodus, Olena; Ihrushko, Anastasiia; Stadnik, Oksana; Vaniushyna, Olena</t>
  </si>
  <si>
    <t>THE USE OF NEW MEDIA IN THE PROCESS OF CONDUCTING INFORMATION WARS: A SOCIOLOGICAL ASPECT</t>
  </si>
  <si>
    <t>AD ALTA-JOURNAL OF INTERDISCIPLINARY RESEARCH</t>
  </si>
  <si>
    <t>new media; traditional media; mass media; mass communication; information war; mass consciousness</t>
  </si>
  <si>
    <t>The relevance of this topic is primarily related to the current situation of communication processes in the information space, which are to some extent based on traditional and modern media. In particular, a certain transformation of traditional media is taking place, and they are acquiring features of the latest technologies (possibility of feedback, instant sending of messages to social networks, instant response to them, etc.). The purpose of the article was to analyze the specifics of using the latest media in the process of waging information wars. To address the purpose of the article, the following general scientific methods of learning social phenomena and processes are used, namely: logical-historical, structural-functional, and comparative methods - to study traditional and modern media, their peculiarities in the process of conducting information wars; analysis and synthesis - to highlight the content of the latest (digital) media; classifications - for typology of the latest (digital) media in modern sociological science; structural and functional analysis - to clarify the structure and functions of traditional and modern media in the process of waging information wars; generalization - to determine the prospects for the formation and development of the latest (digital) media in modern Ukrainian society, which is in a state of information war. The conducted research showed us the influential nature of the information society in which we live. There has been a change in the focus of attention on the formation of the information flow: while earlier information was provided to society for the purpose of informing, today the vector has changed to the manipulation of mass consciousness `in favor' of the social customer. The results of the theoretical analysis of trends in the influence of the latest media on public opinion in the process of waging an information war allow us to draw the following conclusions: 1. The fact of transformation (and not extinction) of traditional media channels (radio, television, print media, the Internet in its traditional sense) has been revealed and confirmed. 2. The conducted analysis proved that the key place in the conduct of the information war is occupied by the latest media channels, and the key ones among them are the following: Twitter, Facebook, Instagram, Telegram, and TikTok. 3. The importance of the ability to resist the manipulative information flows received by society in the process of waging an information war has been proven.</t>
  </si>
  <si>
    <t>[Stadnyk, Alona] Mariupol State Univ, 6 Preobrazhenska Str, UA-03037 Kiev, Ukraine; [Bondarenko, Olha] Zaporizhzhia Polytech Natl Univ, 64 Zhukovskogo Str, UA-69063 Zaporizhzhia, Ukraine; [Khodus, Olena] Oles Honchar Dnipropetrovsk Natl Univ, 72 Gagarin Ave, UA-49010 Dnipro, Ukraine; [Ihrushko, Anastasiia] Class Private Univ, 70-B Zhukovsky Str, UA-69002 Zaporozhe, Ukraine; [Stadnik, Oksana] Natl Acad Culture &amp; Arts Management, Inst Pract &amp; Art Management, 9 Lavrska Str, UA-01015 Kiev, Ukraine; [Vaniushyna, Olena] Kyiv Natl Univ Trade &amp; Econ, 19 Kyoto Str, UA-02156 Kiev, Ukraine</t>
  </si>
  <si>
    <t>Ministry of Education &amp; Science of Ukraine; Mariupol State University; Ministry of Education &amp; Science of Ukraine; Zaporizhzhia Polytechnic National University; Ministry of Education &amp; Science of Ukraine; Oles Honchar Dnipro National University; Classic Private University; National Academy of Culture &amp; Arts Management; State University of Trade &amp; Economics</t>
  </si>
  <si>
    <t>Stadnyk, A (corresponding author), Mariupol State Univ, 6 Preobrazhenska Str, UA-03037 Kiev, Ukraine.</t>
  </si>
  <si>
    <t>a.g.stadnyk@gmail.com; obond345@gmail.com; hodus2@ukr.net; igrushko.anastasia@gmail.com; pironkova721@gmail.com; olena.vaniushyna@gmail.com</t>
  </si>
  <si>
    <t>Stadnyk, Alona/AAR-2193-2021; Vaniushyna, Olena/B-8793-2019; Bondarenko, Olha/HGU-5493-2022</t>
  </si>
  <si>
    <t>Bondarenko, Olha/0000-0002-9700-4563</t>
  </si>
  <si>
    <t>MAGNANIMITAS</t>
  </si>
  <si>
    <t>HRADEC KRALOVE</t>
  </si>
  <si>
    <t>CESKOSLOVENSKE ARMADY 300, HRADEC KRALOVE, 500 03, CZECH REPUBLIC</t>
  </si>
  <si>
    <t>1804-7890</t>
  </si>
  <si>
    <t>AD ALTA-INTERDISCIP</t>
  </si>
  <si>
    <t>AD ALTA-J. Interdiscip. Res.</t>
  </si>
  <si>
    <t>8N4RI</t>
  </si>
  <si>
    <t>WOS:000925136500008</t>
  </si>
  <si>
    <t>Guan, JL; Xia, SH; Zhao, K; Feng, LN; Han, YY; Li, JY; Liao, JZ; Li, PY</t>
  </si>
  <si>
    <t>Guan, Jia-Lun; Xia, Su-Hong; Zhao, Kai; Feng, Li-Na; Han, Ying-Ying; Li, Ji-Yan; Liao, Jia-Zhi; Li, Pei-Yuan</t>
  </si>
  <si>
    <t>Videos in Short-Video Sharing Platforms as Sources of Informationon Colorectal Polyps:Cross-Sectional Content Analysis Study</t>
  </si>
  <si>
    <t>colorectal polyps; short videos; health information; quality assessment; reliability</t>
  </si>
  <si>
    <t>RISK-FACTORS; HEALTH INFORMATION; CANCER; PREVENTION; YOUTUBE</t>
  </si>
  <si>
    <t>Background: Short videos have demonstrated huge potential in disseminating health information in recent years. However, toour knowledge, no study has examined information about colorectal polyps on short-video sharing platforms. Objective: This study aimed to analyze the content and quality of colorectal polyps-related videos on short-video sharingplatforms.Methods: The terms (sic)(sic)(sic) (intestinal polyps) or (sic)(sic)(sic)(sic) (colonic polyps) or (sic)(sic)(sic)(sic) (rectal polyps) or (sic)(sic)(sic)(sic)(sic) (colorectal polyps) or (sic)(sic)(sic)(sic) (polyps of large intestine) were used to search in TikTok (ByteDance), WeChat (TencentHoldings Limited), and Xiaohongshu (Xingyin Information Technology Limited) between May 26 and June 8, 2024, and thenthe top 100 videos for each search term on different platforms were included and recorded. The Journal of American MedicalAssociation(JAMA) score, the Global Quality Scale (GQS), the modified DISCERN, and the Patient Education MaterialsAssessment Tool (PEMAT) were used to evaluate the content and quality of selected videos by 2 independent researchers. SPSS(version 22.0; IBM Corp) and GraphPad Prism (version 9.0; Dotmatics) were used for analyzing the data. Descriptive statisticswere generated, and the differences between groups were compared. Spearman correlation analysis was used to evaluate therelationship between quantitative variables. Results: A total of 816 eligible videos were included for further analysis, which mainly conveyed disease-related knowledge(n=635, 77.8%). Most videos were uploaded by physicians (n=709, 86.9%). These videos had an average JAMA score of 2.0(SD 0.6), GQS score of 2.5 (SD 0.8), modified DISCERN score of 2.5 (SD 0.8), understandability of 80.4% (SD 15.6%), andactionability of 42.2% (SD 36.1%). Videos uploaded by news agencies were of higher quality and received more likes andcomments (all P&lt;.05). The number of collections and shares of videos about posttreatment caveats were more than those for othercontent (P=.03 and P=.006). There was a positive correlation between the number of likes, comments, collections, and shares(all P&lt;.001). The duration and the number of fans were positively correlated with the quality of videos (all P&lt;.05). Conclusions: There are numerous videos about colorectal polyps on short-video sharing platforms, but the reliability and qualityof these videos are not good enough and need to be improved</t>
  </si>
  <si>
    <t>[Guan, Jia-Lun; Xia, Su-Hong; Zhao, Kai; Feng, Li-Na; Han, Ying-Ying; Li, Ji-Yan; Liao, Jia-Zhi; Li, Pei-Yuan] Huazhong Univ Sci &amp; Technol, Tongji Hosp, Tongji Med Coll, Dept Gastroenterol, 1095 Jiefang Ave, Wuhan 430030, Peoples R China; [Li, Pei-Yuan] Wenchang Peoples Hosp, Dept Gastroenterol, Wenchang, Peoples R China</t>
  </si>
  <si>
    <t>Huazhong University of Science &amp; Technology</t>
  </si>
  <si>
    <t>Li, PY (corresponding author), Huazhong Univ Sci &amp; Technol, Tongji Hosp, Tongji Med Coll, Dept Gastroenterol, 1095 Jiefang Ave, Wuhan 430030, Peoples R China.</t>
  </si>
  <si>
    <t>pyli@tjh.tjmu.edu.cn</t>
  </si>
  <si>
    <t>Guan, JiaLun/0000-0002-8072-3297</t>
  </si>
  <si>
    <t>OCT 29</t>
  </si>
  <si>
    <t>e51655</t>
  </si>
  <si>
    <t>10.2196/51655</t>
  </si>
  <si>
    <t>L9C6L</t>
  </si>
  <si>
    <t>WOS:001353630900002</t>
  </si>
  <si>
    <t>Ezeilo, CO; Leon, N; Jajodia, A; Han, HR</t>
  </si>
  <si>
    <t>Ezeilo, Chidimma Ogechukwu; Leon, Nicholas; Jajodia, Anushka; Han, Hae-Ra</t>
  </si>
  <si>
    <t>Use of Social Media for Health Advocacy for Digital Communities: Descriptive Study</t>
  </si>
  <si>
    <t>social media; health advocacy; community health; Twitter; health communication; health promotion; communication; communications; advocacy; tweet; tweets; nurse; nurses; nursing</t>
  </si>
  <si>
    <t>Background: There has been a growth surge in the use of social media among individuals today. The widespread adoption of these platforms, coupled with their engaging features, presents a unique opportunity for the dissemination of health advocacy information. Social media is known as a powerful tool used to share health policy and advocacy efforts and disseminate health information to digital community members and networks. Yet, there is still a gap in the full exploitation of this powerful instrument, among health care professionals, for health advocacy campaigns. Objective: This paper aims to describe the process of mobilizing social media platforms such as Twitter (rebranded to X Corp in 2023) for health advocacy of the digital community. Additionally, it aims to share the lessons and insights gained during this Methods: We performed a comprehensive review of Twitter analytical data to examine the impact of our social media posts. We then consolidated these analytic reports with our meeting logs to describe our systematic, iterative, and collaborative design process to implement social media efforts and generate key lessons learned. Results: Our review of monthly Twitter analytical reports and regular team meeting logs revealed several themes for successful and less successful practices in relation to our social media-based health advocacy efforts. The successful practices noted by the team included using personable, picture-based tweets; using a series of posts on a particular topic rather than an isolated post; leveraging team members' and partners' collaborations in shared posts; incorporating hashtags in tweets; using a balanced mix of texts and graphics in posts; using inclusive (nondestigmatizing) languages in tweeted posts; and use of polls to share tweets. Among the many lessons learned, we also experienced limitations including a lack of comprehensive statistics on Twitter usage for health care-related purposes such as health advocacy and limits in collating the estimates of the actual impact made on the intended digital community members by our posts. Conclusions: Twitter has been successfully used in promoting health advocacy content, and the social media team aims to explore other social media platforms that have a wider reach than Twitter. We will continue making necessary adjustments in strategies, techniques, and styles to engage the audience as we expand onto new platforms like Instagram and TikTok for health advocacy promotions.</t>
  </si>
  <si>
    <t>[Ezeilo, Chidimma Ogechukwu; Han, Hae-Ra] Johns Hopkins Univ, Bloomberg Sch Publ Hlth, Baltimore, MD USA; [Leon, Nicholas; Jajodia, Anushka; Han, Hae-Ra] Johns Hopkins Univ, Sch Nursing, Baltimore, MD USA; [Han, Hae-Ra] Johns Hopkins Univ, Sch Nursing, 525 N Wolfe St, Baltimore, MD 21205 USA</t>
  </si>
  <si>
    <t>Johns Hopkins University; Johns Hopkins Bloomberg School of Public Health; Johns Hopkins University; Johns Hopkins University</t>
  </si>
  <si>
    <t>Han, HR (corresponding author), Johns Hopkins Univ, Sch Nursing, 525 N Wolfe St, Baltimore, MD 21205 USA.</t>
  </si>
  <si>
    <t>hhan3@jhu.edu</t>
  </si>
  <si>
    <t>HAN, HAE-RA/0000-0002-9419-594X; Leon, Nicholas/0009-0008-4434-3896; Ezeilo, Chidimma Ogechukwu/0009-0007-9579-9001</t>
  </si>
  <si>
    <t>e51752</t>
  </si>
  <si>
    <t>10.2196/51752</t>
  </si>
  <si>
    <t>KI9K8</t>
  </si>
  <si>
    <t>WOS:001179446600003</t>
  </si>
  <si>
    <t>Chai, XN</t>
  </si>
  <si>
    <t>Chai, Xiangnan</t>
  </si>
  <si>
    <t>How Has the Nationwide Public Health Emergency of the COVID-19 Pandemic Affected Older Chinese Adults' Health Literacy, Health Behaviors and Practices, and Social Connectedness? Qualitative Evidence From Urban China</t>
  </si>
  <si>
    <t>COVID-19; older Chinese adults; health literacy; health behaviors and practices; social connectedness; semi-structural interviews</t>
  </si>
  <si>
    <t>MENTAL-HEALTH; EDUCATION; SERVICES</t>
  </si>
  <si>
    <t>Older Chinese adults' daily lives have been affected significantly during the outbreak phase of the COVID-19 pandemic since January 2020. They were confronted with activity restrictions due to strict pandemic prevention. The older population also had to get accustomed to widely-used modern technologies in community management, such as health codes and WeChat groups. By late 2021, mainland China had reduced the prevalence of COVID-19, and people's daily lives had primarily returned to pre-pandemic normality. Under China's systematic health management during the pandemic, older Chinese adults' responses to this nationwide public health emergency may have influenced their health in the long run. However, it remains unclear what specific health changes or improvements have occurred. Such a void in the literature is worrying, given that older adults are at high health risks due to the pandemic which, might still be with humankind for a while. Thus, it is of necessity to explore and report their health changes after this official, large-scale health intervention. In this study, 17 adults aged 55 and above were recruited as interviewees. All interviewees reside in a community located in Q district, N city of the People's Republic of China. According to the findings, many interviewees now have better literacy in health risk prevention. Information and Communication Technologies (ICTs) play a significant role in getting access to health information. Specifically, television, WeChat chatting groups, and TikTok could be valuable information sources for older adults. As for the understanding and evaluation of health information, although older participants can distinguish COVID-19 rumors, they may sometimes feel confused about the underlying scientific logic. Regarding changes in health behaviors and practices, many older adults can integrate health information and knowledge into their daily lives. Additionally, although interviewees can keep important social connections, not all of them are familiar with using new ICTs, such as online chatting group, for social participation and engagement. The empirical evidence suggests that both the communities and the local governments can offer specific training programs to older residents for the sake of enhancing their health literacy, health behaviors and practices, and social connectedness during and after the pandemic.</t>
  </si>
  <si>
    <t>[Chai, Xiangnan] Nanjing Univ, Sch Social &amp; Behav Sci, Sociol Dept, Nanjing, Peoples R China</t>
  </si>
  <si>
    <t>Chai, XN (corresponding author), Nanjing Univ, Sch Social &amp; Behav Sci, Sociol Dept, Nanjing, Peoples R China.</t>
  </si>
  <si>
    <t>westerncxn@gmail.com</t>
  </si>
  <si>
    <t>Chai, Xiangnan/AFN-9030-2022</t>
  </si>
  <si>
    <t>MAR 10</t>
  </si>
  <si>
    <t>10.3389/fpubh.2021.774675</t>
  </si>
  <si>
    <t>1W6EJ</t>
  </si>
  <si>
    <t>WOS:000806865300001</t>
  </si>
  <si>
    <t>Aureliano-Silva, L; Fu, XX; Cobanoglu, C; Parvez, MO</t>
  </si>
  <si>
    <t>Aureliano-Silva, Leonardo; Fu, Xiaoxiao; Cobanoglu, Cihan; Parvez, M. Omar</t>
  </si>
  <si>
    <t>Unveiling the mediating mechanisms: service recovery and customer advocacy between app attachment and customers' responses</t>
  </si>
  <si>
    <t>JOURNAL OF HOSPITALITY AND TOURISM INSIGHTS</t>
  </si>
  <si>
    <t>Service recovery; Customer advocacy; Mediating mechanisms; App attachment; Customer resonses</t>
  </si>
  <si>
    <t>BRAND ATTACHMENT; POSITIVE EMOTIONS; CONSUMERS; USAGE; PLS</t>
  </si>
  <si>
    <t>PurposeThis study investigates the direct impact of app attachment on service recovery and customer advocacy and their combined impact on recommendation and purchase intention. The mediating mechanisms of service recovery and customer advocacy between app attachment and customer responses are also tested in the context of food delivery apps (FDAs).Design/methodology/approachUtilizing a quantitative approach, the authors surveyed 207 responses from users of FDAs who had experienced service failures. Structural equation modeling in Smart PLS 3.0 was used to analyze the data.FindingsThe results supported direct effects among all constructs in the model. The main contribution of the study confirms the mediating mechanisms of service recovery and customer advocacy between app attachment and customer responses.Research limitations/implicationsPrevious studies have mostly relied on the technology acceptance model (TAM). This theory posits that perceived usefulness and ease of use influence the decision of individuals to use a new technology. Although this theory is valuable in terms of accepting new technologies, it neglects psychological phenomena involving the individual and the technological entity - in this case, the FDA. Thus, our study is unique in applying attachment theory and putting emphasis on the importance of building trust in the relationship between FDAs and their customers. Social exchange theory is applied to explain the importance of overcoming the cost of experiencing a failure through service recovery. Thus, we extend the knowledge regarding psychological individual reactions to mobile technologies in the food context, an important sector within the hospitality market.Practical implicationsFDA managers should invest in developing emotional ties with customers. Specific actions include messaging customers on their birthdays or other festive dates. Short testimonial videos on TikTok or other social media with customers advocating in favor of the company could help spread recommendations and the intentions of other customers using the FDAs. To use these practical recommendations properly, we recommend that FDA managers consider the level of quality service recovery delivered and individuals' cultures, beliefs and values regarding where the company operates to avoid misunderstandings.Originality/valueThis study is original in proposing a model to FDA operators considering app attachment, service recovery, customer advocacy, recommendation and purchase intention. It further supports the mediating effect of service recovery and customer advocacy between app attachment, recommendation and purchase intention on mobile phones.</t>
  </si>
  <si>
    <t>[Aureliano-Silva, Leonardo] Escola Super Propaganda &amp; Mkt, Dept Grad Courses, Sao Paulo, Brazil; [Fu, Xiaoxiao] Univ Cent Florida, Rosen Coll Hospitality Management, Orlando, FL USA; [Cobanoglu, Cihan] Univ S Florida, Muma Coll Business, Sch Hospitality &amp; Tourism Management, Tampa, FL USA; [Parvez, M. Omar] Univ S Florida, Dept Hospitality &amp; Tourism, Tampa, FL USA</t>
  </si>
  <si>
    <t>Escola Superior de Propaganda e Marketing (ESPM); State University System of Florida; University of Central Florida; State University System of Florida; University of South Florida; State University System of Florida; University of South Florida</t>
  </si>
  <si>
    <t>Aureliano-Silva, L (corresponding author), Escola Super Propaganda &amp; Mkt, Dept Grad Courses, Sao Paulo, Brazil.</t>
  </si>
  <si>
    <t>leonardoaureliano@outlook.com; xiaoxiao.fu@ucf.edu; cihan@sar.usf.edu; Parvezeu@gmail.com</t>
  </si>
  <si>
    <t>Cobanoglu, Cihan/W-5842-2019</t>
  </si>
  <si>
    <t>Parvez, M. Omar/0000-0003-4533-631X</t>
  </si>
  <si>
    <t>2514-9792</t>
  </si>
  <si>
    <t>2514-9806</t>
  </si>
  <si>
    <t>J HOSP TOUR INSIGHTS</t>
  </si>
  <si>
    <t>J. Hosp. Tour. Insights</t>
  </si>
  <si>
    <t>10.1108/JHTI-09-2023-0641</t>
  </si>
  <si>
    <t>QF4G1</t>
  </si>
  <si>
    <t>WOS:001219443900001</t>
  </si>
  <si>
    <t>van der Bend, DLM; Beunke, TA; Shrewsbury, VA; Bucher, T; van Kleef, E</t>
  </si>
  <si>
    <t>van der Bend, Daphne L. M.; Beunke, Tjamke A.; Shrewsbury, Vanessa A.; Bucher, Tamara; van Kleef, Ellen</t>
  </si>
  <si>
    <t>My feed is what I eat? A qualitative study on adolescents' awareness and appreciation of food marketing on social media</t>
  </si>
  <si>
    <t>JOURNAL OF HUMAN NUTRITION AND DIETETICS</t>
  </si>
  <si>
    <t>social media; adolescents; food marketing; awareness; appreciation; qualitative analysis</t>
  </si>
  <si>
    <t>ADVERTISING LITERACY; PERSUASION KNOWLEDGE; CHILDHOOD OBESITY; MARKETPLACE; DISCLOSURE; PLACEMENT; DEFENSE; MODEL</t>
  </si>
  <si>
    <t>BackgroundAdolescents spend much of their time online and hence are exposed to a lot of non-core (energy-dense, nutrient-poor) social media food marketing (SMFM). This may influence their dietary choices and health. This present study aimed to investigate adolescents' perceptions towards SMFM; that is, their recognition and appreciation of SMFM.MethodsSemi-structured one-on-one interviews were conducted with Dutch adolescents aged 13-16 years (n = 16), on Skype. Examples of food promotions on Instagram, Snapchat, TikTok and YouTube were discussed with adolescents.ResultsAdolescents' reasons for recognising and appreciating or liking SMFM were often related to the level of product integration. Factors that determined participants' recognition of SMFM included product focus (e.g., brand or product prominence), sponsorship disclosure, type of content (paid, influencer and peer-generated content) and promotional strategy (e.g., discounts, promotional texts, layout). Participants' appreciation of SMFM was determined by the format of a post (image, video, text, pop-up), trustworthiness of the source (brand, celebrity, friend/peer), type of product promoted (core, non-core) and appearance or layout of a post (e.g., professionalism, appeal).ConclusionsThe present study contributes to the ongoing debate on how to increase adolescents' resilience to commercial messages that promote non-core foods. Adolescents mostly enjoy watching non-core video content from peers or influencers and do not perceive this as food marketing. It is recommended that future studies investigate the effects of earned social media marketing formats (i.e., unpaid peer and influencer endorsements) promoting non-core foods on adolescents' dietary intake, and how they can be made more critical towards such types of SMFM. Most adolescents prefer watching unhealthy, entertaining influencer video content, but they often do not perceive this type of content as food marketing. It is recommended that future research and policies focus on strategies to enhance adolescents' defence mechanisms against such tempting and highly integrated food endorsements. image Adolescents mostly identify social media food marketing based on product prominence. Sponsorship disclosure in social media is not always recognised by adolescents. Trust is a key determinant for adolescents' appreciation of social media food posts. Adolescents prefer seeing unhealthy social media food promotions. Adolescents like earned social media food content but do not perceive it as marketing.</t>
  </si>
  <si>
    <t>[van der Bend, Daphne L. M.; Shrewsbury, Vanessa A.] Univ Newcastle, Coll Hlth Med &amp; Wellbeing, Sch Hlth Sci, Newcastle, NSW, Australia; [van der Bend, Daphne L. M.; Beunke, Tjamke A.; van Kleef, Ellen] Wageningen Univ &amp; Res, Dept Social Sci Mkt &amp; Consumer Behav Grp, Wageningen, Netherlands; [Bucher, Tamara] Univ Newcastle, Coll Engn Sci &amp; Environm, Sch Environm &amp; Life Sci, Ourimbah, NSW 2258, Australia; [van Kleef, Ellen] Hollandseweg 1, NL-6706 KN Wageningen, Netherlands</t>
  </si>
  <si>
    <t>University of Newcastle; Wageningen University &amp; Research; University of Newcastle</t>
  </si>
  <si>
    <t>van Kleef, E (corresponding author), Hollandseweg 1, NL-6706 KN Wageningen, Netherlands.</t>
  </si>
  <si>
    <t>ellen.vankleef@wur.nl</t>
  </si>
  <si>
    <t>van der Bend, Daphne/0000-0001-5950-1238; Bucher, Tamara/0000-0003-3244-5867</t>
  </si>
  <si>
    <t>Wageningen University and Research</t>
  </si>
  <si>
    <t>0952-3871</t>
  </si>
  <si>
    <t>1365-277X</t>
  </si>
  <si>
    <t>J HUM NUTR DIET</t>
  </si>
  <si>
    <t>J. Hum. Nutr. Diet.</t>
  </si>
  <si>
    <t>10.1111/jhn.13336</t>
  </si>
  <si>
    <t>H0C9G</t>
  </si>
  <si>
    <t>WOS:001241890500001</t>
  </si>
  <si>
    <t>Lenggogeni, S; Ashton, AS; Scott, N</t>
  </si>
  <si>
    <t>Lenggogeni, Sari; Ashton, Ann Suwaree; Scott, Noel</t>
  </si>
  <si>
    <t>Humour: coping with travel bans during the COVID-19 pandemic</t>
  </si>
  <si>
    <t>INTERNATIONAL JOURNAL OF CULTURE TOURISM AND HOSPITALITY RESEARCH</t>
  </si>
  <si>
    <t>Social media; Emotions; Humour; Coping mechanism; COVID-19; Dark humour; Tourism crises and disaster management</t>
  </si>
  <si>
    <t>RISK PERCEPTIONS; TOURISM; STRESS; KNOWLEDGE; EMOTION; STYLES; CRISIS; PERSONALITY; STRATEGIES; APPRAISAL</t>
  </si>
  <si>
    <t>Purpose This study aims to extend the use of psychology in the field of tourism crisis and disaster management using coping theory. It examines how resident emotions change in the extended prodromal stage of the COVID-19 pandemic and how residents used humour to cope with stress from not being able to travel. Design/methodology/approach Early COVID-19 (March-April 2020) was characterised by negative media reports, lockdowns and travel restrictions but for Indonesia, no direct effects in terms of loss of life. This unusual context has led to phenomena not previously studied - humour as a coping strategy. This research consists of two studies: Study 1 used thematic analysis of interviews before and during the early lockdown period with a panel of 245 quarantined residents who had travelled in the prior two years. Study 2 followed up using a #hasthtag analysis of travel-related videos content posted on Instagram and TikTok. Findings The COVID-19 global pandemic is an unusual crisis which has resulted in high levels of stress and uncertainty. This study identified the unusual characteristics of the COVID-19 crises and changes of quarantined resident's emotions during the pre-event and prodromal stages. In addition, this study found the use of humour as a coping mechanism during the lockdown period and the use of social media as the vehicle for humour. Research limitations/implications These findings may be generalisable only to a crises and disasters with an extended prodromal stage. Interestingly, climate change has some similar characteristics where warning signs are available, but the personal implications have not yet become apparent. Practical implications The emotions associated with crisis are dynamic and crisis managers may tailor communication to help deal with stress. Social implications This research provides an insight into how humorous content can be used to reduce negative emotions in the early stage of a stressful event associated with travel restrictions. This study may be suitable for use in integrated marketing communication in post-recovery messaging for the tourism industry and destination management organisation in the digital platform. Originality/value To the best of the authors' knowledge, this study is the first to demonstrate dark humour during the early stages of COVID-19 and also the use of coping strategies to explain how humour can reduce stress.</t>
  </si>
  <si>
    <t>[Lenggogeni, Sari] Univ Andalas, Fac Econ, Padang, Indonesia; [Lenggogeni, Sari] Univ Andalas, Tourism Dev Ctr, Padang, Indonesia; [Ashton, Ann Suwaree] Natl Inst Dev Adm, Grad Sch Tourism Management, Bangkok, Thailand; [Scott, Noel] Univ Sunshine Coast, Sustainabil Res Ctr SRC, Sunshine Coast, Australia</t>
  </si>
  <si>
    <t>Universitas Andalas; Universitas Andalas; National Institute of Development Administration - Thailand; University of the Sunshine Coast</t>
  </si>
  <si>
    <t>Lenggogeni, S (corresponding author), Univ Andalas, Fac Econ, Padang, Indonesia.;Lenggogeni, S (corresponding author), Univ Andalas, Tourism Dev Ctr, Padang, Indonesia.</t>
  </si>
  <si>
    <t>sarilenggogeni@eb.unand.ac.id; suwareeashton@hotmail.com; dr.noel.scott@gmail.com</t>
  </si>
  <si>
    <t>Scott, Noel/B-3372-2010; Lenggogeni, Sari/AAA-6594-2019; Ashton, Ann/HJY-9293-2023</t>
  </si>
  <si>
    <t>Lenggogeni, Sari/0000-0003-1368-5136; Ashton, Ann Suwaree/0000-0001-9811-3529</t>
  </si>
  <si>
    <t>1750-6182</t>
  </si>
  <si>
    <t>1750-6190</t>
  </si>
  <si>
    <t>INT J CULT TOUR HOSP</t>
  </si>
  <si>
    <t>Int. J. Cult. Tour. Hosp. Res.</t>
  </si>
  <si>
    <t>10.1108/IJCTHR-09-2020-0223</t>
  </si>
  <si>
    <t>2N0TG</t>
  </si>
  <si>
    <t>WOS:000708607800001</t>
  </si>
  <si>
    <t>Lingling, W; Danko, Y; Artyukhov, A; Dluhopolska, T; Markovych, I</t>
  </si>
  <si>
    <t>Lingling, W.; Danko, Yu.; Artyukhov, A.; Dluhopolska, T.; Markovych, I.</t>
  </si>
  <si>
    <t>MARKETING COMMUNICATION STRATEGIES OF COLLEGES AND UNIVERSITIES BASED ON SPATIAL AND TEMPORAL DISTRIBUTION OF STUDENTS</t>
  </si>
  <si>
    <t>ACADEMY REVIEW</t>
  </si>
  <si>
    <t>student's place of origin; GIS analysis; marketing communication; brand</t>
  </si>
  <si>
    <t>The development of marketing strategies based on temporal and spatial student's distribution is extremely important in order to win a niche in the market of educational services. The object of the study is information about the place of origin of the Henan Institute of Science and Technology students in 2016 and 2020. The data used are provided by the Office of Academic Affairs of Henan Institute of Science and Technology, which selects identity data of students admitted and registered at the university in 2016 and 2020. The temporal and spatial distribution and spatial aggregation characteristics of the student enrolments are analyzed, as well as factors affecting the quality of the student flows, such as geographic location, total number of students per year, and publicity. The paper uses spatial data analysis (ESDA), which determines the spatial weight between districts. Global Moran's I index was used for spatial analysis. The analysis carried out on the example of Henan province showed that the number of graduates in each city in a given year directly affects the number of university entrants (in 2020, the largest number of school graduates was recorded in the cities of Zhoukou and Nanyang, which had the highest number of university entrants). The spatial arrangement of colleges and universities is identified as the main factor influencing the recruitment of students of each educational institution. The choice of colleges and universities by applicants and their parents in China is also determined by proximity to large cities, convenient transportation, and employment opportunities. It has been established that advertising educational services of universities is also an additional factor in their popularization and attraction of students. The important achievements and characteristics of the school should be highly summarized to ensure that all the information on the school brand is spread in the whole domain in a comprehensive manner. Different media should be selected for different students from different places. Attention should be paid to the use of new media such as WeChat, Micro-blog, Tiktok etc. Also, a significant role should be given to interpersonal communication and mobilization of the enthusiasm of graduates to increase the popularity of a particular educational institution. Colleges and universities should reflect on themselves, correct in time, and actively establish a complete, effective, and dynamic evaluation mechanism for marketing, to improve marketing strategies, including through surveys of graduates, students, parents and other stakeholders of higher education.</t>
  </si>
  <si>
    <t>[Lingling, W.] Henan Inst Sci &amp; Technol, Xinxiang, Henan, Peoples R China; [Lingling, W.; Danko, Yu.; Artyukhov, A.] Natl Agrarian Univ, Sumy, Ukraine; [Dluhopolska, T.] West Ukrainian Natl Univ, Ternopol, Ukraine; [Markovych, I.] Ternopil Ivan Puluj Natl Tech Univ, Ternopol, Ukraine</t>
  </si>
  <si>
    <t>Henan Institute of Science &amp; Technology; Ministry of Education &amp; Science of Ukraine; Sumy National Agrarian University; Ministry of Education &amp; Science of Ukraine; West Ukrainian National University; Ministry of Education &amp; Science of Ukraine; Ternopil Ivan Puluj National Technical University</t>
  </si>
  <si>
    <t>Lingling, W (corresponding author), Henan Inst Sci &amp; Technol, Xinxiang, Henan, Peoples R China.;Lingling, W (corresponding author), Natl Agrarian Univ, Sumy, Ukraine.</t>
  </si>
  <si>
    <t>Danko, Yuriy/GWC-4648-2022; Dlugopolska, Tetiana/H-2342-2017; danko, yuriy/N-9771-2013</t>
  </si>
  <si>
    <t>danko, yuriy/0000-0002-9847-1593</t>
  </si>
  <si>
    <t>ALFRED NOBEL UNIV</t>
  </si>
  <si>
    <t>DNIPRO</t>
  </si>
  <si>
    <t>SICHESLAVSKA NABEREZHNA ST, 18, DNIPRO, 49000, UKRAINE</t>
  </si>
  <si>
    <t>2074-5354</t>
  </si>
  <si>
    <t>2522-9745</t>
  </si>
  <si>
    <t>ACAD REV</t>
  </si>
  <si>
    <t>Acad. Rev.</t>
  </si>
  <si>
    <t>10.32342/2074-5354-2022-2-57-5</t>
  </si>
  <si>
    <t>Business, Finance; Economics; Management</t>
  </si>
  <si>
    <t>E7DT1</t>
  </si>
  <si>
    <t>WOS:000977113300001</t>
  </si>
  <si>
    <t>Pop, LM; Iorga, M; Sipos, LR; Iurcov, R</t>
  </si>
  <si>
    <t>Pop, Lavinia-Maria; Iorga, Magdalena; Sipos, Lucian-Roman; Iurcov, Raluca</t>
  </si>
  <si>
    <t>Gender Differences in Healthy Lifestyle, Body Consciousness, and the Use of Social Networks among Medical Students</t>
  </si>
  <si>
    <t>MEDICINA-LITHUANIA</t>
  </si>
  <si>
    <t>students; medicine; healthcare; lifestyle; body image; social network; self-esteem; body mass index; physical health</t>
  </si>
  <si>
    <t>UNIVERSITY-STUDENTS; PHYSICAL-ACTIVITY; IMAGE CONCERNS; COLLEGE-STUDENTS; EATING BEHAVIOR; DIETARY HABITS; MASS INDEX; FACEBOOK; DISSATISFACTION; ADOLESCENTS</t>
  </si>
  <si>
    <t>Background and Objectives: The goal of this survey was to identify the relationship between the level of satisfaction with body image, perceived health, and the usage of social media among freshmen medical university students. The influence of social media and peers was also related to body image. Materials and Methods: An online survey was distributed among freshmen healthcare students. The questionnaire collected sociodemographic, anthropometric data, and information about students' perception about healthy lifestyle using open-ended questions, as well as their opinion about the importance of perfect body image and the level of satisfaction with their physical appearance. Questions focusing on the use of social media and the relationship with body image collected data on the use of social networks and how they affect students' opinion about their own body image. Psychometric data were also gathered using the Body Consciousness Scale. For the statistical analysis, QSR NUD*IST (Non-numerical Unstructured Data Indexing Searching and Theorizing) Vivo 12 was used for qualitative data and IBM Statistical Package for Social Sciences (SPSS) Statistics for Windows, version 23 (SPSS Inc., Chicago, IL, USA) was used for descriptive and comparative results. Results: In total, 77 students aged 20.09 +/- 2.47 years, of which the majority were women (75.30%), were included in the survey. The use of social network was about 4.81 +/- 3.60 h/day. Facebook was the most used social networking site (94.80%), followed by Instagram (92.20%), Snapchat (16.90%), WhatsApp (15.60%), and TikTok (10.40%). The most common reason for using these sites was socialization. We found that 64.90% of healthcare students were normal weight. The main barriers for having a healthy lifestyle, as they were perceived by students, were the busy schedule and the lack of time needed to prepare healthy meals, lack of motivation, and lack of money. Women scored higher for the Private Body Consciousness and Public Body Consciousness scales. The main aspects related to a healthy lifestyle referred to physical activity, consumption of fruit and vegetables, water consumption, and a good quality of sleep. Gender differences were discussed as well. Conclusions: The results illustrated the complexity of the relationship between social media and body image and the need to prevent body image concerns, especially in young women.</t>
  </si>
  <si>
    <t>[Pop, Lavinia-Maria] Alexandru Ioan Cuza Univ, Fac Psychol &amp; Educ Sci, Iasi 700111, Romania; [Iorga, Magdalena] Grigore T Popa Univ Med &amp; Pharm, Behav Sci Dept, Iasi 700115, Romania; [Sipos, Lucian-Roman; Iurcov, Raluca] Univ Oradea, Fac Med, Dent Dept, Oradea 410073, Romania</t>
  </si>
  <si>
    <t>Iorga, M (corresponding author), Grigore T Popa Univ Med &amp; Pharm, Behav Sci Dept, Iasi 700115, Romania.</t>
  </si>
  <si>
    <t>lavinia.pop@student.uaic.ro; magdalena.iorga@umfiasi.ro; lsipos@uoradea.ro; riurcov@uoradea.ro</t>
  </si>
  <si>
    <t>Șipoș, Lucian Roman/AAC-3770-2022; Iurcov, Raluca/AAP-1905-2021; IORGA, Magdalena/D-1125-2015</t>
  </si>
  <si>
    <t>Iurcov, Raluca Cristina/0000-0002-2953-3842; IORGA, Magdalena/0000-0002-7074-959X; Pop, Lavinia_Maria/0000-0002-7847-1289</t>
  </si>
  <si>
    <t>1010-660X</t>
  </si>
  <si>
    <t>1648-9144</t>
  </si>
  <si>
    <t>Med. Lith.</t>
  </si>
  <si>
    <t>10.3390/medicina57070648</t>
  </si>
  <si>
    <t>TO1BE</t>
  </si>
  <si>
    <t>WOS:000676655700001</t>
  </si>
  <si>
    <t>Murukutla, N; Magsumbol, MS; Raskin, H; Kuganesan, S; Dini, S; Martinez-Mejia, C; Rachfiansyah; Aguilar, BGR</t>
  </si>
  <si>
    <t>Murukutla, Nandita; Magsumbol, Melina S. S.; Raskin, Hana; Kuganesan, Sharan; Dini, Silvia; Martinez-Mejia, Carlos; Rachfiansyah; Aguilar, Benjamin Gonzalez Rubio</t>
  </si>
  <si>
    <t>A content analysis of e-cigarette marketing on social media: Findings from the Tobacco Enforcement and Reporting Movement (TERM) in India, Indonesia and Mexico</t>
  </si>
  <si>
    <t>e-cigarette marketing; social media; electronic nicotine delivery systems (ENDS); FCTC; digital monitoring</t>
  </si>
  <si>
    <t>PROMOTION; POLICY</t>
  </si>
  <si>
    <t>BackgroundThe use of e-cigarettes is proliferating globally, especially among youth and even children. Marketing is a known risk factor for e-cigarette initiation, yet little is known of e-cigarette marketing on social media in low- and middle-income countries. This study compares e-cigarette social media marketing in India, Indonesia, and Mexico, three such countries with different regulatory environments. MethodsInstances of e-cigarette marketing on social media platforms were identified via the Tobacco Enforcement and Reporting Movement (TERM), a digital tobacco marketing monitoring system. Through systematic keyword-based searches, all tobacco marketing posts observed between 15 December 2021 and 16 March 2022 were included in the analysis. The final sample included 1,437 e-cigarette-related posts on Instagram, Facebook, Twitter, YouTube, and TikTok, which were systematically content analyzed by independent coders after inter-reliability (Cohen's Kappa K &gt; 0.79) was established using a theory-derived codebook. The final data is represented in percentages and frequencies for ease of presentation. ResultsWe observed e-cigarette marketing online in all countries studied, yet there was variation in the volume of marketing and types of accounts identified. In India, where e-cigarettes were comprehensively banned, we identified 90 (6%) posts; in Mexico, where e-cigarettes were partially restricted, 318 (22%) posts were observed; and in Indonesia, where there were no restrictions, 1,029 (72%) posts were observed. In both India and Mexico, marketing originated from retailer accounts (100%), whereas in Indonesia, it was primarily product brand accounts (86%). Across countries, e-cigarettes were mostly marketed directly to sell products (India: 99%, Indonesia: 69% and Mexico: 93%), though the sales channels varied. Product features, including e-liquid flavors, device colors and technical specifications, was the most prominent message framing (India: 86%; Mexico: 73%; Indonesia: 58%). Harm reduction messaging was most popular in Mexico (8%) and was not common in Indonesia (0.3%) or India (0%). ConclusionOur study provides important insights for tobacco control stakeholders on the evolving nature of e-cigarette marketing in low- and middle-income countries. It underscores the presence of e-cigarette marketing, including in countries where comprehensive regulations exist, and suggests the importance of continuous monitoring to keep up with industry practices and strengthen tobacco control stakeholder efforts to counter them.</t>
  </si>
  <si>
    <t>[Murukutla, Nandita; Magsumbol, Melina S. S.; Raskin, Hana; Kuganesan, Sharan; Dini, Silvia; Martinez-Mejia, Carlos; Rachfiansyah; Aguilar, Benjamin Gonzalez Rubio] Vital Strategies, Policy Advocacy &amp; Commun Div, New York, NY 10005 USA</t>
  </si>
  <si>
    <t>Murukutla, N; Magsumbol, MS; Raskin, H (corresponding author), Vital Strategies, Policy Advocacy &amp; Commun Div, New York, NY 10005 USA.</t>
  </si>
  <si>
    <t>nmurukutla@vitalstrategies.org; mmagsumbol@vitalstrategies.org; hraskin@vitalstrategies.org</t>
  </si>
  <si>
    <t>Murukutla, Nandita/ABC-4642-2020</t>
  </si>
  <si>
    <t>Bloomberg Philanthropies</t>
  </si>
  <si>
    <t>Funding The TERM study is a project of Vital Strategies' Tobacco Control Program, which receives funding from Bloomberg Philanthropies.</t>
  </si>
  <si>
    <t>10.3389/fpubh.2022.1012727</t>
  </si>
  <si>
    <t>6N8LX</t>
  </si>
  <si>
    <t>WOS:000889803400001</t>
  </si>
  <si>
    <t>Dhoest, A; Van Ouytsel, J</t>
  </si>
  <si>
    <t>Dhoest, Alexander; Van Ouytsel, Joris</t>
  </si>
  <si>
    <t>Negotiating Platforms and Sexual Identities: Digital and Social Media Use in Four Generations of Flemish MSM</t>
  </si>
  <si>
    <t>LGBTQ; generations; internet; social media; affordances; sexual identity; survey; interviews</t>
  </si>
  <si>
    <t>INTERNET; ONLINE; FACEBOOK; SELF; GRATIFICATIONS; INDIVIDUALS; EXPERIENCES; NETWORKS; MEN</t>
  </si>
  <si>
    <t>Building on the extensive literature highlighting the key role digital and social media play in the lives of LGBTQ people, this article adds a generational perspective by studying the importance of the internet and social media for different generations of men who have sex with men (MSM). Focusing on issues of identity exploration and the search for information as well as social connection, two periods are distinguished: the time of sexual identity exploration, and the present. Based on a mixed-method design, a survey (n = 684) was used to measure the perceived importance of online platforms (particularly Facebook, Instagram, Tumblr, YouTube, and TikTok), while in-depth interviews (n = 80) helped to better understand how digital media are embedded in the context of everyday life and society. The results show an ever-shifting range of digital media which subsequent generations come across at different times in their lives, fulfilling similar needs with the tools available at that time. This study contributes to the literature by adopting a life course approach to the study of media use among MSM of various generations, which allows to disentangle the respective roles of age and generation. Digital and social media use across generations of non-straight menThis paper explores the respective role of age and generation in the internet and social media use of MSM (men who have sex with men) in Flanders. Existing research shows that online media play an important role in the identity formation of sexual minorities, particularly to find information and to connect with others. Most of this research focuses on younger users, while this paper reports on a project studying a broader age range. An exploratory online survey (n = 684) was used to measure the perceived importance of online platforms at different times in life. In-depth interviews (n = 80) were used to gain a deeper understanding of media use as situated in evolving biographical and social context. The results show an ever-shifting range of digital media which subsequent generations come across at different times in their lives, fulfilling similar needs with the tools available at that time. This study contributes to the literature by adopting a life course approach to the study of media use among MSM of various generations. This allows us to disentangle the respective roles of age and generation.</t>
  </si>
  <si>
    <t>[Dhoest, Alexander; Van Ouytsel, Joris] Univ Antwerp, Antwerp, Belgium; [Van Ouytsel, Joris] Arizona State Univ, Tempe, AZ USA; [Dhoest, Alexander] Univ Antwerp, Dept Commun Studies, Sint Jacobsstr 2-4, B-2000 Antwerp, Belgium</t>
  </si>
  <si>
    <t>University of Antwerp; Arizona State University; Arizona State University-Tempe; University of Antwerp</t>
  </si>
  <si>
    <t>Dhoest, A (corresponding author), Univ Antwerp, Dept Commun Studies, Sint Jacobsstr 2-4, B-2000 Antwerp, Belgium.</t>
  </si>
  <si>
    <t>Alexander.Dhoest@uantwerpen.be</t>
  </si>
  <si>
    <t>Van Ouytsel, Joris/Z-3539-2019; Dhoest, Alexander/R-3935-2016</t>
  </si>
  <si>
    <t>Van Ouytsel, Joris/0000-0001-7000-4523; Dhoest, Alexander/0000-0002-6656-6125</t>
  </si>
  <si>
    <t>10.1177/21582440231218085</t>
  </si>
  <si>
    <t>DA0G6</t>
  </si>
  <si>
    <t>WOS:001129189900001</t>
  </si>
  <si>
    <t>Xia, QF; Jiao, ZW; Xu, ZC</t>
  </si>
  <si>
    <t>Xia, Qiufen; Jiao, Zhiwei; Xu, Zichuan</t>
  </si>
  <si>
    <t>Online Learning Algorithms for Context-Aware Video Caching in D2D Edge Networks</t>
  </si>
  <si>
    <t>IEEE TRANSACTIONS ON PARALLEL AND DISTRIBUTED SYSTEMS</t>
  </si>
  <si>
    <t>Device-to-device communication; Mobile handsets; Delays; Approximation algorithms; Quality of service; Uncertainty; Prediction algorithms; D2D edge network; context-aware video caching; approximation algorithm</t>
  </si>
  <si>
    <t>With the emergence of various short video platforms such as TikTok and Instagram, coupled with the accelerated pace of people's lives, people are spending more time sharing and watching online videos than ever before, and they gradually turn their attention to short videos with short duration and novel content. Browsing and watching short videos by users with their energy-capacitated devices, such as phones and tablets, have become one of the main ways for users to entertain online. Timely response and high quality online video delivery are of the utmost importance to guarantee the quality of service (QoS) experienced by users. Caching videos at locations close to the video demanders can significantly improve the QoS by reducing the access delay of high quality videos. Together with an explosive growth of mobile devices and great demand for bandwidth, Device-to-Device (D2D) network is emerging as a promising technology to enable ultra-low latency communications, by allowing mobile devices to communicate with each other with or without the involvement of network infrastructures. Caching videos in D2D networks can further reduce video response delays of high quality videos, thereby improving the QoS experienced by users when watching short videos. However, how to cache the most appropriate videos at strategic mobile devices is crucial to satisfy the QoS requirements of users. Specifically, the QoS experienced by users depends on many intertwining factors from both users and the D2D network, such as videos characteristics, various users' demands for different videos, different communities of users, and energy levels of devices. Motivated by these facts, we investigate the video caching problems in a D2D network. The novelty of our study is to jointly consider the intertwining factors from both users and the D2D network when users access short videos. Specifically, we first formulate an optimization problem of video caching with the objective to minimize the average delay experienced by mobile devices, subject to the cache storage capacity and energy budget of each mobile device. We then propose an approximation algorithm with an approximation ratio for the offline video caching problem. We further devise an online learning algorithm for the online context-aware video caching problem. We finally conduct extensive experiments based on real datasets compared with existing similar studies. Experimental results demonstrate that our algorithms can achieve better average performance with confidence levels. For instance, our algorithms achieve 86% lower average delay experienced by users and 20% average energy consumption of each device, as well as 7% higher average hit ratio and 1.3 times more residual cache storage resource, than their counterparts.</t>
  </si>
  <si>
    <t>[Xia, Qiufen; Jiao, Zhiwei] Dalian Univ Technol, Int Sch Informat Sci &amp; Engn, Dalian 116024, Peoples R China; [Xu, Zichuan] Dalian Univ Technol, Sch Software, Dalian 116024, Peoples R China</t>
  </si>
  <si>
    <t>Dalian University of Technology; Dalian University of Technology</t>
  </si>
  <si>
    <t>Xu, ZC (corresponding author), Dalian Univ Technol, Sch Software, Dalian 116024, Peoples R China.</t>
  </si>
  <si>
    <t>qiufenxia@dlut.edu.cn; jiaozhiwei@mail.dlut.edu.cn; z.xu@dlut.edu.cn</t>
  </si>
  <si>
    <t>Xu, Zichuan/T-5498-2019</t>
  </si>
  <si>
    <t>Xu, Zichuan/0000-0001-5438-1468; Xia, Qiufen/0000-0001-7978-4933</t>
  </si>
  <si>
    <t>1045-9219</t>
  </si>
  <si>
    <t>1558-2183</t>
  </si>
  <si>
    <t>IEEE T PARALL DISTR</t>
  </si>
  <si>
    <t>IEEE Trans. Parallel Distrib. Syst.</t>
  </si>
  <si>
    <t>10.1109/TPDS.2023.3326187</t>
  </si>
  <si>
    <t>CD2J9</t>
  </si>
  <si>
    <t>WOS:001123244400002</t>
  </si>
  <si>
    <t>Bernal, SFS; Correa, MGS; Medina, ZBV</t>
  </si>
  <si>
    <t>Sanchez Bernal, Susana Florentina; Sotelo Correa, Maria Gloria; Vega Medina, Zulma Beatriz</t>
  </si>
  <si>
    <t>Assessment of the use of social networks and other factors associated with the academic performance of high school students in an educational institution</t>
  </si>
  <si>
    <t>Students; school; academic performance; social networks</t>
  </si>
  <si>
    <t>Introduction: During the SARS-CoV-2 pandemic, digital platforms were used for teaching and learning; during the post-pandemic period, continued use of social networks (SN) possibly occurred, affecting academic performance. Objectives: to evaluate the association of academic performance with factors such as SN use, sociodemographic aspects, non-academic activities, eating practices, personal motivation and fatigue in students from 10th to 12th grade (high school) at the Defensores del Chaco School (Luque-Central). Materials and Methods: this was a cross-sectional, correlational and descriptive study carried out during the first semester of 2023 with a probabilistic sample of 175 healthy students of both sexes. For the use of SN and other data, a self-applied digital survey was used with prior informed consent. For academic performance, the grade in Language and Literature was used. Results: Average age was 16 +/- 0.9 years. 47.4% (n=83) were women; 98.9% (n=173) used SN. 72% used Instagram (R), 71.4% used WhatsApp (R), 56.6% TikTok, 13.1% Facebook and 8.6% Twitter. 100% used a mobile phone for SN. The grade point average was 3.6 +/- 1.3; 34.9% (n=61) obtained a grade of 5 (highest), 22.9%(n=40) 4, 12%(n=21) 3; 24%(n=42) 2 and 6.3%(n=11) obtained a 1 (lowest). 40.6%(n=71) used SN 1-3 hours/day, 26.3%(n=46) 4- 6 hours/day, 20.6%(n=36) =7 hours/day, 12.6%(n=22) &lt;1 hour/day; with no differences in grades observed according to SN time usage (Kruskall-Wallis; p=0.64). 3.2 +/- 1.3SD was the average grade for boys and 3.9 +/- 1.3 SD for girls (Student' T, p=0.002). No differences in grades between those who do not work and those who do (3.6 +/- 1.3SD vs 3.1 +/- 1.4SD; Student p=0.05) were observed. As for other recreational activities, 43.4% (n=76) performed household chores, 20% ( n= 70) physical activity (gym/sports), 1 student reading, with no difference in grades according to physical activity (Student p=0, 42). 64% (n=112) did not meet recommendations for amount/day of meals, 36% (n=63) did, with no differences in grades (p=0.05) observed according to amount/day of meals nor according to motivation (ANOVA p=0.11). 2 (1.1%) reported not being fatigued in the classroom. Conclusions: There were no differences in academic performance according to SN usage time, work, motivation, frequency of eating or physical activity. Girls had a better academic performance than boys.</t>
  </si>
  <si>
    <t>[Sanchez Bernal, Susana Florentina] Univ Nacl Asuncion, Fac Ciencias Quim, Carrera Nutr, San Lorenzo, Paraguay; [Sotelo Correa, Maria Gloria; Vega Medina, Zulma Beatriz] Inst Nacl Educ Super, Asuncion, Paraguay</t>
  </si>
  <si>
    <t>Universidad Nacional de Asuncion</t>
  </si>
  <si>
    <t>Bernal, SFS (corresponding author), Univ Nacl Asuncion, Fac Ciencias Quim, Carrera Nutr, San Lorenzo, Paraguay.</t>
  </si>
  <si>
    <t>susana.sanchez.ber@gmail.com</t>
  </si>
  <si>
    <t>10.31698/ped.50022023006</t>
  </si>
  <si>
    <t>GS1O2</t>
  </si>
  <si>
    <t>WOS:001154572800003</t>
  </si>
  <si>
    <t>Dumitrescu, M</t>
  </si>
  <si>
    <t>Dumitrescu, Marius</t>
  </si>
  <si>
    <t>A Journey Inside the Perception of the Self-Image - from the 15th Century Italian Portrait to the Glamorized Image on the Facebook</t>
  </si>
  <si>
    <t>POSTMODERN OPENINGS</t>
  </si>
  <si>
    <t>self-image; 15th century; italian portrait; facebook</t>
  </si>
  <si>
    <t>This article aims to present the philosophical perspective upon the birth of the idea of the individual and the consequences of the discovery of the self-image on the techniques of image reproduction from the Renaissance to the present day. The process of projecting the self-image into the public space acquires a special importance with the elaboration of the portrait technique in the Italian painting of the 15th century. Through Leonardo da Vinci's paintings, this technique of reproducing self-image reaches a certain perfection. Following the evolution of this kind of projections and reproductions of the self-image, it is found that there is an obvious tendency by which the individual tends to free himself from certain patterns, or rather canons, which a certain epoch imposes. This process manifested in the visual arts corresponds to a new philosophical perception of man opened by the works of Ficino and Pico della Mirandola. The assertion of a new type of dignity, correlated with the idea of the microcosm, of the Renaissance man will lead to an affirmation of his own personality and especially to an increase of the will to power reflected more and more in the works of art. With the resurgence of the Italian renaissance, artists and philosophers experienced a decline, but found a favorable space for their development at the court of Elizabeth I, Queen of England. The art of portraiture, but also the philosophy of renaissance survives and is even more flourishing at the court of this queen. But the most important moment of this renaissance is marked by Dutch art after its liberation from Spanish rule. From this moment on, the emancipation of the individual will occur on an unimaginable scale until then. Analysing the Dutch art of portraiture from the seventeenth-century, we identify the fact that painters tried to reproduce images belonging to a wide variety of people, regardless of their social status or wealth, and, as such, the self-images began to be reproduced in a democratic manner. Finally, we will investigate the philosophical aspects that occur with this increasing process of mass reproduction of self-image, especially with the advent of photography and, in particular, digital photography, but also with the possibilities of posting images through contemporary social networks like Facebook, Twitter or TikTok. We conclude that the excesses of such a reproduction of self-image lead to new social behaviors, which were defined by Ioan Petru Culianu as subjective power, i.e. that form of power experienced directly by a subject.</t>
  </si>
  <si>
    <t>[Dumitrescu, Marius] Alexandru Ioan Cuza Univ, Iasi, Romania</t>
  </si>
  <si>
    <t>Alexandru Ioan Cuza University</t>
  </si>
  <si>
    <t>Dumitrescu, M (corresponding author), Alexandru Ioan Cuza Univ, Iasi, Romania.</t>
  </si>
  <si>
    <t>dumitrescu.marius66@yahoo.com</t>
  </si>
  <si>
    <t>LUMEN PUBLISHING HOUSE</t>
  </si>
  <si>
    <t>IASI</t>
  </si>
  <si>
    <t>TEPES VODA, NO2, IASI, IASI, 00000, ROMANIA</t>
  </si>
  <si>
    <t>2068-0236</t>
  </si>
  <si>
    <t>2069-9387</t>
  </si>
  <si>
    <t>POSTMOD OPEN</t>
  </si>
  <si>
    <t>Postmod. Open.</t>
  </si>
  <si>
    <t>10.18662/po/12.3/326</t>
  </si>
  <si>
    <t>XK1OS</t>
  </si>
  <si>
    <t>WOS:000727243800003</t>
  </si>
  <si>
    <t>Arillotta, D; Floresta, G; Pelletier, GDP; Guirguis, A; Corkery, JM; Martinotti, G; Schifano, F</t>
  </si>
  <si>
    <t>Arillotta, Davide; Floresta, Giuseppe; Pelletier, G. Duccio Papanti; Guirguis, Amira; Corkery, John Martin; Martinotti, Giovanni; Schifano, Fabrizio</t>
  </si>
  <si>
    <t>Exploring the Potential Impact of GLP-1 Receptor Agonists on Substance Use, Compulsive Behavior, and Libido: Insights from Social Media Using a Mixed-Methods Approach</t>
  </si>
  <si>
    <t>GLP-1 receptor agonists; semaglutide; mental health; craving; substance; addiction; food noise; shopping; sex; social media</t>
  </si>
  <si>
    <t>GLUCAGON-LIKE PEPTIDE-1; WEIGHT-LOSS; DRUG; FOOD</t>
  </si>
  <si>
    <t>Glucagon-like peptide-1 (GLP-1) is involved in a range of central and peripheral pathways related to appetitive behavior. Hence, this study explored the effects of glucagon-like peptide-1 receptor agonists (GLP-1 RAs) on substance and behavioral addictions, including alcohol, caffeine, nicotine, cannabis, psychostimulants, compulsive shopping, and sex drive/libido. Data were collected from various social platforms. Keywords related to GLP-1 RAs and substance/behavioral addiction were used to extract relevant comments. The study employed a mixed-methods approach to analyze online discussions posted from December 2019 to June 2023 and collected using a specialized web application. Reddit entries were the focus here due to limited data from other platforms, such as TikTok and YouTube. A total of 5859 threads and related comments were extracted from six subreddits, which included threads about GLP-1 RAs drugs and associated brand names. To obtain relevant posts, keywords related to potential substance use and compulsive behavior were selected. Further analysis involved two main steps: (1) manually coding posts based on users' references to the potential impact of GLP-1 RAs on substance use and non-substance habits, excluding irrelevant or unclear comments; (2) performing a thematic analysis on the dataset of keywords, using AI-assisted techniques followed by the manual revision of the generated themes. Second, a thematic analysis was performed on the keyword-related dataset, using AI-assisted techniques followed by the manual revision of the generated themes. In total, 29.75% of alcohol-related; 22.22% of caffeine-related; and 23.08% of nicotine-related comments clearly stated a cessation of the intake of these substances following the start of GLP-1 RAs prescription. Conversely, mixed results were found for cannabis intake, and only limited, anecdotal data were made available for cocaine, entactogens, and dissociative drugs' misuse. Regarding behavioral addictions, 21.35% of comments reported a compulsive shopping interruption, whilst the sexual drive/libido elements reportedly increased in several users. The current mixed-methods approach appeared to be a useful tool in gaining insight into complex topics such as the effects of GLP-1 RAs on substance and non-substance addiction-related disorders; some GLP-1 RA-related mental health benefits could also be inferred from here. Overall, it appeared that GLP-1 RAs may show the potential to target both substance craving and maladaptive/addictive behaviors, although further empirical research is needed.</t>
  </si>
  <si>
    <t>[Arillotta, Davide] Univ Florence, Dept Neurosci Psychol Drug Res &amp; Child Hlth, Sect Pharmacol &amp; Toxicol, I-50121 Florence, Italy; [Floresta, Giuseppe] Univ Catania, Dept Drug &amp; Hlth Sci, I-95125 Catania, Italy; [Pelletier, G. Duccio Papanti] Tolmezzo Community Mental Hlth Ctr, ASUFC Mental Hlth Dept, Via Giuliano Bonanni 2, I-33028 Tolmezzo, Italy; [Guirguis, Amira] Swansea Univ, Fac Med Hlth &amp; Life Sci, Pharm, Singleton Campus, Swansea SA2 8PP, Wales; [Corkery, John Martin; Schifano, Fabrizio] Univ Hertfordshire, Psychopharmacol Drug Misuse &amp; Novel Psychoact Subs, Coll Lane Campus, Hatfield AL10 9AB, England; [Martinotti, Giovanni] Univ G dAnnunzio, Dept Neurosci Imaging &amp; Clin Sci, I-66100 Chieti, Italy; [Martinotti, Giovanni] Univ G dAnnunzio, Inst Adv Biomed Technol ITAB, Ctr Adv Studies &amp; Technol CAST, Via Vestini 21, I-66100 Chieti, Pescara, Italy</t>
  </si>
  <si>
    <t>University of Florence; University of Catania; Swansea University; University of Hertfordshire; G d'Annunzio University of Chieti-Pescara; G d'Annunzio University of Chieti-Pescara</t>
  </si>
  <si>
    <t>Arillotta, D (corresponding author), Univ Florence, Dept Neurosci Psychol Drug Res &amp; Child Hlth, Sect Pharmacol &amp; Toxicol, I-50121 Florence, Italy.</t>
  </si>
  <si>
    <t>davide.arillotta@yahoo.it; giuseppe.floresta@unict.it; gducciopapantip@gmail.com; amira.guirguis@swansea.ac.uk; j.corkery@herts.ac.uk; giovanni.martinotti@gmail.com; f.schifano@herts.ac.uk</t>
  </si>
  <si>
    <t>Martinotti, Giovanni/AAC-7592-2022; Floresta, Giuseppe/X-6629-2019</t>
  </si>
  <si>
    <t>Floresta, Giuseppe/0000-0002-0668-1260; Schifano, Fabrizio/0000-0002-4178-5401; Corkery, John Martin/0000-0002-3849-817X; Arillotta, Davide/0000-0002-8843-0595; Martinotti, Giovanni/0000-0002-7292-2341</t>
  </si>
  <si>
    <t>The study was partially carried out with the internal support of the University of Hertfordshire (GL11101336-Center Clinical and Health Services QR).</t>
  </si>
  <si>
    <t>10.3390/brainsci14060617</t>
  </si>
  <si>
    <t>WJ1W7</t>
  </si>
  <si>
    <t>WOS:001254422400001</t>
  </si>
  <si>
    <t>Fliorent, R; Mistry, S; Javaid, K; Milani, K</t>
  </si>
  <si>
    <t>Fliorent, Rebecca; Mistry, Sonam; Javaid, Kiran; Milani, Katharine</t>
  </si>
  <si>
    <t>Skin of Color Is Underrepresented on Instagram: Assessing South Jersey Skin Talk as an Educational Tool to Increase Awareness</t>
  </si>
  <si>
    <t>underrepresented; diversity and inclusion; skin conditions; skin tone; representation; skin of color; dermatology; social media; instagram</t>
  </si>
  <si>
    <t>MEDICAL-EDUCATION; DERMATOLOGY; REPRESENTATION</t>
  </si>
  <si>
    <t>Background Instagram, a widely used social media platform with over two billion active users, has the potential to propagate dermatologic health information within the public sphere. However, there is a lack of representation of people of color (POC), making it crucial to share accurate and inclusive posts to increase awareness about dermatologic conditions. It is also necessary to address the misconceptions about skin diseases and other hereditary conditions within various ethnic groups. To combat this, a group of medical students created South Jersey Skin Talk (SJST), an initiative aimed to improve dermatologic health literacy in skin-of-color communities, particularly in underserved areas like Camden County, NJ. Using reliable sources to prevent the spread of misinformation, SJST's accessible Instagram page explains skin conditions, especially emphasizing appearances and manifestations in POC. The hypothesis being investigated by this group is that the implementation of SJST as a community intervention is expected to improve dermatologic health literacy in POC.Methods A 13-question survey was conducted via Qualtrics (Seattle, Washington) and was distributed on social media (Instagram, Facebook, Reddit, Twitter, TikTok, and GroupMe). It remained open for eight weeks during which users 18 years or older were invited to participate. The survey was divided into four sections: demographics, Instagram usage, knowledge of dermatology, and inclusion and diversity on SJST's page. A total of 184 total responses were collected, which were compared using chi-squared analyses on Qualtrics software.Results POC felt less represented on social media compared to White respondents prior to visiting SJST on Instagram (p &lt; 0.00001). However, after viewing SJST, 87.5% of White participants and 88% of POC reported feeling represented on the page. Additionally, both groups of respondents indicated that they felt more knowledgeable about their primary skin concern after viewing the SJST's posts. Furthermore, 86.8% of POC reported that they would feel more confident participating in a conversation with their dermatologist regarding their primary dermatologic concern.Conclusion SJST is a community outreach organization focused on improving health literacy for POC and bridging the gap in healthcare disparities between White and POC populations. The results from this survey confirm the hypothesis and illustrate that community interventions targeted at education for POC increase health literacy and patient autonomy. These results also show that there is a need for more representation and diversity in medical dermatology on social media. Further studies should be done to investigate other disparities affecting adequate representation for POC.</t>
  </si>
  <si>
    <t>[Fliorent, Rebecca; Mistry, Sonam; Javaid, Kiran; Milani, Katharine] Rowan Virtua Sch Osteopath Med, Mol Biol, Stratford, NJ 08084 USA</t>
  </si>
  <si>
    <t>Milani, K (corresponding author), Rowan Virtua Sch Osteopath Med, Mol Biol, Stratford, NJ 08084 USA.</t>
  </si>
  <si>
    <t>milani@rowan.edu</t>
  </si>
  <si>
    <t>e47388</t>
  </si>
  <si>
    <t>10.7759/cureus.47388</t>
  </si>
  <si>
    <t>Z0PA4</t>
  </si>
  <si>
    <t>WOS:001109176900003</t>
  </si>
  <si>
    <t>Ye, JH; Wu, YT; Wu, YF; Chen, MY; Ye, JN</t>
  </si>
  <si>
    <t>Ye, Jian-Hong; Wu, Yu-Tai; Wu, Yu-Feng; Chen, Mei-Yen; Ye, Jhen-Ni</t>
  </si>
  <si>
    <t>Effects of Short Video Addiction on the Motivation and Well-Being of Chinese Vocational College Students</t>
  </si>
  <si>
    <t>micro ecological system theory; flow experience; learning motivation; learning well-being; short video addiction; short video flow; person-process-content</t>
  </si>
  <si>
    <t>INTERNET ADDICTION; PERSONALITY-TRAITS; SELF-DETERMINATION; SOCIAL SUPPORT; FACEBOOK; ADOLESCENCE; ACHIEVEMENT; AUTONOMY; GAME</t>
  </si>
  <si>
    <t>While media use can be beneficial in some ways, excessive use of media has led to growing concerns about its potential negative consequences. With the popularity of Chinese video applications (apps) such as DouYin, TikTok, Kwai, and other short video apps sweeping through schools around the world. Due to the diversity and immersion principle of short videos, their popularity continues to grow, and the phenomenon of students being addicted to short videos also brings many hidden dangers to the learning effect. Among other things, the problem of excessive use of the Internet among Chinese youth has led the government to propose a series of control policies to strengthen the monitoring of harmful habits of youth in the use of online applications. In addition, the problem of youth addiction to short videos has become a major concern for education experts and the general public, thus demonstrating that short video addiction is indeed an ongoing research issue. Therefore, this study aimed to understand the causes of short-form video addiction and its impact on the psychology of learning, and to investigate the relationship between short-form video flow experience, short-form video addiction, intrinsic and extrinsic learning motivation, and learning well-being from the perspectives of flow experience theory and micro ecological systems. The questionnaire was sent via instant messaging software such as QQ and WeChat, and university students from vocational colleges in China were invited to complete the questionnaire. A total of 517 valid data were collected, including 222 (42.9%) were male students and 295 (57.1%) were female students. The collected questionnaires were analyzed for reliability and validity after removing incomplete data, followed by structural equation modeling for model verification. The findings showed that: (1) short video flow experience had a positive effect on short video addiction; (2) short video addiction had a negative effect on intrinsic and extrinsic learning motivation; (3) intrinsic and extrinsic learning motivation had a positive effect on learning well-being; (4) short video flow experience had an indirect negative effect on intrinsic and extrinsic learning motivation; (5) short video flow and short video addiction had indirect negative effects on learning well-being. According to the results, it is clear that addiction to short videos has a negative impact on learners' learning motivation and positive psychology of learning, so parents and teachers should effectively guide students to use short video apps in a self-controlled way.</t>
  </si>
  <si>
    <t>[Ye, Jian-Hong] Beijing Normal Univ, Fac Educ, Beijing, Peoples R China; [Wu, Yu-Tai] Soochow Univ, Off Phys Educ, Taipei City, Taiwan; [Wu, Yu-Feng] Ming Chi Univ Technol, Off Phys Educ, New Taipei City, Taiwan; [Chen, Mei-Yen] Natl Taiwan Normal Univ, Grad Inst Sport Leisure &amp; Hospitality Management, Taipei City, Taiwan; [Ye, Jhen-Ni] Natl Taipei Univ Technol, Grad Inst Technol &amp; Vocat Educ, Taipei City, Taiwan</t>
  </si>
  <si>
    <t>Beijing Normal University; Ming Chi University of Technology; National Taiwan Normal University; National Taipei University of Technology</t>
  </si>
  <si>
    <t>Wu, YF (corresponding author), Ming Chi Univ Technol, Off Phys Educ, New Taipei City, Taiwan.;Chen, MY (corresponding author), Natl Taiwan Normal Univ, Grad Inst Sport Leisure &amp; Hospitality Management, Taipei City, Taiwan.</t>
  </si>
  <si>
    <t>garywu821822@gmail.com; meiyen686@gmail.com</t>
  </si>
  <si>
    <t>Wu, Yu-Tai/LNQ-0189-2024; Ye, Jian-Hong/HMV-5159-2023; Wu, Yu-Feng/AHH-2503-2022</t>
  </si>
  <si>
    <t>Ye, Jian-Hong/0000-0003-2356-4952; Wu, Yu-Feng/0000-0001-5688-0500</t>
  </si>
  <si>
    <t>National Science Council, Taiwan [MOST 105-2410-H-003-059-MY3]; Higher Education Deep Cultivation Project of National Taiwan Normal University (NTNU); Ministry of Education (MOE) and Ministry of Science and Technology in Taiwan; Ministry of Science and Technology in Taiwan</t>
  </si>
  <si>
    <t>National Science Council, Taiwan(Ministry of Science and Technology, Taiwan); Higher Education Deep Cultivation Project of National Taiwan Normal University (NTNU); Ministry of Education (MOE) and Ministry of Science and Technology in Taiwan; Ministry of Science and Technology in Taiwan(Ministry of Science and Technology, Taiwan)</t>
  </si>
  <si>
    <t>This study was supported by the National Science Council, Taiwan (MOST 105-2410-H-003-059-MY3) and the Higher Education Deep Cultivation Project of National Taiwan Normal University (NTNU), and also sponsored by the Ministry of Education (MOE) and Ministry of Science and Technology in Taiwan.</t>
  </si>
  <si>
    <t>MAY 10</t>
  </si>
  <si>
    <t>10.3389/fpubh.2022.847672</t>
  </si>
  <si>
    <t>1S3TJ</t>
  </si>
  <si>
    <t>WOS:000803976500001</t>
  </si>
  <si>
    <t>Qin, L; Zheng, M; Schwebel, DC; Li, L; Cheng, PX; Rao, ZZ; Peng, RS; Ning, PS; Hu, GQ</t>
  </si>
  <si>
    <t>Qin, Lang; Zheng, Ming; Schwebel, David C.; Li, Li; Cheng, Peixia; Rao, Zhenzhen; Peng, Ruisha; Ning, Peishan; Hu, Guoqing</t>
  </si>
  <si>
    <t>Content Quality of Web-Based Short-Form Videos for Fire and Burn Prevention in China: Content Analysis</t>
  </si>
  <si>
    <t>fire; burn; prevention; first aid; short video; content quality; public impact; China</t>
  </si>
  <si>
    <t>INJURY PREVENTION; SICHUAN PROVINCE; RISK-FACTORS</t>
  </si>
  <si>
    <t>Background: Web-based short-form videos are increasingly popular for disseminating fire and burn prevention information, but their content quality is unknown.Objective: We aimed to systematically assess the characteristics, content quality, and public impact of web-based short-form videos offering primary and secondary (first aid) prevention recommendations for fires and burns in China between 2018 and 2021.Methods: We retrieved short-form videos offering both primary and secondary (first aid) information to prevent fire and burn injuries published on the 3 most popular web-based short-form video platforms in China: TikTok, Kwai, and Bilibili. To assess video content quality, we calculated the proportion of short-form videos that included information on each of the 15 recommendations for burn prevention education from the World Health Organization (WHO; P1) and that correctly disseminated each recommendation (P2). High P1 and P2 indicated better content quality. To assess their public impact, we calculated the median (IQR) of 3 indicators: the number of comments, likes, and saves as a favorite by viewers. Chi-square test, trend chi-square test, and Kruskal-Wallis H test examined differences in indicators across the 3 platforms, years, content, and time duration of videos and between videos disseminating correct versus incorrect information.Results: Overall, 1459 eligible short-form videos were included. The number of short-form videos increased by 16 times between 2018 and 2021. Of them, 93.97% (n=1371) were about secondary prevention (first aid) and 86.02% (n=1255) lasted &lt;2 minutes. The proportion of short-form videos including each of the 15 WHO recommendations ranged from 0% to 77.86% (n=1136). Recommendations 8, 13, and 11 had the highest proportions (n=1136, 77.86%; n=827, 56.68%; and n=801, 54.9%, respectively), whereas recommendations 3 and 5 were never mentioned. Among the short-form videos that included the WHO recommendations, recommendations 1, 2, 4, 6, 9, and 12 were always disseminated correctly, but the other 9 recommendations were correctly disseminated in 59.11% (120/203) to 98.68% (1121/1136) of videos. The proportion of short-form videos including and correctly disseminating the WHO recommendations varied across platforms and years. The public impact of short videos varied greatly disseminating correct recommendations had larger public impact than those disseminating either partially correct or incorrect knowledge (median 5 vs 4 comments, 68 vs 51 likes, and 5 vs 3 saves as a favorite, respectively; all P&lt;.05).Conclusions: Despite the rapid increase in the number of web-based short-form videos about fire and burn prevention available in China, their content quality and public impact were generally low. Systematic efforts are recommended to improve the content quality and public impact of short-form videos on injury prevention topics such as fire and burn prevention.</t>
  </si>
  <si>
    <t>[Qin, Lang; Zheng, Ming; Li, Li; Rao, Zhenzhen; Peng, Ruisha; Ning, Peishan; Hu, Guoqing] Cent South Univ, Xiangya Sch Publ Hlth, Dept Epidemiol &amp; Hlth Stat, Hunan Prov Key Lab Clin Epidemiol, Changsha, Peoples R China; [Zheng, Ming] Cent South Univ, Xiangya Hosp, Nosocomial Infect Control Ctr, Changsha, Peoples R China; [Schwebel, David C.] Univ Alabama Birmingham, Dept Psychol, Birmingham, AL USA; [Cheng, Peixia] Capital Med Univ, Sch Publ Hlth, Dept Child Adolescent &amp; Womens Hlth, Beijing, Peoples R China; [Hu, Guoqing] Cent South Univ, Xiangya Hosp, Natl Clin Res Ctr Geriatr Disorders, Changsha, Peoples R China; [Hu, Guoqing] Cent South Univ, Xiangya Sch Publ Hlth, Dept Epidemiol &amp; Hlth Stat, Hunan Prov Key Lab Clin Epidemiol, 110 Xiangya Rd, Changsha 410078, Peoples R China</t>
  </si>
  <si>
    <t>Central South University; Central South University; University of Alabama System; University of Alabama Birmingham; Capital Medical University; Central South University; Central South University</t>
  </si>
  <si>
    <t>Hu, GQ (corresponding author), Cent South Univ, Xiangya Sch Publ Hlth, Dept Epidemiol &amp; Hlth Stat, Hunan Prov Key Lab Clin Epidemiol, 110 Xiangya Rd, Changsha 410078, Peoples R China.</t>
  </si>
  <si>
    <t>huguoqing009@gmail.com</t>
  </si>
  <si>
    <t>Li, Lifeng/ABA-7146-2020</t>
  </si>
  <si>
    <t>Ning, Peishan/0000-0002-9919-4495; Hu, Guoqing/0000-0002-5002-8015; Peng, Ruisha/0009-0005-2439-335X; ZHENG, MING/0000-0002-8399-4738; Li, Li/0000-0002-6701-6993</t>
  </si>
  <si>
    <t>National Natural Science Foundation of China [82103950, 72091514, 82073672, 82273743]; National Key Ramp;D Program of China [2022YFC3603000]; Major Program of the National Social Science Foundation of China [20ZD120]</t>
  </si>
  <si>
    <t>National Natural Science Foundation of China(National Natural Science Foundation of China (NSFC)); National Key Ramp;D Program of China; Major Program of the National Social Science Foundation of China(National Office of Philosophy and Social Sciences)</t>
  </si>
  <si>
    <t>This work was supported by the National Natural Science Foundation of China (grants 82103950, 72091514, 82073672, and 82273743) , the National Key R &amp; amp;D Program of China (grant 2022YFC3603000) , and the Major Program of the National Social Science Foundation of China (grant 20 &amp; amp;ZD120) . The sponsors had no role in the design and conduct of the study; analysis, report, or interpretation of the data; preparation, review, or approval of the manuscript; or the decision to submit the manuscript for publication.</t>
  </si>
  <si>
    <t>JUN 30</t>
  </si>
  <si>
    <t>e47343</t>
  </si>
  <si>
    <t>10.2196/47343</t>
  </si>
  <si>
    <t>L9WM8</t>
  </si>
  <si>
    <t>WOS:001026704100004</t>
  </si>
  <si>
    <t>Alwuqaysi, B; Abdul-Rahman, A; Borgo, R</t>
  </si>
  <si>
    <t>Alwuqaysi, Bdour; Abdul-Rahman, Alfie; Borgo, Rita</t>
  </si>
  <si>
    <t>The Impact of Social Media Use on Mental Health and Family Functioning Within Web-Based Communities in Saudi Arabia: Ethnographic Correlational Study</t>
  </si>
  <si>
    <t>social media use; mental health; family functioning</t>
  </si>
  <si>
    <t>VALIDITY</t>
  </si>
  <si>
    <t>Background: In recent years, increasing numbers of parents, activists, and decision-makers have raised concerns about the potential adverse effects of social media use on both mental health and family functioning. Although some studies have indicated associations between social media use and negative mental health outcomes, others have found no evidence of mental health harm. Objective: This correlation study investigated the interplay between social media use, mental health, and family functioning. Analyzing data from 314 users, this study explores diverse mental health outcomes. The study places particular emphasis on the Saudi Arabian sample, providing valuable insights into the cultural context and shedding light on the specific dynamics of social media's impact on mental well-being and family dynamics in this demographic context. Methods: We collected data through a subsection of an anonymous web-based survey titled The Effect of COVID-19 on Social Media Usage, Mental Health, and Family Functioning. The survey was distributed through diverse web-based platforms in Saudi Arabia, emphasizing the Saudi sample. The participants indicated their social media accounts and estimated their daily use. Mental health was assessed using the General Health Questionnaire and family functioning was evaluated using the Family Assessment Device Questionnaire. In addition, 6 mental health conditions (anxiety, self-esteem, depression, body dysmorphia, social media addiction, and eating disorders) were self-reported by participants. Results: The study demonstrates a pattern of frequent social media use, with a significant portion dedicating 3-5 hours daily for web-based activities, and most of the sample accessed platforms multiple times a day. Despite concerns about social media addiction and perceived unhealthiness, participants cited staying connected with friends and family as their primary motivation for social media use. WhatsApp was perceived as the most positively impactful, whereas TikTok was considered the most negative for our Saudi sample. YouTube, Instagram, and Snapchat users reported poorer mental health compared with nonusers of these platforms. Mental health effects encompassed anxiety and addiction, with age and gender emerging as significant factors. Associations between social media use and family functioning were evident, with higher social media quartiles correlating with a greater likelihood of mental health and unhealthy family functioning. Logistic regression identified age and gender as factors linked to affected mental health, particularly noting that female participants aged 25-34 years were found to be more susceptible to affected mental health. In addition, multivariable analysis identified age and social media use quartiles as factors associated with poor family functioning. Conclusions: This study examined how social media affects mental health and family functioning in Saudi Arabia. These findings underscore the need for culturally tailored interventions to address these challenges, considering diverse demographic needs. Recognizing these nuances can guide the development of interventions to promote digital well-being, acknowledging the importance of familial connections in Saudi society.</t>
  </si>
  <si>
    <t>[Alwuqaysi, Bdour; Abdul-Rahman, Alfie; Borgo, Rita] Kings Coll London, 155 Wandsworth Rd,Apt 3004, London SW8 2FZ, England</t>
  </si>
  <si>
    <t>Alwuqaysi, B (corresponding author), Kings Coll London, 155 Wandsworth Rd,Apt 3004, London SW8 2FZ, England.</t>
  </si>
  <si>
    <t>bdour.alwuqaysi@hotmail.com</t>
  </si>
  <si>
    <t>Abdul-Rahman, Alfie/B-9992-2008</t>
  </si>
  <si>
    <t>Alwuqaysi, Bdour/0000-0002-3503-9138; Abdul-Rahman, Alfie/0000-0002-6257-876X</t>
  </si>
  <si>
    <t>e44923</t>
  </si>
  <si>
    <t>10.2196/44923</t>
  </si>
  <si>
    <t>IJ6J7</t>
  </si>
  <si>
    <t>WOS:001165994100002</t>
  </si>
  <si>
    <t>McCready, J; Erfani, G; Comparcini, D; Cicolini, G; Mikkonen, K; Keisala, J; Tomietto, M</t>
  </si>
  <si>
    <t>McCready, Jemma; Erfani, Goran; Comparcini, Dania; Cicolini, Giancarlo; Mikkonen, Kristina; Keisala, Jeremia; Tomietto, Marco</t>
  </si>
  <si>
    <t>Sigma IMPACT Res team</t>
  </si>
  <si>
    <t>Profiling vaccine hesitancy in nursing to tailor public healthcare policies: A cross-sectional international study</t>
  </si>
  <si>
    <t>JOURNAL OF NURSING SCHOLARSHIP</t>
  </si>
  <si>
    <t>COVID-19; influenza; nursing community; profiling; vaccine hesitancy</t>
  </si>
  <si>
    <t>IntroductionVaccine hesitancy is a complex issue of global concern. As nurses play a vital role in delivering patient care and shaping public opinions on vaccines, interventions to address vaccine hesitancy in nursing are imperative. As such, identifying profiles of characteristics and attitudes contributing to hesitancy may help identify specific areas of focus to target tailored global vaccination uptake campaigns. The purpose of this study was to profile the characteristics and attitudes contributing to hesitancy toward COVID-19 and Influenza vaccines in the nursing community.DesignThis multisite, cross-sectional study recruited 1967 registered nurses and 1230 nursing students from the United Kingdom, Finland, and Italy between March and September 2023.MethodsData collection involved an online survey adopting the Vaccination Attitudes Examination (VAX) Scale, the Bergen Social Media Addiction Scale, and questions pertaining to sociodemographic and occupational characteristics. A k-means cluster analysis was used to identify various clusters of hesitancy based on the VAX Scale. One-way ANOVA and chi-square tests were used to identify significant differences in sociodemographic characteristics, occupational factors, vaccination attitudes, and social media usage between the clusters.ResultsThree distinct clusters were identified. Profile A showed high vaccine confidence, profile B displayed slight hesitancy, and profile C reported high levels of hesitancy. In profile C, higher levels of vaccine hesitancy were identified in younger, less experienced nurses with lower educational attainment. While older nurses with higher educational attainment, who were in senior roles, were more vaccine-confident and had a consistent history of accepting the Influenza and COVID-19 vaccinations (profile A). The study found Italian nurses highly hesitant (profile C), British nurses highly confident (profile A), and Finnish nurses evenly distributed between confident, slightly hesitant, and highly hesitant (profiles A, B, and C, respectively). In addition, more frequent usage of Instagram and TikTok was associated with vaccine hesitancy (profiles B and C), and LinkedIn and X were more common among vaccine-confident individuals (profile A).ConclusionsThis study has identified specific sociodemographic and occupational factors that are related to vaccine hesitancy in an international sample of nurses. Additionally, attitudes contributing to hesitancy were identified, with worries about unforeseen future effects of the vaccine being identified as a critical attitude that may undermine confidence and increase hesitancy in nursing. This study also sheds light on the influence that social media platforms have on vaccine hesitancy and, as such, indicates which platforms are effective to disseminate vaccination campaigns to global nursing communities.Clinical RelevanceGlobal vaccination campaigns should focus on specific profiles and clusters to promote vaccination in the international nursing community. Empowering nurses early in their careers will help to instill positive vaccination behaviors, ensuring a sustained uptake of vaccinations throughout the individual's career and beyond, with an impact on promoting vaccination at the public health level as well.</t>
  </si>
  <si>
    <t>[McCready, Jemma] Northumbria Univ, Fac Hlth &amp; Life Sci, Dept Social Work Educ &amp; Community Wellbeing, Newcastle Upon Tyne, England; [Erfani, Goran; Tomietto, Marco] Northumbria Univ, Fac Hlth &amp; Life Sci, Dept Nursing Midwifery &amp; Hlth, Newcastle Upon Tyne, England; [Comparcini, Dania] Univ Bari Aldo Moro, Dept Precis &amp; Regenerat Med &amp; Ionian Area, Sect Nursing, Bari, Italy; [Cicolini, Giancarlo] Gabriele D Annunzio Univ Chieti, Dept Innovat Technol Med &amp; Dent, Chieti, Italy; [Mikkonen, Kristina] Oulu Univ Hosp, Med Res Ctr Oulu, Oulu, Finland; [Mikkonen, Kristina] Univ Oulu, Oulu, Finland; [Mikkonen, Kristina; Keisala, Jeremia; Tomietto, Marco] Univ Oulu, Res Unit Hlth Sci &amp; Technol, Fac Med, Oulu, Finland</t>
  </si>
  <si>
    <t>Northumbria University; Northumbria University; Universita degli Studi di Bari Aldo Moro; University of Oulu; University of Oulu; University of Oulu</t>
  </si>
  <si>
    <t>Tomietto, M (corresponding author), Northumbria Univ, Fac Hlth &amp; Life Sci, Dept Nursing Midwifery &amp; Hlth, Newcastle Upon Tyne, England.</t>
  </si>
  <si>
    <t>j.mccready@northumbria.ac.uk; goran.erfani@northumbria.ac.uk; dania.comparcini@uniba.it; g.cicolini@unich.it; kristina.mikkonen@oulu.fi; jeremia.keisala@student.oulu.fi; marco.tomietto@northumbria.ac.uk</t>
  </si>
  <si>
    <t>Erfani, Goran/AAW-3078-2020; Cicolini, Giancarlo/Q-5112-2019; Tomietto, Marco/M-5528-2016</t>
  </si>
  <si>
    <t>Erfani, Goran/0000-0002-8135-2846; COMPARCINI, DANIA/0000-0003-3622-6370; Tomietto, Marco/0000-0002-3813-1490; McCready, Jemma/0000-0002-9997-6956</t>
  </si>
  <si>
    <t>Sigma Theta Tau International; Northumbria University</t>
  </si>
  <si>
    <t>1527-6546</t>
  </si>
  <si>
    <t>1547-5069</t>
  </si>
  <si>
    <t>J NURS SCHOLARSHIP</t>
  </si>
  <si>
    <t>J. Nurs. Scholarsh.</t>
  </si>
  <si>
    <t>10.1111/jnu.13016</t>
  </si>
  <si>
    <t>C6R6W</t>
  </si>
  <si>
    <t>WOS:001290630100001</t>
  </si>
  <si>
    <t>Adebesin, F; Smuts, H; Mawela, T; Maramba, G; Hattingh, M</t>
  </si>
  <si>
    <t>Adebesin, Funmi; Smuts, Hanlie; Mawela, Tendani; Maramba, George; Hattingh, Marie</t>
  </si>
  <si>
    <t>The Role of Social Media in Health Misinformation and Disinformation During the COVID-19 Pandemic: Bibliometric Analysis</t>
  </si>
  <si>
    <t>bibliometric analysis; COVID-19; fake news; health disinformation; health misinformation; social media</t>
  </si>
  <si>
    <t>RESEARCH PRODUCTIVITY; COLLABORATION; SCIENCE; IMPACT</t>
  </si>
  <si>
    <t>Background: The use of social media platforms to seek information continues to increase. Social media platforms can be used to disseminate important information to people worldwide instantaneously. However, their viral nature also makes it easy to share misinformation, disinformation, unverified information, and fake news. The unprecedented reliance on social media platforms to seek information during the COVID-19 pandemic was accompanied by increased incidents of misinformation and disinformation. Consequently, there was an increase in the number of scientific publications related to the role of social media in disseminating health misinformation and disinformation at the height of the COVID-19 pandemic. Health misinformation and disinformation, especially in periods of global public health disasters, can lead to the erosion of trust in policy makers at best and fatal consequences at worst. Objective: This paper reports a bibliometric analysis aimed at investigating the evolution of research publications related to the role of social media as a driver of health misinformation and disinformation since the start of the COVID-19 pandemic. Additionally, this study aimed to identify the top trending keywords, niche topics, authors, and publishers for publishing papers related to the current research, as well as the global collaboration between authors on topics related to the role of social media in health misinformation and disinformation since the start of the COVID-19 pandemic. Methods: The Scopus database was accessed on June 8, 2023, using a combination of Medical Subject Heading and author-defined terms to create the following search phrases that targeted the title, abstract, and keyword fields: (Health* OR Medical) AND (Misinformation OR Disinformation OR Fake News) AND (Social media OR Twitter OR Facebook OR YouTube OR WhatsApp OR Instagram OR TikTok) AND (Pandemic* OR Corona* OR Covid*). A total of 943 research papers published between 2020 and June 2023 were analyzed using Microsoft Excel (Microsoft Corporation), VOSviewer (Centre for Science and Technology Studies, Leiden University), and the Biblioshiny package in Bibliometrix (K-Synth Srl) for RStudio Results: The highest number of publications was from 2022 (387/943, 41%). Most publications (725/943, 76.9%) were articles. JMIR published the most research papers (54/943, 5.7%). Authors from the United States collaborated the most, with 311 coauthored research papers. The keywords Covid-19, social media, and misinformation were the top 3 trending keywords, whereas learning systems, learning models, and learning algorithms were revealed as the niche topics on the role of social media in health misinformation and disinformation during the COVID-19 outbreak. Conclusions: Collaborations between authors can increase their productivity and citation counts. Niche topics such as learning systems, learning models, and learning algorithms could be exploited by researchers in future studies to analyze the influence of social media on health misinformation and disinformation during periods of global public health emergencies.</t>
  </si>
  <si>
    <t>[Adebesin, Funmi; Smuts, Hanlie; Mawela, Tendani; Maramba, George; Hattingh, Marie] Univ Pretoria, Dept Informat, Informat Technol Bldg, Level 5, Lynwood Rd, ZA-0028 Pretoria, South Africa</t>
  </si>
  <si>
    <t>University of Pretoria</t>
  </si>
  <si>
    <t>Adebesin, F (corresponding author), Univ Pretoria, Dept Informat, Informat Technol Bldg, Level 5, Lynwood Rd, ZA-0028 Pretoria, South Africa.</t>
  </si>
  <si>
    <t>funmi.adebesin@up.ac.za</t>
  </si>
  <si>
    <t>Smuts, Hanlie/T-3075-2019; Adebesin, Funmi/ABC-4922-2021; Maramba, George/AAX-4333-2020</t>
  </si>
  <si>
    <t>Mawela, Tendani/0000-0003-0574-3340; Maramba, George/0000-0002-3634-4660; Adebesin, Funmi/0000-0003-0512-016X; Smuts, Hanlie/0000-0001-7120-7787</t>
  </si>
  <si>
    <t>South African Department of Science and Innovation; South African Medical Research Council under the Brazil, Russia, India, China, and South Africa [2020/33]</t>
  </si>
  <si>
    <t>South African Department of Science and Innovation; South African Medical Research Council under the Brazil, Russia, India, China, and South Africa</t>
  </si>
  <si>
    <t>The research reported in this paper was supported by the South African Department of Science and Innovation and the South African Medical Research Council under the Brazil, Russia, India, China, and South Africa Joint Application Form 2020/33. The content and findings reported or illustrated herein are the sole deduction, views, and responsibility of the researchers and do not reflect the official position and sentiments of the funders.</t>
  </si>
  <si>
    <t>e48620</t>
  </si>
  <si>
    <t>10.2196/48620</t>
  </si>
  <si>
    <t>WOS:001170178800040</t>
  </si>
  <si>
    <t>Bonner, C; Batcup, C; Cvejic, E; Ayre, J; Pickles, K; Copp, T; Cornell, S; Nickel, B; Dhahir, M; McCaffery, K</t>
  </si>
  <si>
    <t>Bonner, Carissa; Batcup, Carys; Cvejic, Erin; Ayre, Julie; Pickles, Kristen; Copp, Tessa; Cornell, Samuel; Nickel, Brooke; Dhahir, Mustafa; McCaffery, Kirsten</t>
  </si>
  <si>
    <t>Addressing Behavioral Barriers to COVID-19 Testing With Health Literacy-Sensitive eHealth Interventions: Results From 2 National Surveys and 2 Randomized Experiments</t>
  </si>
  <si>
    <t>behavior change; health literacy; COVID-19; testing; infectious disease; public health</t>
  </si>
  <si>
    <t>Background: Polymerase chain reaction (PCR) testing for COVID-19 was crucial in Australia's prevention strategy in the first 2 years of the pandemic, including required testing for symptoms, contact with cases, travel, and certain professions. However, several months into the pandemic, half of Australians were still not getting tested for respiratory symptoms, and little was known about the drivers of and barriers to COVID-19 PCR testing as a novel behavior at that time. Objective: We aimed to identify and address COVID-19 testing barriers, and test the effectiveness of multiple eHealth interventions on knowledge for people with varying health literacy levels. Methods: The intervention was developed in 4 phases. Phase 1 was a national survey conducted in June 2020 (n=1369), in which testing barriers were coded using the capability-opportunity-motivation-behavior framework. Phase 2 was a national survey conducted in November 2020 (n=2034) to estimate the prevalence of testing barriers and health literacy disparities. Phase 3 was a randomized experiment testing health literacy-sensitive written information for a wide range of barriers between February and March 2021 (n=1314), in which participants chose their top 3 barriers to testing to view a tailored intervention. Phase 4 was a randomized experiment testing 2 audio-visual interventions addressing common testing barriers for people with lower health literacy in November 2021, targeting young adults as a key group endorsing misinformation (n=1527). Results: In phase 1, barriers were identified in all 3 categories: capability (eg, understanding which symptoms to test for), opportunity (eg, not being able to access a PCR test), and motivation (eg, not believing the symptoms are those of COVID-19). Phase 2 identified knowledge gaps for people with lower versus higher health literacy. Phase 3 found no differences between the intervention (health literacy-sensitive text for top 3 barriers) and control groups. Phase 4 showed that a fact-based animation or a TikTok-style video presenting the same facts in a humorous style increased knowledge about COVID-19 testing compared with government information. However, no differences were found for COVID-19 testing intentions. Conclusions: This study identified a wide range of barriers to a novel testing behavior, PCR testing for COVID-19. These barriers were prevalent even in a health system where COVID-19 testing was free and widely available. We showed that key capability barriers, such as knowledge gaps, can be improved with simple videos targeting people with lower health literacy. Additional behavior change strategies are required to address motivational issues to support testing uptake. Future research will explore health literacy strategies in the current context of self-administered rapid antigen tests. The findings may inform planning for future COVID-19 variant outbreaks and new public health emergencies where novel testing behaviors are required.</t>
  </si>
  <si>
    <t>[Bonner, Carissa; Batcup, Carys; Cvejic, Erin; Ayre, Julie; Pickles, Kristen; Copp, Tessa; Cornell, Samuel; Nickel, Brooke; Dhahir, Mustafa; McCaffery, Kirsten] Univ Sydney, Sch Publ Hlth, Fac Med &amp; Hlth, Edward Ford Bldg A27, Sydney, NSW 2006, Australia</t>
  </si>
  <si>
    <t>Bonner, C (corresponding author), Univ Sydney, Sch Publ Hlth, Fac Med &amp; Hlth, Edward Ford Bldg A27, Sydney, NSW 2006, Australia.</t>
  </si>
  <si>
    <t>carissa.bonner@sydney.edu.au</t>
  </si>
  <si>
    <t>Nickel, Brooke/I-1667-2019; Cornell, Samuel/AAM-4932-2021; Copp, Tessa/AAL-5109-2020; Batcup, Carys/HMV-9830-2023; Ayre, Julie/ABA-5914-2020; Bonner, Carissa/AFL-3726-2022; McCaffery, Kirsten/K-7945-2019; Cvejic, Erin/P-2665-2016</t>
  </si>
  <si>
    <t>McCaffery, Kirsten/0000-0003-2696-5006; Dhahir, Mustafa/0009-0007-3371-8771; Copp, Tessa/0000-0001-7801-5884; Cornell, Samuel/0000-0003-4944-7826; Ayre, Julie/0000-0002-5279-5189; Batcup, Carys/0000-0003-1896-533X; Cvejic, Erin/0000-0002-6043-6071; Nickel, Brooke/0000-0002-8100-4278</t>
  </si>
  <si>
    <t>Sydney Infectious Diseases Institute at the University of Sydney; National Health and Medical Research Council; Heart Foundation Early Career Fellowship [1122788]; National Health and Medical Research Council Principal Research Fellowship [1121110]</t>
  </si>
  <si>
    <t>Sydney Infectious Diseases Institute at the University of Sydney; National Health and Medical Research Council(National Health &amp; Medical Research Council (NHMRC) of Australia); Heart Foundation Early Career Fellowship; National Health and Medical Research Council Principal Research Fellowship(National Health &amp; Medical Research Council (NHMRC) of Australia)</t>
  </si>
  <si>
    <t>The authors thank the participants of the longitudinal COVID-19 survey for their ongoing participation in this research, Wendy Liang for providing consumer input for the written intervention, and MD for developing the TikTok version of the intervention. The surveys were not specifically funded, but in-kind support was provided by the authors through research fellowships. The experimental trials were funded by the Marie Bashir Institute (now known as the Sydney Infectious Diseases Institute) at the University of Sydney. CB is supported by a National Health and Medical Research Council and Heart Foundation Early Career Fellowship (number 1122788). KM is supported by a National Health and Medical Research Council Principal Research Fellowship (number 1121110).</t>
  </si>
  <si>
    <t>e40441</t>
  </si>
  <si>
    <t>10.2196/40441</t>
  </si>
  <si>
    <t>T6YZ5</t>
  </si>
  <si>
    <t>WOS:001079433000001</t>
  </si>
  <si>
    <t>Rukavina, TV; Viskic, J; Poplasen, LM; Relic, D; Marelic, M; Jokic, D; Sedak, K</t>
  </si>
  <si>
    <t>Rukavina, Tea Vukusic; Viskic, Josko; Poplasen, Lovela Machala; Relic, Danko; Marelic, Marko; Jokic, Drazen; Sedak, Kristijan</t>
  </si>
  <si>
    <t>Dangers and Benefits of Social Media on E-Professionalism of Health Care Professionals: Scoping Review</t>
  </si>
  <si>
    <t>e-professionalism; social media; internet; health care professionals; physicians; nurses; students; medicine; dental medicine; nursing</t>
  </si>
  <si>
    <t>FAMILY MEDICINE RESIDENTS; ONLINE PROFESSIONALISM; UNPROFESSIONAL CONTENT; NURSING-STUDENTS; NATIONAL-SURVEY; NETWORKING; PERCEPTIONS; FACEBOOK; ATTITUDES; PHYSICIANS</t>
  </si>
  <si>
    <t>Background: As we are witnessing the evolution of social media (SM) use worldwide among the general population, the popularity of SM has also been embraced by health care professionals (HCPs). In the context of SM evolution and exponential growth of users, this scoping review summarizes recent findings of the e-professionalism of HCPs. Objective: The purpose of this scoping review is to characterize the recent original peer-reviewed research studies published between November 1, 2014, to December 31, 2020, on e-professionalism of HCPs; to assess the quality of the methodologies and approaches used; to explore the impact of SM on e-professionalism of HCPs; to recognize the benefits and dangers of SM; and to provide insights to guide future research in this area. Methods: A search of the literature published from November 1, 2014, to December 31, 2020, was performed in January 2021 using 3 databases (PubMed, CINAHL, and Scopus). The searches were conducted using the following defined search terms: professionalism AND social media OR social networks OR Internet OR Facebook OR Twitter OR Instagram OR TikTok. The search strategy was limited to studies published in English. This scoping review follows the PRISMA-ScR (Preferred Reporting Items for Systematic Reviews and Meta-Analyses Extension for Scoping Reviews) guidelines. Results: Of the 1632 retrieved papers, a total of 88 studies were finally included in this review. Overall, the quality of the studies was satisfactory. Participants in the reviewed studies were from diverse health care professions. Medical health professionals were involved in about three-quarters of the studies. Three key benefits of SM on e-professionalism of HCPs were identified: (1) professional networking and collaboration, (2) professional education and training, and (3) patient education and health promotion. For the selected studies, there were five recognized dangers of SM on e-professionalism of HCPs: (1) loosening accountability, (2) compromising confidentiality, (3) blurred professional boundaries, (4) depiction of unprofessional behavior, and (5) legal issues and disciplinary consequences. This scoping review also recognizes recommendations for changes in educational curricula regarding e-professionalism as opportunities for improvement and barriers that influence HCPs use of SM in the context of e-professionalism. Conclusions: Findings in the reviewed studies indicate the existence of both benefits and dangers of SM on e-professionalism of HCPs. Even though there are some barriers recognized, this review has highlighted existing recommendations for including e-professionalism in the educational curricula of HCPs. Based on all evidence provided, this review provided new insights and guides for future research on this area. There is a clear need for robust research to investigate new emerging SM platforms, the efficiency of guidelines and educational interventions, and the specifics of each profession regarding their SM potential and use.</t>
  </si>
  <si>
    <t>[Rukavina, Tea Vukusic; Poplasen, Lovela Machala; Relic, Danko; Marelic, Marko] Univ Zagreb, Andrija Stampar Sch Publ Hlth, Sch Med, Zagreb, Croatia; [Viskic, Josko] Univ Zagreb, Sch Dent Med, Dept Fixed Prosthodont, Gunduliceva 5, Zagreb 10000, Croatia; [Jokic, Drazen] Univ Zagreb, Sch Dent Med, Dept Orthodont, Zagreb, Croatia; [Sedak, Kristijan] Catholic Univ Croatia, Dept Commun Sci, Zagreb, Croatia</t>
  </si>
  <si>
    <t>University of Zagreb; University of Zagreb; University of Zagreb, School of Dental Medicine; University of Zagreb; University of Zagreb, School of Dental Medicine</t>
  </si>
  <si>
    <t>Viskic, J (corresponding author), Univ Zagreb, Sch Dent Med, Dept Fixed Prosthodont, Gunduliceva 5, Zagreb 10000, Croatia.</t>
  </si>
  <si>
    <t>viskic@sfzg.hr</t>
  </si>
  <si>
    <t>Vukusic Rukavina, Tea/ABH-3238-2021; Machala Poplašen, Lovela/IQW-7802-2023; Viskic, Josko/ABQ-6776-2022; Sedak, Kristijan/JJC-1312-2023</t>
  </si>
  <si>
    <t>Marelic, Marko/0000-0003-2596-3359; Vukusic Rukavina, Tea/0000-0002-6466-9024; Machala Poplasen, Lovela/0000-0002-1375-6419; Sedak, Kristijan/0000-0002-6755-0176</t>
  </si>
  <si>
    <t>Croatian Science Foundation [UIP-05-2017]</t>
  </si>
  <si>
    <t>Croatian Science Foundation</t>
  </si>
  <si>
    <t>The authors thank Prof Howard H Goldman and Alejandro Ortiz, PhD, School of Medicine, University of Maryland for their support. This study was funded by the Croatian Science Foundation under project UIP-05-2017 Dangers and benefits of social networks: E-Professionalism of healthcare professionals -SMePROF.</t>
  </si>
  <si>
    <t>e25770</t>
  </si>
  <si>
    <t>10.2196/25770</t>
  </si>
  <si>
    <t>XI4VT</t>
  </si>
  <si>
    <t>WOS:000726111900004</t>
  </si>
  <si>
    <t>Kaziaba, VV</t>
  </si>
  <si>
    <t>Kaziaba, Viktoria V.</t>
  </si>
  <si>
    <t>Self-nominations of German-speaking adolescent boys in Internet communication (on the example of nicknames): Linguistic aspect. Article 1</t>
  </si>
  <si>
    <t>Internet communication; anthroponym; nickname; self-nomination; ad- olescence; boy; linguistic creativity</t>
  </si>
  <si>
    <t>The author focuses on virtual anthroponyms, which result from acts of self-nominations, the so-called nicknames of German-speaking adolescent boys between 11 and 17 years old. The study aims at identifying linguistic features of the nicknames of interest and their descriptive analysis. The authors used Internet services and hosting sites Twitter, Facebook, Instagram, YouTube, Snapchat, Pinterest, and TikTok as sources of material for the study. The study applied a random sample to select accounts belonging to adolescent boys from Germany. Part of the material was collected through interviews and questionings among the informants. Research material covered data from 2019 to 2022 and included 2,186 nicknames, questionings data from 114 informants and results from 125 interviews. The author subjected the collected material to a multifaceted linguistic analysis. The semantic motivation, meaning and nominative potential, structural and grammatical design, as well as the graphic organization of nicknames were described. The analysis of semantic motivation shows almost a complete absence of unmotivated nicknames, and only one fifth of examples show opaque semantics. The semantics of nicknames is characterized by a different nominative potential. In half of the cases, users preferred autonym-nicknames created from real anthroponyms. Just under a third of boys use pseudonym-nicknames based on common nouns or borrowed onyms. They are more characterized by evaluative semantics with an emphasis on positive qualities and biases of self-esteem towards idealization, narcissism and self-confidence. Hybrid nicknames, combining a real autonym and any other lexeme, make only one-fifth of the data. Their main feature is the name transposition. Such nicknames have high linguocultural potential and indicate hobbies, idols, ideals of their authors. Variations of mono- and polycomponent structural models of nicknames demonstrate a high degree of derivational linguistic creativity of adolescent users. The overwhelming number of self-nominations were created using graphic means and techniques. The motives for using them vary from the overcoming of the technical ban on identical nicknames within the limits of some Internet services to the implementation of aesthetic, humorous attitudes and the introduction of additional individualizing information. The study shows that self-nominations of teenage boys have specific properties and characteristics as linguistic units, and also have their own design tendencies, explicitly and implicitly express the linguistic creative potential of their authors. The identified features reveal the extralinguistic conditionality of nicknames associated with the gender and age of the informants. Adolescent boys are equally prone to de-anonymization and anonymization of virtual persona. The most important thing for them is the implementation of initial self-nominative intentions. Nicknames have predominantly masculine, ameliorative semantics, conveying the need of their owners for recognition by a certain social group and inclusion in a problematic or cultural context of interest.</t>
  </si>
  <si>
    <t>[Kaziaba, Viktoria V.] Northern Arctic Fed Univ, Severodvinsk, Arkhangelsk, Russia</t>
  </si>
  <si>
    <t>Northern Arctic Federal University</t>
  </si>
  <si>
    <t>Kaziaba, VV (corresponding author), Northern Arctic Fed Univ, Severodvinsk, Arkhangelsk, Russia.</t>
  </si>
  <si>
    <t>German Academic Exchange Service (DAAD) [57440915]</t>
  </si>
  <si>
    <t>German Academic Exchange Service (DAAD)(Deutscher Akademischer Austausch Dienst (DAAD))</t>
  </si>
  <si>
    <t>Acknowledgements: The study was supported by the German Academic Exchange Service (DAAD) , Project No. 57440915: Personales Internet-Anthroponymikon (an-hand von Beispielen deutschsprachiger Benutzer) .</t>
  </si>
  <si>
    <t>10.17223/19986645/90/3</t>
  </si>
  <si>
    <t>J1K6I</t>
  </si>
  <si>
    <t>WOS:001334732700003</t>
  </si>
  <si>
    <t>Nguyen, VC; Lu, NTN; Kane, JM; Birnbaum, ML; De Choudhury, M</t>
  </si>
  <si>
    <t>Nguyen, Viet Cuong; Lu, Nathaniel; Kane, John M.; Birnbaum, Michael L.; De Choudhury, Munmun</t>
  </si>
  <si>
    <t>Cross-Platform Detection of Psychiatric Hospitalization via Social Media Data: Comparison Study</t>
  </si>
  <si>
    <t>JMIR MENTAL HEALTH</t>
  </si>
  <si>
    <t>schizophrenia; mental health; machine learning; clinical informatics; social media; mobile phone</t>
  </si>
  <si>
    <t>SPECTRUM DISORDERS; SCHIZOPHRENIA; PERSONALITY</t>
  </si>
  <si>
    <t>Background: Previous research has shown the feasibility of using machine learning models trained on social media data from a single platform (eg, Facebook or Twitter) to distinguish individuals either with a diagnosis of mental illness or experiencing an adverse outcome from healthy controls. However, the performance of such models on data from novel social media platforms unseen in the training data (eg, Instagram and TikTok) has not been investigated in previous literature. Objective: Our study examined the feasibility of building machine learning classifiers that can effectively predict an upcoming psychiatric hospitalization given social media data from platforms unseen in the classifiers' training data despite the preliminary evidence on identity fragmentation on the investigated social media platforms. Methods: Windowed timeline data of patients with a diagnosis of schizophrenia spectrum disorder before a known hospitalization event and healthy controls were gathered from 3 platforms: Facebook (254/268, 94.8% of participants), Twitter (51/268, 19% of participants), and Instagram (134/268, 50% of participants). We then used a 3 x 3 combinatorial binary classification design to train machine learning classifiers and evaluate their performance on testing data from all available platforms. We further compared results from models in intraplatform experiments (ie, training and testing data belonging to the same platform) to those from models in interplatform experiments (ie, training and testing data belonging to different platforms). Finally, we used Shapley Additive Explanation values to extract the top predictive features to explain and compare the underlying constructs that predict hospitalization on each platform. Results: We found that models in intraplatform experiments on average achieved an F1-score of 0.72 (SD 0.07) in predicting a psychiatric hospitalization because of schizophrenia spectrum disorder, which is 68% higher than the average of models in interplatform experiments at an F1-score of 0.428 (SD 0.11). When investigating the key drivers for divergence in construct validities between models, an analysis of top features for the intraplatform models showed both low predictive feature overlap between the platforms and low pairwise rank correlation (&lt;0.1) between the platforms' top feature rankings. Furthermore, low average cosine similarity of data between platforms within participants in comparison with the same measurement on data within platforms between participants points to evidence of identity fragmentation of participants between platforms. Conclusions: We demonstrated that models built on one platform's data to predict critical mental health treatment outcomes such as hospitalization do not generalize to another platform. In our case, this is because different social media platforms consistently reflect different segments of participants' identities. With the changing ecosystem of social media use among different demographic groups and as web-based identities continue to become fragmented across platforms, further research on holistic approaches to</t>
  </si>
  <si>
    <t>[Nguyen, Viet Cuong; De Choudhury, Munmun] Georgia Inst Technol, Sch Interact Comp, Atlanta, GA USA; [Lu, Nathaniel; Kane, John M.; Birnbaum, Michael L.] Northwell Hlth, Zucker Hillside Hosp, Dept Psychiat, Glen Oaks, NY USA; [Lu, Nathaniel; Kane, John M.; Birnbaum, Michael L.] Northwell Hlth, Feinstein Inst Med Res, Manhasset, NY USA; [Kane, John M.; Birnbaum, Michael L.] Donald &amp; Barbara Zucker Sch Med Hofstra Northwell, Hempstead, NY USA; [Nguyen, Viet Cuong] Georgia Inst Technol, Sch Interact Comp, 756 Peachtree St NW, Atlanta, GA 30318 USA</t>
  </si>
  <si>
    <t>University System of Georgia; Georgia Institute of Technology; Northwell Health; Northwell Health; Northwell Health; University System of Georgia; Georgia Institute of Technology</t>
  </si>
  <si>
    <t>Nguyen, VC (corresponding author), Georgia Inst Technol, Sch Interact Comp, 756 Peachtree St NW, Atlanta, GA 30318 USA.</t>
  </si>
  <si>
    <t>johnny.nguyen@gatech.edu</t>
  </si>
  <si>
    <t>Kane, Jeremy/JTU-1481-2023</t>
  </si>
  <si>
    <t>De Choudhury, Munmun/0000-0002-8939-264X; Kane, John/0000-0002-2628-9442; Nguyen, Viet Cuong/0000-0002-8504-9350; Lu, Nathaniel/0000-0001-9695-2249</t>
  </si>
  <si>
    <t>National Institute of Mental Health [R01MH117172]; Wellbeing Lab at Georgia Tech</t>
  </si>
  <si>
    <t>National Institute of Mental Health(United States Department of Health &amp; Human ServicesNational Institutes of Health (NIH) - USANIH National Institute of Mental Health (NIMH)); Wellbeing Lab at Georgia Tech</t>
  </si>
  <si>
    <t>This research was partly funded by National Institute of Mental Health grant R01MH117172 (principal investigator: MDC; co-principal investigators: MLB and JMK) . The research team acknowledges the assistance of Anna Van Meter and Asra Ali in the early phases of patient data collection. The authors also thank members of the Social Dynamics and Wellbeing Lab at Georgia Tech for their valuable feedback during the various phases of the study.</t>
  </si>
  <si>
    <t>2368-7959</t>
  </si>
  <si>
    <t>JMIR MENT HEALTH</t>
  </si>
  <si>
    <t>JMIR Ment. Health</t>
  </si>
  <si>
    <t>e39747</t>
  </si>
  <si>
    <t>10.2196/39747</t>
  </si>
  <si>
    <t>A1VO8</t>
  </si>
  <si>
    <t>WOS:000953079900002</t>
  </si>
  <si>
    <t>Shekane, P; Echevarria, G; Irizarry, G; Dumbroff, J; Rosenblatt, MA; Patel, A</t>
  </si>
  <si>
    <t>Shekane, Paul; Echevarria, Ghislaine; Irizarry, Gabriel; Dumbroff, Joshua; Rosenblatt, Meg A.; Patel, Alopi</t>
  </si>
  <si>
    <t>A Cross-sectional Study of the Social Media Presence of ACGME-Accredited Pain Medicine Fellowship Programs: Time to Get Online?</t>
  </si>
  <si>
    <t>PAIN PHYSICIAN</t>
  </si>
  <si>
    <t>Social media; pain management fellowship; Instagram; Twitter; social media in medicine; medical education</t>
  </si>
  <si>
    <t>Background: Approximately 70% of Americans use social media platforms, and use of specific platforms, such as Instagram, Twitter, Snapchat, and TikTok, is especially common among adults under 30. The presence of social media accounts among residency and fellowship programs in academic medicine has been used to connect with other specialties, highlight achievements and research, disseminate information to the general public, and as a recruiting tool for applicants. Objectives: The objective of this cross-sectional study was to evaluate the social media presence, specifically on Twitter and Instagram, of the Accreditation Council for Graduate Medical Education (ACGME)-accredited Pain Medicine fellowship programs. We hypothesized that programs with more fellows were more likely to have a social media presence, as well as more content pertaining to branding for recruitment purposes. Study Design: A cross-sectional study observing the social media presence of ACGME-accredited Pain Medicine fellowship programs. Methods: Two independent reviewers conducted searches for corresponding official pain programs and departmental accounts on Twitter and Instagram over the period of July 1, 2020 to June 31, 2021. For all social media accounts identified, number of posts (total and within the study period), followers, and date of first post were recorded. Each post was categorized as medical education, branding, or social. Results: Of the 111 ACGME-accredited Pain Medicine fellowship programs, 4 (3.6%) had both Twitter and Instagram accounts,10 (9%) only Twitter, 7 (6.3%) only Instagram, and 90 (81.1%) had neither. A significant association between the number of fellows and the odds of having an Instagram, but not Twitter, fellowship account was found (odds ratio 1.38, 95% confidence interval [CI]: 1.02,1.88; P = 0.038). Also, a linear relationship existed between the number of followers and tweets (B coefficient 3.7, 95% CI: 3.6, 3.8; P &lt; 0.001). Limitations: Limitations include that the data were collected during the COVID-19 pandemic, which may correlate to increased likelihood of social media usage. We were also limited by our ability to find all of the pain management fellowship program accounts on social media. Conclusions: Less than 20% of the pain fellowship programs are currently utilizing Twitter and/ or Instagram. When compared to primary anesthesiology residencies, social media presence among pain fellowships is much lower. By utilizing basic social media strategies, including image-based content posting, hashtags, and videos, programs can increase their engagement with the social media community, and increase their overall number of followers, thus expanding their potential reach to prospective applicants. Although social media can be an effective tool for branding purposes, it is vital to address the safe use of social media among all trainees.</t>
  </si>
  <si>
    <t>[Shekane, Paul; Echevarria, Ghislaine; Irizarry, Gabriel; Dumbroff, Joshua; Rosenblatt, Meg A.; Patel, Alopi] Mt Sinai West, Dept Anesthesiol Perioperat &amp; Pain Med, New York, NY USA; [Shekane, Paul; Echevarria, Ghislaine; Irizarry, Gabriel; Dumbroff, Joshua; Rosenblatt, Meg A.; Patel, Alopi] Mt Sinai Morningside Hosp, New York, NY USA; [Patel, Alopi] Mt Sinai West, Dept Anesthesiol, 1000 Tenth Ave, New York, NY 10023 USA</t>
  </si>
  <si>
    <t>Mount Sinai West; Mount Sinai West</t>
  </si>
  <si>
    <t>Patel, A (corresponding author), Mt Sinai West, Dept Anesthesiol, 1000 Tenth Ave, New York, NY 10023 USA.</t>
  </si>
  <si>
    <t>alopi.patel@mountsinai.org</t>
  </si>
  <si>
    <t>Patel, Alopi/KBC-1177-2024</t>
  </si>
  <si>
    <t>Patel, Alopi/0000-0003-0922-3350</t>
  </si>
  <si>
    <t>Department of Anesthesiology, Perioperative and Pain Medicine at Mount Sinai West and Mount Sinai Morningside Hospitals</t>
  </si>
  <si>
    <t>Support was provided solely from the Department of Anesthesiology, Perioperative and Pain Medicine at Mount Sinai West and Mount Sinai Morningside Hospitals. There was no external funding in the preparation of this manuscript.</t>
  </si>
  <si>
    <t>AM SOC INTERVENTIONAL PAIN PHYSICIANS</t>
  </si>
  <si>
    <t>PADUCAH</t>
  </si>
  <si>
    <t>81 LAKEVIEW DR, PADUCAH, KY 42001 USA</t>
  </si>
  <si>
    <t>1533-3159</t>
  </si>
  <si>
    <t>Pain Physician</t>
  </si>
  <si>
    <t>E1021</t>
  </si>
  <si>
    <t>E1025</t>
  </si>
  <si>
    <t>Anesthesiology; Clinical Neurology</t>
  </si>
  <si>
    <t>Anesthesiology; Neurosciences &amp; Neurology</t>
  </si>
  <si>
    <t>6J0YY</t>
  </si>
  <si>
    <t>WOS:000886557300011</t>
  </si>
  <si>
    <t>Portz, J; Moore, S; Bull, S</t>
  </si>
  <si>
    <t>Portz, Jennifer; Moore, Susan; Bull, Sheana</t>
  </si>
  <si>
    <t>Evolutionary Trends in the Adoption, Adaptation, andAbandonment of Mobile Health Technologies:Viewpoint Basedon 25 Years of Research</t>
  </si>
  <si>
    <t>technology adoption; mobile health; SMS text messaging; mobile apps; wearables; social media</t>
  </si>
  <si>
    <t>MIDDLE-INCOME COUNTRIES; TEXT MESSAGE; SMOKING-CESSATION; INTERVENTIONS; METAANALYSIS; EFFICACY; APPS; MANAGEMENT; DELIVERY; SUPPORT</t>
  </si>
  <si>
    <t>Over the past quarter-century, mobile health (mHealth) technologies have experienced significant changes in adoption rates,adaptation strategies, and instances of abandonment. Understanding the underlying factors driving these trends is essential foroptimizing the design, implementation, and sustainability of interventions using these technologies. The evolution of mHealthadoption has followed a progressive trajectory, starting with cautious exploration and later accelerating due to technologicaladvancements, increased smartphone penetration, and growing acceptance of digital health solutions by both health care providersand patients. However, alongside widespread adoption, challenges related to usability, interoperability, privacy concerns, andsocioeconomic disparities have emerged, necessitating ongoing adaptation efforts. While many mHealth initiatives have successfullyadapted to address these challenges, technology abandonment remains common, often due to unsustainable business models,inadequate user engagement, and insufficient evidence of effectiveness. This paper utilizes the Nonadoption, Abandonment,Scale-Up, Spread, and Sustainability (NASSS) framework to examine the interplay between the academic and industry sectorsin patterns of adoption, adaptation, and abandonment, using 3 major mHealth innovations as examples: health-related SMS textmessaging, mobile apps and wearables, and social media for health communication. Health SMS text messaging has demonstratedsignificant potential as a tool for health promotion, disease management, and patient engagement. The proliferation of mobileapps and devices has facilitated a shift from in-person and in-clinic practices to mobile- and wearable-centric solutions,encompassing everything from simple activity trackers to advanced health monitoring devices. Social media, initially characterizedby basic text-based interactions in chat rooms and online forums, underwent a paradigm shift with the emergence of platformssuch as MySpace and Facebook. This transition ushered in an era of mass communication through social media. The rise ofmicroblogging and visually focused platforms such as Twitter(now X), Instagram, Snapchat, and TikTok, along with the integrationof live streaming and augmented reality features, exemplifies the ongoing innovation within the social media landscape. Overthe past 25 years, there have been remarkable strides in the adoption and adaptation of mHealth technologies, driven by technologicalinnovation and a growing recognition of their potential to revolutionize health care delivery. Each mobile technology uniquelyenhances public health and health care by catering to different user needs. SMS text messaging offers wide accessibility andproven effectiveness, while mobile apps and wearables provide comprehensive functionalities for more in-depth health management.Social media platforms amplify these efforts with their vast reach and community-building potential, making it essential to selectthe right tool for specific health interventions to maximize impact and engagement. Nevertheless, continued efforts are neededto address persistent challenges and mitigate instances of abandonment, ensuring that mHealth interventions reach their fullpotential in improving health outcomes and advancing equitable access to care.</t>
  </si>
  <si>
    <t>[Portz, Jennifer] Univ Colorado, Sch Med, Div Gen Internal Med, Mailstop B119, Aurora, CO 80045 USA; [Portz, Jennifer; Moore, Susan; Bull, Sheana] Univ Colorado, Colorado Sch Publ Hlth, mHealth Impact Lab, Aurora, CO USA</t>
  </si>
  <si>
    <t>University of Colorado System; University of Colorado Anschutz Medical Campus; Colorado School of Public Health; University of Colorado System; University of Colorado Anschutz Medical Campus</t>
  </si>
  <si>
    <t>Portz, J (corresponding author), Univ Colorado, Sch Med, Div Gen Internal Med, Mailstop B119, Aurora, CO 80045 USA.</t>
  </si>
  <si>
    <t>jennifer.portz@CUAnschutz.edu</t>
  </si>
  <si>
    <t>Moore, Susan/O-1214-2013</t>
  </si>
  <si>
    <t>Moore, Susan/0000-0001-8671-6066</t>
  </si>
  <si>
    <t>e62790</t>
  </si>
  <si>
    <t>10.2196/62790</t>
  </si>
  <si>
    <t>H9V3S</t>
  </si>
  <si>
    <t>WOS:001326834000001</t>
  </si>
  <si>
    <t>Shah, HS; Serrano, PA; Phillips, G II</t>
  </si>
  <si>
    <t>Shah, Harita S.; Serrano, Pedro Alonso; Phillips II, Gregory</t>
  </si>
  <si>
    <t>Adaptation and Reach of a Pre-Exposure Prophylaxis SocialMarketing Campaign for Latino, Latina, and Latinx Populations:Development Study</t>
  </si>
  <si>
    <t>Latino; Latinx; Latina; social marketing; social media; PrEP; pre-exposure prophylaxis; HIV prevention; community; CBPR; community-based participatory research; campaign; transgender; MSM; reach; HIV; prevention; formative research; men whohave sex with men; treatment; intervention; biomedical; awareness; Latino/x/a; Latina/x/o</t>
  </si>
  <si>
    <t>TRANSGENDER WOMEN; PREP; AWARENESS; SEX; MEN; PERCEPTIONS; PREVENTION</t>
  </si>
  <si>
    <t>Background: Latino, Latina, and Latinx (Latino/a/x) individuals remain disproportionately impacted by HIV, particularlysexual minority men and transgender women. Pre-exposure prophylaxis (PrEP) is an effective means of biomedical HIV prevention,but awareness and uptake remain low among marginalized Latino/a/x populations. Social marketing campaigns have demonstratedpromise in promoting PrEP in other populations but are poorly studied in Latino/a/x sexual minority men and transgender women. Objective: This study aims to (1) adapt and pilot a PrEP social marketing campaign tailored to Latino/a/x populations with afocus on sexual minority men and transgender women through community-based participatory research (CBPR) and (2) evaluatethe reach and ad performance of the adapted PrEP social marketing campaign. Methods: We used the ADAPT-ITT (assessment, decision, adaptation, production, topical experts-integration, training, andtesting) framework for adapting evidence-based interventions for new settings or populations. This paper presents how each phaseof the ADAPT-ITT framework was applied via CBPR to create the PrEP &amp; aacute;rate (Be PrEPared) campaign. Key communityengagement strategies included shared ownership with community partners, focus groups to guide content, crowdsourcing toname the campaign, design by local Latino/a/x artists, and featuring local influencers as the faces of PrEP &amp; aacute;rate. We evaluatedcampaign reach and advertisement performance using social media platform metrics (paid and organic reach, impressions, uniqueclicks, and click-through rates [CTR]) and website use statistics from Google Analytics. Results: The PrEP &amp; aacute;rate campaign ran in Cook County, Illinois, from April to September 2022. The campaign reached over118,750 people on social media (55,750 on Facebook and Instagram [Meta Platforms Inc] and 63,000 on TikTok [ByteDanceLtd]). The Meta ads performed over the industry benchmark with ads featuring local transgender women (2% CTR) and cisgendersexual minority men (1.4% CTR). Of the different Grindr (Grindr Inc) ad formats piloted, the interstitial Grindr ads were thehighest performing (1183/55,479, 2.13% CTR). YouTube (Google) ads were low performing at 0.11% (153/138,337) CTR andwere stopped prematurely, given limits on sexual education-related content. In the first year, there were 5006 visitors to thewebsite. Conclusions: Adaptation of an existing evidence-based intervention served as an effective method for developing a PrEP socialmarketing campaign for Latino/a/x audiences. CBPR and strong community partnerships were essential to tailor materials andprovide avenues to systematically address barriers to PrEP access. Social marketing is a promising strategy to promote PrEPamong underserved Latino/a/x populations</t>
  </si>
  <si>
    <t>[Shah, Harita S.] Univ Chicago, Dept Med, 5841 S Maryland Ave,MC 3051, Chicago, IL 60637 USA; [Serrano, Pedro Alonso; Phillips II, Gregory] Northwestern Univ, Dept Med Social Sci, Chicago, IL USA; [Serrano, Pedro Alonso; Phillips II, Gregory] Northwestern Univ, Dept Prevent Med, Chicago, IL USA</t>
  </si>
  <si>
    <t>University of Chicago; Northwestern University; Northwestern University</t>
  </si>
  <si>
    <t>Shah, HS (corresponding author), Univ Chicago, Dept Med, 5841 S Maryland Ave,MC 3051, Chicago, IL 60637 USA.</t>
  </si>
  <si>
    <t>harita@uchicago.edu</t>
  </si>
  <si>
    <t>/AAW-6803-2020</t>
  </si>
  <si>
    <t>Serrano, Pedro Alonso/0000-0001-9504-5647; Phillips II, Gregory/0000-0001-8396-1170</t>
  </si>
  <si>
    <t>This project was funded by an Ending the HIV Epidemic Supplement Award (5P30AI117943-07) via the Third Coast Center forAIDS Research. We thank the members of the Chicago Queer Latinx (CQL) Collaborative for their contributions to this projectfrom start to finish. We appreciate the talented artists who created the campaign materials: Veronica Martinez, Jose Rosa, DanielReyes, and Andre Perez. We also thank Alejandro Munoz for web design, the HIV Hub for use of their hotline, and Commandofor running the social media campaign and providing ad metrics</t>
  </si>
  <si>
    <t>e52842</t>
  </si>
  <si>
    <t>10.2196/52842</t>
  </si>
  <si>
    <t>WOS:001303612400026</t>
  </si>
  <si>
    <t>Giovanelli, A; Karver, TS; Roundfield, K; Woodruff, S; Wierzba, C; Wolny, J; Kaufman, MR</t>
  </si>
  <si>
    <t>Giovanelli, Alison; Karver, Tahilin Sanchez; Roundfield, Katrina; Woodruff, Sean; Wierzba, Catherine; Wolny, J.; Kaufman, Michelle R.</t>
  </si>
  <si>
    <t>The Appa Health App for Youth Mental Health: Development and Usability Study</t>
  </si>
  <si>
    <t>digital mental health; youth mentoring; cognitive behavioral therapy; teenager; adolescent; mobile phone</t>
  </si>
  <si>
    <t>GENERALIZED ANXIETY DISORDER; COGNITIVE-BEHAVIORAL THERAPY; TRANSDIAGNOSTIC APPROACH; ADOLESCENTS; INTERVENTIONS; DEPRESSION; CHILDREN; PHQ-9; CBT</t>
  </si>
  <si>
    <t>Background: Demand for adolescent mental health services has surged in the aftermath of the COVID-19 pandemic, and traditional models of care entailing in-person services with licensed mental health providers are inadequate to meet demand. However, research has shown that with proper training and supervision mentors can work with youth with mental health challenges like depression and anxiety and can even support the use of evidence-based strategies like cognitive behavioral therapy (CBT). In our increasingly connected world, youth mentors can meet with young people on a web-based platform at their convenience, reducing barriers to care. Moreover, the internet has made evidence-based CBT skills for addressing depression and anxiety more accessible than ever. As such, when trained and supervised by licensed clinicians, mentors are an untapped resource to support youth with mental health challenges. Objective: The objective of this study was to develop and assess the feasibility and acceptability of Appa Health (Appa), an evidence-based mental health mentoring program for youth experiencing symptoms of depression and anxiety. This paper describes the development, pilot testing process, and preliminary quantitative and qualitative outcomes of Appa's 12-week smartphone app program which combines web-based near-peer mentorship with short-form TikTok-style videos teaching CBT skills created by licensed mental health professionals who are also social media influencers. Methods: The development and testing processes were executed through collaboration with key stakeholders, including young people and clinical and research advisory boards. In the pilot study, young people were assessed for symptoms of depression or anxiety using standard self-report clinical measures: the Patient Health Questionnaire-8 and the Generalized Anxiety Disorder-7 scales. Teenagers endorsing symptoms of depression or anxiety (n=14) were paired with a mentor (n=10) based on preferred characteristics such as gender, race or ethnicity, and lesbian, gay, bisexual, transgender, queer (LGBTQ) status. Quantitative survey data about the teenagers' characteristics, mental health, and feasibility and acceptability were combined with qualitative data assessing youth perspectives on the program, their mentors, and the CBT content. Results: Participants reported finding Appa helpful, with 100% (n=14) of teenagers expressing that they felt better after the 12-week program. Over 85% (n=12) said they would strongly recommend the program to a friend. The teenagers were engaged, video chatting with mentors consistently over the 12 weeks. Metrics of anxiety and depressive symptoms reduced consistently from week 1 to week 12, supporting qualitative data suggesting that mentoring combined with CBT strategies has the potential to positively impact youth mental health and warrants further study. Conclusions: Appa Health is a novel smartphone app aiming to improve the well-being of youth and reduce anxiety and depressive symptoms through web-based mentoring and engaging CBT video content. This formative research sets the stage for a large-scale randomized controlled trial recently funded by the National Institutes of Health Small Business Innovation Research program.</t>
  </si>
  <si>
    <t>[Giovanelli, Alison] Univ Calif San Francisco, Dept Pediat, Div Adolescent &amp; Young Adult Med, 550 16th St,4th Floor, San Francisco, CA 94143 USA; [Giovanelli, Alison; Roundfield, Katrina; Woodruff, Sean; Wierzba, Catherine] Appa Hlth, Oakland, CA USA; [Karver, Tahilin Sanchez; Kaufman, Michelle R.] Johns Hopkins Univ, Bloomberg Sch Publ Hlth, Dept Hlth Behav &amp; Soc, Baltimore, MD USA; [Roundfield, Katrina] Univ Calif San Francisco, Weill Inst Neurosci, San Francisco, CA 94143 USA; [Wolny, J.] Indiana Univ, Dept Psychol &amp; Brain Sci, Bloomington, IN USA</t>
  </si>
  <si>
    <t>University of California System; University of California San Francisco; Johns Hopkins University; Johns Hopkins Bloomberg School of Public Health; University of California System; University of California San Francisco; Indiana University System; Indiana University Bloomington</t>
  </si>
  <si>
    <t>Giovanelli, A (corresponding author), Univ Calif San Francisco, Dept Pediat, Div Adolescent &amp; Young Adult Med, 550 16th St,4th Floor, San Francisco, CA 94143 USA.</t>
  </si>
  <si>
    <t>alison.giovanelli@ucsf.edu</t>
  </si>
  <si>
    <t>Wierzba, Catherine/0009-0009-0764-550X; Woodruff, Sean/0009-0001-5373-3457; Karver, Tahilin Sanchez/0000-0001-7362-9377; Giovanelli, Alison/0000-0002-5336-5674</t>
  </si>
  <si>
    <t>e49998</t>
  </si>
  <si>
    <t>10.2196/49998</t>
  </si>
  <si>
    <t>U6UU5</t>
  </si>
  <si>
    <t>WOS:001086144400002</t>
  </si>
  <si>
    <t>Reuter, K; Wilson, ML; Moran, M; Le, N; Angyan, P; Majmundar, A; Kaiser, EM; Unger, JB</t>
  </si>
  <si>
    <t>Reuter, Katja; Wilson, Melissa L.; Moran, Meghan; Le, NamQuyen; Angyan, Praveen; Majmundar, Anuja; Kaiser, Elsi M.; Unger, Jennifer B.</t>
  </si>
  <si>
    <t>General Audience Engagement With Antismoking Public Health Messages Across Multiple Social Media Sites: Comparative Analysis</t>
  </si>
  <si>
    <t>affordance; digital; dissemination of science; Facebook; health communication; health promotion; Instagram; online; smoking; social media; tobacco; Twitter; user engagement</t>
  </si>
  <si>
    <t>TWITTER; COMMUNICATION; AFFORDANCES; FACEBOOK</t>
  </si>
  <si>
    <t>Background: Public health organizations have begun to use social media to increase awareness of health harm and positively improve health behavior. Little is known about effective strategies to disseminate health education messages digitally and ultimately achieve optimal audience engagement. Objective: This study aims to assess the difference in audience engagement with identical antismoking health messages on three social media sites (Twitter, Facebook, and Instagram) and with a referring link to a tobacco prevention website cited in these messages. We hypothesized that health messages might not receive the same user engagement on these media, although these messages were identical and distributed at the same time. Methods: We measured the effect of health promotion messages on the risk of smoking among users of three social media sites (Twitter, Facebook, and Instagram) and disseminated 1275 health messages between April 19 and July 12, 2017 (85 days). The identical messages were distributed at the same time and as organic (unpaid) and advertised (paid) messages, each including a link to an educational website with more information about the topic. Outcome measures included message engagement (ie, the click-through rate [CTR] of the social media messages) and educational website engagement (ie, the CTR on the educational website [wCTR]). To analyze the data and model relationships, we used mixed effects negative binomial regression, z-statistic, and the Hosmer-Lemeshow goodness-of-fit test. Results: Comparisons between social media sites showed that CTRs for identical antitobacco health messages differed significantly across social media (P&lt;.001 for all). Instagram showed the statistically significant highest overall mean message engagement (CTR=0.0037; 95% CI 0.0032-0.0042), followed by Facebook (CTR=0.0026; 95% CI 0.0022-0.0030) and Twitter (CTR=0.0015; 95% CI 0.0013-0.0017). Facebook showed the highest as well as the lowest CTR for any individual message. However, the message CTR is not indicative of user engagement with the educational website content. Pairwise comparisons of the social media sites differed with respect to the wCTR (P&lt;.001 for all). Messages on Twitter showed the lowest CTR, but they resulted in the highest level of website engagement (wCTR=0.6308; 95% CI 0.5640-0.6975), followed by Facebook (wCTR=0.2213; 95% CI 0.1932-0.2495) and Instagram (wCTR=0.0334; 95% CI 0.0230-0.0438). We found a statistically significant higher CTR for organic (unpaid) messages (CTR=0.0074; 95% CI 0.0047-0.0100) compared with paid advertisements (CTR=0.0022; 95% CI 0.0017-0.0027; P&lt;.001 and P&lt;.001, respectively). Conclusions: Our study provides evidence-based insights to guide the design of health promotion efforts on social media. Future studies should examine the platform-specific impact of psycholinguistic message variations on user engagement, include newer sites such as Snapchat and TikTok, and study the correlation between web-based behavior and real-world health behavior change. The need is urgent in light of increased health-related marketing and misinformation on social media.</t>
  </si>
  <si>
    <t>[Reuter, Katja] SUNY Upstate Med Univ, Dept Publ Hlth &amp; Prevent Med, 766 Irving Ave, Syracuse, NY 13210 USA; [Reuter, Katja; Unger, Jennifer B.] Univ Southern Calif, Keck Sch Med USC, Inst Hlth Promot &amp; Dis Prevent Res, Dept Prevent Med, Los Angeles, CA 90007 USA; [Wilson, Melissa L.] Univ Southern Calif, Keck Sch Med USC, Dept Prevent Med, Div Dis Prevent Policy &amp; Global Hlth, Los Angeles, CA 90007 USA; [Moran, Meghan] Johns Hopkins Univ, Johns Hopkins Bloomberg Sch Publ Hlth, Dept Hlth Behav &amp; Soc, Baltimore, MD USA; [Le, NamQuyen; Angyan, Praveen] Univ Southern Calif, Southern Calif Clin &amp; Translat Sci Inst, Keck Sch Med USC, Los Angeles, CA 90007 USA; [Majmundar, Anuja] Amer Canc Soc, Econ &amp; Hlth Policy Res, Washington, DC USA; [Kaiser, Elsi M.] Univ Southern Calif, Dept Linguist, Dornsife Coll Letters Arts &amp; Sci, Los Angeles, CA 90007 USA</t>
  </si>
  <si>
    <t>State University of New York (SUNY) System; State University of New York (SUNY) Upstate Medical Center; University of Southern California; University of Southern California; Johns Hopkins University; Johns Hopkins Bloomberg School of Public Health; University of Southern California; American Cancer Society; University of Southern California</t>
  </si>
  <si>
    <t>Reuter, K (corresponding author), SUNY Upstate Med Univ, Dept Publ Hlth &amp; Prevent Med, 766 Irving Ave, Syracuse, NY 13210 USA.</t>
  </si>
  <si>
    <t>Reuter, Katja/AFM-3640-2022; Majmundar, Anuja/AAK-6769-2021; Kaiser, Elsi/N-8328-2019; Wilson, Melissa/P-3100-2017</t>
  </si>
  <si>
    <t>Moran, Meghan/0000-0001-6745-6668; Wilson, Melissa/0000-0001-7785-4221; Unger, Jennifer/0000-0001-9064-6603; Reuter, Katja/0000-0002-1559-9058; Le, NamQuyen/0000-0002-5054-5362</t>
  </si>
  <si>
    <t>National Institutes of Health (NIH) National Cancer Institute (NCI); Food and Drug Administration (FDA) Center for Tobacco Products (Tobacco Center of Regulatory Science grant) [5P50CA180905]; Southern California Clinical and Translational Science Institute from the National Center for Advancing Translational Sciences (NCATS) of the NIH [UL1TR000130]</t>
  </si>
  <si>
    <t>National Institutes of Health (NIH) National Cancer Institute (NCI)(United States Department of Health &amp; Human ServicesNational Institutes of Health (NIH) - USANIH National Cancer Institute (NCI)); Food and Drug Administration (FDA) Center for Tobacco Products (Tobacco Center of Regulatory Science grant); Southern California Clinical and Translational Science Institute from the National Center for Advancing Translational Sciences (NCATS) of the NIH</t>
  </si>
  <si>
    <t>The authors would like to acknowledge and thank Wendy Mack, PhD, for her helpful advice regarding data analysis and modeling. This work was supported by the National Institutes of Health (NIH) National Cancer Institute (NCI), the Food and Drug Administration (FDA) Center for Tobacco Products (Tobacco Center of Regulatory Science grant #5P50CA180905), and the Southern California Clinical and Translational Science Institute (grant #UL1TR000130) from the National Center for Advancing Translational Sciences (NCATS) of the NIH. The content is solely the responsibility of the authors and does not necessarily represent the official views of the NCI, FDA, and NIH.</t>
  </si>
  <si>
    <t>e24429</t>
  </si>
  <si>
    <t>10.2196/24429</t>
  </si>
  <si>
    <t>WOS:000625293400004</t>
  </si>
  <si>
    <t>Lupton, D</t>
  </si>
  <si>
    <t>Lupton, Deborah</t>
  </si>
  <si>
    <t>Young People's Use of Digital Health Technologies in the Global North: Narrative Review</t>
  </si>
  <si>
    <t>digital health; young people; Global North; social research; narrative review</t>
  </si>
  <si>
    <t>MENTAL-HEALTH; SOCIAL MEDIA; BODY-IMAGE; FITNESS; AGE; SURVEILLANCE; EXPERIENCES; IMPACT; CHILD; TRACKING</t>
  </si>
  <si>
    <t>Background: A diverse array of digital technologies are available to children and young people living in the Global North to monitor, manage, and promote their health and well-being. Objective: This article provides a narrative literature review of the growing number of social research studies published over the past decade that investigate the types of digital technologies used by children and young people in the Global North, in addition to investigating which of these technologies they find most useful or not useful. Key findings as well as major gaps and directions for future research are identified and discussed. Methods: A comprehensive search of relevant publications listed in Google Scholar was conducted, supported by following citation trails of these publications. The findings are listed under type of digital technology used for health: cross-media, internet, social media, apps and wearable devices, sexual health support and information, and mental health support and information. Results: Many young people in the Global North are active users of digital health technologies. However, it is notable that they still rely on older technologies, such as websites and search engines, to find information. Apps and platforms that may not have been specifically developed for young people as digital health resources often better suit their needs. Young people appreciate the ready availability of information online, the opportunities to learn more about their bodies and health states, and the opportunities to learn how to improve their health and physical fitness. They enjoy being able to connect with peers, and they find emotional support and relief from distress by using social media platforms, YouTube, and online forums. Young people can find the vast reams of information available to them difficult to navigate. They often look to trusted adults to help them make sense of the information they find online and to provide alternative sources of information and support. Face-to-face interactions with these trusted providers remain important to young people. Risks and harms that young people report from digital health use include becoming overly obsessed with their bodies' shape and size when using self-tracking technologies and comparing their bodies with the social media influencers they follow. Conclusions: Further details on how young people are using social media platforms and YouTube as health support resources and for peer-to-peer sharing of information, including attention paid to the content of these resources and the role played by young social media influencers and microcelebrities, would contribute important insights to this body of literature. The role played by visual media, such as GIFs (Graphics Interchange Format) and memes, and social media platforms that have recently become very popular with young people (eg, Snapchat and TikTok) in health-related content creation and sharing requires more attention by social researchers seeking to better understand young people's use of digital devices and software for health and fitness.</t>
  </si>
  <si>
    <t>[Lupton, Deborah] UNSW Sydney, Vital Lab, Ctr Social Res Hlth &amp; Social Policy Res Ctr, Goodsell Bldg, Kensington, NSW 2052, Australia</t>
  </si>
  <si>
    <t>Lupton, D (corresponding author), UNSW Sydney, Vital Lab, Ctr Social Res Hlth &amp; Social Policy Res Ctr, Goodsell Bldg, Kensington, NSW 2052, Australia.</t>
  </si>
  <si>
    <t>d.lupton@unsw.edu.au</t>
  </si>
  <si>
    <t>Lupton, Deborah/F-5638-2011; Lupton, Deborah/L-8591-2016</t>
  </si>
  <si>
    <t>Lupton, Deborah/0000-0003-2658-4430</t>
  </si>
  <si>
    <t>e18286</t>
  </si>
  <si>
    <t>10.2196/18286</t>
  </si>
  <si>
    <t>PQ7JC</t>
  </si>
  <si>
    <t>WOS:000606718200002</t>
  </si>
  <si>
    <t>Pascual-Ferrá, P; Alperstein, N; Burleson, J; Jamison, AM; Bhaktaram, A; Rath, S; Ganjoo, R; Mohanty, S; Barnett, DJ; Rima, RN</t>
  </si>
  <si>
    <t>Pascual-Ferra, Paola; Alperstein, Neil; Burleson, Julia; Jamison, Amelia M.; Bhaktaram, Ananya; Rath, Sidharth; Ganjoo, Rohini; Mohanty, Satyanarayan; Barnett, Daniel J.; Rima, Rajiv N.</t>
  </si>
  <si>
    <t>Assessing Message Deployment During Public Health Emergencies Through Social Media: Empirical Test of Optimizing Content for Effective Dissemination</t>
  </si>
  <si>
    <t>message testing; web-based communication; user engagement; vaccine communication; methodology; Meta; Facebook; advertising; infodemic; communication; infodemiology; social media advertising tool; social media; audience; engagement; rapid messagetesting at scale; mobile phone</t>
  </si>
  <si>
    <t>Background: During an infodemic, timely, reliable, and accessible information is crucial to combat the proliferation of health misinformation. While message testing can provide vital information to make data-informed decisions, traditional methods tend to be time- and resource-intensive. Recognizing this need, we developed the rapid message testing at scale (RMTS) approach to allow communicators to repurpose existing social media advertising tools and understand the full spectrum of audience engagement. Objective: We had two main objectives: (1) to demonstrate the use of the RMTS approach for message testing, especially when resources and time are limited, and (2) to propose and test the efficacy of an outcome variable that measures engagement along a continuum of viewing experience. Methods: We developed 12 versions of a single video created for a vaccine confidence project in India. We manipulated video length, aspect ratio, and use of subtitles. The videos were tested across 4 demographic groups (women or men, younger or older). We assessed user engagement along a continuum of viewing experience: obtaining attention, sustaining attention, conveying the message, and inspiring action. These were measured by the percentage of video watched and clicks on the call-to-action link. Results:The video advertisements were placed on Facebook for over 4 consecutive days at the cost of US $450 and garnered a total of 3.34 million impressions. Overall, we found that the best-performing video was the shorter version in portrait aspect ratio and without subtitles. There was a significant but small association between the length of the video and users' level of engagement at key points along the continuum of viewing experience (N=1,032,888; chi(2)(4)=48,261.97; P&lt;.001; V=.22). We found that for the longer video, those with subtitles held viewers longer after 25% video watch time than those without subtitles (n=15,597; chi(2)(1)=7.33; P=.007; V=.02). While we found some significant associations between the aspect ratio, the use of subtitles, and the number of users watching the video and clicking on the call-to-action link, the effect size for those were extremely small. Conclusions: This test served as a proof of concept for the RMTS approach. We obtained rapid feedback on formal message attributes from a very large sample. The results of this test reinforce the need for platform-specific tailoring of communications. While our data showed a general preference for a short video in portrait orientation and without subtitles among our target audiences on Facebook, that may not necessarily be the case in other social media platforms such as YouTube or TikTok, where users go primarily to watch videos. RMTS testing highlights nuances that communication professionals can address instead of being limited to a one size fits all approach.</t>
  </si>
  <si>
    <t>[Pascual-Ferra, Paola; Alperstein, Neil] Loyola Univ Maryland, 4501 North Charles St, Baltimore, MD 21210 USA; [Burleson, Julia; Jamison, Amelia M.; Bhaktaram, Ananya; Rima, Rajiv N.] Johns Hopkins Bloomberg Sch Publ Hlth, Hlth Behav &amp; Soc, Baltimore, MD USA; [Rath, Sidharth] Swasthya Plus Network, Bhubaneswar, OD, India; [Ganjoo, Rohini] George Washington Univ, Biomed Lab Sci, Washington, DC USA; [Mohanty, Satyanarayan] D COR Consulting Pvt Ltd, Bhubaneswar, OD, India; [Barnett, Daniel J.] Johns Hopkins Bloomberg Sch Publ Hlth, Environm Hlth &amp; Engn, Baltimore, MD USA</t>
  </si>
  <si>
    <t>Loyola University Maryland; Johns Hopkins University; Johns Hopkins Bloomberg School of Public Health; George Washington University; Johns Hopkins University; Johns Hopkins Bloomberg School of Public Health</t>
  </si>
  <si>
    <t>Pascual-Ferrá, P (corresponding author), Loyola Univ Maryland, 4501 North Charles St, Baltimore, MD 21210 USA.</t>
  </si>
  <si>
    <t>ppascualferra@loyola.edu</t>
  </si>
  <si>
    <t>Bhaktaram, Ananya/KFS-6566-2024</t>
  </si>
  <si>
    <t>Mohanty, Satyanarayan/0000-0002-8684-5500; Rath, Sidharth/0000-0002-9097-6909; Ganjoo, Rohini/0000-0001-7185-7747; Alperstein, Neil/0000-0003-3906-3474; Burleson, Julia/0000-0001-7494-7254; Bhaktaram, Ananya/0000-0001-6598-7078; Rimal, Rajiv/0000-0003-1413-9305</t>
  </si>
  <si>
    <t>This research was funded by Global Impact (VCF-019) to Johns Hopkins University (Rajiv N Rimal, principal investigator) . Itscontents are solely the responsibility of the authors and do not necessarily represent the official views of Global Impact.</t>
  </si>
  <si>
    <t>e50871</t>
  </si>
  <si>
    <t>10.2196/50871</t>
  </si>
  <si>
    <t>D5H6Q</t>
  </si>
  <si>
    <t>WOS:001296495100004</t>
  </si>
  <si>
    <t>Godoy-Martín, FJ</t>
  </si>
  <si>
    <t>Godoy-Martin, Francisco Javier</t>
  </si>
  <si>
    <t>Communication agencies in the face of new Social Media. Early adopters or late incorporations?</t>
  </si>
  <si>
    <t>agencies; communication; public relations; social networks; content</t>
  </si>
  <si>
    <t>Social media are already part of the communicative routines of most organizations, including communication agencies. Nevertheless, given their duty to serve other companies, these agencies should have an advanced understanding of these platforms, not only in their most profound sense but also in a time-advanced one. In other words, agencies should test emerging social media with the aim of knowing them in-depth and determining whether they serve their communicative purpose. It should be noticed that investment in digital advertising and actions with influencers are greater and greater. Besides, they are platforms that not necessarily remain unalterable, but some of them achieve their life cycle, even disappearing. On this matter, it is necessary to check if agencies really are working on the most recent social networks or only on those which are already consolidated. For such a research, the quantitative method, based on the content analysis, was adopted within a descriptive study. It was used on a sample of the ten communication agencies with the highest billing which operate in Spain. As secondary research objectives, it was considered to analyze the use that agencies do of social media which they are present in, to determine the existence of online content strategies, as well as to value the interaction level of these companies on online channels. The results show that most of analyzed agencies offer web 2.0-related services, such as digital strategy, online content management, monitoring and influencers relations. Social media talking, except for a few cases, communication agencies prefer to maintain a presence on the most consolidated social networks (Twitter, Facebook, Instagram, LinkedIn and YouTube). Furthermore, those are the ones that usually have links on their websites. This does not mean that agencies do not use the more recent applications, but that, mostly, they do not do this for their benefit as a brand. Otherwise they keep them in the background. In fact, some agencies use current platforms, such as Twitch or TikTok, publishing suitable content to their characteristics, which means that agencies know their possibilities, although their use is not still usual among them. Among the commonly used social networks, the activity of these agencies remains along the lines of what has already been concluded in previous academic papers: the purpose of information dissemination prevails with a self-promoting role. Communication agencies keep their social profiles updated and, during the month of research, they constantly published content, especially, information about themselves or about the communication sector, followed by news of common interest, clients news and projects carried out. Finally, although they published content frequently, the interaction with other users is low and, when it happens, it usually has, as mentioned, a self-promoting intention. In conclusion, communication agencies, as other kinds of organizations, are used to introduce social media work in their routines. However, it cannot be said that they are early adopters, at least to self-use. Probably, public relations professionals are researching and going deep in these new platforms, but in a private way, so agencies cannot, or prefer not to show their know-how by doing it.</t>
  </si>
  <si>
    <t>[Godoy-Martin, Francisco Javier] Univ Cadiz, Grad Publ Relaciones Publ, Cadiz, Spain</t>
  </si>
  <si>
    <t>Universidad de Cadiz</t>
  </si>
  <si>
    <t>Godoy-Martín, FJ (corresponding author), Univ Cadiz, Grad Publ Relaciones Publ, Cadiz, Spain.</t>
  </si>
  <si>
    <t>franciscojavier.godoy@uca.es</t>
  </si>
  <si>
    <t>Godoy Martin, Francisco Javier/0000-0001-5284-2283</t>
  </si>
  <si>
    <t>10.5783/RIRP-23-2022-12-225-244</t>
  </si>
  <si>
    <t>2Z9NV</t>
  </si>
  <si>
    <t>WOS:000826896000009</t>
  </si>
  <si>
    <t>Lazard, AJ; Nicolla, S; Vereen, RN; Pendleton, S; Charlot, M; Tan, HJ; DiFranzo, D; Pulido, M; Dasgupta, N</t>
  </si>
  <si>
    <t>Lazard, Allison J.; Nicolla, Sydney; Vereen, Rhyan N.; Pendleton, Shanetta; Charlot, Marjory; Tan, Hung-Jui; DiFranzo, Dominic; Pulido, Marlyn; Dasgupta, Nabarun</t>
  </si>
  <si>
    <t>Exposure and Reactions to Cancer Treatment Misinformation and Advice: Survey Study</t>
  </si>
  <si>
    <t>cancer; misinformation; social media; prosocial intervening; treatment; false information; alternative medicine; information spread; dissemination; infodemiology; mobile phone</t>
  </si>
  <si>
    <t>MEDICAL MISTRUST; SOCIAL MEDIA; CARE</t>
  </si>
  <si>
    <t>Background: Cancer treatment misinformation, or false claims about alternative cures, often spreads faster and farther than true information on social media. Cancer treatment misinformation can harm the psychosocial and physical health of individuals with cancer and their cancer care networks by causing distress and encouraging people to abandon support, potentially leading to deviations from evidence-based care. There is a pressing need to understand how cancer treatment misinformation is shared and uncover ways to reduce misinformation.Objective: We aimed to better understand exposure and reactions to cancer treatment misinformation, including the willingness of study participants to prosocially intervene and their intentions to share Instagram posts with cancer treatment misinformation.Methods: We conducted a survey on cancer treatment misinformation among US adults in December 2021. Participants reported their exposure and reactions to cancer treatment misinformation generally (saw or heard, source, type of advice, and curiosity) and specifically on social media (platform, believability). Participants were then randomly assigned to view 1 of 3 cancer treatment misinformation posts or an information post and asked to report their willingness to prosocially intervene and their intentions to share.Results: Among US adult participants (N=603; mean age 46, SD 18.83 years), including those with cancer and cancer caregivers, almost 1 in 4 (142/603, 23.5%) received advice about alternative ways to treat or cure cancer. Advice was primarily shared through family (39.4%) and friends (37.3%) for digestive (30.3%) and natural (14.1%) alternative cancer treatments, which generated curiosity among most recipients (106/142, 74.6%). More than half of participants (337/603, 55.9%) saw any cancer treatment misinformation on social media, with significantly higher exposure for those with cancer (53/109, 70.6%) than for those without cancer (89/494, 52.6%; P&lt;.001). Participants saw cancer misinformation on Facebook (39.8%), YouTube (27%), Instagram (22.1%), and TikTok (14.1%), among other platforms. Participants (429/603, 71.1%) thought cancer treatment misinformation was true, at least sometimes, on social media. More than half (357/603, 59.2%) were likely to share any cancer misinformation posts shown. Many participants (412/603, 68.3%) were willing to prosocially intervene for any cancer misinformation posts, including flagging the cancer treatment misinformation posts as false (49.7%-51.4%) or reporting them to the platform (48.1%-51.4%). Among the participants, individuals with cancer and those who identified as Black or Hispanic reported greater willingness to intervene to reduce cancer misinformation but also higher intentions to share misinformation.Conclusions: Cancer treatment misinformation reaches US adults through social media, including on widely used platforms for support. Many believe that social media posts about alternative cancer treatment are true at least some of the time. The willingness of US adults, including those with cancer and members of susceptible populations, to prosocially intervene could initiate the necessary community action to reduce cancer treatment misinformation if coupled with strategies to help individuals discern false claims.</t>
  </si>
  <si>
    <t>[Lazard, Allison J.; Charlot, Marjory; Tan, Hung-Jui; Pulido, Marlyn] Univ N Carolina, Lineberger Comprehens Canc Ctr, Chapel Hill, NC USA; [Nicolla, Sydney; Vereen, Rhyan N.; Pendleton, Shanetta] Univ N Carolina, Hussman Sch Journalism &amp; Media, Chapel Hill, NC USA; [Charlot, Marjory] Univ N Carolina, Sch Med, Dept Med, Div Oncol, Chapel Hill, NC USA; [Tan, Hung-Jui] Univ N Carolina, Sch Med, Dept Urol, Chapel Hill, NC USA; [DiFranzo, Dominic] Lehigh Univ, PC Rossin Coll Engn &amp; Appl Sci, Bethlehem, PA USA; [Dasgupta, Nabarun] Univ N Carolina, Gillings Sch Global Publ Hlth, Chapel Hill, NC USA; [Dasgupta, Nabarun] Univ N Carolina, Injury Prevent Res Ctr, Chapel Hill, NC USA; [Lazard, Allison J.] Univ N Carolina, Lineberger Comprehens Canc Ctr, 450 West Dr, Chapel Hill, NC 27599 USA</t>
  </si>
  <si>
    <t>University of North Carolina; University of North Carolina Chapel Hill; University of North Carolina; University of North Carolina Chapel Hill; University of North Carolina School of Medicine; University of North Carolina; University of North Carolina Chapel Hill; University of North Carolina School of Medicine; University of North Carolina; University of North Carolina Chapel Hill; Lehigh University; University of North Carolina; University of North Carolina Chapel Hill; University of North Carolina; University of North Carolina Chapel Hill; University of North Carolina; University of North Carolina Chapel Hill</t>
  </si>
  <si>
    <t>Lazard, AJ (corresponding author), Univ N Carolina, Lineberger Comprehens Canc Ctr, 450 West Dr, Chapel Hill, NC 27599 USA.</t>
  </si>
  <si>
    <t>lazard@unc.edu</t>
  </si>
  <si>
    <t>DiFranzo, Dominic/G-6683-2013</t>
  </si>
  <si>
    <t>DiFranzo, Dominic/0000-0001-6039-1806; Dasgupta, Nabarun/0000-0002-4098-605X; Pulido, Marlyn/0000-0001-9038-9125; Pendleton, Shanetta/0000-0001-7570-0974; Vereen, Rhyan/0000-0003-0519-0053; Nicolla, Sydney/0000-0002-3167-6623; Charlot, Marjory/0000-0001-8773-0425; Lazard, Allison/0000-0002-2502-2850; Tan, Hung-Jui/0000-0002-9681-4919</t>
  </si>
  <si>
    <t>e43749</t>
  </si>
  <si>
    <t>10.2196/43749</t>
  </si>
  <si>
    <t>P0QU5</t>
  </si>
  <si>
    <t>WOS:001047780400001</t>
  </si>
  <si>
    <t>Losada, JC; Capriotti, P; Escolar, MP</t>
  </si>
  <si>
    <t>Losada, Jose Carlos; Capriotti, Paul; Escolar, Marta Perez</t>
  </si>
  <si>
    <t>The institutional communication of universities on social networks: a study of activity and engagement during the COVID-19 crisis</t>
  </si>
  <si>
    <t>content analysis; COVID-19; digital communication; engagement; universities</t>
  </si>
  <si>
    <t>PUBLIC ENGAGEMENT; HIGHER-EDUCATION; MEDIA; FACEBOOK; MANAGEMENT; COMPANIES</t>
  </si>
  <si>
    <t>Social media are critical tools for providing valuable information in crisis situations. Since the COVID-19 Social media are critical tools for providing valuable information during crisis situations. Health crises, in particular, are exceptional circumstances that intensify social uncertainty on a large scale and trigger negative emotions. Previous health crises, such as SARS (2002), H1N1 (2009), Avian Influenza H7N9 (2013), the Ebola virus (2014), and Zika (2016), have demonstrated that social networks are key in public health strategies to accurately disseminate information. For this reason, the WHO has emphasized the importance of digital communication in persuading the population to adopt measures to prevent the escalation of health crises and control epidemic outbreaks. Since the COVID-19 pandemic, universities have utilized their official accounts on various social platforms to keep their strategic audiences informed. In this context, university social networks are configured as essential tools to foster interaction with their priority audiences. Interactive communication acts as a catalyst that enhances the interest of audiences (Gori et al., 2020) in consuming the content published by these institutions and in maintaining stronger connections with them. The dynamic nature of social media allows universities to promptly address public concerns, disseminate accurate information, and counteract misinformation, thereby playing a crucial role in public health communication strategies. The main objective of this study is to examine the level of activity and engagement generated by the content published by universities on their official Facebook and Twitter accounts concerning coronavirus-related topics since the COVID-19 outbreak. To achieve this, a content analysis was conducted on the institutional profiles of n=70 international reference universities (in Europe, USA, and Latin America) during the year 2021 to measure the level of interaction generated by these messages and compare them with non-COVID-19 related posts. This analysis seeks to identify patterns and differences in user engagement, providing insights into the effectiveness of university communication strategies during health crises. The primary results indicate no significant differences between COVID-19 related publications and non-COVID-19 related ones in terms of activity and engagement levels. Specifically, it was found that COVID-19 related content published by universities on their Facebook and Twitter accounts did not generate high levels of activity in any of the three geographical areas analyzed (United States, Europe, and Latin America). This finding suggests that merely addressing pandemic -related topics is insufficient to maintain high levels of audience engagement and that additional factors may influence the effectiveness of these communications. Therefore, it is suggested to reinforce visual content on Twitter and Facebook to enhance the activity levels of the content published by universities. Long paragraphs can disperse users' attention, especially considering that a significant group of users belong to younger generations accustomed to consuming emoticons, GIFs, short videos, and photographs on platforms like TikTok and Instagram. Visual content, such as infographics, videos, and engaging images, can attract more attention and foster higher engagement among users, making the communication more effective. Additionally, it is recommended that communication professionals in university institutions receive training and specialization in developing effective communication strategies for social networks during crisis situations. To this end, these professionals should learn to integrate actions, measures, and protocols as outlined in the Situational Crisis Communication Theory (SCCT) framework. This framework provides guidelines for effective communication during crises, emphasizing the need for timely, accurate, and transparent information to maintain public trust and mitigate the impact of the crisis. By implementing these strategies, universities can improve their social media engagement and ensure that their messages reach and resonate with their target audiences, ultimately contributing to better public health outcomes during crises.</t>
  </si>
  <si>
    <t>[Losada, Jose Carlos; Escolar, Marta Perez] Univ Murcia, Murcia, Spain; [Capriotti, Paul] Univ Rovira &amp; Virgili, Tarragona, Spain</t>
  </si>
  <si>
    <t>University of Murcia; Universitat Rovira i Virgili</t>
  </si>
  <si>
    <t>Losada, JC (corresponding author), Univ Murcia, Murcia, Spain.</t>
  </si>
  <si>
    <t>jclosada@um.es; paul.capriotti@urv.cat</t>
  </si>
  <si>
    <t>Capriotti, Paul/A-3690-2009</t>
  </si>
  <si>
    <t>10.5783/revrrpp.v14i27.860</t>
  </si>
  <si>
    <t>XT1Y8</t>
  </si>
  <si>
    <t>WOS:001263849900007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</si>
</sst>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E401C-9A8A-46F5-894B-FDEAA3A78BF7}">
  <dimension ref="A1:BT2314"/>
  <sheetViews>
    <sheetView tabSelected="1" topLeftCell="A2278" workbookViewId="0">
      <selection activeCell="A2304" sqref="A2304"/>
    </sheetView>
  </sheetViews>
  <sheetFormatPr defaultRowHeight="12.75" x14ac:dyDescent="0.35"/>
  <sheetData>
    <row r="1" spans="1:7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72" x14ac:dyDescent="0.35">
      <c r="A2" t="s">
        <v>72</v>
      </c>
      <c r="B2" t="s">
        <v>73</v>
      </c>
      <c r="C2" t="s">
        <v>74</v>
      </c>
      <c r="D2" t="s">
        <v>74</v>
      </c>
      <c r="E2" t="s">
        <v>74</v>
      </c>
      <c r="F2" t="s">
        <v>75</v>
      </c>
      <c r="G2" t="s">
        <v>74</v>
      </c>
      <c r="H2" t="s">
        <v>74</v>
      </c>
      <c r="I2" t="s">
        <v>76</v>
      </c>
      <c r="J2" t="s">
        <v>77</v>
      </c>
      <c r="K2" t="s">
        <v>74</v>
      </c>
      <c r="L2" t="s">
        <v>74</v>
      </c>
      <c r="M2" t="s">
        <v>78</v>
      </c>
      <c r="N2" t="s">
        <v>79</v>
      </c>
      <c r="O2" t="s">
        <v>74</v>
      </c>
      <c r="P2" t="s">
        <v>74</v>
      </c>
      <c r="Q2" t="s">
        <v>74</v>
      </c>
      <c r="R2" t="s">
        <v>74</v>
      </c>
      <c r="S2" t="s">
        <v>74</v>
      </c>
      <c r="T2" t="s">
        <v>80</v>
      </c>
      <c r="U2" t="s">
        <v>81</v>
      </c>
      <c r="V2" t="s">
        <v>82</v>
      </c>
      <c r="W2" t="s">
        <v>83</v>
      </c>
      <c r="X2" t="s">
        <v>84</v>
      </c>
      <c r="Y2" t="s">
        <v>85</v>
      </c>
      <c r="Z2" t="s">
        <v>86</v>
      </c>
      <c r="AA2" t="s">
        <v>74</v>
      </c>
      <c r="AB2" t="s">
        <v>87</v>
      </c>
      <c r="AC2" t="s">
        <v>74</v>
      </c>
      <c r="AD2" t="s">
        <v>74</v>
      </c>
      <c r="AE2" t="s">
        <v>74</v>
      </c>
      <c r="AF2" t="s">
        <v>74</v>
      </c>
      <c r="AG2">
        <v>46</v>
      </c>
      <c r="AH2">
        <v>24</v>
      </c>
      <c r="AI2">
        <v>30</v>
      </c>
      <c r="AJ2">
        <v>62</v>
      </c>
      <c r="AK2">
        <v>666</v>
      </c>
      <c r="AL2" t="s">
        <v>88</v>
      </c>
      <c r="AM2" t="s">
        <v>89</v>
      </c>
      <c r="AN2" t="s">
        <v>90</v>
      </c>
      <c r="AO2" t="s">
        <v>91</v>
      </c>
      <c r="AP2" t="s">
        <v>92</v>
      </c>
      <c r="AQ2" t="s">
        <v>74</v>
      </c>
      <c r="AR2" t="s">
        <v>93</v>
      </c>
      <c r="AS2" t="s">
        <v>94</v>
      </c>
      <c r="AT2" t="s">
        <v>95</v>
      </c>
      <c r="AU2">
        <v>2021</v>
      </c>
      <c r="AV2" t="s">
        <v>74</v>
      </c>
      <c r="AW2" t="s">
        <v>74</v>
      </c>
      <c r="AX2" t="s">
        <v>74</v>
      </c>
      <c r="AY2" t="s">
        <v>74</v>
      </c>
      <c r="AZ2" t="s">
        <v>74</v>
      </c>
      <c r="BA2" t="s">
        <v>74</v>
      </c>
      <c r="BB2" t="s">
        <v>74</v>
      </c>
      <c r="BC2" t="s">
        <v>74</v>
      </c>
      <c r="BD2" t="s">
        <v>74</v>
      </c>
      <c r="BE2" t="s">
        <v>96</v>
      </c>
      <c r="BF2" t="str">
        <f>HYPERLINK("http://dx.doi.org/10.1080/03623319.2021.1969882","http://dx.doi.org/10.1080/03623319.2021.1969882")</f>
        <v>http://dx.doi.org/10.1080/03623319.2021.1969882</v>
      </c>
      <c r="BG2" t="s">
        <v>74</v>
      </c>
      <c r="BH2" t="s">
        <v>97</v>
      </c>
      <c r="BI2">
        <v>20</v>
      </c>
      <c r="BJ2" t="s">
        <v>98</v>
      </c>
      <c r="BK2" t="s">
        <v>99</v>
      </c>
      <c r="BL2" t="s">
        <v>100</v>
      </c>
      <c r="BM2" t="s">
        <v>101</v>
      </c>
      <c r="BN2" t="s">
        <v>74</v>
      </c>
      <c r="BO2" t="s">
        <v>74</v>
      </c>
      <c r="BP2" t="s">
        <v>74</v>
      </c>
      <c r="BQ2" t="s">
        <v>74</v>
      </c>
      <c r="BR2" t="s">
        <v>102</v>
      </c>
      <c r="BS2" t="s">
        <v>103</v>
      </c>
      <c r="BT2" t="str">
        <f>HYPERLINK("https%3A%2F%2Fwww.webofscience.com%2Fwos%2Fwoscc%2Ffull-record%2FWOS:000695894800001","View Full Record in Web of Science")</f>
        <v>View Full Record in Web of Science</v>
      </c>
    </row>
    <row r="3" spans="1:72" x14ac:dyDescent="0.35">
      <c r="A3" t="s">
        <v>72</v>
      </c>
      <c r="B3" t="s">
        <v>104</v>
      </c>
      <c r="C3" t="s">
        <v>74</v>
      </c>
      <c r="D3" t="s">
        <v>74</v>
      </c>
      <c r="E3" t="s">
        <v>74</v>
      </c>
      <c r="F3" t="s">
        <v>105</v>
      </c>
      <c r="G3" t="s">
        <v>74</v>
      </c>
      <c r="H3" t="s">
        <v>74</v>
      </c>
      <c r="I3" t="s">
        <v>106</v>
      </c>
      <c r="J3" t="s">
        <v>107</v>
      </c>
      <c r="K3" t="s">
        <v>74</v>
      </c>
      <c r="L3" t="s">
        <v>74</v>
      </c>
      <c r="M3" t="s">
        <v>78</v>
      </c>
      <c r="N3" t="s">
        <v>108</v>
      </c>
      <c r="O3" t="s">
        <v>74</v>
      </c>
      <c r="P3" t="s">
        <v>74</v>
      </c>
      <c r="Q3" t="s">
        <v>74</v>
      </c>
      <c r="R3" t="s">
        <v>74</v>
      </c>
      <c r="S3" t="s">
        <v>74</v>
      </c>
      <c r="T3" t="s">
        <v>109</v>
      </c>
      <c r="U3" t="s">
        <v>110</v>
      </c>
      <c r="V3" t="s">
        <v>111</v>
      </c>
      <c r="W3" t="s">
        <v>112</v>
      </c>
      <c r="X3" t="s">
        <v>113</v>
      </c>
      <c r="Y3" t="s">
        <v>114</v>
      </c>
      <c r="Z3" t="s">
        <v>115</v>
      </c>
      <c r="AA3" t="s">
        <v>74</v>
      </c>
      <c r="AB3" t="s">
        <v>116</v>
      </c>
      <c r="AC3" t="s">
        <v>74</v>
      </c>
      <c r="AD3" t="s">
        <v>74</v>
      </c>
      <c r="AE3" t="s">
        <v>74</v>
      </c>
      <c r="AF3" t="s">
        <v>74</v>
      </c>
      <c r="AG3">
        <v>81</v>
      </c>
      <c r="AH3">
        <v>0</v>
      </c>
      <c r="AI3">
        <v>0</v>
      </c>
      <c r="AJ3">
        <v>9</v>
      </c>
      <c r="AK3">
        <v>16</v>
      </c>
      <c r="AL3" t="s">
        <v>88</v>
      </c>
      <c r="AM3" t="s">
        <v>89</v>
      </c>
      <c r="AN3" t="s">
        <v>90</v>
      </c>
      <c r="AO3" t="s">
        <v>117</v>
      </c>
      <c r="AP3" t="s">
        <v>118</v>
      </c>
      <c r="AQ3" t="s">
        <v>74</v>
      </c>
      <c r="AR3" t="s">
        <v>119</v>
      </c>
      <c r="AS3" t="s">
        <v>120</v>
      </c>
      <c r="AT3" t="s">
        <v>121</v>
      </c>
      <c r="AU3">
        <v>2024</v>
      </c>
      <c r="AV3">
        <v>17</v>
      </c>
      <c r="AW3">
        <v>2</v>
      </c>
      <c r="AX3" t="s">
        <v>74</v>
      </c>
      <c r="AY3" t="s">
        <v>74</v>
      </c>
      <c r="AZ3" t="s">
        <v>74</v>
      </c>
      <c r="BA3" t="s">
        <v>74</v>
      </c>
      <c r="BB3">
        <v>145</v>
      </c>
      <c r="BC3">
        <v>171</v>
      </c>
      <c r="BD3" t="s">
        <v>74</v>
      </c>
      <c r="BE3" t="s">
        <v>122</v>
      </c>
      <c r="BF3" t="str">
        <f>HYPERLINK("http://dx.doi.org/10.1080/17513057.2024.2320928","http://dx.doi.org/10.1080/17513057.2024.2320928")</f>
        <v>http://dx.doi.org/10.1080/17513057.2024.2320928</v>
      </c>
      <c r="BG3" t="s">
        <v>74</v>
      </c>
      <c r="BH3" t="s">
        <v>123</v>
      </c>
      <c r="BI3">
        <v>27</v>
      </c>
      <c r="BJ3" t="s">
        <v>124</v>
      </c>
      <c r="BK3" t="s">
        <v>125</v>
      </c>
      <c r="BL3" t="s">
        <v>124</v>
      </c>
      <c r="BM3" t="s">
        <v>126</v>
      </c>
      <c r="BN3" t="s">
        <v>74</v>
      </c>
      <c r="BO3" t="s">
        <v>74</v>
      </c>
      <c r="BP3" t="s">
        <v>74</v>
      </c>
      <c r="BQ3" t="s">
        <v>74</v>
      </c>
      <c r="BR3" t="s">
        <v>102</v>
      </c>
      <c r="BS3" t="s">
        <v>127</v>
      </c>
      <c r="BT3" t="str">
        <f>HYPERLINK("https%3A%2F%2Fwww.webofscience.com%2Fwos%2Fwoscc%2Ffull-record%2FWOS:001181686200001","View Full Record in Web of Science")</f>
        <v>View Full Record in Web of Science</v>
      </c>
    </row>
    <row r="4" spans="1:72" x14ac:dyDescent="0.35">
      <c r="A4" t="s">
        <v>128</v>
      </c>
      <c r="B4" t="s">
        <v>129</v>
      </c>
      <c r="C4" t="s">
        <v>74</v>
      </c>
      <c r="D4" t="s">
        <v>130</v>
      </c>
      <c r="E4" t="s">
        <v>74</v>
      </c>
      <c r="F4" t="s">
        <v>131</v>
      </c>
      <c r="G4" t="s">
        <v>74</v>
      </c>
      <c r="H4" t="s">
        <v>74</v>
      </c>
      <c r="I4" t="s">
        <v>132</v>
      </c>
      <c r="J4" t="s">
        <v>133</v>
      </c>
      <c r="K4" t="s">
        <v>134</v>
      </c>
      <c r="L4" t="s">
        <v>74</v>
      </c>
      <c r="M4" t="s">
        <v>78</v>
      </c>
      <c r="N4" t="s">
        <v>135</v>
      </c>
      <c r="O4" t="s">
        <v>136</v>
      </c>
      <c r="P4" t="s">
        <v>137</v>
      </c>
      <c r="Q4" t="s">
        <v>138</v>
      </c>
      <c r="R4" t="s">
        <v>74</v>
      </c>
      <c r="S4" t="s">
        <v>74</v>
      </c>
      <c r="T4" t="s">
        <v>139</v>
      </c>
      <c r="U4" t="s">
        <v>74</v>
      </c>
      <c r="V4" t="s">
        <v>140</v>
      </c>
      <c r="W4" t="s">
        <v>141</v>
      </c>
      <c r="X4" t="s">
        <v>142</v>
      </c>
      <c r="Y4" t="s">
        <v>143</v>
      </c>
      <c r="Z4" t="s">
        <v>144</v>
      </c>
      <c r="AA4" t="s">
        <v>145</v>
      </c>
      <c r="AB4" t="s">
        <v>146</v>
      </c>
      <c r="AC4" t="s">
        <v>74</v>
      </c>
      <c r="AD4" t="s">
        <v>74</v>
      </c>
      <c r="AE4" t="s">
        <v>74</v>
      </c>
      <c r="AF4" t="s">
        <v>74</v>
      </c>
      <c r="AG4">
        <v>29</v>
      </c>
      <c r="AH4">
        <v>2</v>
      </c>
      <c r="AI4">
        <v>2</v>
      </c>
      <c r="AJ4">
        <v>20</v>
      </c>
      <c r="AK4">
        <v>343</v>
      </c>
      <c r="AL4" t="s">
        <v>147</v>
      </c>
      <c r="AM4" t="s">
        <v>148</v>
      </c>
      <c r="AN4" t="s">
        <v>149</v>
      </c>
      <c r="AO4" t="s">
        <v>74</v>
      </c>
      <c r="AP4" t="s">
        <v>150</v>
      </c>
      <c r="AQ4" t="s">
        <v>151</v>
      </c>
      <c r="AR4" t="s">
        <v>152</v>
      </c>
      <c r="AS4" t="s">
        <v>74</v>
      </c>
      <c r="AT4" t="s">
        <v>74</v>
      </c>
      <c r="AU4">
        <v>2021</v>
      </c>
      <c r="AV4">
        <v>110</v>
      </c>
      <c r="AW4" t="s">
        <v>74</v>
      </c>
      <c r="AX4" t="s">
        <v>74</v>
      </c>
      <c r="AY4" t="s">
        <v>74</v>
      </c>
      <c r="AZ4" t="s">
        <v>74</v>
      </c>
      <c r="BA4" t="s">
        <v>74</v>
      </c>
      <c r="BB4">
        <v>271</v>
      </c>
      <c r="BC4">
        <v>280</v>
      </c>
      <c r="BD4" t="s">
        <v>74</v>
      </c>
      <c r="BE4" t="s">
        <v>153</v>
      </c>
      <c r="BF4" t="str">
        <f>HYPERLINK("http://dx.doi.org/10.15405/epsbs.2021.06.02.36","http://dx.doi.org/10.15405/epsbs.2021.06.02.36")</f>
        <v>http://dx.doi.org/10.15405/epsbs.2021.06.02.36</v>
      </c>
      <c r="BG4" t="s">
        <v>74</v>
      </c>
      <c r="BH4" t="s">
        <v>74</v>
      </c>
      <c r="BI4">
        <v>10</v>
      </c>
      <c r="BJ4" t="s">
        <v>124</v>
      </c>
      <c r="BK4" t="s">
        <v>154</v>
      </c>
      <c r="BL4" t="s">
        <v>124</v>
      </c>
      <c r="BM4" t="s">
        <v>155</v>
      </c>
      <c r="BN4" t="s">
        <v>74</v>
      </c>
      <c r="BO4" t="s">
        <v>156</v>
      </c>
      <c r="BP4" t="s">
        <v>74</v>
      </c>
      <c r="BQ4" t="s">
        <v>74</v>
      </c>
      <c r="BR4" t="s">
        <v>102</v>
      </c>
      <c r="BS4" t="s">
        <v>157</v>
      </c>
      <c r="BT4" t="str">
        <f>HYPERLINK("https%3A%2F%2Fwww.webofscience.com%2Fwos%2Fwoscc%2Ffull-record%2FWOS:000770559500036","View Full Record in Web of Science")</f>
        <v>View Full Record in Web of Science</v>
      </c>
    </row>
    <row r="5" spans="1:72" x14ac:dyDescent="0.35">
      <c r="A5" t="s">
        <v>72</v>
      </c>
      <c r="B5" t="s">
        <v>158</v>
      </c>
      <c r="C5" t="s">
        <v>74</v>
      </c>
      <c r="D5" t="s">
        <v>74</v>
      </c>
      <c r="E5" t="s">
        <v>74</v>
      </c>
      <c r="F5" t="s">
        <v>159</v>
      </c>
      <c r="G5" t="s">
        <v>74</v>
      </c>
      <c r="H5" t="s">
        <v>74</v>
      </c>
      <c r="I5" t="s">
        <v>160</v>
      </c>
      <c r="J5" t="s">
        <v>161</v>
      </c>
      <c r="K5" t="s">
        <v>74</v>
      </c>
      <c r="L5" t="s">
        <v>74</v>
      </c>
      <c r="M5" t="s">
        <v>78</v>
      </c>
      <c r="N5" t="s">
        <v>108</v>
      </c>
      <c r="O5" t="s">
        <v>74</v>
      </c>
      <c r="P5" t="s">
        <v>74</v>
      </c>
      <c r="Q5" t="s">
        <v>74</v>
      </c>
      <c r="R5" t="s">
        <v>74</v>
      </c>
      <c r="S5" t="s">
        <v>74</v>
      </c>
      <c r="T5" t="s">
        <v>162</v>
      </c>
      <c r="U5" t="s">
        <v>163</v>
      </c>
      <c r="V5" t="s">
        <v>164</v>
      </c>
      <c r="W5" t="s">
        <v>165</v>
      </c>
      <c r="X5" t="s">
        <v>166</v>
      </c>
      <c r="Y5" t="s">
        <v>167</v>
      </c>
      <c r="Z5" t="s">
        <v>168</v>
      </c>
      <c r="AA5" t="s">
        <v>169</v>
      </c>
      <c r="AB5" t="s">
        <v>170</v>
      </c>
      <c r="AC5" t="s">
        <v>74</v>
      </c>
      <c r="AD5" t="s">
        <v>74</v>
      </c>
      <c r="AE5" t="s">
        <v>74</v>
      </c>
      <c r="AF5" t="s">
        <v>74</v>
      </c>
      <c r="AG5">
        <v>73</v>
      </c>
      <c r="AH5">
        <v>12</v>
      </c>
      <c r="AI5">
        <v>13</v>
      </c>
      <c r="AJ5">
        <v>75</v>
      </c>
      <c r="AK5">
        <v>226</v>
      </c>
      <c r="AL5" t="s">
        <v>171</v>
      </c>
      <c r="AM5" t="s">
        <v>172</v>
      </c>
      <c r="AN5" t="s">
        <v>173</v>
      </c>
      <c r="AO5" t="s">
        <v>174</v>
      </c>
      <c r="AP5" t="s">
        <v>175</v>
      </c>
      <c r="AQ5" t="s">
        <v>74</v>
      </c>
      <c r="AR5" t="s">
        <v>176</v>
      </c>
      <c r="AS5" t="s">
        <v>177</v>
      </c>
      <c r="AT5" t="s">
        <v>178</v>
      </c>
      <c r="AU5">
        <v>2024</v>
      </c>
      <c r="AV5">
        <v>42</v>
      </c>
      <c r="AW5">
        <v>1</v>
      </c>
      <c r="AX5" t="s">
        <v>74</v>
      </c>
      <c r="AY5" t="s">
        <v>74</v>
      </c>
      <c r="AZ5" t="s">
        <v>74</v>
      </c>
      <c r="BA5" t="s">
        <v>74</v>
      </c>
      <c r="BB5">
        <v>201</v>
      </c>
      <c r="BC5">
        <v>223</v>
      </c>
      <c r="BD5" t="s">
        <v>74</v>
      </c>
      <c r="BE5" t="s">
        <v>179</v>
      </c>
      <c r="BF5" t="str">
        <f>HYPERLINK("http://dx.doi.org/10.1177/08944393231178603","http://dx.doi.org/10.1177/08944393231178603")</f>
        <v>http://dx.doi.org/10.1177/08944393231178603</v>
      </c>
      <c r="BG5" t="s">
        <v>74</v>
      </c>
      <c r="BH5" t="s">
        <v>180</v>
      </c>
      <c r="BI5">
        <v>23</v>
      </c>
      <c r="BJ5" t="s">
        <v>181</v>
      </c>
      <c r="BK5" t="s">
        <v>182</v>
      </c>
      <c r="BL5" t="s">
        <v>183</v>
      </c>
      <c r="BM5" t="s">
        <v>184</v>
      </c>
      <c r="BN5" t="s">
        <v>74</v>
      </c>
      <c r="BO5" t="s">
        <v>156</v>
      </c>
      <c r="BP5" t="s">
        <v>74</v>
      </c>
      <c r="BQ5" t="s">
        <v>74</v>
      </c>
      <c r="BR5" t="s">
        <v>102</v>
      </c>
      <c r="BS5" t="s">
        <v>185</v>
      </c>
      <c r="BT5" t="str">
        <f>HYPERLINK("https%3A%2F%2Fwww.webofscience.com%2Fwos%2Fwoscc%2Ffull-record%2FWOS:001001631000001","View Full Record in Web of Science")</f>
        <v>View Full Record in Web of Science</v>
      </c>
    </row>
    <row r="6" spans="1:72" x14ac:dyDescent="0.35">
      <c r="A6" t="s">
        <v>72</v>
      </c>
      <c r="B6" t="s">
        <v>186</v>
      </c>
      <c r="C6" t="s">
        <v>74</v>
      </c>
      <c r="D6" t="s">
        <v>74</v>
      </c>
      <c r="E6" t="s">
        <v>74</v>
      </c>
      <c r="F6" t="s">
        <v>187</v>
      </c>
      <c r="G6" t="s">
        <v>74</v>
      </c>
      <c r="H6" t="s">
        <v>74</v>
      </c>
      <c r="I6" t="s">
        <v>188</v>
      </c>
      <c r="J6" t="s">
        <v>189</v>
      </c>
      <c r="K6" t="s">
        <v>74</v>
      </c>
      <c r="L6" t="s">
        <v>74</v>
      </c>
      <c r="M6" t="s">
        <v>78</v>
      </c>
      <c r="N6" t="s">
        <v>79</v>
      </c>
      <c r="O6" t="s">
        <v>74</v>
      </c>
      <c r="P6" t="s">
        <v>74</v>
      </c>
      <c r="Q6" t="s">
        <v>74</v>
      </c>
      <c r="R6" t="s">
        <v>74</v>
      </c>
      <c r="S6" t="s">
        <v>74</v>
      </c>
      <c r="T6" t="s">
        <v>190</v>
      </c>
      <c r="U6" t="s">
        <v>191</v>
      </c>
      <c r="V6" t="s">
        <v>192</v>
      </c>
      <c r="W6" t="s">
        <v>193</v>
      </c>
      <c r="X6" t="s">
        <v>194</v>
      </c>
      <c r="Y6" t="s">
        <v>195</v>
      </c>
      <c r="Z6" t="s">
        <v>196</v>
      </c>
      <c r="AA6" t="s">
        <v>197</v>
      </c>
      <c r="AB6" t="s">
        <v>198</v>
      </c>
      <c r="AC6" t="s">
        <v>74</v>
      </c>
      <c r="AD6" t="s">
        <v>74</v>
      </c>
      <c r="AE6" t="s">
        <v>74</v>
      </c>
      <c r="AF6" t="s">
        <v>74</v>
      </c>
      <c r="AG6">
        <v>129</v>
      </c>
      <c r="AH6">
        <v>3</v>
      </c>
      <c r="AI6">
        <v>3</v>
      </c>
      <c r="AJ6">
        <v>23</v>
      </c>
      <c r="AK6">
        <v>105</v>
      </c>
      <c r="AL6" t="s">
        <v>199</v>
      </c>
      <c r="AM6" t="s">
        <v>200</v>
      </c>
      <c r="AN6" t="s">
        <v>201</v>
      </c>
      <c r="AO6" t="s">
        <v>202</v>
      </c>
      <c r="AP6" t="s">
        <v>203</v>
      </c>
      <c r="AQ6" t="s">
        <v>74</v>
      </c>
      <c r="AR6" t="s">
        <v>189</v>
      </c>
      <c r="AS6" t="s">
        <v>204</v>
      </c>
      <c r="AT6" t="s">
        <v>205</v>
      </c>
      <c r="AU6">
        <v>2023</v>
      </c>
      <c r="AV6" t="s">
        <v>74</v>
      </c>
      <c r="AW6" t="s">
        <v>74</v>
      </c>
      <c r="AX6" t="s">
        <v>74</v>
      </c>
      <c r="AY6" t="s">
        <v>74</v>
      </c>
      <c r="AZ6" t="s">
        <v>74</v>
      </c>
      <c r="BA6" t="s">
        <v>74</v>
      </c>
      <c r="BB6" t="s">
        <v>74</v>
      </c>
      <c r="BC6" t="s">
        <v>74</v>
      </c>
      <c r="BD6" t="s">
        <v>74</v>
      </c>
      <c r="BE6" t="s">
        <v>206</v>
      </c>
      <c r="BF6" t="str">
        <f>HYPERLINK("http://dx.doi.org/10.1108/K-04-2022-0551","http://dx.doi.org/10.1108/K-04-2022-0551")</f>
        <v>http://dx.doi.org/10.1108/K-04-2022-0551</v>
      </c>
      <c r="BG6" t="s">
        <v>74</v>
      </c>
      <c r="BH6" t="s">
        <v>207</v>
      </c>
      <c r="BI6">
        <v>30</v>
      </c>
      <c r="BJ6" t="s">
        <v>208</v>
      </c>
      <c r="BK6" t="s">
        <v>209</v>
      </c>
      <c r="BL6" t="s">
        <v>210</v>
      </c>
      <c r="BM6" t="s">
        <v>211</v>
      </c>
      <c r="BN6" t="s">
        <v>74</v>
      </c>
      <c r="BO6" t="s">
        <v>74</v>
      </c>
      <c r="BP6" t="s">
        <v>74</v>
      </c>
      <c r="BQ6" t="s">
        <v>74</v>
      </c>
      <c r="BR6" t="s">
        <v>102</v>
      </c>
      <c r="BS6" t="s">
        <v>212</v>
      </c>
      <c r="BT6" t="str">
        <f>HYPERLINK("https%3A%2F%2Fwww.webofscience.com%2Fwos%2Fwoscc%2Ffull-record%2FWOS:001075653100001","View Full Record in Web of Science")</f>
        <v>View Full Record in Web of Science</v>
      </c>
    </row>
    <row r="7" spans="1:72" x14ac:dyDescent="0.35">
      <c r="A7" t="s">
        <v>72</v>
      </c>
      <c r="B7" t="s">
        <v>213</v>
      </c>
      <c r="C7" t="s">
        <v>74</v>
      </c>
      <c r="D7" t="s">
        <v>74</v>
      </c>
      <c r="E7" t="s">
        <v>74</v>
      </c>
      <c r="F7" t="s">
        <v>214</v>
      </c>
      <c r="G7" t="s">
        <v>74</v>
      </c>
      <c r="H7" t="s">
        <v>74</v>
      </c>
      <c r="I7" t="s">
        <v>215</v>
      </c>
      <c r="J7" t="s">
        <v>216</v>
      </c>
      <c r="K7" t="s">
        <v>74</v>
      </c>
      <c r="L7" t="s">
        <v>74</v>
      </c>
      <c r="M7" t="s">
        <v>78</v>
      </c>
      <c r="N7" t="s">
        <v>108</v>
      </c>
      <c r="O7" t="s">
        <v>74</v>
      </c>
      <c r="P7" t="s">
        <v>74</v>
      </c>
      <c r="Q7" t="s">
        <v>74</v>
      </c>
      <c r="R7" t="s">
        <v>74</v>
      </c>
      <c r="S7" t="s">
        <v>74</v>
      </c>
      <c r="T7" t="s">
        <v>217</v>
      </c>
      <c r="U7" t="s">
        <v>218</v>
      </c>
      <c r="V7" t="s">
        <v>219</v>
      </c>
      <c r="W7" t="s">
        <v>220</v>
      </c>
      <c r="X7" t="s">
        <v>221</v>
      </c>
      <c r="Y7" t="s">
        <v>222</v>
      </c>
      <c r="Z7" t="s">
        <v>223</v>
      </c>
      <c r="AA7" t="s">
        <v>224</v>
      </c>
      <c r="AB7" t="s">
        <v>225</v>
      </c>
      <c r="AC7" t="s">
        <v>74</v>
      </c>
      <c r="AD7" t="s">
        <v>74</v>
      </c>
      <c r="AE7" t="s">
        <v>74</v>
      </c>
      <c r="AF7" t="s">
        <v>74</v>
      </c>
      <c r="AG7">
        <v>72</v>
      </c>
      <c r="AH7">
        <v>9</v>
      </c>
      <c r="AI7">
        <v>9</v>
      </c>
      <c r="AJ7">
        <v>16</v>
      </c>
      <c r="AK7">
        <v>66</v>
      </c>
      <c r="AL7" t="s">
        <v>226</v>
      </c>
      <c r="AM7" t="s">
        <v>227</v>
      </c>
      <c r="AN7" t="s">
        <v>228</v>
      </c>
      <c r="AO7" t="s">
        <v>229</v>
      </c>
      <c r="AP7" t="s">
        <v>74</v>
      </c>
      <c r="AQ7" t="s">
        <v>74</v>
      </c>
      <c r="AR7" t="s">
        <v>230</v>
      </c>
      <c r="AS7" t="s">
        <v>231</v>
      </c>
      <c r="AT7" t="s">
        <v>232</v>
      </c>
      <c r="AU7">
        <v>2023</v>
      </c>
      <c r="AV7">
        <v>9</v>
      </c>
      <c r="AW7">
        <v>1</v>
      </c>
      <c r="AX7" t="s">
        <v>74</v>
      </c>
      <c r="AY7" t="s">
        <v>74</v>
      </c>
      <c r="AZ7" t="s">
        <v>74</v>
      </c>
      <c r="BA7" t="s">
        <v>74</v>
      </c>
      <c r="BB7" t="s">
        <v>74</v>
      </c>
      <c r="BC7" t="s">
        <v>74</v>
      </c>
      <c r="BD7">
        <v>2.0563051231157604E+16</v>
      </c>
      <c r="BE7" t="s">
        <v>233</v>
      </c>
      <c r="BF7" t="str">
        <f>HYPERLINK("http://dx.doi.org/10.1177/20563051231157604","http://dx.doi.org/10.1177/20563051231157604")</f>
        <v>http://dx.doi.org/10.1177/20563051231157604</v>
      </c>
      <c r="BG7" t="s">
        <v>74</v>
      </c>
      <c r="BH7" t="s">
        <v>74</v>
      </c>
      <c r="BI7">
        <v>12</v>
      </c>
      <c r="BJ7" t="s">
        <v>124</v>
      </c>
      <c r="BK7" t="s">
        <v>99</v>
      </c>
      <c r="BL7" t="s">
        <v>124</v>
      </c>
      <c r="BM7" t="s">
        <v>234</v>
      </c>
      <c r="BN7" t="s">
        <v>74</v>
      </c>
      <c r="BO7" t="s">
        <v>235</v>
      </c>
      <c r="BP7" t="s">
        <v>74</v>
      </c>
      <c r="BQ7" t="s">
        <v>74</v>
      </c>
      <c r="BR7" t="s">
        <v>102</v>
      </c>
      <c r="BS7" t="s">
        <v>236</v>
      </c>
      <c r="BT7" t="str">
        <f>HYPERLINK("https%3A%2F%2Fwww.webofscience.com%2Fwos%2Fwoscc%2Ffull-record%2FWOS:000939712300001","View Full Record in Web of Science")</f>
        <v>View Full Record in Web of Science</v>
      </c>
    </row>
    <row r="8" spans="1:72" x14ac:dyDescent="0.35">
      <c r="A8" t="s">
        <v>72</v>
      </c>
      <c r="B8" t="s">
        <v>237</v>
      </c>
      <c r="C8" t="s">
        <v>74</v>
      </c>
      <c r="D8" t="s">
        <v>74</v>
      </c>
      <c r="E8" t="s">
        <v>74</v>
      </c>
      <c r="F8" t="s">
        <v>238</v>
      </c>
      <c r="G8" t="s">
        <v>74</v>
      </c>
      <c r="H8" t="s">
        <v>74</v>
      </c>
      <c r="I8" t="s">
        <v>239</v>
      </c>
      <c r="J8" t="s">
        <v>240</v>
      </c>
      <c r="K8" t="s">
        <v>74</v>
      </c>
      <c r="L8" t="s">
        <v>74</v>
      </c>
      <c r="M8" t="s">
        <v>78</v>
      </c>
      <c r="N8" t="s">
        <v>108</v>
      </c>
      <c r="O8" t="s">
        <v>74</v>
      </c>
      <c r="P8" t="s">
        <v>74</v>
      </c>
      <c r="Q8" t="s">
        <v>74</v>
      </c>
      <c r="R8" t="s">
        <v>74</v>
      </c>
      <c r="S8" t="s">
        <v>74</v>
      </c>
      <c r="T8" t="s">
        <v>241</v>
      </c>
      <c r="U8" t="s">
        <v>242</v>
      </c>
      <c r="V8" t="s">
        <v>243</v>
      </c>
      <c r="W8" t="s">
        <v>244</v>
      </c>
      <c r="X8" t="s">
        <v>245</v>
      </c>
      <c r="Y8" t="s">
        <v>246</v>
      </c>
      <c r="Z8" t="s">
        <v>247</v>
      </c>
      <c r="AA8" t="s">
        <v>74</v>
      </c>
      <c r="AB8" t="s">
        <v>74</v>
      </c>
      <c r="AC8" t="s">
        <v>248</v>
      </c>
      <c r="AD8" t="s">
        <v>249</v>
      </c>
      <c r="AE8" t="s">
        <v>250</v>
      </c>
      <c r="AF8" t="s">
        <v>74</v>
      </c>
      <c r="AG8">
        <v>42</v>
      </c>
      <c r="AH8">
        <v>6</v>
      </c>
      <c r="AI8">
        <v>6</v>
      </c>
      <c r="AJ8">
        <v>15</v>
      </c>
      <c r="AK8">
        <v>158</v>
      </c>
      <c r="AL8" t="s">
        <v>251</v>
      </c>
      <c r="AM8" t="s">
        <v>252</v>
      </c>
      <c r="AN8" t="s">
        <v>253</v>
      </c>
      <c r="AO8" t="s">
        <v>254</v>
      </c>
      <c r="AP8" t="s">
        <v>255</v>
      </c>
      <c r="AQ8" t="s">
        <v>74</v>
      </c>
      <c r="AR8" t="s">
        <v>240</v>
      </c>
      <c r="AS8" t="s">
        <v>256</v>
      </c>
      <c r="AT8" t="s">
        <v>257</v>
      </c>
      <c r="AU8">
        <v>2022</v>
      </c>
      <c r="AV8">
        <v>54</v>
      </c>
      <c r="AW8">
        <v>2</v>
      </c>
      <c r="AX8" t="s">
        <v>74</v>
      </c>
      <c r="AY8" t="s">
        <v>74</v>
      </c>
      <c r="AZ8" t="s">
        <v>74</v>
      </c>
      <c r="BA8" t="s">
        <v>74</v>
      </c>
      <c r="BB8">
        <v>322</v>
      </c>
      <c r="BC8">
        <v>329</v>
      </c>
      <c r="BD8" t="s">
        <v>74</v>
      </c>
      <c r="BE8" t="s">
        <v>258</v>
      </c>
      <c r="BF8" t="str">
        <f>HYPERLINK("http://dx.doi.org/10.1111/area.12777","http://dx.doi.org/10.1111/area.12777")</f>
        <v>http://dx.doi.org/10.1111/area.12777</v>
      </c>
      <c r="BG8" t="s">
        <v>74</v>
      </c>
      <c r="BH8" t="s">
        <v>259</v>
      </c>
      <c r="BI8">
        <v>8</v>
      </c>
      <c r="BJ8" t="s">
        <v>260</v>
      </c>
      <c r="BK8" t="s">
        <v>99</v>
      </c>
      <c r="BL8" t="s">
        <v>260</v>
      </c>
      <c r="BM8" t="s">
        <v>261</v>
      </c>
      <c r="BN8" t="s">
        <v>74</v>
      </c>
      <c r="BO8" t="s">
        <v>74</v>
      </c>
      <c r="BP8" t="s">
        <v>74</v>
      </c>
      <c r="BQ8" t="s">
        <v>74</v>
      </c>
      <c r="BR8" t="s">
        <v>102</v>
      </c>
      <c r="BS8" t="s">
        <v>262</v>
      </c>
      <c r="BT8" t="str">
        <f>HYPERLINK("https%3A%2F%2Fwww.webofscience.com%2Fwos%2Fwoscc%2Ffull-record%2FWOS:000757294300001","View Full Record in Web of Science")</f>
        <v>View Full Record in Web of Science</v>
      </c>
    </row>
    <row r="9" spans="1:72" x14ac:dyDescent="0.35">
      <c r="A9" t="s">
        <v>72</v>
      </c>
      <c r="B9" t="s">
        <v>263</v>
      </c>
      <c r="C9" t="s">
        <v>74</v>
      </c>
      <c r="D9" t="s">
        <v>74</v>
      </c>
      <c r="E9" t="s">
        <v>74</v>
      </c>
      <c r="F9" t="s">
        <v>264</v>
      </c>
      <c r="G9" t="s">
        <v>74</v>
      </c>
      <c r="H9" t="s">
        <v>74</v>
      </c>
      <c r="I9" t="s">
        <v>265</v>
      </c>
      <c r="J9" t="s">
        <v>216</v>
      </c>
      <c r="K9" t="s">
        <v>74</v>
      </c>
      <c r="L9" t="s">
        <v>74</v>
      </c>
      <c r="M9" t="s">
        <v>78</v>
      </c>
      <c r="N9" t="s">
        <v>108</v>
      </c>
      <c r="O9" t="s">
        <v>74</v>
      </c>
      <c r="P9" t="s">
        <v>74</v>
      </c>
      <c r="Q9" t="s">
        <v>74</v>
      </c>
      <c r="R9" t="s">
        <v>74</v>
      </c>
      <c r="S9" t="s">
        <v>74</v>
      </c>
      <c r="T9" t="s">
        <v>266</v>
      </c>
      <c r="U9" t="s">
        <v>74</v>
      </c>
      <c r="V9" t="s">
        <v>267</v>
      </c>
      <c r="W9" t="s">
        <v>268</v>
      </c>
      <c r="X9" t="s">
        <v>269</v>
      </c>
      <c r="Y9" t="s">
        <v>270</v>
      </c>
      <c r="Z9" t="s">
        <v>271</v>
      </c>
      <c r="AA9" t="s">
        <v>74</v>
      </c>
      <c r="AB9" t="s">
        <v>272</v>
      </c>
      <c r="AC9" t="s">
        <v>74</v>
      </c>
      <c r="AD9" t="s">
        <v>74</v>
      </c>
      <c r="AE9" t="s">
        <v>74</v>
      </c>
      <c r="AF9" t="s">
        <v>74</v>
      </c>
      <c r="AG9">
        <v>44</v>
      </c>
      <c r="AH9">
        <v>5</v>
      </c>
      <c r="AI9">
        <v>5</v>
      </c>
      <c r="AJ9">
        <v>30</v>
      </c>
      <c r="AK9">
        <v>123</v>
      </c>
      <c r="AL9" t="s">
        <v>226</v>
      </c>
      <c r="AM9" t="s">
        <v>227</v>
      </c>
      <c r="AN9" t="s">
        <v>228</v>
      </c>
      <c r="AO9" t="s">
        <v>229</v>
      </c>
      <c r="AP9" t="s">
        <v>74</v>
      </c>
      <c r="AQ9" t="s">
        <v>74</v>
      </c>
      <c r="AR9" t="s">
        <v>230</v>
      </c>
      <c r="AS9" t="s">
        <v>231</v>
      </c>
      <c r="AT9" t="s">
        <v>273</v>
      </c>
      <c r="AU9">
        <v>2023</v>
      </c>
      <c r="AV9">
        <v>9</v>
      </c>
      <c r="AW9">
        <v>3</v>
      </c>
      <c r="AX9" t="s">
        <v>74</v>
      </c>
      <c r="AY9" t="s">
        <v>74</v>
      </c>
      <c r="AZ9" t="s">
        <v>74</v>
      </c>
      <c r="BA9" t="s">
        <v>74</v>
      </c>
      <c r="BB9" t="s">
        <v>74</v>
      </c>
      <c r="BC9" t="s">
        <v>74</v>
      </c>
      <c r="BD9">
        <v>2.0563051231194576E+16</v>
      </c>
      <c r="BE9" t="s">
        <v>274</v>
      </c>
      <c r="BF9" t="str">
        <f>HYPERLINK("http://dx.doi.org/10.1177/20563051231194576","http://dx.doi.org/10.1177/20563051231194576")</f>
        <v>http://dx.doi.org/10.1177/20563051231194576</v>
      </c>
      <c r="BG9" t="s">
        <v>74</v>
      </c>
      <c r="BH9" t="s">
        <v>74</v>
      </c>
      <c r="BI9">
        <v>13</v>
      </c>
      <c r="BJ9" t="s">
        <v>124</v>
      </c>
      <c r="BK9" t="s">
        <v>99</v>
      </c>
      <c r="BL9" t="s">
        <v>124</v>
      </c>
      <c r="BM9" t="s">
        <v>275</v>
      </c>
      <c r="BN9" t="s">
        <v>74</v>
      </c>
      <c r="BO9" t="s">
        <v>235</v>
      </c>
      <c r="BP9" t="s">
        <v>74</v>
      </c>
      <c r="BQ9" t="s">
        <v>74</v>
      </c>
      <c r="BR9" t="s">
        <v>102</v>
      </c>
      <c r="BS9" t="s">
        <v>276</v>
      </c>
      <c r="BT9" t="str">
        <f>HYPERLINK("https%3A%2F%2Fwww.webofscience.com%2Fwos%2Fwoscc%2Ffull-record%2FWOS:001059120600001","View Full Record in Web of Science")</f>
        <v>View Full Record in Web of Science</v>
      </c>
    </row>
    <row r="10" spans="1:72" x14ac:dyDescent="0.35">
      <c r="A10" t="s">
        <v>72</v>
      </c>
      <c r="B10" t="s">
        <v>277</v>
      </c>
      <c r="C10" t="s">
        <v>74</v>
      </c>
      <c r="D10" t="s">
        <v>74</v>
      </c>
      <c r="E10" t="s">
        <v>74</v>
      </c>
      <c r="F10" t="s">
        <v>278</v>
      </c>
      <c r="G10" t="s">
        <v>74</v>
      </c>
      <c r="H10" t="s">
        <v>74</v>
      </c>
      <c r="I10" t="s">
        <v>279</v>
      </c>
      <c r="J10" t="s">
        <v>280</v>
      </c>
      <c r="K10" t="s">
        <v>74</v>
      </c>
      <c r="L10" t="s">
        <v>74</v>
      </c>
      <c r="M10" t="s">
        <v>78</v>
      </c>
      <c r="N10" t="s">
        <v>108</v>
      </c>
      <c r="O10" t="s">
        <v>74</v>
      </c>
      <c r="P10" t="s">
        <v>74</v>
      </c>
      <c r="Q10" t="s">
        <v>74</v>
      </c>
      <c r="R10" t="s">
        <v>74</v>
      </c>
      <c r="S10" t="s">
        <v>74</v>
      </c>
      <c r="T10" t="s">
        <v>281</v>
      </c>
      <c r="U10" t="s">
        <v>282</v>
      </c>
      <c r="V10" t="s">
        <v>283</v>
      </c>
      <c r="W10" t="s">
        <v>284</v>
      </c>
      <c r="X10" t="s">
        <v>285</v>
      </c>
      <c r="Y10" t="s">
        <v>286</v>
      </c>
      <c r="Z10" t="s">
        <v>287</v>
      </c>
      <c r="AA10" t="s">
        <v>288</v>
      </c>
      <c r="AB10" t="s">
        <v>289</v>
      </c>
      <c r="AC10" t="s">
        <v>74</v>
      </c>
      <c r="AD10" t="s">
        <v>74</v>
      </c>
      <c r="AE10" t="s">
        <v>74</v>
      </c>
      <c r="AF10" t="s">
        <v>74</v>
      </c>
      <c r="AG10">
        <v>71</v>
      </c>
      <c r="AH10">
        <v>12</v>
      </c>
      <c r="AI10">
        <v>13</v>
      </c>
      <c r="AJ10">
        <v>48</v>
      </c>
      <c r="AK10">
        <v>180</v>
      </c>
      <c r="AL10" t="s">
        <v>290</v>
      </c>
      <c r="AM10" t="s">
        <v>291</v>
      </c>
      <c r="AN10" t="s">
        <v>292</v>
      </c>
      <c r="AO10" t="s">
        <v>293</v>
      </c>
      <c r="AP10" t="s">
        <v>294</v>
      </c>
      <c r="AQ10" t="s">
        <v>74</v>
      </c>
      <c r="AR10" t="s">
        <v>295</v>
      </c>
      <c r="AS10" t="s">
        <v>296</v>
      </c>
      <c r="AT10" t="s">
        <v>297</v>
      </c>
      <c r="AU10">
        <v>2023</v>
      </c>
      <c r="AV10">
        <v>145</v>
      </c>
      <c r="AW10" t="s">
        <v>74</v>
      </c>
      <c r="AX10" t="s">
        <v>74</v>
      </c>
      <c r="AY10" t="s">
        <v>74</v>
      </c>
      <c r="AZ10" t="s">
        <v>74</v>
      </c>
      <c r="BA10" t="s">
        <v>74</v>
      </c>
      <c r="BB10" t="s">
        <v>74</v>
      </c>
      <c r="BC10" t="s">
        <v>74</v>
      </c>
      <c r="BD10">
        <v>107751</v>
      </c>
      <c r="BE10" t="s">
        <v>298</v>
      </c>
      <c r="BF10" t="str">
        <f>HYPERLINK("http://dx.doi.org/10.1016/j.chb.2023.107751","http://dx.doi.org/10.1016/j.chb.2023.107751")</f>
        <v>http://dx.doi.org/10.1016/j.chb.2023.107751</v>
      </c>
      <c r="BG10" t="s">
        <v>74</v>
      </c>
      <c r="BH10" t="s">
        <v>299</v>
      </c>
      <c r="BI10">
        <v>9</v>
      </c>
      <c r="BJ10" t="s">
        <v>300</v>
      </c>
      <c r="BK10" t="s">
        <v>99</v>
      </c>
      <c r="BL10" t="s">
        <v>301</v>
      </c>
      <c r="BM10" t="s">
        <v>302</v>
      </c>
      <c r="BN10" t="s">
        <v>74</v>
      </c>
      <c r="BO10" t="s">
        <v>74</v>
      </c>
      <c r="BP10" t="s">
        <v>74</v>
      </c>
      <c r="BQ10" t="s">
        <v>74</v>
      </c>
      <c r="BR10" t="s">
        <v>102</v>
      </c>
      <c r="BS10" t="s">
        <v>303</v>
      </c>
      <c r="BT10" t="str">
        <f>HYPERLINK("https%3A%2F%2Fwww.webofscience.com%2Fwos%2Fwoscc%2Ffull-record%2FWOS:001053854100001","View Full Record in Web of Science")</f>
        <v>View Full Record in Web of Science</v>
      </c>
    </row>
    <row r="11" spans="1:72" x14ac:dyDescent="0.35">
      <c r="A11" t="s">
        <v>72</v>
      </c>
      <c r="B11" t="s">
        <v>304</v>
      </c>
      <c r="C11" t="s">
        <v>74</v>
      </c>
      <c r="D11" t="s">
        <v>74</v>
      </c>
      <c r="E11" t="s">
        <v>74</v>
      </c>
      <c r="F11" t="s">
        <v>305</v>
      </c>
      <c r="G11" t="s">
        <v>74</v>
      </c>
      <c r="H11" t="s">
        <v>74</v>
      </c>
      <c r="I11" t="s">
        <v>306</v>
      </c>
      <c r="J11" t="s">
        <v>307</v>
      </c>
      <c r="K11" t="s">
        <v>74</v>
      </c>
      <c r="L11" t="s">
        <v>74</v>
      </c>
      <c r="M11" t="s">
        <v>78</v>
      </c>
      <c r="N11" t="s">
        <v>108</v>
      </c>
      <c r="O11" t="s">
        <v>74</v>
      </c>
      <c r="P11" t="s">
        <v>74</v>
      </c>
      <c r="Q11" t="s">
        <v>74</v>
      </c>
      <c r="R11" t="s">
        <v>74</v>
      </c>
      <c r="S11" t="s">
        <v>74</v>
      </c>
      <c r="T11" t="s">
        <v>74</v>
      </c>
      <c r="U11" t="s">
        <v>74</v>
      </c>
      <c r="V11" t="s">
        <v>74</v>
      </c>
      <c r="W11" t="s">
        <v>74</v>
      </c>
      <c r="X11" t="s">
        <v>74</v>
      </c>
      <c r="Y11" t="s">
        <v>74</v>
      </c>
      <c r="Z11" t="s">
        <v>74</v>
      </c>
      <c r="AA11" t="s">
        <v>74</v>
      </c>
      <c r="AB11" t="s">
        <v>74</v>
      </c>
      <c r="AC11" t="s">
        <v>74</v>
      </c>
      <c r="AD11" t="s">
        <v>74</v>
      </c>
      <c r="AE11" t="s">
        <v>74</v>
      </c>
      <c r="AF11" t="s">
        <v>74</v>
      </c>
      <c r="AG11">
        <v>14</v>
      </c>
      <c r="AH11">
        <v>2</v>
      </c>
      <c r="AI11">
        <v>2</v>
      </c>
      <c r="AJ11">
        <v>4</v>
      </c>
      <c r="AK11">
        <v>15</v>
      </c>
      <c r="AL11" t="s">
        <v>308</v>
      </c>
      <c r="AM11" t="s">
        <v>309</v>
      </c>
      <c r="AN11" t="s">
        <v>310</v>
      </c>
      <c r="AO11" t="s">
        <v>311</v>
      </c>
      <c r="AP11" t="s">
        <v>74</v>
      </c>
      <c r="AQ11" t="s">
        <v>74</v>
      </c>
      <c r="AR11" t="s">
        <v>312</v>
      </c>
      <c r="AS11" t="s">
        <v>313</v>
      </c>
      <c r="AT11" t="s">
        <v>74</v>
      </c>
      <c r="AU11">
        <v>2022</v>
      </c>
      <c r="AV11">
        <v>41</v>
      </c>
      <c r="AW11" t="s">
        <v>74</v>
      </c>
      <c r="AX11" t="s">
        <v>74</v>
      </c>
      <c r="AY11" t="s">
        <v>74</v>
      </c>
      <c r="AZ11" t="s">
        <v>74</v>
      </c>
      <c r="BA11" t="s">
        <v>74</v>
      </c>
      <c r="BB11">
        <v>41</v>
      </c>
      <c r="BC11">
        <v>48</v>
      </c>
      <c r="BD11" t="s">
        <v>74</v>
      </c>
      <c r="BE11" t="s">
        <v>314</v>
      </c>
      <c r="BF11" t="str">
        <f>HYPERLINK("http://dx.doi.org/10.1353/ths.2022.0028","http://dx.doi.org/10.1353/ths.2022.0028")</f>
        <v>http://dx.doi.org/10.1353/ths.2022.0028</v>
      </c>
      <c r="BG11" t="s">
        <v>74</v>
      </c>
      <c r="BH11" t="s">
        <v>74</v>
      </c>
      <c r="BI11">
        <v>9</v>
      </c>
      <c r="BJ11" t="s">
        <v>315</v>
      </c>
      <c r="BK11" t="s">
        <v>316</v>
      </c>
      <c r="BL11" t="s">
        <v>315</v>
      </c>
      <c r="BM11" t="s">
        <v>317</v>
      </c>
      <c r="BN11" t="s">
        <v>74</v>
      </c>
      <c r="BO11" t="s">
        <v>74</v>
      </c>
      <c r="BP11" t="s">
        <v>74</v>
      </c>
      <c r="BQ11" t="s">
        <v>74</v>
      </c>
      <c r="BR11" t="s">
        <v>102</v>
      </c>
      <c r="BS11" t="s">
        <v>318</v>
      </c>
      <c r="BT11" t="str">
        <f>HYPERLINK("https%3A%2F%2Fwww.webofscience.com%2Fwos%2Fwoscc%2Ffull-record%2FWOS:000927847000005","View Full Record in Web of Science")</f>
        <v>View Full Record in Web of Science</v>
      </c>
    </row>
    <row r="12" spans="1:72" x14ac:dyDescent="0.35">
      <c r="A12" t="s">
        <v>72</v>
      </c>
      <c r="B12" t="s">
        <v>319</v>
      </c>
      <c r="C12" t="s">
        <v>74</v>
      </c>
      <c r="D12" t="s">
        <v>74</v>
      </c>
      <c r="E12" t="s">
        <v>74</v>
      </c>
      <c r="F12" t="s">
        <v>320</v>
      </c>
      <c r="G12" t="s">
        <v>74</v>
      </c>
      <c r="H12" t="s">
        <v>74</v>
      </c>
      <c r="I12" t="s">
        <v>321</v>
      </c>
      <c r="J12" t="s">
        <v>322</v>
      </c>
      <c r="K12" t="s">
        <v>74</v>
      </c>
      <c r="L12" t="s">
        <v>74</v>
      </c>
      <c r="M12" t="s">
        <v>78</v>
      </c>
      <c r="N12" t="s">
        <v>79</v>
      </c>
      <c r="O12" t="s">
        <v>74</v>
      </c>
      <c r="P12" t="s">
        <v>74</v>
      </c>
      <c r="Q12" t="s">
        <v>74</v>
      </c>
      <c r="R12" t="s">
        <v>74</v>
      </c>
      <c r="S12" t="s">
        <v>74</v>
      </c>
      <c r="T12" t="s">
        <v>323</v>
      </c>
      <c r="U12" t="s">
        <v>324</v>
      </c>
      <c r="V12" t="s">
        <v>325</v>
      </c>
      <c r="W12" t="s">
        <v>326</v>
      </c>
      <c r="X12" t="s">
        <v>327</v>
      </c>
      <c r="Y12" t="s">
        <v>328</v>
      </c>
      <c r="Z12" t="s">
        <v>329</v>
      </c>
      <c r="AA12" t="s">
        <v>74</v>
      </c>
      <c r="AB12" t="s">
        <v>330</v>
      </c>
      <c r="AC12" t="s">
        <v>74</v>
      </c>
      <c r="AD12" t="s">
        <v>74</v>
      </c>
      <c r="AE12" t="s">
        <v>74</v>
      </c>
      <c r="AF12" t="s">
        <v>74</v>
      </c>
      <c r="AG12">
        <v>44</v>
      </c>
      <c r="AH12">
        <v>0</v>
      </c>
      <c r="AI12">
        <v>0</v>
      </c>
      <c r="AJ12">
        <v>40</v>
      </c>
      <c r="AK12">
        <v>40</v>
      </c>
      <c r="AL12" t="s">
        <v>171</v>
      </c>
      <c r="AM12" t="s">
        <v>172</v>
      </c>
      <c r="AN12" t="s">
        <v>173</v>
      </c>
      <c r="AO12" t="s">
        <v>331</v>
      </c>
      <c r="AP12" t="s">
        <v>332</v>
      </c>
      <c r="AQ12" t="s">
        <v>74</v>
      </c>
      <c r="AR12" t="s">
        <v>333</v>
      </c>
      <c r="AS12" t="s">
        <v>334</v>
      </c>
      <c r="AT12" t="s">
        <v>335</v>
      </c>
      <c r="AU12">
        <v>2024</v>
      </c>
      <c r="AV12" t="s">
        <v>74</v>
      </c>
      <c r="AW12" t="s">
        <v>74</v>
      </c>
      <c r="AX12" t="s">
        <v>74</v>
      </c>
      <c r="AY12" t="s">
        <v>74</v>
      </c>
      <c r="AZ12" t="s">
        <v>74</v>
      </c>
      <c r="BA12" t="s">
        <v>74</v>
      </c>
      <c r="BB12" t="s">
        <v>74</v>
      </c>
      <c r="BC12" t="s">
        <v>74</v>
      </c>
      <c r="BD12" t="s">
        <v>74</v>
      </c>
      <c r="BE12" t="s">
        <v>336</v>
      </c>
      <c r="BF12" t="str">
        <f>HYPERLINK("http://dx.doi.org/10.1177/0044118X241282347","http://dx.doi.org/10.1177/0044118X241282347")</f>
        <v>http://dx.doi.org/10.1177/0044118X241282347</v>
      </c>
      <c r="BG12" t="s">
        <v>74</v>
      </c>
      <c r="BH12" t="s">
        <v>337</v>
      </c>
      <c r="BI12">
        <v>22</v>
      </c>
      <c r="BJ12" t="s">
        <v>338</v>
      </c>
      <c r="BK12" t="s">
        <v>99</v>
      </c>
      <c r="BL12" t="s">
        <v>339</v>
      </c>
      <c r="BM12" t="s">
        <v>340</v>
      </c>
      <c r="BN12" t="s">
        <v>74</v>
      </c>
      <c r="BO12" t="s">
        <v>74</v>
      </c>
      <c r="BP12" t="s">
        <v>74</v>
      </c>
      <c r="BQ12" t="s">
        <v>74</v>
      </c>
      <c r="BR12" t="s">
        <v>102</v>
      </c>
      <c r="BS12" t="s">
        <v>341</v>
      </c>
      <c r="BT12" t="str">
        <f>HYPERLINK("https%3A%2F%2Fwww.webofscience.com%2Fwos%2Fwoscc%2Ffull-record%2FWOS:001316184200001","View Full Record in Web of Science")</f>
        <v>View Full Record in Web of Science</v>
      </c>
    </row>
    <row r="13" spans="1:72" x14ac:dyDescent="0.35">
      <c r="A13" t="s">
        <v>72</v>
      </c>
      <c r="B13" t="s">
        <v>342</v>
      </c>
      <c r="C13" t="s">
        <v>74</v>
      </c>
      <c r="D13" t="s">
        <v>74</v>
      </c>
      <c r="E13" t="s">
        <v>74</v>
      </c>
      <c r="F13" t="s">
        <v>343</v>
      </c>
      <c r="G13" t="s">
        <v>74</v>
      </c>
      <c r="H13" t="s">
        <v>74</v>
      </c>
      <c r="I13" t="s">
        <v>344</v>
      </c>
      <c r="J13" t="s">
        <v>345</v>
      </c>
      <c r="K13" t="s">
        <v>74</v>
      </c>
      <c r="L13" t="s">
        <v>74</v>
      </c>
      <c r="M13" t="s">
        <v>78</v>
      </c>
      <c r="N13" t="s">
        <v>108</v>
      </c>
      <c r="O13" t="s">
        <v>74</v>
      </c>
      <c r="P13" t="s">
        <v>74</v>
      </c>
      <c r="Q13" t="s">
        <v>74</v>
      </c>
      <c r="R13" t="s">
        <v>74</v>
      </c>
      <c r="S13" t="s">
        <v>74</v>
      </c>
      <c r="T13" t="s">
        <v>346</v>
      </c>
      <c r="U13" t="s">
        <v>347</v>
      </c>
      <c r="V13" t="s">
        <v>348</v>
      </c>
      <c r="W13" t="s">
        <v>349</v>
      </c>
      <c r="X13" t="s">
        <v>350</v>
      </c>
      <c r="Y13" t="s">
        <v>351</v>
      </c>
      <c r="Z13" t="s">
        <v>352</v>
      </c>
      <c r="AA13" t="s">
        <v>74</v>
      </c>
      <c r="AB13" t="s">
        <v>353</v>
      </c>
      <c r="AC13" t="s">
        <v>354</v>
      </c>
      <c r="AD13" t="s">
        <v>355</v>
      </c>
      <c r="AE13" t="s">
        <v>356</v>
      </c>
      <c r="AF13" t="s">
        <v>74</v>
      </c>
      <c r="AG13">
        <v>42</v>
      </c>
      <c r="AH13">
        <v>14</v>
      </c>
      <c r="AI13">
        <v>15</v>
      </c>
      <c r="AJ13">
        <v>40</v>
      </c>
      <c r="AK13">
        <v>195</v>
      </c>
      <c r="AL13" t="s">
        <v>357</v>
      </c>
      <c r="AM13" t="s">
        <v>358</v>
      </c>
      <c r="AN13" t="s">
        <v>359</v>
      </c>
      <c r="AO13" t="s">
        <v>360</v>
      </c>
      <c r="AP13" t="s">
        <v>361</v>
      </c>
      <c r="AQ13" t="s">
        <v>74</v>
      </c>
      <c r="AR13" t="s">
        <v>362</v>
      </c>
      <c r="AS13" t="s">
        <v>363</v>
      </c>
      <c r="AT13" t="s">
        <v>364</v>
      </c>
      <c r="AU13">
        <v>2023</v>
      </c>
      <c r="AV13">
        <v>26</v>
      </c>
      <c r="AW13">
        <v>1</v>
      </c>
      <c r="AX13" t="s">
        <v>74</v>
      </c>
      <c r="AY13" t="s">
        <v>74</v>
      </c>
      <c r="AZ13" t="s">
        <v>74</v>
      </c>
      <c r="BA13" t="s">
        <v>74</v>
      </c>
      <c r="BB13">
        <v>3</v>
      </c>
      <c r="BC13">
        <v>10</v>
      </c>
      <c r="BD13" t="s">
        <v>74</v>
      </c>
      <c r="BE13" t="s">
        <v>365</v>
      </c>
      <c r="BF13" t="str">
        <f>HYPERLINK("http://dx.doi.org/10.1089/cyber.2022.0169","http://dx.doi.org/10.1089/cyber.2022.0169")</f>
        <v>http://dx.doi.org/10.1089/cyber.2022.0169</v>
      </c>
      <c r="BG13" t="s">
        <v>74</v>
      </c>
      <c r="BH13" t="s">
        <v>366</v>
      </c>
      <c r="BI13">
        <v>8</v>
      </c>
      <c r="BJ13" t="s">
        <v>367</v>
      </c>
      <c r="BK13" t="s">
        <v>99</v>
      </c>
      <c r="BL13" t="s">
        <v>301</v>
      </c>
      <c r="BM13" t="s">
        <v>368</v>
      </c>
      <c r="BN13">
        <v>36454251</v>
      </c>
      <c r="BO13" t="s">
        <v>74</v>
      </c>
      <c r="BP13" t="s">
        <v>74</v>
      </c>
      <c r="BQ13" t="s">
        <v>74</v>
      </c>
      <c r="BR13" t="s">
        <v>102</v>
      </c>
      <c r="BS13" t="s">
        <v>369</v>
      </c>
      <c r="BT13" t="str">
        <f>HYPERLINK("https%3A%2F%2Fwww.webofscience.com%2Fwos%2Fwoscc%2Ffull-record%2FWOS:000892832600001","View Full Record in Web of Science")</f>
        <v>View Full Record in Web of Science</v>
      </c>
    </row>
    <row r="14" spans="1:72" x14ac:dyDescent="0.35">
      <c r="A14" t="s">
        <v>72</v>
      </c>
      <c r="B14" t="s">
        <v>370</v>
      </c>
      <c r="C14" t="s">
        <v>74</v>
      </c>
      <c r="D14" t="s">
        <v>74</v>
      </c>
      <c r="E14" t="s">
        <v>74</v>
      </c>
      <c r="F14" t="s">
        <v>371</v>
      </c>
      <c r="G14" t="s">
        <v>74</v>
      </c>
      <c r="H14" t="s">
        <v>74</v>
      </c>
      <c r="I14" t="s">
        <v>372</v>
      </c>
      <c r="J14" t="s">
        <v>373</v>
      </c>
      <c r="K14" t="s">
        <v>74</v>
      </c>
      <c r="L14" t="s">
        <v>74</v>
      </c>
      <c r="M14" t="s">
        <v>78</v>
      </c>
      <c r="N14" t="s">
        <v>374</v>
      </c>
      <c r="O14" t="s">
        <v>74</v>
      </c>
      <c r="P14" t="s">
        <v>74</v>
      </c>
      <c r="Q14" t="s">
        <v>74</v>
      </c>
      <c r="R14" t="s">
        <v>74</v>
      </c>
      <c r="S14" t="s">
        <v>74</v>
      </c>
      <c r="T14" t="s">
        <v>375</v>
      </c>
      <c r="U14" t="s">
        <v>376</v>
      </c>
      <c r="V14" t="s">
        <v>377</v>
      </c>
      <c r="W14" t="s">
        <v>378</v>
      </c>
      <c r="X14" t="s">
        <v>379</v>
      </c>
      <c r="Y14" t="s">
        <v>380</v>
      </c>
      <c r="Z14" t="s">
        <v>381</v>
      </c>
      <c r="AA14" t="s">
        <v>382</v>
      </c>
      <c r="AB14" t="s">
        <v>383</v>
      </c>
      <c r="AC14" t="s">
        <v>74</v>
      </c>
      <c r="AD14" t="s">
        <v>74</v>
      </c>
      <c r="AE14" t="s">
        <v>74</v>
      </c>
      <c r="AF14" t="s">
        <v>74</v>
      </c>
      <c r="AG14">
        <v>63</v>
      </c>
      <c r="AH14">
        <v>128</v>
      </c>
      <c r="AI14">
        <v>156</v>
      </c>
      <c r="AJ14">
        <v>57</v>
      </c>
      <c r="AK14">
        <v>705</v>
      </c>
      <c r="AL14" t="s">
        <v>384</v>
      </c>
      <c r="AM14" t="s">
        <v>385</v>
      </c>
      <c r="AN14" t="s">
        <v>386</v>
      </c>
      <c r="AO14" t="s">
        <v>74</v>
      </c>
      <c r="AP14" t="s">
        <v>387</v>
      </c>
      <c r="AQ14" t="s">
        <v>74</v>
      </c>
      <c r="AR14" t="s">
        <v>388</v>
      </c>
      <c r="AS14" t="s">
        <v>389</v>
      </c>
      <c r="AT14" t="s">
        <v>390</v>
      </c>
      <c r="AU14">
        <v>2021</v>
      </c>
      <c r="AV14">
        <v>9</v>
      </c>
      <c r="AW14" t="s">
        <v>74</v>
      </c>
      <c r="AX14" t="s">
        <v>74</v>
      </c>
      <c r="AY14" t="s">
        <v>74</v>
      </c>
      <c r="AZ14" t="s">
        <v>74</v>
      </c>
      <c r="BA14" t="s">
        <v>74</v>
      </c>
      <c r="BB14" t="s">
        <v>74</v>
      </c>
      <c r="BC14" t="s">
        <v>74</v>
      </c>
      <c r="BD14">
        <v>641673</v>
      </c>
      <c r="BE14" t="s">
        <v>391</v>
      </c>
      <c r="BF14" t="str">
        <f>HYPERLINK("http://dx.doi.org/10.3389/fpubh.2021.641673","http://dx.doi.org/10.3389/fpubh.2021.641673")</f>
        <v>http://dx.doi.org/10.3389/fpubh.2021.641673</v>
      </c>
      <c r="BG14" t="s">
        <v>74</v>
      </c>
      <c r="BH14" t="s">
        <v>74</v>
      </c>
      <c r="BI14">
        <v>6</v>
      </c>
      <c r="BJ14" t="s">
        <v>392</v>
      </c>
      <c r="BK14" t="s">
        <v>182</v>
      </c>
      <c r="BL14" t="s">
        <v>392</v>
      </c>
      <c r="BM14" t="s">
        <v>393</v>
      </c>
      <c r="BN14">
        <v>33816425</v>
      </c>
      <c r="BO14" t="s">
        <v>394</v>
      </c>
      <c r="BP14" t="s">
        <v>395</v>
      </c>
      <c r="BQ14" t="s">
        <v>396</v>
      </c>
      <c r="BR14" t="s">
        <v>102</v>
      </c>
      <c r="BS14" t="s">
        <v>397</v>
      </c>
      <c r="BT14" t="str">
        <f>HYPERLINK("https%3A%2F%2Fwww.webofscience.com%2Fwos%2Fwoscc%2Ffull-record%2FWOS:000634517200001","View Full Record in Web of Science")</f>
        <v>View Full Record in Web of Science</v>
      </c>
    </row>
    <row r="15" spans="1:72" x14ac:dyDescent="0.35">
      <c r="A15" t="s">
        <v>72</v>
      </c>
      <c r="B15" t="s">
        <v>398</v>
      </c>
      <c r="C15" t="s">
        <v>74</v>
      </c>
      <c r="D15" t="s">
        <v>74</v>
      </c>
      <c r="E15" t="s">
        <v>74</v>
      </c>
      <c r="F15" t="s">
        <v>399</v>
      </c>
      <c r="G15" t="s">
        <v>74</v>
      </c>
      <c r="H15" t="s">
        <v>74</v>
      </c>
      <c r="I15" t="s">
        <v>400</v>
      </c>
      <c r="J15" t="s">
        <v>401</v>
      </c>
      <c r="K15" t="s">
        <v>74</v>
      </c>
      <c r="L15" t="s">
        <v>74</v>
      </c>
      <c r="M15" t="s">
        <v>78</v>
      </c>
      <c r="N15" t="s">
        <v>108</v>
      </c>
      <c r="O15" t="s">
        <v>74</v>
      </c>
      <c r="P15" t="s">
        <v>74</v>
      </c>
      <c r="Q15" t="s">
        <v>74</v>
      </c>
      <c r="R15" t="s">
        <v>74</v>
      </c>
      <c r="S15" t="s">
        <v>74</v>
      </c>
      <c r="T15" t="s">
        <v>402</v>
      </c>
      <c r="U15" t="s">
        <v>403</v>
      </c>
      <c r="V15" t="s">
        <v>404</v>
      </c>
      <c r="W15" t="s">
        <v>405</v>
      </c>
      <c r="X15" t="s">
        <v>406</v>
      </c>
      <c r="Y15" t="s">
        <v>407</v>
      </c>
      <c r="Z15" t="s">
        <v>408</v>
      </c>
      <c r="AA15" t="s">
        <v>74</v>
      </c>
      <c r="AB15" t="s">
        <v>74</v>
      </c>
      <c r="AC15" t="s">
        <v>74</v>
      </c>
      <c r="AD15" t="s">
        <v>74</v>
      </c>
      <c r="AE15" t="s">
        <v>74</v>
      </c>
      <c r="AF15" t="s">
        <v>74</v>
      </c>
      <c r="AG15">
        <v>47</v>
      </c>
      <c r="AH15">
        <v>0</v>
      </c>
      <c r="AI15">
        <v>0</v>
      </c>
      <c r="AJ15">
        <v>6</v>
      </c>
      <c r="AK15">
        <v>20</v>
      </c>
      <c r="AL15" t="s">
        <v>409</v>
      </c>
      <c r="AM15" t="s">
        <v>410</v>
      </c>
      <c r="AN15" t="s">
        <v>411</v>
      </c>
      <c r="AO15" t="s">
        <v>412</v>
      </c>
      <c r="AP15" t="s">
        <v>74</v>
      </c>
      <c r="AQ15" t="s">
        <v>74</v>
      </c>
      <c r="AR15" t="s">
        <v>413</v>
      </c>
      <c r="AS15" t="s">
        <v>414</v>
      </c>
      <c r="AT15" t="s">
        <v>74</v>
      </c>
      <c r="AU15">
        <v>2024</v>
      </c>
      <c r="AV15">
        <v>18</v>
      </c>
      <c r="AW15" t="s">
        <v>74</v>
      </c>
      <c r="AX15" t="s">
        <v>74</v>
      </c>
      <c r="AY15" t="s">
        <v>74</v>
      </c>
      <c r="AZ15" t="s">
        <v>74</v>
      </c>
      <c r="BA15" t="s">
        <v>74</v>
      </c>
      <c r="BB15">
        <v>909</v>
      </c>
      <c r="BC15">
        <v>926</v>
      </c>
      <c r="BD15" t="s">
        <v>74</v>
      </c>
      <c r="BE15" t="s">
        <v>74</v>
      </c>
      <c r="BF15" t="s">
        <v>74</v>
      </c>
      <c r="BG15" t="s">
        <v>74</v>
      </c>
      <c r="BH15" t="s">
        <v>74</v>
      </c>
      <c r="BI15">
        <v>18</v>
      </c>
      <c r="BJ15" t="s">
        <v>124</v>
      </c>
      <c r="BK15" t="s">
        <v>99</v>
      </c>
      <c r="BL15" t="s">
        <v>124</v>
      </c>
      <c r="BM15" t="s">
        <v>415</v>
      </c>
      <c r="BN15" t="s">
        <v>74</v>
      </c>
      <c r="BO15" t="s">
        <v>74</v>
      </c>
      <c r="BP15" t="s">
        <v>74</v>
      </c>
      <c r="BQ15" t="s">
        <v>74</v>
      </c>
      <c r="BR15" t="s">
        <v>102</v>
      </c>
      <c r="BS15" t="s">
        <v>416</v>
      </c>
      <c r="BT15" t="str">
        <f>HYPERLINK("https%3A%2F%2Fwww.webofscience.com%2Fwos%2Fwoscc%2Ffull-record%2FWOS:001150575800061","View Full Record in Web of Science")</f>
        <v>View Full Record in Web of Science</v>
      </c>
    </row>
    <row r="16" spans="1:72" x14ac:dyDescent="0.35">
      <c r="A16" t="s">
        <v>72</v>
      </c>
      <c r="B16" t="s">
        <v>417</v>
      </c>
      <c r="C16" t="s">
        <v>74</v>
      </c>
      <c r="D16" t="s">
        <v>74</v>
      </c>
      <c r="E16" t="s">
        <v>74</v>
      </c>
      <c r="F16" t="s">
        <v>418</v>
      </c>
      <c r="G16" t="s">
        <v>74</v>
      </c>
      <c r="H16" t="s">
        <v>74</v>
      </c>
      <c r="I16" t="s">
        <v>419</v>
      </c>
      <c r="J16" t="s">
        <v>420</v>
      </c>
      <c r="K16" t="s">
        <v>74</v>
      </c>
      <c r="L16" t="s">
        <v>74</v>
      </c>
      <c r="M16" t="s">
        <v>78</v>
      </c>
      <c r="N16" t="s">
        <v>108</v>
      </c>
      <c r="O16" t="s">
        <v>74</v>
      </c>
      <c r="P16" t="s">
        <v>74</v>
      </c>
      <c r="Q16" t="s">
        <v>74</v>
      </c>
      <c r="R16" t="s">
        <v>74</v>
      </c>
      <c r="S16" t="s">
        <v>74</v>
      </c>
      <c r="T16" t="s">
        <v>421</v>
      </c>
      <c r="U16" t="s">
        <v>74</v>
      </c>
      <c r="V16" t="s">
        <v>422</v>
      </c>
      <c r="W16" t="s">
        <v>423</v>
      </c>
      <c r="X16" t="s">
        <v>74</v>
      </c>
      <c r="Y16" t="s">
        <v>424</v>
      </c>
      <c r="Z16" t="s">
        <v>425</v>
      </c>
      <c r="AA16" t="s">
        <v>74</v>
      </c>
      <c r="AB16" t="s">
        <v>74</v>
      </c>
      <c r="AC16" t="s">
        <v>74</v>
      </c>
      <c r="AD16" t="s">
        <v>74</v>
      </c>
      <c r="AE16" t="s">
        <v>74</v>
      </c>
      <c r="AF16" t="s">
        <v>74</v>
      </c>
      <c r="AG16">
        <v>42</v>
      </c>
      <c r="AH16">
        <v>0</v>
      </c>
      <c r="AI16">
        <v>0</v>
      </c>
      <c r="AJ16">
        <v>7</v>
      </c>
      <c r="AK16">
        <v>21</v>
      </c>
      <c r="AL16" t="s">
        <v>426</v>
      </c>
      <c r="AM16" t="s">
        <v>427</v>
      </c>
      <c r="AN16" t="s">
        <v>428</v>
      </c>
      <c r="AO16" t="s">
        <v>429</v>
      </c>
      <c r="AP16" t="s">
        <v>430</v>
      </c>
      <c r="AQ16" t="s">
        <v>74</v>
      </c>
      <c r="AR16" t="s">
        <v>420</v>
      </c>
      <c r="AS16" t="s">
        <v>431</v>
      </c>
      <c r="AT16" t="s">
        <v>74</v>
      </c>
      <c r="AU16">
        <v>2023</v>
      </c>
      <c r="AV16">
        <v>28</v>
      </c>
      <c r="AW16" t="s">
        <v>74</v>
      </c>
      <c r="AX16" t="s">
        <v>74</v>
      </c>
      <c r="AY16" t="s">
        <v>74</v>
      </c>
      <c r="AZ16" t="s">
        <v>74</v>
      </c>
      <c r="BA16" t="s">
        <v>74</v>
      </c>
      <c r="BB16">
        <v>38</v>
      </c>
      <c r="BC16">
        <v>52</v>
      </c>
      <c r="BD16" t="s">
        <v>74</v>
      </c>
      <c r="BE16" t="s">
        <v>432</v>
      </c>
      <c r="BF16" t="str">
        <f>HYPERLINK("http://dx.doi.org/10.38140/com.v28i.7461","http://dx.doi.org/10.38140/com.v28i.7461")</f>
        <v>http://dx.doi.org/10.38140/com.v28i.7461</v>
      </c>
      <c r="BG16" t="s">
        <v>74</v>
      </c>
      <c r="BH16" t="s">
        <v>74</v>
      </c>
      <c r="BI16">
        <v>15</v>
      </c>
      <c r="BJ16" t="s">
        <v>124</v>
      </c>
      <c r="BK16" t="s">
        <v>125</v>
      </c>
      <c r="BL16" t="s">
        <v>124</v>
      </c>
      <c r="BM16" t="s">
        <v>433</v>
      </c>
      <c r="BN16" t="s">
        <v>74</v>
      </c>
      <c r="BO16" t="s">
        <v>235</v>
      </c>
      <c r="BP16" t="s">
        <v>74</v>
      </c>
      <c r="BQ16" t="s">
        <v>74</v>
      </c>
      <c r="BR16" t="s">
        <v>102</v>
      </c>
      <c r="BS16" t="s">
        <v>434</v>
      </c>
      <c r="BT16" t="str">
        <f>HYPERLINK("https%3A%2F%2Fwww.webofscience.com%2Fwos%2Fwoscc%2Ffull-record%2FWOS:001133248300004","View Full Record in Web of Science")</f>
        <v>View Full Record in Web of Science</v>
      </c>
    </row>
    <row r="17" spans="1:72" x14ac:dyDescent="0.35">
      <c r="A17" t="s">
        <v>72</v>
      </c>
      <c r="B17" t="s">
        <v>435</v>
      </c>
      <c r="C17" t="s">
        <v>74</v>
      </c>
      <c r="D17" t="s">
        <v>74</v>
      </c>
      <c r="E17" t="s">
        <v>74</v>
      </c>
      <c r="F17" t="s">
        <v>436</v>
      </c>
      <c r="G17" t="s">
        <v>74</v>
      </c>
      <c r="H17" t="s">
        <v>74</v>
      </c>
      <c r="I17" t="s">
        <v>437</v>
      </c>
      <c r="J17" t="s">
        <v>438</v>
      </c>
      <c r="K17" t="s">
        <v>74</v>
      </c>
      <c r="L17" t="s">
        <v>74</v>
      </c>
      <c r="M17" t="s">
        <v>78</v>
      </c>
      <c r="N17" t="s">
        <v>108</v>
      </c>
      <c r="O17" t="s">
        <v>74</v>
      </c>
      <c r="P17" t="s">
        <v>74</v>
      </c>
      <c r="Q17" t="s">
        <v>74</v>
      </c>
      <c r="R17" t="s">
        <v>74</v>
      </c>
      <c r="S17" t="s">
        <v>74</v>
      </c>
      <c r="T17" t="s">
        <v>439</v>
      </c>
      <c r="U17" t="s">
        <v>440</v>
      </c>
      <c r="V17" t="s">
        <v>441</v>
      </c>
      <c r="W17" t="s">
        <v>442</v>
      </c>
      <c r="X17" t="s">
        <v>443</v>
      </c>
      <c r="Y17" t="s">
        <v>444</v>
      </c>
      <c r="Z17" t="s">
        <v>445</v>
      </c>
      <c r="AA17" t="s">
        <v>446</v>
      </c>
      <c r="AB17" t="s">
        <v>447</v>
      </c>
      <c r="AC17" t="s">
        <v>448</v>
      </c>
      <c r="AD17" t="s">
        <v>449</v>
      </c>
      <c r="AE17" t="s">
        <v>450</v>
      </c>
      <c r="AF17" t="s">
        <v>74</v>
      </c>
      <c r="AG17">
        <v>49</v>
      </c>
      <c r="AH17">
        <v>8</v>
      </c>
      <c r="AI17">
        <v>8</v>
      </c>
      <c r="AJ17">
        <v>3</v>
      </c>
      <c r="AK17">
        <v>27</v>
      </c>
      <c r="AL17" t="s">
        <v>226</v>
      </c>
      <c r="AM17" t="s">
        <v>227</v>
      </c>
      <c r="AN17" t="s">
        <v>228</v>
      </c>
      <c r="AO17" t="s">
        <v>451</v>
      </c>
      <c r="AP17" t="s">
        <v>452</v>
      </c>
      <c r="AQ17" t="s">
        <v>74</v>
      </c>
      <c r="AR17" t="s">
        <v>453</v>
      </c>
      <c r="AS17" t="s">
        <v>454</v>
      </c>
      <c r="AT17" t="s">
        <v>455</v>
      </c>
      <c r="AU17">
        <v>2024</v>
      </c>
      <c r="AV17">
        <v>26</v>
      </c>
      <c r="AW17">
        <v>9</v>
      </c>
      <c r="AX17" t="s">
        <v>74</v>
      </c>
      <c r="AY17" t="s">
        <v>74</v>
      </c>
      <c r="AZ17" t="s">
        <v>456</v>
      </c>
      <c r="BA17" t="s">
        <v>74</v>
      </c>
      <c r="BB17">
        <v>5359</v>
      </c>
      <c r="BC17">
        <v>5378</v>
      </c>
      <c r="BD17" t="s">
        <v>74</v>
      </c>
      <c r="BE17" t="s">
        <v>457</v>
      </c>
      <c r="BF17" t="str">
        <f>HYPERLINK("http://dx.doi.org/10.1177/14614448221135159","http://dx.doi.org/10.1177/14614448221135159")</f>
        <v>http://dx.doi.org/10.1177/14614448221135159</v>
      </c>
      <c r="BG17" t="s">
        <v>74</v>
      </c>
      <c r="BH17" t="s">
        <v>366</v>
      </c>
      <c r="BI17">
        <v>20</v>
      </c>
      <c r="BJ17" t="s">
        <v>124</v>
      </c>
      <c r="BK17" t="s">
        <v>99</v>
      </c>
      <c r="BL17" t="s">
        <v>124</v>
      </c>
      <c r="BM17" t="s">
        <v>458</v>
      </c>
      <c r="BN17" t="s">
        <v>74</v>
      </c>
      <c r="BO17" t="s">
        <v>156</v>
      </c>
      <c r="BP17" t="s">
        <v>74</v>
      </c>
      <c r="BQ17" t="s">
        <v>74</v>
      </c>
      <c r="BR17" t="s">
        <v>102</v>
      </c>
      <c r="BS17" t="s">
        <v>459</v>
      </c>
      <c r="BT17" t="str">
        <f>HYPERLINK("https%3A%2F%2Fwww.webofscience.com%2Fwos%2Fwoscc%2Ffull-record%2FWOS:000888407600001","View Full Record in Web of Science")</f>
        <v>View Full Record in Web of Science</v>
      </c>
    </row>
    <row r="18" spans="1:72" x14ac:dyDescent="0.35">
      <c r="A18" t="s">
        <v>72</v>
      </c>
      <c r="B18" t="s">
        <v>460</v>
      </c>
      <c r="C18" t="s">
        <v>74</v>
      </c>
      <c r="D18" t="s">
        <v>74</v>
      </c>
      <c r="E18" t="s">
        <v>74</v>
      </c>
      <c r="F18" t="s">
        <v>461</v>
      </c>
      <c r="G18" t="s">
        <v>74</v>
      </c>
      <c r="H18" t="s">
        <v>74</v>
      </c>
      <c r="I18" t="s">
        <v>462</v>
      </c>
      <c r="J18" t="s">
        <v>463</v>
      </c>
      <c r="K18" t="s">
        <v>74</v>
      </c>
      <c r="L18" t="s">
        <v>74</v>
      </c>
      <c r="M18" t="s">
        <v>78</v>
      </c>
      <c r="N18" t="s">
        <v>79</v>
      </c>
      <c r="O18" t="s">
        <v>74</v>
      </c>
      <c r="P18" t="s">
        <v>74</v>
      </c>
      <c r="Q18" t="s">
        <v>74</v>
      </c>
      <c r="R18" t="s">
        <v>74</v>
      </c>
      <c r="S18" t="s">
        <v>74</v>
      </c>
      <c r="T18" t="s">
        <v>464</v>
      </c>
      <c r="U18" t="s">
        <v>465</v>
      </c>
      <c r="V18" t="s">
        <v>466</v>
      </c>
      <c r="W18" t="s">
        <v>467</v>
      </c>
      <c r="X18" t="s">
        <v>468</v>
      </c>
      <c r="Y18" t="s">
        <v>469</v>
      </c>
      <c r="Z18" t="s">
        <v>470</v>
      </c>
      <c r="AA18" t="s">
        <v>74</v>
      </c>
      <c r="AB18" t="s">
        <v>74</v>
      </c>
      <c r="AC18" t="s">
        <v>74</v>
      </c>
      <c r="AD18" t="s">
        <v>74</v>
      </c>
      <c r="AE18" t="s">
        <v>74</v>
      </c>
      <c r="AF18" t="s">
        <v>74</v>
      </c>
      <c r="AG18">
        <v>53</v>
      </c>
      <c r="AH18">
        <v>0</v>
      </c>
      <c r="AI18">
        <v>0</v>
      </c>
      <c r="AJ18">
        <v>15</v>
      </c>
      <c r="AK18">
        <v>15</v>
      </c>
      <c r="AL18" t="s">
        <v>199</v>
      </c>
      <c r="AM18" t="s">
        <v>200</v>
      </c>
      <c r="AN18" t="s">
        <v>471</v>
      </c>
      <c r="AO18" t="s">
        <v>472</v>
      </c>
      <c r="AP18" t="s">
        <v>473</v>
      </c>
      <c r="AQ18" t="s">
        <v>74</v>
      </c>
      <c r="AR18" t="s">
        <v>474</v>
      </c>
      <c r="AS18" t="s">
        <v>475</v>
      </c>
      <c r="AT18" t="s">
        <v>476</v>
      </c>
      <c r="AU18">
        <v>2024</v>
      </c>
      <c r="AV18" t="s">
        <v>74</v>
      </c>
      <c r="AW18" t="s">
        <v>74</v>
      </c>
      <c r="AX18" t="s">
        <v>74</v>
      </c>
      <c r="AY18" t="s">
        <v>74</v>
      </c>
      <c r="AZ18" t="s">
        <v>74</v>
      </c>
      <c r="BA18" t="s">
        <v>74</v>
      </c>
      <c r="BB18" t="s">
        <v>74</v>
      </c>
      <c r="BC18" t="s">
        <v>74</v>
      </c>
      <c r="BD18" t="s">
        <v>74</v>
      </c>
      <c r="BE18" t="s">
        <v>477</v>
      </c>
      <c r="BF18" t="str">
        <f>HYPERLINK("http://dx.doi.org/10.1108/SJME-01-2023-0023","http://dx.doi.org/10.1108/SJME-01-2023-0023")</f>
        <v>http://dx.doi.org/10.1108/SJME-01-2023-0023</v>
      </c>
      <c r="BG18" t="s">
        <v>74</v>
      </c>
      <c r="BH18" t="s">
        <v>478</v>
      </c>
      <c r="BI18">
        <v>19</v>
      </c>
      <c r="BJ18" t="s">
        <v>479</v>
      </c>
      <c r="BK18" t="s">
        <v>125</v>
      </c>
      <c r="BL18" t="s">
        <v>480</v>
      </c>
      <c r="BM18" t="s">
        <v>481</v>
      </c>
      <c r="BN18" t="s">
        <v>74</v>
      </c>
      <c r="BO18" t="s">
        <v>235</v>
      </c>
      <c r="BP18" t="s">
        <v>74</v>
      </c>
      <c r="BQ18" t="s">
        <v>74</v>
      </c>
      <c r="BR18" t="s">
        <v>102</v>
      </c>
      <c r="BS18" t="s">
        <v>482</v>
      </c>
      <c r="BT18" t="str">
        <f>HYPERLINK("https%3A%2F%2Fwww.webofscience.com%2Fwos%2Fwoscc%2Ffull-record%2FWOS:001307868600001","View Full Record in Web of Science")</f>
        <v>View Full Record in Web of Science</v>
      </c>
    </row>
    <row r="19" spans="1:72" x14ac:dyDescent="0.35">
      <c r="A19" t="s">
        <v>72</v>
      </c>
      <c r="B19" t="s">
        <v>483</v>
      </c>
      <c r="C19" t="s">
        <v>74</v>
      </c>
      <c r="D19" t="s">
        <v>74</v>
      </c>
      <c r="E19" t="s">
        <v>74</v>
      </c>
      <c r="F19" t="s">
        <v>484</v>
      </c>
      <c r="G19" t="s">
        <v>74</v>
      </c>
      <c r="H19" t="s">
        <v>74</v>
      </c>
      <c r="I19" t="s">
        <v>485</v>
      </c>
      <c r="J19" t="s">
        <v>486</v>
      </c>
      <c r="K19" t="s">
        <v>74</v>
      </c>
      <c r="L19" t="s">
        <v>74</v>
      </c>
      <c r="M19" t="s">
        <v>78</v>
      </c>
      <c r="N19" t="s">
        <v>108</v>
      </c>
      <c r="O19" t="s">
        <v>74</v>
      </c>
      <c r="P19" t="s">
        <v>74</v>
      </c>
      <c r="Q19" t="s">
        <v>74</v>
      </c>
      <c r="R19" t="s">
        <v>74</v>
      </c>
      <c r="S19" t="s">
        <v>74</v>
      </c>
      <c r="T19" t="s">
        <v>487</v>
      </c>
      <c r="U19" t="s">
        <v>488</v>
      </c>
      <c r="V19" t="s">
        <v>489</v>
      </c>
      <c r="W19" t="s">
        <v>490</v>
      </c>
      <c r="X19" t="s">
        <v>491</v>
      </c>
      <c r="Y19" t="s">
        <v>492</v>
      </c>
      <c r="Z19" t="s">
        <v>493</v>
      </c>
      <c r="AA19" t="s">
        <v>74</v>
      </c>
      <c r="AB19" t="s">
        <v>74</v>
      </c>
      <c r="AC19" t="s">
        <v>74</v>
      </c>
      <c r="AD19" t="s">
        <v>74</v>
      </c>
      <c r="AE19" t="s">
        <v>74</v>
      </c>
      <c r="AF19" t="s">
        <v>74</v>
      </c>
      <c r="AG19">
        <v>72</v>
      </c>
      <c r="AH19">
        <v>0</v>
      </c>
      <c r="AI19">
        <v>0</v>
      </c>
      <c r="AJ19">
        <v>5</v>
      </c>
      <c r="AK19">
        <v>5</v>
      </c>
      <c r="AL19" t="s">
        <v>88</v>
      </c>
      <c r="AM19" t="s">
        <v>89</v>
      </c>
      <c r="AN19" t="s">
        <v>90</v>
      </c>
      <c r="AO19" t="s">
        <v>494</v>
      </c>
      <c r="AP19" t="s">
        <v>495</v>
      </c>
      <c r="AQ19" t="s">
        <v>74</v>
      </c>
      <c r="AR19" t="s">
        <v>496</v>
      </c>
      <c r="AS19" t="s">
        <v>497</v>
      </c>
      <c r="AT19" t="s">
        <v>498</v>
      </c>
      <c r="AU19">
        <v>2024</v>
      </c>
      <c r="AV19">
        <v>27</v>
      </c>
      <c r="AW19">
        <v>3</v>
      </c>
      <c r="AX19" t="s">
        <v>74</v>
      </c>
      <c r="AY19" t="s">
        <v>74</v>
      </c>
      <c r="AZ19" t="s">
        <v>456</v>
      </c>
      <c r="BA19" t="s">
        <v>74</v>
      </c>
      <c r="BB19">
        <v>320</v>
      </c>
      <c r="BC19">
        <v>336</v>
      </c>
      <c r="BD19" t="s">
        <v>74</v>
      </c>
      <c r="BE19" t="s">
        <v>499</v>
      </c>
      <c r="BF19" t="str">
        <f>HYPERLINK("http://dx.doi.org/10.1080/10714421.2024.2359802","http://dx.doi.org/10.1080/10714421.2024.2359802")</f>
        <v>http://dx.doi.org/10.1080/10714421.2024.2359802</v>
      </c>
      <c r="BG19" t="s">
        <v>74</v>
      </c>
      <c r="BH19" t="s">
        <v>500</v>
      </c>
      <c r="BI19">
        <v>17</v>
      </c>
      <c r="BJ19" t="s">
        <v>124</v>
      </c>
      <c r="BK19" t="s">
        <v>125</v>
      </c>
      <c r="BL19" t="s">
        <v>124</v>
      </c>
      <c r="BM19" t="s">
        <v>501</v>
      </c>
      <c r="BN19" t="s">
        <v>74</v>
      </c>
      <c r="BO19" t="s">
        <v>74</v>
      </c>
      <c r="BP19" t="s">
        <v>74</v>
      </c>
      <c r="BQ19" t="s">
        <v>74</v>
      </c>
      <c r="BR19" t="s">
        <v>102</v>
      </c>
      <c r="BS19" t="s">
        <v>502</v>
      </c>
      <c r="BT19" t="str">
        <f>HYPERLINK("https%3A%2F%2Fwww.webofscience.com%2Fwos%2Fwoscc%2Ffull-record%2FWOS:001238147600001","View Full Record in Web of Science")</f>
        <v>View Full Record in Web of Science</v>
      </c>
    </row>
    <row r="20" spans="1:72" x14ac:dyDescent="0.35">
      <c r="A20" t="s">
        <v>72</v>
      </c>
      <c r="B20" t="s">
        <v>503</v>
      </c>
      <c r="C20" t="s">
        <v>74</v>
      </c>
      <c r="D20" t="s">
        <v>74</v>
      </c>
      <c r="E20" t="s">
        <v>74</v>
      </c>
      <c r="F20" t="s">
        <v>504</v>
      </c>
      <c r="G20" t="s">
        <v>74</v>
      </c>
      <c r="H20" t="s">
        <v>74</v>
      </c>
      <c r="I20" t="s">
        <v>505</v>
      </c>
      <c r="J20" t="s">
        <v>506</v>
      </c>
      <c r="K20" t="s">
        <v>74</v>
      </c>
      <c r="L20" t="s">
        <v>74</v>
      </c>
      <c r="M20" t="s">
        <v>78</v>
      </c>
      <c r="N20" t="s">
        <v>108</v>
      </c>
      <c r="O20" t="s">
        <v>74</v>
      </c>
      <c r="P20" t="s">
        <v>74</v>
      </c>
      <c r="Q20" t="s">
        <v>74</v>
      </c>
      <c r="R20" t="s">
        <v>74</v>
      </c>
      <c r="S20" t="s">
        <v>74</v>
      </c>
      <c r="T20" t="s">
        <v>507</v>
      </c>
      <c r="U20" t="s">
        <v>508</v>
      </c>
      <c r="V20" t="s">
        <v>509</v>
      </c>
      <c r="W20" t="s">
        <v>510</v>
      </c>
      <c r="X20" t="s">
        <v>511</v>
      </c>
      <c r="Y20" t="s">
        <v>512</v>
      </c>
      <c r="Z20" t="s">
        <v>513</v>
      </c>
      <c r="AA20" t="s">
        <v>514</v>
      </c>
      <c r="AB20" t="s">
        <v>515</v>
      </c>
      <c r="AC20" t="s">
        <v>74</v>
      </c>
      <c r="AD20" t="s">
        <v>74</v>
      </c>
      <c r="AE20" t="s">
        <v>74</v>
      </c>
      <c r="AF20" t="s">
        <v>74</v>
      </c>
      <c r="AG20">
        <v>57</v>
      </c>
      <c r="AH20">
        <v>0</v>
      </c>
      <c r="AI20">
        <v>0</v>
      </c>
      <c r="AJ20">
        <v>0</v>
      </c>
      <c r="AK20">
        <v>0</v>
      </c>
      <c r="AL20" t="s">
        <v>516</v>
      </c>
      <c r="AM20" t="s">
        <v>517</v>
      </c>
      <c r="AN20" t="s">
        <v>518</v>
      </c>
      <c r="AO20" t="s">
        <v>519</v>
      </c>
      <c r="AP20" t="s">
        <v>520</v>
      </c>
      <c r="AQ20" t="s">
        <v>74</v>
      </c>
      <c r="AR20" t="s">
        <v>521</v>
      </c>
      <c r="AS20" t="s">
        <v>522</v>
      </c>
      <c r="AT20" t="s">
        <v>523</v>
      </c>
      <c r="AU20">
        <v>2024</v>
      </c>
      <c r="AV20">
        <v>251</v>
      </c>
      <c r="AW20" t="s">
        <v>74</v>
      </c>
      <c r="AX20" t="s">
        <v>74</v>
      </c>
      <c r="AY20" t="s">
        <v>74</v>
      </c>
      <c r="AZ20" t="s">
        <v>74</v>
      </c>
      <c r="BA20" t="s">
        <v>74</v>
      </c>
      <c r="BB20" t="s">
        <v>74</v>
      </c>
      <c r="BC20" t="s">
        <v>74</v>
      </c>
      <c r="BD20">
        <v>104565</v>
      </c>
      <c r="BE20" t="s">
        <v>524</v>
      </c>
      <c r="BF20" t="str">
        <f>HYPERLINK("http://dx.doi.org/10.1016/j.actpsy.2024.104565","http://dx.doi.org/10.1016/j.actpsy.2024.104565")</f>
        <v>http://dx.doi.org/10.1016/j.actpsy.2024.104565</v>
      </c>
      <c r="BG20" t="s">
        <v>74</v>
      </c>
      <c r="BH20" t="s">
        <v>74</v>
      </c>
      <c r="BI20">
        <v>9</v>
      </c>
      <c r="BJ20" t="s">
        <v>525</v>
      </c>
      <c r="BK20" t="s">
        <v>99</v>
      </c>
      <c r="BL20" t="s">
        <v>301</v>
      </c>
      <c r="BM20" t="s">
        <v>526</v>
      </c>
      <c r="BN20">
        <v>39527859</v>
      </c>
      <c r="BO20" t="s">
        <v>74</v>
      </c>
      <c r="BP20" t="s">
        <v>74</v>
      </c>
      <c r="BQ20" t="s">
        <v>74</v>
      </c>
      <c r="BR20" t="s">
        <v>102</v>
      </c>
      <c r="BS20" t="s">
        <v>527</v>
      </c>
      <c r="BT20" t="str">
        <f>HYPERLINK("https%3A%2F%2Fwww.webofscience.com%2Fwos%2Fwoscc%2Ffull-record%2FWOS:001356655600001","View Full Record in Web of Science")</f>
        <v>View Full Record in Web of Science</v>
      </c>
    </row>
    <row r="21" spans="1:72" x14ac:dyDescent="0.35">
      <c r="A21" t="s">
        <v>72</v>
      </c>
      <c r="B21" t="s">
        <v>528</v>
      </c>
      <c r="C21" t="s">
        <v>74</v>
      </c>
      <c r="D21" t="s">
        <v>74</v>
      </c>
      <c r="E21" t="s">
        <v>74</v>
      </c>
      <c r="F21" t="s">
        <v>529</v>
      </c>
      <c r="G21" t="s">
        <v>74</v>
      </c>
      <c r="H21" t="s">
        <v>74</v>
      </c>
      <c r="I21" t="s">
        <v>530</v>
      </c>
      <c r="J21" t="s">
        <v>531</v>
      </c>
      <c r="K21" t="s">
        <v>74</v>
      </c>
      <c r="L21" t="s">
        <v>74</v>
      </c>
      <c r="M21" t="s">
        <v>78</v>
      </c>
      <c r="N21" t="s">
        <v>108</v>
      </c>
      <c r="O21" t="s">
        <v>74</v>
      </c>
      <c r="P21" t="s">
        <v>74</v>
      </c>
      <c r="Q21" t="s">
        <v>74</v>
      </c>
      <c r="R21" t="s">
        <v>74</v>
      </c>
      <c r="S21" t="s">
        <v>74</v>
      </c>
      <c r="T21" t="s">
        <v>532</v>
      </c>
      <c r="U21" t="s">
        <v>533</v>
      </c>
      <c r="V21" t="s">
        <v>534</v>
      </c>
      <c r="W21" t="s">
        <v>535</v>
      </c>
      <c r="X21" t="s">
        <v>536</v>
      </c>
      <c r="Y21" t="s">
        <v>537</v>
      </c>
      <c r="Z21" t="s">
        <v>538</v>
      </c>
      <c r="AA21" t="s">
        <v>74</v>
      </c>
      <c r="AB21" t="s">
        <v>539</v>
      </c>
      <c r="AC21" t="s">
        <v>540</v>
      </c>
      <c r="AD21" t="s">
        <v>541</v>
      </c>
      <c r="AE21" t="s">
        <v>542</v>
      </c>
      <c r="AF21" t="s">
        <v>74</v>
      </c>
      <c r="AG21">
        <v>27</v>
      </c>
      <c r="AH21">
        <v>2</v>
      </c>
      <c r="AI21">
        <v>2</v>
      </c>
      <c r="AJ21">
        <v>2</v>
      </c>
      <c r="AK21">
        <v>11</v>
      </c>
      <c r="AL21" t="s">
        <v>543</v>
      </c>
      <c r="AM21" t="s">
        <v>544</v>
      </c>
      <c r="AN21" t="s">
        <v>545</v>
      </c>
      <c r="AO21" t="s">
        <v>74</v>
      </c>
      <c r="AP21" t="s">
        <v>546</v>
      </c>
      <c r="AQ21" t="s">
        <v>74</v>
      </c>
      <c r="AR21" t="s">
        <v>547</v>
      </c>
      <c r="AS21" t="s">
        <v>548</v>
      </c>
      <c r="AT21" t="s">
        <v>74</v>
      </c>
      <c r="AU21">
        <v>2023</v>
      </c>
      <c r="AV21">
        <v>7</v>
      </c>
      <c r="AW21" t="s">
        <v>74</v>
      </c>
      <c r="AX21" t="s">
        <v>74</v>
      </c>
      <c r="AY21" t="s">
        <v>74</v>
      </c>
      <c r="AZ21" t="s">
        <v>74</v>
      </c>
      <c r="BA21" t="s">
        <v>74</v>
      </c>
      <c r="BB21" t="s">
        <v>74</v>
      </c>
      <c r="BC21" t="s">
        <v>74</v>
      </c>
      <c r="BD21" t="s">
        <v>74</v>
      </c>
      <c r="BE21" t="s">
        <v>549</v>
      </c>
      <c r="BF21" t="str">
        <f>HYPERLINK("http://dx.doi.org/10.2196/42346","http://dx.doi.org/10.2196/42346")</f>
        <v>http://dx.doi.org/10.2196/42346</v>
      </c>
      <c r="BG21" t="s">
        <v>74</v>
      </c>
      <c r="BH21" t="s">
        <v>74</v>
      </c>
      <c r="BI21">
        <v>9</v>
      </c>
      <c r="BJ21" t="s">
        <v>550</v>
      </c>
      <c r="BK21" t="s">
        <v>125</v>
      </c>
      <c r="BL21" t="s">
        <v>550</v>
      </c>
      <c r="BM21" t="s">
        <v>551</v>
      </c>
      <c r="BN21">
        <v>37018026</v>
      </c>
      <c r="BO21" t="s">
        <v>552</v>
      </c>
      <c r="BP21" t="s">
        <v>74</v>
      </c>
      <c r="BQ21" t="s">
        <v>74</v>
      </c>
      <c r="BR21" t="s">
        <v>102</v>
      </c>
      <c r="BS21" t="s">
        <v>553</v>
      </c>
      <c r="BT21" t="str">
        <f>HYPERLINK("https%3A%2F%2Fwww.webofscience.com%2Fwos%2Fwoscc%2Ffull-record%2FWOS:000998428700028","View Full Record in Web of Science")</f>
        <v>View Full Record in Web of Science</v>
      </c>
    </row>
    <row r="22" spans="1:72" x14ac:dyDescent="0.35">
      <c r="A22" t="s">
        <v>72</v>
      </c>
      <c r="B22" t="s">
        <v>554</v>
      </c>
      <c r="C22" t="s">
        <v>74</v>
      </c>
      <c r="D22" t="s">
        <v>74</v>
      </c>
      <c r="E22" t="s">
        <v>74</v>
      </c>
      <c r="F22" t="s">
        <v>555</v>
      </c>
      <c r="G22" t="s">
        <v>74</v>
      </c>
      <c r="H22" t="s">
        <v>74</v>
      </c>
      <c r="I22" t="s">
        <v>556</v>
      </c>
      <c r="J22" t="s">
        <v>557</v>
      </c>
      <c r="K22" t="s">
        <v>74</v>
      </c>
      <c r="L22" t="s">
        <v>74</v>
      </c>
      <c r="M22" t="s">
        <v>78</v>
      </c>
      <c r="N22" t="s">
        <v>108</v>
      </c>
      <c r="O22" t="s">
        <v>74</v>
      </c>
      <c r="P22" t="s">
        <v>74</v>
      </c>
      <c r="Q22" t="s">
        <v>74</v>
      </c>
      <c r="R22" t="s">
        <v>74</v>
      </c>
      <c r="S22" t="s">
        <v>74</v>
      </c>
      <c r="T22" t="s">
        <v>558</v>
      </c>
      <c r="U22" t="s">
        <v>559</v>
      </c>
      <c r="V22" t="s">
        <v>560</v>
      </c>
      <c r="W22" t="s">
        <v>561</v>
      </c>
      <c r="X22" t="s">
        <v>562</v>
      </c>
      <c r="Y22" t="s">
        <v>563</v>
      </c>
      <c r="Z22" t="s">
        <v>564</v>
      </c>
      <c r="AA22" t="s">
        <v>565</v>
      </c>
      <c r="AB22" t="s">
        <v>566</v>
      </c>
      <c r="AC22" t="s">
        <v>74</v>
      </c>
      <c r="AD22" t="s">
        <v>74</v>
      </c>
      <c r="AE22" t="s">
        <v>74</v>
      </c>
      <c r="AF22" t="s">
        <v>74</v>
      </c>
      <c r="AG22">
        <v>54</v>
      </c>
      <c r="AH22">
        <v>109</v>
      </c>
      <c r="AI22">
        <v>115</v>
      </c>
      <c r="AJ22">
        <v>38</v>
      </c>
      <c r="AK22">
        <v>477</v>
      </c>
      <c r="AL22" t="s">
        <v>88</v>
      </c>
      <c r="AM22" t="s">
        <v>89</v>
      </c>
      <c r="AN22" t="s">
        <v>90</v>
      </c>
      <c r="AO22" t="s">
        <v>567</v>
      </c>
      <c r="AP22" t="s">
        <v>568</v>
      </c>
      <c r="AQ22" t="s">
        <v>74</v>
      </c>
      <c r="AR22" t="s">
        <v>569</v>
      </c>
      <c r="AS22" t="s">
        <v>570</v>
      </c>
      <c r="AT22" t="s">
        <v>571</v>
      </c>
      <c r="AU22">
        <v>2022</v>
      </c>
      <c r="AV22">
        <v>25</v>
      </c>
      <c r="AW22">
        <v>21</v>
      </c>
      <c r="AX22" t="s">
        <v>74</v>
      </c>
      <c r="AY22" t="s">
        <v>74</v>
      </c>
      <c r="AZ22" t="s">
        <v>456</v>
      </c>
      <c r="BA22" t="s">
        <v>74</v>
      </c>
      <c r="BB22">
        <v>3412</v>
      </c>
      <c r="BC22">
        <v>3424</v>
      </c>
      <c r="BD22" t="s">
        <v>74</v>
      </c>
      <c r="BE22" t="s">
        <v>572</v>
      </c>
      <c r="BF22" t="str">
        <f>HYPERLINK("http://dx.doi.org/10.1080/13683500.2020.1810212","http://dx.doi.org/10.1080/13683500.2020.1810212")</f>
        <v>http://dx.doi.org/10.1080/13683500.2020.1810212</v>
      </c>
      <c r="BG22" t="s">
        <v>74</v>
      </c>
      <c r="BH22" t="s">
        <v>573</v>
      </c>
      <c r="BI22">
        <v>13</v>
      </c>
      <c r="BJ22" t="s">
        <v>574</v>
      </c>
      <c r="BK22" t="s">
        <v>99</v>
      </c>
      <c r="BL22" t="s">
        <v>100</v>
      </c>
      <c r="BM22" t="s">
        <v>575</v>
      </c>
      <c r="BN22" t="s">
        <v>74</v>
      </c>
      <c r="BO22" t="s">
        <v>74</v>
      </c>
      <c r="BP22" t="s">
        <v>74</v>
      </c>
      <c r="BQ22" t="s">
        <v>74</v>
      </c>
      <c r="BR22" t="s">
        <v>102</v>
      </c>
      <c r="BS22" t="s">
        <v>576</v>
      </c>
      <c r="BT22" t="str">
        <f>HYPERLINK("https%3A%2F%2Fwww.webofscience.com%2Fwos%2Fwoscc%2Ffull-record%2FWOS:000562814100001","View Full Record in Web of Science")</f>
        <v>View Full Record in Web of Science</v>
      </c>
    </row>
    <row r="23" spans="1:72" x14ac:dyDescent="0.35">
      <c r="A23" t="s">
        <v>72</v>
      </c>
      <c r="B23" t="s">
        <v>577</v>
      </c>
      <c r="C23" t="s">
        <v>74</v>
      </c>
      <c r="D23" t="s">
        <v>74</v>
      </c>
      <c r="E23" t="s">
        <v>74</v>
      </c>
      <c r="F23" t="s">
        <v>578</v>
      </c>
      <c r="G23" t="s">
        <v>74</v>
      </c>
      <c r="H23" t="s">
        <v>74</v>
      </c>
      <c r="I23" t="s">
        <v>579</v>
      </c>
      <c r="J23" t="s">
        <v>580</v>
      </c>
      <c r="K23" t="s">
        <v>74</v>
      </c>
      <c r="L23" t="s">
        <v>74</v>
      </c>
      <c r="M23" t="s">
        <v>78</v>
      </c>
      <c r="N23" t="s">
        <v>108</v>
      </c>
      <c r="O23" t="s">
        <v>74</v>
      </c>
      <c r="P23" t="s">
        <v>74</v>
      </c>
      <c r="Q23" t="s">
        <v>74</v>
      </c>
      <c r="R23" t="s">
        <v>74</v>
      </c>
      <c r="S23" t="s">
        <v>74</v>
      </c>
      <c r="T23" t="s">
        <v>581</v>
      </c>
      <c r="U23" t="s">
        <v>582</v>
      </c>
      <c r="V23" t="s">
        <v>583</v>
      </c>
      <c r="W23" t="s">
        <v>584</v>
      </c>
      <c r="X23" t="s">
        <v>585</v>
      </c>
      <c r="Y23" t="s">
        <v>586</v>
      </c>
      <c r="Z23" t="s">
        <v>587</v>
      </c>
      <c r="AA23" t="s">
        <v>588</v>
      </c>
      <c r="AB23" t="s">
        <v>589</v>
      </c>
      <c r="AC23" t="s">
        <v>74</v>
      </c>
      <c r="AD23" t="s">
        <v>74</v>
      </c>
      <c r="AE23" t="s">
        <v>74</v>
      </c>
      <c r="AF23" t="s">
        <v>74</v>
      </c>
      <c r="AG23">
        <v>24</v>
      </c>
      <c r="AH23">
        <v>16</v>
      </c>
      <c r="AI23">
        <v>17</v>
      </c>
      <c r="AJ23">
        <v>6</v>
      </c>
      <c r="AK23">
        <v>35</v>
      </c>
      <c r="AL23" t="s">
        <v>516</v>
      </c>
      <c r="AM23" t="s">
        <v>517</v>
      </c>
      <c r="AN23" t="s">
        <v>518</v>
      </c>
      <c r="AO23" t="s">
        <v>590</v>
      </c>
      <c r="AP23" t="s">
        <v>591</v>
      </c>
      <c r="AQ23" t="s">
        <v>74</v>
      </c>
      <c r="AR23" t="s">
        <v>592</v>
      </c>
      <c r="AS23" t="s">
        <v>593</v>
      </c>
      <c r="AT23" t="s">
        <v>594</v>
      </c>
      <c r="AU23">
        <v>2022</v>
      </c>
      <c r="AV23">
        <v>123</v>
      </c>
      <c r="AW23">
        <v>5</v>
      </c>
      <c r="AX23" t="s">
        <v>74</v>
      </c>
      <c r="AY23" t="s">
        <v>74</v>
      </c>
      <c r="AZ23" t="s">
        <v>74</v>
      </c>
      <c r="BA23" t="s">
        <v>74</v>
      </c>
      <c r="BB23" t="s">
        <v>595</v>
      </c>
      <c r="BC23" t="s">
        <v>596</v>
      </c>
      <c r="BD23" t="s">
        <v>74</v>
      </c>
      <c r="BE23" t="s">
        <v>597</v>
      </c>
      <c r="BF23" t="str">
        <f>HYPERLINK("http://dx.doi.org/10.1016/j.jormas.2022.04.009","http://dx.doi.org/10.1016/j.jormas.2022.04.009")</f>
        <v>http://dx.doi.org/10.1016/j.jormas.2022.04.009</v>
      </c>
      <c r="BG23" t="s">
        <v>74</v>
      </c>
      <c r="BH23" t="s">
        <v>598</v>
      </c>
      <c r="BI23">
        <v>6</v>
      </c>
      <c r="BJ23" t="s">
        <v>599</v>
      </c>
      <c r="BK23" t="s">
        <v>209</v>
      </c>
      <c r="BL23" t="s">
        <v>599</v>
      </c>
      <c r="BM23" t="s">
        <v>600</v>
      </c>
      <c r="BN23">
        <v>35470122</v>
      </c>
      <c r="BO23" t="s">
        <v>74</v>
      </c>
      <c r="BP23" t="s">
        <v>74</v>
      </c>
      <c r="BQ23" t="s">
        <v>74</v>
      </c>
      <c r="BR23" t="s">
        <v>102</v>
      </c>
      <c r="BS23" t="s">
        <v>601</v>
      </c>
      <c r="BT23" t="str">
        <f>HYPERLINK("https%3A%2F%2Fwww.webofscience.com%2Fwos%2Fwoscc%2Ffull-record%2FWOS:000870473300011","View Full Record in Web of Science")</f>
        <v>View Full Record in Web of Science</v>
      </c>
    </row>
    <row r="24" spans="1:72" x14ac:dyDescent="0.35">
      <c r="A24" t="s">
        <v>72</v>
      </c>
      <c r="B24" t="s">
        <v>602</v>
      </c>
      <c r="C24" t="s">
        <v>74</v>
      </c>
      <c r="D24" t="s">
        <v>74</v>
      </c>
      <c r="E24" t="s">
        <v>74</v>
      </c>
      <c r="F24" t="s">
        <v>603</v>
      </c>
      <c r="G24" t="s">
        <v>74</v>
      </c>
      <c r="H24" t="s">
        <v>74</v>
      </c>
      <c r="I24" t="s">
        <v>604</v>
      </c>
      <c r="J24" t="s">
        <v>605</v>
      </c>
      <c r="K24" t="s">
        <v>74</v>
      </c>
      <c r="L24" t="s">
        <v>74</v>
      </c>
      <c r="M24" t="s">
        <v>78</v>
      </c>
      <c r="N24" t="s">
        <v>108</v>
      </c>
      <c r="O24" t="s">
        <v>74</v>
      </c>
      <c r="P24" t="s">
        <v>74</v>
      </c>
      <c r="Q24" t="s">
        <v>74</v>
      </c>
      <c r="R24" t="s">
        <v>74</v>
      </c>
      <c r="S24" t="s">
        <v>74</v>
      </c>
      <c r="T24" t="s">
        <v>606</v>
      </c>
      <c r="U24" t="s">
        <v>607</v>
      </c>
      <c r="V24" t="s">
        <v>608</v>
      </c>
      <c r="W24" t="s">
        <v>609</v>
      </c>
      <c r="X24" t="s">
        <v>610</v>
      </c>
      <c r="Y24" t="s">
        <v>611</v>
      </c>
      <c r="Z24" t="s">
        <v>612</v>
      </c>
      <c r="AA24" t="s">
        <v>74</v>
      </c>
      <c r="AB24" t="s">
        <v>613</v>
      </c>
      <c r="AC24" t="s">
        <v>74</v>
      </c>
      <c r="AD24" t="s">
        <v>74</v>
      </c>
      <c r="AE24" t="s">
        <v>74</v>
      </c>
      <c r="AF24" t="s">
        <v>74</v>
      </c>
      <c r="AG24">
        <v>25</v>
      </c>
      <c r="AH24">
        <v>26</v>
      </c>
      <c r="AI24">
        <v>26</v>
      </c>
      <c r="AJ24">
        <v>1</v>
      </c>
      <c r="AK24">
        <v>37</v>
      </c>
      <c r="AL24" t="s">
        <v>251</v>
      </c>
      <c r="AM24" t="s">
        <v>252</v>
      </c>
      <c r="AN24" t="s">
        <v>253</v>
      </c>
      <c r="AO24" t="s">
        <v>614</v>
      </c>
      <c r="AP24" t="s">
        <v>615</v>
      </c>
      <c r="AQ24" t="s">
        <v>74</v>
      </c>
      <c r="AR24" t="s">
        <v>605</v>
      </c>
      <c r="AS24" t="s">
        <v>616</v>
      </c>
      <c r="AT24" t="s">
        <v>257</v>
      </c>
      <c r="AU24">
        <v>2022</v>
      </c>
      <c r="AV24">
        <v>54</v>
      </c>
      <c r="AW24">
        <v>5</v>
      </c>
      <c r="AX24" t="s">
        <v>74</v>
      </c>
      <c r="AY24" t="s">
        <v>74</v>
      </c>
      <c r="AZ24" t="s">
        <v>74</v>
      </c>
      <c r="BA24" t="s">
        <v>74</v>
      </c>
      <c r="BB24" t="s">
        <v>74</v>
      </c>
      <c r="BC24" t="s">
        <v>74</v>
      </c>
      <c r="BD24" t="s">
        <v>617</v>
      </c>
      <c r="BE24" t="s">
        <v>618</v>
      </c>
      <c r="BF24" t="str">
        <f>HYPERLINK("http://dx.doi.org/10.1111/and.14392","http://dx.doi.org/10.1111/and.14392")</f>
        <v>http://dx.doi.org/10.1111/and.14392</v>
      </c>
      <c r="BG24" t="s">
        <v>74</v>
      </c>
      <c r="BH24" t="s">
        <v>259</v>
      </c>
      <c r="BI24">
        <v>9</v>
      </c>
      <c r="BJ24" t="s">
        <v>619</v>
      </c>
      <c r="BK24" t="s">
        <v>182</v>
      </c>
      <c r="BL24" t="s">
        <v>620</v>
      </c>
      <c r="BM24" t="s">
        <v>621</v>
      </c>
      <c r="BN24">
        <v>35122283</v>
      </c>
      <c r="BO24" t="s">
        <v>235</v>
      </c>
      <c r="BP24" t="s">
        <v>74</v>
      </c>
      <c r="BQ24" t="s">
        <v>74</v>
      </c>
      <c r="BR24" t="s">
        <v>102</v>
      </c>
      <c r="BS24" t="s">
        <v>622</v>
      </c>
      <c r="BT24" t="str">
        <f>HYPERLINK("https%3A%2F%2Fwww.webofscience.com%2Fwos%2Fwoscc%2Ffull-record%2FWOS:000751150800001","View Full Record in Web of Science")</f>
        <v>View Full Record in Web of Science</v>
      </c>
    </row>
    <row r="25" spans="1:72" x14ac:dyDescent="0.35">
      <c r="A25" t="s">
        <v>128</v>
      </c>
      <c r="B25" t="s">
        <v>623</v>
      </c>
      <c r="C25" t="s">
        <v>74</v>
      </c>
      <c r="D25" t="s">
        <v>624</v>
      </c>
      <c r="E25" t="s">
        <v>74</v>
      </c>
      <c r="F25" t="s">
        <v>625</v>
      </c>
      <c r="G25" t="s">
        <v>74</v>
      </c>
      <c r="H25" t="s">
        <v>74</v>
      </c>
      <c r="I25" t="s">
        <v>626</v>
      </c>
      <c r="J25" t="s">
        <v>627</v>
      </c>
      <c r="K25" t="s">
        <v>628</v>
      </c>
      <c r="L25" t="s">
        <v>74</v>
      </c>
      <c r="M25" t="s">
        <v>78</v>
      </c>
      <c r="N25" t="s">
        <v>135</v>
      </c>
      <c r="O25" t="s">
        <v>629</v>
      </c>
      <c r="P25" t="s">
        <v>630</v>
      </c>
      <c r="Q25" t="s">
        <v>631</v>
      </c>
      <c r="R25" t="s">
        <v>74</v>
      </c>
      <c r="S25" t="s">
        <v>74</v>
      </c>
      <c r="T25" t="s">
        <v>632</v>
      </c>
      <c r="U25" t="s">
        <v>74</v>
      </c>
      <c r="V25" t="s">
        <v>633</v>
      </c>
      <c r="W25" t="s">
        <v>634</v>
      </c>
      <c r="X25" t="s">
        <v>635</v>
      </c>
      <c r="Y25" t="s">
        <v>636</v>
      </c>
      <c r="Z25" t="s">
        <v>637</v>
      </c>
      <c r="AA25" t="s">
        <v>638</v>
      </c>
      <c r="AB25" t="s">
        <v>74</v>
      </c>
      <c r="AC25" t="s">
        <v>74</v>
      </c>
      <c r="AD25" t="s">
        <v>74</v>
      </c>
      <c r="AE25" t="s">
        <v>74</v>
      </c>
      <c r="AF25" t="s">
        <v>74</v>
      </c>
      <c r="AG25">
        <v>18</v>
      </c>
      <c r="AH25">
        <v>1</v>
      </c>
      <c r="AI25">
        <v>2</v>
      </c>
      <c r="AJ25">
        <v>4</v>
      </c>
      <c r="AK25">
        <v>4</v>
      </c>
      <c r="AL25" t="s">
        <v>639</v>
      </c>
      <c r="AM25" t="s">
        <v>640</v>
      </c>
      <c r="AN25" t="s">
        <v>641</v>
      </c>
      <c r="AO25" t="s">
        <v>642</v>
      </c>
      <c r="AP25" t="s">
        <v>643</v>
      </c>
      <c r="AQ25" t="s">
        <v>644</v>
      </c>
      <c r="AR25" t="s">
        <v>645</v>
      </c>
      <c r="AS25" t="s">
        <v>74</v>
      </c>
      <c r="AT25" t="s">
        <v>74</v>
      </c>
      <c r="AU25">
        <v>2021</v>
      </c>
      <c r="AV25" t="s">
        <v>74</v>
      </c>
      <c r="AW25" t="s">
        <v>74</v>
      </c>
      <c r="AX25" t="s">
        <v>74</v>
      </c>
      <c r="AY25" t="s">
        <v>74</v>
      </c>
      <c r="AZ25" t="s">
        <v>74</v>
      </c>
      <c r="BA25" t="s">
        <v>74</v>
      </c>
      <c r="BB25">
        <v>35</v>
      </c>
      <c r="BC25">
        <v>42</v>
      </c>
      <c r="BD25" t="s">
        <v>74</v>
      </c>
      <c r="BE25" t="s">
        <v>646</v>
      </c>
      <c r="BF25" t="str">
        <f>HYPERLINK("http://dx.doi.org/10.1007/978-3-030-76520-0_4","http://dx.doi.org/10.1007/978-3-030-76520-0_4")</f>
        <v>http://dx.doi.org/10.1007/978-3-030-76520-0_4</v>
      </c>
      <c r="BG25" t="s">
        <v>74</v>
      </c>
      <c r="BH25" t="s">
        <v>74</v>
      </c>
      <c r="BI25">
        <v>8</v>
      </c>
      <c r="BJ25" t="s">
        <v>647</v>
      </c>
      <c r="BK25" t="s">
        <v>648</v>
      </c>
      <c r="BL25" t="s">
        <v>649</v>
      </c>
      <c r="BM25" t="s">
        <v>650</v>
      </c>
      <c r="BN25" t="s">
        <v>74</v>
      </c>
      <c r="BO25" t="s">
        <v>74</v>
      </c>
      <c r="BP25" t="s">
        <v>74</v>
      </c>
      <c r="BQ25" t="s">
        <v>74</v>
      </c>
      <c r="BR25" t="s">
        <v>102</v>
      </c>
      <c r="BS25" t="s">
        <v>651</v>
      </c>
      <c r="BT25" t="str">
        <f>HYPERLINK("https%3A%2F%2Fwww.webofscience.com%2Fwos%2Fwoscc%2Ffull-record%2FWOS:001310136600004","View Full Record in Web of Science")</f>
        <v>View Full Record in Web of Science</v>
      </c>
    </row>
    <row r="26" spans="1:72" x14ac:dyDescent="0.35">
      <c r="A26" t="s">
        <v>72</v>
      </c>
      <c r="B26" t="s">
        <v>652</v>
      </c>
      <c r="C26" t="s">
        <v>74</v>
      </c>
      <c r="D26" t="s">
        <v>74</v>
      </c>
      <c r="E26" t="s">
        <v>74</v>
      </c>
      <c r="F26" t="s">
        <v>653</v>
      </c>
      <c r="G26" t="s">
        <v>74</v>
      </c>
      <c r="H26" t="s">
        <v>74</v>
      </c>
      <c r="I26" t="s">
        <v>654</v>
      </c>
      <c r="J26" t="s">
        <v>655</v>
      </c>
      <c r="K26" t="s">
        <v>74</v>
      </c>
      <c r="L26" t="s">
        <v>74</v>
      </c>
      <c r="M26" t="s">
        <v>78</v>
      </c>
      <c r="N26" t="s">
        <v>79</v>
      </c>
      <c r="O26" t="s">
        <v>74</v>
      </c>
      <c r="P26" t="s">
        <v>74</v>
      </c>
      <c r="Q26" t="s">
        <v>74</v>
      </c>
      <c r="R26" t="s">
        <v>74</v>
      </c>
      <c r="S26" t="s">
        <v>74</v>
      </c>
      <c r="T26" t="s">
        <v>656</v>
      </c>
      <c r="U26" t="s">
        <v>657</v>
      </c>
      <c r="V26" t="s">
        <v>658</v>
      </c>
      <c r="W26" t="s">
        <v>659</v>
      </c>
      <c r="X26" t="s">
        <v>660</v>
      </c>
      <c r="Y26" t="s">
        <v>661</v>
      </c>
      <c r="Z26" t="s">
        <v>662</v>
      </c>
      <c r="AA26" t="s">
        <v>663</v>
      </c>
      <c r="AB26" t="s">
        <v>664</v>
      </c>
      <c r="AC26" t="s">
        <v>74</v>
      </c>
      <c r="AD26" t="s">
        <v>74</v>
      </c>
      <c r="AE26" t="s">
        <v>74</v>
      </c>
      <c r="AF26" t="s">
        <v>74</v>
      </c>
      <c r="AG26">
        <v>94</v>
      </c>
      <c r="AH26">
        <v>6</v>
      </c>
      <c r="AI26">
        <v>6</v>
      </c>
      <c r="AJ26">
        <v>14</v>
      </c>
      <c r="AK26">
        <v>43</v>
      </c>
      <c r="AL26" t="s">
        <v>665</v>
      </c>
      <c r="AM26" t="s">
        <v>666</v>
      </c>
      <c r="AN26" t="s">
        <v>667</v>
      </c>
      <c r="AO26" t="s">
        <v>668</v>
      </c>
      <c r="AP26" t="s">
        <v>669</v>
      </c>
      <c r="AQ26" t="s">
        <v>74</v>
      </c>
      <c r="AR26" t="s">
        <v>670</v>
      </c>
      <c r="AS26" t="s">
        <v>671</v>
      </c>
      <c r="AT26" t="s">
        <v>672</v>
      </c>
      <c r="AU26">
        <v>2023</v>
      </c>
      <c r="AV26" t="s">
        <v>74</v>
      </c>
      <c r="AW26" t="s">
        <v>74</v>
      </c>
      <c r="AX26" t="s">
        <v>74</v>
      </c>
      <c r="AY26" t="s">
        <v>74</v>
      </c>
      <c r="AZ26" t="s">
        <v>74</v>
      </c>
      <c r="BA26" t="s">
        <v>74</v>
      </c>
      <c r="BB26" t="s">
        <v>74</v>
      </c>
      <c r="BC26" t="s">
        <v>74</v>
      </c>
      <c r="BD26" t="s">
        <v>74</v>
      </c>
      <c r="BE26" t="s">
        <v>673</v>
      </c>
      <c r="BF26" t="str">
        <f>HYPERLINK("http://dx.doi.org/10.1007/s13132-023-01593-2","http://dx.doi.org/10.1007/s13132-023-01593-2")</f>
        <v>http://dx.doi.org/10.1007/s13132-023-01593-2</v>
      </c>
      <c r="BG26" t="s">
        <v>74</v>
      </c>
      <c r="BH26" t="s">
        <v>674</v>
      </c>
      <c r="BI26">
        <v>32</v>
      </c>
      <c r="BJ26" t="s">
        <v>675</v>
      </c>
      <c r="BK26" t="s">
        <v>99</v>
      </c>
      <c r="BL26" t="s">
        <v>480</v>
      </c>
      <c r="BM26" t="s">
        <v>676</v>
      </c>
      <c r="BN26" t="s">
        <v>74</v>
      </c>
      <c r="BO26" t="s">
        <v>74</v>
      </c>
      <c r="BP26" t="s">
        <v>74</v>
      </c>
      <c r="BQ26" t="s">
        <v>74</v>
      </c>
      <c r="BR26" t="s">
        <v>102</v>
      </c>
      <c r="BS26" t="s">
        <v>677</v>
      </c>
      <c r="BT26" t="str">
        <f>HYPERLINK("https%3A%2F%2Fwww.webofscience.com%2Fwos%2Fwoscc%2Ffull-record%2FWOS:001100990600002","View Full Record in Web of Science")</f>
        <v>View Full Record in Web of Science</v>
      </c>
    </row>
    <row r="27" spans="1:72" x14ac:dyDescent="0.35">
      <c r="A27" t="s">
        <v>72</v>
      </c>
      <c r="B27" t="s">
        <v>678</v>
      </c>
      <c r="C27" t="s">
        <v>74</v>
      </c>
      <c r="D27" t="s">
        <v>74</v>
      </c>
      <c r="E27" t="s">
        <v>74</v>
      </c>
      <c r="F27" t="s">
        <v>679</v>
      </c>
      <c r="G27" t="s">
        <v>74</v>
      </c>
      <c r="H27" t="s">
        <v>74</v>
      </c>
      <c r="I27" t="s">
        <v>680</v>
      </c>
      <c r="J27" t="s">
        <v>681</v>
      </c>
      <c r="K27" t="s">
        <v>74</v>
      </c>
      <c r="L27" t="s">
        <v>74</v>
      </c>
      <c r="M27" t="s">
        <v>78</v>
      </c>
      <c r="N27" t="s">
        <v>108</v>
      </c>
      <c r="O27" t="s">
        <v>74</v>
      </c>
      <c r="P27" t="s">
        <v>74</v>
      </c>
      <c r="Q27" t="s">
        <v>74</v>
      </c>
      <c r="R27" t="s">
        <v>74</v>
      </c>
      <c r="S27" t="s">
        <v>74</v>
      </c>
      <c r="T27" t="s">
        <v>682</v>
      </c>
      <c r="U27" t="s">
        <v>683</v>
      </c>
      <c r="V27" t="s">
        <v>684</v>
      </c>
      <c r="W27" t="s">
        <v>685</v>
      </c>
      <c r="X27" t="s">
        <v>686</v>
      </c>
      <c r="Y27" t="s">
        <v>687</v>
      </c>
      <c r="Z27" t="s">
        <v>688</v>
      </c>
      <c r="AA27" t="s">
        <v>74</v>
      </c>
      <c r="AB27" t="s">
        <v>689</v>
      </c>
      <c r="AC27" t="s">
        <v>690</v>
      </c>
      <c r="AD27" t="s">
        <v>691</v>
      </c>
      <c r="AE27" t="s">
        <v>692</v>
      </c>
      <c r="AF27" t="s">
        <v>74</v>
      </c>
      <c r="AG27">
        <v>49</v>
      </c>
      <c r="AH27">
        <v>15</v>
      </c>
      <c r="AI27">
        <v>15</v>
      </c>
      <c r="AJ27">
        <v>29</v>
      </c>
      <c r="AK27">
        <v>169</v>
      </c>
      <c r="AL27" t="s">
        <v>384</v>
      </c>
      <c r="AM27" t="s">
        <v>385</v>
      </c>
      <c r="AN27" t="s">
        <v>386</v>
      </c>
      <c r="AO27" t="s">
        <v>693</v>
      </c>
      <c r="AP27" t="s">
        <v>74</v>
      </c>
      <c r="AQ27" t="s">
        <v>74</v>
      </c>
      <c r="AR27" t="s">
        <v>694</v>
      </c>
      <c r="AS27" t="s">
        <v>695</v>
      </c>
      <c r="AT27" t="s">
        <v>696</v>
      </c>
      <c r="AU27">
        <v>2022</v>
      </c>
      <c r="AV27">
        <v>13</v>
      </c>
      <c r="AW27" t="s">
        <v>74</v>
      </c>
      <c r="AX27" t="s">
        <v>74</v>
      </c>
      <c r="AY27" t="s">
        <v>74</v>
      </c>
      <c r="AZ27" t="s">
        <v>74</v>
      </c>
      <c r="BA27" t="s">
        <v>74</v>
      </c>
      <c r="BB27" t="s">
        <v>74</v>
      </c>
      <c r="BC27" t="s">
        <v>74</v>
      </c>
      <c r="BD27">
        <v>992824</v>
      </c>
      <c r="BE27" t="s">
        <v>697</v>
      </c>
      <c r="BF27" t="str">
        <f>HYPERLINK("http://dx.doi.org/10.3389/fpsyg.2022.992824","http://dx.doi.org/10.3389/fpsyg.2022.992824")</f>
        <v>http://dx.doi.org/10.3389/fpsyg.2022.992824</v>
      </c>
      <c r="BG27" t="s">
        <v>74</v>
      </c>
      <c r="BH27" t="s">
        <v>74</v>
      </c>
      <c r="BI27">
        <v>10</v>
      </c>
      <c r="BJ27" t="s">
        <v>698</v>
      </c>
      <c r="BK27" t="s">
        <v>99</v>
      </c>
      <c r="BL27" t="s">
        <v>301</v>
      </c>
      <c r="BM27" t="s">
        <v>699</v>
      </c>
      <c r="BN27">
        <v>36532978</v>
      </c>
      <c r="BO27" t="s">
        <v>394</v>
      </c>
      <c r="BP27" t="s">
        <v>74</v>
      </c>
      <c r="BQ27" t="s">
        <v>74</v>
      </c>
      <c r="BR27" t="s">
        <v>102</v>
      </c>
      <c r="BS27" t="s">
        <v>700</v>
      </c>
      <c r="BT27" t="str">
        <f>HYPERLINK("https%3A%2F%2Fwww.webofscience.com%2Fwos%2Fwoscc%2Ffull-record%2FWOS:000897197700001","View Full Record in Web of Science")</f>
        <v>View Full Record in Web of Science</v>
      </c>
    </row>
    <row r="28" spans="1:72" x14ac:dyDescent="0.35">
      <c r="A28" t="s">
        <v>128</v>
      </c>
      <c r="B28" t="s">
        <v>701</v>
      </c>
      <c r="C28" t="s">
        <v>74</v>
      </c>
      <c r="D28" t="s">
        <v>74</v>
      </c>
      <c r="E28" t="s">
        <v>702</v>
      </c>
      <c r="F28" t="s">
        <v>703</v>
      </c>
      <c r="G28" t="s">
        <v>74</v>
      </c>
      <c r="H28" t="s">
        <v>74</v>
      </c>
      <c r="I28" t="s">
        <v>704</v>
      </c>
      <c r="J28" t="s">
        <v>705</v>
      </c>
      <c r="K28" t="s">
        <v>74</v>
      </c>
      <c r="L28" t="s">
        <v>74</v>
      </c>
      <c r="M28" t="s">
        <v>78</v>
      </c>
      <c r="N28" t="s">
        <v>135</v>
      </c>
      <c r="O28" t="s">
        <v>706</v>
      </c>
      <c r="P28" t="s">
        <v>707</v>
      </c>
      <c r="Q28" t="s">
        <v>708</v>
      </c>
      <c r="R28" t="s">
        <v>709</v>
      </c>
      <c r="S28" t="s">
        <v>74</v>
      </c>
      <c r="T28" t="s">
        <v>710</v>
      </c>
      <c r="U28" t="s">
        <v>711</v>
      </c>
      <c r="V28" t="s">
        <v>712</v>
      </c>
      <c r="W28" t="s">
        <v>713</v>
      </c>
      <c r="X28" t="s">
        <v>714</v>
      </c>
      <c r="Y28" t="s">
        <v>715</v>
      </c>
      <c r="Z28" t="s">
        <v>716</v>
      </c>
      <c r="AA28" t="s">
        <v>74</v>
      </c>
      <c r="AB28" t="s">
        <v>717</v>
      </c>
      <c r="AC28" t="s">
        <v>74</v>
      </c>
      <c r="AD28" t="s">
        <v>74</v>
      </c>
      <c r="AE28" t="s">
        <v>74</v>
      </c>
      <c r="AF28" t="s">
        <v>74</v>
      </c>
      <c r="AG28">
        <v>32</v>
      </c>
      <c r="AH28">
        <v>4</v>
      </c>
      <c r="AI28">
        <v>6</v>
      </c>
      <c r="AJ28">
        <v>6</v>
      </c>
      <c r="AK28">
        <v>17</v>
      </c>
      <c r="AL28" t="s">
        <v>718</v>
      </c>
      <c r="AM28" t="s">
        <v>666</v>
      </c>
      <c r="AN28" t="s">
        <v>719</v>
      </c>
      <c r="AO28" t="s">
        <v>74</v>
      </c>
      <c r="AP28" t="s">
        <v>74</v>
      </c>
      <c r="AQ28" t="s">
        <v>720</v>
      </c>
      <c r="AR28" t="s">
        <v>74</v>
      </c>
      <c r="AS28" t="s">
        <v>74</v>
      </c>
      <c r="AT28" t="s">
        <v>74</v>
      </c>
      <c r="AU28">
        <v>2022</v>
      </c>
      <c r="AV28" t="s">
        <v>74</v>
      </c>
      <c r="AW28" t="s">
        <v>74</v>
      </c>
      <c r="AX28" t="s">
        <v>74</v>
      </c>
      <c r="AY28" t="s">
        <v>74</v>
      </c>
      <c r="AZ28" t="s">
        <v>74</v>
      </c>
      <c r="BA28" t="s">
        <v>74</v>
      </c>
      <c r="BB28">
        <v>458</v>
      </c>
      <c r="BC28">
        <v>463</v>
      </c>
      <c r="BD28" t="s">
        <v>74</v>
      </c>
      <c r="BE28" t="s">
        <v>721</v>
      </c>
      <c r="BF28" t="str">
        <f>HYPERLINK("http://dx.doi.org/10.1145/3501712.3535290","http://dx.doi.org/10.1145/3501712.3535290")</f>
        <v>http://dx.doi.org/10.1145/3501712.3535290</v>
      </c>
      <c r="BG28" t="s">
        <v>74</v>
      </c>
      <c r="BH28" t="s">
        <v>74</v>
      </c>
      <c r="BI28">
        <v>6</v>
      </c>
      <c r="BJ28" t="s">
        <v>722</v>
      </c>
      <c r="BK28" t="s">
        <v>723</v>
      </c>
      <c r="BL28" t="s">
        <v>210</v>
      </c>
      <c r="BM28" t="s">
        <v>724</v>
      </c>
      <c r="BN28" t="s">
        <v>74</v>
      </c>
      <c r="BO28" t="s">
        <v>74</v>
      </c>
      <c r="BP28" t="s">
        <v>74</v>
      </c>
      <c r="BQ28" t="s">
        <v>74</v>
      </c>
      <c r="BR28" t="s">
        <v>102</v>
      </c>
      <c r="BS28" t="s">
        <v>725</v>
      </c>
      <c r="BT28" t="str">
        <f>HYPERLINK("https%3A%2F%2Fwww.webofscience.com%2Fwos%2Fwoscc%2Ffull-record%2FWOS:001103410100039","View Full Record in Web of Science")</f>
        <v>View Full Record in Web of Science</v>
      </c>
    </row>
    <row r="29" spans="1:72" x14ac:dyDescent="0.35">
      <c r="A29" t="s">
        <v>72</v>
      </c>
      <c r="B29" t="s">
        <v>726</v>
      </c>
      <c r="C29" t="s">
        <v>74</v>
      </c>
      <c r="D29" t="s">
        <v>74</v>
      </c>
      <c r="E29" t="s">
        <v>74</v>
      </c>
      <c r="F29" t="s">
        <v>727</v>
      </c>
      <c r="G29" t="s">
        <v>74</v>
      </c>
      <c r="H29" t="s">
        <v>74</v>
      </c>
      <c r="I29" t="s">
        <v>728</v>
      </c>
      <c r="J29" t="s">
        <v>729</v>
      </c>
      <c r="K29" t="s">
        <v>74</v>
      </c>
      <c r="L29" t="s">
        <v>74</v>
      </c>
      <c r="M29" t="s">
        <v>78</v>
      </c>
      <c r="N29" t="s">
        <v>108</v>
      </c>
      <c r="O29" t="s">
        <v>74</v>
      </c>
      <c r="P29" t="s">
        <v>74</v>
      </c>
      <c r="Q29" t="s">
        <v>74</v>
      </c>
      <c r="R29" t="s">
        <v>74</v>
      </c>
      <c r="S29" t="s">
        <v>74</v>
      </c>
      <c r="T29" t="s">
        <v>730</v>
      </c>
      <c r="U29" t="s">
        <v>731</v>
      </c>
      <c r="V29" t="s">
        <v>732</v>
      </c>
      <c r="W29" t="s">
        <v>733</v>
      </c>
      <c r="X29" t="s">
        <v>734</v>
      </c>
      <c r="Y29" t="s">
        <v>735</v>
      </c>
      <c r="Z29" t="s">
        <v>736</v>
      </c>
      <c r="AA29" t="s">
        <v>737</v>
      </c>
      <c r="AB29" t="s">
        <v>74</v>
      </c>
      <c r="AC29" t="s">
        <v>738</v>
      </c>
      <c r="AD29" t="s">
        <v>739</v>
      </c>
      <c r="AE29" t="s">
        <v>740</v>
      </c>
      <c r="AF29" t="s">
        <v>74</v>
      </c>
      <c r="AG29">
        <v>64</v>
      </c>
      <c r="AH29">
        <v>14</v>
      </c>
      <c r="AI29">
        <v>15</v>
      </c>
      <c r="AJ29">
        <v>12</v>
      </c>
      <c r="AK29">
        <v>184</v>
      </c>
      <c r="AL29" t="s">
        <v>171</v>
      </c>
      <c r="AM29" t="s">
        <v>172</v>
      </c>
      <c r="AN29" t="s">
        <v>173</v>
      </c>
      <c r="AO29" t="s">
        <v>741</v>
      </c>
      <c r="AP29" t="s">
        <v>742</v>
      </c>
      <c r="AQ29" t="s">
        <v>74</v>
      </c>
      <c r="AR29" t="s">
        <v>743</v>
      </c>
      <c r="AS29" t="s">
        <v>744</v>
      </c>
      <c r="AT29" t="s">
        <v>745</v>
      </c>
      <c r="AU29">
        <v>2022</v>
      </c>
      <c r="AV29">
        <v>10</v>
      </c>
      <c r="AW29">
        <v>2</v>
      </c>
      <c r="AX29" t="s">
        <v>74</v>
      </c>
      <c r="AY29" t="s">
        <v>74</v>
      </c>
      <c r="AZ29" t="s">
        <v>74</v>
      </c>
      <c r="BA29" t="s">
        <v>74</v>
      </c>
      <c r="BB29">
        <v>316</v>
      </c>
      <c r="BC29">
        <v>336</v>
      </c>
      <c r="BD29">
        <v>2.0501579211056116E+16</v>
      </c>
      <c r="BE29" t="s">
        <v>746</v>
      </c>
      <c r="BF29" t="str">
        <f>HYPERLINK("http://dx.doi.org/10.1177/20501579211056116","http://dx.doi.org/10.1177/20501579211056116")</f>
        <v>http://dx.doi.org/10.1177/20501579211056116</v>
      </c>
      <c r="BG29" t="s">
        <v>74</v>
      </c>
      <c r="BH29" t="s">
        <v>747</v>
      </c>
      <c r="BI29">
        <v>21</v>
      </c>
      <c r="BJ29" t="s">
        <v>124</v>
      </c>
      <c r="BK29" t="s">
        <v>99</v>
      </c>
      <c r="BL29" t="s">
        <v>124</v>
      </c>
      <c r="BM29" t="s">
        <v>748</v>
      </c>
      <c r="BN29" t="s">
        <v>74</v>
      </c>
      <c r="BO29" t="s">
        <v>74</v>
      </c>
      <c r="BP29" t="s">
        <v>74</v>
      </c>
      <c r="BQ29" t="s">
        <v>74</v>
      </c>
      <c r="BR29" t="s">
        <v>102</v>
      </c>
      <c r="BS29" t="s">
        <v>749</v>
      </c>
      <c r="BT29" t="str">
        <f>HYPERLINK("https%3A%2F%2Fwww.webofscience.com%2Fwos%2Fwoscc%2Ffull-record%2FWOS:000721917800001","View Full Record in Web of Science")</f>
        <v>View Full Record in Web of Science</v>
      </c>
    </row>
    <row r="30" spans="1:72" x14ac:dyDescent="0.35">
      <c r="A30" t="s">
        <v>72</v>
      </c>
      <c r="B30" t="s">
        <v>750</v>
      </c>
      <c r="C30" t="s">
        <v>74</v>
      </c>
      <c r="D30" t="s">
        <v>74</v>
      </c>
      <c r="E30" t="s">
        <v>74</v>
      </c>
      <c r="F30" t="s">
        <v>751</v>
      </c>
      <c r="G30" t="s">
        <v>74</v>
      </c>
      <c r="H30" t="s">
        <v>74</v>
      </c>
      <c r="I30" t="s">
        <v>752</v>
      </c>
      <c r="J30" t="s">
        <v>753</v>
      </c>
      <c r="K30" t="s">
        <v>74</v>
      </c>
      <c r="L30" t="s">
        <v>74</v>
      </c>
      <c r="M30" t="s">
        <v>78</v>
      </c>
      <c r="N30" t="s">
        <v>108</v>
      </c>
      <c r="O30" t="s">
        <v>74</v>
      </c>
      <c r="P30" t="s">
        <v>74</v>
      </c>
      <c r="Q30" t="s">
        <v>74</v>
      </c>
      <c r="R30" t="s">
        <v>74</v>
      </c>
      <c r="S30" t="s">
        <v>74</v>
      </c>
      <c r="T30" t="s">
        <v>74</v>
      </c>
      <c r="U30" t="s">
        <v>74</v>
      </c>
      <c r="V30" t="s">
        <v>754</v>
      </c>
      <c r="W30" t="s">
        <v>755</v>
      </c>
      <c r="X30" t="s">
        <v>74</v>
      </c>
      <c r="Y30" t="s">
        <v>756</v>
      </c>
      <c r="Z30" t="s">
        <v>757</v>
      </c>
      <c r="AA30" t="s">
        <v>74</v>
      </c>
      <c r="AB30" t="s">
        <v>74</v>
      </c>
      <c r="AC30" t="s">
        <v>74</v>
      </c>
      <c r="AD30" t="s">
        <v>74</v>
      </c>
      <c r="AE30" t="s">
        <v>74</v>
      </c>
      <c r="AF30" t="s">
        <v>74</v>
      </c>
      <c r="AG30">
        <v>16</v>
      </c>
      <c r="AH30">
        <v>1</v>
      </c>
      <c r="AI30">
        <v>2</v>
      </c>
      <c r="AJ30">
        <v>5</v>
      </c>
      <c r="AK30">
        <v>67</v>
      </c>
      <c r="AL30" t="s">
        <v>758</v>
      </c>
      <c r="AM30" t="s">
        <v>759</v>
      </c>
      <c r="AN30" t="s">
        <v>760</v>
      </c>
      <c r="AO30" t="s">
        <v>761</v>
      </c>
      <c r="AP30" t="s">
        <v>762</v>
      </c>
      <c r="AQ30" t="s">
        <v>74</v>
      </c>
      <c r="AR30" t="s">
        <v>753</v>
      </c>
      <c r="AS30" t="s">
        <v>763</v>
      </c>
      <c r="AT30" t="s">
        <v>257</v>
      </c>
      <c r="AU30">
        <v>2022</v>
      </c>
      <c r="AV30">
        <v>55</v>
      </c>
      <c r="AW30">
        <v>6</v>
      </c>
      <c r="AX30" t="s">
        <v>74</v>
      </c>
      <c r="AY30" t="s">
        <v>74</v>
      </c>
      <c r="AZ30" t="s">
        <v>74</v>
      </c>
      <c r="BA30" t="s">
        <v>74</v>
      </c>
      <c r="BB30">
        <v>77</v>
      </c>
      <c r="BC30">
        <v>80</v>
      </c>
      <c r="BD30" t="s">
        <v>74</v>
      </c>
      <c r="BE30" t="s">
        <v>764</v>
      </c>
      <c r="BF30" t="str">
        <f>HYPERLINK("http://dx.doi.org/10.1109/MC.2022.3164226","http://dx.doi.org/10.1109/MC.2022.3164226")</f>
        <v>http://dx.doi.org/10.1109/MC.2022.3164226</v>
      </c>
      <c r="BG30" t="s">
        <v>74</v>
      </c>
      <c r="BH30" t="s">
        <v>74</v>
      </c>
      <c r="BI30">
        <v>4</v>
      </c>
      <c r="BJ30" t="s">
        <v>765</v>
      </c>
      <c r="BK30" t="s">
        <v>209</v>
      </c>
      <c r="BL30" t="s">
        <v>210</v>
      </c>
      <c r="BM30" t="s">
        <v>766</v>
      </c>
      <c r="BN30" t="s">
        <v>74</v>
      </c>
      <c r="BO30" t="s">
        <v>767</v>
      </c>
      <c r="BP30" t="s">
        <v>74</v>
      </c>
      <c r="BQ30" t="s">
        <v>74</v>
      </c>
      <c r="BR30" t="s">
        <v>102</v>
      </c>
      <c r="BS30" t="s">
        <v>768</v>
      </c>
      <c r="BT30" t="str">
        <f>HYPERLINK("https%3A%2F%2Fwww.webofscience.com%2Fwos%2Fwoscc%2Ffull-record%2FWOS:000808065600010","View Full Record in Web of Science")</f>
        <v>View Full Record in Web of Science</v>
      </c>
    </row>
    <row r="31" spans="1:72" x14ac:dyDescent="0.35">
      <c r="A31" t="s">
        <v>72</v>
      </c>
      <c r="B31" t="s">
        <v>769</v>
      </c>
      <c r="C31" t="s">
        <v>74</v>
      </c>
      <c r="D31" t="s">
        <v>74</v>
      </c>
      <c r="E31" t="s">
        <v>74</v>
      </c>
      <c r="F31" t="s">
        <v>770</v>
      </c>
      <c r="G31" t="s">
        <v>74</v>
      </c>
      <c r="H31" t="s">
        <v>74</v>
      </c>
      <c r="I31" t="s">
        <v>771</v>
      </c>
      <c r="J31" t="s">
        <v>772</v>
      </c>
      <c r="K31" t="s">
        <v>74</v>
      </c>
      <c r="L31" t="s">
        <v>74</v>
      </c>
      <c r="M31" t="s">
        <v>78</v>
      </c>
      <c r="N31" t="s">
        <v>108</v>
      </c>
      <c r="O31" t="s">
        <v>74</v>
      </c>
      <c r="P31" t="s">
        <v>74</v>
      </c>
      <c r="Q31" t="s">
        <v>74</v>
      </c>
      <c r="R31" t="s">
        <v>74</v>
      </c>
      <c r="S31" t="s">
        <v>74</v>
      </c>
      <c r="T31" t="s">
        <v>773</v>
      </c>
      <c r="U31" t="s">
        <v>774</v>
      </c>
      <c r="V31" t="s">
        <v>775</v>
      </c>
      <c r="W31" t="s">
        <v>776</v>
      </c>
      <c r="X31" t="s">
        <v>777</v>
      </c>
      <c r="Y31" t="s">
        <v>778</v>
      </c>
      <c r="Z31" t="s">
        <v>779</v>
      </c>
      <c r="AA31" t="s">
        <v>74</v>
      </c>
      <c r="AB31" t="s">
        <v>780</v>
      </c>
      <c r="AC31" t="s">
        <v>74</v>
      </c>
      <c r="AD31" t="s">
        <v>74</v>
      </c>
      <c r="AE31" t="s">
        <v>74</v>
      </c>
      <c r="AF31" t="s">
        <v>74</v>
      </c>
      <c r="AG31">
        <v>129</v>
      </c>
      <c r="AH31">
        <v>3</v>
      </c>
      <c r="AI31">
        <v>3</v>
      </c>
      <c r="AJ31">
        <v>16</v>
      </c>
      <c r="AK31">
        <v>20</v>
      </c>
      <c r="AL31" t="s">
        <v>290</v>
      </c>
      <c r="AM31" t="s">
        <v>291</v>
      </c>
      <c r="AN31" t="s">
        <v>292</v>
      </c>
      <c r="AO31" t="s">
        <v>781</v>
      </c>
      <c r="AP31" t="s">
        <v>782</v>
      </c>
      <c r="AQ31" t="s">
        <v>74</v>
      </c>
      <c r="AR31" t="s">
        <v>783</v>
      </c>
      <c r="AS31" t="s">
        <v>784</v>
      </c>
      <c r="AT31" t="s">
        <v>745</v>
      </c>
      <c r="AU31">
        <v>2024</v>
      </c>
      <c r="AV31">
        <v>142</v>
      </c>
      <c r="AW31" t="s">
        <v>74</v>
      </c>
      <c r="AX31" t="s">
        <v>74</v>
      </c>
      <c r="AY31" t="s">
        <v>74</v>
      </c>
      <c r="AZ31" t="s">
        <v>74</v>
      </c>
      <c r="BA31" t="s">
        <v>74</v>
      </c>
      <c r="BB31" t="s">
        <v>74</v>
      </c>
      <c r="BC31" t="s">
        <v>74</v>
      </c>
      <c r="BD31">
        <v>104530</v>
      </c>
      <c r="BE31" t="s">
        <v>785</v>
      </c>
      <c r="BF31" t="str">
        <f>HYPERLINK("http://dx.doi.org/10.1016/j.tate.2024.104530","http://dx.doi.org/10.1016/j.tate.2024.104530")</f>
        <v>http://dx.doi.org/10.1016/j.tate.2024.104530</v>
      </c>
      <c r="BG31" t="s">
        <v>74</v>
      </c>
      <c r="BH31" t="s">
        <v>786</v>
      </c>
      <c r="BI31">
        <v>13</v>
      </c>
      <c r="BJ31" t="s">
        <v>787</v>
      </c>
      <c r="BK31" t="s">
        <v>99</v>
      </c>
      <c r="BL31" t="s">
        <v>787</v>
      </c>
      <c r="BM31" t="s">
        <v>788</v>
      </c>
      <c r="BN31" t="s">
        <v>74</v>
      </c>
      <c r="BO31" t="s">
        <v>74</v>
      </c>
      <c r="BP31" t="s">
        <v>74</v>
      </c>
      <c r="BQ31" t="s">
        <v>74</v>
      </c>
      <c r="BR31" t="s">
        <v>102</v>
      </c>
      <c r="BS31" t="s">
        <v>789</v>
      </c>
      <c r="BT31" t="str">
        <f>HYPERLINK("https%3A%2F%2Fwww.webofscience.com%2Fwos%2Fwoscc%2Ffull-record%2FWOS:001205510100001","View Full Record in Web of Science")</f>
        <v>View Full Record in Web of Science</v>
      </c>
    </row>
    <row r="32" spans="1:72" x14ac:dyDescent="0.35">
      <c r="A32" t="s">
        <v>72</v>
      </c>
      <c r="B32" t="s">
        <v>790</v>
      </c>
      <c r="C32" t="s">
        <v>74</v>
      </c>
      <c r="D32" t="s">
        <v>74</v>
      </c>
      <c r="E32" t="s">
        <v>74</v>
      </c>
      <c r="F32" t="s">
        <v>791</v>
      </c>
      <c r="G32" t="s">
        <v>74</v>
      </c>
      <c r="H32" t="s">
        <v>74</v>
      </c>
      <c r="I32" t="s">
        <v>792</v>
      </c>
      <c r="J32" t="s">
        <v>793</v>
      </c>
      <c r="K32" t="s">
        <v>74</v>
      </c>
      <c r="L32" t="s">
        <v>74</v>
      </c>
      <c r="M32" t="s">
        <v>78</v>
      </c>
      <c r="N32" t="s">
        <v>108</v>
      </c>
      <c r="O32" t="s">
        <v>74</v>
      </c>
      <c r="P32" t="s">
        <v>74</v>
      </c>
      <c r="Q32" t="s">
        <v>74</v>
      </c>
      <c r="R32" t="s">
        <v>74</v>
      </c>
      <c r="S32" t="s">
        <v>74</v>
      </c>
      <c r="T32" t="s">
        <v>794</v>
      </c>
      <c r="U32" t="s">
        <v>795</v>
      </c>
      <c r="V32" t="s">
        <v>796</v>
      </c>
      <c r="W32" t="s">
        <v>797</v>
      </c>
      <c r="X32" t="s">
        <v>798</v>
      </c>
      <c r="Y32" t="s">
        <v>799</v>
      </c>
      <c r="Z32" t="s">
        <v>800</v>
      </c>
      <c r="AA32" t="s">
        <v>801</v>
      </c>
      <c r="AB32" t="s">
        <v>802</v>
      </c>
      <c r="AC32" t="s">
        <v>74</v>
      </c>
      <c r="AD32" t="s">
        <v>74</v>
      </c>
      <c r="AE32" t="s">
        <v>74</v>
      </c>
      <c r="AF32" t="s">
        <v>74</v>
      </c>
      <c r="AG32">
        <v>48</v>
      </c>
      <c r="AH32">
        <v>8</v>
      </c>
      <c r="AI32">
        <v>8</v>
      </c>
      <c r="AJ32">
        <v>0</v>
      </c>
      <c r="AK32">
        <v>31</v>
      </c>
      <c r="AL32" t="s">
        <v>803</v>
      </c>
      <c r="AM32" t="s">
        <v>227</v>
      </c>
      <c r="AN32" t="s">
        <v>804</v>
      </c>
      <c r="AO32" t="s">
        <v>74</v>
      </c>
      <c r="AP32" t="s">
        <v>805</v>
      </c>
      <c r="AQ32" t="s">
        <v>74</v>
      </c>
      <c r="AR32" t="s">
        <v>806</v>
      </c>
      <c r="AS32" t="s">
        <v>807</v>
      </c>
      <c r="AT32" t="s">
        <v>808</v>
      </c>
      <c r="AU32">
        <v>2022</v>
      </c>
      <c r="AV32">
        <v>14</v>
      </c>
      <c r="AW32">
        <v>1</v>
      </c>
      <c r="AX32" t="s">
        <v>74</v>
      </c>
      <c r="AY32" t="s">
        <v>74</v>
      </c>
      <c r="AZ32" t="s">
        <v>74</v>
      </c>
      <c r="BA32" t="s">
        <v>74</v>
      </c>
      <c r="BB32" t="s">
        <v>74</v>
      </c>
      <c r="BC32" t="s">
        <v>74</v>
      </c>
      <c r="BD32" t="s">
        <v>809</v>
      </c>
      <c r="BE32" t="s">
        <v>810</v>
      </c>
      <c r="BF32" t="str">
        <f>HYPERLINK("http://dx.doi.org/10.7759/cureus.21404","http://dx.doi.org/10.7759/cureus.21404")</f>
        <v>http://dx.doi.org/10.7759/cureus.21404</v>
      </c>
      <c r="BG32" t="s">
        <v>74</v>
      </c>
      <c r="BH32" t="s">
        <v>74</v>
      </c>
      <c r="BI32">
        <v>16</v>
      </c>
      <c r="BJ32" t="s">
        <v>811</v>
      </c>
      <c r="BK32" t="s">
        <v>125</v>
      </c>
      <c r="BL32" t="s">
        <v>812</v>
      </c>
      <c r="BM32" t="s">
        <v>813</v>
      </c>
      <c r="BN32">
        <v>35198311</v>
      </c>
      <c r="BO32" t="s">
        <v>552</v>
      </c>
      <c r="BP32" t="s">
        <v>74</v>
      </c>
      <c r="BQ32" t="s">
        <v>74</v>
      </c>
      <c r="BR32" t="s">
        <v>102</v>
      </c>
      <c r="BS32" t="s">
        <v>814</v>
      </c>
      <c r="BT32" t="str">
        <f>HYPERLINK("https%3A%2F%2Fwww.webofscience.com%2Fwos%2Fwoscc%2Ffull-record%2FWOS:000748764200022","View Full Record in Web of Science")</f>
        <v>View Full Record in Web of Science</v>
      </c>
    </row>
    <row r="33" spans="1:72" x14ac:dyDescent="0.35">
      <c r="A33" t="s">
        <v>128</v>
      </c>
      <c r="B33" t="s">
        <v>815</v>
      </c>
      <c r="C33" t="s">
        <v>74</v>
      </c>
      <c r="D33" t="s">
        <v>624</v>
      </c>
      <c r="E33" t="s">
        <v>74</v>
      </c>
      <c r="F33" t="s">
        <v>816</v>
      </c>
      <c r="G33" t="s">
        <v>74</v>
      </c>
      <c r="H33" t="s">
        <v>74</v>
      </c>
      <c r="I33" t="s">
        <v>817</v>
      </c>
      <c r="J33" t="s">
        <v>627</v>
      </c>
      <c r="K33" t="s">
        <v>628</v>
      </c>
      <c r="L33" t="s">
        <v>74</v>
      </c>
      <c r="M33" t="s">
        <v>78</v>
      </c>
      <c r="N33" t="s">
        <v>135</v>
      </c>
      <c r="O33" t="s">
        <v>629</v>
      </c>
      <c r="P33" t="s">
        <v>630</v>
      </c>
      <c r="Q33" t="s">
        <v>631</v>
      </c>
      <c r="R33" t="s">
        <v>74</v>
      </c>
      <c r="S33" t="s">
        <v>74</v>
      </c>
      <c r="T33" t="s">
        <v>818</v>
      </c>
      <c r="U33" t="s">
        <v>74</v>
      </c>
      <c r="V33" t="s">
        <v>819</v>
      </c>
      <c r="W33" t="s">
        <v>820</v>
      </c>
      <c r="X33" t="s">
        <v>635</v>
      </c>
      <c r="Y33" t="s">
        <v>636</v>
      </c>
      <c r="Z33" t="s">
        <v>821</v>
      </c>
      <c r="AA33" t="s">
        <v>638</v>
      </c>
      <c r="AB33" t="s">
        <v>74</v>
      </c>
      <c r="AC33" t="s">
        <v>74</v>
      </c>
      <c r="AD33" t="s">
        <v>74</v>
      </c>
      <c r="AE33" t="s">
        <v>74</v>
      </c>
      <c r="AF33" t="s">
        <v>74</v>
      </c>
      <c r="AG33">
        <v>20</v>
      </c>
      <c r="AH33">
        <v>8</v>
      </c>
      <c r="AI33">
        <v>10</v>
      </c>
      <c r="AJ33">
        <v>2</v>
      </c>
      <c r="AK33">
        <v>2</v>
      </c>
      <c r="AL33" t="s">
        <v>639</v>
      </c>
      <c r="AM33" t="s">
        <v>640</v>
      </c>
      <c r="AN33" t="s">
        <v>641</v>
      </c>
      <c r="AO33" t="s">
        <v>642</v>
      </c>
      <c r="AP33" t="s">
        <v>643</v>
      </c>
      <c r="AQ33" t="s">
        <v>644</v>
      </c>
      <c r="AR33" t="s">
        <v>645</v>
      </c>
      <c r="AS33" t="s">
        <v>74</v>
      </c>
      <c r="AT33" t="s">
        <v>74</v>
      </c>
      <c r="AU33">
        <v>2021</v>
      </c>
      <c r="AV33" t="s">
        <v>74</v>
      </c>
      <c r="AW33" t="s">
        <v>74</v>
      </c>
      <c r="AX33" t="s">
        <v>74</v>
      </c>
      <c r="AY33" t="s">
        <v>74</v>
      </c>
      <c r="AZ33" t="s">
        <v>74</v>
      </c>
      <c r="BA33" t="s">
        <v>74</v>
      </c>
      <c r="BB33">
        <v>137</v>
      </c>
      <c r="BC33">
        <v>143</v>
      </c>
      <c r="BD33" t="s">
        <v>74</v>
      </c>
      <c r="BE33" t="s">
        <v>822</v>
      </c>
      <c r="BF33" t="str">
        <f>HYPERLINK("http://dx.doi.org/10.1007/978-3-030-76520-0_15","http://dx.doi.org/10.1007/978-3-030-76520-0_15")</f>
        <v>http://dx.doi.org/10.1007/978-3-030-76520-0_15</v>
      </c>
      <c r="BG33" t="s">
        <v>74</v>
      </c>
      <c r="BH33" t="s">
        <v>74</v>
      </c>
      <c r="BI33">
        <v>7</v>
      </c>
      <c r="BJ33" t="s">
        <v>647</v>
      </c>
      <c r="BK33" t="s">
        <v>648</v>
      </c>
      <c r="BL33" t="s">
        <v>649</v>
      </c>
      <c r="BM33" t="s">
        <v>650</v>
      </c>
      <c r="BN33" t="s">
        <v>74</v>
      </c>
      <c r="BO33" t="s">
        <v>74</v>
      </c>
      <c r="BP33" t="s">
        <v>74</v>
      </c>
      <c r="BQ33" t="s">
        <v>74</v>
      </c>
      <c r="BR33" t="s">
        <v>102</v>
      </c>
      <c r="BS33" t="s">
        <v>823</v>
      </c>
      <c r="BT33" t="str">
        <f>HYPERLINK("https%3A%2F%2Fwww.webofscience.com%2Fwos%2Fwoscc%2Ffull-record%2FWOS:001310136600015","View Full Record in Web of Science")</f>
        <v>View Full Record in Web of Science</v>
      </c>
    </row>
    <row r="34" spans="1:72" x14ac:dyDescent="0.35">
      <c r="A34" t="s">
        <v>128</v>
      </c>
      <c r="B34" t="s">
        <v>824</v>
      </c>
      <c r="C34" t="s">
        <v>74</v>
      </c>
      <c r="D34" t="s">
        <v>74</v>
      </c>
      <c r="E34" t="s">
        <v>718</v>
      </c>
      <c r="F34" t="s">
        <v>825</v>
      </c>
      <c r="G34" t="s">
        <v>74</v>
      </c>
      <c r="H34" t="s">
        <v>74</v>
      </c>
      <c r="I34" t="s">
        <v>826</v>
      </c>
      <c r="J34" t="s">
        <v>827</v>
      </c>
      <c r="K34" t="s">
        <v>74</v>
      </c>
      <c r="L34" t="s">
        <v>74</v>
      </c>
      <c r="M34" t="s">
        <v>78</v>
      </c>
      <c r="N34" t="s">
        <v>135</v>
      </c>
      <c r="O34" t="s">
        <v>828</v>
      </c>
      <c r="P34" t="s">
        <v>829</v>
      </c>
      <c r="Q34" t="s">
        <v>830</v>
      </c>
      <c r="R34" t="s">
        <v>831</v>
      </c>
      <c r="S34" t="s">
        <v>74</v>
      </c>
      <c r="T34" t="s">
        <v>832</v>
      </c>
      <c r="U34" t="s">
        <v>74</v>
      </c>
      <c r="V34" t="s">
        <v>833</v>
      </c>
      <c r="W34" t="s">
        <v>834</v>
      </c>
      <c r="X34" t="s">
        <v>835</v>
      </c>
      <c r="Y34" t="s">
        <v>836</v>
      </c>
      <c r="Z34" t="s">
        <v>837</v>
      </c>
      <c r="AA34" t="s">
        <v>74</v>
      </c>
      <c r="AB34" t="s">
        <v>74</v>
      </c>
      <c r="AC34" t="s">
        <v>74</v>
      </c>
      <c r="AD34" t="s">
        <v>74</v>
      </c>
      <c r="AE34" t="s">
        <v>74</v>
      </c>
      <c r="AF34" t="s">
        <v>74</v>
      </c>
      <c r="AG34">
        <v>37</v>
      </c>
      <c r="AH34">
        <v>0</v>
      </c>
      <c r="AI34">
        <v>0</v>
      </c>
      <c r="AJ34">
        <v>0</v>
      </c>
      <c r="AK34">
        <v>0</v>
      </c>
      <c r="AL34" t="s">
        <v>718</v>
      </c>
      <c r="AM34" t="s">
        <v>666</v>
      </c>
      <c r="AN34" t="s">
        <v>719</v>
      </c>
      <c r="AO34" t="s">
        <v>74</v>
      </c>
      <c r="AP34" t="s">
        <v>74</v>
      </c>
      <c r="AQ34" t="s">
        <v>838</v>
      </c>
      <c r="AR34" t="s">
        <v>74</v>
      </c>
      <c r="AS34" t="s">
        <v>74</v>
      </c>
      <c r="AT34" t="s">
        <v>74</v>
      </c>
      <c r="AU34">
        <v>2024</v>
      </c>
      <c r="AV34" t="s">
        <v>74</v>
      </c>
      <c r="AW34" t="s">
        <v>74</v>
      </c>
      <c r="AX34" t="s">
        <v>74</v>
      </c>
      <c r="AY34" t="s">
        <v>74</v>
      </c>
      <c r="AZ34" t="s">
        <v>74</v>
      </c>
      <c r="BA34" t="s">
        <v>74</v>
      </c>
      <c r="BB34" t="s">
        <v>74</v>
      </c>
      <c r="BC34" t="s">
        <v>74</v>
      </c>
      <c r="BD34" t="s">
        <v>74</v>
      </c>
      <c r="BE34" t="s">
        <v>839</v>
      </c>
      <c r="BF34" t="str">
        <f>HYPERLINK("http://dx.doi.org/10.1145/3613905.3647964","http://dx.doi.org/10.1145/3613905.3647964")</f>
        <v>http://dx.doi.org/10.1145/3613905.3647964</v>
      </c>
      <c r="BG34" t="s">
        <v>74</v>
      </c>
      <c r="BH34" t="s">
        <v>74</v>
      </c>
      <c r="BI34">
        <v>6</v>
      </c>
      <c r="BJ34" t="s">
        <v>840</v>
      </c>
      <c r="BK34" t="s">
        <v>723</v>
      </c>
      <c r="BL34" t="s">
        <v>210</v>
      </c>
      <c r="BM34" t="s">
        <v>841</v>
      </c>
      <c r="BN34" t="s">
        <v>74</v>
      </c>
      <c r="BO34" t="s">
        <v>767</v>
      </c>
      <c r="BP34" t="s">
        <v>74</v>
      </c>
      <c r="BQ34" t="s">
        <v>74</v>
      </c>
      <c r="BR34" t="s">
        <v>102</v>
      </c>
      <c r="BS34" t="s">
        <v>842</v>
      </c>
      <c r="BT34" t="str">
        <f>HYPERLINK("https%3A%2F%2Fwww.webofscience.com%2Fwos%2Fwoscc%2Ffull-record%2FWOS:001227587701041","View Full Record in Web of Science")</f>
        <v>View Full Record in Web of Science</v>
      </c>
    </row>
    <row r="35" spans="1:72" x14ac:dyDescent="0.35">
      <c r="A35" t="s">
        <v>72</v>
      </c>
      <c r="B35" t="s">
        <v>843</v>
      </c>
      <c r="C35" t="s">
        <v>74</v>
      </c>
      <c r="D35" t="s">
        <v>74</v>
      </c>
      <c r="E35" t="s">
        <v>74</v>
      </c>
      <c r="F35" t="s">
        <v>844</v>
      </c>
      <c r="G35" t="s">
        <v>74</v>
      </c>
      <c r="H35" t="s">
        <v>74</v>
      </c>
      <c r="I35" t="s">
        <v>845</v>
      </c>
      <c r="J35" t="s">
        <v>216</v>
      </c>
      <c r="K35" t="s">
        <v>74</v>
      </c>
      <c r="L35" t="s">
        <v>74</v>
      </c>
      <c r="M35" t="s">
        <v>78</v>
      </c>
      <c r="N35" t="s">
        <v>108</v>
      </c>
      <c r="O35" t="s">
        <v>74</v>
      </c>
      <c r="P35" t="s">
        <v>74</v>
      </c>
      <c r="Q35" t="s">
        <v>74</v>
      </c>
      <c r="R35" t="s">
        <v>74</v>
      </c>
      <c r="S35" t="s">
        <v>74</v>
      </c>
      <c r="T35" t="s">
        <v>846</v>
      </c>
      <c r="U35" t="s">
        <v>847</v>
      </c>
      <c r="V35" t="s">
        <v>848</v>
      </c>
      <c r="W35" t="s">
        <v>849</v>
      </c>
      <c r="X35" t="s">
        <v>850</v>
      </c>
      <c r="Y35" t="s">
        <v>851</v>
      </c>
      <c r="Z35" t="s">
        <v>852</v>
      </c>
      <c r="AA35" t="s">
        <v>74</v>
      </c>
      <c r="AB35" t="s">
        <v>853</v>
      </c>
      <c r="AC35" t="s">
        <v>74</v>
      </c>
      <c r="AD35" t="s">
        <v>74</v>
      </c>
      <c r="AE35" t="s">
        <v>74</v>
      </c>
      <c r="AF35" t="s">
        <v>74</v>
      </c>
      <c r="AG35">
        <v>59</v>
      </c>
      <c r="AH35">
        <v>32</v>
      </c>
      <c r="AI35">
        <v>36</v>
      </c>
      <c r="AJ35">
        <v>14</v>
      </c>
      <c r="AK35">
        <v>110</v>
      </c>
      <c r="AL35" t="s">
        <v>226</v>
      </c>
      <c r="AM35" t="s">
        <v>227</v>
      </c>
      <c r="AN35" t="s">
        <v>228</v>
      </c>
      <c r="AO35" t="s">
        <v>229</v>
      </c>
      <c r="AP35" t="s">
        <v>74</v>
      </c>
      <c r="AQ35" t="s">
        <v>74</v>
      </c>
      <c r="AR35" t="s">
        <v>230</v>
      </c>
      <c r="AS35" t="s">
        <v>231</v>
      </c>
      <c r="AT35" t="s">
        <v>273</v>
      </c>
      <c r="AU35">
        <v>2021</v>
      </c>
      <c r="AV35">
        <v>7</v>
      </c>
      <c r="AW35">
        <v>3</v>
      </c>
      <c r="AX35" t="s">
        <v>74</v>
      </c>
      <c r="AY35" t="s">
        <v>74</v>
      </c>
      <c r="AZ35" t="s">
        <v>74</v>
      </c>
      <c r="BA35" t="s">
        <v>74</v>
      </c>
      <c r="BB35" t="s">
        <v>74</v>
      </c>
      <c r="BC35" t="s">
        <v>74</v>
      </c>
      <c r="BD35">
        <v>2.0563051211042396E+16</v>
      </c>
      <c r="BE35" t="s">
        <v>854</v>
      </c>
      <c r="BF35" t="str">
        <f>HYPERLINK("http://dx.doi.org/10.1177/20563051211042396","http://dx.doi.org/10.1177/20563051211042396")</f>
        <v>http://dx.doi.org/10.1177/20563051211042396</v>
      </c>
      <c r="BG35" t="s">
        <v>74</v>
      </c>
      <c r="BH35" t="s">
        <v>74</v>
      </c>
      <c r="BI35">
        <v>12</v>
      </c>
      <c r="BJ35" t="s">
        <v>124</v>
      </c>
      <c r="BK35" t="s">
        <v>99</v>
      </c>
      <c r="BL35" t="s">
        <v>124</v>
      </c>
      <c r="BM35" t="s">
        <v>855</v>
      </c>
      <c r="BN35" t="s">
        <v>74</v>
      </c>
      <c r="BO35" t="s">
        <v>552</v>
      </c>
      <c r="BP35" t="s">
        <v>74</v>
      </c>
      <c r="BQ35" t="s">
        <v>74</v>
      </c>
      <c r="BR35" t="s">
        <v>102</v>
      </c>
      <c r="BS35" t="s">
        <v>856</v>
      </c>
      <c r="BT35" t="str">
        <f>HYPERLINK("https%3A%2F%2Fwww.webofscience.com%2Fwos%2Fwoscc%2Ffull-record%2FWOS:000697984000001","View Full Record in Web of Science")</f>
        <v>View Full Record in Web of Science</v>
      </c>
    </row>
    <row r="36" spans="1:72" x14ac:dyDescent="0.35">
      <c r="A36" t="s">
        <v>72</v>
      </c>
      <c r="B36" t="s">
        <v>857</v>
      </c>
      <c r="C36" t="s">
        <v>74</v>
      </c>
      <c r="D36" t="s">
        <v>74</v>
      </c>
      <c r="E36" t="s">
        <v>74</v>
      </c>
      <c r="F36" t="s">
        <v>858</v>
      </c>
      <c r="G36" t="s">
        <v>74</v>
      </c>
      <c r="H36" t="s">
        <v>74</v>
      </c>
      <c r="I36" t="s">
        <v>859</v>
      </c>
      <c r="J36" t="s">
        <v>860</v>
      </c>
      <c r="K36" t="s">
        <v>74</v>
      </c>
      <c r="L36" t="s">
        <v>74</v>
      </c>
      <c r="M36" t="s">
        <v>78</v>
      </c>
      <c r="N36" t="s">
        <v>108</v>
      </c>
      <c r="O36" t="s">
        <v>74</v>
      </c>
      <c r="P36" t="s">
        <v>74</v>
      </c>
      <c r="Q36" t="s">
        <v>74</v>
      </c>
      <c r="R36" t="s">
        <v>74</v>
      </c>
      <c r="S36" t="s">
        <v>74</v>
      </c>
      <c r="T36" t="s">
        <v>861</v>
      </c>
      <c r="U36" t="s">
        <v>862</v>
      </c>
      <c r="V36" t="s">
        <v>863</v>
      </c>
      <c r="W36" t="s">
        <v>864</v>
      </c>
      <c r="X36" t="s">
        <v>865</v>
      </c>
      <c r="Y36" t="s">
        <v>866</v>
      </c>
      <c r="Z36" t="s">
        <v>867</v>
      </c>
      <c r="AA36" t="s">
        <v>868</v>
      </c>
      <c r="AB36" t="s">
        <v>869</v>
      </c>
      <c r="AC36" t="s">
        <v>74</v>
      </c>
      <c r="AD36" t="s">
        <v>74</v>
      </c>
      <c r="AE36" t="s">
        <v>74</v>
      </c>
      <c r="AF36" t="s">
        <v>74</v>
      </c>
      <c r="AG36">
        <v>74</v>
      </c>
      <c r="AH36">
        <v>22</v>
      </c>
      <c r="AI36">
        <v>22</v>
      </c>
      <c r="AJ36">
        <v>32</v>
      </c>
      <c r="AK36">
        <v>284</v>
      </c>
      <c r="AL36" t="s">
        <v>870</v>
      </c>
      <c r="AM36" t="s">
        <v>871</v>
      </c>
      <c r="AN36" t="s">
        <v>872</v>
      </c>
      <c r="AO36" t="s">
        <v>873</v>
      </c>
      <c r="AP36" t="s">
        <v>874</v>
      </c>
      <c r="AQ36" t="s">
        <v>74</v>
      </c>
      <c r="AR36" t="s">
        <v>875</v>
      </c>
      <c r="AS36" t="s">
        <v>876</v>
      </c>
      <c r="AT36" t="s">
        <v>74</v>
      </c>
      <c r="AU36">
        <v>2021</v>
      </c>
      <c r="AV36">
        <v>12</v>
      </c>
      <c r="AW36">
        <v>2</v>
      </c>
      <c r="AX36" t="s">
        <v>74</v>
      </c>
      <c r="AY36" t="s">
        <v>74</v>
      </c>
      <c r="AZ36" t="s">
        <v>74</v>
      </c>
      <c r="BA36" t="s">
        <v>74</v>
      </c>
      <c r="BB36">
        <v>273</v>
      </c>
      <c r="BC36">
        <v>292</v>
      </c>
      <c r="BD36" t="s">
        <v>74</v>
      </c>
      <c r="BE36" t="s">
        <v>877</v>
      </c>
      <c r="BF36" t="str">
        <f>HYPERLINK("http://dx.doi.org/10.1386/jdmp_00062_1","http://dx.doi.org/10.1386/jdmp_00062_1")</f>
        <v>http://dx.doi.org/10.1386/jdmp_00062_1</v>
      </c>
      <c r="BG36" t="s">
        <v>74</v>
      </c>
      <c r="BH36" t="s">
        <v>74</v>
      </c>
      <c r="BI36">
        <v>20</v>
      </c>
      <c r="BJ36" t="s">
        <v>124</v>
      </c>
      <c r="BK36" t="s">
        <v>125</v>
      </c>
      <c r="BL36" t="s">
        <v>124</v>
      </c>
      <c r="BM36" t="s">
        <v>878</v>
      </c>
      <c r="BN36" t="s">
        <v>74</v>
      </c>
      <c r="BO36" t="s">
        <v>74</v>
      </c>
      <c r="BP36" t="s">
        <v>74</v>
      </c>
      <c r="BQ36" t="s">
        <v>74</v>
      </c>
      <c r="BR36" t="s">
        <v>102</v>
      </c>
      <c r="BS36" t="s">
        <v>879</v>
      </c>
      <c r="BT36" t="str">
        <f>HYPERLINK("https%3A%2F%2Fwww.webofscience.com%2Fwos%2Fwoscc%2Ffull-record%2FWOS:000684607100005","View Full Record in Web of Science")</f>
        <v>View Full Record in Web of Science</v>
      </c>
    </row>
    <row r="37" spans="1:72" x14ac:dyDescent="0.35">
      <c r="A37" t="s">
        <v>128</v>
      </c>
      <c r="B37" t="s">
        <v>880</v>
      </c>
      <c r="C37" t="s">
        <v>74</v>
      </c>
      <c r="D37" t="s">
        <v>74</v>
      </c>
      <c r="E37" t="s">
        <v>702</v>
      </c>
      <c r="F37" t="s">
        <v>881</v>
      </c>
      <c r="G37" t="s">
        <v>74</v>
      </c>
      <c r="H37" t="s">
        <v>74</v>
      </c>
      <c r="I37" t="s">
        <v>882</v>
      </c>
      <c r="J37" t="s">
        <v>883</v>
      </c>
      <c r="K37" t="s">
        <v>74</v>
      </c>
      <c r="L37" t="s">
        <v>74</v>
      </c>
      <c r="M37" t="s">
        <v>78</v>
      </c>
      <c r="N37" t="s">
        <v>135</v>
      </c>
      <c r="O37" t="s">
        <v>884</v>
      </c>
      <c r="P37" t="s">
        <v>829</v>
      </c>
      <c r="Q37" t="s">
        <v>830</v>
      </c>
      <c r="R37" t="s">
        <v>831</v>
      </c>
      <c r="S37" t="s">
        <v>74</v>
      </c>
      <c r="T37" t="s">
        <v>885</v>
      </c>
      <c r="U37" t="s">
        <v>74</v>
      </c>
      <c r="V37" t="s">
        <v>886</v>
      </c>
      <c r="W37" t="s">
        <v>887</v>
      </c>
      <c r="X37" t="s">
        <v>888</v>
      </c>
      <c r="Y37" t="s">
        <v>889</v>
      </c>
      <c r="Z37" t="s">
        <v>890</v>
      </c>
      <c r="AA37" t="s">
        <v>74</v>
      </c>
      <c r="AB37" t="s">
        <v>891</v>
      </c>
      <c r="AC37" t="s">
        <v>74</v>
      </c>
      <c r="AD37" t="s">
        <v>74</v>
      </c>
      <c r="AE37" t="s">
        <v>74</v>
      </c>
      <c r="AF37" t="s">
        <v>74</v>
      </c>
      <c r="AG37">
        <v>73</v>
      </c>
      <c r="AH37">
        <v>1</v>
      </c>
      <c r="AI37">
        <v>1</v>
      </c>
      <c r="AJ37">
        <v>10</v>
      </c>
      <c r="AK37">
        <v>10</v>
      </c>
      <c r="AL37" t="s">
        <v>718</v>
      </c>
      <c r="AM37" t="s">
        <v>666</v>
      </c>
      <c r="AN37" t="s">
        <v>719</v>
      </c>
      <c r="AO37" t="s">
        <v>74</v>
      </c>
      <c r="AP37" t="s">
        <v>74</v>
      </c>
      <c r="AQ37" t="s">
        <v>892</v>
      </c>
      <c r="AR37" t="s">
        <v>74</v>
      </c>
      <c r="AS37" t="s">
        <v>74</v>
      </c>
      <c r="AT37" t="s">
        <v>74</v>
      </c>
      <c r="AU37">
        <v>2024</v>
      </c>
      <c r="AV37" t="s">
        <v>74</v>
      </c>
      <c r="AW37" t="s">
        <v>74</v>
      </c>
      <c r="AX37" t="s">
        <v>74</v>
      </c>
      <c r="AY37" t="s">
        <v>74</v>
      </c>
      <c r="AZ37" t="s">
        <v>74</v>
      </c>
      <c r="BA37" t="s">
        <v>74</v>
      </c>
      <c r="BB37" t="s">
        <v>74</v>
      </c>
      <c r="BC37" t="s">
        <v>74</v>
      </c>
      <c r="BD37">
        <v>731</v>
      </c>
      <c r="BE37" t="s">
        <v>893</v>
      </c>
      <c r="BF37" t="str">
        <f>HYPERLINK("http://dx.doi.org/10.1145/3613904.3642433","http://dx.doi.org/10.1145/3613904.3642433")</f>
        <v>http://dx.doi.org/10.1145/3613904.3642433</v>
      </c>
      <c r="BG37" t="s">
        <v>74</v>
      </c>
      <c r="BH37" t="s">
        <v>74</v>
      </c>
      <c r="BI37">
        <v>16</v>
      </c>
      <c r="BJ37" t="s">
        <v>894</v>
      </c>
      <c r="BK37" t="s">
        <v>723</v>
      </c>
      <c r="BL37" t="s">
        <v>210</v>
      </c>
      <c r="BM37" t="s">
        <v>895</v>
      </c>
      <c r="BN37" t="s">
        <v>74</v>
      </c>
      <c r="BO37" t="s">
        <v>896</v>
      </c>
      <c r="BP37" t="s">
        <v>74</v>
      </c>
      <c r="BQ37" t="s">
        <v>74</v>
      </c>
      <c r="BR37" t="s">
        <v>102</v>
      </c>
      <c r="BS37" t="s">
        <v>897</v>
      </c>
      <c r="BT37" t="str">
        <f>HYPERLINK("https%3A%2F%2Fwww.webofscience.com%2Fwos%2Fwoscc%2Ffull-record%2FWOS:001259864900032","View Full Record in Web of Science")</f>
        <v>View Full Record in Web of Science</v>
      </c>
    </row>
    <row r="38" spans="1:72" x14ac:dyDescent="0.35">
      <c r="A38" t="s">
        <v>128</v>
      </c>
      <c r="B38" t="s">
        <v>898</v>
      </c>
      <c r="C38" t="s">
        <v>74</v>
      </c>
      <c r="D38" t="s">
        <v>899</v>
      </c>
      <c r="E38" t="s">
        <v>74</v>
      </c>
      <c r="F38" t="s">
        <v>900</v>
      </c>
      <c r="G38" t="s">
        <v>74</v>
      </c>
      <c r="H38" t="s">
        <v>74</v>
      </c>
      <c r="I38" t="s">
        <v>901</v>
      </c>
      <c r="J38" t="s">
        <v>902</v>
      </c>
      <c r="K38" t="s">
        <v>74</v>
      </c>
      <c r="L38" t="s">
        <v>74</v>
      </c>
      <c r="M38" t="s">
        <v>78</v>
      </c>
      <c r="N38" t="s">
        <v>135</v>
      </c>
      <c r="O38" t="s">
        <v>903</v>
      </c>
      <c r="P38" t="s">
        <v>904</v>
      </c>
      <c r="Q38" t="s">
        <v>138</v>
      </c>
      <c r="R38" t="s">
        <v>905</v>
      </c>
      <c r="S38" t="s">
        <v>74</v>
      </c>
      <c r="T38" t="s">
        <v>74</v>
      </c>
      <c r="U38" t="s">
        <v>906</v>
      </c>
      <c r="V38" t="s">
        <v>907</v>
      </c>
      <c r="W38" t="s">
        <v>908</v>
      </c>
      <c r="X38" t="s">
        <v>909</v>
      </c>
      <c r="Y38" t="s">
        <v>910</v>
      </c>
      <c r="Z38" t="s">
        <v>911</v>
      </c>
      <c r="AA38" t="s">
        <v>74</v>
      </c>
      <c r="AB38" t="s">
        <v>912</v>
      </c>
      <c r="AC38" t="s">
        <v>74</v>
      </c>
      <c r="AD38" t="s">
        <v>74</v>
      </c>
      <c r="AE38" t="s">
        <v>74</v>
      </c>
      <c r="AF38" t="s">
        <v>74</v>
      </c>
      <c r="AG38">
        <v>19</v>
      </c>
      <c r="AH38">
        <v>10</v>
      </c>
      <c r="AI38">
        <v>10</v>
      </c>
      <c r="AJ38">
        <v>2</v>
      </c>
      <c r="AK38">
        <v>6</v>
      </c>
      <c r="AL38" t="s">
        <v>718</v>
      </c>
      <c r="AM38" t="s">
        <v>666</v>
      </c>
      <c r="AN38" t="s">
        <v>719</v>
      </c>
      <c r="AO38" t="s">
        <v>74</v>
      </c>
      <c r="AP38" t="s">
        <v>74</v>
      </c>
      <c r="AQ38" t="s">
        <v>913</v>
      </c>
      <c r="AR38" t="s">
        <v>74</v>
      </c>
      <c r="AS38" t="s">
        <v>74</v>
      </c>
      <c r="AT38" t="s">
        <v>74</v>
      </c>
      <c r="AU38">
        <v>2021</v>
      </c>
      <c r="AV38" t="s">
        <v>74</v>
      </c>
      <c r="AW38" t="s">
        <v>74</v>
      </c>
      <c r="AX38" t="s">
        <v>74</v>
      </c>
      <c r="AY38" t="s">
        <v>74</v>
      </c>
      <c r="AZ38" t="s">
        <v>74</v>
      </c>
      <c r="BA38" t="s">
        <v>74</v>
      </c>
      <c r="BB38">
        <v>108</v>
      </c>
      <c r="BC38">
        <v>111</v>
      </c>
      <c r="BD38" t="s">
        <v>74</v>
      </c>
      <c r="BE38" t="s">
        <v>914</v>
      </c>
      <c r="BF38" t="str">
        <f>HYPERLINK("http://dx.doi.org/10.1145/3462204.3481741","http://dx.doi.org/10.1145/3462204.3481741")</f>
        <v>http://dx.doi.org/10.1145/3462204.3481741</v>
      </c>
      <c r="BG38" t="s">
        <v>74</v>
      </c>
      <c r="BH38" t="s">
        <v>74</v>
      </c>
      <c r="BI38">
        <v>4</v>
      </c>
      <c r="BJ38" t="s">
        <v>915</v>
      </c>
      <c r="BK38" t="s">
        <v>648</v>
      </c>
      <c r="BL38" t="s">
        <v>916</v>
      </c>
      <c r="BM38" t="s">
        <v>917</v>
      </c>
      <c r="BN38" t="s">
        <v>74</v>
      </c>
      <c r="BO38" t="s">
        <v>767</v>
      </c>
      <c r="BP38" t="s">
        <v>74</v>
      </c>
      <c r="BQ38" t="s">
        <v>74</v>
      </c>
      <c r="BR38" t="s">
        <v>102</v>
      </c>
      <c r="BS38" t="s">
        <v>918</v>
      </c>
      <c r="BT38" t="str">
        <f>HYPERLINK("https%3A%2F%2Fwww.webofscience.com%2Fwos%2Fwoscc%2Ffull-record%2FWOS:001081877800024","View Full Record in Web of Science")</f>
        <v>View Full Record in Web of Science</v>
      </c>
    </row>
    <row r="39" spans="1:72" x14ac:dyDescent="0.35">
      <c r="A39" t="s">
        <v>72</v>
      </c>
      <c r="B39" t="s">
        <v>919</v>
      </c>
      <c r="C39" t="s">
        <v>74</v>
      </c>
      <c r="D39" t="s">
        <v>74</v>
      </c>
      <c r="E39" t="s">
        <v>74</v>
      </c>
      <c r="F39" t="s">
        <v>920</v>
      </c>
      <c r="G39" t="s">
        <v>74</v>
      </c>
      <c r="H39" t="s">
        <v>74</v>
      </c>
      <c r="I39" t="s">
        <v>921</v>
      </c>
      <c r="J39" t="s">
        <v>216</v>
      </c>
      <c r="K39" t="s">
        <v>74</v>
      </c>
      <c r="L39" t="s">
        <v>74</v>
      </c>
      <c r="M39" t="s">
        <v>78</v>
      </c>
      <c r="N39" t="s">
        <v>108</v>
      </c>
      <c r="O39" t="s">
        <v>74</v>
      </c>
      <c r="P39" t="s">
        <v>74</v>
      </c>
      <c r="Q39" t="s">
        <v>74</v>
      </c>
      <c r="R39" t="s">
        <v>74</v>
      </c>
      <c r="S39" t="s">
        <v>74</v>
      </c>
      <c r="T39" t="s">
        <v>922</v>
      </c>
      <c r="U39" t="s">
        <v>923</v>
      </c>
      <c r="V39" t="s">
        <v>924</v>
      </c>
      <c r="W39" t="s">
        <v>925</v>
      </c>
      <c r="X39" t="s">
        <v>926</v>
      </c>
      <c r="Y39" t="s">
        <v>927</v>
      </c>
      <c r="Z39" t="s">
        <v>928</v>
      </c>
      <c r="AA39" t="s">
        <v>74</v>
      </c>
      <c r="AB39" t="s">
        <v>929</v>
      </c>
      <c r="AC39" t="s">
        <v>74</v>
      </c>
      <c r="AD39" t="s">
        <v>74</v>
      </c>
      <c r="AE39" t="s">
        <v>74</v>
      </c>
      <c r="AF39" t="s">
        <v>74</v>
      </c>
      <c r="AG39">
        <v>88</v>
      </c>
      <c r="AH39">
        <v>0</v>
      </c>
      <c r="AI39">
        <v>0</v>
      </c>
      <c r="AJ39">
        <v>17</v>
      </c>
      <c r="AK39">
        <v>17</v>
      </c>
      <c r="AL39" t="s">
        <v>226</v>
      </c>
      <c r="AM39" t="s">
        <v>227</v>
      </c>
      <c r="AN39" t="s">
        <v>228</v>
      </c>
      <c r="AO39" t="s">
        <v>229</v>
      </c>
      <c r="AP39" t="s">
        <v>74</v>
      </c>
      <c r="AQ39" t="s">
        <v>74</v>
      </c>
      <c r="AR39" t="s">
        <v>230</v>
      </c>
      <c r="AS39" t="s">
        <v>231</v>
      </c>
      <c r="AT39" t="s">
        <v>930</v>
      </c>
      <c r="AU39">
        <v>2024</v>
      </c>
      <c r="AV39">
        <v>10</v>
      </c>
      <c r="AW39">
        <v>2</v>
      </c>
      <c r="AX39" t="s">
        <v>74</v>
      </c>
      <c r="AY39" t="s">
        <v>74</v>
      </c>
      <c r="AZ39" t="s">
        <v>74</v>
      </c>
      <c r="BA39" t="s">
        <v>74</v>
      </c>
      <c r="BB39" t="s">
        <v>74</v>
      </c>
      <c r="BC39" t="s">
        <v>74</v>
      </c>
      <c r="BD39">
        <v>2.0563051241254372E+16</v>
      </c>
      <c r="BE39" t="s">
        <v>931</v>
      </c>
      <c r="BF39" t="str">
        <f>HYPERLINK("http://dx.doi.org/10.1177/20563051241254371","http://dx.doi.org/10.1177/20563051241254371")</f>
        <v>http://dx.doi.org/10.1177/20563051241254371</v>
      </c>
      <c r="BG39" t="s">
        <v>74</v>
      </c>
      <c r="BH39" t="s">
        <v>74</v>
      </c>
      <c r="BI39">
        <v>14</v>
      </c>
      <c r="BJ39" t="s">
        <v>124</v>
      </c>
      <c r="BK39" t="s">
        <v>99</v>
      </c>
      <c r="BL39" t="s">
        <v>124</v>
      </c>
      <c r="BM39" t="s">
        <v>932</v>
      </c>
      <c r="BN39" t="s">
        <v>74</v>
      </c>
      <c r="BO39" t="s">
        <v>235</v>
      </c>
      <c r="BP39" t="s">
        <v>74</v>
      </c>
      <c r="BQ39" t="s">
        <v>74</v>
      </c>
      <c r="BR39" t="s">
        <v>102</v>
      </c>
      <c r="BS39" t="s">
        <v>933</v>
      </c>
      <c r="BT39" t="str">
        <f>HYPERLINK("https%3A%2F%2Fwww.webofscience.com%2Fwos%2Fwoscc%2Ffull-record%2FWOS:001225638900001","View Full Record in Web of Science")</f>
        <v>View Full Record in Web of Science</v>
      </c>
    </row>
    <row r="40" spans="1:72" x14ac:dyDescent="0.35">
      <c r="A40" t="s">
        <v>72</v>
      </c>
      <c r="B40" t="s">
        <v>934</v>
      </c>
      <c r="C40" t="s">
        <v>74</v>
      </c>
      <c r="D40" t="s">
        <v>74</v>
      </c>
      <c r="E40" t="s">
        <v>74</v>
      </c>
      <c r="F40" t="s">
        <v>935</v>
      </c>
      <c r="G40" t="s">
        <v>74</v>
      </c>
      <c r="H40" t="s">
        <v>74</v>
      </c>
      <c r="I40" t="s">
        <v>936</v>
      </c>
      <c r="J40" t="s">
        <v>937</v>
      </c>
      <c r="K40" t="s">
        <v>74</v>
      </c>
      <c r="L40" t="s">
        <v>74</v>
      </c>
      <c r="M40" t="s">
        <v>78</v>
      </c>
      <c r="N40" t="s">
        <v>108</v>
      </c>
      <c r="O40" t="s">
        <v>74</v>
      </c>
      <c r="P40" t="s">
        <v>74</v>
      </c>
      <c r="Q40" t="s">
        <v>74</v>
      </c>
      <c r="R40" t="s">
        <v>74</v>
      </c>
      <c r="S40" t="s">
        <v>74</v>
      </c>
      <c r="T40" t="s">
        <v>938</v>
      </c>
      <c r="U40" t="s">
        <v>939</v>
      </c>
      <c r="V40" t="s">
        <v>940</v>
      </c>
      <c r="W40" t="s">
        <v>941</v>
      </c>
      <c r="X40" t="s">
        <v>942</v>
      </c>
      <c r="Y40" t="s">
        <v>943</v>
      </c>
      <c r="Z40" t="s">
        <v>944</v>
      </c>
      <c r="AA40" t="s">
        <v>74</v>
      </c>
      <c r="AB40" t="s">
        <v>74</v>
      </c>
      <c r="AC40" t="s">
        <v>74</v>
      </c>
      <c r="AD40" t="s">
        <v>74</v>
      </c>
      <c r="AE40" t="s">
        <v>74</v>
      </c>
      <c r="AF40" t="s">
        <v>74</v>
      </c>
      <c r="AG40">
        <v>48</v>
      </c>
      <c r="AH40">
        <v>0</v>
      </c>
      <c r="AI40">
        <v>0</v>
      </c>
      <c r="AJ40">
        <v>0</v>
      </c>
      <c r="AK40">
        <v>0</v>
      </c>
      <c r="AL40" t="s">
        <v>251</v>
      </c>
      <c r="AM40" t="s">
        <v>252</v>
      </c>
      <c r="AN40" t="s">
        <v>253</v>
      </c>
      <c r="AO40" t="s">
        <v>74</v>
      </c>
      <c r="AP40" t="s">
        <v>945</v>
      </c>
      <c r="AQ40" t="s">
        <v>74</v>
      </c>
      <c r="AR40" t="s">
        <v>946</v>
      </c>
      <c r="AS40" t="s">
        <v>947</v>
      </c>
      <c r="AT40" t="s">
        <v>948</v>
      </c>
      <c r="AU40">
        <v>2024</v>
      </c>
      <c r="AV40">
        <v>2024</v>
      </c>
      <c r="AW40" t="s">
        <v>74</v>
      </c>
      <c r="AX40" t="s">
        <v>74</v>
      </c>
      <c r="AY40" t="s">
        <v>74</v>
      </c>
      <c r="AZ40" t="s">
        <v>74</v>
      </c>
      <c r="BA40" t="s">
        <v>74</v>
      </c>
      <c r="BB40" t="s">
        <v>74</v>
      </c>
      <c r="BC40" t="s">
        <v>74</v>
      </c>
      <c r="BD40">
        <v>6002586</v>
      </c>
      <c r="BE40" t="s">
        <v>949</v>
      </c>
      <c r="BF40" t="str">
        <f>HYPERLINK("http://dx.doi.org/10.1155/2024/6002586","http://dx.doi.org/10.1155/2024/6002586")</f>
        <v>http://dx.doi.org/10.1155/2024/6002586</v>
      </c>
      <c r="BG40" t="s">
        <v>74</v>
      </c>
      <c r="BH40" t="s">
        <v>74</v>
      </c>
      <c r="BI40">
        <v>14</v>
      </c>
      <c r="BJ40" t="s">
        <v>698</v>
      </c>
      <c r="BK40" t="s">
        <v>125</v>
      </c>
      <c r="BL40" t="s">
        <v>301</v>
      </c>
      <c r="BM40" t="s">
        <v>950</v>
      </c>
      <c r="BN40" t="s">
        <v>74</v>
      </c>
      <c r="BO40" t="s">
        <v>235</v>
      </c>
      <c r="BP40" t="s">
        <v>74</v>
      </c>
      <c r="BQ40" t="s">
        <v>74</v>
      </c>
      <c r="BR40" t="s">
        <v>102</v>
      </c>
      <c r="BS40" t="s">
        <v>951</v>
      </c>
      <c r="BT40" t="str">
        <f>HYPERLINK("https%3A%2F%2Fwww.webofscience.com%2Fwos%2Fwoscc%2Ffull-record%2FWOS:001356412100001","View Full Record in Web of Science")</f>
        <v>View Full Record in Web of Science</v>
      </c>
    </row>
    <row r="41" spans="1:72" x14ac:dyDescent="0.35">
      <c r="A41" t="s">
        <v>72</v>
      </c>
      <c r="B41" t="s">
        <v>952</v>
      </c>
      <c r="C41" t="s">
        <v>74</v>
      </c>
      <c r="D41" t="s">
        <v>74</v>
      </c>
      <c r="E41" t="s">
        <v>74</v>
      </c>
      <c r="F41" t="s">
        <v>953</v>
      </c>
      <c r="G41" t="s">
        <v>74</v>
      </c>
      <c r="H41" t="s">
        <v>74</v>
      </c>
      <c r="I41" t="s">
        <v>954</v>
      </c>
      <c r="J41" t="s">
        <v>401</v>
      </c>
      <c r="K41" t="s">
        <v>74</v>
      </c>
      <c r="L41" t="s">
        <v>74</v>
      </c>
      <c r="M41" t="s">
        <v>78</v>
      </c>
      <c r="N41" t="s">
        <v>108</v>
      </c>
      <c r="O41" t="s">
        <v>74</v>
      </c>
      <c r="P41" t="s">
        <v>74</v>
      </c>
      <c r="Q41" t="s">
        <v>74</v>
      </c>
      <c r="R41" t="s">
        <v>74</v>
      </c>
      <c r="S41" t="s">
        <v>74</v>
      </c>
      <c r="T41" t="s">
        <v>955</v>
      </c>
      <c r="U41" t="s">
        <v>956</v>
      </c>
      <c r="V41" t="s">
        <v>957</v>
      </c>
      <c r="W41" t="s">
        <v>958</v>
      </c>
      <c r="X41" t="s">
        <v>959</v>
      </c>
      <c r="Y41" t="s">
        <v>960</v>
      </c>
      <c r="Z41" t="s">
        <v>961</v>
      </c>
      <c r="AA41" t="s">
        <v>962</v>
      </c>
      <c r="AB41" t="s">
        <v>74</v>
      </c>
      <c r="AC41" t="s">
        <v>74</v>
      </c>
      <c r="AD41" t="s">
        <v>74</v>
      </c>
      <c r="AE41" t="s">
        <v>74</v>
      </c>
      <c r="AF41" t="s">
        <v>74</v>
      </c>
      <c r="AG41">
        <v>63</v>
      </c>
      <c r="AH41">
        <v>0</v>
      </c>
      <c r="AI41">
        <v>0</v>
      </c>
      <c r="AJ41">
        <v>5</v>
      </c>
      <c r="AK41">
        <v>5</v>
      </c>
      <c r="AL41" t="s">
        <v>409</v>
      </c>
      <c r="AM41" t="s">
        <v>410</v>
      </c>
      <c r="AN41" t="s">
        <v>411</v>
      </c>
      <c r="AO41" t="s">
        <v>412</v>
      </c>
      <c r="AP41" t="s">
        <v>74</v>
      </c>
      <c r="AQ41" t="s">
        <v>74</v>
      </c>
      <c r="AR41" t="s">
        <v>413</v>
      </c>
      <c r="AS41" t="s">
        <v>414</v>
      </c>
      <c r="AT41" t="s">
        <v>74</v>
      </c>
      <c r="AU41">
        <v>2024</v>
      </c>
      <c r="AV41">
        <v>18</v>
      </c>
      <c r="AW41" t="s">
        <v>74</v>
      </c>
      <c r="AX41" t="s">
        <v>74</v>
      </c>
      <c r="AY41" t="s">
        <v>74</v>
      </c>
      <c r="AZ41" t="s">
        <v>74</v>
      </c>
      <c r="BA41" t="s">
        <v>74</v>
      </c>
      <c r="BB41">
        <v>2201</v>
      </c>
      <c r="BC41">
        <v>2223</v>
      </c>
      <c r="BD41" t="s">
        <v>74</v>
      </c>
      <c r="BE41" t="s">
        <v>74</v>
      </c>
      <c r="BF41" t="s">
        <v>74</v>
      </c>
      <c r="BG41" t="s">
        <v>74</v>
      </c>
      <c r="BH41" t="s">
        <v>74</v>
      </c>
      <c r="BI41">
        <v>23</v>
      </c>
      <c r="BJ41" t="s">
        <v>124</v>
      </c>
      <c r="BK41" t="s">
        <v>99</v>
      </c>
      <c r="BL41" t="s">
        <v>124</v>
      </c>
      <c r="BM41" t="s">
        <v>963</v>
      </c>
      <c r="BN41" t="s">
        <v>74</v>
      </c>
      <c r="BO41" t="s">
        <v>74</v>
      </c>
      <c r="BP41" t="s">
        <v>74</v>
      </c>
      <c r="BQ41" t="s">
        <v>74</v>
      </c>
      <c r="BR41" t="s">
        <v>102</v>
      </c>
      <c r="BS41" t="s">
        <v>964</v>
      </c>
      <c r="BT41" t="str">
        <f>HYPERLINK("https%3A%2F%2Fwww.webofscience.com%2Fwos%2Fwoscc%2Ffull-record%2FWOS:001226258200043","View Full Record in Web of Science")</f>
        <v>View Full Record in Web of Science</v>
      </c>
    </row>
    <row r="42" spans="1:72" x14ac:dyDescent="0.35">
      <c r="A42" t="s">
        <v>72</v>
      </c>
      <c r="B42" t="s">
        <v>965</v>
      </c>
      <c r="C42" t="s">
        <v>74</v>
      </c>
      <c r="D42" t="s">
        <v>74</v>
      </c>
      <c r="E42" t="s">
        <v>74</v>
      </c>
      <c r="F42" t="s">
        <v>966</v>
      </c>
      <c r="G42" t="s">
        <v>74</v>
      </c>
      <c r="H42" t="s">
        <v>74</v>
      </c>
      <c r="I42" t="s">
        <v>967</v>
      </c>
      <c r="J42" t="s">
        <v>968</v>
      </c>
      <c r="K42" t="s">
        <v>74</v>
      </c>
      <c r="L42" t="s">
        <v>74</v>
      </c>
      <c r="M42" t="s">
        <v>78</v>
      </c>
      <c r="N42" t="s">
        <v>108</v>
      </c>
      <c r="O42" t="s">
        <v>74</v>
      </c>
      <c r="P42" t="s">
        <v>74</v>
      </c>
      <c r="Q42" t="s">
        <v>74</v>
      </c>
      <c r="R42" t="s">
        <v>74</v>
      </c>
      <c r="S42" t="s">
        <v>74</v>
      </c>
      <c r="T42" t="s">
        <v>969</v>
      </c>
      <c r="U42" t="s">
        <v>970</v>
      </c>
      <c r="V42" t="s">
        <v>971</v>
      </c>
      <c r="W42" t="s">
        <v>972</v>
      </c>
      <c r="X42" t="s">
        <v>973</v>
      </c>
      <c r="Y42" t="s">
        <v>974</v>
      </c>
      <c r="Z42" t="s">
        <v>975</v>
      </c>
      <c r="AA42" t="s">
        <v>976</v>
      </c>
      <c r="AB42" t="s">
        <v>977</v>
      </c>
      <c r="AC42" t="s">
        <v>74</v>
      </c>
      <c r="AD42" t="s">
        <v>74</v>
      </c>
      <c r="AE42" t="s">
        <v>74</v>
      </c>
      <c r="AF42" t="s">
        <v>74</v>
      </c>
      <c r="AG42">
        <v>81</v>
      </c>
      <c r="AH42">
        <v>3</v>
      </c>
      <c r="AI42">
        <v>4</v>
      </c>
      <c r="AJ42">
        <v>6</v>
      </c>
      <c r="AK42">
        <v>56</v>
      </c>
      <c r="AL42" t="s">
        <v>226</v>
      </c>
      <c r="AM42" t="s">
        <v>227</v>
      </c>
      <c r="AN42" t="s">
        <v>228</v>
      </c>
      <c r="AO42" t="s">
        <v>978</v>
      </c>
      <c r="AP42" t="s">
        <v>979</v>
      </c>
      <c r="AQ42" t="s">
        <v>74</v>
      </c>
      <c r="AR42" t="s">
        <v>980</v>
      </c>
      <c r="AS42" t="s">
        <v>981</v>
      </c>
      <c r="AT42" t="s">
        <v>178</v>
      </c>
      <c r="AU42">
        <v>2023</v>
      </c>
      <c r="AV42">
        <v>186</v>
      </c>
      <c r="AW42">
        <v>1</v>
      </c>
      <c r="AX42" t="s">
        <v>74</v>
      </c>
      <c r="AY42" t="s">
        <v>74</v>
      </c>
      <c r="AZ42" t="s">
        <v>456</v>
      </c>
      <c r="BA42" t="s">
        <v>74</v>
      </c>
      <c r="BB42">
        <v>48</v>
      </c>
      <c r="BC42">
        <v>65</v>
      </c>
      <c r="BD42" t="s">
        <v>74</v>
      </c>
      <c r="BE42" t="s">
        <v>982</v>
      </c>
      <c r="BF42" t="str">
        <f>HYPERLINK("http://dx.doi.org/10.1177/1329878X221127037","http://dx.doi.org/10.1177/1329878X221127037")</f>
        <v>http://dx.doi.org/10.1177/1329878X221127037</v>
      </c>
      <c r="BG42" t="s">
        <v>74</v>
      </c>
      <c r="BH42" t="s">
        <v>598</v>
      </c>
      <c r="BI42">
        <v>18</v>
      </c>
      <c r="BJ42" t="s">
        <v>124</v>
      </c>
      <c r="BK42" t="s">
        <v>99</v>
      </c>
      <c r="BL42" t="s">
        <v>124</v>
      </c>
      <c r="BM42" t="s">
        <v>983</v>
      </c>
      <c r="BN42" t="s">
        <v>74</v>
      </c>
      <c r="BO42" t="s">
        <v>74</v>
      </c>
      <c r="BP42" t="s">
        <v>74</v>
      </c>
      <c r="BQ42" t="s">
        <v>74</v>
      </c>
      <c r="BR42" t="s">
        <v>102</v>
      </c>
      <c r="BS42" t="s">
        <v>984</v>
      </c>
      <c r="BT42" t="str">
        <f>HYPERLINK("https%3A%2F%2Fwww.webofscience.com%2Fwos%2Fwoscc%2Ffull-record%2FWOS:000857195900001","View Full Record in Web of Science")</f>
        <v>View Full Record in Web of Science</v>
      </c>
    </row>
    <row r="43" spans="1:72" x14ac:dyDescent="0.35">
      <c r="A43" t="s">
        <v>72</v>
      </c>
      <c r="B43" t="s">
        <v>985</v>
      </c>
      <c r="C43" t="s">
        <v>74</v>
      </c>
      <c r="D43" t="s">
        <v>74</v>
      </c>
      <c r="E43" t="s">
        <v>74</v>
      </c>
      <c r="F43" t="s">
        <v>986</v>
      </c>
      <c r="G43" t="s">
        <v>74</v>
      </c>
      <c r="H43" t="s">
        <v>74</v>
      </c>
      <c r="I43" t="s">
        <v>987</v>
      </c>
      <c r="J43" t="s">
        <v>988</v>
      </c>
      <c r="K43" t="s">
        <v>74</v>
      </c>
      <c r="L43" t="s">
        <v>74</v>
      </c>
      <c r="M43" t="s">
        <v>78</v>
      </c>
      <c r="N43" t="s">
        <v>108</v>
      </c>
      <c r="O43" t="s">
        <v>74</v>
      </c>
      <c r="P43" t="s">
        <v>74</v>
      </c>
      <c r="Q43" t="s">
        <v>74</v>
      </c>
      <c r="R43" t="s">
        <v>74</v>
      </c>
      <c r="S43" t="s">
        <v>74</v>
      </c>
      <c r="T43" t="s">
        <v>74</v>
      </c>
      <c r="U43" t="s">
        <v>74</v>
      </c>
      <c r="V43" t="s">
        <v>989</v>
      </c>
      <c r="W43" t="s">
        <v>990</v>
      </c>
      <c r="X43" t="s">
        <v>74</v>
      </c>
      <c r="Y43" t="s">
        <v>991</v>
      </c>
      <c r="Z43" t="s">
        <v>992</v>
      </c>
      <c r="AA43" t="s">
        <v>74</v>
      </c>
      <c r="AB43" t="s">
        <v>993</v>
      </c>
      <c r="AC43" t="s">
        <v>74</v>
      </c>
      <c r="AD43" t="s">
        <v>74</v>
      </c>
      <c r="AE43" t="s">
        <v>74</v>
      </c>
      <c r="AF43" t="s">
        <v>74</v>
      </c>
      <c r="AG43">
        <v>30</v>
      </c>
      <c r="AH43">
        <v>98</v>
      </c>
      <c r="AI43">
        <v>108</v>
      </c>
      <c r="AJ43">
        <v>7</v>
      </c>
      <c r="AK43">
        <v>19</v>
      </c>
      <c r="AL43" t="s">
        <v>994</v>
      </c>
      <c r="AM43" t="s">
        <v>995</v>
      </c>
      <c r="AN43" t="s">
        <v>996</v>
      </c>
      <c r="AO43" t="s">
        <v>997</v>
      </c>
      <c r="AP43" t="s">
        <v>998</v>
      </c>
      <c r="AQ43" t="s">
        <v>74</v>
      </c>
      <c r="AR43" t="s">
        <v>999</v>
      </c>
      <c r="AS43" t="s">
        <v>1000</v>
      </c>
      <c r="AT43" t="s">
        <v>1001</v>
      </c>
      <c r="AU43">
        <v>2023</v>
      </c>
      <c r="AV43">
        <v>46</v>
      </c>
      <c r="AW43">
        <v>5</v>
      </c>
      <c r="AX43" t="s">
        <v>74</v>
      </c>
      <c r="AY43" t="s">
        <v>74</v>
      </c>
      <c r="AZ43" t="s">
        <v>74</v>
      </c>
      <c r="BA43" t="s">
        <v>74</v>
      </c>
      <c r="BB43">
        <v>752</v>
      </c>
      <c r="BC43">
        <v>765</v>
      </c>
      <c r="BD43" t="s">
        <v>74</v>
      </c>
      <c r="BE43" t="s">
        <v>1002</v>
      </c>
      <c r="BF43" t="str">
        <f>HYPERLINK("http://dx.doi.org/10.1080/1057610X.2020.1780027","http://dx.doi.org/10.1080/1057610X.2020.1780027")</f>
        <v>http://dx.doi.org/10.1080/1057610X.2020.1780027</v>
      </c>
      <c r="BG43" t="s">
        <v>74</v>
      </c>
      <c r="BH43" t="s">
        <v>1003</v>
      </c>
      <c r="BI43">
        <v>14</v>
      </c>
      <c r="BJ43" t="s">
        <v>1004</v>
      </c>
      <c r="BK43" t="s">
        <v>99</v>
      </c>
      <c r="BL43" t="s">
        <v>1005</v>
      </c>
      <c r="BM43" t="s">
        <v>1006</v>
      </c>
      <c r="BN43" t="s">
        <v>74</v>
      </c>
      <c r="BO43" t="s">
        <v>74</v>
      </c>
      <c r="BP43" t="s">
        <v>74</v>
      </c>
      <c r="BQ43" t="s">
        <v>74</v>
      </c>
      <c r="BR43" t="s">
        <v>102</v>
      </c>
      <c r="BS43" t="s">
        <v>1007</v>
      </c>
      <c r="BT43" t="str">
        <f>HYPERLINK("https%3A%2F%2Fwww.webofscience.com%2Fwos%2Fwoscc%2Ffull-record%2FWOS:000546629700001","View Full Record in Web of Science")</f>
        <v>View Full Record in Web of Science</v>
      </c>
    </row>
    <row r="44" spans="1:72" x14ac:dyDescent="0.35">
      <c r="A44" t="s">
        <v>72</v>
      </c>
      <c r="B44" t="s">
        <v>1008</v>
      </c>
      <c r="C44" t="s">
        <v>74</v>
      </c>
      <c r="D44" t="s">
        <v>74</v>
      </c>
      <c r="E44" t="s">
        <v>74</v>
      </c>
      <c r="F44" t="s">
        <v>1009</v>
      </c>
      <c r="G44" t="s">
        <v>74</v>
      </c>
      <c r="H44" t="s">
        <v>74</v>
      </c>
      <c r="I44" t="s">
        <v>1010</v>
      </c>
      <c r="J44" t="s">
        <v>1011</v>
      </c>
      <c r="K44" t="s">
        <v>74</v>
      </c>
      <c r="L44" t="s">
        <v>74</v>
      </c>
      <c r="M44" t="s">
        <v>1012</v>
      </c>
      <c r="N44" t="s">
        <v>108</v>
      </c>
      <c r="O44" t="s">
        <v>74</v>
      </c>
      <c r="P44" t="s">
        <v>74</v>
      </c>
      <c r="Q44" t="s">
        <v>74</v>
      </c>
      <c r="R44" t="s">
        <v>74</v>
      </c>
      <c r="S44" t="s">
        <v>74</v>
      </c>
      <c r="T44" t="s">
        <v>1013</v>
      </c>
      <c r="U44" t="s">
        <v>1014</v>
      </c>
      <c r="V44" t="s">
        <v>1015</v>
      </c>
      <c r="W44" t="s">
        <v>1016</v>
      </c>
      <c r="X44" t="s">
        <v>1017</v>
      </c>
      <c r="Y44" t="s">
        <v>1018</v>
      </c>
      <c r="Z44" t="s">
        <v>1019</v>
      </c>
      <c r="AA44" t="s">
        <v>1020</v>
      </c>
      <c r="AB44" t="s">
        <v>74</v>
      </c>
      <c r="AC44" t="s">
        <v>74</v>
      </c>
      <c r="AD44" t="s">
        <v>74</v>
      </c>
      <c r="AE44" t="s">
        <v>74</v>
      </c>
      <c r="AF44" t="s">
        <v>74</v>
      </c>
      <c r="AG44">
        <v>41</v>
      </c>
      <c r="AH44">
        <v>4</v>
      </c>
      <c r="AI44">
        <v>4</v>
      </c>
      <c r="AJ44">
        <v>3</v>
      </c>
      <c r="AK44">
        <v>22</v>
      </c>
      <c r="AL44" t="s">
        <v>1021</v>
      </c>
      <c r="AM44" t="s">
        <v>1022</v>
      </c>
      <c r="AN44" t="s">
        <v>1023</v>
      </c>
      <c r="AO44" t="s">
        <v>1024</v>
      </c>
      <c r="AP44" t="s">
        <v>1025</v>
      </c>
      <c r="AQ44" t="s">
        <v>74</v>
      </c>
      <c r="AR44" t="s">
        <v>1026</v>
      </c>
      <c r="AS44" t="s">
        <v>1027</v>
      </c>
      <c r="AT44" t="s">
        <v>455</v>
      </c>
      <c r="AU44">
        <v>2022</v>
      </c>
      <c r="AV44">
        <v>35</v>
      </c>
      <c r="AW44">
        <v>3</v>
      </c>
      <c r="AX44" t="s">
        <v>74</v>
      </c>
      <c r="AY44" t="s">
        <v>74</v>
      </c>
      <c r="AZ44" t="s">
        <v>74</v>
      </c>
      <c r="BA44" t="s">
        <v>74</v>
      </c>
      <c r="BB44">
        <v>154</v>
      </c>
      <c r="BC44">
        <v>159</v>
      </c>
      <c r="BD44" t="s">
        <v>74</v>
      </c>
      <c r="BE44" t="s">
        <v>1028</v>
      </c>
      <c r="BF44" t="str">
        <f>HYPERLINK("http://dx.doi.org/10.1055/a-1874-9806","http://dx.doi.org/10.1055/a-1874-9806")</f>
        <v>http://dx.doi.org/10.1055/a-1874-9806</v>
      </c>
      <c r="BG44" t="s">
        <v>74</v>
      </c>
      <c r="BH44" t="s">
        <v>74</v>
      </c>
      <c r="BI44">
        <v>6</v>
      </c>
      <c r="BJ44" t="s">
        <v>1029</v>
      </c>
      <c r="BK44" t="s">
        <v>99</v>
      </c>
      <c r="BL44" t="s">
        <v>1030</v>
      </c>
      <c r="BM44" t="s">
        <v>1031</v>
      </c>
      <c r="BN44" t="s">
        <v>74</v>
      </c>
      <c r="BO44" t="s">
        <v>767</v>
      </c>
      <c r="BP44" t="s">
        <v>74</v>
      </c>
      <c r="BQ44" t="s">
        <v>74</v>
      </c>
      <c r="BR44" t="s">
        <v>102</v>
      </c>
      <c r="BS44" t="s">
        <v>1032</v>
      </c>
      <c r="BT44" t="str">
        <f>HYPERLINK("https%3A%2F%2Fwww.webofscience.com%2Fwos%2Fwoscc%2Ffull-record%2FWOS:000850300400003","View Full Record in Web of Science")</f>
        <v>View Full Record in Web of Science</v>
      </c>
    </row>
    <row r="45" spans="1:72" x14ac:dyDescent="0.35">
      <c r="A45" t="s">
        <v>72</v>
      </c>
      <c r="B45" t="s">
        <v>398</v>
      </c>
      <c r="C45" t="s">
        <v>74</v>
      </c>
      <c r="D45" t="s">
        <v>74</v>
      </c>
      <c r="E45" t="s">
        <v>74</v>
      </c>
      <c r="F45" t="s">
        <v>399</v>
      </c>
      <c r="G45" t="s">
        <v>74</v>
      </c>
      <c r="H45" t="s">
        <v>74</v>
      </c>
      <c r="I45" t="s">
        <v>1033</v>
      </c>
      <c r="J45" t="s">
        <v>1034</v>
      </c>
      <c r="K45" t="s">
        <v>74</v>
      </c>
      <c r="L45" t="s">
        <v>74</v>
      </c>
      <c r="M45" t="s">
        <v>78</v>
      </c>
      <c r="N45" t="s">
        <v>108</v>
      </c>
      <c r="O45" t="s">
        <v>74</v>
      </c>
      <c r="P45" t="s">
        <v>74</v>
      </c>
      <c r="Q45" t="s">
        <v>74</v>
      </c>
      <c r="R45" t="s">
        <v>74</v>
      </c>
      <c r="S45" t="s">
        <v>74</v>
      </c>
      <c r="T45" t="s">
        <v>1035</v>
      </c>
      <c r="U45" t="s">
        <v>1036</v>
      </c>
      <c r="V45" t="s">
        <v>1037</v>
      </c>
      <c r="W45" t="s">
        <v>1038</v>
      </c>
      <c r="X45" t="s">
        <v>1039</v>
      </c>
      <c r="Y45" t="s">
        <v>1040</v>
      </c>
      <c r="Z45" t="s">
        <v>408</v>
      </c>
      <c r="AA45" t="s">
        <v>74</v>
      </c>
      <c r="AB45" t="s">
        <v>74</v>
      </c>
      <c r="AC45" t="s">
        <v>74</v>
      </c>
      <c r="AD45" t="s">
        <v>74</v>
      </c>
      <c r="AE45" t="s">
        <v>74</v>
      </c>
      <c r="AF45" t="s">
        <v>74</v>
      </c>
      <c r="AG45">
        <v>43</v>
      </c>
      <c r="AH45">
        <v>20</v>
      </c>
      <c r="AI45">
        <v>21</v>
      </c>
      <c r="AJ45">
        <v>31</v>
      </c>
      <c r="AK45">
        <v>155</v>
      </c>
      <c r="AL45" t="s">
        <v>226</v>
      </c>
      <c r="AM45" t="s">
        <v>227</v>
      </c>
      <c r="AN45" t="s">
        <v>228</v>
      </c>
      <c r="AO45" t="s">
        <v>1041</v>
      </c>
      <c r="AP45" t="s">
        <v>1042</v>
      </c>
      <c r="AQ45" t="s">
        <v>74</v>
      </c>
      <c r="AR45" t="s">
        <v>1043</v>
      </c>
      <c r="AS45" t="s">
        <v>1044</v>
      </c>
      <c r="AT45" t="s">
        <v>523</v>
      </c>
      <c r="AU45">
        <v>2023</v>
      </c>
      <c r="AV45">
        <v>45</v>
      </c>
      <c r="AW45">
        <v>8</v>
      </c>
      <c r="AX45" t="s">
        <v>74</v>
      </c>
      <c r="AY45" t="s">
        <v>74</v>
      </c>
      <c r="AZ45" t="s">
        <v>456</v>
      </c>
      <c r="BA45" t="s">
        <v>74</v>
      </c>
      <c r="BB45">
        <v>1568</v>
      </c>
      <c r="BC45">
        <v>1582</v>
      </c>
      <c r="BD45" t="s">
        <v>74</v>
      </c>
      <c r="BE45" t="s">
        <v>1045</v>
      </c>
      <c r="BF45" t="str">
        <f>HYPERLINK("http://dx.doi.org/10.1177/01634437221144562","http://dx.doi.org/10.1177/01634437221144562")</f>
        <v>http://dx.doi.org/10.1177/01634437221144562</v>
      </c>
      <c r="BG45" t="s">
        <v>74</v>
      </c>
      <c r="BH45" t="s">
        <v>1046</v>
      </c>
      <c r="BI45">
        <v>15</v>
      </c>
      <c r="BJ45" t="s">
        <v>1047</v>
      </c>
      <c r="BK45" t="s">
        <v>99</v>
      </c>
      <c r="BL45" t="s">
        <v>1047</v>
      </c>
      <c r="BM45" t="s">
        <v>1048</v>
      </c>
      <c r="BN45" t="s">
        <v>74</v>
      </c>
      <c r="BO45" t="s">
        <v>1049</v>
      </c>
      <c r="BP45" t="s">
        <v>74</v>
      </c>
      <c r="BQ45" t="s">
        <v>74</v>
      </c>
      <c r="BR45" t="s">
        <v>102</v>
      </c>
      <c r="BS45" t="s">
        <v>1050</v>
      </c>
      <c r="BT45" t="str">
        <f>HYPERLINK("https%3A%2F%2Fwww.webofscience.com%2Fwos%2Fwoscc%2Ffull-record%2FWOS:000950947600001","View Full Record in Web of Science")</f>
        <v>View Full Record in Web of Science</v>
      </c>
    </row>
    <row r="46" spans="1:72" x14ac:dyDescent="0.35">
      <c r="A46" t="s">
        <v>72</v>
      </c>
      <c r="B46" t="s">
        <v>1051</v>
      </c>
      <c r="C46" t="s">
        <v>74</v>
      </c>
      <c r="D46" t="s">
        <v>74</v>
      </c>
      <c r="E46" t="s">
        <v>74</v>
      </c>
      <c r="F46" t="s">
        <v>1052</v>
      </c>
      <c r="G46" t="s">
        <v>74</v>
      </c>
      <c r="H46" t="s">
        <v>74</v>
      </c>
      <c r="I46" t="s">
        <v>1053</v>
      </c>
      <c r="J46" t="s">
        <v>1054</v>
      </c>
      <c r="K46" t="s">
        <v>74</v>
      </c>
      <c r="L46" t="s">
        <v>74</v>
      </c>
      <c r="M46" t="s">
        <v>78</v>
      </c>
      <c r="N46" t="s">
        <v>52</v>
      </c>
      <c r="O46" t="s">
        <v>74</v>
      </c>
      <c r="P46" t="s">
        <v>74</v>
      </c>
      <c r="Q46" t="s">
        <v>74</v>
      </c>
      <c r="R46" t="s">
        <v>74</v>
      </c>
      <c r="S46" t="s">
        <v>74</v>
      </c>
      <c r="T46" t="s">
        <v>1055</v>
      </c>
      <c r="U46" t="s">
        <v>74</v>
      </c>
      <c r="V46" t="s">
        <v>74</v>
      </c>
      <c r="W46" t="s">
        <v>1056</v>
      </c>
      <c r="X46" t="s">
        <v>1057</v>
      </c>
      <c r="Y46" t="s">
        <v>74</v>
      </c>
      <c r="Z46" t="s">
        <v>74</v>
      </c>
      <c r="AA46" t="s">
        <v>1058</v>
      </c>
      <c r="AB46" t="s">
        <v>74</v>
      </c>
      <c r="AC46" t="s">
        <v>1059</v>
      </c>
      <c r="AD46" t="s">
        <v>1059</v>
      </c>
      <c r="AE46" t="s">
        <v>1060</v>
      </c>
      <c r="AF46" t="s">
        <v>74</v>
      </c>
      <c r="AG46">
        <v>3</v>
      </c>
      <c r="AH46">
        <v>0</v>
      </c>
      <c r="AI46">
        <v>0</v>
      </c>
      <c r="AJ46">
        <v>4</v>
      </c>
      <c r="AK46">
        <v>4</v>
      </c>
      <c r="AL46" t="s">
        <v>1061</v>
      </c>
      <c r="AM46" t="s">
        <v>1062</v>
      </c>
      <c r="AN46" t="s">
        <v>1063</v>
      </c>
      <c r="AO46" t="s">
        <v>1064</v>
      </c>
      <c r="AP46" t="s">
        <v>1065</v>
      </c>
      <c r="AQ46" t="s">
        <v>74</v>
      </c>
      <c r="AR46" t="s">
        <v>1066</v>
      </c>
      <c r="AS46" t="s">
        <v>1067</v>
      </c>
      <c r="AT46" t="s">
        <v>930</v>
      </c>
      <c r="AU46">
        <v>2024</v>
      </c>
      <c r="AV46">
        <v>83</v>
      </c>
      <c r="AW46" t="s">
        <v>1068</v>
      </c>
      <c r="AX46" t="s">
        <v>74</v>
      </c>
      <c r="AY46" t="s">
        <v>74</v>
      </c>
      <c r="AZ46" t="s">
        <v>456</v>
      </c>
      <c r="BA46" t="s">
        <v>74</v>
      </c>
      <c r="BB46" t="s">
        <v>74</v>
      </c>
      <c r="BC46" t="s">
        <v>74</v>
      </c>
      <c r="BD46" t="s">
        <v>1069</v>
      </c>
      <c r="BE46" t="s">
        <v>1070</v>
      </c>
      <c r="BF46" t="str">
        <f>HYPERLINK("http://dx.doi.org/10.1017/S0029665124001587","http://dx.doi.org/10.1017/S0029665124001587")</f>
        <v>http://dx.doi.org/10.1017/S0029665124001587</v>
      </c>
      <c r="BG46" t="s">
        <v>74</v>
      </c>
      <c r="BH46" t="s">
        <v>74</v>
      </c>
      <c r="BI46">
        <v>1</v>
      </c>
      <c r="BJ46" t="s">
        <v>1071</v>
      </c>
      <c r="BK46" t="s">
        <v>209</v>
      </c>
      <c r="BL46" t="s">
        <v>1071</v>
      </c>
      <c r="BM46" t="s">
        <v>1072</v>
      </c>
      <c r="BN46" t="s">
        <v>74</v>
      </c>
      <c r="BO46" t="s">
        <v>767</v>
      </c>
      <c r="BP46" t="s">
        <v>74</v>
      </c>
      <c r="BQ46" t="s">
        <v>74</v>
      </c>
      <c r="BR46" t="s">
        <v>102</v>
      </c>
      <c r="BS46" t="s">
        <v>1073</v>
      </c>
      <c r="BT46" t="str">
        <f>HYPERLINK("https%3A%2F%2Fwww.webofscience.com%2Fwos%2Fwoscc%2Ffull-record%2FWOS:001215194800164","View Full Record in Web of Science")</f>
        <v>View Full Record in Web of Science</v>
      </c>
    </row>
    <row r="47" spans="1:72" x14ac:dyDescent="0.35">
      <c r="A47" t="s">
        <v>72</v>
      </c>
      <c r="B47" t="s">
        <v>1074</v>
      </c>
      <c r="C47" t="s">
        <v>74</v>
      </c>
      <c r="D47" t="s">
        <v>74</v>
      </c>
      <c r="E47" t="s">
        <v>74</v>
      </c>
      <c r="F47" t="s">
        <v>1075</v>
      </c>
      <c r="G47" t="s">
        <v>74</v>
      </c>
      <c r="H47" t="s">
        <v>74</v>
      </c>
      <c r="I47" t="s">
        <v>1076</v>
      </c>
      <c r="J47" t="s">
        <v>216</v>
      </c>
      <c r="K47" t="s">
        <v>74</v>
      </c>
      <c r="L47" t="s">
        <v>74</v>
      </c>
      <c r="M47" t="s">
        <v>78</v>
      </c>
      <c r="N47" t="s">
        <v>108</v>
      </c>
      <c r="O47" t="s">
        <v>74</v>
      </c>
      <c r="P47" t="s">
        <v>74</v>
      </c>
      <c r="Q47" t="s">
        <v>74</v>
      </c>
      <c r="R47" t="s">
        <v>74</v>
      </c>
      <c r="S47" t="s">
        <v>74</v>
      </c>
      <c r="T47" t="s">
        <v>1077</v>
      </c>
      <c r="U47" t="s">
        <v>1078</v>
      </c>
      <c r="V47" t="s">
        <v>1079</v>
      </c>
      <c r="W47" t="s">
        <v>1080</v>
      </c>
      <c r="X47" t="s">
        <v>1081</v>
      </c>
      <c r="Y47" t="s">
        <v>1082</v>
      </c>
      <c r="Z47" t="s">
        <v>1083</v>
      </c>
      <c r="AA47" t="s">
        <v>1084</v>
      </c>
      <c r="AB47" t="s">
        <v>74</v>
      </c>
      <c r="AC47" t="s">
        <v>1085</v>
      </c>
      <c r="AD47" t="s">
        <v>1086</v>
      </c>
      <c r="AE47" t="s">
        <v>1087</v>
      </c>
      <c r="AF47" t="s">
        <v>74</v>
      </c>
      <c r="AG47">
        <v>78</v>
      </c>
      <c r="AH47">
        <v>13</v>
      </c>
      <c r="AI47">
        <v>14</v>
      </c>
      <c r="AJ47">
        <v>12</v>
      </c>
      <c r="AK47">
        <v>86</v>
      </c>
      <c r="AL47" t="s">
        <v>226</v>
      </c>
      <c r="AM47" t="s">
        <v>227</v>
      </c>
      <c r="AN47" t="s">
        <v>228</v>
      </c>
      <c r="AO47" t="s">
        <v>229</v>
      </c>
      <c r="AP47" t="s">
        <v>74</v>
      </c>
      <c r="AQ47" t="s">
        <v>74</v>
      </c>
      <c r="AR47" t="s">
        <v>230</v>
      </c>
      <c r="AS47" t="s">
        <v>231</v>
      </c>
      <c r="AT47" t="s">
        <v>232</v>
      </c>
      <c r="AU47">
        <v>2023</v>
      </c>
      <c r="AV47">
        <v>9</v>
      </c>
      <c r="AW47">
        <v>1</v>
      </c>
      <c r="AX47" t="s">
        <v>74</v>
      </c>
      <c r="AY47" t="s">
        <v>74</v>
      </c>
      <c r="AZ47" t="s">
        <v>74</v>
      </c>
      <c r="BA47" t="s">
        <v>74</v>
      </c>
      <c r="BB47" t="s">
        <v>74</v>
      </c>
      <c r="BC47" t="s">
        <v>74</v>
      </c>
      <c r="BD47">
        <v>2.0563051231157452E+16</v>
      </c>
      <c r="BE47" t="s">
        <v>1088</v>
      </c>
      <c r="BF47" t="str">
        <f>HYPERLINK("http://dx.doi.org/10.1177/20563051231157452","http://dx.doi.org/10.1177/20563051231157452")</f>
        <v>http://dx.doi.org/10.1177/20563051231157452</v>
      </c>
      <c r="BG47" t="s">
        <v>74</v>
      </c>
      <c r="BH47" t="s">
        <v>74</v>
      </c>
      <c r="BI47">
        <v>8</v>
      </c>
      <c r="BJ47" t="s">
        <v>124</v>
      </c>
      <c r="BK47" t="s">
        <v>99</v>
      </c>
      <c r="BL47" t="s">
        <v>124</v>
      </c>
      <c r="BM47" t="s">
        <v>1089</v>
      </c>
      <c r="BN47" t="s">
        <v>74</v>
      </c>
      <c r="BO47" t="s">
        <v>552</v>
      </c>
      <c r="BP47" t="s">
        <v>74</v>
      </c>
      <c r="BQ47" t="s">
        <v>74</v>
      </c>
      <c r="BR47" t="s">
        <v>102</v>
      </c>
      <c r="BS47" t="s">
        <v>1090</v>
      </c>
      <c r="BT47" t="str">
        <f>HYPERLINK("https%3A%2F%2Fwww.webofscience.com%2Fwos%2Fwoscc%2Ffull-record%2FWOS:000939706900001","View Full Record in Web of Science")</f>
        <v>View Full Record in Web of Science</v>
      </c>
    </row>
    <row r="48" spans="1:72" x14ac:dyDescent="0.35">
      <c r="A48" t="s">
        <v>128</v>
      </c>
      <c r="B48" t="s">
        <v>1091</v>
      </c>
      <c r="C48" t="s">
        <v>74</v>
      </c>
      <c r="D48" t="s">
        <v>74</v>
      </c>
      <c r="E48" t="s">
        <v>702</v>
      </c>
      <c r="F48" t="s">
        <v>1092</v>
      </c>
      <c r="G48" t="s">
        <v>74</v>
      </c>
      <c r="H48" t="s">
        <v>74</v>
      </c>
      <c r="I48" t="s">
        <v>1093</v>
      </c>
      <c r="J48" t="s">
        <v>1094</v>
      </c>
      <c r="K48" t="s">
        <v>74</v>
      </c>
      <c r="L48" t="s">
        <v>74</v>
      </c>
      <c r="M48" t="s">
        <v>78</v>
      </c>
      <c r="N48" t="s">
        <v>135</v>
      </c>
      <c r="O48" t="s">
        <v>1095</v>
      </c>
      <c r="P48" t="s">
        <v>1096</v>
      </c>
      <c r="Q48" t="s">
        <v>1097</v>
      </c>
      <c r="R48" t="s">
        <v>1098</v>
      </c>
      <c r="S48" t="s">
        <v>74</v>
      </c>
      <c r="T48" t="s">
        <v>1099</v>
      </c>
      <c r="U48" t="s">
        <v>1100</v>
      </c>
      <c r="V48" t="s">
        <v>1101</v>
      </c>
      <c r="W48" t="s">
        <v>1102</v>
      </c>
      <c r="X48" t="s">
        <v>1103</v>
      </c>
      <c r="Y48" t="s">
        <v>1104</v>
      </c>
      <c r="Z48" t="s">
        <v>1105</v>
      </c>
      <c r="AA48" t="s">
        <v>74</v>
      </c>
      <c r="AB48" t="s">
        <v>1106</v>
      </c>
      <c r="AC48" t="s">
        <v>1107</v>
      </c>
      <c r="AD48" t="s">
        <v>1108</v>
      </c>
      <c r="AE48" t="s">
        <v>1109</v>
      </c>
      <c r="AF48" t="s">
        <v>74</v>
      </c>
      <c r="AG48">
        <v>71</v>
      </c>
      <c r="AH48">
        <v>2</v>
      </c>
      <c r="AI48">
        <v>3</v>
      </c>
      <c r="AJ48">
        <v>3</v>
      </c>
      <c r="AK48">
        <v>10</v>
      </c>
      <c r="AL48" t="s">
        <v>718</v>
      </c>
      <c r="AM48" t="s">
        <v>666</v>
      </c>
      <c r="AN48" t="s">
        <v>719</v>
      </c>
      <c r="AO48" t="s">
        <v>74</v>
      </c>
      <c r="AP48" t="s">
        <v>74</v>
      </c>
      <c r="AQ48" t="s">
        <v>1110</v>
      </c>
      <c r="AR48" t="s">
        <v>74</v>
      </c>
      <c r="AS48" t="s">
        <v>74</v>
      </c>
      <c r="AT48" t="s">
        <v>74</v>
      </c>
      <c r="AU48">
        <v>2023</v>
      </c>
      <c r="AV48" t="s">
        <v>74</v>
      </c>
      <c r="AW48" t="s">
        <v>74</v>
      </c>
      <c r="AX48" t="s">
        <v>74</v>
      </c>
      <c r="AY48" t="s">
        <v>74</v>
      </c>
      <c r="AZ48" t="s">
        <v>74</v>
      </c>
      <c r="BA48" t="s">
        <v>74</v>
      </c>
      <c r="BB48">
        <v>946</v>
      </c>
      <c r="BC48">
        <v>956</v>
      </c>
      <c r="BD48" t="s">
        <v>74</v>
      </c>
      <c r="BE48" t="s">
        <v>1111</v>
      </c>
      <c r="BF48" t="str">
        <f>HYPERLINK("http://dx.doi.org/10.1145/3563657.3596038","http://dx.doi.org/10.1145/3563657.3596038")</f>
        <v>http://dx.doi.org/10.1145/3563657.3596038</v>
      </c>
      <c r="BG48" t="s">
        <v>74</v>
      </c>
      <c r="BH48" t="s">
        <v>74</v>
      </c>
      <c r="BI48">
        <v>11</v>
      </c>
      <c r="BJ48" t="s">
        <v>1112</v>
      </c>
      <c r="BK48" t="s">
        <v>648</v>
      </c>
      <c r="BL48" t="s">
        <v>1113</v>
      </c>
      <c r="BM48" t="s">
        <v>1114</v>
      </c>
      <c r="BN48" t="s">
        <v>74</v>
      </c>
      <c r="BO48" t="s">
        <v>74</v>
      </c>
      <c r="BP48" t="s">
        <v>74</v>
      </c>
      <c r="BQ48" t="s">
        <v>74</v>
      </c>
      <c r="BR48" t="s">
        <v>102</v>
      </c>
      <c r="BS48" t="s">
        <v>1115</v>
      </c>
      <c r="BT48" t="str">
        <f>HYPERLINK("https%3A%2F%2Fwww.webofscience.com%2Fwos%2Fwoscc%2Ffull-record%2FWOS:001090855700063","View Full Record in Web of Science")</f>
        <v>View Full Record in Web of Science</v>
      </c>
    </row>
    <row r="49" spans="1:72" x14ac:dyDescent="0.35">
      <c r="A49" t="s">
        <v>72</v>
      </c>
      <c r="B49" t="s">
        <v>1116</v>
      </c>
      <c r="C49" t="s">
        <v>74</v>
      </c>
      <c r="D49" t="s">
        <v>74</v>
      </c>
      <c r="E49" t="s">
        <v>74</v>
      </c>
      <c r="F49" t="s">
        <v>1117</v>
      </c>
      <c r="G49" t="s">
        <v>74</v>
      </c>
      <c r="H49" t="s">
        <v>74</v>
      </c>
      <c r="I49" t="s">
        <v>1118</v>
      </c>
      <c r="J49" t="s">
        <v>1119</v>
      </c>
      <c r="K49" t="s">
        <v>74</v>
      </c>
      <c r="L49" t="s">
        <v>74</v>
      </c>
      <c r="M49" t="s">
        <v>78</v>
      </c>
      <c r="N49" t="s">
        <v>108</v>
      </c>
      <c r="O49" t="s">
        <v>74</v>
      </c>
      <c r="P49" t="s">
        <v>74</v>
      </c>
      <c r="Q49" t="s">
        <v>74</v>
      </c>
      <c r="R49" t="s">
        <v>74</v>
      </c>
      <c r="S49" t="s">
        <v>74</v>
      </c>
      <c r="T49" t="s">
        <v>1120</v>
      </c>
      <c r="U49" t="s">
        <v>1121</v>
      </c>
      <c r="V49" t="s">
        <v>1122</v>
      </c>
      <c r="W49" t="s">
        <v>1123</v>
      </c>
      <c r="X49" t="s">
        <v>1124</v>
      </c>
      <c r="Y49" t="s">
        <v>1125</v>
      </c>
      <c r="Z49" t="s">
        <v>1126</v>
      </c>
      <c r="AA49" t="s">
        <v>1127</v>
      </c>
      <c r="AB49" t="s">
        <v>1128</v>
      </c>
      <c r="AC49" t="s">
        <v>74</v>
      </c>
      <c r="AD49" t="s">
        <v>74</v>
      </c>
      <c r="AE49" t="s">
        <v>74</v>
      </c>
      <c r="AF49" t="s">
        <v>74</v>
      </c>
      <c r="AG49">
        <v>51</v>
      </c>
      <c r="AH49">
        <v>2</v>
      </c>
      <c r="AI49">
        <v>2</v>
      </c>
      <c r="AJ49">
        <v>15</v>
      </c>
      <c r="AK49">
        <v>41</v>
      </c>
      <c r="AL49" t="s">
        <v>1129</v>
      </c>
      <c r="AM49" t="s">
        <v>89</v>
      </c>
      <c r="AN49" t="s">
        <v>1130</v>
      </c>
      <c r="AO49" t="s">
        <v>1131</v>
      </c>
      <c r="AP49" t="s">
        <v>1132</v>
      </c>
      <c r="AQ49" t="s">
        <v>74</v>
      </c>
      <c r="AR49" t="s">
        <v>1133</v>
      </c>
      <c r="AS49" t="s">
        <v>1134</v>
      </c>
      <c r="AT49" t="s">
        <v>1135</v>
      </c>
      <c r="AU49">
        <v>2024</v>
      </c>
      <c r="AV49">
        <v>43</v>
      </c>
      <c r="AW49">
        <v>12</v>
      </c>
      <c r="AX49" t="s">
        <v>74</v>
      </c>
      <c r="AY49" t="s">
        <v>74</v>
      </c>
      <c r="AZ49" t="s">
        <v>74</v>
      </c>
      <c r="BA49" t="s">
        <v>74</v>
      </c>
      <c r="BB49">
        <v>3047</v>
      </c>
      <c r="BC49">
        <v>3059</v>
      </c>
      <c r="BD49" t="s">
        <v>74</v>
      </c>
      <c r="BE49" t="s">
        <v>1136</v>
      </c>
      <c r="BF49" t="str">
        <f>HYPERLINK("http://dx.doi.org/10.1080/0144929X.2023.2270534","http://dx.doi.org/10.1080/0144929X.2023.2270534")</f>
        <v>http://dx.doi.org/10.1080/0144929X.2023.2270534</v>
      </c>
      <c r="BG49" t="s">
        <v>74</v>
      </c>
      <c r="BH49" t="s">
        <v>207</v>
      </c>
      <c r="BI49">
        <v>13</v>
      </c>
      <c r="BJ49" t="s">
        <v>1137</v>
      </c>
      <c r="BK49" t="s">
        <v>182</v>
      </c>
      <c r="BL49" t="s">
        <v>1113</v>
      </c>
      <c r="BM49" t="s">
        <v>1138</v>
      </c>
      <c r="BN49" t="s">
        <v>74</v>
      </c>
      <c r="BO49" t="s">
        <v>74</v>
      </c>
      <c r="BP49" t="s">
        <v>74</v>
      </c>
      <c r="BQ49" t="s">
        <v>74</v>
      </c>
      <c r="BR49" t="s">
        <v>102</v>
      </c>
      <c r="BS49" t="s">
        <v>1139</v>
      </c>
      <c r="BT49" t="str">
        <f>HYPERLINK("https%3A%2F%2Fwww.webofscience.com%2Fwos%2Fwoscc%2Ffull-record%2FWOS:001085841100001","View Full Record in Web of Science")</f>
        <v>View Full Record in Web of Science</v>
      </c>
    </row>
    <row r="50" spans="1:72" x14ac:dyDescent="0.35">
      <c r="A50" t="s">
        <v>72</v>
      </c>
      <c r="B50" t="s">
        <v>1140</v>
      </c>
      <c r="C50" t="s">
        <v>74</v>
      </c>
      <c r="D50" t="s">
        <v>74</v>
      </c>
      <c r="E50" t="s">
        <v>74</v>
      </c>
      <c r="F50" t="s">
        <v>1141</v>
      </c>
      <c r="G50" t="s">
        <v>74</v>
      </c>
      <c r="H50" t="s">
        <v>74</v>
      </c>
      <c r="I50" t="s">
        <v>1142</v>
      </c>
      <c r="J50" t="s">
        <v>1143</v>
      </c>
      <c r="K50" t="s">
        <v>74</v>
      </c>
      <c r="L50" t="s">
        <v>74</v>
      </c>
      <c r="M50" t="s">
        <v>78</v>
      </c>
      <c r="N50" t="s">
        <v>108</v>
      </c>
      <c r="O50" t="s">
        <v>74</v>
      </c>
      <c r="P50" t="s">
        <v>74</v>
      </c>
      <c r="Q50" t="s">
        <v>74</v>
      </c>
      <c r="R50" t="s">
        <v>74</v>
      </c>
      <c r="S50" t="s">
        <v>74</v>
      </c>
      <c r="T50" t="s">
        <v>1144</v>
      </c>
      <c r="U50" t="s">
        <v>1145</v>
      </c>
      <c r="V50" t="s">
        <v>1146</v>
      </c>
      <c r="W50" t="s">
        <v>1147</v>
      </c>
      <c r="X50" t="s">
        <v>1148</v>
      </c>
      <c r="Y50" t="s">
        <v>1149</v>
      </c>
      <c r="Z50" t="s">
        <v>1150</v>
      </c>
      <c r="AA50" t="s">
        <v>1151</v>
      </c>
      <c r="AB50" t="s">
        <v>1152</v>
      </c>
      <c r="AC50" t="s">
        <v>74</v>
      </c>
      <c r="AD50" t="s">
        <v>74</v>
      </c>
      <c r="AE50" t="s">
        <v>74</v>
      </c>
      <c r="AF50" t="s">
        <v>74</v>
      </c>
      <c r="AG50">
        <v>32</v>
      </c>
      <c r="AH50">
        <v>1</v>
      </c>
      <c r="AI50">
        <v>1</v>
      </c>
      <c r="AJ50">
        <v>10</v>
      </c>
      <c r="AK50">
        <v>38</v>
      </c>
      <c r="AL50" t="s">
        <v>1153</v>
      </c>
      <c r="AM50" t="s">
        <v>1154</v>
      </c>
      <c r="AN50" t="s">
        <v>1155</v>
      </c>
      <c r="AO50" t="s">
        <v>1156</v>
      </c>
      <c r="AP50" t="s">
        <v>1157</v>
      </c>
      <c r="AQ50" t="s">
        <v>74</v>
      </c>
      <c r="AR50" t="s">
        <v>1158</v>
      </c>
      <c r="AS50" t="s">
        <v>1159</v>
      </c>
      <c r="AT50" t="s">
        <v>1160</v>
      </c>
      <c r="AU50">
        <v>2023</v>
      </c>
      <c r="AV50">
        <v>37</v>
      </c>
      <c r="AW50">
        <v>96</v>
      </c>
      <c r="AX50" t="s">
        <v>74</v>
      </c>
      <c r="AY50" t="s">
        <v>74</v>
      </c>
      <c r="AZ50" t="s">
        <v>74</v>
      </c>
      <c r="BA50" t="s">
        <v>74</v>
      </c>
      <c r="BB50">
        <v>27</v>
      </c>
      <c r="BC50">
        <v>44</v>
      </c>
      <c r="BD50" t="s">
        <v>74</v>
      </c>
      <c r="BE50" t="s">
        <v>1161</v>
      </c>
      <c r="BF50" t="str">
        <f>HYPERLINK("http://dx.doi.org/10.22201/iibi.24488321xe.2023.96.58764","http://dx.doi.org/10.22201/iibi.24488321xe.2023.96.58764")</f>
        <v>http://dx.doi.org/10.22201/iibi.24488321xe.2023.96.58764</v>
      </c>
      <c r="BG50" t="s">
        <v>74</v>
      </c>
      <c r="BH50" t="s">
        <v>74</v>
      </c>
      <c r="BI50">
        <v>18</v>
      </c>
      <c r="BJ50" t="s">
        <v>1162</v>
      </c>
      <c r="BK50" t="s">
        <v>99</v>
      </c>
      <c r="BL50" t="s">
        <v>1162</v>
      </c>
      <c r="BM50" t="s">
        <v>1163</v>
      </c>
      <c r="BN50" t="s">
        <v>74</v>
      </c>
      <c r="BO50" t="s">
        <v>235</v>
      </c>
      <c r="BP50" t="s">
        <v>74</v>
      </c>
      <c r="BQ50" t="s">
        <v>74</v>
      </c>
      <c r="BR50" t="s">
        <v>102</v>
      </c>
      <c r="BS50" t="s">
        <v>1164</v>
      </c>
      <c r="BT50" t="str">
        <f>HYPERLINK("https%3A%2F%2Fwww.webofscience.com%2Fwos%2Fwoscc%2Ffull-record%2FWOS:001055250400002","View Full Record in Web of Science")</f>
        <v>View Full Record in Web of Science</v>
      </c>
    </row>
    <row r="51" spans="1:72" x14ac:dyDescent="0.35">
      <c r="A51" t="s">
        <v>72</v>
      </c>
      <c r="B51" t="s">
        <v>1165</v>
      </c>
      <c r="C51" t="s">
        <v>74</v>
      </c>
      <c r="D51" t="s">
        <v>74</v>
      </c>
      <c r="E51" t="s">
        <v>74</v>
      </c>
      <c r="F51" t="s">
        <v>1166</v>
      </c>
      <c r="G51" t="s">
        <v>74</v>
      </c>
      <c r="H51" t="s">
        <v>74</v>
      </c>
      <c r="I51" t="s">
        <v>1167</v>
      </c>
      <c r="J51" t="s">
        <v>161</v>
      </c>
      <c r="K51" t="s">
        <v>74</v>
      </c>
      <c r="L51" t="s">
        <v>74</v>
      </c>
      <c r="M51" t="s">
        <v>78</v>
      </c>
      <c r="N51" t="s">
        <v>108</v>
      </c>
      <c r="O51" t="s">
        <v>74</v>
      </c>
      <c r="P51" t="s">
        <v>74</v>
      </c>
      <c r="Q51" t="s">
        <v>74</v>
      </c>
      <c r="R51" t="s">
        <v>74</v>
      </c>
      <c r="S51" t="s">
        <v>74</v>
      </c>
      <c r="T51" t="s">
        <v>1168</v>
      </c>
      <c r="U51" t="s">
        <v>1169</v>
      </c>
      <c r="V51" t="s">
        <v>1170</v>
      </c>
      <c r="W51" t="s">
        <v>1171</v>
      </c>
      <c r="X51" t="s">
        <v>1172</v>
      </c>
      <c r="Y51" t="s">
        <v>1173</v>
      </c>
      <c r="Z51" t="s">
        <v>1174</v>
      </c>
      <c r="AA51" t="s">
        <v>1175</v>
      </c>
      <c r="AB51" t="s">
        <v>1176</v>
      </c>
      <c r="AC51" t="s">
        <v>1177</v>
      </c>
      <c r="AD51" t="s">
        <v>1177</v>
      </c>
      <c r="AE51" t="s">
        <v>1178</v>
      </c>
      <c r="AF51" t="s">
        <v>74</v>
      </c>
      <c r="AG51">
        <v>75</v>
      </c>
      <c r="AH51">
        <v>1</v>
      </c>
      <c r="AI51">
        <v>1</v>
      </c>
      <c r="AJ51">
        <v>17</v>
      </c>
      <c r="AK51">
        <v>85</v>
      </c>
      <c r="AL51" t="s">
        <v>171</v>
      </c>
      <c r="AM51" t="s">
        <v>172</v>
      </c>
      <c r="AN51" t="s">
        <v>173</v>
      </c>
      <c r="AO51" t="s">
        <v>174</v>
      </c>
      <c r="AP51" t="s">
        <v>175</v>
      </c>
      <c r="AQ51" t="s">
        <v>74</v>
      </c>
      <c r="AR51" t="s">
        <v>176</v>
      </c>
      <c r="AS51" t="s">
        <v>177</v>
      </c>
      <c r="AT51" t="s">
        <v>930</v>
      </c>
      <c r="AU51">
        <v>2024</v>
      </c>
      <c r="AV51">
        <v>42</v>
      </c>
      <c r="AW51">
        <v>2</v>
      </c>
      <c r="AX51" t="s">
        <v>74</v>
      </c>
      <c r="AY51" t="s">
        <v>74</v>
      </c>
      <c r="AZ51" t="s">
        <v>74</v>
      </c>
      <c r="BA51" t="s">
        <v>74</v>
      </c>
      <c r="BB51">
        <v>535</v>
      </c>
      <c r="BC51">
        <v>553</v>
      </c>
      <c r="BD51" t="s">
        <v>74</v>
      </c>
      <c r="BE51" t="s">
        <v>1179</v>
      </c>
      <c r="BF51" t="str">
        <f>HYPERLINK("http://dx.doi.org/10.1177/08944393231188470","http://dx.doi.org/10.1177/08944393231188470")</f>
        <v>http://dx.doi.org/10.1177/08944393231188470</v>
      </c>
      <c r="BG51" t="s">
        <v>74</v>
      </c>
      <c r="BH51" t="s">
        <v>1180</v>
      </c>
      <c r="BI51">
        <v>19</v>
      </c>
      <c r="BJ51" t="s">
        <v>181</v>
      </c>
      <c r="BK51" t="s">
        <v>182</v>
      </c>
      <c r="BL51" t="s">
        <v>183</v>
      </c>
      <c r="BM51" t="s">
        <v>1181</v>
      </c>
      <c r="BN51" t="s">
        <v>74</v>
      </c>
      <c r="BO51" t="s">
        <v>74</v>
      </c>
      <c r="BP51" t="s">
        <v>74</v>
      </c>
      <c r="BQ51" t="s">
        <v>74</v>
      </c>
      <c r="BR51" t="s">
        <v>102</v>
      </c>
      <c r="BS51" t="s">
        <v>1182</v>
      </c>
      <c r="BT51" t="str">
        <f>HYPERLINK("https%3A%2F%2Fwww.webofscience.com%2Fwos%2Fwoscc%2Ffull-record%2FWOS:001025324400001","View Full Record in Web of Science")</f>
        <v>View Full Record in Web of Science</v>
      </c>
    </row>
    <row r="52" spans="1:72" x14ac:dyDescent="0.35">
      <c r="A52" t="s">
        <v>72</v>
      </c>
      <c r="B52" t="s">
        <v>1183</v>
      </c>
      <c r="C52" t="s">
        <v>74</v>
      </c>
      <c r="D52" t="s">
        <v>74</v>
      </c>
      <c r="E52" t="s">
        <v>74</v>
      </c>
      <c r="F52" t="s">
        <v>1184</v>
      </c>
      <c r="G52" t="s">
        <v>74</v>
      </c>
      <c r="H52" t="s">
        <v>74</v>
      </c>
      <c r="I52" t="s">
        <v>1185</v>
      </c>
      <c r="J52" t="s">
        <v>1186</v>
      </c>
      <c r="K52" t="s">
        <v>74</v>
      </c>
      <c r="L52" t="s">
        <v>74</v>
      </c>
      <c r="M52" t="s">
        <v>78</v>
      </c>
      <c r="N52" t="s">
        <v>108</v>
      </c>
      <c r="O52" t="s">
        <v>74</v>
      </c>
      <c r="P52" t="s">
        <v>74</v>
      </c>
      <c r="Q52" t="s">
        <v>74</v>
      </c>
      <c r="R52" t="s">
        <v>74</v>
      </c>
      <c r="S52" t="s">
        <v>74</v>
      </c>
      <c r="T52" t="s">
        <v>1187</v>
      </c>
      <c r="U52" t="s">
        <v>1188</v>
      </c>
      <c r="V52" t="s">
        <v>1189</v>
      </c>
      <c r="W52" t="s">
        <v>1190</v>
      </c>
      <c r="X52" t="s">
        <v>1191</v>
      </c>
      <c r="Y52" t="s">
        <v>1192</v>
      </c>
      <c r="Z52" t="s">
        <v>1193</v>
      </c>
      <c r="AA52" t="s">
        <v>1194</v>
      </c>
      <c r="AB52" t="s">
        <v>74</v>
      </c>
      <c r="AC52" t="s">
        <v>74</v>
      </c>
      <c r="AD52" t="s">
        <v>74</v>
      </c>
      <c r="AE52" t="s">
        <v>74</v>
      </c>
      <c r="AF52" t="s">
        <v>74</v>
      </c>
      <c r="AG52">
        <v>92</v>
      </c>
      <c r="AH52">
        <v>11</v>
      </c>
      <c r="AI52">
        <v>11</v>
      </c>
      <c r="AJ52">
        <v>9</v>
      </c>
      <c r="AK52">
        <v>114</v>
      </c>
      <c r="AL52" t="s">
        <v>1195</v>
      </c>
      <c r="AM52" t="s">
        <v>1196</v>
      </c>
      <c r="AN52" t="s">
        <v>1197</v>
      </c>
      <c r="AO52" t="s">
        <v>74</v>
      </c>
      <c r="AP52" t="s">
        <v>1198</v>
      </c>
      <c r="AQ52" t="s">
        <v>74</v>
      </c>
      <c r="AR52" t="s">
        <v>1199</v>
      </c>
      <c r="AS52" t="s">
        <v>1200</v>
      </c>
      <c r="AT52" t="s">
        <v>745</v>
      </c>
      <c r="AU52">
        <v>2022</v>
      </c>
      <c r="AV52">
        <v>19</v>
      </c>
      <c r="AW52">
        <v>9</v>
      </c>
      <c r="AX52" t="s">
        <v>74</v>
      </c>
      <c r="AY52" t="s">
        <v>74</v>
      </c>
      <c r="AZ52" t="s">
        <v>74</v>
      </c>
      <c r="BA52" t="s">
        <v>74</v>
      </c>
      <c r="BB52" t="s">
        <v>74</v>
      </c>
      <c r="BC52" t="s">
        <v>74</v>
      </c>
      <c r="BD52">
        <v>5142</v>
      </c>
      <c r="BE52" t="s">
        <v>1201</v>
      </c>
      <c r="BF52" t="str">
        <f>HYPERLINK("http://dx.doi.org/10.3390/ijerph19095142","http://dx.doi.org/10.3390/ijerph19095142")</f>
        <v>http://dx.doi.org/10.3390/ijerph19095142</v>
      </c>
      <c r="BG52" t="s">
        <v>74</v>
      </c>
      <c r="BH52" t="s">
        <v>74</v>
      </c>
      <c r="BI52">
        <v>13</v>
      </c>
      <c r="BJ52" t="s">
        <v>1202</v>
      </c>
      <c r="BK52" t="s">
        <v>182</v>
      </c>
      <c r="BL52" t="s">
        <v>1203</v>
      </c>
      <c r="BM52" t="s">
        <v>1204</v>
      </c>
      <c r="BN52">
        <v>35564536</v>
      </c>
      <c r="BO52" t="s">
        <v>394</v>
      </c>
      <c r="BP52" t="s">
        <v>74</v>
      </c>
      <c r="BQ52" t="s">
        <v>74</v>
      </c>
      <c r="BR52" t="s">
        <v>102</v>
      </c>
      <c r="BS52" t="s">
        <v>1205</v>
      </c>
      <c r="BT52" t="str">
        <f>HYPERLINK("https%3A%2F%2Fwww.webofscience.com%2Fwos%2Fwoscc%2Ffull-record%2FWOS:000794727200001","View Full Record in Web of Science")</f>
        <v>View Full Record in Web of Science</v>
      </c>
    </row>
    <row r="53" spans="1:72" x14ac:dyDescent="0.35">
      <c r="A53" t="s">
        <v>72</v>
      </c>
      <c r="B53" t="s">
        <v>1206</v>
      </c>
      <c r="C53" t="s">
        <v>74</v>
      </c>
      <c r="D53" t="s">
        <v>74</v>
      </c>
      <c r="E53" t="s">
        <v>74</v>
      </c>
      <c r="F53" t="s">
        <v>1207</v>
      </c>
      <c r="G53" t="s">
        <v>74</v>
      </c>
      <c r="H53" t="s">
        <v>74</v>
      </c>
      <c r="I53" t="s">
        <v>1208</v>
      </c>
      <c r="J53" t="s">
        <v>401</v>
      </c>
      <c r="K53" t="s">
        <v>74</v>
      </c>
      <c r="L53" t="s">
        <v>74</v>
      </c>
      <c r="M53" t="s">
        <v>78</v>
      </c>
      <c r="N53" t="s">
        <v>108</v>
      </c>
      <c r="O53" t="s">
        <v>74</v>
      </c>
      <c r="P53" t="s">
        <v>74</v>
      </c>
      <c r="Q53" t="s">
        <v>74</v>
      </c>
      <c r="R53" t="s">
        <v>74</v>
      </c>
      <c r="S53" t="s">
        <v>74</v>
      </c>
      <c r="T53" t="s">
        <v>1209</v>
      </c>
      <c r="U53" t="s">
        <v>1210</v>
      </c>
      <c r="V53" t="s">
        <v>1211</v>
      </c>
      <c r="W53" t="s">
        <v>1212</v>
      </c>
      <c r="X53" t="s">
        <v>1213</v>
      </c>
      <c r="Y53" t="s">
        <v>1214</v>
      </c>
      <c r="Z53" t="s">
        <v>1215</v>
      </c>
      <c r="AA53" t="s">
        <v>74</v>
      </c>
      <c r="AB53" t="s">
        <v>1216</v>
      </c>
      <c r="AC53" t="s">
        <v>74</v>
      </c>
      <c r="AD53" t="s">
        <v>74</v>
      </c>
      <c r="AE53" t="s">
        <v>74</v>
      </c>
      <c r="AF53" t="s">
        <v>74</v>
      </c>
      <c r="AG53">
        <v>46</v>
      </c>
      <c r="AH53">
        <v>12</v>
      </c>
      <c r="AI53">
        <v>13</v>
      </c>
      <c r="AJ53">
        <v>3</v>
      </c>
      <c r="AK53">
        <v>27</v>
      </c>
      <c r="AL53" t="s">
        <v>409</v>
      </c>
      <c r="AM53" t="s">
        <v>410</v>
      </c>
      <c r="AN53" t="s">
        <v>411</v>
      </c>
      <c r="AO53" t="s">
        <v>412</v>
      </c>
      <c r="AP53" t="s">
        <v>74</v>
      </c>
      <c r="AQ53" t="s">
        <v>74</v>
      </c>
      <c r="AR53" t="s">
        <v>413</v>
      </c>
      <c r="AS53" t="s">
        <v>414</v>
      </c>
      <c r="AT53" t="s">
        <v>74</v>
      </c>
      <c r="AU53">
        <v>2021</v>
      </c>
      <c r="AV53">
        <v>15</v>
      </c>
      <c r="AW53" t="s">
        <v>74</v>
      </c>
      <c r="AX53" t="s">
        <v>74</v>
      </c>
      <c r="AY53" t="s">
        <v>74</v>
      </c>
      <c r="AZ53" t="s">
        <v>74</v>
      </c>
      <c r="BA53" t="s">
        <v>74</v>
      </c>
      <c r="BB53">
        <v>3195</v>
      </c>
      <c r="BC53">
        <v>3215</v>
      </c>
      <c r="BD53" t="s">
        <v>74</v>
      </c>
      <c r="BE53" t="s">
        <v>74</v>
      </c>
      <c r="BF53" t="s">
        <v>74</v>
      </c>
      <c r="BG53" t="s">
        <v>74</v>
      </c>
      <c r="BH53" t="s">
        <v>74</v>
      </c>
      <c r="BI53">
        <v>21</v>
      </c>
      <c r="BJ53" t="s">
        <v>124</v>
      </c>
      <c r="BK53" t="s">
        <v>99</v>
      </c>
      <c r="BL53" t="s">
        <v>124</v>
      </c>
      <c r="BM53" t="s">
        <v>1217</v>
      </c>
      <c r="BN53" t="s">
        <v>74</v>
      </c>
      <c r="BO53" t="s">
        <v>74</v>
      </c>
      <c r="BP53" t="s">
        <v>74</v>
      </c>
      <c r="BQ53" t="s">
        <v>74</v>
      </c>
      <c r="BR53" t="s">
        <v>102</v>
      </c>
      <c r="BS53" t="s">
        <v>1218</v>
      </c>
      <c r="BT53" t="str">
        <f>HYPERLINK("https%3A%2F%2Fwww.webofscience.com%2Fwos%2Fwoscc%2Ffull-record%2FWOS:000729944300052","View Full Record in Web of Science")</f>
        <v>View Full Record in Web of Science</v>
      </c>
    </row>
    <row r="54" spans="1:72" x14ac:dyDescent="0.35">
      <c r="A54" t="s">
        <v>72</v>
      </c>
      <c r="B54" t="s">
        <v>1219</v>
      </c>
      <c r="C54" t="s">
        <v>74</v>
      </c>
      <c r="D54" t="s">
        <v>74</v>
      </c>
      <c r="E54" t="s">
        <v>74</v>
      </c>
      <c r="F54" t="s">
        <v>1220</v>
      </c>
      <c r="G54" t="s">
        <v>74</v>
      </c>
      <c r="H54" t="s">
        <v>74</v>
      </c>
      <c r="I54" t="s">
        <v>1221</v>
      </c>
      <c r="J54" t="s">
        <v>1222</v>
      </c>
      <c r="K54" t="s">
        <v>74</v>
      </c>
      <c r="L54" t="s">
        <v>74</v>
      </c>
      <c r="M54" t="s">
        <v>78</v>
      </c>
      <c r="N54" t="s">
        <v>108</v>
      </c>
      <c r="O54" t="s">
        <v>74</v>
      </c>
      <c r="P54" t="s">
        <v>74</v>
      </c>
      <c r="Q54" t="s">
        <v>74</v>
      </c>
      <c r="R54" t="s">
        <v>74</v>
      </c>
      <c r="S54" t="s">
        <v>74</v>
      </c>
      <c r="T54" t="s">
        <v>1223</v>
      </c>
      <c r="U54" t="s">
        <v>1224</v>
      </c>
      <c r="V54" t="s">
        <v>1225</v>
      </c>
      <c r="W54" t="s">
        <v>1226</v>
      </c>
      <c r="X54" t="s">
        <v>1227</v>
      </c>
      <c r="Y54" t="s">
        <v>1228</v>
      </c>
      <c r="Z54" t="s">
        <v>1229</v>
      </c>
      <c r="AA54" t="s">
        <v>74</v>
      </c>
      <c r="AB54" t="s">
        <v>74</v>
      </c>
      <c r="AC54" t="s">
        <v>1230</v>
      </c>
      <c r="AD54" t="s">
        <v>1230</v>
      </c>
      <c r="AE54" t="s">
        <v>1231</v>
      </c>
      <c r="AF54" t="s">
        <v>74</v>
      </c>
      <c r="AG54">
        <v>76</v>
      </c>
      <c r="AH54">
        <v>1</v>
      </c>
      <c r="AI54">
        <v>1</v>
      </c>
      <c r="AJ54">
        <v>10</v>
      </c>
      <c r="AK54">
        <v>10</v>
      </c>
      <c r="AL54" t="s">
        <v>1232</v>
      </c>
      <c r="AM54" t="s">
        <v>1233</v>
      </c>
      <c r="AN54" t="s">
        <v>1234</v>
      </c>
      <c r="AO54" t="s">
        <v>1235</v>
      </c>
      <c r="AP54" t="s">
        <v>1236</v>
      </c>
      <c r="AQ54" t="s">
        <v>74</v>
      </c>
      <c r="AR54" t="s">
        <v>1237</v>
      </c>
      <c r="AS54" t="s">
        <v>1238</v>
      </c>
      <c r="AT54" t="s">
        <v>1239</v>
      </c>
      <c r="AU54">
        <v>2023</v>
      </c>
      <c r="AV54">
        <v>28</v>
      </c>
      <c r="AW54">
        <v>2</v>
      </c>
      <c r="AX54" t="s">
        <v>74</v>
      </c>
      <c r="AY54" t="s">
        <v>74</v>
      </c>
      <c r="AZ54" t="s">
        <v>74</v>
      </c>
      <c r="BA54" t="s">
        <v>74</v>
      </c>
      <c r="BB54">
        <v>96</v>
      </c>
      <c r="BC54">
        <v>108</v>
      </c>
      <c r="BD54" t="s">
        <v>74</v>
      </c>
      <c r="BE54" t="s">
        <v>1240</v>
      </c>
      <c r="BF54" t="str">
        <f>HYPERLINK("http://dx.doi.org/10.24839/2325-7342.JN28.2.96","http://dx.doi.org/10.24839/2325-7342.JN28.2.96")</f>
        <v>http://dx.doi.org/10.24839/2325-7342.JN28.2.96</v>
      </c>
      <c r="BG54" t="s">
        <v>74</v>
      </c>
      <c r="BH54" t="s">
        <v>74</v>
      </c>
      <c r="BI54">
        <v>13</v>
      </c>
      <c r="BJ54" t="s">
        <v>698</v>
      </c>
      <c r="BK54" t="s">
        <v>125</v>
      </c>
      <c r="BL54" t="s">
        <v>301</v>
      </c>
      <c r="BM54" t="s">
        <v>1241</v>
      </c>
      <c r="BN54" t="s">
        <v>74</v>
      </c>
      <c r="BO54" t="s">
        <v>235</v>
      </c>
      <c r="BP54" t="s">
        <v>74</v>
      </c>
      <c r="BQ54" t="s">
        <v>74</v>
      </c>
      <c r="BR54" t="s">
        <v>102</v>
      </c>
      <c r="BS54" t="s">
        <v>1242</v>
      </c>
      <c r="BT54" t="str">
        <f>HYPERLINK("https%3A%2F%2Fwww.webofscience.com%2Fwos%2Fwoscc%2Ffull-record%2FWOS:001306616300002","View Full Record in Web of Science")</f>
        <v>View Full Record in Web of Science</v>
      </c>
    </row>
    <row r="55" spans="1:72" x14ac:dyDescent="0.35">
      <c r="A55" t="s">
        <v>72</v>
      </c>
      <c r="B55" t="s">
        <v>1243</v>
      </c>
      <c r="C55" t="s">
        <v>74</v>
      </c>
      <c r="D55" t="s">
        <v>74</v>
      </c>
      <c r="E55" t="s">
        <v>74</v>
      </c>
      <c r="F55" t="s">
        <v>1244</v>
      </c>
      <c r="G55" t="s">
        <v>74</v>
      </c>
      <c r="H55" t="s">
        <v>74</v>
      </c>
      <c r="I55" t="s">
        <v>1245</v>
      </c>
      <c r="J55" t="s">
        <v>1246</v>
      </c>
      <c r="K55" t="s">
        <v>74</v>
      </c>
      <c r="L55" t="s">
        <v>74</v>
      </c>
      <c r="M55" t="s">
        <v>78</v>
      </c>
      <c r="N55" t="s">
        <v>108</v>
      </c>
      <c r="O55" t="s">
        <v>74</v>
      </c>
      <c r="P55" t="s">
        <v>74</v>
      </c>
      <c r="Q55" t="s">
        <v>74</v>
      </c>
      <c r="R55" t="s">
        <v>74</v>
      </c>
      <c r="S55" t="s">
        <v>74</v>
      </c>
      <c r="T55" t="s">
        <v>1247</v>
      </c>
      <c r="U55" t="s">
        <v>1248</v>
      </c>
      <c r="V55" t="s">
        <v>1249</v>
      </c>
      <c r="W55" t="s">
        <v>1250</v>
      </c>
      <c r="X55" t="s">
        <v>1251</v>
      </c>
      <c r="Y55" t="s">
        <v>1252</v>
      </c>
      <c r="Z55" t="s">
        <v>1253</v>
      </c>
      <c r="AA55" t="s">
        <v>1254</v>
      </c>
      <c r="AB55" t="s">
        <v>1255</v>
      </c>
      <c r="AC55" t="s">
        <v>74</v>
      </c>
      <c r="AD55" t="s">
        <v>74</v>
      </c>
      <c r="AE55" t="s">
        <v>74</v>
      </c>
      <c r="AF55" t="s">
        <v>74</v>
      </c>
      <c r="AG55">
        <v>122</v>
      </c>
      <c r="AH55">
        <v>4</v>
      </c>
      <c r="AI55">
        <v>4</v>
      </c>
      <c r="AJ55">
        <v>46</v>
      </c>
      <c r="AK55">
        <v>124</v>
      </c>
      <c r="AL55" t="s">
        <v>994</v>
      </c>
      <c r="AM55" t="s">
        <v>995</v>
      </c>
      <c r="AN55" t="s">
        <v>996</v>
      </c>
      <c r="AO55" t="s">
        <v>1256</v>
      </c>
      <c r="AP55" t="s">
        <v>1257</v>
      </c>
      <c r="AQ55" t="s">
        <v>74</v>
      </c>
      <c r="AR55" t="s">
        <v>1258</v>
      </c>
      <c r="AS55" t="s">
        <v>1259</v>
      </c>
      <c r="AT55" t="s">
        <v>1260</v>
      </c>
      <c r="AU55">
        <v>2024</v>
      </c>
      <c r="AV55">
        <v>40</v>
      </c>
      <c r="AW55">
        <v>18</v>
      </c>
      <c r="AX55" t="s">
        <v>74</v>
      </c>
      <c r="AY55" t="s">
        <v>74</v>
      </c>
      <c r="AZ55" t="s">
        <v>74</v>
      </c>
      <c r="BA55" t="s">
        <v>74</v>
      </c>
      <c r="BB55">
        <v>5384</v>
      </c>
      <c r="BC55">
        <v>5398</v>
      </c>
      <c r="BD55" t="s">
        <v>74</v>
      </c>
      <c r="BE55" t="s">
        <v>1261</v>
      </c>
      <c r="BF55" t="str">
        <f>HYPERLINK("http://dx.doi.org/10.1080/10447318.2023.2233138","http://dx.doi.org/10.1080/10447318.2023.2233138")</f>
        <v>http://dx.doi.org/10.1080/10447318.2023.2233138</v>
      </c>
      <c r="BG55" t="s">
        <v>74</v>
      </c>
      <c r="BH55" t="s">
        <v>1180</v>
      </c>
      <c r="BI55">
        <v>15</v>
      </c>
      <c r="BJ55" t="s">
        <v>1137</v>
      </c>
      <c r="BK55" t="s">
        <v>182</v>
      </c>
      <c r="BL55" t="s">
        <v>1113</v>
      </c>
      <c r="BM55" t="s">
        <v>1262</v>
      </c>
      <c r="BN55" t="s">
        <v>74</v>
      </c>
      <c r="BO55" t="s">
        <v>74</v>
      </c>
      <c r="BP55" t="s">
        <v>74</v>
      </c>
      <c r="BQ55" t="s">
        <v>74</v>
      </c>
      <c r="BR55" t="s">
        <v>102</v>
      </c>
      <c r="BS55" t="s">
        <v>1263</v>
      </c>
      <c r="BT55" t="str">
        <f>HYPERLINK("https%3A%2F%2Fwww.webofscience.com%2Fwos%2Fwoscc%2Ffull-record%2FWOS:001023855300001","View Full Record in Web of Science")</f>
        <v>View Full Record in Web of Science</v>
      </c>
    </row>
    <row r="56" spans="1:72" x14ac:dyDescent="0.35">
      <c r="A56" t="s">
        <v>72</v>
      </c>
      <c r="B56" t="s">
        <v>1264</v>
      </c>
      <c r="C56" t="s">
        <v>74</v>
      </c>
      <c r="D56" t="s">
        <v>74</v>
      </c>
      <c r="E56" t="s">
        <v>74</v>
      </c>
      <c r="F56" t="s">
        <v>1265</v>
      </c>
      <c r="G56" t="s">
        <v>74</v>
      </c>
      <c r="H56" t="s">
        <v>74</v>
      </c>
      <c r="I56" t="s">
        <v>1266</v>
      </c>
      <c r="J56" t="s">
        <v>438</v>
      </c>
      <c r="K56" t="s">
        <v>74</v>
      </c>
      <c r="L56" t="s">
        <v>74</v>
      </c>
      <c r="M56" t="s">
        <v>78</v>
      </c>
      <c r="N56" t="s">
        <v>108</v>
      </c>
      <c r="O56" t="s">
        <v>74</v>
      </c>
      <c r="P56" t="s">
        <v>74</v>
      </c>
      <c r="Q56" t="s">
        <v>74</v>
      </c>
      <c r="R56" t="s">
        <v>74</v>
      </c>
      <c r="S56" t="s">
        <v>74</v>
      </c>
      <c r="T56" t="s">
        <v>1267</v>
      </c>
      <c r="U56" t="s">
        <v>1268</v>
      </c>
      <c r="V56" t="s">
        <v>1269</v>
      </c>
      <c r="W56" t="s">
        <v>1270</v>
      </c>
      <c r="X56" t="s">
        <v>1271</v>
      </c>
      <c r="Y56" t="s">
        <v>1272</v>
      </c>
      <c r="Z56" t="s">
        <v>1273</v>
      </c>
      <c r="AA56" t="s">
        <v>74</v>
      </c>
      <c r="AB56" t="s">
        <v>1274</v>
      </c>
      <c r="AC56" t="s">
        <v>74</v>
      </c>
      <c r="AD56" t="s">
        <v>74</v>
      </c>
      <c r="AE56" t="s">
        <v>74</v>
      </c>
      <c r="AF56" t="s">
        <v>74</v>
      </c>
      <c r="AG56">
        <v>61</v>
      </c>
      <c r="AH56">
        <v>3</v>
      </c>
      <c r="AI56">
        <v>3</v>
      </c>
      <c r="AJ56">
        <v>17</v>
      </c>
      <c r="AK56">
        <v>74</v>
      </c>
      <c r="AL56" t="s">
        <v>226</v>
      </c>
      <c r="AM56" t="s">
        <v>227</v>
      </c>
      <c r="AN56" t="s">
        <v>228</v>
      </c>
      <c r="AO56" t="s">
        <v>451</v>
      </c>
      <c r="AP56" t="s">
        <v>452</v>
      </c>
      <c r="AQ56" t="s">
        <v>74</v>
      </c>
      <c r="AR56" t="s">
        <v>453</v>
      </c>
      <c r="AS56" t="s">
        <v>454</v>
      </c>
      <c r="AT56" t="s">
        <v>1275</v>
      </c>
      <c r="AU56">
        <v>2024</v>
      </c>
      <c r="AV56">
        <v>26</v>
      </c>
      <c r="AW56">
        <v>12</v>
      </c>
      <c r="AX56" t="s">
        <v>74</v>
      </c>
      <c r="AY56" t="s">
        <v>74</v>
      </c>
      <c r="AZ56" t="s">
        <v>74</v>
      </c>
      <c r="BA56" t="s">
        <v>74</v>
      </c>
      <c r="BB56">
        <v>7081</v>
      </c>
      <c r="BC56">
        <v>7099</v>
      </c>
      <c r="BD56" t="s">
        <v>74</v>
      </c>
      <c r="BE56" t="s">
        <v>1276</v>
      </c>
      <c r="BF56" t="str">
        <f>HYPERLINK("http://dx.doi.org/10.1177/14614448231163231","http://dx.doi.org/10.1177/14614448231163231")</f>
        <v>http://dx.doi.org/10.1177/14614448231163231</v>
      </c>
      <c r="BG56" t="s">
        <v>74</v>
      </c>
      <c r="BH56" t="s">
        <v>299</v>
      </c>
      <c r="BI56">
        <v>19</v>
      </c>
      <c r="BJ56" t="s">
        <v>124</v>
      </c>
      <c r="BK56" t="s">
        <v>99</v>
      </c>
      <c r="BL56" t="s">
        <v>124</v>
      </c>
      <c r="BM56" t="s">
        <v>1277</v>
      </c>
      <c r="BN56" t="s">
        <v>74</v>
      </c>
      <c r="BO56" t="s">
        <v>74</v>
      </c>
      <c r="BP56" t="s">
        <v>74</v>
      </c>
      <c r="BQ56" t="s">
        <v>74</v>
      </c>
      <c r="BR56" t="s">
        <v>102</v>
      </c>
      <c r="BS56" t="s">
        <v>1278</v>
      </c>
      <c r="BT56" t="str">
        <f>HYPERLINK("https%3A%2F%2Fwww.webofscience.com%2Fwos%2Fwoscc%2Ffull-record%2FWOS:000973530000001","View Full Record in Web of Science")</f>
        <v>View Full Record in Web of Science</v>
      </c>
    </row>
    <row r="57" spans="1:72" x14ac:dyDescent="0.35">
      <c r="A57" t="s">
        <v>72</v>
      </c>
      <c r="B57" t="s">
        <v>1279</v>
      </c>
      <c r="C57" t="s">
        <v>74</v>
      </c>
      <c r="D57" t="s">
        <v>74</v>
      </c>
      <c r="E57" t="s">
        <v>74</v>
      </c>
      <c r="F57" t="s">
        <v>1280</v>
      </c>
      <c r="G57" t="s">
        <v>74</v>
      </c>
      <c r="H57" t="s">
        <v>74</v>
      </c>
      <c r="I57" t="s">
        <v>1281</v>
      </c>
      <c r="J57" t="s">
        <v>1282</v>
      </c>
      <c r="K57" t="s">
        <v>74</v>
      </c>
      <c r="L57" t="s">
        <v>74</v>
      </c>
      <c r="M57" t="s">
        <v>78</v>
      </c>
      <c r="N57" t="s">
        <v>108</v>
      </c>
      <c r="O57" t="s">
        <v>74</v>
      </c>
      <c r="P57" t="s">
        <v>74</v>
      </c>
      <c r="Q57" t="s">
        <v>74</v>
      </c>
      <c r="R57" t="s">
        <v>74</v>
      </c>
      <c r="S57" t="s">
        <v>74</v>
      </c>
      <c r="T57" t="s">
        <v>1283</v>
      </c>
      <c r="U57" t="s">
        <v>218</v>
      </c>
      <c r="V57" t="s">
        <v>1284</v>
      </c>
      <c r="W57" t="s">
        <v>1285</v>
      </c>
      <c r="X57" t="s">
        <v>1286</v>
      </c>
      <c r="Y57" t="s">
        <v>1287</v>
      </c>
      <c r="Z57" t="s">
        <v>1288</v>
      </c>
      <c r="AA57" t="s">
        <v>1289</v>
      </c>
      <c r="AB57" t="s">
        <v>1290</v>
      </c>
      <c r="AC57" t="s">
        <v>1291</v>
      </c>
      <c r="AD57" t="s">
        <v>1292</v>
      </c>
      <c r="AE57" t="s">
        <v>1293</v>
      </c>
      <c r="AF57" t="s">
        <v>74</v>
      </c>
      <c r="AG57">
        <v>41</v>
      </c>
      <c r="AH57">
        <v>0</v>
      </c>
      <c r="AI57">
        <v>0</v>
      </c>
      <c r="AJ57">
        <v>8</v>
      </c>
      <c r="AK57">
        <v>8</v>
      </c>
      <c r="AL57" t="s">
        <v>1294</v>
      </c>
      <c r="AM57" t="s">
        <v>1062</v>
      </c>
      <c r="AN57" t="s">
        <v>1295</v>
      </c>
      <c r="AO57" t="s">
        <v>74</v>
      </c>
      <c r="AP57" t="s">
        <v>1296</v>
      </c>
      <c r="AQ57" t="s">
        <v>74</v>
      </c>
      <c r="AR57" t="s">
        <v>1282</v>
      </c>
      <c r="AS57" t="s">
        <v>1297</v>
      </c>
      <c r="AT57" t="s">
        <v>1298</v>
      </c>
      <c r="AU57">
        <v>2024</v>
      </c>
      <c r="AV57">
        <v>10</v>
      </c>
      <c r="AW57">
        <v>14</v>
      </c>
      <c r="AX57" t="s">
        <v>74</v>
      </c>
      <c r="AY57" t="s">
        <v>74</v>
      </c>
      <c r="AZ57" t="s">
        <v>74</v>
      </c>
      <c r="BA57" t="s">
        <v>74</v>
      </c>
      <c r="BB57" t="s">
        <v>74</v>
      </c>
      <c r="BC57" t="s">
        <v>74</v>
      </c>
      <c r="BD57" t="s">
        <v>1299</v>
      </c>
      <c r="BE57" t="s">
        <v>1300</v>
      </c>
      <c r="BF57" t="str">
        <f>HYPERLINK("http://dx.doi.org/10.1016/j.heliyon.2024.e34388","http://dx.doi.org/10.1016/j.heliyon.2024.e34388")</f>
        <v>http://dx.doi.org/10.1016/j.heliyon.2024.e34388</v>
      </c>
      <c r="BG57" t="s">
        <v>74</v>
      </c>
      <c r="BH57" t="s">
        <v>74</v>
      </c>
      <c r="BI57">
        <v>10</v>
      </c>
      <c r="BJ57" t="s">
        <v>1301</v>
      </c>
      <c r="BK57" t="s">
        <v>209</v>
      </c>
      <c r="BL57" t="s">
        <v>1302</v>
      </c>
      <c r="BM57" t="s">
        <v>1303</v>
      </c>
      <c r="BN57">
        <v>39104493</v>
      </c>
      <c r="BO57" t="s">
        <v>235</v>
      </c>
      <c r="BP57" t="s">
        <v>74</v>
      </c>
      <c r="BQ57" t="s">
        <v>74</v>
      </c>
      <c r="BR57" t="s">
        <v>102</v>
      </c>
      <c r="BS57" t="s">
        <v>1304</v>
      </c>
      <c r="BT57" t="str">
        <f>HYPERLINK("https%3A%2F%2Fwww.webofscience.com%2Fwos%2Fwoscc%2Ffull-record%2FWOS:001269473000001","View Full Record in Web of Science")</f>
        <v>View Full Record in Web of Science</v>
      </c>
    </row>
    <row r="58" spans="1:72" x14ac:dyDescent="0.35">
      <c r="A58" t="s">
        <v>72</v>
      </c>
      <c r="B58" t="s">
        <v>1305</v>
      </c>
      <c r="C58" t="s">
        <v>74</v>
      </c>
      <c r="D58" t="s">
        <v>74</v>
      </c>
      <c r="E58" t="s">
        <v>74</v>
      </c>
      <c r="F58" t="s">
        <v>1306</v>
      </c>
      <c r="G58" t="s">
        <v>74</v>
      </c>
      <c r="H58" t="s">
        <v>74</v>
      </c>
      <c r="I58" t="s">
        <v>1307</v>
      </c>
      <c r="J58" t="s">
        <v>1308</v>
      </c>
      <c r="K58" t="s">
        <v>74</v>
      </c>
      <c r="L58" t="s">
        <v>74</v>
      </c>
      <c r="M58" t="s">
        <v>78</v>
      </c>
      <c r="N58" t="s">
        <v>108</v>
      </c>
      <c r="O58" t="s">
        <v>74</v>
      </c>
      <c r="P58" t="s">
        <v>74</v>
      </c>
      <c r="Q58" t="s">
        <v>74</v>
      </c>
      <c r="R58" t="s">
        <v>74</v>
      </c>
      <c r="S58" t="s">
        <v>74</v>
      </c>
      <c r="T58" t="s">
        <v>1309</v>
      </c>
      <c r="U58" t="s">
        <v>1310</v>
      </c>
      <c r="V58" t="s">
        <v>1311</v>
      </c>
      <c r="W58" t="s">
        <v>1312</v>
      </c>
      <c r="X58" t="s">
        <v>1313</v>
      </c>
      <c r="Y58" t="s">
        <v>1314</v>
      </c>
      <c r="Z58" t="s">
        <v>1315</v>
      </c>
      <c r="AA58" t="s">
        <v>74</v>
      </c>
      <c r="AB58" t="s">
        <v>74</v>
      </c>
      <c r="AC58" t="s">
        <v>74</v>
      </c>
      <c r="AD58" t="s">
        <v>74</v>
      </c>
      <c r="AE58" t="s">
        <v>74</v>
      </c>
      <c r="AF58" t="s">
        <v>74</v>
      </c>
      <c r="AG58">
        <v>33</v>
      </c>
      <c r="AH58">
        <v>12</v>
      </c>
      <c r="AI58">
        <v>12</v>
      </c>
      <c r="AJ58">
        <v>1</v>
      </c>
      <c r="AK58">
        <v>21</v>
      </c>
      <c r="AL58" t="s">
        <v>384</v>
      </c>
      <c r="AM58" t="s">
        <v>385</v>
      </c>
      <c r="AN58" t="s">
        <v>386</v>
      </c>
      <c r="AO58" t="s">
        <v>74</v>
      </c>
      <c r="AP58" t="s">
        <v>1316</v>
      </c>
      <c r="AQ58" t="s">
        <v>74</v>
      </c>
      <c r="AR58" t="s">
        <v>1317</v>
      </c>
      <c r="AS58" t="s">
        <v>1318</v>
      </c>
      <c r="AT58" t="s">
        <v>1319</v>
      </c>
      <c r="AU58">
        <v>2021</v>
      </c>
      <c r="AV58">
        <v>3</v>
      </c>
      <c r="AW58" t="s">
        <v>74</v>
      </c>
      <c r="AX58" t="s">
        <v>74</v>
      </c>
      <c r="AY58" t="s">
        <v>74</v>
      </c>
      <c r="AZ58" t="s">
        <v>74</v>
      </c>
      <c r="BA58" t="s">
        <v>74</v>
      </c>
      <c r="BB58" t="s">
        <v>74</v>
      </c>
      <c r="BC58" t="s">
        <v>74</v>
      </c>
      <c r="BD58">
        <v>692613</v>
      </c>
      <c r="BE58" t="s">
        <v>1320</v>
      </c>
      <c r="BF58" t="str">
        <f>HYPERLINK("http://dx.doi.org/10.3389/fspor.2021.692613","http://dx.doi.org/10.3389/fspor.2021.692613")</f>
        <v>http://dx.doi.org/10.3389/fspor.2021.692613</v>
      </c>
      <c r="BG58" t="s">
        <v>74</v>
      </c>
      <c r="BH58" t="s">
        <v>74</v>
      </c>
      <c r="BI58">
        <v>6</v>
      </c>
      <c r="BJ58" t="s">
        <v>1321</v>
      </c>
      <c r="BK58" t="s">
        <v>125</v>
      </c>
      <c r="BL58" t="s">
        <v>1321</v>
      </c>
      <c r="BM58" t="s">
        <v>1322</v>
      </c>
      <c r="BN58">
        <v>34778757</v>
      </c>
      <c r="BO58" t="s">
        <v>552</v>
      </c>
      <c r="BP58" t="s">
        <v>74</v>
      </c>
      <c r="BQ58" t="s">
        <v>74</v>
      </c>
      <c r="BR58" t="s">
        <v>102</v>
      </c>
      <c r="BS58" t="s">
        <v>1323</v>
      </c>
      <c r="BT58" t="str">
        <f>HYPERLINK("https%3A%2F%2Fwww.webofscience.com%2Fwos%2Fwoscc%2Ffull-record%2FWOS:000717591800001","View Full Record in Web of Science")</f>
        <v>View Full Record in Web of Science</v>
      </c>
    </row>
    <row r="59" spans="1:72" x14ac:dyDescent="0.35">
      <c r="A59" t="s">
        <v>72</v>
      </c>
      <c r="B59" t="s">
        <v>1324</v>
      </c>
      <c r="C59" t="s">
        <v>74</v>
      </c>
      <c r="D59" t="s">
        <v>74</v>
      </c>
      <c r="E59" t="s">
        <v>74</v>
      </c>
      <c r="F59" t="s">
        <v>1325</v>
      </c>
      <c r="G59" t="s">
        <v>74</v>
      </c>
      <c r="H59" t="s">
        <v>74</v>
      </c>
      <c r="I59" t="s">
        <v>1326</v>
      </c>
      <c r="J59" t="s">
        <v>1327</v>
      </c>
      <c r="K59" t="s">
        <v>74</v>
      </c>
      <c r="L59" t="s">
        <v>74</v>
      </c>
      <c r="M59" t="s">
        <v>78</v>
      </c>
      <c r="N59" t="s">
        <v>1328</v>
      </c>
      <c r="O59" t="s">
        <v>74</v>
      </c>
      <c r="P59" t="s">
        <v>74</v>
      </c>
      <c r="Q59" t="s">
        <v>74</v>
      </c>
      <c r="R59" t="s">
        <v>74</v>
      </c>
      <c r="S59" t="s">
        <v>74</v>
      </c>
      <c r="T59" t="s">
        <v>1329</v>
      </c>
      <c r="U59" t="s">
        <v>74</v>
      </c>
      <c r="V59" t="s">
        <v>74</v>
      </c>
      <c r="W59" t="s">
        <v>1330</v>
      </c>
      <c r="X59" t="s">
        <v>1331</v>
      </c>
      <c r="Y59" t="s">
        <v>1332</v>
      </c>
      <c r="Z59" t="s">
        <v>1333</v>
      </c>
      <c r="AA59" t="s">
        <v>74</v>
      </c>
      <c r="AB59" t="s">
        <v>1334</v>
      </c>
      <c r="AC59" t="s">
        <v>74</v>
      </c>
      <c r="AD59" t="s">
        <v>74</v>
      </c>
      <c r="AE59" t="s">
        <v>74</v>
      </c>
      <c r="AF59" t="s">
        <v>74</v>
      </c>
      <c r="AG59">
        <v>5</v>
      </c>
      <c r="AH59">
        <v>1</v>
      </c>
      <c r="AI59">
        <v>1</v>
      </c>
      <c r="AJ59">
        <v>1</v>
      </c>
      <c r="AK59">
        <v>1</v>
      </c>
      <c r="AL59" t="s">
        <v>251</v>
      </c>
      <c r="AM59" t="s">
        <v>252</v>
      </c>
      <c r="AN59" t="s">
        <v>253</v>
      </c>
      <c r="AO59" t="s">
        <v>1335</v>
      </c>
      <c r="AP59" t="s">
        <v>1336</v>
      </c>
      <c r="AQ59" t="s">
        <v>74</v>
      </c>
      <c r="AR59" t="s">
        <v>1337</v>
      </c>
      <c r="AS59" t="s">
        <v>1338</v>
      </c>
      <c r="AT59" t="s">
        <v>273</v>
      </c>
      <c r="AU59">
        <v>2024</v>
      </c>
      <c r="AV59">
        <v>30</v>
      </c>
      <c r="AW59">
        <v>7</v>
      </c>
      <c r="AX59" t="s">
        <v>74</v>
      </c>
      <c r="AY59" t="s">
        <v>74</v>
      </c>
      <c r="AZ59" t="s">
        <v>74</v>
      </c>
      <c r="BA59" t="s">
        <v>74</v>
      </c>
      <c r="BB59" t="s">
        <v>74</v>
      </c>
      <c r="BC59" t="s">
        <v>74</v>
      </c>
      <c r="BD59" t="s">
        <v>1339</v>
      </c>
      <c r="BE59" t="s">
        <v>1340</v>
      </c>
      <c r="BF59" t="str">
        <f>HYPERLINK("http://dx.doi.org/10.1111/srt.13877","http://dx.doi.org/10.1111/srt.13877")</f>
        <v>http://dx.doi.org/10.1111/srt.13877</v>
      </c>
      <c r="BG59" t="s">
        <v>74</v>
      </c>
      <c r="BH59" t="s">
        <v>74</v>
      </c>
      <c r="BI59">
        <v>2</v>
      </c>
      <c r="BJ59" t="s">
        <v>1341</v>
      </c>
      <c r="BK59" t="s">
        <v>209</v>
      </c>
      <c r="BL59" t="s">
        <v>1341</v>
      </c>
      <c r="BM59" t="s">
        <v>1342</v>
      </c>
      <c r="BN59">
        <v>39036991</v>
      </c>
      <c r="BO59" t="s">
        <v>1343</v>
      </c>
      <c r="BP59" t="s">
        <v>74</v>
      </c>
      <c r="BQ59" t="s">
        <v>74</v>
      </c>
      <c r="BR59" t="s">
        <v>102</v>
      </c>
      <c r="BS59" t="s">
        <v>1344</v>
      </c>
      <c r="BT59" t="str">
        <f>HYPERLINK("https%3A%2F%2Fwww.webofscience.com%2Fwos%2Fwoscc%2Ffull-record%2FWOS:001273663200001","View Full Record in Web of Science")</f>
        <v>View Full Record in Web of Science</v>
      </c>
    </row>
    <row r="60" spans="1:72" x14ac:dyDescent="0.35">
      <c r="A60" t="s">
        <v>128</v>
      </c>
      <c r="B60" t="s">
        <v>1345</v>
      </c>
      <c r="C60" t="s">
        <v>74</v>
      </c>
      <c r="D60" t="s">
        <v>74</v>
      </c>
      <c r="E60" t="s">
        <v>702</v>
      </c>
      <c r="F60" t="s">
        <v>1346</v>
      </c>
      <c r="G60" t="s">
        <v>74</v>
      </c>
      <c r="H60" t="s">
        <v>74</v>
      </c>
      <c r="I60" t="s">
        <v>1347</v>
      </c>
      <c r="J60" t="s">
        <v>883</v>
      </c>
      <c r="K60" t="s">
        <v>74</v>
      </c>
      <c r="L60" t="s">
        <v>74</v>
      </c>
      <c r="M60" t="s">
        <v>78</v>
      </c>
      <c r="N60" t="s">
        <v>135</v>
      </c>
      <c r="O60" t="s">
        <v>884</v>
      </c>
      <c r="P60" t="s">
        <v>829</v>
      </c>
      <c r="Q60" t="s">
        <v>830</v>
      </c>
      <c r="R60" t="s">
        <v>831</v>
      </c>
      <c r="S60" t="s">
        <v>74</v>
      </c>
      <c r="T60" t="s">
        <v>1348</v>
      </c>
      <c r="U60" t="s">
        <v>1349</v>
      </c>
      <c r="V60" t="s">
        <v>1350</v>
      </c>
      <c r="W60" t="s">
        <v>1351</v>
      </c>
      <c r="X60" t="s">
        <v>1352</v>
      </c>
      <c r="Y60" t="s">
        <v>1353</v>
      </c>
      <c r="Z60" t="s">
        <v>1354</v>
      </c>
      <c r="AA60" t="s">
        <v>74</v>
      </c>
      <c r="AB60" t="s">
        <v>1355</v>
      </c>
      <c r="AC60" t="s">
        <v>1356</v>
      </c>
      <c r="AD60" t="s">
        <v>1357</v>
      </c>
      <c r="AE60" t="s">
        <v>1358</v>
      </c>
      <c r="AF60" t="s">
        <v>74</v>
      </c>
      <c r="AG60">
        <v>100</v>
      </c>
      <c r="AH60">
        <v>0</v>
      </c>
      <c r="AI60">
        <v>0</v>
      </c>
      <c r="AJ60">
        <v>3</v>
      </c>
      <c r="AK60">
        <v>3</v>
      </c>
      <c r="AL60" t="s">
        <v>718</v>
      </c>
      <c r="AM60" t="s">
        <v>666</v>
      </c>
      <c r="AN60" t="s">
        <v>719</v>
      </c>
      <c r="AO60" t="s">
        <v>74</v>
      </c>
      <c r="AP60" t="s">
        <v>74</v>
      </c>
      <c r="AQ60" t="s">
        <v>892</v>
      </c>
      <c r="AR60" t="s">
        <v>74</v>
      </c>
      <c r="AS60" t="s">
        <v>74</v>
      </c>
      <c r="AT60" t="s">
        <v>74</v>
      </c>
      <c r="AU60">
        <v>2024</v>
      </c>
      <c r="AV60" t="s">
        <v>74</v>
      </c>
      <c r="AW60" t="s">
        <v>74</v>
      </c>
      <c r="AX60" t="s">
        <v>74</v>
      </c>
      <c r="AY60" t="s">
        <v>74</v>
      </c>
      <c r="AZ60" t="s">
        <v>74</v>
      </c>
      <c r="BA60" t="s">
        <v>74</v>
      </c>
      <c r="BB60" t="s">
        <v>74</v>
      </c>
      <c r="BC60" t="s">
        <v>74</v>
      </c>
      <c r="BD60">
        <v>114</v>
      </c>
      <c r="BE60" t="s">
        <v>1359</v>
      </c>
      <c r="BF60" t="str">
        <f>HYPERLINK("http://dx.doi.org/10.1145/3613904.3642447","http://dx.doi.org/10.1145/3613904.3642447")</f>
        <v>http://dx.doi.org/10.1145/3613904.3642447</v>
      </c>
      <c r="BG60" t="s">
        <v>74</v>
      </c>
      <c r="BH60" t="s">
        <v>74</v>
      </c>
      <c r="BI60">
        <v>17</v>
      </c>
      <c r="BJ60" t="s">
        <v>894</v>
      </c>
      <c r="BK60" t="s">
        <v>723</v>
      </c>
      <c r="BL60" t="s">
        <v>210</v>
      </c>
      <c r="BM60" t="s">
        <v>895</v>
      </c>
      <c r="BN60" t="s">
        <v>74</v>
      </c>
      <c r="BO60" t="s">
        <v>156</v>
      </c>
      <c r="BP60" t="s">
        <v>74</v>
      </c>
      <c r="BQ60" t="s">
        <v>74</v>
      </c>
      <c r="BR60" t="s">
        <v>102</v>
      </c>
      <c r="BS60" t="s">
        <v>1360</v>
      </c>
      <c r="BT60" t="str">
        <f>HYPERLINK("https%3A%2F%2Fwww.webofscience.com%2Fwos%2Fwoscc%2Ffull-record%2FWOS:001259864901004","View Full Record in Web of Science")</f>
        <v>View Full Record in Web of Science</v>
      </c>
    </row>
    <row r="61" spans="1:72" x14ac:dyDescent="0.35">
      <c r="A61" t="s">
        <v>72</v>
      </c>
      <c r="B61" t="s">
        <v>1361</v>
      </c>
      <c r="C61" t="s">
        <v>74</v>
      </c>
      <c r="D61" t="s">
        <v>74</v>
      </c>
      <c r="E61" t="s">
        <v>74</v>
      </c>
      <c r="F61" t="s">
        <v>1362</v>
      </c>
      <c r="G61" t="s">
        <v>74</v>
      </c>
      <c r="H61" t="s">
        <v>74</v>
      </c>
      <c r="I61" t="s">
        <v>1363</v>
      </c>
      <c r="J61" t="s">
        <v>1364</v>
      </c>
      <c r="K61" t="s">
        <v>74</v>
      </c>
      <c r="L61" t="s">
        <v>74</v>
      </c>
      <c r="M61" t="s">
        <v>78</v>
      </c>
      <c r="N61" t="s">
        <v>108</v>
      </c>
      <c r="O61" t="s">
        <v>74</v>
      </c>
      <c r="P61" t="s">
        <v>74</v>
      </c>
      <c r="Q61" t="s">
        <v>74</v>
      </c>
      <c r="R61" t="s">
        <v>74</v>
      </c>
      <c r="S61" t="s">
        <v>74</v>
      </c>
      <c r="T61" t="s">
        <v>1365</v>
      </c>
      <c r="U61" t="s">
        <v>74</v>
      </c>
      <c r="V61" t="s">
        <v>1366</v>
      </c>
      <c r="W61" t="s">
        <v>1367</v>
      </c>
      <c r="X61" t="s">
        <v>1368</v>
      </c>
      <c r="Y61" t="s">
        <v>1369</v>
      </c>
      <c r="Z61" t="s">
        <v>1370</v>
      </c>
      <c r="AA61" t="s">
        <v>1371</v>
      </c>
      <c r="AB61" t="s">
        <v>74</v>
      </c>
      <c r="AC61" t="s">
        <v>74</v>
      </c>
      <c r="AD61" t="s">
        <v>74</v>
      </c>
      <c r="AE61" t="s">
        <v>74</v>
      </c>
      <c r="AF61" t="s">
        <v>74</v>
      </c>
      <c r="AG61">
        <v>25</v>
      </c>
      <c r="AH61">
        <v>1</v>
      </c>
      <c r="AI61">
        <v>1</v>
      </c>
      <c r="AJ61">
        <v>5</v>
      </c>
      <c r="AK61">
        <v>8</v>
      </c>
      <c r="AL61" t="s">
        <v>251</v>
      </c>
      <c r="AM61" t="s">
        <v>252</v>
      </c>
      <c r="AN61" t="s">
        <v>253</v>
      </c>
      <c r="AO61" t="s">
        <v>1372</v>
      </c>
      <c r="AP61" t="s">
        <v>1373</v>
      </c>
      <c r="AQ61" t="s">
        <v>74</v>
      </c>
      <c r="AR61" t="s">
        <v>1374</v>
      </c>
      <c r="AS61" t="s">
        <v>1375</v>
      </c>
      <c r="AT61" t="s">
        <v>273</v>
      </c>
      <c r="AU61">
        <v>2024</v>
      </c>
      <c r="AV61">
        <v>44</v>
      </c>
      <c r="AW61">
        <v>4</v>
      </c>
      <c r="AX61" t="s">
        <v>74</v>
      </c>
      <c r="AY61" t="s">
        <v>74</v>
      </c>
      <c r="AZ61" t="s">
        <v>74</v>
      </c>
      <c r="BA61" t="s">
        <v>74</v>
      </c>
      <c r="BB61">
        <v>1115</v>
      </c>
      <c r="BC61">
        <v>1125</v>
      </c>
      <c r="BD61" t="s">
        <v>74</v>
      </c>
      <c r="BE61" t="s">
        <v>1376</v>
      </c>
      <c r="BF61" t="str">
        <f>HYPERLINK("http://dx.doi.org/10.1111/scd.12957","http://dx.doi.org/10.1111/scd.12957")</f>
        <v>http://dx.doi.org/10.1111/scd.12957</v>
      </c>
      <c r="BG61" t="s">
        <v>74</v>
      </c>
      <c r="BH61" t="s">
        <v>1377</v>
      </c>
      <c r="BI61">
        <v>11</v>
      </c>
      <c r="BJ61" t="s">
        <v>599</v>
      </c>
      <c r="BK61" t="s">
        <v>125</v>
      </c>
      <c r="BL61" t="s">
        <v>599</v>
      </c>
      <c r="BM61" t="s">
        <v>1378</v>
      </c>
      <c r="BN61">
        <v>38177079</v>
      </c>
      <c r="BO61" t="s">
        <v>74</v>
      </c>
      <c r="BP61" t="s">
        <v>74</v>
      </c>
      <c r="BQ61" t="s">
        <v>74</v>
      </c>
      <c r="BR61" t="s">
        <v>102</v>
      </c>
      <c r="BS61" t="s">
        <v>1379</v>
      </c>
      <c r="BT61" t="str">
        <f>HYPERLINK("https%3A%2F%2Fwww.webofscience.com%2Fwos%2Fwoscc%2Ffull-record%2FWOS:001136653800001","View Full Record in Web of Science")</f>
        <v>View Full Record in Web of Science</v>
      </c>
    </row>
    <row r="62" spans="1:72" x14ac:dyDescent="0.35">
      <c r="A62" t="s">
        <v>72</v>
      </c>
      <c r="B62" t="s">
        <v>1380</v>
      </c>
      <c r="C62" t="s">
        <v>74</v>
      </c>
      <c r="D62" t="s">
        <v>74</v>
      </c>
      <c r="E62" t="s">
        <v>74</v>
      </c>
      <c r="F62" t="s">
        <v>1381</v>
      </c>
      <c r="G62" t="s">
        <v>74</v>
      </c>
      <c r="H62" t="s">
        <v>74</v>
      </c>
      <c r="I62" t="s">
        <v>1382</v>
      </c>
      <c r="J62" t="s">
        <v>1383</v>
      </c>
      <c r="K62" t="s">
        <v>74</v>
      </c>
      <c r="L62" t="s">
        <v>74</v>
      </c>
      <c r="M62" t="s">
        <v>78</v>
      </c>
      <c r="N62" t="s">
        <v>108</v>
      </c>
      <c r="O62" t="s">
        <v>74</v>
      </c>
      <c r="P62" t="s">
        <v>74</v>
      </c>
      <c r="Q62" t="s">
        <v>74</v>
      </c>
      <c r="R62" t="s">
        <v>74</v>
      </c>
      <c r="S62" t="s">
        <v>74</v>
      </c>
      <c r="T62" t="s">
        <v>1384</v>
      </c>
      <c r="U62" t="s">
        <v>74</v>
      </c>
      <c r="V62" t="s">
        <v>1385</v>
      </c>
      <c r="W62" t="s">
        <v>1386</v>
      </c>
      <c r="X62" t="s">
        <v>1387</v>
      </c>
      <c r="Y62" t="s">
        <v>1388</v>
      </c>
      <c r="Z62" t="s">
        <v>1389</v>
      </c>
      <c r="AA62" t="s">
        <v>1390</v>
      </c>
      <c r="AB62" t="s">
        <v>1391</v>
      </c>
      <c r="AC62" t="s">
        <v>1392</v>
      </c>
      <c r="AD62" t="s">
        <v>1392</v>
      </c>
      <c r="AE62" t="s">
        <v>1393</v>
      </c>
      <c r="AF62" t="s">
        <v>74</v>
      </c>
      <c r="AG62">
        <v>20</v>
      </c>
      <c r="AH62">
        <v>0</v>
      </c>
      <c r="AI62">
        <v>0</v>
      </c>
      <c r="AJ62">
        <v>5</v>
      </c>
      <c r="AK62">
        <v>5</v>
      </c>
      <c r="AL62" t="s">
        <v>1394</v>
      </c>
      <c r="AM62" t="s">
        <v>1395</v>
      </c>
      <c r="AN62" t="s">
        <v>1396</v>
      </c>
      <c r="AO62" t="s">
        <v>1397</v>
      </c>
      <c r="AP62" t="s">
        <v>1398</v>
      </c>
      <c r="AQ62" t="s">
        <v>74</v>
      </c>
      <c r="AR62" t="s">
        <v>1399</v>
      </c>
      <c r="AS62" t="s">
        <v>1400</v>
      </c>
      <c r="AT62" t="s">
        <v>74</v>
      </c>
      <c r="AU62">
        <v>2024</v>
      </c>
      <c r="AV62">
        <v>16</v>
      </c>
      <c r="AW62">
        <v>3</v>
      </c>
      <c r="AX62" t="s">
        <v>74</v>
      </c>
      <c r="AY62" t="s">
        <v>74</v>
      </c>
      <c r="AZ62" t="s">
        <v>74</v>
      </c>
      <c r="BA62" t="s">
        <v>74</v>
      </c>
      <c r="BB62" t="s">
        <v>74</v>
      </c>
      <c r="BC62" t="s">
        <v>74</v>
      </c>
      <c r="BD62" t="s">
        <v>74</v>
      </c>
      <c r="BE62" t="s">
        <v>1401</v>
      </c>
      <c r="BF62" t="str">
        <f>HYPERLINK("http://dx.doi.org/10.1504/IJTEL.2024.139700","http://dx.doi.org/10.1504/IJTEL.2024.139700")</f>
        <v>http://dx.doi.org/10.1504/IJTEL.2024.139700</v>
      </c>
      <c r="BG62" t="s">
        <v>74</v>
      </c>
      <c r="BH62" t="s">
        <v>74</v>
      </c>
      <c r="BI62">
        <v>16</v>
      </c>
      <c r="BJ62" t="s">
        <v>787</v>
      </c>
      <c r="BK62" t="s">
        <v>125</v>
      </c>
      <c r="BL62" t="s">
        <v>787</v>
      </c>
      <c r="BM62" t="s">
        <v>1402</v>
      </c>
      <c r="BN62" t="s">
        <v>74</v>
      </c>
      <c r="BO62" t="s">
        <v>74</v>
      </c>
      <c r="BP62" t="s">
        <v>74</v>
      </c>
      <c r="BQ62" t="s">
        <v>74</v>
      </c>
      <c r="BR62" t="s">
        <v>102</v>
      </c>
      <c r="BS62" t="s">
        <v>1403</v>
      </c>
      <c r="BT62" t="str">
        <f>HYPERLINK("https%3A%2F%2Fwww.webofscience.com%2Fwos%2Fwoscc%2Ffull-record%2FWOS:001268291300008","View Full Record in Web of Science")</f>
        <v>View Full Record in Web of Science</v>
      </c>
    </row>
    <row r="63" spans="1:72" x14ac:dyDescent="0.35">
      <c r="A63" t="s">
        <v>72</v>
      </c>
      <c r="B63" t="s">
        <v>1404</v>
      </c>
      <c r="C63" t="s">
        <v>74</v>
      </c>
      <c r="D63" t="s">
        <v>74</v>
      </c>
      <c r="E63" t="s">
        <v>74</v>
      </c>
      <c r="F63" t="s">
        <v>1405</v>
      </c>
      <c r="G63" t="s">
        <v>74</v>
      </c>
      <c r="H63" t="s">
        <v>74</v>
      </c>
      <c r="I63" t="s">
        <v>1406</v>
      </c>
      <c r="J63" t="s">
        <v>401</v>
      </c>
      <c r="K63" t="s">
        <v>74</v>
      </c>
      <c r="L63" t="s">
        <v>74</v>
      </c>
      <c r="M63" t="s">
        <v>78</v>
      </c>
      <c r="N63" t="s">
        <v>108</v>
      </c>
      <c r="O63" t="s">
        <v>74</v>
      </c>
      <c r="P63" t="s">
        <v>74</v>
      </c>
      <c r="Q63" t="s">
        <v>74</v>
      </c>
      <c r="R63" t="s">
        <v>74</v>
      </c>
      <c r="S63" t="s">
        <v>74</v>
      </c>
      <c r="T63" t="s">
        <v>1407</v>
      </c>
      <c r="U63" t="s">
        <v>74</v>
      </c>
      <c r="V63" t="s">
        <v>1408</v>
      </c>
      <c r="W63" t="s">
        <v>1409</v>
      </c>
      <c r="X63" t="s">
        <v>1410</v>
      </c>
      <c r="Y63" t="s">
        <v>1411</v>
      </c>
      <c r="Z63" t="s">
        <v>1412</v>
      </c>
      <c r="AA63" t="s">
        <v>1413</v>
      </c>
      <c r="AB63" t="s">
        <v>74</v>
      </c>
      <c r="AC63" t="s">
        <v>74</v>
      </c>
      <c r="AD63" t="s">
        <v>74</v>
      </c>
      <c r="AE63" t="s">
        <v>74</v>
      </c>
      <c r="AF63" t="s">
        <v>74</v>
      </c>
      <c r="AG63">
        <v>50</v>
      </c>
      <c r="AH63">
        <v>4</v>
      </c>
      <c r="AI63">
        <v>5</v>
      </c>
      <c r="AJ63">
        <v>2</v>
      </c>
      <c r="AK63">
        <v>5</v>
      </c>
      <c r="AL63" t="s">
        <v>409</v>
      </c>
      <c r="AM63" t="s">
        <v>410</v>
      </c>
      <c r="AN63" t="s">
        <v>411</v>
      </c>
      <c r="AO63" t="s">
        <v>412</v>
      </c>
      <c r="AP63" t="s">
        <v>74</v>
      </c>
      <c r="AQ63" t="s">
        <v>74</v>
      </c>
      <c r="AR63" t="s">
        <v>413</v>
      </c>
      <c r="AS63" t="s">
        <v>414</v>
      </c>
      <c r="AT63" t="s">
        <v>74</v>
      </c>
      <c r="AU63">
        <v>2022</v>
      </c>
      <c r="AV63">
        <v>16</v>
      </c>
      <c r="AW63" t="s">
        <v>74</v>
      </c>
      <c r="AX63" t="s">
        <v>74</v>
      </c>
      <c r="AY63" t="s">
        <v>74</v>
      </c>
      <c r="AZ63" t="s">
        <v>74</v>
      </c>
      <c r="BA63" t="s">
        <v>74</v>
      </c>
      <c r="BB63">
        <v>4337</v>
      </c>
      <c r="BC63">
        <v>4360</v>
      </c>
      <c r="BD63" t="s">
        <v>74</v>
      </c>
      <c r="BE63" t="s">
        <v>74</v>
      </c>
      <c r="BF63" t="s">
        <v>74</v>
      </c>
      <c r="BG63" t="s">
        <v>74</v>
      </c>
      <c r="BH63" t="s">
        <v>74</v>
      </c>
      <c r="BI63">
        <v>24</v>
      </c>
      <c r="BJ63" t="s">
        <v>124</v>
      </c>
      <c r="BK63" t="s">
        <v>99</v>
      </c>
      <c r="BL63" t="s">
        <v>124</v>
      </c>
      <c r="BM63" t="s">
        <v>1414</v>
      </c>
      <c r="BN63" t="s">
        <v>74</v>
      </c>
      <c r="BO63" t="s">
        <v>74</v>
      </c>
      <c r="BP63" t="s">
        <v>74</v>
      </c>
      <c r="BQ63" t="s">
        <v>74</v>
      </c>
      <c r="BR63" t="s">
        <v>102</v>
      </c>
      <c r="BS63" t="s">
        <v>1415</v>
      </c>
      <c r="BT63" t="str">
        <f>HYPERLINK("https%3A%2F%2Fwww.webofscience.com%2Fwos%2Fwoscc%2Ffull-record%2FWOS:001079739800093","View Full Record in Web of Science")</f>
        <v>View Full Record in Web of Science</v>
      </c>
    </row>
    <row r="64" spans="1:72" x14ac:dyDescent="0.35">
      <c r="A64" t="s">
        <v>72</v>
      </c>
      <c r="B64" t="s">
        <v>1416</v>
      </c>
      <c r="C64" t="s">
        <v>74</v>
      </c>
      <c r="D64" t="s">
        <v>74</v>
      </c>
      <c r="E64" t="s">
        <v>74</v>
      </c>
      <c r="F64" t="s">
        <v>1417</v>
      </c>
      <c r="G64" t="s">
        <v>74</v>
      </c>
      <c r="H64" t="s">
        <v>74</v>
      </c>
      <c r="I64" t="s">
        <v>1418</v>
      </c>
      <c r="J64" t="s">
        <v>968</v>
      </c>
      <c r="K64" t="s">
        <v>74</v>
      </c>
      <c r="L64" t="s">
        <v>74</v>
      </c>
      <c r="M64" t="s">
        <v>78</v>
      </c>
      <c r="N64" t="s">
        <v>108</v>
      </c>
      <c r="O64" t="s">
        <v>74</v>
      </c>
      <c r="P64" t="s">
        <v>74</v>
      </c>
      <c r="Q64" t="s">
        <v>74</v>
      </c>
      <c r="R64" t="s">
        <v>74</v>
      </c>
      <c r="S64" t="s">
        <v>74</v>
      </c>
      <c r="T64" t="s">
        <v>1419</v>
      </c>
      <c r="U64" t="s">
        <v>218</v>
      </c>
      <c r="V64" t="s">
        <v>1420</v>
      </c>
      <c r="W64" t="s">
        <v>1421</v>
      </c>
      <c r="X64" t="s">
        <v>1422</v>
      </c>
      <c r="Y64" t="s">
        <v>1423</v>
      </c>
      <c r="Z64" t="s">
        <v>1424</v>
      </c>
      <c r="AA64" t="s">
        <v>74</v>
      </c>
      <c r="AB64" t="s">
        <v>1425</v>
      </c>
      <c r="AC64" t="s">
        <v>74</v>
      </c>
      <c r="AD64" t="s">
        <v>74</v>
      </c>
      <c r="AE64" t="s">
        <v>74</v>
      </c>
      <c r="AF64" t="s">
        <v>74</v>
      </c>
      <c r="AG64">
        <v>64</v>
      </c>
      <c r="AH64">
        <v>5</v>
      </c>
      <c r="AI64">
        <v>6</v>
      </c>
      <c r="AJ64">
        <v>7</v>
      </c>
      <c r="AK64">
        <v>43</v>
      </c>
      <c r="AL64" t="s">
        <v>226</v>
      </c>
      <c r="AM64" t="s">
        <v>227</v>
      </c>
      <c r="AN64" t="s">
        <v>228</v>
      </c>
      <c r="AO64" t="s">
        <v>978</v>
      </c>
      <c r="AP64" t="s">
        <v>979</v>
      </c>
      <c r="AQ64" t="s">
        <v>74</v>
      </c>
      <c r="AR64" t="s">
        <v>980</v>
      </c>
      <c r="AS64" t="s">
        <v>981</v>
      </c>
      <c r="AT64" t="s">
        <v>178</v>
      </c>
      <c r="AU64">
        <v>2023</v>
      </c>
      <c r="AV64">
        <v>186</v>
      </c>
      <c r="AW64">
        <v>1</v>
      </c>
      <c r="AX64" t="s">
        <v>74</v>
      </c>
      <c r="AY64" t="s">
        <v>74</v>
      </c>
      <c r="AZ64" t="s">
        <v>456</v>
      </c>
      <c r="BA64" t="s">
        <v>74</v>
      </c>
      <c r="BB64">
        <v>11</v>
      </c>
      <c r="BC64">
        <v>28</v>
      </c>
      <c r="BD64" t="s">
        <v>1426</v>
      </c>
      <c r="BE64" t="s">
        <v>1427</v>
      </c>
      <c r="BF64" t="str">
        <f>HYPERLINK("http://dx.doi.org/10.1177/1329878X221106565","http://dx.doi.org/10.1177/1329878X221106565")</f>
        <v>http://dx.doi.org/10.1177/1329878X221106565</v>
      </c>
      <c r="BG64" t="s">
        <v>74</v>
      </c>
      <c r="BH64" t="s">
        <v>1428</v>
      </c>
      <c r="BI64">
        <v>18</v>
      </c>
      <c r="BJ64" t="s">
        <v>124</v>
      </c>
      <c r="BK64" t="s">
        <v>99</v>
      </c>
      <c r="BL64" t="s">
        <v>124</v>
      </c>
      <c r="BM64" t="s">
        <v>983</v>
      </c>
      <c r="BN64" t="s">
        <v>74</v>
      </c>
      <c r="BO64" t="s">
        <v>74</v>
      </c>
      <c r="BP64" t="s">
        <v>74</v>
      </c>
      <c r="BQ64" t="s">
        <v>74</v>
      </c>
      <c r="BR64" t="s">
        <v>102</v>
      </c>
      <c r="BS64" t="s">
        <v>1429</v>
      </c>
      <c r="BT64" t="str">
        <f>HYPERLINK("https%3A%2F%2Fwww.webofscience.com%2Fwos%2Fwoscc%2Ffull-record%2FWOS:000810968900001","View Full Record in Web of Science")</f>
        <v>View Full Record in Web of Science</v>
      </c>
    </row>
    <row r="65" spans="1:72" x14ac:dyDescent="0.35">
      <c r="A65" t="s">
        <v>72</v>
      </c>
      <c r="B65" t="s">
        <v>1430</v>
      </c>
      <c r="C65" t="s">
        <v>74</v>
      </c>
      <c r="D65" t="s">
        <v>74</v>
      </c>
      <c r="E65" t="s">
        <v>74</v>
      </c>
      <c r="F65" t="s">
        <v>1431</v>
      </c>
      <c r="G65" t="s">
        <v>74</v>
      </c>
      <c r="H65" t="s">
        <v>74</v>
      </c>
      <c r="I65" t="s">
        <v>1432</v>
      </c>
      <c r="J65" t="s">
        <v>1433</v>
      </c>
      <c r="K65" t="s">
        <v>74</v>
      </c>
      <c r="L65" t="s">
        <v>74</v>
      </c>
      <c r="M65" t="s">
        <v>78</v>
      </c>
      <c r="N65" t="s">
        <v>108</v>
      </c>
      <c r="O65" t="s">
        <v>74</v>
      </c>
      <c r="P65" t="s">
        <v>74</v>
      </c>
      <c r="Q65" t="s">
        <v>74</v>
      </c>
      <c r="R65" t="s">
        <v>74</v>
      </c>
      <c r="S65" t="s">
        <v>74</v>
      </c>
      <c r="T65" t="s">
        <v>1434</v>
      </c>
      <c r="U65" t="s">
        <v>1435</v>
      </c>
      <c r="V65" t="s">
        <v>1436</v>
      </c>
      <c r="W65" t="s">
        <v>1437</v>
      </c>
      <c r="X65" t="s">
        <v>1438</v>
      </c>
      <c r="Y65" t="s">
        <v>1439</v>
      </c>
      <c r="Z65" t="s">
        <v>1440</v>
      </c>
      <c r="AA65" t="s">
        <v>1441</v>
      </c>
      <c r="AB65" t="s">
        <v>1442</v>
      </c>
      <c r="AC65" t="s">
        <v>74</v>
      </c>
      <c r="AD65" t="s">
        <v>74</v>
      </c>
      <c r="AE65" t="s">
        <v>74</v>
      </c>
      <c r="AF65" t="s">
        <v>74</v>
      </c>
      <c r="AG65">
        <v>86</v>
      </c>
      <c r="AH65">
        <v>3</v>
      </c>
      <c r="AI65">
        <v>3</v>
      </c>
      <c r="AJ65">
        <v>11</v>
      </c>
      <c r="AK65">
        <v>36</v>
      </c>
      <c r="AL65" t="s">
        <v>88</v>
      </c>
      <c r="AM65" t="s">
        <v>89</v>
      </c>
      <c r="AN65" t="s">
        <v>90</v>
      </c>
      <c r="AO65" t="s">
        <v>1443</v>
      </c>
      <c r="AP65" t="s">
        <v>1444</v>
      </c>
      <c r="AQ65" t="s">
        <v>74</v>
      </c>
      <c r="AR65" t="s">
        <v>1445</v>
      </c>
      <c r="AS65" t="s">
        <v>1446</v>
      </c>
      <c r="AT65" t="s">
        <v>1447</v>
      </c>
      <c r="AU65">
        <v>2024</v>
      </c>
      <c r="AV65">
        <v>25</v>
      </c>
      <c r="AW65">
        <v>9</v>
      </c>
      <c r="AX65" t="s">
        <v>74</v>
      </c>
      <c r="AY65" t="s">
        <v>74</v>
      </c>
      <c r="AZ65" t="s">
        <v>456</v>
      </c>
      <c r="BA65" t="s">
        <v>74</v>
      </c>
      <c r="BB65">
        <v>1076</v>
      </c>
      <c r="BC65">
        <v>1094</v>
      </c>
      <c r="BD65" t="s">
        <v>74</v>
      </c>
      <c r="BE65" t="s">
        <v>1448</v>
      </c>
      <c r="BF65" t="str">
        <f>HYPERLINK("http://dx.doi.org/10.1080/1461670X.2023.2293829","http://dx.doi.org/10.1080/1461670X.2023.2293829")</f>
        <v>http://dx.doi.org/10.1080/1461670X.2023.2293829</v>
      </c>
      <c r="BG65" t="s">
        <v>74</v>
      </c>
      <c r="BH65" t="s">
        <v>1449</v>
      </c>
      <c r="BI65">
        <v>19</v>
      </c>
      <c r="BJ65" t="s">
        <v>124</v>
      </c>
      <c r="BK65" t="s">
        <v>99</v>
      </c>
      <c r="BL65" t="s">
        <v>124</v>
      </c>
      <c r="BM65" t="s">
        <v>1450</v>
      </c>
      <c r="BN65" t="s">
        <v>74</v>
      </c>
      <c r="BO65" t="s">
        <v>156</v>
      </c>
      <c r="BP65" t="s">
        <v>74</v>
      </c>
      <c r="BQ65" t="s">
        <v>74</v>
      </c>
      <c r="BR65" t="s">
        <v>102</v>
      </c>
      <c r="BS65" t="s">
        <v>1451</v>
      </c>
      <c r="BT65" t="str">
        <f>HYPERLINK("https%3A%2F%2Fwww.webofscience.com%2Fwos%2Fwoscc%2Ffull-record%2FWOS:001128532100001","View Full Record in Web of Science")</f>
        <v>View Full Record in Web of Science</v>
      </c>
    </row>
    <row r="66" spans="1:72" x14ac:dyDescent="0.35">
      <c r="A66" t="s">
        <v>72</v>
      </c>
      <c r="B66" t="s">
        <v>1452</v>
      </c>
      <c r="C66" t="s">
        <v>74</v>
      </c>
      <c r="D66" t="s">
        <v>74</v>
      </c>
      <c r="E66" t="s">
        <v>74</v>
      </c>
      <c r="F66" t="s">
        <v>1453</v>
      </c>
      <c r="G66" t="s">
        <v>74</v>
      </c>
      <c r="H66" t="s">
        <v>74</v>
      </c>
      <c r="I66" t="s">
        <v>1454</v>
      </c>
      <c r="J66" t="s">
        <v>1455</v>
      </c>
      <c r="K66" t="s">
        <v>74</v>
      </c>
      <c r="L66" t="s">
        <v>74</v>
      </c>
      <c r="M66" t="s">
        <v>78</v>
      </c>
      <c r="N66" t="s">
        <v>108</v>
      </c>
      <c r="O66" t="s">
        <v>74</v>
      </c>
      <c r="P66" t="s">
        <v>74</v>
      </c>
      <c r="Q66" t="s">
        <v>74</v>
      </c>
      <c r="R66" t="s">
        <v>74</v>
      </c>
      <c r="S66" t="s">
        <v>74</v>
      </c>
      <c r="T66" t="s">
        <v>1456</v>
      </c>
      <c r="U66" t="s">
        <v>74</v>
      </c>
      <c r="V66" t="s">
        <v>1457</v>
      </c>
      <c r="W66" t="s">
        <v>1458</v>
      </c>
      <c r="X66" t="s">
        <v>1410</v>
      </c>
      <c r="Y66" t="s">
        <v>1459</v>
      </c>
      <c r="Z66" t="s">
        <v>1460</v>
      </c>
      <c r="AA66" t="s">
        <v>74</v>
      </c>
      <c r="AB66" t="s">
        <v>1461</v>
      </c>
      <c r="AC66" t="s">
        <v>74</v>
      </c>
      <c r="AD66" t="s">
        <v>74</v>
      </c>
      <c r="AE66" t="s">
        <v>74</v>
      </c>
      <c r="AF66" t="s">
        <v>74</v>
      </c>
      <c r="AG66">
        <v>33</v>
      </c>
      <c r="AH66">
        <v>0</v>
      </c>
      <c r="AI66">
        <v>0</v>
      </c>
      <c r="AJ66">
        <v>12</v>
      </c>
      <c r="AK66">
        <v>12</v>
      </c>
      <c r="AL66" t="s">
        <v>1129</v>
      </c>
      <c r="AM66" t="s">
        <v>89</v>
      </c>
      <c r="AN66" t="s">
        <v>1130</v>
      </c>
      <c r="AO66" t="s">
        <v>1462</v>
      </c>
      <c r="AP66" t="s">
        <v>1463</v>
      </c>
      <c r="AQ66" t="s">
        <v>74</v>
      </c>
      <c r="AR66" t="s">
        <v>1464</v>
      </c>
      <c r="AS66" t="s">
        <v>1465</v>
      </c>
      <c r="AT66" t="s">
        <v>121</v>
      </c>
      <c r="AU66">
        <v>2024</v>
      </c>
      <c r="AV66">
        <v>10</v>
      </c>
      <c r="AW66">
        <v>2</v>
      </c>
      <c r="AX66" t="s">
        <v>74</v>
      </c>
      <c r="AY66" t="s">
        <v>74</v>
      </c>
      <c r="AZ66" t="s">
        <v>456</v>
      </c>
      <c r="BA66" t="s">
        <v>74</v>
      </c>
      <c r="BB66">
        <v>181</v>
      </c>
      <c r="BC66">
        <v>199</v>
      </c>
      <c r="BD66" t="s">
        <v>74</v>
      </c>
      <c r="BE66" t="s">
        <v>1466</v>
      </c>
      <c r="BF66" t="str">
        <f>HYPERLINK("http://dx.doi.org/10.1080/22041451.2024.2349451","http://dx.doi.org/10.1080/22041451.2024.2349451")</f>
        <v>http://dx.doi.org/10.1080/22041451.2024.2349451</v>
      </c>
      <c r="BG66" t="s">
        <v>74</v>
      </c>
      <c r="BH66" t="s">
        <v>1467</v>
      </c>
      <c r="BI66">
        <v>19</v>
      </c>
      <c r="BJ66" t="s">
        <v>124</v>
      </c>
      <c r="BK66" t="s">
        <v>125</v>
      </c>
      <c r="BL66" t="s">
        <v>124</v>
      </c>
      <c r="BM66" t="s">
        <v>1468</v>
      </c>
      <c r="BN66" t="s">
        <v>74</v>
      </c>
      <c r="BO66" t="s">
        <v>156</v>
      </c>
      <c r="BP66" t="s">
        <v>74</v>
      </c>
      <c r="BQ66" t="s">
        <v>74</v>
      </c>
      <c r="BR66" t="s">
        <v>102</v>
      </c>
      <c r="BS66" t="s">
        <v>1469</v>
      </c>
      <c r="BT66" t="str">
        <f>HYPERLINK("https%3A%2F%2Fwww.webofscience.com%2Fwos%2Fwoscc%2Ffull-record%2FWOS:001234504500001","View Full Record in Web of Science")</f>
        <v>View Full Record in Web of Science</v>
      </c>
    </row>
    <row r="67" spans="1:72" x14ac:dyDescent="0.35">
      <c r="A67" t="s">
        <v>72</v>
      </c>
      <c r="B67" t="s">
        <v>1470</v>
      </c>
      <c r="C67" t="s">
        <v>74</v>
      </c>
      <c r="D67" t="s">
        <v>74</v>
      </c>
      <c r="E67" t="s">
        <v>74</v>
      </c>
      <c r="F67" t="s">
        <v>1471</v>
      </c>
      <c r="G67" t="s">
        <v>74</v>
      </c>
      <c r="H67" t="s">
        <v>74</v>
      </c>
      <c r="I67" t="s">
        <v>1472</v>
      </c>
      <c r="J67" t="s">
        <v>1473</v>
      </c>
      <c r="K67" t="s">
        <v>74</v>
      </c>
      <c r="L67" t="s">
        <v>74</v>
      </c>
      <c r="M67" t="s">
        <v>78</v>
      </c>
      <c r="N67" t="s">
        <v>108</v>
      </c>
      <c r="O67" t="s">
        <v>74</v>
      </c>
      <c r="P67" t="s">
        <v>74</v>
      </c>
      <c r="Q67" t="s">
        <v>74</v>
      </c>
      <c r="R67" t="s">
        <v>74</v>
      </c>
      <c r="S67" t="s">
        <v>74</v>
      </c>
      <c r="T67" t="s">
        <v>1474</v>
      </c>
      <c r="U67" t="s">
        <v>74</v>
      </c>
      <c r="V67" t="s">
        <v>1475</v>
      </c>
      <c r="W67" t="s">
        <v>1476</v>
      </c>
      <c r="X67" t="s">
        <v>1477</v>
      </c>
      <c r="Y67" t="s">
        <v>1478</v>
      </c>
      <c r="Z67" t="s">
        <v>1479</v>
      </c>
      <c r="AA67" t="s">
        <v>74</v>
      </c>
      <c r="AB67" t="s">
        <v>74</v>
      </c>
      <c r="AC67" t="s">
        <v>74</v>
      </c>
      <c r="AD67" t="s">
        <v>74</v>
      </c>
      <c r="AE67" t="s">
        <v>74</v>
      </c>
      <c r="AF67" t="s">
        <v>74</v>
      </c>
      <c r="AG67">
        <v>10</v>
      </c>
      <c r="AH67">
        <v>1</v>
      </c>
      <c r="AI67">
        <v>1</v>
      </c>
      <c r="AJ67">
        <v>0</v>
      </c>
      <c r="AK67">
        <v>2</v>
      </c>
      <c r="AL67" t="s">
        <v>251</v>
      </c>
      <c r="AM67" t="s">
        <v>252</v>
      </c>
      <c r="AN67" t="s">
        <v>253</v>
      </c>
      <c r="AO67" t="s">
        <v>1480</v>
      </c>
      <c r="AP67" t="s">
        <v>1481</v>
      </c>
      <c r="AQ67" t="s">
        <v>74</v>
      </c>
      <c r="AR67" t="s">
        <v>1482</v>
      </c>
      <c r="AS67" t="s">
        <v>1483</v>
      </c>
      <c r="AT67" t="s">
        <v>1484</v>
      </c>
      <c r="AU67">
        <v>2024</v>
      </c>
      <c r="AV67">
        <v>41</v>
      </c>
      <c r="AW67">
        <v>2</v>
      </c>
      <c r="AX67" t="s">
        <v>74</v>
      </c>
      <c r="AY67" t="s">
        <v>74</v>
      </c>
      <c r="AZ67" t="s">
        <v>74</v>
      </c>
      <c r="BA67" t="s">
        <v>74</v>
      </c>
      <c r="BB67">
        <v>253</v>
      </c>
      <c r="BC67">
        <v>255</v>
      </c>
      <c r="BD67" t="s">
        <v>74</v>
      </c>
      <c r="BE67" t="s">
        <v>1485</v>
      </c>
      <c r="BF67" t="str">
        <f>HYPERLINK("http://dx.doi.org/10.1111/pde.15545","http://dx.doi.org/10.1111/pde.15545")</f>
        <v>http://dx.doi.org/10.1111/pde.15545</v>
      </c>
      <c r="BG67" t="s">
        <v>74</v>
      </c>
      <c r="BH67" t="s">
        <v>786</v>
      </c>
      <c r="BI67">
        <v>3</v>
      </c>
      <c r="BJ67" t="s">
        <v>1486</v>
      </c>
      <c r="BK67" t="s">
        <v>209</v>
      </c>
      <c r="BL67" t="s">
        <v>1486</v>
      </c>
      <c r="BM67" t="s">
        <v>1487</v>
      </c>
      <c r="BN67">
        <v>38342506</v>
      </c>
      <c r="BO67" t="s">
        <v>74</v>
      </c>
      <c r="BP67" t="s">
        <v>74</v>
      </c>
      <c r="BQ67" t="s">
        <v>74</v>
      </c>
      <c r="BR67" t="s">
        <v>102</v>
      </c>
      <c r="BS67" t="s">
        <v>1488</v>
      </c>
      <c r="BT67" t="str">
        <f>HYPERLINK("https%3A%2F%2Fwww.webofscience.com%2Fwos%2Fwoscc%2Ffull-record%2FWOS:001160973400001","View Full Record in Web of Science")</f>
        <v>View Full Record in Web of Science</v>
      </c>
    </row>
    <row r="68" spans="1:72" x14ac:dyDescent="0.35">
      <c r="A68" t="s">
        <v>72</v>
      </c>
      <c r="B68" t="s">
        <v>1489</v>
      </c>
      <c r="C68" t="s">
        <v>74</v>
      </c>
      <c r="D68" t="s">
        <v>74</v>
      </c>
      <c r="E68" t="s">
        <v>74</v>
      </c>
      <c r="F68" t="s">
        <v>1490</v>
      </c>
      <c r="G68" t="s">
        <v>74</v>
      </c>
      <c r="H68" t="s">
        <v>74</v>
      </c>
      <c r="I68" t="s">
        <v>1491</v>
      </c>
      <c r="J68" t="s">
        <v>1492</v>
      </c>
      <c r="K68" t="s">
        <v>74</v>
      </c>
      <c r="L68" t="s">
        <v>74</v>
      </c>
      <c r="M68" t="s">
        <v>78</v>
      </c>
      <c r="N68" t="s">
        <v>108</v>
      </c>
      <c r="O68" t="s">
        <v>74</v>
      </c>
      <c r="P68" t="s">
        <v>74</v>
      </c>
      <c r="Q68" t="s">
        <v>74</v>
      </c>
      <c r="R68" t="s">
        <v>74</v>
      </c>
      <c r="S68" t="s">
        <v>74</v>
      </c>
      <c r="T68" t="s">
        <v>1493</v>
      </c>
      <c r="U68" t="s">
        <v>1494</v>
      </c>
      <c r="V68" t="s">
        <v>1495</v>
      </c>
      <c r="W68" t="s">
        <v>1496</v>
      </c>
      <c r="X68" t="s">
        <v>1497</v>
      </c>
      <c r="Y68" t="s">
        <v>1498</v>
      </c>
      <c r="Z68" t="s">
        <v>1499</v>
      </c>
      <c r="AA68" t="s">
        <v>74</v>
      </c>
      <c r="AB68" t="s">
        <v>74</v>
      </c>
      <c r="AC68" t="s">
        <v>74</v>
      </c>
      <c r="AD68" t="s">
        <v>74</v>
      </c>
      <c r="AE68" t="s">
        <v>74</v>
      </c>
      <c r="AF68" t="s">
        <v>74</v>
      </c>
      <c r="AG68">
        <v>24</v>
      </c>
      <c r="AH68">
        <v>2</v>
      </c>
      <c r="AI68">
        <v>2</v>
      </c>
      <c r="AJ68">
        <v>1</v>
      </c>
      <c r="AK68">
        <v>3</v>
      </c>
      <c r="AL68" t="s">
        <v>516</v>
      </c>
      <c r="AM68" t="s">
        <v>517</v>
      </c>
      <c r="AN68" t="s">
        <v>518</v>
      </c>
      <c r="AO68" t="s">
        <v>1500</v>
      </c>
      <c r="AP68" t="s">
        <v>1501</v>
      </c>
      <c r="AQ68" t="s">
        <v>74</v>
      </c>
      <c r="AR68" t="s">
        <v>1502</v>
      </c>
      <c r="AS68" t="s">
        <v>1503</v>
      </c>
      <c r="AT68" t="s">
        <v>178</v>
      </c>
      <c r="AU68">
        <v>2024</v>
      </c>
      <c r="AV68">
        <v>215</v>
      </c>
      <c r="AW68" t="s">
        <v>74</v>
      </c>
      <c r="AX68" t="s">
        <v>74</v>
      </c>
      <c r="AY68" t="s">
        <v>74</v>
      </c>
      <c r="AZ68" t="s">
        <v>74</v>
      </c>
      <c r="BA68" t="s">
        <v>74</v>
      </c>
      <c r="BB68" t="s">
        <v>74</v>
      </c>
      <c r="BC68" t="s">
        <v>74</v>
      </c>
      <c r="BD68">
        <v>104995</v>
      </c>
      <c r="BE68" t="s">
        <v>1504</v>
      </c>
      <c r="BF68" t="str">
        <f>HYPERLINK("http://dx.doi.org/10.1016/j.beproc.2024.104995","http://dx.doi.org/10.1016/j.beproc.2024.104995")</f>
        <v>http://dx.doi.org/10.1016/j.beproc.2024.104995</v>
      </c>
      <c r="BG68" t="s">
        <v>74</v>
      </c>
      <c r="BH68" t="s">
        <v>1377</v>
      </c>
      <c r="BI68">
        <v>5</v>
      </c>
      <c r="BJ68" t="s">
        <v>1505</v>
      </c>
      <c r="BK68" t="s">
        <v>182</v>
      </c>
      <c r="BL68" t="s">
        <v>1506</v>
      </c>
      <c r="BM68" t="s">
        <v>1507</v>
      </c>
      <c r="BN68">
        <v>38272282</v>
      </c>
      <c r="BO68" t="s">
        <v>74</v>
      </c>
      <c r="BP68" t="s">
        <v>74</v>
      </c>
      <c r="BQ68" t="s">
        <v>74</v>
      </c>
      <c r="BR68" t="s">
        <v>102</v>
      </c>
      <c r="BS68" t="s">
        <v>1508</v>
      </c>
      <c r="BT68" t="str">
        <f>HYPERLINK("https%3A%2F%2Fwww.webofscience.com%2Fwos%2Fwoscc%2Ffull-record%2FWOS:001172567200001","View Full Record in Web of Science")</f>
        <v>View Full Record in Web of Science</v>
      </c>
    </row>
    <row r="69" spans="1:72" x14ac:dyDescent="0.35">
      <c r="A69" t="s">
        <v>72</v>
      </c>
      <c r="B69" t="s">
        <v>1509</v>
      </c>
      <c r="C69" t="s">
        <v>74</v>
      </c>
      <c r="D69" t="s">
        <v>74</v>
      </c>
      <c r="E69" t="s">
        <v>74</v>
      </c>
      <c r="F69" t="s">
        <v>1510</v>
      </c>
      <c r="G69" t="s">
        <v>74</v>
      </c>
      <c r="H69" t="s">
        <v>74</v>
      </c>
      <c r="I69" t="s">
        <v>1511</v>
      </c>
      <c r="J69" t="s">
        <v>1512</v>
      </c>
      <c r="K69" t="s">
        <v>74</v>
      </c>
      <c r="L69" t="s">
        <v>74</v>
      </c>
      <c r="M69" t="s">
        <v>78</v>
      </c>
      <c r="N69" t="s">
        <v>108</v>
      </c>
      <c r="O69" t="s">
        <v>74</v>
      </c>
      <c r="P69" t="s">
        <v>74</v>
      </c>
      <c r="Q69" t="s">
        <v>74</v>
      </c>
      <c r="R69" t="s">
        <v>74</v>
      </c>
      <c r="S69" t="s">
        <v>74</v>
      </c>
      <c r="T69" t="s">
        <v>1513</v>
      </c>
      <c r="U69" t="s">
        <v>1514</v>
      </c>
      <c r="V69" t="s">
        <v>1515</v>
      </c>
      <c r="W69" t="s">
        <v>1516</v>
      </c>
      <c r="X69" t="s">
        <v>1517</v>
      </c>
      <c r="Y69" t="s">
        <v>1518</v>
      </c>
      <c r="Z69" t="s">
        <v>1519</v>
      </c>
      <c r="AA69" t="s">
        <v>1520</v>
      </c>
      <c r="AB69" t="s">
        <v>1521</v>
      </c>
      <c r="AC69" t="s">
        <v>74</v>
      </c>
      <c r="AD69" t="s">
        <v>74</v>
      </c>
      <c r="AE69" t="s">
        <v>74</v>
      </c>
      <c r="AF69" t="s">
        <v>74</v>
      </c>
      <c r="AG69">
        <v>41</v>
      </c>
      <c r="AH69">
        <v>20</v>
      </c>
      <c r="AI69">
        <v>22</v>
      </c>
      <c r="AJ69">
        <v>10</v>
      </c>
      <c r="AK69">
        <v>76</v>
      </c>
      <c r="AL69" t="s">
        <v>171</v>
      </c>
      <c r="AM69" t="s">
        <v>172</v>
      </c>
      <c r="AN69" t="s">
        <v>173</v>
      </c>
      <c r="AO69" t="s">
        <v>1522</v>
      </c>
      <c r="AP69" t="s">
        <v>1523</v>
      </c>
      <c r="AQ69" t="s">
        <v>74</v>
      </c>
      <c r="AR69" t="s">
        <v>1524</v>
      </c>
      <c r="AS69" t="s">
        <v>1525</v>
      </c>
      <c r="AT69" t="s">
        <v>930</v>
      </c>
      <c r="AU69">
        <v>2023</v>
      </c>
      <c r="AV69">
        <v>28</v>
      </c>
      <c r="AW69">
        <v>2</v>
      </c>
      <c r="AX69" t="s">
        <v>74</v>
      </c>
      <c r="AY69" t="s">
        <v>74</v>
      </c>
      <c r="AZ69" t="s">
        <v>456</v>
      </c>
      <c r="BA69" t="s">
        <v>74</v>
      </c>
      <c r="BB69">
        <v>362</v>
      </c>
      <c r="BC69">
        <v>383</v>
      </c>
      <c r="BD69" t="s">
        <v>74</v>
      </c>
      <c r="BE69" t="s">
        <v>1526</v>
      </c>
      <c r="BF69" t="str">
        <f>HYPERLINK("http://dx.doi.org/10.1177/19401612221117481","http://dx.doi.org/10.1177/19401612221117481")</f>
        <v>http://dx.doi.org/10.1177/19401612221117481</v>
      </c>
      <c r="BG69" t="s">
        <v>74</v>
      </c>
      <c r="BH69" t="s">
        <v>1527</v>
      </c>
      <c r="BI69">
        <v>22</v>
      </c>
      <c r="BJ69" t="s">
        <v>1528</v>
      </c>
      <c r="BK69" t="s">
        <v>99</v>
      </c>
      <c r="BL69" t="s">
        <v>1529</v>
      </c>
      <c r="BM69" t="s">
        <v>1530</v>
      </c>
      <c r="BN69" t="s">
        <v>74</v>
      </c>
      <c r="BO69" t="s">
        <v>74</v>
      </c>
      <c r="BP69" t="s">
        <v>74</v>
      </c>
      <c r="BQ69" t="s">
        <v>74</v>
      </c>
      <c r="BR69" t="s">
        <v>102</v>
      </c>
      <c r="BS69" t="s">
        <v>1531</v>
      </c>
      <c r="BT69" t="str">
        <f>HYPERLINK("https%3A%2F%2Fwww.webofscience.com%2Fwos%2Fwoscc%2Ffull-record%2FWOS:000834560000001","View Full Record in Web of Science")</f>
        <v>View Full Record in Web of Science</v>
      </c>
    </row>
    <row r="70" spans="1:72" x14ac:dyDescent="0.35">
      <c r="A70" t="s">
        <v>72</v>
      </c>
      <c r="B70" t="s">
        <v>1532</v>
      </c>
      <c r="C70" t="s">
        <v>74</v>
      </c>
      <c r="D70" t="s">
        <v>74</v>
      </c>
      <c r="E70" t="s">
        <v>74</v>
      </c>
      <c r="F70" t="s">
        <v>1533</v>
      </c>
      <c r="G70" t="s">
        <v>74</v>
      </c>
      <c r="H70" t="s">
        <v>74</v>
      </c>
      <c r="I70" t="s">
        <v>1534</v>
      </c>
      <c r="J70" t="s">
        <v>1535</v>
      </c>
      <c r="K70" t="s">
        <v>74</v>
      </c>
      <c r="L70" t="s">
        <v>74</v>
      </c>
      <c r="M70" t="s">
        <v>78</v>
      </c>
      <c r="N70" t="s">
        <v>108</v>
      </c>
      <c r="O70" t="s">
        <v>74</v>
      </c>
      <c r="P70" t="s">
        <v>74</v>
      </c>
      <c r="Q70" t="s">
        <v>74</v>
      </c>
      <c r="R70" t="s">
        <v>74</v>
      </c>
      <c r="S70" t="s">
        <v>74</v>
      </c>
      <c r="T70" t="s">
        <v>1536</v>
      </c>
      <c r="U70" t="s">
        <v>1537</v>
      </c>
      <c r="V70" t="s">
        <v>1538</v>
      </c>
      <c r="W70" t="s">
        <v>1539</v>
      </c>
      <c r="X70" t="s">
        <v>1540</v>
      </c>
      <c r="Y70" t="s">
        <v>1541</v>
      </c>
      <c r="Z70" t="s">
        <v>1542</v>
      </c>
      <c r="AA70" t="s">
        <v>74</v>
      </c>
      <c r="AB70" t="s">
        <v>74</v>
      </c>
      <c r="AC70" t="s">
        <v>1543</v>
      </c>
      <c r="AD70" t="s">
        <v>1543</v>
      </c>
      <c r="AE70" t="s">
        <v>1544</v>
      </c>
      <c r="AF70" t="s">
        <v>74</v>
      </c>
      <c r="AG70">
        <v>72</v>
      </c>
      <c r="AH70">
        <v>0</v>
      </c>
      <c r="AI70">
        <v>0</v>
      </c>
      <c r="AJ70">
        <v>37</v>
      </c>
      <c r="AK70">
        <v>58</v>
      </c>
      <c r="AL70" t="s">
        <v>1394</v>
      </c>
      <c r="AM70" t="s">
        <v>1395</v>
      </c>
      <c r="AN70" t="s">
        <v>1396</v>
      </c>
      <c r="AO70" t="s">
        <v>1545</v>
      </c>
      <c r="AP70" t="s">
        <v>1546</v>
      </c>
      <c r="AQ70" t="s">
        <v>74</v>
      </c>
      <c r="AR70" t="s">
        <v>1547</v>
      </c>
      <c r="AS70" t="s">
        <v>1548</v>
      </c>
      <c r="AT70" t="s">
        <v>74</v>
      </c>
      <c r="AU70">
        <v>2024</v>
      </c>
      <c r="AV70">
        <v>23</v>
      </c>
      <c r="AW70">
        <v>2</v>
      </c>
      <c r="AX70" t="s">
        <v>74</v>
      </c>
      <c r="AY70" t="s">
        <v>74</v>
      </c>
      <c r="AZ70" t="s">
        <v>74</v>
      </c>
      <c r="BA70" t="s">
        <v>74</v>
      </c>
      <c r="BB70" t="s">
        <v>74</v>
      </c>
      <c r="BC70" t="s">
        <v>74</v>
      </c>
      <c r="BD70" t="s">
        <v>74</v>
      </c>
      <c r="BE70" t="s">
        <v>1549</v>
      </c>
      <c r="BF70" t="str">
        <f>HYPERLINK("http://dx.doi.org/10.1504/IJMC.2024.136627","http://dx.doi.org/10.1504/IJMC.2024.136627")</f>
        <v>http://dx.doi.org/10.1504/IJMC.2024.136627</v>
      </c>
      <c r="BG70" t="s">
        <v>74</v>
      </c>
      <c r="BH70" t="s">
        <v>74</v>
      </c>
      <c r="BI70">
        <v>27</v>
      </c>
      <c r="BJ70" t="s">
        <v>124</v>
      </c>
      <c r="BK70" t="s">
        <v>99</v>
      </c>
      <c r="BL70" t="s">
        <v>124</v>
      </c>
      <c r="BM70" t="s">
        <v>1550</v>
      </c>
      <c r="BN70" t="s">
        <v>74</v>
      </c>
      <c r="BO70" t="s">
        <v>74</v>
      </c>
      <c r="BP70" t="s">
        <v>74</v>
      </c>
      <c r="BQ70" t="s">
        <v>74</v>
      </c>
      <c r="BR70" t="s">
        <v>102</v>
      </c>
      <c r="BS70" t="s">
        <v>1551</v>
      </c>
      <c r="BT70" t="str">
        <f>HYPERLINK("https%3A%2F%2Fwww.webofscience.com%2Fwos%2Fwoscc%2Ffull-record%2FWOS:001161637200002","View Full Record in Web of Science")</f>
        <v>View Full Record in Web of Science</v>
      </c>
    </row>
    <row r="71" spans="1:72" x14ac:dyDescent="0.35">
      <c r="A71" t="s">
        <v>72</v>
      </c>
      <c r="B71" t="s">
        <v>1552</v>
      </c>
      <c r="C71" t="s">
        <v>74</v>
      </c>
      <c r="D71" t="s">
        <v>74</v>
      </c>
      <c r="E71" t="s">
        <v>74</v>
      </c>
      <c r="F71" t="s">
        <v>1553</v>
      </c>
      <c r="G71" t="s">
        <v>74</v>
      </c>
      <c r="H71" t="s">
        <v>74</v>
      </c>
      <c r="I71" t="s">
        <v>1554</v>
      </c>
      <c r="J71" t="s">
        <v>1555</v>
      </c>
      <c r="K71" t="s">
        <v>74</v>
      </c>
      <c r="L71" t="s">
        <v>74</v>
      </c>
      <c r="M71" t="s">
        <v>1556</v>
      </c>
      <c r="N71" t="s">
        <v>108</v>
      </c>
      <c r="O71" t="s">
        <v>74</v>
      </c>
      <c r="P71" t="s">
        <v>74</v>
      </c>
      <c r="Q71" t="s">
        <v>74</v>
      </c>
      <c r="R71" t="s">
        <v>74</v>
      </c>
      <c r="S71" t="s">
        <v>74</v>
      </c>
      <c r="T71" t="s">
        <v>1557</v>
      </c>
      <c r="U71" t="s">
        <v>74</v>
      </c>
      <c r="V71" t="s">
        <v>1558</v>
      </c>
      <c r="W71" t="s">
        <v>1559</v>
      </c>
      <c r="X71" t="s">
        <v>1560</v>
      </c>
      <c r="Y71" t="s">
        <v>1561</v>
      </c>
      <c r="Z71" t="s">
        <v>1562</v>
      </c>
      <c r="AA71" t="s">
        <v>74</v>
      </c>
      <c r="AB71" t="s">
        <v>74</v>
      </c>
      <c r="AC71" t="s">
        <v>74</v>
      </c>
      <c r="AD71" t="s">
        <v>74</v>
      </c>
      <c r="AE71" t="s">
        <v>74</v>
      </c>
      <c r="AF71" t="s">
        <v>74</v>
      </c>
      <c r="AG71">
        <v>13</v>
      </c>
      <c r="AH71">
        <v>1</v>
      </c>
      <c r="AI71">
        <v>2</v>
      </c>
      <c r="AJ71">
        <v>8</v>
      </c>
      <c r="AK71">
        <v>41</v>
      </c>
      <c r="AL71" t="s">
        <v>1563</v>
      </c>
      <c r="AM71" t="s">
        <v>1564</v>
      </c>
      <c r="AN71" t="s">
        <v>1565</v>
      </c>
      <c r="AO71" t="s">
        <v>1566</v>
      </c>
      <c r="AP71" t="s">
        <v>1567</v>
      </c>
      <c r="AQ71" t="s">
        <v>74</v>
      </c>
      <c r="AR71" t="s">
        <v>1568</v>
      </c>
      <c r="AS71" t="s">
        <v>1569</v>
      </c>
      <c r="AT71" t="s">
        <v>74</v>
      </c>
      <c r="AU71">
        <v>2022</v>
      </c>
      <c r="AV71">
        <v>18</v>
      </c>
      <c r="AW71">
        <v>2</v>
      </c>
      <c r="AX71" t="s">
        <v>74</v>
      </c>
      <c r="AY71" t="s">
        <v>74</v>
      </c>
      <c r="AZ71" t="s">
        <v>74</v>
      </c>
      <c r="BA71" t="s">
        <v>74</v>
      </c>
      <c r="BB71">
        <v>117</v>
      </c>
      <c r="BC71">
        <v>146</v>
      </c>
      <c r="BD71" t="s">
        <v>74</v>
      </c>
      <c r="BE71" t="s">
        <v>1570</v>
      </c>
      <c r="BF71" t="str">
        <f>HYPERLINK("http://dx.doi.org/10.30628/1994-9529-2022-18.2-117-146","http://dx.doi.org/10.30628/1994-9529-2022-18.2-117-146")</f>
        <v>http://dx.doi.org/10.30628/1994-9529-2022-18.2-117-146</v>
      </c>
      <c r="BG71" t="s">
        <v>74</v>
      </c>
      <c r="BH71" t="s">
        <v>74</v>
      </c>
      <c r="BI71">
        <v>30</v>
      </c>
      <c r="BJ71" t="s">
        <v>1571</v>
      </c>
      <c r="BK71" t="s">
        <v>125</v>
      </c>
      <c r="BL71" t="s">
        <v>1572</v>
      </c>
      <c r="BM71" t="s">
        <v>1573</v>
      </c>
      <c r="BN71" t="s">
        <v>74</v>
      </c>
      <c r="BO71" t="s">
        <v>235</v>
      </c>
      <c r="BP71" t="s">
        <v>74</v>
      </c>
      <c r="BQ71" t="s">
        <v>74</v>
      </c>
      <c r="BR71" t="s">
        <v>102</v>
      </c>
      <c r="BS71" t="s">
        <v>1574</v>
      </c>
      <c r="BT71" t="str">
        <f>HYPERLINK("https%3A%2F%2Fwww.webofscience.com%2Fwos%2Fwoscc%2Ffull-record%2FWOS:000915652300005","View Full Record in Web of Science")</f>
        <v>View Full Record in Web of Science</v>
      </c>
    </row>
    <row r="72" spans="1:72" x14ac:dyDescent="0.35">
      <c r="A72" t="s">
        <v>72</v>
      </c>
      <c r="B72" t="s">
        <v>1575</v>
      </c>
      <c r="C72" t="s">
        <v>74</v>
      </c>
      <c r="D72" t="s">
        <v>74</v>
      </c>
      <c r="E72" t="s">
        <v>74</v>
      </c>
      <c r="F72" t="s">
        <v>1576</v>
      </c>
      <c r="G72" t="s">
        <v>74</v>
      </c>
      <c r="H72" t="s">
        <v>74</v>
      </c>
      <c r="I72" t="s">
        <v>1577</v>
      </c>
      <c r="J72" t="s">
        <v>1578</v>
      </c>
      <c r="K72" t="s">
        <v>74</v>
      </c>
      <c r="L72" t="s">
        <v>74</v>
      </c>
      <c r="M72" t="s">
        <v>78</v>
      </c>
      <c r="N72" t="s">
        <v>79</v>
      </c>
      <c r="O72" t="s">
        <v>74</v>
      </c>
      <c r="P72" t="s">
        <v>74</v>
      </c>
      <c r="Q72" t="s">
        <v>74</v>
      </c>
      <c r="R72" t="s">
        <v>74</v>
      </c>
      <c r="S72" t="s">
        <v>74</v>
      </c>
      <c r="T72" t="s">
        <v>1579</v>
      </c>
      <c r="U72" t="s">
        <v>1580</v>
      </c>
      <c r="V72" t="s">
        <v>1581</v>
      </c>
      <c r="W72" t="s">
        <v>1582</v>
      </c>
      <c r="X72" t="s">
        <v>1583</v>
      </c>
      <c r="Y72" t="s">
        <v>1584</v>
      </c>
      <c r="Z72" t="s">
        <v>1585</v>
      </c>
      <c r="AA72" t="s">
        <v>1586</v>
      </c>
      <c r="AB72" t="s">
        <v>1587</v>
      </c>
      <c r="AC72" t="s">
        <v>74</v>
      </c>
      <c r="AD72" t="s">
        <v>74</v>
      </c>
      <c r="AE72" t="s">
        <v>74</v>
      </c>
      <c r="AF72" t="s">
        <v>74</v>
      </c>
      <c r="AG72">
        <v>81</v>
      </c>
      <c r="AH72">
        <v>4</v>
      </c>
      <c r="AI72">
        <v>4</v>
      </c>
      <c r="AJ72">
        <v>27</v>
      </c>
      <c r="AK72">
        <v>61</v>
      </c>
      <c r="AL72" t="s">
        <v>1588</v>
      </c>
      <c r="AM72" t="s">
        <v>1589</v>
      </c>
      <c r="AN72" t="s">
        <v>1590</v>
      </c>
      <c r="AO72" t="s">
        <v>1591</v>
      </c>
      <c r="AP72" t="s">
        <v>1592</v>
      </c>
      <c r="AQ72" t="s">
        <v>74</v>
      </c>
      <c r="AR72" t="s">
        <v>1593</v>
      </c>
      <c r="AS72" t="s">
        <v>1594</v>
      </c>
      <c r="AT72" t="s">
        <v>1595</v>
      </c>
      <c r="AU72">
        <v>2024</v>
      </c>
      <c r="AV72" t="s">
        <v>74</v>
      </c>
      <c r="AW72" t="s">
        <v>74</v>
      </c>
      <c r="AX72" t="s">
        <v>74</v>
      </c>
      <c r="AY72" t="s">
        <v>74</v>
      </c>
      <c r="AZ72" t="s">
        <v>74</v>
      </c>
      <c r="BA72" t="s">
        <v>74</v>
      </c>
      <c r="BB72" t="s">
        <v>74</v>
      </c>
      <c r="BC72" t="s">
        <v>74</v>
      </c>
      <c r="BD72" t="s">
        <v>74</v>
      </c>
      <c r="BE72" t="s">
        <v>1596</v>
      </c>
      <c r="BF72" t="str">
        <f>HYPERLINK("http://dx.doi.org/10.1057/s41270-023-00276-w","http://dx.doi.org/10.1057/s41270-023-00276-w")</f>
        <v>http://dx.doi.org/10.1057/s41270-023-00276-w</v>
      </c>
      <c r="BG72" t="s">
        <v>74</v>
      </c>
      <c r="BH72" t="s">
        <v>1377</v>
      </c>
      <c r="BI72">
        <v>17</v>
      </c>
      <c r="BJ72" t="s">
        <v>1597</v>
      </c>
      <c r="BK72" t="s">
        <v>125</v>
      </c>
      <c r="BL72" t="s">
        <v>480</v>
      </c>
      <c r="BM72" t="s">
        <v>1598</v>
      </c>
      <c r="BN72" t="s">
        <v>74</v>
      </c>
      <c r="BO72" t="s">
        <v>74</v>
      </c>
      <c r="BP72" t="s">
        <v>74</v>
      </c>
      <c r="BQ72" t="s">
        <v>74</v>
      </c>
      <c r="BR72" t="s">
        <v>102</v>
      </c>
      <c r="BS72" t="s">
        <v>1599</v>
      </c>
      <c r="BT72" t="str">
        <f>HYPERLINK("https%3A%2F%2Fwww.webofscience.com%2Fwos%2Fwoscc%2Ffull-record%2FWOS:001137198900001","View Full Record in Web of Science")</f>
        <v>View Full Record in Web of Science</v>
      </c>
    </row>
    <row r="73" spans="1:72" x14ac:dyDescent="0.35">
      <c r="A73" t="s">
        <v>72</v>
      </c>
      <c r="B73" t="s">
        <v>1600</v>
      </c>
      <c r="C73" t="s">
        <v>74</v>
      </c>
      <c r="D73" t="s">
        <v>74</v>
      </c>
      <c r="E73" t="s">
        <v>74</v>
      </c>
      <c r="F73" t="s">
        <v>1601</v>
      </c>
      <c r="G73" t="s">
        <v>74</v>
      </c>
      <c r="H73" t="s">
        <v>74</v>
      </c>
      <c r="I73" t="s">
        <v>1602</v>
      </c>
      <c r="J73" t="s">
        <v>1603</v>
      </c>
      <c r="K73" t="s">
        <v>74</v>
      </c>
      <c r="L73" t="s">
        <v>74</v>
      </c>
      <c r="M73" t="s">
        <v>78</v>
      </c>
      <c r="N73" t="s">
        <v>108</v>
      </c>
      <c r="O73" t="s">
        <v>74</v>
      </c>
      <c r="P73" t="s">
        <v>74</v>
      </c>
      <c r="Q73" t="s">
        <v>74</v>
      </c>
      <c r="R73" t="s">
        <v>74</v>
      </c>
      <c r="S73" t="s">
        <v>74</v>
      </c>
      <c r="T73" t="s">
        <v>1604</v>
      </c>
      <c r="U73" t="s">
        <v>1605</v>
      </c>
      <c r="V73" t="s">
        <v>1606</v>
      </c>
      <c r="W73" t="s">
        <v>1607</v>
      </c>
      <c r="X73" t="s">
        <v>1608</v>
      </c>
      <c r="Y73" t="s">
        <v>1609</v>
      </c>
      <c r="Z73" t="s">
        <v>1610</v>
      </c>
      <c r="AA73" t="s">
        <v>74</v>
      </c>
      <c r="AB73" t="s">
        <v>1611</v>
      </c>
      <c r="AC73" t="s">
        <v>74</v>
      </c>
      <c r="AD73" t="s">
        <v>74</v>
      </c>
      <c r="AE73" t="s">
        <v>74</v>
      </c>
      <c r="AF73" t="s">
        <v>74</v>
      </c>
      <c r="AG73">
        <v>63</v>
      </c>
      <c r="AH73">
        <v>32</v>
      </c>
      <c r="AI73">
        <v>34</v>
      </c>
      <c r="AJ73">
        <v>20</v>
      </c>
      <c r="AK73">
        <v>56</v>
      </c>
      <c r="AL73" t="s">
        <v>516</v>
      </c>
      <c r="AM73" t="s">
        <v>517</v>
      </c>
      <c r="AN73" t="s">
        <v>518</v>
      </c>
      <c r="AO73" t="s">
        <v>1612</v>
      </c>
      <c r="AP73" t="s">
        <v>1613</v>
      </c>
      <c r="AQ73" t="s">
        <v>74</v>
      </c>
      <c r="AR73" t="s">
        <v>1603</v>
      </c>
      <c r="AS73" t="s">
        <v>1614</v>
      </c>
      <c r="AT73" t="s">
        <v>1275</v>
      </c>
      <c r="AU73">
        <v>2022</v>
      </c>
      <c r="AV73">
        <v>43</v>
      </c>
      <c r="AW73" t="s">
        <v>74</v>
      </c>
      <c r="AX73" t="s">
        <v>74</v>
      </c>
      <c r="AY73" t="s">
        <v>74</v>
      </c>
      <c r="AZ73" t="s">
        <v>74</v>
      </c>
      <c r="BA73" t="s">
        <v>74</v>
      </c>
      <c r="BB73">
        <v>244</v>
      </c>
      <c r="BC73">
        <v>252</v>
      </c>
      <c r="BD73" t="s">
        <v>74</v>
      </c>
      <c r="BE73" t="s">
        <v>1615</v>
      </c>
      <c r="BF73" t="str">
        <f>HYPERLINK("http://dx.doi.org/10.1016/j.bodyim.2022.09.004","http://dx.doi.org/10.1016/j.bodyim.2022.09.004")</f>
        <v>http://dx.doi.org/10.1016/j.bodyim.2022.09.004</v>
      </c>
      <c r="BG73" t="s">
        <v>74</v>
      </c>
      <c r="BH73" t="s">
        <v>74</v>
      </c>
      <c r="BI73">
        <v>9</v>
      </c>
      <c r="BJ73" t="s">
        <v>1616</v>
      </c>
      <c r="BK73" t="s">
        <v>99</v>
      </c>
      <c r="BL73" t="s">
        <v>1617</v>
      </c>
      <c r="BM73" t="s">
        <v>1618</v>
      </c>
      <c r="BN73">
        <v>36194987</v>
      </c>
      <c r="BO73" t="s">
        <v>74</v>
      </c>
      <c r="BP73" t="s">
        <v>74</v>
      </c>
      <c r="BQ73" t="s">
        <v>74</v>
      </c>
      <c r="BR73" t="s">
        <v>102</v>
      </c>
      <c r="BS73" t="s">
        <v>1619</v>
      </c>
      <c r="BT73" t="str">
        <f>HYPERLINK("https%3A%2F%2Fwww.webofscience.com%2Fwos%2Fwoscc%2Ffull-record%2FWOS:001130437000004","View Full Record in Web of Science")</f>
        <v>View Full Record in Web of Science</v>
      </c>
    </row>
    <row r="74" spans="1:72" x14ac:dyDescent="0.35">
      <c r="A74" t="s">
        <v>72</v>
      </c>
      <c r="B74" t="s">
        <v>1620</v>
      </c>
      <c r="C74" t="s">
        <v>74</v>
      </c>
      <c r="D74" t="s">
        <v>74</v>
      </c>
      <c r="E74" t="s">
        <v>74</v>
      </c>
      <c r="F74" t="s">
        <v>1621</v>
      </c>
      <c r="G74" t="s">
        <v>74</v>
      </c>
      <c r="H74" t="s">
        <v>74</v>
      </c>
      <c r="I74" t="s">
        <v>1622</v>
      </c>
      <c r="J74" t="s">
        <v>401</v>
      </c>
      <c r="K74" t="s">
        <v>74</v>
      </c>
      <c r="L74" t="s">
        <v>74</v>
      </c>
      <c r="M74" t="s">
        <v>78</v>
      </c>
      <c r="N74" t="s">
        <v>108</v>
      </c>
      <c r="O74" t="s">
        <v>74</v>
      </c>
      <c r="P74" t="s">
        <v>74</v>
      </c>
      <c r="Q74" t="s">
        <v>74</v>
      </c>
      <c r="R74" t="s">
        <v>74</v>
      </c>
      <c r="S74" t="s">
        <v>74</v>
      </c>
      <c r="T74" t="s">
        <v>1623</v>
      </c>
      <c r="U74" t="s">
        <v>74</v>
      </c>
      <c r="V74" t="s">
        <v>1624</v>
      </c>
      <c r="W74" t="s">
        <v>1625</v>
      </c>
      <c r="X74" t="s">
        <v>1626</v>
      </c>
      <c r="Y74" t="s">
        <v>1627</v>
      </c>
      <c r="Z74" t="s">
        <v>1628</v>
      </c>
      <c r="AA74" t="s">
        <v>1629</v>
      </c>
      <c r="AB74" t="s">
        <v>74</v>
      </c>
      <c r="AC74" t="s">
        <v>74</v>
      </c>
      <c r="AD74" t="s">
        <v>74</v>
      </c>
      <c r="AE74" t="s">
        <v>74</v>
      </c>
      <c r="AF74" t="s">
        <v>74</v>
      </c>
      <c r="AG74">
        <v>35</v>
      </c>
      <c r="AH74">
        <v>33</v>
      </c>
      <c r="AI74">
        <v>43</v>
      </c>
      <c r="AJ74">
        <v>8</v>
      </c>
      <c r="AK74">
        <v>99</v>
      </c>
      <c r="AL74" t="s">
        <v>409</v>
      </c>
      <c r="AM74" t="s">
        <v>410</v>
      </c>
      <c r="AN74" t="s">
        <v>411</v>
      </c>
      <c r="AO74" t="s">
        <v>412</v>
      </c>
      <c r="AP74" t="s">
        <v>74</v>
      </c>
      <c r="AQ74" t="s">
        <v>74</v>
      </c>
      <c r="AR74" t="s">
        <v>413</v>
      </c>
      <c r="AS74" t="s">
        <v>414</v>
      </c>
      <c r="AT74" t="s">
        <v>74</v>
      </c>
      <c r="AU74">
        <v>2021</v>
      </c>
      <c r="AV74">
        <v>15</v>
      </c>
      <c r="AW74" t="s">
        <v>74</v>
      </c>
      <c r="AX74" t="s">
        <v>74</v>
      </c>
      <c r="AY74" t="s">
        <v>74</v>
      </c>
      <c r="AZ74" t="s">
        <v>74</v>
      </c>
      <c r="BA74" t="s">
        <v>74</v>
      </c>
      <c r="BB74">
        <v>3161</v>
      </c>
      <c r="BC74">
        <v>3172</v>
      </c>
      <c r="BD74" t="s">
        <v>74</v>
      </c>
      <c r="BE74" t="s">
        <v>74</v>
      </c>
      <c r="BF74" t="s">
        <v>74</v>
      </c>
      <c r="BG74" t="s">
        <v>74</v>
      </c>
      <c r="BH74" t="s">
        <v>74</v>
      </c>
      <c r="BI74">
        <v>12</v>
      </c>
      <c r="BJ74" t="s">
        <v>124</v>
      </c>
      <c r="BK74" t="s">
        <v>99</v>
      </c>
      <c r="BL74" t="s">
        <v>124</v>
      </c>
      <c r="BM74" t="s">
        <v>1217</v>
      </c>
      <c r="BN74" t="s">
        <v>74</v>
      </c>
      <c r="BO74" t="s">
        <v>74</v>
      </c>
      <c r="BP74" t="s">
        <v>74</v>
      </c>
      <c r="BQ74" t="s">
        <v>74</v>
      </c>
      <c r="BR74" t="s">
        <v>102</v>
      </c>
      <c r="BS74" t="s">
        <v>1630</v>
      </c>
      <c r="BT74" t="str">
        <f>HYPERLINK("https%3A%2F%2Fwww.webofscience.com%2Fwos%2Fwoscc%2Ffull-record%2FWOS:000729944300050","View Full Record in Web of Science")</f>
        <v>View Full Record in Web of Science</v>
      </c>
    </row>
    <row r="75" spans="1:72" x14ac:dyDescent="0.35">
      <c r="A75" t="s">
        <v>72</v>
      </c>
      <c r="B75" t="s">
        <v>1631</v>
      </c>
      <c r="C75" t="s">
        <v>74</v>
      </c>
      <c r="D75" t="s">
        <v>74</v>
      </c>
      <c r="E75" t="s">
        <v>74</v>
      </c>
      <c r="F75" t="s">
        <v>1632</v>
      </c>
      <c r="G75" t="s">
        <v>74</v>
      </c>
      <c r="H75" t="s">
        <v>74</v>
      </c>
      <c r="I75" t="s">
        <v>1633</v>
      </c>
      <c r="J75" t="s">
        <v>1634</v>
      </c>
      <c r="K75" t="s">
        <v>74</v>
      </c>
      <c r="L75" t="s">
        <v>74</v>
      </c>
      <c r="M75" t="s">
        <v>78</v>
      </c>
      <c r="N75" t="s">
        <v>108</v>
      </c>
      <c r="O75" t="s">
        <v>74</v>
      </c>
      <c r="P75" t="s">
        <v>74</v>
      </c>
      <c r="Q75" t="s">
        <v>74</v>
      </c>
      <c r="R75" t="s">
        <v>74</v>
      </c>
      <c r="S75" t="s">
        <v>74</v>
      </c>
      <c r="T75" t="s">
        <v>1635</v>
      </c>
      <c r="U75" t="s">
        <v>1636</v>
      </c>
      <c r="V75" t="s">
        <v>1637</v>
      </c>
      <c r="W75" t="s">
        <v>1638</v>
      </c>
      <c r="X75" t="s">
        <v>1639</v>
      </c>
      <c r="Y75" t="s">
        <v>1640</v>
      </c>
      <c r="Z75" t="s">
        <v>74</v>
      </c>
      <c r="AA75" t="s">
        <v>1641</v>
      </c>
      <c r="AB75" t="s">
        <v>1642</v>
      </c>
      <c r="AC75" t="s">
        <v>1643</v>
      </c>
      <c r="AD75" t="s">
        <v>1644</v>
      </c>
      <c r="AE75" t="s">
        <v>1645</v>
      </c>
      <c r="AF75" t="s">
        <v>74</v>
      </c>
      <c r="AG75">
        <v>49</v>
      </c>
      <c r="AH75">
        <v>0</v>
      </c>
      <c r="AI75">
        <v>0</v>
      </c>
      <c r="AJ75">
        <v>10</v>
      </c>
      <c r="AK75">
        <v>33</v>
      </c>
      <c r="AL75" t="s">
        <v>1646</v>
      </c>
      <c r="AM75" t="s">
        <v>1647</v>
      </c>
      <c r="AN75" t="s">
        <v>1648</v>
      </c>
      <c r="AO75" t="s">
        <v>1649</v>
      </c>
      <c r="AP75" t="s">
        <v>1650</v>
      </c>
      <c r="AQ75" t="s">
        <v>74</v>
      </c>
      <c r="AR75" t="s">
        <v>1651</v>
      </c>
      <c r="AS75" t="s">
        <v>1652</v>
      </c>
      <c r="AT75" t="s">
        <v>74</v>
      </c>
      <c r="AU75">
        <v>2023</v>
      </c>
      <c r="AV75">
        <v>19</v>
      </c>
      <c r="AW75">
        <v>3</v>
      </c>
      <c r="AX75" t="s">
        <v>74</v>
      </c>
      <c r="AY75" t="s">
        <v>74</v>
      </c>
      <c r="AZ75" t="s">
        <v>74</v>
      </c>
      <c r="BA75" t="s">
        <v>74</v>
      </c>
      <c r="BB75">
        <v>134</v>
      </c>
      <c r="BC75">
        <v>144</v>
      </c>
      <c r="BD75" t="s">
        <v>74</v>
      </c>
      <c r="BE75" t="s">
        <v>1653</v>
      </c>
      <c r="BF75" t="str">
        <f>HYPERLINK("http://dx.doi.org/10.21511/im.19(3).2023.12","http://dx.doi.org/10.21511/im.19(3).2023.12")</f>
        <v>http://dx.doi.org/10.21511/im.19(3).2023.12</v>
      </c>
      <c r="BG75" t="s">
        <v>74</v>
      </c>
      <c r="BH75" t="s">
        <v>74</v>
      </c>
      <c r="BI75">
        <v>12</v>
      </c>
      <c r="BJ75" t="s">
        <v>1597</v>
      </c>
      <c r="BK75" t="s">
        <v>125</v>
      </c>
      <c r="BL75" t="s">
        <v>480</v>
      </c>
      <c r="BM75" t="s">
        <v>1654</v>
      </c>
      <c r="BN75" t="s">
        <v>74</v>
      </c>
      <c r="BO75" t="s">
        <v>235</v>
      </c>
      <c r="BP75" t="s">
        <v>74</v>
      </c>
      <c r="BQ75" t="s">
        <v>74</v>
      </c>
      <c r="BR75" t="s">
        <v>102</v>
      </c>
      <c r="BS75" t="s">
        <v>1655</v>
      </c>
      <c r="BT75" t="str">
        <f>HYPERLINK("https%3A%2F%2Fwww.webofscience.com%2Fwos%2Fwoscc%2Ffull-record%2FWOS:001093339300012","View Full Record in Web of Science")</f>
        <v>View Full Record in Web of Science</v>
      </c>
    </row>
    <row r="76" spans="1:72" x14ac:dyDescent="0.35">
      <c r="A76" t="s">
        <v>128</v>
      </c>
      <c r="B76" t="s">
        <v>1656</v>
      </c>
      <c r="C76" t="s">
        <v>74</v>
      </c>
      <c r="D76" t="s">
        <v>1657</v>
      </c>
      <c r="E76" t="s">
        <v>74</v>
      </c>
      <c r="F76" t="s">
        <v>1658</v>
      </c>
      <c r="G76" t="s">
        <v>74</v>
      </c>
      <c r="H76" t="s">
        <v>74</v>
      </c>
      <c r="I76" t="s">
        <v>1659</v>
      </c>
      <c r="J76" t="s">
        <v>1660</v>
      </c>
      <c r="K76" t="s">
        <v>628</v>
      </c>
      <c r="L76" t="s">
        <v>74</v>
      </c>
      <c r="M76" t="s">
        <v>78</v>
      </c>
      <c r="N76" t="s">
        <v>135</v>
      </c>
      <c r="O76" t="s">
        <v>1661</v>
      </c>
      <c r="P76" t="s">
        <v>1662</v>
      </c>
      <c r="Q76" t="s">
        <v>631</v>
      </c>
      <c r="R76" t="s">
        <v>74</v>
      </c>
      <c r="S76" t="s">
        <v>74</v>
      </c>
      <c r="T76" t="s">
        <v>1663</v>
      </c>
      <c r="U76" t="s">
        <v>1664</v>
      </c>
      <c r="V76" t="s">
        <v>1665</v>
      </c>
      <c r="W76" t="s">
        <v>1666</v>
      </c>
      <c r="X76" t="s">
        <v>1667</v>
      </c>
      <c r="Y76" t="s">
        <v>1668</v>
      </c>
      <c r="Z76" t="s">
        <v>1669</v>
      </c>
      <c r="AA76" t="s">
        <v>1670</v>
      </c>
      <c r="AB76" t="s">
        <v>1671</v>
      </c>
      <c r="AC76" t="s">
        <v>74</v>
      </c>
      <c r="AD76" t="s">
        <v>74</v>
      </c>
      <c r="AE76" t="s">
        <v>74</v>
      </c>
      <c r="AF76" t="s">
        <v>74</v>
      </c>
      <c r="AG76">
        <v>63</v>
      </c>
      <c r="AH76">
        <v>0</v>
      </c>
      <c r="AI76">
        <v>0</v>
      </c>
      <c r="AJ76">
        <v>5</v>
      </c>
      <c r="AK76">
        <v>5</v>
      </c>
      <c r="AL76" t="s">
        <v>639</v>
      </c>
      <c r="AM76" t="s">
        <v>640</v>
      </c>
      <c r="AN76" t="s">
        <v>641</v>
      </c>
      <c r="AO76" t="s">
        <v>642</v>
      </c>
      <c r="AP76" t="s">
        <v>643</v>
      </c>
      <c r="AQ76" t="s">
        <v>1672</v>
      </c>
      <c r="AR76" t="s">
        <v>645</v>
      </c>
      <c r="AS76" t="s">
        <v>74</v>
      </c>
      <c r="AT76" t="s">
        <v>74</v>
      </c>
      <c r="AU76">
        <v>2023</v>
      </c>
      <c r="AV76" t="s">
        <v>74</v>
      </c>
      <c r="AW76" t="s">
        <v>74</v>
      </c>
      <c r="AX76" t="s">
        <v>74</v>
      </c>
      <c r="AY76" t="s">
        <v>74</v>
      </c>
      <c r="AZ76" t="s">
        <v>74</v>
      </c>
      <c r="BA76" t="s">
        <v>74</v>
      </c>
      <c r="BB76">
        <v>270</v>
      </c>
      <c r="BC76">
        <v>289</v>
      </c>
      <c r="BD76" t="s">
        <v>74</v>
      </c>
      <c r="BE76" t="s">
        <v>1673</v>
      </c>
      <c r="BF76" t="str">
        <f>HYPERLINK("http://dx.doi.org/10.1007/978-3-031-31836-8_27","http://dx.doi.org/10.1007/978-3-031-31836-8_27")</f>
        <v>http://dx.doi.org/10.1007/978-3-031-31836-8_27</v>
      </c>
      <c r="BG76" t="s">
        <v>74</v>
      </c>
      <c r="BH76" t="s">
        <v>74</v>
      </c>
      <c r="BI76">
        <v>20</v>
      </c>
      <c r="BJ76" t="s">
        <v>647</v>
      </c>
      <c r="BK76" t="s">
        <v>648</v>
      </c>
      <c r="BL76" t="s">
        <v>649</v>
      </c>
      <c r="BM76" t="s">
        <v>1674</v>
      </c>
      <c r="BN76" t="s">
        <v>74</v>
      </c>
      <c r="BO76" t="s">
        <v>74</v>
      </c>
      <c r="BP76" t="s">
        <v>74</v>
      </c>
      <c r="BQ76" t="s">
        <v>74</v>
      </c>
      <c r="BR76" t="s">
        <v>102</v>
      </c>
      <c r="BS76" t="s">
        <v>1675</v>
      </c>
      <c r="BT76" t="str">
        <f>HYPERLINK("https%3A%2F%2Fwww.webofscience.com%2Fwos%2Fwoscc%2Ffull-record%2FWOS:001310121900027","View Full Record in Web of Science")</f>
        <v>View Full Record in Web of Science</v>
      </c>
    </row>
    <row r="77" spans="1:72" x14ac:dyDescent="0.35">
      <c r="A77" t="s">
        <v>128</v>
      </c>
      <c r="B77" t="s">
        <v>1676</v>
      </c>
      <c r="C77" t="s">
        <v>74</v>
      </c>
      <c r="D77" t="s">
        <v>74</v>
      </c>
      <c r="E77" t="s">
        <v>1677</v>
      </c>
      <c r="F77" t="s">
        <v>1678</v>
      </c>
      <c r="G77" t="s">
        <v>74</v>
      </c>
      <c r="H77" t="s">
        <v>74</v>
      </c>
      <c r="I77" t="s">
        <v>1679</v>
      </c>
      <c r="J77" t="s">
        <v>1680</v>
      </c>
      <c r="K77" t="s">
        <v>1681</v>
      </c>
      <c r="L77" t="s">
        <v>74</v>
      </c>
      <c r="M77" t="s">
        <v>78</v>
      </c>
      <c r="N77" t="s">
        <v>135</v>
      </c>
      <c r="O77" t="s">
        <v>1682</v>
      </c>
      <c r="P77" t="s">
        <v>1683</v>
      </c>
      <c r="Q77" t="s">
        <v>138</v>
      </c>
      <c r="R77" t="s">
        <v>1684</v>
      </c>
      <c r="S77" t="s">
        <v>74</v>
      </c>
      <c r="T77" t="s">
        <v>1685</v>
      </c>
      <c r="U77" t="s">
        <v>74</v>
      </c>
      <c r="V77" t="s">
        <v>1686</v>
      </c>
      <c r="W77" t="s">
        <v>1687</v>
      </c>
      <c r="X77" t="s">
        <v>1688</v>
      </c>
      <c r="Y77" t="s">
        <v>1689</v>
      </c>
      <c r="Z77" t="s">
        <v>1690</v>
      </c>
      <c r="AA77" t="s">
        <v>1691</v>
      </c>
      <c r="AB77" t="s">
        <v>74</v>
      </c>
      <c r="AC77" t="s">
        <v>74</v>
      </c>
      <c r="AD77" t="s">
        <v>74</v>
      </c>
      <c r="AE77" t="s">
        <v>74</v>
      </c>
      <c r="AF77" t="s">
        <v>74</v>
      </c>
      <c r="AG77">
        <v>22</v>
      </c>
      <c r="AH77">
        <v>1</v>
      </c>
      <c r="AI77">
        <v>1</v>
      </c>
      <c r="AJ77">
        <v>1</v>
      </c>
      <c r="AK77">
        <v>8</v>
      </c>
      <c r="AL77" t="s">
        <v>1677</v>
      </c>
      <c r="AM77" t="s">
        <v>666</v>
      </c>
      <c r="AN77" t="s">
        <v>1692</v>
      </c>
      <c r="AO77" t="s">
        <v>1693</v>
      </c>
      <c r="AP77" t="s">
        <v>1694</v>
      </c>
      <c r="AQ77" t="s">
        <v>1695</v>
      </c>
      <c r="AR77" t="s">
        <v>1696</v>
      </c>
      <c r="AS77" t="s">
        <v>74</v>
      </c>
      <c r="AT77" t="s">
        <v>74</v>
      </c>
      <c r="AU77">
        <v>2021</v>
      </c>
      <c r="AV77" t="s">
        <v>74</v>
      </c>
      <c r="AW77" t="s">
        <v>74</v>
      </c>
      <c r="AX77" t="s">
        <v>74</v>
      </c>
      <c r="AY77" t="s">
        <v>74</v>
      </c>
      <c r="AZ77" t="s">
        <v>74</v>
      </c>
      <c r="BA77" t="s">
        <v>74</v>
      </c>
      <c r="BB77" t="s">
        <v>74</v>
      </c>
      <c r="BC77" t="s">
        <v>74</v>
      </c>
      <c r="BD77" t="s">
        <v>74</v>
      </c>
      <c r="BE77" t="s">
        <v>1697</v>
      </c>
      <c r="BF77" t="str">
        <f>HYPERLINK("http://dx.doi.org/10.1109/AICT52784.2021.9620309","http://dx.doi.org/10.1109/AICT52784.2021.9620309")</f>
        <v>http://dx.doi.org/10.1109/AICT52784.2021.9620309</v>
      </c>
      <c r="BG77" t="s">
        <v>74</v>
      </c>
      <c r="BH77" t="s">
        <v>74</v>
      </c>
      <c r="BI77">
        <v>5</v>
      </c>
      <c r="BJ77" t="s">
        <v>1698</v>
      </c>
      <c r="BK77" t="s">
        <v>723</v>
      </c>
      <c r="BL77" t="s">
        <v>1699</v>
      </c>
      <c r="BM77" t="s">
        <v>1700</v>
      </c>
      <c r="BN77" t="s">
        <v>74</v>
      </c>
      <c r="BO77" t="s">
        <v>74</v>
      </c>
      <c r="BP77" t="s">
        <v>74</v>
      </c>
      <c r="BQ77" t="s">
        <v>74</v>
      </c>
      <c r="BR77" t="s">
        <v>102</v>
      </c>
      <c r="BS77" t="s">
        <v>1701</v>
      </c>
      <c r="BT77" t="str">
        <f>HYPERLINK("https%3A%2F%2Fwww.webofscience.com%2Fwos%2Fwoscc%2Ffull-record%2FWOS:000853096900019","View Full Record in Web of Science")</f>
        <v>View Full Record in Web of Science</v>
      </c>
    </row>
    <row r="78" spans="1:72" x14ac:dyDescent="0.35">
      <c r="A78" t="s">
        <v>72</v>
      </c>
      <c r="B78" t="s">
        <v>1702</v>
      </c>
      <c r="C78" t="s">
        <v>74</v>
      </c>
      <c r="D78" t="s">
        <v>74</v>
      </c>
      <c r="E78" t="s">
        <v>74</v>
      </c>
      <c r="F78" t="s">
        <v>1703</v>
      </c>
      <c r="G78" t="s">
        <v>74</v>
      </c>
      <c r="H78" t="s">
        <v>74</v>
      </c>
      <c r="I78" t="s">
        <v>1704</v>
      </c>
      <c r="J78" t="s">
        <v>1705</v>
      </c>
      <c r="K78" t="s">
        <v>74</v>
      </c>
      <c r="L78" t="s">
        <v>74</v>
      </c>
      <c r="M78" t="s">
        <v>78</v>
      </c>
      <c r="N78" t="s">
        <v>79</v>
      </c>
      <c r="O78" t="s">
        <v>74</v>
      </c>
      <c r="P78" t="s">
        <v>74</v>
      </c>
      <c r="Q78" t="s">
        <v>74</v>
      </c>
      <c r="R78" t="s">
        <v>74</v>
      </c>
      <c r="S78" t="s">
        <v>74</v>
      </c>
      <c r="T78" t="s">
        <v>1706</v>
      </c>
      <c r="U78" t="s">
        <v>1707</v>
      </c>
      <c r="V78" t="s">
        <v>1708</v>
      </c>
      <c r="W78" t="s">
        <v>1709</v>
      </c>
      <c r="X78" t="s">
        <v>1710</v>
      </c>
      <c r="Y78" t="s">
        <v>1711</v>
      </c>
      <c r="Z78" t="s">
        <v>1712</v>
      </c>
      <c r="AA78" t="s">
        <v>1713</v>
      </c>
      <c r="AB78" t="s">
        <v>1714</v>
      </c>
      <c r="AC78" t="s">
        <v>74</v>
      </c>
      <c r="AD78" t="s">
        <v>74</v>
      </c>
      <c r="AE78" t="s">
        <v>74</v>
      </c>
      <c r="AF78" t="s">
        <v>74</v>
      </c>
      <c r="AG78">
        <v>115</v>
      </c>
      <c r="AH78">
        <v>0</v>
      </c>
      <c r="AI78">
        <v>0</v>
      </c>
      <c r="AJ78">
        <v>4</v>
      </c>
      <c r="AK78">
        <v>4</v>
      </c>
      <c r="AL78" t="s">
        <v>1129</v>
      </c>
      <c r="AM78" t="s">
        <v>89</v>
      </c>
      <c r="AN78" t="s">
        <v>1130</v>
      </c>
      <c r="AO78" t="s">
        <v>1715</v>
      </c>
      <c r="AP78" t="s">
        <v>1716</v>
      </c>
      <c r="AQ78" t="s">
        <v>74</v>
      </c>
      <c r="AR78" t="s">
        <v>1717</v>
      </c>
      <c r="AS78" t="s">
        <v>1718</v>
      </c>
      <c r="AT78" t="s">
        <v>1719</v>
      </c>
      <c r="AU78">
        <v>2024</v>
      </c>
      <c r="AV78" t="s">
        <v>74</v>
      </c>
      <c r="AW78" t="s">
        <v>74</v>
      </c>
      <c r="AX78" t="s">
        <v>74</v>
      </c>
      <c r="AY78" t="s">
        <v>74</v>
      </c>
      <c r="AZ78" t="s">
        <v>74</v>
      </c>
      <c r="BA78" t="s">
        <v>74</v>
      </c>
      <c r="BB78" t="s">
        <v>74</v>
      </c>
      <c r="BC78" t="s">
        <v>74</v>
      </c>
      <c r="BD78" t="s">
        <v>74</v>
      </c>
      <c r="BE78" t="s">
        <v>1720</v>
      </c>
      <c r="BF78" t="str">
        <f>HYPERLINK("http://dx.doi.org/10.1080/13527266.2024.2419024","http://dx.doi.org/10.1080/13527266.2024.2419024")</f>
        <v>http://dx.doi.org/10.1080/13527266.2024.2419024</v>
      </c>
      <c r="BG78" t="s">
        <v>74</v>
      </c>
      <c r="BH78" t="s">
        <v>1721</v>
      </c>
      <c r="BI78">
        <v>25</v>
      </c>
      <c r="BJ78" t="s">
        <v>1722</v>
      </c>
      <c r="BK78" t="s">
        <v>125</v>
      </c>
      <c r="BL78" t="s">
        <v>1723</v>
      </c>
      <c r="BM78" t="s">
        <v>1724</v>
      </c>
      <c r="BN78" t="s">
        <v>74</v>
      </c>
      <c r="BO78" t="s">
        <v>74</v>
      </c>
      <c r="BP78" t="s">
        <v>74</v>
      </c>
      <c r="BQ78" t="s">
        <v>74</v>
      </c>
      <c r="BR78" t="s">
        <v>102</v>
      </c>
      <c r="BS78" t="s">
        <v>1725</v>
      </c>
      <c r="BT78" t="str">
        <f>HYPERLINK("https%3A%2F%2Fwww.webofscience.com%2Fwos%2Fwoscc%2Ffull-record%2FWOS:001340759000001","View Full Record in Web of Science")</f>
        <v>View Full Record in Web of Science</v>
      </c>
    </row>
    <row r="79" spans="1:72" x14ac:dyDescent="0.35">
      <c r="A79" t="s">
        <v>72</v>
      </c>
      <c r="B79" t="s">
        <v>1726</v>
      </c>
      <c r="C79" t="s">
        <v>74</v>
      </c>
      <c r="D79" t="s">
        <v>74</v>
      </c>
      <c r="E79" t="s">
        <v>74</v>
      </c>
      <c r="F79" t="s">
        <v>1727</v>
      </c>
      <c r="G79" t="s">
        <v>74</v>
      </c>
      <c r="H79" t="s">
        <v>74</v>
      </c>
      <c r="I79" t="s">
        <v>1728</v>
      </c>
      <c r="J79" t="s">
        <v>216</v>
      </c>
      <c r="K79" t="s">
        <v>74</v>
      </c>
      <c r="L79" t="s">
        <v>74</v>
      </c>
      <c r="M79" t="s">
        <v>78</v>
      </c>
      <c r="N79" t="s">
        <v>108</v>
      </c>
      <c r="O79" t="s">
        <v>74</v>
      </c>
      <c r="P79" t="s">
        <v>74</v>
      </c>
      <c r="Q79" t="s">
        <v>74</v>
      </c>
      <c r="R79" t="s">
        <v>74</v>
      </c>
      <c r="S79" t="s">
        <v>74</v>
      </c>
      <c r="T79" t="s">
        <v>1729</v>
      </c>
      <c r="U79" t="s">
        <v>1730</v>
      </c>
      <c r="V79" t="s">
        <v>1731</v>
      </c>
      <c r="W79" t="s">
        <v>1732</v>
      </c>
      <c r="X79" t="s">
        <v>74</v>
      </c>
      <c r="Y79" t="s">
        <v>1733</v>
      </c>
      <c r="Z79" t="s">
        <v>1734</v>
      </c>
      <c r="AA79" t="s">
        <v>74</v>
      </c>
      <c r="AB79" t="s">
        <v>1735</v>
      </c>
      <c r="AC79" t="s">
        <v>74</v>
      </c>
      <c r="AD79" t="s">
        <v>74</v>
      </c>
      <c r="AE79" t="s">
        <v>74</v>
      </c>
      <c r="AF79" t="s">
        <v>74</v>
      </c>
      <c r="AG79">
        <v>51</v>
      </c>
      <c r="AH79">
        <v>1</v>
      </c>
      <c r="AI79">
        <v>1</v>
      </c>
      <c r="AJ79">
        <v>0</v>
      </c>
      <c r="AK79">
        <v>12</v>
      </c>
      <c r="AL79" t="s">
        <v>226</v>
      </c>
      <c r="AM79" t="s">
        <v>227</v>
      </c>
      <c r="AN79" t="s">
        <v>228</v>
      </c>
      <c r="AO79" t="s">
        <v>229</v>
      </c>
      <c r="AP79" t="s">
        <v>74</v>
      </c>
      <c r="AQ79" t="s">
        <v>74</v>
      </c>
      <c r="AR79" t="s">
        <v>230</v>
      </c>
      <c r="AS79" t="s">
        <v>231</v>
      </c>
      <c r="AT79" t="s">
        <v>257</v>
      </c>
      <c r="AU79">
        <v>2023</v>
      </c>
      <c r="AV79">
        <v>9</v>
      </c>
      <c r="AW79">
        <v>2</v>
      </c>
      <c r="AX79" t="s">
        <v>74</v>
      </c>
      <c r="AY79" t="s">
        <v>74</v>
      </c>
      <c r="AZ79" t="s">
        <v>74</v>
      </c>
      <c r="BA79" t="s">
        <v>74</v>
      </c>
      <c r="BB79" t="s">
        <v>74</v>
      </c>
      <c r="BC79" t="s">
        <v>74</v>
      </c>
      <c r="BD79">
        <v>2.056305123118236E+16</v>
      </c>
      <c r="BE79" t="s">
        <v>1736</v>
      </c>
      <c r="BF79" t="str">
        <f>HYPERLINK("http://dx.doi.org/10.1177/20563051231182359","http://dx.doi.org/10.1177/20563051231182359")</f>
        <v>http://dx.doi.org/10.1177/20563051231182359</v>
      </c>
      <c r="BG79" t="s">
        <v>74</v>
      </c>
      <c r="BH79" t="s">
        <v>74</v>
      </c>
      <c r="BI79">
        <v>11</v>
      </c>
      <c r="BJ79" t="s">
        <v>124</v>
      </c>
      <c r="BK79" t="s">
        <v>99</v>
      </c>
      <c r="BL79" t="s">
        <v>124</v>
      </c>
      <c r="BM79" t="s">
        <v>1737</v>
      </c>
      <c r="BN79" t="s">
        <v>74</v>
      </c>
      <c r="BO79" t="s">
        <v>235</v>
      </c>
      <c r="BP79" t="s">
        <v>74</v>
      </c>
      <c r="BQ79" t="s">
        <v>74</v>
      </c>
      <c r="BR79" t="s">
        <v>102</v>
      </c>
      <c r="BS79" t="s">
        <v>1738</v>
      </c>
      <c r="BT79" t="str">
        <f>HYPERLINK("https%3A%2F%2Fwww.webofscience.com%2Fwos%2Fwoscc%2Ffull-record%2FWOS:001010336800001","View Full Record in Web of Science")</f>
        <v>View Full Record in Web of Science</v>
      </c>
    </row>
    <row r="80" spans="1:72" x14ac:dyDescent="0.35">
      <c r="A80" t="s">
        <v>72</v>
      </c>
      <c r="B80" t="s">
        <v>985</v>
      </c>
      <c r="C80" t="s">
        <v>74</v>
      </c>
      <c r="D80" t="s">
        <v>74</v>
      </c>
      <c r="E80" t="s">
        <v>74</v>
      </c>
      <c r="F80" t="s">
        <v>986</v>
      </c>
      <c r="G80" t="s">
        <v>74</v>
      </c>
      <c r="H80" t="s">
        <v>74</v>
      </c>
      <c r="I80" t="s">
        <v>1739</v>
      </c>
      <c r="J80" t="s">
        <v>1740</v>
      </c>
      <c r="K80" t="s">
        <v>74</v>
      </c>
      <c r="L80" t="s">
        <v>74</v>
      </c>
      <c r="M80" t="s">
        <v>78</v>
      </c>
      <c r="N80" t="s">
        <v>108</v>
      </c>
      <c r="O80" t="s">
        <v>74</v>
      </c>
      <c r="P80" t="s">
        <v>74</v>
      </c>
      <c r="Q80" t="s">
        <v>74</v>
      </c>
      <c r="R80" t="s">
        <v>74</v>
      </c>
      <c r="S80" t="s">
        <v>74</v>
      </c>
      <c r="T80" t="s">
        <v>1741</v>
      </c>
      <c r="U80" t="s">
        <v>1742</v>
      </c>
      <c r="V80" t="s">
        <v>1743</v>
      </c>
      <c r="W80" t="s">
        <v>1744</v>
      </c>
      <c r="X80" t="s">
        <v>1745</v>
      </c>
      <c r="Y80" t="s">
        <v>1746</v>
      </c>
      <c r="Z80" t="s">
        <v>1747</v>
      </c>
      <c r="AA80" t="s">
        <v>74</v>
      </c>
      <c r="AB80" t="s">
        <v>74</v>
      </c>
      <c r="AC80" t="s">
        <v>74</v>
      </c>
      <c r="AD80" t="s">
        <v>74</v>
      </c>
      <c r="AE80" t="s">
        <v>74</v>
      </c>
      <c r="AF80" t="s">
        <v>74</v>
      </c>
      <c r="AG80">
        <v>35</v>
      </c>
      <c r="AH80">
        <v>11</v>
      </c>
      <c r="AI80">
        <v>11</v>
      </c>
      <c r="AJ80">
        <v>8</v>
      </c>
      <c r="AK80">
        <v>25</v>
      </c>
      <c r="AL80" t="s">
        <v>1195</v>
      </c>
      <c r="AM80" t="s">
        <v>1196</v>
      </c>
      <c r="AN80" t="s">
        <v>1197</v>
      </c>
      <c r="AO80" t="s">
        <v>74</v>
      </c>
      <c r="AP80" t="s">
        <v>1748</v>
      </c>
      <c r="AQ80" t="s">
        <v>74</v>
      </c>
      <c r="AR80" t="s">
        <v>1749</v>
      </c>
      <c r="AS80" t="s">
        <v>1750</v>
      </c>
      <c r="AT80" t="s">
        <v>1275</v>
      </c>
      <c r="AU80">
        <v>2021</v>
      </c>
      <c r="AV80">
        <v>2</v>
      </c>
      <c r="AW80">
        <v>4</v>
      </c>
      <c r="AX80" t="s">
        <v>74</v>
      </c>
      <c r="AY80" t="s">
        <v>74</v>
      </c>
      <c r="AZ80" t="s">
        <v>74</v>
      </c>
      <c r="BA80" t="s">
        <v>74</v>
      </c>
      <c r="BB80">
        <v>697</v>
      </c>
      <c r="BC80">
        <v>708</v>
      </c>
      <c r="BD80" t="s">
        <v>74</v>
      </c>
      <c r="BE80" t="s">
        <v>1751</v>
      </c>
      <c r="BF80" t="str">
        <f>HYPERLINK("http://dx.doi.org/10.3390/journalmedia2040041","http://dx.doi.org/10.3390/journalmedia2040041")</f>
        <v>http://dx.doi.org/10.3390/journalmedia2040041</v>
      </c>
      <c r="BG80" t="s">
        <v>74</v>
      </c>
      <c r="BH80" t="s">
        <v>74</v>
      </c>
      <c r="BI80">
        <v>12</v>
      </c>
      <c r="BJ80" t="s">
        <v>124</v>
      </c>
      <c r="BK80" t="s">
        <v>125</v>
      </c>
      <c r="BL80" t="s">
        <v>124</v>
      </c>
      <c r="BM80" t="s">
        <v>1752</v>
      </c>
      <c r="BN80" t="s">
        <v>74</v>
      </c>
      <c r="BO80" t="s">
        <v>235</v>
      </c>
      <c r="BP80" t="s">
        <v>74</v>
      </c>
      <c r="BQ80" t="s">
        <v>74</v>
      </c>
      <c r="BR80" t="s">
        <v>102</v>
      </c>
      <c r="BS80" t="s">
        <v>1753</v>
      </c>
      <c r="BT80" t="str">
        <f>HYPERLINK("https%3A%2F%2Fwww.webofscience.com%2Fwos%2Fwoscc%2Ffull-record%2FWOS:001118775000001","View Full Record in Web of Science")</f>
        <v>View Full Record in Web of Science</v>
      </c>
    </row>
    <row r="81" spans="1:72" x14ac:dyDescent="0.35">
      <c r="A81" t="s">
        <v>72</v>
      </c>
      <c r="B81" t="s">
        <v>1754</v>
      </c>
      <c r="C81" t="s">
        <v>74</v>
      </c>
      <c r="D81" t="s">
        <v>74</v>
      </c>
      <c r="E81" t="s">
        <v>74</v>
      </c>
      <c r="F81" t="s">
        <v>1755</v>
      </c>
      <c r="G81" t="s">
        <v>74</v>
      </c>
      <c r="H81" t="s">
        <v>74</v>
      </c>
      <c r="I81" t="s">
        <v>1756</v>
      </c>
      <c r="J81" t="s">
        <v>216</v>
      </c>
      <c r="K81" t="s">
        <v>74</v>
      </c>
      <c r="L81" t="s">
        <v>74</v>
      </c>
      <c r="M81" t="s">
        <v>78</v>
      </c>
      <c r="N81" t="s">
        <v>108</v>
      </c>
      <c r="O81" t="s">
        <v>74</v>
      </c>
      <c r="P81" t="s">
        <v>74</v>
      </c>
      <c r="Q81" t="s">
        <v>74</v>
      </c>
      <c r="R81" t="s">
        <v>74</v>
      </c>
      <c r="S81" t="s">
        <v>74</v>
      </c>
      <c r="T81" t="s">
        <v>1757</v>
      </c>
      <c r="U81" t="s">
        <v>1758</v>
      </c>
      <c r="V81" t="s">
        <v>1759</v>
      </c>
      <c r="W81" t="s">
        <v>1760</v>
      </c>
      <c r="X81" t="s">
        <v>1761</v>
      </c>
      <c r="Y81" t="s">
        <v>1762</v>
      </c>
      <c r="Z81" t="s">
        <v>1763</v>
      </c>
      <c r="AA81" t="s">
        <v>1764</v>
      </c>
      <c r="AB81" t="s">
        <v>1765</v>
      </c>
      <c r="AC81" t="s">
        <v>1766</v>
      </c>
      <c r="AD81" t="s">
        <v>1766</v>
      </c>
      <c r="AE81" t="s">
        <v>1767</v>
      </c>
      <c r="AF81" t="s">
        <v>74</v>
      </c>
      <c r="AG81">
        <v>121</v>
      </c>
      <c r="AH81">
        <v>0</v>
      </c>
      <c r="AI81">
        <v>0</v>
      </c>
      <c r="AJ81">
        <v>16</v>
      </c>
      <c r="AK81">
        <v>16</v>
      </c>
      <c r="AL81" t="s">
        <v>226</v>
      </c>
      <c r="AM81" t="s">
        <v>227</v>
      </c>
      <c r="AN81" t="s">
        <v>228</v>
      </c>
      <c r="AO81" t="s">
        <v>229</v>
      </c>
      <c r="AP81" t="s">
        <v>74</v>
      </c>
      <c r="AQ81" t="s">
        <v>74</v>
      </c>
      <c r="AR81" t="s">
        <v>230</v>
      </c>
      <c r="AS81" t="s">
        <v>231</v>
      </c>
      <c r="AT81" t="s">
        <v>273</v>
      </c>
      <c r="AU81">
        <v>2024</v>
      </c>
      <c r="AV81">
        <v>10</v>
      </c>
      <c r="AW81">
        <v>3</v>
      </c>
      <c r="AX81" t="s">
        <v>74</v>
      </c>
      <c r="AY81" t="s">
        <v>74</v>
      </c>
      <c r="AZ81" t="s">
        <v>74</v>
      </c>
      <c r="BA81" t="s">
        <v>74</v>
      </c>
      <c r="BB81" t="s">
        <v>74</v>
      </c>
      <c r="BC81" t="s">
        <v>74</v>
      </c>
      <c r="BD81">
        <v>2.0563051241274676E+16</v>
      </c>
      <c r="BE81" t="s">
        <v>1768</v>
      </c>
      <c r="BF81" t="str">
        <f>HYPERLINK("http://dx.doi.org/10.1177/20563051241274675","http://dx.doi.org/10.1177/20563051241274675")</f>
        <v>http://dx.doi.org/10.1177/20563051241274675</v>
      </c>
      <c r="BG81" t="s">
        <v>74</v>
      </c>
      <c r="BH81" t="s">
        <v>74</v>
      </c>
      <c r="BI81">
        <v>16</v>
      </c>
      <c r="BJ81" t="s">
        <v>124</v>
      </c>
      <c r="BK81" t="s">
        <v>99</v>
      </c>
      <c r="BL81" t="s">
        <v>124</v>
      </c>
      <c r="BM81" t="s">
        <v>1769</v>
      </c>
      <c r="BN81" t="s">
        <v>74</v>
      </c>
      <c r="BO81" t="s">
        <v>235</v>
      </c>
      <c r="BP81" t="s">
        <v>74</v>
      </c>
      <c r="BQ81" t="s">
        <v>74</v>
      </c>
      <c r="BR81" t="s">
        <v>102</v>
      </c>
      <c r="BS81" t="s">
        <v>1770</v>
      </c>
      <c r="BT81" t="str">
        <f>HYPERLINK("https%3A%2F%2Fwww.webofscience.com%2Fwos%2Fwoscc%2Ffull-record%2FWOS:001292100100001","View Full Record in Web of Science")</f>
        <v>View Full Record in Web of Science</v>
      </c>
    </row>
    <row r="82" spans="1:72" x14ac:dyDescent="0.35">
      <c r="A82" t="s">
        <v>72</v>
      </c>
      <c r="B82" t="s">
        <v>1771</v>
      </c>
      <c r="C82" t="s">
        <v>74</v>
      </c>
      <c r="D82" t="s">
        <v>74</v>
      </c>
      <c r="E82" t="s">
        <v>74</v>
      </c>
      <c r="F82" t="s">
        <v>1772</v>
      </c>
      <c r="G82" t="s">
        <v>74</v>
      </c>
      <c r="H82" t="s">
        <v>74</v>
      </c>
      <c r="I82" t="s">
        <v>1773</v>
      </c>
      <c r="J82" t="s">
        <v>1774</v>
      </c>
      <c r="K82" t="s">
        <v>74</v>
      </c>
      <c r="L82" t="s">
        <v>74</v>
      </c>
      <c r="M82" t="s">
        <v>78</v>
      </c>
      <c r="N82" t="s">
        <v>79</v>
      </c>
      <c r="O82" t="s">
        <v>74</v>
      </c>
      <c r="P82" t="s">
        <v>74</v>
      </c>
      <c r="Q82" t="s">
        <v>74</v>
      </c>
      <c r="R82" t="s">
        <v>74</v>
      </c>
      <c r="S82" t="s">
        <v>74</v>
      </c>
      <c r="T82" t="s">
        <v>1775</v>
      </c>
      <c r="U82" t="s">
        <v>1776</v>
      </c>
      <c r="V82" t="s">
        <v>1777</v>
      </c>
      <c r="W82" t="s">
        <v>1778</v>
      </c>
      <c r="X82" t="s">
        <v>1779</v>
      </c>
      <c r="Y82" t="s">
        <v>1780</v>
      </c>
      <c r="Z82" t="s">
        <v>1781</v>
      </c>
      <c r="AA82" t="s">
        <v>1782</v>
      </c>
      <c r="AB82" t="s">
        <v>74</v>
      </c>
      <c r="AC82" t="s">
        <v>74</v>
      </c>
      <c r="AD82" t="s">
        <v>74</v>
      </c>
      <c r="AE82" t="s">
        <v>74</v>
      </c>
      <c r="AF82" t="s">
        <v>74</v>
      </c>
      <c r="AG82">
        <v>38</v>
      </c>
      <c r="AH82">
        <v>0</v>
      </c>
      <c r="AI82">
        <v>0</v>
      </c>
      <c r="AJ82">
        <v>17</v>
      </c>
      <c r="AK82">
        <v>17</v>
      </c>
      <c r="AL82" t="s">
        <v>88</v>
      </c>
      <c r="AM82" t="s">
        <v>89</v>
      </c>
      <c r="AN82" t="s">
        <v>90</v>
      </c>
      <c r="AO82" t="s">
        <v>1783</v>
      </c>
      <c r="AP82" t="s">
        <v>1784</v>
      </c>
      <c r="AQ82" t="s">
        <v>74</v>
      </c>
      <c r="AR82" t="s">
        <v>1785</v>
      </c>
      <c r="AS82" t="s">
        <v>1786</v>
      </c>
      <c r="AT82" t="s">
        <v>1787</v>
      </c>
      <c r="AU82">
        <v>2024</v>
      </c>
      <c r="AV82" t="s">
        <v>74</v>
      </c>
      <c r="AW82" t="s">
        <v>74</v>
      </c>
      <c r="AX82" t="s">
        <v>74</v>
      </c>
      <c r="AY82" t="s">
        <v>74</v>
      </c>
      <c r="AZ82" t="s">
        <v>74</v>
      </c>
      <c r="BA82" t="s">
        <v>74</v>
      </c>
      <c r="BB82" t="s">
        <v>74</v>
      </c>
      <c r="BC82" t="s">
        <v>74</v>
      </c>
      <c r="BD82" t="s">
        <v>74</v>
      </c>
      <c r="BE82" t="s">
        <v>1788</v>
      </c>
      <c r="BF82" t="str">
        <f>HYPERLINK("http://dx.doi.org/10.1080/1369118X.2024.2352636","http://dx.doi.org/10.1080/1369118X.2024.2352636")</f>
        <v>http://dx.doi.org/10.1080/1369118X.2024.2352636</v>
      </c>
      <c r="BG82" t="s">
        <v>74</v>
      </c>
      <c r="BH82" t="s">
        <v>1467</v>
      </c>
      <c r="BI82">
        <v>16</v>
      </c>
      <c r="BJ82" t="s">
        <v>1047</v>
      </c>
      <c r="BK82" t="s">
        <v>99</v>
      </c>
      <c r="BL82" t="s">
        <v>1047</v>
      </c>
      <c r="BM82" t="s">
        <v>1789</v>
      </c>
      <c r="BN82" t="s">
        <v>74</v>
      </c>
      <c r="BO82" t="s">
        <v>74</v>
      </c>
      <c r="BP82" t="s">
        <v>74</v>
      </c>
      <c r="BQ82" t="s">
        <v>74</v>
      </c>
      <c r="BR82" t="s">
        <v>102</v>
      </c>
      <c r="BS82" t="s">
        <v>1790</v>
      </c>
      <c r="BT82" t="str">
        <f>HYPERLINK("https%3A%2F%2Fwww.webofscience.com%2Fwos%2Fwoscc%2Ffull-record%2FWOS:001222424100001","View Full Record in Web of Science")</f>
        <v>View Full Record in Web of Science</v>
      </c>
    </row>
    <row r="83" spans="1:72" x14ac:dyDescent="0.35">
      <c r="A83" t="s">
        <v>72</v>
      </c>
      <c r="B83" t="s">
        <v>398</v>
      </c>
      <c r="C83" t="s">
        <v>74</v>
      </c>
      <c r="D83" t="s">
        <v>74</v>
      </c>
      <c r="E83" t="s">
        <v>74</v>
      </c>
      <c r="F83" t="s">
        <v>399</v>
      </c>
      <c r="G83" t="s">
        <v>74</v>
      </c>
      <c r="H83" t="s">
        <v>74</v>
      </c>
      <c r="I83" t="s">
        <v>1791</v>
      </c>
      <c r="J83" t="s">
        <v>401</v>
      </c>
      <c r="K83" t="s">
        <v>74</v>
      </c>
      <c r="L83" t="s">
        <v>74</v>
      </c>
      <c r="M83" t="s">
        <v>78</v>
      </c>
      <c r="N83" t="s">
        <v>108</v>
      </c>
      <c r="O83" t="s">
        <v>74</v>
      </c>
      <c r="P83" t="s">
        <v>74</v>
      </c>
      <c r="Q83" t="s">
        <v>74</v>
      </c>
      <c r="R83" t="s">
        <v>74</v>
      </c>
      <c r="S83" t="s">
        <v>74</v>
      </c>
      <c r="T83" t="s">
        <v>1792</v>
      </c>
      <c r="U83" t="s">
        <v>74</v>
      </c>
      <c r="V83" t="s">
        <v>1793</v>
      </c>
      <c r="W83" t="s">
        <v>405</v>
      </c>
      <c r="X83" t="s">
        <v>406</v>
      </c>
      <c r="Y83" t="s">
        <v>407</v>
      </c>
      <c r="Z83" t="s">
        <v>408</v>
      </c>
      <c r="AA83" t="s">
        <v>74</v>
      </c>
      <c r="AB83" t="s">
        <v>74</v>
      </c>
      <c r="AC83" t="s">
        <v>74</v>
      </c>
      <c r="AD83" t="s">
        <v>74</v>
      </c>
      <c r="AE83" t="s">
        <v>74</v>
      </c>
      <c r="AF83" t="s">
        <v>74</v>
      </c>
      <c r="AG83">
        <v>55</v>
      </c>
      <c r="AH83">
        <v>92</v>
      </c>
      <c r="AI83">
        <v>107</v>
      </c>
      <c r="AJ83">
        <v>27</v>
      </c>
      <c r="AK83">
        <v>244</v>
      </c>
      <c r="AL83" t="s">
        <v>409</v>
      </c>
      <c r="AM83" t="s">
        <v>410</v>
      </c>
      <c r="AN83" t="s">
        <v>411</v>
      </c>
      <c r="AO83" t="s">
        <v>412</v>
      </c>
      <c r="AP83" t="s">
        <v>74</v>
      </c>
      <c r="AQ83" t="s">
        <v>74</v>
      </c>
      <c r="AR83" t="s">
        <v>413</v>
      </c>
      <c r="AS83" t="s">
        <v>414</v>
      </c>
      <c r="AT83" t="s">
        <v>74</v>
      </c>
      <c r="AU83">
        <v>2021</v>
      </c>
      <c r="AV83">
        <v>15</v>
      </c>
      <c r="AW83" t="s">
        <v>74</v>
      </c>
      <c r="AX83" t="s">
        <v>74</v>
      </c>
      <c r="AY83" t="s">
        <v>74</v>
      </c>
      <c r="AZ83" t="s">
        <v>74</v>
      </c>
      <c r="BA83" t="s">
        <v>74</v>
      </c>
      <c r="BB83">
        <v>1437</v>
      </c>
      <c r="BC83">
        <v>1457</v>
      </c>
      <c r="BD83" t="s">
        <v>74</v>
      </c>
      <c r="BE83" t="s">
        <v>74</v>
      </c>
      <c r="BF83" t="s">
        <v>74</v>
      </c>
      <c r="BG83" t="s">
        <v>74</v>
      </c>
      <c r="BH83" t="s">
        <v>74</v>
      </c>
      <c r="BI83">
        <v>21</v>
      </c>
      <c r="BJ83" t="s">
        <v>124</v>
      </c>
      <c r="BK83" t="s">
        <v>99</v>
      </c>
      <c r="BL83" t="s">
        <v>124</v>
      </c>
      <c r="BM83" t="s">
        <v>1794</v>
      </c>
      <c r="BN83" t="s">
        <v>74</v>
      </c>
      <c r="BO83" t="s">
        <v>74</v>
      </c>
      <c r="BP83" t="s">
        <v>74</v>
      </c>
      <c r="BQ83" t="s">
        <v>74</v>
      </c>
      <c r="BR83" t="s">
        <v>102</v>
      </c>
      <c r="BS83" t="s">
        <v>1795</v>
      </c>
      <c r="BT83" t="str">
        <f>HYPERLINK("https%3A%2F%2Fwww.webofscience.com%2Fwos%2Fwoscc%2Ffull-record%2FWOS:000645928600083","View Full Record in Web of Science")</f>
        <v>View Full Record in Web of Science</v>
      </c>
    </row>
    <row r="84" spans="1:72" x14ac:dyDescent="0.35">
      <c r="A84" t="s">
        <v>72</v>
      </c>
      <c r="B84" t="s">
        <v>1796</v>
      </c>
      <c r="C84" t="s">
        <v>74</v>
      </c>
      <c r="D84" t="s">
        <v>74</v>
      </c>
      <c r="E84" t="s">
        <v>74</v>
      </c>
      <c r="F84" t="s">
        <v>1797</v>
      </c>
      <c r="G84" t="s">
        <v>74</v>
      </c>
      <c r="H84" t="s">
        <v>74</v>
      </c>
      <c r="I84" t="s">
        <v>1798</v>
      </c>
      <c r="J84" t="s">
        <v>216</v>
      </c>
      <c r="K84" t="s">
        <v>74</v>
      </c>
      <c r="L84" t="s">
        <v>74</v>
      </c>
      <c r="M84" t="s">
        <v>78</v>
      </c>
      <c r="N84" t="s">
        <v>108</v>
      </c>
      <c r="O84" t="s">
        <v>74</v>
      </c>
      <c r="P84" t="s">
        <v>74</v>
      </c>
      <c r="Q84" t="s">
        <v>74</v>
      </c>
      <c r="R84" t="s">
        <v>74</v>
      </c>
      <c r="S84" t="s">
        <v>74</v>
      </c>
      <c r="T84" t="s">
        <v>1799</v>
      </c>
      <c r="U84" t="s">
        <v>1800</v>
      </c>
      <c r="V84" t="s">
        <v>1801</v>
      </c>
      <c r="W84" t="s">
        <v>1802</v>
      </c>
      <c r="X84" t="s">
        <v>1803</v>
      </c>
      <c r="Y84" t="s">
        <v>1804</v>
      </c>
      <c r="Z84" t="s">
        <v>1805</v>
      </c>
      <c r="AA84" t="s">
        <v>74</v>
      </c>
      <c r="AB84" t="s">
        <v>1806</v>
      </c>
      <c r="AC84" t="s">
        <v>74</v>
      </c>
      <c r="AD84" t="s">
        <v>74</v>
      </c>
      <c r="AE84" t="s">
        <v>74</v>
      </c>
      <c r="AF84" t="s">
        <v>74</v>
      </c>
      <c r="AG84">
        <v>107</v>
      </c>
      <c r="AH84">
        <v>11</v>
      </c>
      <c r="AI84">
        <v>11</v>
      </c>
      <c r="AJ84">
        <v>13</v>
      </c>
      <c r="AK84">
        <v>58</v>
      </c>
      <c r="AL84" t="s">
        <v>226</v>
      </c>
      <c r="AM84" t="s">
        <v>227</v>
      </c>
      <c r="AN84" t="s">
        <v>228</v>
      </c>
      <c r="AO84" t="s">
        <v>229</v>
      </c>
      <c r="AP84" t="s">
        <v>74</v>
      </c>
      <c r="AQ84" t="s">
        <v>74</v>
      </c>
      <c r="AR84" t="s">
        <v>230</v>
      </c>
      <c r="AS84" t="s">
        <v>231</v>
      </c>
      <c r="AT84" t="s">
        <v>273</v>
      </c>
      <c r="AU84">
        <v>2023</v>
      </c>
      <c r="AV84">
        <v>9</v>
      </c>
      <c r="AW84">
        <v>3</v>
      </c>
      <c r="AX84" t="s">
        <v>74</v>
      </c>
      <c r="AY84" t="s">
        <v>74</v>
      </c>
      <c r="AZ84" t="s">
        <v>74</v>
      </c>
      <c r="BA84" t="s">
        <v>74</v>
      </c>
      <c r="BB84" t="s">
        <v>74</v>
      </c>
      <c r="BC84" t="s">
        <v>74</v>
      </c>
      <c r="BD84">
        <v>2.0563051231194584E+16</v>
      </c>
      <c r="BE84" t="s">
        <v>1807</v>
      </c>
      <c r="BF84" t="str">
        <f>HYPERLINK("http://dx.doi.org/10.1177/20563051231194586","http://dx.doi.org/10.1177/20563051231194586")</f>
        <v>http://dx.doi.org/10.1177/20563051231194586</v>
      </c>
      <c r="BG84" t="s">
        <v>74</v>
      </c>
      <c r="BH84" t="s">
        <v>74</v>
      </c>
      <c r="BI84">
        <v>17</v>
      </c>
      <c r="BJ84" t="s">
        <v>124</v>
      </c>
      <c r="BK84" t="s">
        <v>99</v>
      </c>
      <c r="BL84" t="s">
        <v>124</v>
      </c>
      <c r="BM84" t="s">
        <v>1808</v>
      </c>
      <c r="BN84" t="s">
        <v>74</v>
      </c>
      <c r="BO84" t="s">
        <v>235</v>
      </c>
      <c r="BP84" t="s">
        <v>74</v>
      </c>
      <c r="BQ84" t="s">
        <v>74</v>
      </c>
      <c r="BR84" t="s">
        <v>102</v>
      </c>
      <c r="BS84" t="s">
        <v>1809</v>
      </c>
      <c r="BT84" t="str">
        <f>HYPERLINK("https%3A%2F%2Fwww.webofscience.com%2Fwos%2Fwoscc%2Ffull-record%2FWOS:001057765300001","View Full Record in Web of Science")</f>
        <v>View Full Record in Web of Science</v>
      </c>
    </row>
    <row r="85" spans="1:72" x14ac:dyDescent="0.35">
      <c r="A85" t="s">
        <v>72</v>
      </c>
      <c r="B85" t="s">
        <v>1810</v>
      </c>
      <c r="C85" t="s">
        <v>74</v>
      </c>
      <c r="D85" t="s">
        <v>74</v>
      </c>
      <c r="E85" t="s">
        <v>74</v>
      </c>
      <c r="F85" t="s">
        <v>1811</v>
      </c>
      <c r="G85" t="s">
        <v>74</v>
      </c>
      <c r="H85" t="s">
        <v>74</v>
      </c>
      <c r="I85" t="s">
        <v>1812</v>
      </c>
      <c r="J85" t="s">
        <v>968</v>
      </c>
      <c r="K85" t="s">
        <v>74</v>
      </c>
      <c r="L85" t="s">
        <v>74</v>
      </c>
      <c r="M85" t="s">
        <v>78</v>
      </c>
      <c r="N85" t="s">
        <v>108</v>
      </c>
      <c r="O85" t="s">
        <v>74</v>
      </c>
      <c r="P85" t="s">
        <v>74</v>
      </c>
      <c r="Q85" t="s">
        <v>74</v>
      </c>
      <c r="R85" t="s">
        <v>74</v>
      </c>
      <c r="S85" t="s">
        <v>74</v>
      </c>
      <c r="T85" t="s">
        <v>1813</v>
      </c>
      <c r="U85" t="s">
        <v>1814</v>
      </c>
      <c r="V85" t="s">
        <v>1815</v>
      </c>
      <c r="W85" t="s">
        <v>1816</v>
      </c>
      <c r="X85" t="s">
        <v>1817</v>
      </c>
      <c r="Y85" t="s">
        <v>1818</v>
      </c>
      <c r="Z85" t="s">
        <v>1819</v>
      </c>
      <c r="AA85" t="s">
        <v>1820</v>
      </c>
      <c r="AB85" t="s">
        <v>1821</v>
      </c>
      <c r="AC85" t="s">
        <v>1822</v>
      </c>
      <c r="AD85" t="s">
        <v>1823</v>
      </c>
      <c r="AE85" t="s">
        <v>1824</v>
      </c>
      <c r="AF85" t="s">
        <v>74</v>
      </c>
      <c r="AG85">
        <v>66</v>
      </c>
      <c r="AH85">
        <v>11</v>
      </c>
      <c r="AI85">
        <v>12</v>
      </c>
      <c r="AJ85">
        <v>12</v>
      </c>
      <c r="AK85">
        <v>111</v>
      </c>
      <c r="AL85" t="s">
        <v>226</v>
      </c>
      <c r="AM85" t="s">
        <v>227</v>
      </c>
      <c r="AN85" t="s">
        <v>228</v>
      </c>
      <c r="AO85" t="s">
        <v>978</v>
      </c>
      <c r="AP85" t="s">
        <v>979</v>
      </c>
      <c r="AQ85" t="s">
        <v>74</v>
      </c>
      <c r="AR85" t="s">
        <v>980</v>
      </c>
      <c r="AS85" t="s">
        <v>981</v>
      </c>
      <c r="AT85" t="s">
        <v>178</v>
      </c>
      <c r="AU85">
        <v>2023</v>
      </c>
      <c r="AV85">
        <v>186</v>
      </c>
      <c r="AW85">
        <v>1</v>
      </c>
      <c r="AX85" t="s">
        <v>74</v>
      </c>
      <c r="AY85" t="s">
        <v>74</v>
      </c>
      <c r="AZ85" t="s">
        <v>456</v>
      </c>
      <c r="BA85" t="s">
        <v>74</v>
      </c>
      <c r="BB85">
        <v>97</v>
      </c>
      <c r="BC85">
        <v>114</v>
      </c>
      <c r="BD85" t="s">
        <v>1825</v>
      </c>
      <c r="BE85" t="s">
        <v>1826</v>
      </c>
      <c r="BF85" t="str">
        <f>HYPERLINK("http://dx.doi.org/10.1177/1329878X211013919","http://dx.doi.org/10.1177/1329878X211013919")</f>
        <v>http://dx.doi.org/10.1177/1329878X211013919</v>
      </c>
      <c r="BG85" t="s">
        <v>74</v>
      </c>
      <c r="BH85" t="s">
        <v>1827</v>
      </c>
      <c r="BI85">
        <v>18</v>
      </c>
      <c r="BJ85" t="s">
        <v>124</v>
      </c>
      <c r="BK85" t="s">
        <v>99</v>
      </c>
      <c r="BL85" t="s">
        <v>124</v>
      </c>
      <c r="BM85" t="s">
        <v>983</v>
      </c>
      <c r="BN85" t="s">
        <v>74</v>
      </c>
      <c r="BO85" t="s">
        <v>74</v>
      </c>
      <c r="BP85" t="s">
        <v>74</v>
      </c>
      <c r="BQ85" t="s">
        <v>74</v>
      </c>
      <c r="BR85" t="s">
        <v>102</v>
      </c>
      <c r="BS85" t="s">
        <v>1828</v>
      </c>
      <c r="BT85" t="str">
        <f>HYPERLINK("https%3A%2F%2Fwww.webofscience.com%2Fwos%2Fwoscc%2Ffull-record%2FWOS:000652896900001","View Full Record in Web of Science")</f>
        <v>View Full Record in Web of Science</v>
      </c>
    </row>
    <row r="86" spans="1:72" x14ac:dyDescent="0.35">
      <c r="A86" t="s">
        <v>72</v>
      </c>
      <c r="B86" t="s">
        <v>1829</v>
      </c>
      <c r="C86" t="s">
        <v>74</v>
      </c>
      <c r="D86" t="s">
        <v>74</v>
      </c>
      <c r="E86" t="s">
        <v>74</v>
      </c>
      <c r="F86" t="s">
        <v>1830</v>
      </c>
      <c r="G86" t="s">
        <v>74</v>
      </c>
      <c r="H86" t="s">
        <v>74</v>
      </c>
      <c r="I86" t="s">
        <v>1831</v>
      </c>
      <c r="J86" t="s">
        <v>1832</v>
      </c>
      <c r="K86" t="s">
        <v>74</v>
      </c>
      <c r="L86" t="s">
        <v>74</v>
      </c>
      <c r="M86" t="s">
        <v>78</v>
      </c>
      <c r="N86" t="s">
        <v>108</v>
      </c>
      <c r="O86" t="s">
        <v>74</v>
      </c>
      <c r="P86" t="s">
        <v>74</v>
      </c>
      <c r="Q86" t="s">
        <v>74</v>
      </c>
      <c r="R86" t="s">
        <v>74</v>
      </c>
      <c r="S86" t="s">
        <v>74</v>
      </c>
      <c r="T86" t="s">
        <v>1833</v>
      </c>
      <c r="U86" t="s">
        <v>74</v>
      </c>
      <c r="V86" t="s">
        <v>1834</v>
      </c>
      <c r="W86" t="s">
        <v>1835</v>
      </c>
      <c r="X86" t="s">
        <v>74</v>
      </c>
      <c r="Y86" t="s">
        <v>1836</v>
      </c>
      <c r="Z86" t="s">
        <v>1837</v>
      </c>
      <c r="AA86" t="s">
        <v>1838</v>
      </c>
      <c r="AB86" t="s">
        <v>74</v>
      </c>
      <c r="AC86" t="s">
        <v>74</v>
      </c>
      <c r="AD86" t="s">
        <v>74</v>
      </c>
      <c r="AE86" t="s">
        <v>74</v>
      </c>
      <c r="AF86" t="s">
        <v>74</v>
      </c>
      <c r="AG86">
        <v>9</v>
      </c>
      <c r="AH86">
        <v>0</v>
      </c>
      <c r="AI86">
        <v>0</v>
      </c>
      <c r="AJ86">
        <v>5</v>
      </c>
      <c r="AK86">
        <v>39</v>
      </c>
      <c r="AL86" t="s">
        <v>1839</v>
      </c>
      <c r="AM86" t="s">
        <v>1840</v>
      </c>
      <c r="AN86" t="s">
        <v>1841</v>
      </c>
      <c r="AO86" t="s">
        <v>1842</v>
      </c>
      <c r="AP86" t="s">
        <v>1843</v>
      </c>
      <c r="AQ86" t="s">
        <v>74</v>
      </c>
      <c r="AR86" t="s">
        <v>1844</v>
      </c>
      <c r="AS86" t="s">
        <v>1845</v>
      </c>
      <c r="AT86" t="s">
        <v>1160</v>
      </c>
      <c r="AU86">
        <v>2022</v>
      </c>
      <c r="AV86">
        <v>6</v>
      </c>
      <c r="AW86">
        <v>3</v>
      </c>
      <c r="AX86" t="s">
        <v>74</v>
      </c>
      <c r="AY86" t="s">
        <v>74</v>
      </c>
      <c r="AZ86" t="s">
        <v>74</v>
      </c>
      <c r="BA86" t="s">
        <v>74</v>
      </c>
      <c r="BB86">
        <v>271</v>
      </c>
      <c r="BC86">
        <v>273</v>
      </c>
      <c r="BD86" t="s">
        <v>74</v>
      </c>
      <c r="BE86" t="s">
        <v>1846</v>
      </c>
      <c r="BF86" t="str">
        <f>HYPERLINK("http://dx.doi.org/10.4103/aip.aip_46_21","http://dx.doi.org/10.4103/aip.aip_46_21")</f>
        <v>http://dx.doi.org/10.4103/aip.aip_46_21</v>
      </c>
      <c r="BG86" t="s">
        <v>74</v>
      </c>
      <c r="BH86" t="s">
        <v>74</v>
      </c>
      <c r="BI86">
        <v>3</v>
      </c>
      <c r="BJ86" t="s">
        <v>1847</v>
      </c>
      <c r="BK86" t="s">
        <v>125</v>
      </c>
      <c r="BL86" t="s">
        <v>1847</v>
      </c>
      <c r="BM86" t="s">
        <v>1848</v>
      </c>
      <c r="BN86" t="s">
        <v>74</v>
      </c>
      <c r="BO86" t="s">
        <v>235</v>
      </c>
      <c r="BP86" t="s">
        <v>74</v>
      </c>
      <c r="BQ86" t="s">
        <v>74</v>
      </c>
      <c r="BR86" t="s">
        <v>102</v>
      </c>
      <c r="BS86" t="s">
        <v>1849</v>
      </c>
      <c r="BT86" t="str">
        <f>HYPERLINK("https%3A%2F%2Fwww.webofscience.com%2Fwos%2Fwoscc%2Ffull-record%2FWOS:000882169600013","View Full Record in Web of Science")</f>
        <v>View Full Record in Web of Science</v>
      </c>
    </row>
    <row r="87" spans="1:72" x14ac:dyDescent="0.35">
      <c r="A87" t="s">
        <v>72</v>
      </c>
      <c r="B87" t="s">
        <v>1850</v>
      </c>
      <c r="C87" t="s">
        <v>74</v>
      </c>
      <c r="D87" t="s">
        <v>74</v>
      </c>
      <c r="E87" t="s">
        <v>74</v>
      </c>
      <c r="F87" t="s">
        <v>1851</v>
      </c>
      <c r="G87" t="s">
        <v>74</v>
      </c>
      <c r="H87" t="s">
        <v>74</v>
      </c>
      <c r="I87" t="s">
        <v>1852</v>
      </c>
      <c r="J87" t="s">
        <v>1853</v>
      </c>
      <c r="K87" t="s">
        <v>74</v>
      </c>
      <c r="L87" t="s">
        <v>74</v>
      </c>
      <c r="M87" t="s">
        <v>78</v>
      </c>
      <c r="N87" t="s">
        <v>79</v>
      </c>
      <c r="O87" t="s">
        <v>74</v>
      </c>
      <c r="P87" t="s">
        <v>74</v>
      </c>
      <c r="Q87" t="s">
        <v>74</v>
      </c>
      <c r="R87" t="s">
        <v>74</v>
      </c>
      <c r="S87" t="s">
        <v>74</v>
      </c>
      <c r="T87" t="s">
        <v>1854</v>
      </c>
      <c r="U87" t="s">
        <v>1855</v>
      </c>
      <c r="V87" t="s">
        <v>1856</v>
      </c>
      <c r="W87" t="s">
        <v>1857</v>
      </c>
      <c r="X87" t="s">
        <v>1858</v>
      </c>
      <c r="Y87" t="s">
        <v>1859</v>
      </c>
      <c r="Z87" t="s">
        <v>1860</v>
      </c>
      <c r="AA87" t="s">
        <v>1861</v>
      </c>
      <c r="AB87" t="s">
        <v>1862</v>
      </c>
      <c r="AC87" t="s">
        <v>74</v>
      </c>
      <c r="AD87" t="s">
        <v>74</v>
      </c>
      <c r="AE87" t="s">
        <v>74</v>
      </c>
      <c r="AF87" t="s">
        <v>74</v>
      </c>
      <c r="AG87">
        <v>51</v>
      </c>
      <c r="AH87">
        <v>3</v>
      </c>
      <c r="AI87">
        <v>3</v>
      </c>
      <c r="AJ87">
        <v>23</v>
      </c>
      <c r="AK87">
        <v>88</v>
      </c>
      <c r="AL87" t="s">
        <v>199</v>
      </c>
      <c r="AM87" t="s">
        <v>200</v>
      </c>
      <c r="AN87" t="s">
        <v>201</v>
      </c>
      <c r="AO87" t="s">
        <v>1863</v>
      </c>
      <c r="AP87" t="s">
        <v>1864</v>
      </c>
      <c r="AQ87" t="s">
        <v>74</v>
      </c>
      <c r="AR87" t="s">
        <v>1865</v>
      </c>
      <c r="AS87" t="s">
        <v>1866</v>
      </c>
      <c r="AT87" t="s">
        <v>1867</v>
      </c>
      <c r="AU87">
        <v>2023</v>
      </c>
      <c r="AV87" t="s">
        <v>74</v>
      </c>
      <c r="AW87" t="s">
        <v>74</v>
      </c>
      <c r="AX87" t="s">
        <v>74</v>
      </c>
      <c r="AY87" t="s">
        <v>74</v>
      </c>
      <c r="AZ87" t="s">
        <v>74</v>
      </c>
      <c r="BA87" t="s">
        <v>74</v>
      </c>
      <c r="BB87" t="s">
        <v>74</v>
      </c>
      <c r="BC87" t="s">
        <v>74</v>
      </c>
      <c r="BD87" t="s">
        <v>74</v>
      </c>
      <c r="BE87" t="s">
        <v>1868</v>
      </c>
      <c r="BF87" t="str">
        <f>HYPERLINK("http://dx.doi.org/10.1108/JRME-11-2022-0134","http://dx.doi.org/10.1108/JRME-11-2022-0134")</f>
        <v>http://dx.doi.org/10.1108/JRME-11-2022-0134</v>
      </c>
      <c r="BG87" t="s">
        <v>74</v>
      </c>
      <c r="BH87" t="s">
        <v>207</v>
      </c>
      <c r="BI87">
        <v>22</v>
      </c>
      <c r="BJ87" t="s">
        <v>1597</v>
      </c>
      <c r="BK87" t="s">
        <v>125</v>
      </c>
      <c r="BL87" t="s">
        <v>480</v>
      </c>
      <c r="BM87" t="s">
        <v>1869</v>
      </c>
      <c r="BN87" t="s">
        <v>74</v>
      </c>
      <c r="BO87" t="s">
        <v>74</v>
      </c>
      <c r="BP87" t="s">
        <v>74</v>
      </c>
      <c r="BQ87" t="s">
        <v>74</v>
      </c>
      <c r="BR87" t="s">
        <v>102</v>
      </c>
      <c r="BS87" t="s">
        <v>1870</v>
      </c>
      <c r="BT87" t="str">
        <f>HYPERLINK("https%3A%2F%2Fwww.webofscience.com%2Fwos%2Fwoscc%2Ffull-record%2FWOS:001091071000001","View Full Record in Web of Science")</f>
        <v>View Full Record in Web of Science</v>
      </c>
    </row>
    <row r="88" spans="1:72" x14ac:dyDescent="0.35">
      <c r="A88" t="s">
        <v>72</v>
      </c>
      <c r="B88" t="s">
        <v>1871</v>
      </c>
      <c r="C88" t="s">
        <v>74</v>
      </c>
      <c r="D88" t="s">
        <v>74</v>
      </c>
      <c r="E88" t="s">
        <v>74</v>
      </c>
      <c r="F88" t="s">
        <v>1872</v>
      </c>
      <c r="G88" t="s">
        <v>74</v>
      </c>
      <c r="H88" t="s">
        <v>74</v>
      </c>
      <c r="I88" t="s">
        <v>1873</v>
      </c>
      <c r="J88" t="s">
        <v>1874</v>
      </c>
      <c r="K88" t="s">
        <v>74</v>
      </c>
      <c r="L88" t="s">
        <v>74</v>
      </c>
      <c r="M88" t="s">
        <v>78</v>
      </c>
      <c r="N88" t="s">
        <v>52</v>
      </c>
      <c r="O88" t="s">
        <v>74</v>
      </c>
      <c r="P88" t="s">
        <v>74</v>
      </c>
      <c r="Q88" t="s">
        <v>74</v>
      </c>
      <c r="R88" t="s">
        <v>74</v>
      </c>
      <c r="S88" t="s">
        <v>74</v>
      </c>
      <c r="T88" t="s">
        <v>1875</v>
      </c>
      <c r="U88" t="s">
        <v>74</v>
      </c>
      <c r="V88" t="s">
        <v>74</v>
      </c>
      <c r="W88" t="s">
        <v>1876</v>
      </c>
      <c r="X88" t="s">
        <v>1877</v>
      </c>
      <c r="Y88" t="s">
        <v>74</v>
      </c>
      <c r="Z88" t="s">
        <v>74</v>
      </c>
      <c r="AA88" t="s">
        <v>1878</v>
      </c>
      <c r="AB88" t="s">
        <v>1879</v>
      </c>
      <c r="AC88" t="s">
        <v>74</v>
      </c>
      <c r="AD88" t="s">
        <v>74</v>
      </c>
      <c r="AE88" t="s">
        <v>74</v>
      </c>
      <c r="AF88" t="s">
        <v>74</v>
      </c>
      <c r="AG88">
        <v>0</v>
      </c>
      <c r="AH88">
        <v>1</v>
      </c>
      <c r="AI88">
        <v>1</v>
      </c>
      <c r="AJ88">
        <v>1</v>
      </c>
      <c r="AK88">
        <v>19</v>
      </c>
      <c r="AL88" t="s">
        <v>1061</v>
      </c>
      <c r="AM88" t="s">
        <v>1062</v>
      </c>
      <c r="AN88" t="s">
        <v>1063</v>
      </c>
      <c r="AO88" t="s">
        <v>1880</v>
      </c>
      <c r="AP88" t="s">
        <v>1881</v>
      </c>
      <c r="AQ88" t="s">
        <v>74</v>
      </c>
      <c r="AR88" t="s">
        <v>1882</v>
      </c>
      <c r="AS88" t="s">
        <v>1883</v>
      </c>
      <c r="AT88" t="s">
        <v>930</v>
      </c>
      <c r="AU88">
        <v>2021</v>
      </c>
      <c r="AV88">
        <v>64</v>
      </c>
      <c r="AW88" t="s">
        <v>74</v>
      </c>
      <c r="AX88" t="s">
        <v>74</v>
      </c>
      <c r="AY88">
        <v>1</v>
      </c>
      <c r="AZ88" t="s">
        <v>456</v>
      </c>
      <c r="BA88" t="s">
        <v>1884</v>
      </c>
      <c r="BB88" t="s">
        <v>1885</v>
      </c>
      <c r="BC88" t="s">
        <v>1885</v>
      </c>
      <c r="BD88" t="s">
        <v>74</v>
      </c>
      <c r="BE88" t="s">
        <v>1886</v>
      </c>
      <c r="BF88" t="str">
        <f>HYPERLINK("http://dx.doi.org/10.1192/j.eurpsy.2021.1862","http://dx.doi.org/10.1192/j.eurpsy.2021.1862")</f>
        <v>http://dx.doi.org/10.1192/j.eurpsy.2021.1862</v>
      </c>
      <c r="BG88" t="s">
        <v>74</v>
      </c>
      <c r="BH88" t="s">
        <v>74</v>
      </c>
      <c r="BI88">
        <v>1</v>
      </c>
      <c r="BJ88" t="s">
        <v>1847</v>
      </c>
      <c r="BK88" t="s">
        <v>182</v>
      </c>
      <c r="BL88" t="s">
        <v>1847</v>
      </c>
      <c r="BM88" t="s">
        <v>1887</v>
      </c>
      <c r="BN88" t="s">
        <v>74</v>
      </c>
      <c r="BO88" t="s">
        <v>1888</v>
      </c>
      <c r="BP88" t="s">
        <v>74</v>
      </c>
      <c r="BQ88" t="s">
        <v>74</v>
      </c>
      <c r="BR88" t="s">
        <v>102</v>
      </c>
      <c r="BS88" t="s">
        <v>1889</v>
      </c>
      <c r="BT88" t="str">
        <f>HYPERLINK("https%3A%2F%2Fwww.webofscience.com%2Fwos%2Fwoscc%2Ffull-record%2FWOS:000695518700062","View Full Record in Web of Science")</f>
        <v>View Full Record in Web of Science</v>
      </c>
    </row>
    <row r="89" spans="1:72" x14ac:dyDescent="0.35">
      <c r="A89" t="s">
        <v>72</v>
      </c>
      <c r="B89" t="s">
        <v>1890</v>
      </c>
      <c r="C89" t="s">
        <v>74</v>
      </c>
      <c r="D89" t="s">
        <v>74</v>
      </c>
      <c r="E89" t="s">
        <v>74</v>
      </c>
      <c r="F89" t="s">
        <v>1891</v>
      </c>
      <c r="G89" t="s">
        <v>74</v>
      </c>
      <c r="H89" t="s">
        <v>74</v>
      </c>
      <c r="I89" t="s">
        <v>1892</v>
      </c>
      <c r="J89" t="s">
        <v>1893</v>
      </c>
      <c r="K89" t="s">
        <v>74</v>
      </c>
      <c r="L89" t="s">
        <v>74</v>
      </c>
      <c r="M89" t="s">
        <v>78</v>
      </c>
      <c r="N89" t="s">
        <v>108</v>
      </c>
      <c r="O89" t="s">
        <v>74</v>
      </c>
      <c r="P89" t="s">
        <v>74</v>
      </c>
      <c r="Q89" t="s">
        <v>74</v>
      </c>
      <c r="R89" t="s">
        <v>74</v>
      </c>
      <c r="S89" t="s">
        <v>74</v>
      </c>
      <c r="T89" t="s">
        <v>1894</v>
      </c>
      <c r="U89" t="s">
        <v>218</v>
      </c>
      <c r="V89" t="s">
        <v>1895</v>
      </c>
      <c r="W89" t="s">
        <v>1896</v>
      </c>
      <c r="X89" t="s">
        <v>1897</v>
      </c>
      <c r="Y89" t="s">
        <v>1898</v>
      </c>
      <c r="Z89" t="s">
        <v>1899</v>
      </c>
      <c r="AA89" t="s">
        <v>74</v>
      </c>
      <c r="AB89" t="s">
        <v>1900</v>
      </c>
      <c r="AC89" t="s">
        <v>74</v>
      </c>
      <c r="AD89" t="s">
        <v>74</v>
      </c>
      <c r="AE89" t="s">
        <v>74</v>
      </c>
      <c r="AF89" t="s">
        <v>74</v>
      </c>
      <c r="AG89">
        <v>29</v>
      </c>
      <c r="AH89">
        <v>10</v>
      </c>
      <c r="AI89">
        <v>10</v>
      </c>
      <c r="AJ89">
        <v>2</v>
      </c>
      <c r="AK89">
        <v>6</v>
      </c>
      <c r="AL89" t="s">
        <v>1901</v>
      </c>
      <c r="AM89" t="s">
        <v>995</v>
      </c>
      <c r="AN89" t="s">
        <v>1902</v>
      </c>
      <c r="AO89" t="s">
        <v>1903</v>
      </c>
      <c r="AP89" t="s">
        <v>1904</v>
      </c>
      <c r="AQ89" t="s">
        <v>74</v>
      </c>
      <c r="AR89" t="s">
        <v>1905</v>
      </c>
      <c r="AS89" t="s">
        <v>1906</v>
      </c>
      <c r="AT89" t="s">
        <v>455</v>
      </c>
      <c r="AU89">
        <v>2023</v>
      </c>
      <c r="AV89">
        <v>10</v>
      </c>
      <c r="AW89">
        <v>5</v>
      </c>
      <c r="AX89" t="s">
        <v>74</v>
      </c>
      <c r="AY89" t="s">
        <v>74</v>
      </c>
      <c r="AZ89" t="s">
        <v>74</v>
      </c>
      <c r="BA89" t="s">
        <v>74</v>
      </c>
      <c r="BB89">
        <v>493</v>
      </c>
      <c r="BC89">
        <v>500</v>
      </c>
      <c r="BD89" t="s">
        <v>74</v>
      </c>
      <c r="BE89" t="s">
        <v>1907</v>
      </c>
      <c r="BF89" t="str">
        <f>HYPERLINK("http://dx.doi.org/10.1097/UPJ.0000000000000423","http://dx.doi.org/10.1097/UPJ.0000000000000423")</f>
        <v>http://dx.doi.org/10.1097/UPJ.0000000000000423</v>
      </c>
      <c r="BG89" t="s">
        <v>74</v>
      </c>
      <c r="BH89" t="s">
        <v>74</v>
      </c>
      <c r="BI89">
        <v>8</v>
      </c>
      <c r="BJ89" t="s">
        <v>1908</v>
      </c>
      <c r="BK89" t="s">
        <v>125</v>
      </c>
      <c r="BL89" t="s">
        <v>1908</v>
      </c>
      <c r="BM89" t="s">
        <v>1909</v>
      </c>
      <c r="BN89">
        <v>37347790</v>
      </c>
      <c r="BO89" t="s">
        <v>74</v>
      </c>
      <c r="BP89" t="s">
        <v>74</v>
      </c>
      <c r="BQ89" t="s">
        <v>74</v>
      </c>
      <c r="BR89" t="s">
        <v>102</v>
      </c>
      <c r="BS89" t="s">
        <v>1910</v>
      </c>
      <c r="BT89" t="str">
        <f>HYPERLINK("https%3A%2F%2Fwww.webofscience.com%2Fwos%2Fwoscc%2Ffull-record%2FWOS:001076357400024","View Full Record in Web of Science")</f>
        <v>View Full Record in Web of Science</v>
      </c>
    </row>
    <row r="90" spans="1:72" x14ac:dyDescent="0.35">
      <c r="A90" t="s">
        <v>72</v>
      </c>
      <c r="B90" t="s">
        <v>1911</v>
      </c>
      <c r="C90" t="s">
        <v>74</v>
      </c>
      <c r="D90" t="s">
        <v>74</v>
      </c>
      <c r="E90" t="s">
        <v>74</v>
      </c>
      <c r="F90" t="s">
        <v>1912</v>
      </c>
      <c r="G90" t="s">
        <v>74</v>
      </c>
      <c r="H90" t="s">
        <v>74</v>
      </c>
      <c r="I90" t="s">
        <v>1913</v>
      </c>
      <c r="J90" t="s">
        <v>1914</v>
      </c>
      <c r="K90" t="s">
        <v>74</v>
      </c>
      <c r="L90" t="s">
        <v>74</v>
      </c>
      <c r="M90" t="s">
        <v>78</v>
      </c>
      <c r="N90" t="s">
        <v>108</v>
      </c>
      <c r="O90" t="s">
        <v>74</v>
      </c>
      <c r="P90" t="s">
        <v>74</v>
      </c>
      <c r="Q90" t="s">
        <v>74</v>
      </c>
      <c r="R90" t="s">
        <v>74</v>
      </c>
      <c r="S90" t="s">
        <v>74</v>
      </c>
      <c r="T90" t="s">
        <v>1915</v>
      </c>
      <c r="U90" t="s">
        <v>74</v>
      </c>
      <c r="V90" t="s">
        <v>1916</v>
      </c>
      <c r="W90" t="s">
        <v>1917</v>
      </c>
      <c r="X90" t="s">
        <v>74</v>
      </c>
      <c r="Y90" t="s">
        <v>1918</v>
      </c>
      <c r="Z90" t="s">
        <v>1919</v>
      </c>
      <c r="AA90" t="s">
        <v>1920</v>
      </c>
      <c r="AB90" t="s">
        <v>74</v>
      </c>
      <c r="AC90" t="s">
        <v>1921</v>
      </c>
      <c r="AD90" t="s">
        <v>1922</v>
      </c>
      <c r="AE90" t="s">
        <v>1923</v>
      </c>
      <c r="AF90" t="s">
        <v>74</v>
      </c>
      <c r="AG90">
        <v>13</v>
      </c>
      <c r="AH90">
        <v>35</v>
      </c>
      <c r="AI90">
        <v>38</v>
      </c>
      <c r="AJ90">
        <v>25</v>
      </c>
      <c r="AK90">
        <v>250</v>
      </c>
      <c r="AL90" t="s">
        <v>1061</v>
      </c>
      <c r="AM90" t="s">
        <v>1062</v>
      </c>
      <c r="AN90" t="s">
        <v>1063</v>
      </c>
      <c r="AO90" t="s">
        <v>1924</v>
      </c>
      <c r="AP90" t="s">
        <v>1925</v>
      </c>
      <c r="AQ90" t="s">
        <v>74</v>
      </c>
      <c r="AR90" t="s">
        <v>1926</v>
      </c>
      <c r="AS90" t="s">
        <v>1927</v>
      </c>
      <c r="AT90" t="s">
        <v>745</v>
      </c>
      <c r="AU90">
        <v>2021</v>
      </c>
      <c r="AV90">
        <v>17</v>
      </c>
      <c r="AW90">
        <v>2</v>
      </c>
      <c r="AX90" t="s">
        <v>74</v>
      </c>
      <c r="AY90" t="s">
        <v>74</v>
      </c>
      <c r="AZ90" t="s">
        <v>456</v>
      </c>
      <c r="BA90" t="s">
        <v>74</v>
      </c>
      <c r="BB90">
        <v>382</v>
      </c>
      <c r="BC90">
        <v>388</v>
      </c>
      <c r="BD90" t="s">
        <v>1928</v>
      </c>
      <c r="BE90" t="s">
        <v>1929</v>
      </c>
      <c r="BF90" t="str">
        <f>HYPERLINK("http://dx.doi.org/10.1017/mor.2020.69","http://dx.doi.org/10.1017/mor.2020.69")</f>
        <v>http://dx.doi.org/10.1017/mor.2020.69</v>
      </c>
      <c r="BG90" t="s">
        <v>74</v>
      </c>
      <c r="BH90" t="s">
        <v>74</v>
      </c>
      <c r="BI90">
        <v>7</v>
      </c>
      <c r="BJ90" t="s">
        <v>1930</v>
      </c>
      <c r="BK90" t="s">
        <v>99</v>
      </c>
      <c r="BL90" t="s">
        <v>480</v>
      </c>
      <c r="BM90" t="s">
        <v>1931</v>
      </c>
      <c r="BN90" t="s">
        <v>74</v>
      </c>
      <c r="BO90" t="s">
        <v>156</v>
      </c>
      <c r="BP90" t="s">
        <v>74</v>
      </c>
      <c r="BQ90" t="s">
        <v>74</v>
      </c>
      <c r="BR90" t="s">
        <v>102</v>
      </c>
      <c r="BS90" t="s">
        <v>1932</v>
      </c>
      <c r="BT90" t="str">
        <f>HYPERLINK("https%3A%2F%2Fwww.webofscience.com%2Fwos%2Fwoscc%2Ffull-record%2FWOS:000656606700009","View Full Record in Web of Science")</f>
        <v>View Full Record in Web of Science</v>
      </c>
    </row>
    <row r="91" spans="1:72" x14ac:dyDescent="0.35">
      <c r="A91" t="s">
        <v>72</v>
      </c>
      <c r="B91" t="s">
        <v>1933</v>
      </c>
      <c r="C91" t="s">
        <v>74</v>
      </c>
      <c r="D91" t="s">
        <v>74</v>
      </c>
      <c r="E91" t="s">
        <v>74</v>
      </c>
      <c r="F91" t="s">
        <v>1934</v>
      </c>
      <c r="G91" t="s">
        <v>74</v>
      </c>
      <c r="H91" t="s">
        <v>74</v>
      </c>
      <c r="I91" t="s">
        <v>1935</v>
      </c>
      <c r="J91" t="s">
        <v>1936</v>
      </c>
      <c r="K91" t="s">
        <v>74</v>
      </c>
      <c r="L91" t="s">
        <v>74</v>
      </c>
      <c r="M91" t="s">
        <v>78</v>
      </c>
      <c r="N91" t="s">
        <v>108</v>
      </c>
      <c r="O91" t="s">
        <v>74</v>
      </c>
      <c r="P91" t="s">
        <v>74</v>
      </c>
      <c r="Q91" t="s">
        <v>74</v>
      </c>
      <c r="R91" t="s">
        <v>74</v>
      </c>
      <c r="S91" t="s">
        <v>74</v>
      </c>
      <c r="T91" t="s">
        <v>1937</v>
      </c>
      <c r="U91" t="s">
        <v>1938</v>
      </c>
      <c r="V91" t="s">
        <v>1939</v>
      </c>
      <c r="W91" t="s">
        <v>1940</v>
      </c>
      <c r="X91" t="s">
        <v>1941</v>
      </c>
      <c r="Y91" t="s">
        <v>1942</v>
      </c>
      <c r="Z91" t="s">
        <v>1943</v>
      </c>
      <c r="AA91" t="s">
        <v>1944</v>
      </c>
      <c r="AB91" t="s">
        <v>1945</v>
      </c>
      <c r="AC91" t="s">
        <v>1946</v>
      </c>
      <c r="AD91" t="s">
        <v>1947</v>
      </c>
      <c r="AE91" t="s">
        <v>1948</v>
      </c>
      <c r="AF91" t="s">
        <v>74</v>
      </c>
      <c r="AG91">
        <v>49</v>
      </c>
      <c r="AH91">
        <v>11</v>
      </c>
      <c r="AI91">
        <v>12</v>
      </c>
      <c r="AJ91">
        <v>16</v>
      </c>
      <c r="AK91">
        <v>62</v>
      </c>
      <c r="AL91" t="s">
        <v>516</v>
      </c>
      <c r="AM91" t="s">
        <v>517</v>
      </c>
      <c r="AN91" t="s">
        <v>518</v>
      </c>
      <c r="AO91" t="s">
        <v>1949</v>
      </c>
      <c r="AP91" t="s">
        <v>1950</v>
      </c>
      <c r="AQ91" t="s">
        <v>74</v>
      </c>
      <c r="AR91" t="s">
        <v>1951</v>
      </c>
      <c r="AS91" t="s">
        <v>1952</v>
      </c>
      <c r="AT91" t="s">
        <v>297</v>
      </c>
      <c r="AU91">
        <v>2023</v>
      </c>
      <c r="AV91">
        <v>50</v>
      </c>
      <c r="AW91" t="s">
        <v>74</v>
      </c>
      <c r="AX91" t="s">
        <v>74</v>
      </c>
      <c r="AY91" t="s">
        <v>74</v>
      </c>
      <c r="AZ91" t="s">
        <v>74</v>
      </c>
      <c r="BA91" t="s">
        <v>74</v>
      </c>
      <c r="BB91" t="s">
        <v>74</v>
      </c>
      <c r="BC91" t="s">
        <v>74</v>
      </c>
      <c r="BD91">
        <v>101759</v>
      </c>
      <c r="BE91" t="s">
        <v>1953</v>
      </c>
      <c r="BF91" t="str">
        <f>HYPERLINK("http://dx.doi.org/10.1016/j.eatbeh.2023.101759","http://dx.doi.org/10.1016/j.eatbeh.2023.101759")</f>
        <v>http://dx.doi.org/10.1016/j.eatbeh.2023.101759</v>
      </c>
      <c r="BG91" t="s">
        <v>74</v>
      </c>
      <c r="BH91" t="s">
        <v>1954</v>
      </c>
      <c r="BI91">
        <v>6</v>
      </c>
      <c r="BJ91" t="s">
        <v>1955</v>
      </c>
      <c r="BK91" t="s">
        <v>99</v>
      </c>
      <c r="BL91" t="s">
        <v>1617</v>
      </c>
      <c r="BM91" t="s">
        <v>1956</v>
      </c>
      <c r="BN91">
        <v>37295374</v>
      </c>
      <c r="BO91" t="s">
        <v>1957</v>
      </c>
      <c r="BP91" t="s">
        <v>74</v>
      </c>
      <c r="BQ91" t="s">
        <v>74</v>
      </c>
      <c r="BR91" t="s">
        <v>102</v>
      </c>
      <c r="BS91" t="s">
        <v>1958</v>
      </c>
      <c r="BT91" t="str">
        <f>HYPERLINK("https%3A%2F%2Fwww.webofscience.com%2Fwos%2Fwoscc%2Ffull-record%2FWOS:001016588600001","View Full Record in Web of Science")</f>
        <v>View Full Record in Web of Science</v>
      </c>
    </row>
    <row r="92" spans="1:72" x14ac:dyDescent="0.35">
      <c r="A92" t="s">
        <v>72</v>
      </c>
      <c r="B92" t="s">
        <v>1959</v>
      </c>
      <c r="C92" t="s">
        <v>74</v>
      </c>
      <c r="D92" t="s">
        <v>74</v>
      </c>
      <c r="E92" t="s">
        <v>74</v>
      </c>
      <c r="F92" t="s">
        <v>1960</v>
      </c>
      <c r="G92" t="s">
        <v>74</v>
      </c>
      <c r="H92" t="s">
        <v>74</v>
      </c>
      <c r="I92" t="s">
        <v>1961</v>
      </c>
      <c r="J92" t="s">
        <v>1962</v>
      </c>
      <c r="K92" t="s">
        <v>74</v>
      </c>
      <c r="L92" t="s">
        <v>74</v>
      </c>
      <c r="M92" t="s">
        <v>78</v>
      </c>
      <c r="N92" t="s">
        <v>52</v>
      </c>
      <c r="O92" t="s">
        <v>74</v>
      </c>
      <c r="P92" t="s">
        <v>74</v>
      </c>
      <c r="Q92" t="s">
        <v>74</v>
      </c>
      <c r="R92" t="s">
        <v>74</v>
      </c>
      <c r="S92" t="s">
        <v>74</v>
      </c>
      <c r="T92" t="s">
        <v>74</v>
      </c>
      <c r="U92" t="s">
        <v>74</v>
      </c>
      <c r="V92" t="s">
        <v>74</v>
      </c>
      <c r="W92" t="s">
        <v>1963</v>
      </c>
      <c r="X92" t="s">
        <v>1964</v>
      </c>
      <c r="Y92" t="s">
        <v>74</v>
      </c>
      <c r="Z92" t="s">
        <v>74</v>
      </c>
      <c r="AA92" t="s">
        <v>74</v>
      </c>
      <c r="AB92" t="s">
        <v>74</v>
      </c>
      <c r="AC92" t="s">
        <v>74</v>
      </c>
      <c r="AD92" t="s">
        <v>74</v>
      </c>
      <c r="AE92" t="s">
        <v>74</v>
      </c>
      <c r="AF92" t="s">
        <v>74</v>
      </c>
      <c r="AG92">
        <v>0</v>
      </c>
      <c r="AH92">
        <v>0</v>
      </c>
      <c r="AI92">
        <v>0</v>
      </c>
      <c r="AJ92">
        <v>0</v>
      </c>
      <c r="AK92">
        <v>0</v>
      </c>
      <c r="AL92" t="s">
        <v>1965</v>
      </c>
      <c r="AM92" t="s">
        <v>666</v>
      </c>
      <c r="AN92" t="s">
        <v>1966</v>
      </c>
      <c r="AO92" t="s">
        <v>1967</v>
      </c>
      <c r="AP92" t="s">
        <v>1968</v>
      </c>
      <c r="AQ92" t="s">
        <v>74</v>
      </c>
      <c r="AR92" t="s">
        <v>1962</v>
      </c>
      <c r="AS92" t="s">
        <v>1969</v>
      </c>
      <c r="AT92" t="s">
        <v>523</v>
      </c>
      <c r="AU92">
        <v>2024</v>
      </c>
      <c r="AV92">
        <v>139</v>
      </c>
      <c r="AW92" t="s">
        <v>74</v>
      </c>
      <c r="AX92" t="s">
        <v>74</v>
      </c>
      <c r="AY92" t="s">
        <v>74</v>
      </c>
      <c r="AZ92" t="s">
        <v>74</v>
      </c>
      <c r="BA92" t="s">
        <v>1970</v>
      </c>
      <c r="BB92" t="s">
        <v>74</v>
      </c>
      <c r="BC92" t="s">
        <v>74</v>
      </c>
      <c r="BD92" t="s">
        <v>74</v>
      </c>
      <c r="BE92" t="s">
        <v>74</v>
      </c>
      <c r="BF92" t="s">
        <v>74</v>
      </c>
      <c r="BG92" t="s">
        <v>74</v>
      </c>
      <c r="BH92" t="s">
        <v>74</v>
      </c>
      <c r="BI92">
        <v>1</v>
      </c>
      <c r="BJ92" t="s">
        <v>1971</v>
      </c>
      <c r="BK92" t="s">
        <v>209</v>
      </c>
      <c r="BL92" t="s">
        <v>1971</v>
      </c>
      <c r="BM92" t="s">
        <v>1972</v>
      </c>
      <c r="BN92" t="s">
        <v>74</v>
      </c>
      <c r="BO92" t="s">
        <v>74</v>
      </c>
      <c r="BP92" t="s">
        <v>74</v>
      </c>
      <c r="BQ92" t="s">
        <v>74</v>
      </c>
      <c r="BR92" t="s">
        <v>102</v>
      </c>
      <c r="BS92" t="s">
        <v>1973</v>
      </c>
      <c r="BT92" t="str">
        <f>HYPERLINK("https%3A%2F%2Fwww.webofscience.com%2Fwos%2Fwoscc%2Ffull-record%2FWOS:001330525700075","View Full Record in Web of Science")</f>
        <v>View Full Record in Web of Science</v>
      </c>
    </row>
    <row r="93" spans="1:72" x14ac:dyDescent="0.35">
      <c r="A93" t="s">
        <v>72</v>
      </c>
      <c r="B93" t="s">
        <v>1974</v>
      </c>
      <c r="C93" t="s">
        <v>74</v>
      </c>
      <c r="D93" t="s">
        <v>74</v>
      </c>
      <c r="E93" t="s">
        <v>74</v>
      </c>
      <c r="F93" t="s">
        <v>1975</v>
      </c>
      <c r="G93" t="s">
        <v>74</v>
      </c>
      <c r="H93" t="s">
        <v>74</v>
      </c>
      <c r="I93" t="s">
        <v>1976</v>
      </c>
      <c r="J93" t="s">
        <v>1119</v>
      </c>
      <c r="K93" t="s">
        <v>74</v>
      </c>
      <c r="L93" t="s">
        <v>74</v>
      </c>
      <c r="M93" t="s">
        <v>78</v>
      </c>
      <c r="N93" t="s">
        <v>79</v>
      </c>
      <c r="O93" t="s">
        <v>74</v>
      </c>
      <c r="P93" t="s">
        <v>74</v>
      </c>
      <c r="Q93" t="s">
        <v>74</v>
      </c>
      <c r="R93" t="s">
        <v>74</v>
      </c>
      <c r="S93" t="s">
        <v>74</v>
      </c>
      <c r="T93" t="s">
        <v>1977</v>
      </c>
      <c r="U93" t="s">
        <v>1978</v>
      </c>
      <c r="V93" t="s">
        <v>1979</v>
      </c>
      <c r="W93" t="s">
        <v>1980</v>
      </c>
      <c r="X93" t="s">
        <v>1981</v>
      </c>
      <c r="Y93" t="s">
        <v>1982</v>
      </c>
      <c r="Z93" t="s">
        <v>1983</v>
      </c>
      <c r="AA93" t="s">
        <v>74</v>
      </c>
      <c r="AB93" t="s">
        <v>1984</v>
      </c>
      <c r="AC93" t="s">
        <v>74</v>
      </c>
      <c r="AD93" t="s">
        <v>74</v>
      </c>
      <c r="AE93" t="s">
        <v>74</v>
      </c>
      <c r="AF93" t="s">
        <v>74</v>
      </c>
      <c r="AG93">
        <v>90</v>
      </c>
      <c r="AH93">
        <v>0</v>
      </c>
      <c r="AI93">
        <v>0</v>
      </c>
      <c r="AJ93">
        <v>14</v>
      </c>
      <c r="AK93">
        <v>14</v>
      </c>
      <c r="AL93" t="s">
        <v>1129</v>
      </c>
      <c r="AM93" t="s">
        <v>89</v>
      </c>
      <c r="AN93" t="s">
        <v>1130</v>
      </c>
      <c r="AO93" t="s">
        <v>1131</v>
      </c>
      <c r="AP93" t="s">
        <v>1132</v>
      </c>
      <c r="AQ93" t="s">
        <v>74</v>
      </c>
      <c r="AR93" t="s">
        <v>1133</v>
      </c>
      <c r="AS93" t="s">
        <v>1134</v>
      </c>
      <c r="AT93" t="s">
        <v>1985</v>
      </c>
      <c r="AU93">
        <v>2024</v>
      </c>
      <c r="AV93" t="s">
        <v>74</v>
      </c>
      <c r="AW93" t="s">
        <v>74</v>
      </c>
      <c r="AX93" t="s">
        <v>74</v>
      </c>
      <c r="AY93" t="s">
        <v>74</v>
      </c>
      <c r="AZ93" t="s">
        <v>74</v>
      </c>
      <c r="BA93" t="s">
        <v>74</v>
      </c>
      <c r="BB93" t="s">
        <v>74</v>
      </c>
      <c r="BC93" t="s">
        <v>74</v>
      </c>
      <c r="BD93" t="s">
        <v>74</v>
      </c>
      <c r="BE93" t="s">
        <v>1986</v>
      </c>
      <c r="BF93" t="str">
        <f>HYPERLINK("http://dx.doi.org/10.1080/0144929X.2024.2354436","http://dx.doi.org/10.1080/0144929X.2024.2354436")</f>
        <v>http://dx.doi.org/10.1080/0144929X.2024.2354436</v>
      </c>
      <c r="BG93" t="s">
        <v>74</v>
      </c>
      <c r="BH93" t="s">
        <v>1467</v>
      </c>
      <c r="BI93">
        <v>14</v>
      </c>
      <c r="BJ93" t="s">
        <v>1137</v>
      </c>
      <c r="BK93" t="s">
        <v>182</v>
      </c>
      <c r="BL93" t="s">
        <v>1113</v>
      </c>
      <c r="BM93" t="s">
        <v>1987</v>
      </c>
      <c r="BN93" t="s">
        <v>74</v>
      </c>
      <c r="BO93" t="s">
        <v>74</v>
      </c>
      <c r="BP93" t="s">
        <v>74</v>
      </c>
      <c r="BQ93" t="s">
        <v>74</v>
      </c>
      <c r="BR93" t="s">
        <v>102</v>
      </c>
      <c r="BS93" t="s">
        <v>1988</v>
      </c>
      <c r="BT93" t="str">
        <f>HYPERLINK("https%3A%2F%2Fwww.webofscience.com%2Fwos%2Fwoscc%2Ffull-record%2FWOS:001224735800001","View Full Record in Web of Science")</f>
        <v>View Full Record in Web of Science</v>
      </c>
    </row>
    <row r="94" spans="1:72" x14ac:dyDescent="0.35">
      <c r="A94" t="s">
        <v>128</v>
      </c>
      <c r="B94" t="s">
        <v>1989</v>
      </c>
      <c r="C94" t="s">
        <v>74</v>
      </c>
      <c r="D94" t="s">
        <v>74</v>
      </c>
      <c r="E94" t="s">
        <v>1990</v>
      </c>
      <c r="F94" t="s">
        <v>1991</v>
      </c>
      <c r="G94" t="s">
        <v>74</v>
      </c>
      <c r="H94" t="s">
        <v>74</v>
      </c>
      <c r="I94" t="s">
        <v>1992</v>
      </c>
      <c r="J94" t="s">
        <v>1993</v>
      </c>
      <c r="K94" t="s">
        <v>74</v>
      </c>
      <c r="L94" t="s">
        <v>74</v>
      </c>
      <c r="M94" t="s">
        <v>78</v>
      </c>
      <c r="N94" t="s">
        <v>135</v>
      </c>
      <c r="O94" t="s">
        <v>1994</v>
      </c>
      <c r="P94" t="s">
        <v>1995</v>
      </c>
      <c r="Q94" t="s">
        <v>1996</v>
      </c>
      <c r="R94" t="s">
        <v>1997</v>
      </c>
      <c r="S94" t="s">
        <v>74</v>
      </c>
      <c r="T94" t="s">
        <v>832</v>
      </c>
      <c r="U94" t="s">
        <v>74</v>
      </c>
      <c r="V94" t="s">
        <v>1998</v>
      </c>
      <c r="W94" t="s">
        <v>1999</v>
      </c>
      <c r="X94" t="s">
        <v>835</v>
      </c>
      <c r="Y94" t="s">
        <v>836</v>
      </c>
      <c r="Z94" t="s">
        <v>2000</v>
      </c>
      <c r="AA94" t="s">
        <v>74</v>
      </c>
      <c r="AB94" t="s">
        <v>2001</v>
      </c>
      <c r="AC94" t="s">
        <v>74</v>
      </c>
      <c r="AD94" t="s">
        <v>74</v>
      </c>
      <c r="AE94" t="s">
        <v>74</v>
      </c>
      <c r="AF94" t="s">
        <v>74</v>
      </c>
      <c r="AG94">
        <v>26</v>
      </c>
      <c r="AH94">
        <v>0</v>
      </c>
      <c r="AI94">
        <v>0</v>
      </c>
      <c r="AJ94">
        <v>0</v>
      </c>
      <c r="AK94">
        <v>0</v>
      </c>
      <c r="AL94" t="s">
        <v>718</v>
      </c>
      <c r="AM94" t="s">
        <v>666</v>
      </c>
      <c r="AN94" t="s">
        <v>719</v>
      </c>
      <c r="AO94" t="s">
        <v>74</v>
      </c>
      <c r="AP94" t="s">
        <v>74</v>
      </c>
      <c r="AQ94" t="s">
        <v>2002</v>
      </c>
      <c r="AR94" t="s">
        <v>74</v>
      </c>
      <c r="AS94" t="s">
        <v>74</v>
      </c>
      <c r="AT94" t="s">
        <v>74</v>
      </c>
      <c r="AU94">
        <v>2024</v>
      </c>
      <c r="AV94" t="s">
        <v>74</v>
      </c>
      <c r="AW94" t="s">
        <v>74</v>
      </c>
      <c r="AX94" t="s">
        <v>74</v>
      </c>
      <c r="AY94" t="s">
        <v>74</v>
      </c>
      <c r="AZ94" t="s">
        <v>74</v>
      </c>
      <c r="BA94" t="s">
        <v>74</v>
      </c>
      <c r="BB94">
        <v>491</v>
      </c>
      <c r="BC94">
        <v>507</v>
      </c>
      <c r="BD94" t="s">
        <v>74</v>
      </c>
      <c r="BE94" t="s">
        <v>2003</v>
      </c>
      <c r="BF94" t="str">
        <f>HYPERLINK("http://dx.doi.org/10.1145/3670653.3677501","http://dx.doi.org/10.1145/3670653.3677501")</f>
        <v>http://dx.doi.org/10.1145/3670653.3677501</v>
      </c>
      <c r="BG94" t="s">
        <v>74</v>
      </c>
      <c r="BH94" t="s">
        <v>74</v>
      </c>
      <c r="BI94">
        <v>17</v>
      </c>
      <c r="BJ94" t="s">
        <v>2004</v>
      </c>
      <c r="BK94" t="s">
        <v>723</v>
      </c>
      <c r="BL94" t="s">
        <v>210</v>
      </c>
      <c r="BM94" t="s">
        <v>2005</v>
      </c>
      <c r="BN94" t="s">
        <v>74</v>
      </c>
      <c r="BO94" t="s">
        <v>74</v>
      </c>
      <c r="BP94" t="s">
        <v>74</v>
      </c>
      <c r="BQ94" t="s">
        <v>74</v>
      </c>
      <c r="BR94" t="s">
        <v>102</v>
      </c>
      <c r="BS94" t="s">
        <v>2006</v>
      </c>
      <c r="BT94" t="str">
        <f>HYPERLINK("https%3A%2F%2Fwww.webofscience.com%2Fwos%2Fwoscc%2Ffull-record%2FWOS:001305932500047","View Full Record in Web of Science")</f>
        <v>View Full Record in Web of Science</v>
      </c>
    </row>
    <row r="95" spans="1:72" x14ac:dyDescent="0.35">
      <c r="A95" t="s">
        <v>72</v>
      </c>
      <c r="B95" t="s">
        <v>2007</v>
      </c>
      <c r="C95" t="s">
        <v>74</v>
      </c>
      <c r="D95" t="s">
        <v>74</v>
      </c>
      <c r="E95" t="s">
        <v>74</v>
      </c>
      <c r="F95" t="s">
        <v>2008</v>
      </c>
      <c r="G95" t="s">
        <v>74</v>
      </c>
      <c r="H95" t="s">
        <v>74</v>
      </c>
      <c r="I95" t="s">
        <v>2009</v>
      </c>
      <c r="J95" t="s">
        <v>1054</v>
      </c>
      <c r="K95" t="s">
        <v>74</v>
      </c>
      <c r="L95" t="s">
        <v>74</v>
      </c>
      <c r="M95" t="s">
        <v>78</v>
      </c>
      <c r="N95" t="s">
        <v>52</v>
      </c>
      <c r="O95" t="s">
        <v>74</v>
      </c>
      <c r="P95" t="s">
        <v>74</v>
      </c>
      <c r="Q95" t="s">
        <v>74</v>
      </c>
      <c r="R95" t="s">
        <v>74</v>
      </c>
      <c r="S95" t="s">
        <v>74</v>
      </c>
      <c r="T95" t="s">
        <v>2010</v>
      </c>
      <c r="U95" t="s">
        <v>74</v>
      </c>
      <c r="V95" t="s">
        <v>74</v>
      </c>
      <c r="W95" t="s">
        <v>2011</v>
      </c>
      <c r="X95" t="s">
        <v>2012</v>
      </c>
      <c r="Y95" t="s">
        <v>2013</v>
      </c>
      <c r="Z95" t="s">
        <v>74</v>
      </c>
      <c r="AA95" t="s">
        <v>1058</v>
      </c>
      <c r="AB95" t="s">
        <v>74</v>
      </c>
      <c r="AC95" t="s">
        <v>74</v>
      </c>
      <c r="AD95" t="s">
        <v>74</v>
      </c>
      <c r="AE95" t="s">
        <v>74</v>
      </c>
      <c r="AF95" t="s">
        <v>74</v>
      </c>
      <c r="AG95">
        <v>3</v>
      </c>
      <c r="AH95">
        <v>0</v>
      </c>
      <c r="AI95">
        <v>0</v>
      </c>
      <c r="AJ95">
        <v>0</v>
      </c>
      <c r="AK95">
        <v>0</v>
      </c>
      <c r="AL95" t="s">
        <v>1061</v>
      </c>
      <c r="AM95" t="s">
        <v>1062</v>
      </c>
      <c r="AN95" t="s">
        <v>1063</v>
      </c>
      <c r="AO95" t="s">
        <v>1064</v>
      </c>
      <c r="AP95" t="s">
        <v>1065</v>
      </c>
      <c r="AQ95" t="s">
        <v>74</v>
      </c>
      <c r="AR95" t="s">
        <v>1066</v>
      </c>
      <c r="AS95" t="s">
        <v>1067</v>
      </c>
      <c r="AT95" t="s">
        <v>930</v>
      </c>
      <c r="AU95">
        <v>2024</v>
      </c>
      <c r="AV95">
        <v>83</v>
      </c>
      <c r="AW95" t="s">
        <v>1068</v>
      </c>
      <c r="AX95" t="s">
        <v>74</v>
      </c>
      <c r="AY95" t="s">
        <v>74</v>
      </c>
      <c r="AZ95" t="s">
        <v>456</v>
      </c>
      <c r="BA95" t="s">
        <v>74</v>
      </c>
      <c r="BB95" t="s">
        <v>74</v>
      </c>
      <c r="BC95" t="s">
        <v>74</v>
      </c>
      <c r="BD95" t="s">
        <v>2014</v>
      </c>
      <c r="BE95" t="s">
        <v>2015</v>
      </c>
      <c r="BF95" t="str">
        <f>HYPERLINK("http://dx.doi.org/10.1017/S0029665124001472","http://dx.doi.org/10.1017/S0029665124001472")</f>
        <v>http://dx.doi.org/10.1017/S0029665124001472</v>
      </c>
      <c r="BG95" t="s">
        <v>74</v>
      </c>
      <c r="BH95" t="s">
        <v>74</v>
      </c>
      <c r="BI95">
        <v>1</v>
      </c>
      <c r="BJ95" t="s">
        <v>1071</v>
      </c>
      <c r="BK95" t="s">
        <v>209</v>
      </c>
      <c r="BL95" t="s">
        <v>1071</v>
      </c>
      <c r="BM95" t="s">
        <v>1072</v>
      </c>
      <c r="BN95" t="s">
        <v>74</v>
      </c>
      <c r="BO95" t="s">
        <v>767</v>
      </c>
      <c r="BP95" t="s">
        <v>74</v>
      </c>
      <c r="BQ95" t="s">
        <v>74</v>
      </c>
      <c r="BR95" t="s">
        <v>102</v>
      </c>
      <c r="BS95" t="s">
        <v>2016</v>
      </c>
      <c r="BT95" t="str">
        <f>HYPERLINK("https%3A%2F%2Fwww.webofscience.com%2Fwos%2Fwoscc%2Ffull-record%2FWOS:001215194800044","View Full Record in Web of Science")</f>
        <v>View Full Record in Web of Science</v>
      </c>
    </row>
    <row r="96" spans="1:72" x14ac:dyDescent="0.35">
      <c r="A96" t="s">
        <v>72</v>
      </c>
      <c r="B96" t="s">
        <v>2017</v>
      </c>
      <c r="C96" t="s">
        <v>74</v>
      </c>
      <c r="D96" t="s">
        <v>74</v>
      </c>
      <c r="E96" t="s">
        <v>74</v>
      </c>
      <c r="F96" t="s">
        <v>2018</v>
      </c>
      <c r="G96" t="s">
        <v>74</v>
      </c>
      <c r="H96" t="s">
        <v>74</v>
      </c>
      <c r="I96" t="s">
        <v>2019</v>
      </c>
      <c r="J96" t="s">
        <v>2020</v>
      </c>
      <c r="K96" t="s">
        <v>74</v>
      </c>
      <c r="L96" t="s">
        <v>74</v>
      </c>
      <c r="M96" t="s">
        <v>78</v>
      </c>
      <c r="N96" t="s">
        <v>108</v>
      </c>
      <c r="O96" t="s">
        <v>74</v>
      </c>
      <c r="P96" t="s">
        <v>74</v>
      </c>
      <c r="Q96" t="s">
        <v>74</v>
      </c>
      <c r="R96" t="s">
        <v>74</v>
      </c>
      <c r="S96" t="s">
        <v>74</v>
      </c>
      <c r="T96" t="s">
        <v>74</v>
      </c>
      <c r="U96" t="s">
        <v>74</v>
      </c>
      <c r="V96" t="s">
        <v>2021</v>
      </c>
      <c r="W96" t="s">
        <v>2022</v>
      </c>
      <c r="X96" t="s">
        <v>2023</v>
      </c>
      <c r="Y96" t="s">
        <v>2024</v>
      </c>
      <c r="Z96" t="s">
        <v>2025</v>
      </c>
      <c r="AA96" t="s">
        <v>74</v>
      </c>
      <c r="AB96" t="s">
        <v>2026</v>
      </c>
      <c r="AC96" t="s">
        <v>74</v>
      </c>
      <c r="AD96" t="s">
        <v>74</v>
      </c>
      <c r="AE96" t="s">
        <v>74</v>
      </c>
      <c r="AF96" t="s">
        <v>74</v>
      </c>
      <c r="AG96">
        <v>8</v>
      </c>
      <c r="AH96">
        <v>8</v>
      </c>
      <c r="AI96">
        <v>8</v>
      </c>
      <c r="AJ96">
        <v>1</v>
      </c>
      <c r="AK96">
        <v>12</v>
      </c>
      <c r="AL96" t="s">
        <v>2027</v>
      </c>
      <c r="AM96" t="s">
        <v>666</v>
      </c>
      <c r="AN96" t="s">
        <v>2028</v>
      </c>
      <c r="AO96" t="s">
        <v>2029</v>
      </c>
      <c r="AP96" t="s">
        <v>74</v>
      </c>
      <c r="AQ96" t="s">
        <v>74</v>
      </c>
      <c r="AR96" t="s">
        <v>2030</v>
      </c>
      <c r="AS96" t="s">
        <v>2031</v>
      </c>
      <c r="AT96" t="s">
        <v>2032</v>
      </c>
      <c r="AU96">
        <v>2022</v>
      </c>
      <c r="AV96">
        <v>51</v>
      </c>
      <c r="AW96">
        <v>6</v>
      </c>
      <c r="AX96" t="s">
        <v>74</v>
      </c>
      <c r="AY96" t="s">
        <v>74</v>
      </c>
      <c r="AZ96" t="s">
        <v>74</v>
      </c>
      <c r="BA96" t="s">
        <v>74</v>
      </c>
      <c r="BB96">
        <v>826</v>
      </c>
      <c r="BC96">
        <v>828</v>
      </c>
      <c r="BD96" t="s">
        <v>74</v>
      </c>
      <c r="BE96" t="s">
        <v>2033</v>
      </c>
      <c r="BF96" t="str">
        <f>HYPERLINK("http://dx.doi.org/10.1067/j.cpradiol.2022.06.001","http://dx.doi.org/10.1067/j.cpradiol.2022.06.001")</f>
        <v>http://dx.doi.org/10.1067/j.cpradiol.2022.06.001</v>
      </c>
      <c r="BG96" t="s">
        <v>74</v>
      </c>
      <c r="BH96" t="s">
        <v>2034</v>
      </c>
      <c r="BI96">
        <v>3</v>
      </c>
      <c r="BJ96" t="s">
        <v>2035</v>
      </c>
      <c r="BK96" t="s">
        <v>125</v>
      </c>
      <c r="BL96" t="s">
        <v>2035</v>
      </c>
      <c r="BM96" t="s">
        <v>2036</v>
      </c>
      <c r="BN96">
        <v>35798624</v>
      </c>
      <c r="BO96" t="s">
        <v>74</v>
      </c>
      <c r="BP96" t="s">
        <v>74</v>
      </c>
      <c r="BQ96" t="s">
        <v>74</v>
      </c>
      <c r="BR96" t="s">
        <v>102</v>
      </c>
      <c r="BS96" t="s">
        <v>2037</v>
      </c>
      <c r="BT96" t="str">
        <f>HYPERLINK("https%3A%2F%2Fwww.webofscience.com%2Fwos%2Fwoscc%2Ffull-record%2FWOS:000875395600005","View Full Record in Web of Science")</f>
        <v>View Full Record in Web of Science</v>
      </c>
    </row>
    <row r="97" spans="1:72" x14ac:dyDescent="0.35">
      <c r="A97" t="s">
        <v>72</v>
      </c>
      <c r="B97" t="s">
        <v>2038</v>
      </c>
      <c r="C97" t="s">
        <v>74</v>
      </c>
      <c r="D97" t="s">
        <v>74</v>
      </c>
      <c r="E97" t="s">
        <v>74</v>
      </c>
      <c r="F97" t="s">
        <v>2039</v>
      </c>
      <c r="G97" t="s">
        <v>74</v>
      </c>
      <c r="H97" t="s">
        <v>74</v>
      </c>
      <c r="I97" t="s">
        <v>2040</v>
      </c>
      <c r="J97" t="s">
        <v>2041</v>
      </c>
      <c r="K97" t="s">
        <v>74</v>
      </c>
      <c r="L97" t="s">
        <v>74</v>
      </c>
      <c r="M97" t="s">
        <v>78</v>
      </c>
      <c r="N97" t="s">
        <v>2042</v>
      </c>
      <c r="O97" t="s">
        <v>74</v>
      </c>
      <c r="P97" t="s">
        <v>74</v>
      </c>
      <c r="Q97" t="s">
        <v>74</v>
      </c>
      <c r="R97" t="s">
        <v>74</v>
      </c>
      <c r="S97" t="s">
        <v>74</v>
      </c>
      <c r="T97" t="s">
        <v>2043</v>
      </c>
      <c r="U97" t="s">
        <v>74</v>
      </c>
      <c r="V97" t="s">
        <v>2044</v>
      </c>
      <c r="W97" t="s">
        <v>2045</v>
      </c>
      <c r="X97" t="s">
        <v>2046</v>
      </c>
      <c r="Y97" t="s">
        <v>2047</v>
      </c>
      <c r="Z97" t="s">
        <v>2048</v>
      </c>
      <c r="AA97" t="s">
        <v>74</v>
      </c>
      <c r="AB97" t="s">
        <v>74</v>
      </c>
      <c r="AC97" t="s">
        <v>74</v>
      </c>
      <c r="AD97" t="s">
        <v>74</v>
      </c>
      <c r="AE97" t="s">
        <v>74</v>
      </c>
      <c r="AF97" t="s">
        <v>74</v>
      </c>
      <c r="AG97">
        <v>2</v>
      </c>
      <c r="AH97">
        <v>5</v>
      </c>
      <c r="AI97">
        <v>5</v>
      </c>
      <c r="AJ97">
        <v>5</v>
      </c>
      <c r="AK97">
        <v>61</v>
      </c>
      <c r="AL97" t="s">
        <v>171</v>
      </c>
      <c r="AM97" t="s">
        <v>172</v>
      </c>
      <c r="AN97" t="s">
        <v>173</v>
      </c>
      <c r="AO97" t="s">
        <v>2049</v>
      </c>
      <c r="AP97" t="s">
        <v>2050</v>
      </c>
      <c r="AQ97" t="s">
        <v>74</v>
      </c>
      <c r="AR97" t="s">
        <v>2051</v>
      </c>
      <c r="AS97" t="s">
        <v>2052</v>
      </c>
      <c r="AT97" t="s">
        <v>1484</v>
      </c>
      <c r="AU97">
        <v>2024</v>
      </c>
      <c r="AV97">
        <v>103</v>
      </c>
      <c r="AW97">
        <v>3</v>
      </c>
      <c r="AX97" t="s">
        <v>74</v>
      </c>
      <c r="AY97" t="s">
        <v>74</v>
      </c>
      <c r="AZ97" t="s">
        <v>74</v>
      </c>
      <c r="BA97" t="s">
        <v>74</v>
      </c>
      <c r="BB97" t="s">
        <v>2053</v>
      </c>
      <c r="BC97" t="s">
        <v>2054</v>
      </c>
      <c r="BD97">
        <v>1455613211038340</v>
      </c>
      <c r="BE97" t="s">
        <v>2055</v>
      </c>
      <c r="BF97" t="str">
        <f>HYPERLINK("http://dx.doi.org/10.1177/01455613211038340","http://dx.doi.org/10.1177/01455613211038340")</f>
        <v>http://dx.doi.org/10.1177/01455613211038340</v>
      </c>
      <c r="BG97" t="s">
        <v>74</v>
      </c>
      <c r="BH97" t="s">
        <v>2056</v>
      </c>
      <c r="BI97">
        <v>2</v>
      </c>
      <c r="BJ97" t="s">
        <v>2057</v>
      </c>
      <c r="BK97" t="s">
        <v>209</v>
      </c>
      <c r="BL97" t="s">
        <v>2057</v>
      </c>
      <c r="BM97" t="s">
        <v>2058</v>
      </c>
      <c r="BN97">
        <v>34569296</v>
      </c>
      <c r="BO97" t="s">
        <v>235</v>
      </c>
      <c r="BP97" t="s">
        <v>74</v>
      </c>
      <c r="BQ97" t="s">
        <v>74</v>
      </c>
      <c r="BR97" t="s">
        <v>102</v>
      </c>
      <c r="BS97" t="s">
        <v>2059</v>
      </c>
      <c r="BT97" t="str">
        <f>HYPERLINK("https%3A%2F%2Fwww.webofscience.com%2Fwos%2Fwoscc%2Ffull-record%2FWOS:000703235900001","View Full Record in Web of Science")</f>
        <v>View Full Record in Web of Science</v>
      </c>
    </row>
    <row r="98" spans="1:72" x14ac:dyDescent="0.35">
      <c r="A98" t="s">
        <v>72</v>
      </c>
      <c r="B98" t="s">
        <v>2060</v>
      </c>
      <c r="C98" t="s">
        <v>74</v>
      </c>
      <c r="D98" t="s">
        <v>74</v>
      </c>
      <c r="E98" t="s">
        <v>74</v>
      </c>
      <c r="F98" t="s">
        <v>2061</v>
      </c>
      <c r="G98" t="s">
        <v>74</v>
      </c>
      <c r="H98" t="s">
        <v>74</v>
      </c>
      <c r="I98" t="s">
        <v>2062</v>
      </c>
      <c r="J98" t="s">
        <v>968</v>
      </c>
      <c r="K98" t="s">
        <v>74</v>
      </c>
      <c r="L98" t="s">
        <v>74</v>
      </c>
      <c r="M98" t="s">
        <v>78</v>
      </c>
      <c r="N98" t="s">
        <v>108</v>
      </c>
      <c r="O98" t="s">
        <v>74</v>
      </c>
      <c r="P98" t="s">
        <v>74</v>
      </c>
      <c r="Q98" t="s">
        <v>74</v>
      </c>
      <c r="R98" t="s">
        <v>74</v>
      </c>
      <c r="S98" t="s">
        <v>74</v>
      </c>
      <c r="T98" t="s">
        <v>2063</v>
      </c>
      <c r="U98" t="s">
        <v>2064</v>
      </c>
      <c r="V98" t="s">
        <v>2065</v>
      </c>
      <c r="W98" t="s">
        <v>2066</v>
      </c>
      <c r="X98" t="s">
        <v>2067</v>
      </c>
      <c r="Y98" t="s">
        <v>2068</v>
      </c>
      <c r="Z98" t="s">
        <v>2069</v>
      </c>
      <c r="AA98" t="s">
        <v>2070</v>
      </c>
      <c r="AB98" t="s">
        <v>2071</v>
      </c>
      <c r="AC98" t="s">
        <v>2072</v>
      </c>
      <c r="AD98" t="s">
        <v>2072</v>
      </c>
      <c r="AE98" t="s">
        <v>2073</v>
      </c>
      <c r="AF98" t="s">
        <v>74</v>
      </c>
      <c r="AG98">
        <v>56</v>
      </c>
      <c r="AH98">
        <v>23</v>
      </c>
      <c r="AI98">
        <v>27</v>
      </c>
      <c r="AJ98">
        <v>3</v>
      </c>
      <c r="AK98">
        <v>72</v>
      </c>
      <c r="AL98" t="s">
        <v>226</v>
      </c>
      <c r="AM98" t="s">
        <v>227</v>
      </c>
      <c r="AN98" t="s">
        <v>228</v>
      </c>
      <c r="AO98" t="s">
        <v>978</v>
      </c>
      <c r="AP98" t="s">
        <v>979</v>
      </c>
      <c r="AQ98" t="s">
        <v>74</v>
      </c>
      <c r="AR98" t="s">
        <v>980</v>
      </c>
      <c r="AS98" t="s">
        <v>981</v>
      </c>
      <c r="AT98" t="s">
        <v>178</v>
      </c>
      <c r="AU98">
        <v>2023</v>
      </c>
      <c r="AV98">
        <v>186</v>
      </c>
      <c r="AW98">
        <v>1</v>
      </c>
      <c r="AX98" t="s">
        <v>74</v>
      </c>
      <c r="AY98" t="s">
        <v>74</v>
      </c>
      <c r="AZ98" t="s">
        <v>456</v>
      </c>
      <c r="BA98" t="s">
        <v>74</v>
      </c>
      <c r="BB98">
        <v>81</v>
      </c>
      <c r="BC98">
        <v>96</v>
      </c>
      <c r="BD98" t="s">
        <v>2074</v>
      </c>
      <c r="BE98" t="s">
        <v>2075</v>
      </c>
      <c r="BF98" t="str">
        <f>HYPERLINK("http://dx.doi.org/10.1177/1329878X211068836","http://dx.doi.org/10.1177/1329878X211068836")</f>
        <v>http://dx.doi.org/10.1177/1329878X211068836</v>
      </c>
      <c r="BG98" t="s">
        <v>74</v>
      </c>
      <c r="BH98" t="s">
        <v>2076</v>
      </c>
      <c r="BI98">
        <v>16</v>
      </c>
      <c r="BJ98" t="s">
        <v>124</v>
      </c>
      <c r="BK98" t="s">
        <v>99</v>
      </c>
      <c r="BL98" t="s">
        <v>124</v>
      </c>
      <c r="BM98" t="s">
        <v>983</v>
      </c>
      <c r="BN98" t="s">
        <v>74</v>
      </c>
      <c r="BO98" t="s">
        <v>74</v>
      </c>
      <c r="BP98" t="s">
        <v>74</v>
      </c>
      <c r="BQ98" t="s">
        <v>74</v>
      </c>
      <c r="BR98" t="s">
        <v>102</v>
      </c>
      <c r="BS98" t="s">
        <v>2077</v>
      </c>
      <c r="BT98" t="str">
        <f>HYPERLINK("https%3A%2F%2Fwww.webofscience.com%2Fwos%2Fwoscc%2Ffull-record%2FWOS:000740767100001","View Full Record in Web of Science")</f>
        <v>View Full Record in Web of Science</v>
      </c>
    </row>
    <row r="99" spans="1:72" x14ac:dyDescent="0.35">
      <c r="A99" t="s">
        <v>72</v>
      </c>
      <c r="B99" t="s">
        <v>2078</v>
      </c>
      <c r="C99" t="s">
        <v>74</v>
      </c>
      <c r="D99" t="s">
        <v>74</v>
      </c>
      <c r="E99" t="s">
        <v>74</v>
      </c>
      <c r="F99" t="s">
        <v>2079</v>
      </c>
      <c r="G99" t="s">
        <v>74</v>
      </c>
      <c r="H99" t="s">
        <v>74</v>
      </c>
      <c r="I99" t="s">
        <v>2080</v>
      </c>
      <c r="J99" t="s">
        <v>280</v>
      </c>
      <c r="K99" t="s">
        <v>74</v>
      </c>
      <c r="L99" t="s">
        <v>74</v>
      </c>
      <c r="M99" t="s">
        <v>78</v>
      </c>
      <c r="N99" t="s">
        <v>108</v>
      </c>
      <c r="O99" t="s">
        <v>74</v>
      </c>
      <c r="P99" t="s">
        <v>74</v>
      </c>
      <c r="Q99" t="s">
        <v>74</v>
      </c>
      <c r="R99" t="s">
        <v>74</v>
      </c>
      <c r="S99" t="s">
        <v>74</v>
      </c>
      <c r="T99" t="s">
        <v>2081</v>
      </c>
      <c r="U99" t="s">
        <v>2082</v>
      </c>
      <c r="V99" t="s">
        <v>2083</v>
      </c>
      <c r="W99" t="s">
        <v>2084</v>
      </c>
      <c r="X99" t="s">
        <v>2085</v>
      </c>
      <c r="Y99" t="s">
        <v>2086</v>
      </c>
      <c r="Z99" t="s">
        <v>2087</v>
      </c>
      <c r="AA99" t="s">
        <v>737</v>
      </c>
      <c r="AB99" t="s">
        <v>74</v>
      </c>
      <c r="AC99" t="s">
        <v>738</v>
      </c>
      <c r="AD99" t="s">
        <v>739</v>
      </c>
      <c r="AE99" t="s">
        <v>2088</v>
      </c>
      <c r="AF99" t="s">
        <v>74</v>
      </c>
      <c r="AG99">
        <v>46</v>
      </c>
      <c r="AH99">
        <v>71</v>
      </c>
      <c r="AI99">
        <v>83</v>
      </c>
      <c r="AJ99">
        <v>35</v>
      </c>
      <c r="AK99">
        <v>354</v>
      </c>
      <c r="AL99" t="s">
        <v>290</v>
      </c>
      <c r="AM99" t="s">
        <v>291</v>
      </c>
      <c r="AN99" t="s">
        <v>292</v>
      </c>
      <c r="AO99" t="s">
        <v>293</v>
      </c>
      <c r="AP99" t="s">
        <v>294</v>
      </c>
      <c r="AQ99" t="s">
        <v>74</v>
      </c>
      <c r="AR99" t="s">
        <v>295</v>
      </c>
      <c r="AS99" t="s">
        <v>296</v>
      </c>
      <c r="AT99" t="s">
        <v>523</v>
      </c>
      <c r="AU99">
        <v>2021</v>
      </c>
      <c r="AV99">
        <v>124</v>
      </c>
      <c r="AW99" t="s">
        <v>74</v>
      </c>
      <c r="AX99" t="s">
        <v>74</v>
      </c>
      <c r="AY99" t="s">
        <v>74</v>
      </c>
      <c r="AZ99" t="s">
        <v>74</v>
      </c>
      <c r="BA99" t="s">
        <v>74</v>
      </c>
      <c r="BB99" t="s">
        <v>74</v>
      </c>
      <c r="BC99" t="s">
        <v>74</v>
      </c>
      <c r="BD99">
        <v>106893</v>
      </c>
      <c r="BE99" t="s">
        <v>2089</v>
      </c>
      <c r="BF99" t="str">
        <f>HYPERLINK("http://dx.doi.org/10.1016/j.chb.2021.106893","http://dx.doi.org/10.1016/j.chb.2021.106893")</f>
        <v>http://dx.doi.org/10.1016/j.chb.2021.106893</v>
      </c>
      <c r="BG99" t="s">
        <v>74</v>
      </c>
      <c r="BH99" t="s">
        <v>2090</v>
      </c>
      <c r="BI99">
        <v>9</v>
      </c>
      <c r="BJ99" t="s">
        <v>300</v>
      </c>
      <c r="BK99" t="s">
        <v>99</v>
      </c>
      <c r="BL99" t="s">
        <v>301</v>
      </c>
      <c r="BM99" t="s">
        <v>2091</v>
      </c>
      <c r="BN99" t="s">
        <v>74</v>
      </c>
      <c r="BO99" t="s">
        <v>74</v>
      </c>
      <c r="BP99" t="s">
        <v>74</v>
      </c>
      <c r="BQ99" t="s">
        <v>74</v>
      </c>
      <c r="BR99" t="s">
        <v>102</v>
      </c>
      <c r="BS99" t="s">
        <v>2092</v>
      </c>
      <c r="BT99" t="str">
        <f>HYPERLINK("https%3A%2F%2Fwww.webofscience.com%2Fwos%2Fwoscc%2Ffull-record%2FWOS:000687435800016","View Full Record in Web of Science")</f>
        <v>View Full Record in Web of Science</v>
      </c>
    </row>
    <row r="100" spans="1:72" x14ac:dyDescent="0.35">
      <c r="A100" t="s">
        <v>72</v>
      </c>
      <c r="B100" t="s">
        <v>2093</v>
      </c>
      <c r="C100" t="s">
        <v>74</v>
      </c>
      <c r="D100" t="s">
        <v>74</v>
      </c>
      <c r="E100" t="s">
        <v>74</v>
      </c>
      <c r="F100" t="s">
        <v>2094</v>
      </c>
      <c r="G100" t="s">
        <v>74</v>
      </c>
      <c r="H100" t="s">
        <v>74</v>
      </c>
      <c r="I100" t="s">
        <v>2095</v>
      </c>
      <c r="J100" t="s">
        <v>280</v>
      </c>
      <c r="K100" t="s">
        <v>74</v>
      </c>
      <c r="L100" t="s">
        <v>74</v>
      </c>
      <c r="M100" t="s">
        <v>78</v>
      </c>
      <c r="N100" t="s">
        <v>108</v>
      </c>
      <c r="O100" t="s">
        <v>74</v>
      </c>
      <c r="P100" t="s">
        <v>74</v>
      </c>
      <c r="Q100" t="s">
        <v>74</v>
      </c>
      <c r="R100" t="s">
        <v>74</v>
      </c>
      <c r="S100" t="s">
        <v>74</v>
      </c>
      <c r="T100" t="s">
        <v>2096</v>
      </c>
      <c r="U100" t="s">
        <v>2097</v>
      </c>
      <c r="V100" t="s">
        <v>2098</v>
      </c>
      <c r="W100" t="s">
        <v>2099</v>
      </c>
      <c r="X100" t="s">
        <v>2100</v>
      </c>
      <c r="Y100" t="s">
        <v>2101</v>
      </c>
      <c r="Z100" t="s">
        <v>2102</v>
      </c>
      <c r="AA100" t="s">
        <v>74</v>
      </c>
      <c r="AB100" t="s">
        <v>2103</v>
      </c>
      <c r="AC100" t="s">
        <v>74</v>
      </c>
      <c r="AD100" t="s">
        <v>74</v>
      </c>
      <c r="AE100" t="s">
        <v>74</v>
      </c>
      <c r="AF100" t="s">
        <v>74</v>
      </c>
      <c r="AG100">
        <v>36</v>
      </c>
      <c r="AH100">
        <v>2</v>
      </c>
      <c r="AI100">
        <v>2</v>
      </c>
      <c r="AJ100">
        <v>21</v>
      </c>
      <c r="AK100">
        <v>56</v>
      </c>
      <c r="AL100" t="s">
        <v>290</v>
      </c>
      <c r="AM100" t="s">
        <v>291</v>
      </c>
      <c r="AN100" t="s">
        <v>292</v>
      </c>
      <c r="AO100" t="s">
        <v>293</v>
      </c>
      <c r="AP100" t="s">
        <v>294</v>
      </c>
      <c r="AQ100" t="s">
        <v>74</v>
      </c>
      <c r="AR100" t="s">
        <v>295</v>
      </c>
      <c r="AS100" t="s">
        <v>296</v>
      </c>
      <c r="AT100" t="s">
        <v>232</v>
      </c>
      <c r="AU100">
        <v>2024</v>
      </c>
      <c r="AV100">
        <v>150</v>
      </c>
      <c r="AW100" t="s">
        <v>74</v>
      </c>
      <c r="AX100" t="s">
        <v>74</v>
      </c>
      <c r="AY100" t="s">
        <v>74</v>
      </c>
      <c r="AZ100" t="s">
        <v>74</v>
      </c>
      <c r="BA100" t="s">
        <v>74</v>
      </c>
      <c r="BB100" t="s">
        <v>74</v>
      </c>
      <c r="BC100" t="s">
        <v>74</v>
      </c>
      <c r="BD100">
        <v>107975</v>
      </c>
      <c r="BE100" t="s">
        <v>2104</v>
      </c>
      <c r="BF100" t="str">
        <f>HYPERLINK("http://dx.doi.org/10.1016/j.chb.2023.107975","http://dx.doi.org/10.1016/j.chb.2023.107975")</f>
        <v>http://dx.doi.org/10.1016/j.chb.2023.107975</v>
      </c>
      <c r="BG100" t="s">
        <v>74</v>
      </c>
      <c r="BH100" t="s">
        <v>207</v>
      </c>
      <c r="BI100">
        <v>9</v>
      </c>
      <c r="BJ100" t="s">
        <v>300</v>
      </c>
      <c r="BK100" t="s">
        <v>99</v>
      </c>
      <c r="BL100" t="s">
        <v>301</v>
      </c>
      <c r="BM100" t="s">
        <v>2105</v>
      </c>
      <c r="BN100" t="s">
        <v>74</v>
      </c>
      <c r="BO100" t="s">
        <v>74</v>
      </c>
      <c r="BP100" t="s">
        <v>74</v>
      </c>
      <c r="BQ100" t="s">
        <v>74</v>
      </c>
      <c r="BR100" t="s">
        <v>102</v>
      </c>
      <c r="BS100" t="s">
        <v>2106</v>
      </c>
      <c r="BT100" t="str">
        <f>HYPERLINK("https%3A%2F%2Fwww.webofscience.com%2Fwos%2Fwoscc%2Ffull-record%2FWOS:001091976600001","View Full Record in Web of Science")</f>
        <v>View Full Record in Web of Science</v>
      </c>
    </row>
    <row r="101" spans="1:72" x14ac:dyDescent="0.35">
      <c r="A101" t="s">
        <v>72</v>
      </c>
      <c r="B101" t="s">
        <v>2107</v>
      </c>
      <c r="C101" t="s">
        <v>74</v>
      </c>
      <c r="D101" t="s">
        <v>74</v>
      </c>
      <c r="E101" t="s">
        <v>74</v>
      </c>
      <c r="F101" t="s">
        <v>2108</v>
      </c>
      <c r="G101" t="s">
        <v>74</v>
      </c>
      <c r="H101" t="s">
        <v>74</v>
      </c>
      <c r="I101" t="s">
        <v>2109</v>
      </c>
      <c r="J101" t="s">
        <v>2110</v>
      </c>
      <c r="K101" t="s">
        <v>74</v>
      </c>
      <c r="L101" t="s">
        <v>74</v>
      </c>
      <c r="M101" t="s">
        <v>78</v>
      </c>
      <c r="N101" t="s">
        <v>108</v>
      </c>
      <c r="O101" t="s">
        <v>74</v>
      </c>
      <c r="P101" t="s">
        <v>74</v>
      </c>
      <c r="Q101" t="s">
        <v>74</v>
      </c>
      <c r="R101" t="s">
        <v>74</v>
      </c>
      <c r="S101" t="s">
        <v>74</v>
      </c>
      <c r="T101" t="s">
        <v>2111</v>
      </c>
      <c r="U101" t="s">
        <v>74</v>
      </c>
      <c r="V101" t="s">
        <v>2112</v>
      </c>
      <c r="W101" t="s">
        <v>2113</v>
      </c>
      <c r="X101" t="s">
        <v>2114</v>
      </c>
      <c r="Y101" t="s">
        <v>2115</v>
      </c>
      <c r="Z101" t="s">
        <v>2116</v>
      </c>
      <c r="AA101" t="s">
        <v>74</v>
      </c>
      <c r="AB101" t="s">
        <v>2117</v>
      </c>
      <c r="AC101" t="s">
        <v>74</v>
      </c>
      <c r="AD101" t="s">
        <v>74</v>
      </c>
      <c r="AE101" t="s">
        <v>74</v>
      </c>
      <c r="AF101" t="s">
        <v>74</v>
      </c>
      <c r="AG101">
        <v>30</v>
      </c>
      <c r="AH101">
        <v>119</v>
      </c>
      <c r="AI101">
        <v>143</v>
      </c>
      <c r="AJ101">
        <v>8</v>
      </c>
      <c r="AK101">
        <v>140</v>
      </c>
      <c r="AL101" t="s">
        <v>226</v>
      </c>
      <c r="AM101" t="s">
        <v>227</v>
      </c>
      <c r="AN101" t="s">
        <v>228</v>
      </c>
      <c r="AO101" t="s">
        <v>2118</v>
      </c>
      <c r="AP101" t="s">
        <v>2119</v>
      </c>
      <c r="AQ101" t="s">
        <v>74</v>
      </c>
      <c r="AR101" t="s">
        <v>2120</v>
      </c>
      <c r="AS101" t="s">
        <v>2121</v>
      </c>
      <c r="AT101" t="s">
        <v>1275</v>
      </c>
      <c r="AU101">
        <v>2020</v>
      </c>
      <c r="AV101">
        <v>23</v>
      </c>
      <c r="AW101">
        <v>6</v>
      </c>
      <c r="AX101" t="s">
        <v>74</v>
      </c>
      <c r="AY101" t="s">
        <v>74</v>
      </c>
      <c r="AZ101" t="s">
        <v>456</v>
      </c>
      <c r="BA101" t="s">
        <v>74</v>
      </c>
      <c r="BB101">
        <v>1069</v>
      </c>
      <c r="BC101">
        <v>1076</v>
      </c>
      <c r="BD101">
        <v>1367549420945341</v>
      </c>
      <c r="BE101" t="s">
        <v>2122</v>
      </c>
      <c r="BF101" t="str">
        <f>HYPERLINK("http://dx.doi.org/10.1177/1367549420945341","http://dx.doi.org/10.1177/1367549420945341")</f>
        <v>http://dx.doi.org/10.1177/1367549420945341</v>
      </c>
      <c r="BG101" t="s">
        <v>74</v>
      </c>
      <c r="BH101" t="s">
        <v>2123</v>
      </c>
      <c r="BI101">
        <v>8</v>
      </c>
      <c r="BJ101" t="s">
        <v>2124</v>
      </c>
      <c r="BK101" t="s">
        <v>2125</v>
      </c>
      <c r="BL101" t="s">
        <v>2124</v>
      </c>
      <c r="BM101" t="s">
        <v>2126</v>
      </c>
      <c r="BN101" t="s">
        <v>74</v>
      </c>
      <c r="BO101" t="s">
        <v>156</v>
      </c>
      <c r="BP101" t="s">
        <v>74</v>
      </c>
      <c r="BQ101" t="s">
        <v>74</v>
      </c>
      <c r="BR101" t="s">
        <v>102</v>
      </c>
      <c r="BS101" t="s">
        <v>2127</v>
      </c>
      <c r="BT101" t="str">
        <f>HYPERLINK("https%3A%2F%2Fwww.webofscience.com%2Fwos%2Fwoscc%2Ffull-record%2FWOS:000554523800001","View Full Record in Web of Science")</f>
        <v>View Full Record in Web of Science</v>
      </c>
    </row>
    <row r="102" spans="1:72" x14ac:dyDescent="0.35">
      <c r="A102" t="s">
        <v>128</v>
      </c>
      <c r="B102" t="s">
        <v>2128</v>
      </c>
      <c r="C102" t="s">
        <v>74</v>
      </c>
      <c r="D102" t="s">
        <v>2129</v>
      </c>
      <c r="E102" t="s">
        <v>74</v>
      </c>
      <c r="F102" t="s">
        <v>2130</v>
      </c>
      <c r="G102" t="s">
        <v>74</v>
      </c>
      <c r="H102" t="s">
        <v>74</v>
      </c>
      <c r="I102" t="s">
        <v>2131</v>
      </c>
      <c r="J102" t="s">
        <v>2132</v>
      </c>
      <c r="K102" t="s">
        <v>2133</v>
      </c>
      <c r="L102" t="s">
        <v>74</v>
      </c>
      <c r="M102" t="s">
        <v>78</v>
      </c>
      <c r="N102" t="s">
        <v>135</v>
      </c>
      <c r="O102" t="s">
        <v>2134</v>
      </c>
      <c r="P102" t="s">
        <v>2135</v>
      </c>
      <c r="Q102" t="s">
        <v>2136</v>
      </c>
      <c r="R102" t="s">
        <v>2137</v>
      </c>
      <c r="S102" t="s">
        <v>74</v>
      </c>
      <c r="T102" t="s">
        <v>2138</v>
      </c>
      <c r="U102" t="s">
        <v>74</v>
      </c>
      <c r="V102" t="s">
        <v>2139</v>
      </c>
      <c r="W102" t="s">
        <v>2140</v>
      </c>
      <c r="X102" t="s">
        <v>2141</v>
      </c>
      <c r="Y102" t="s">
        <v>2142</v>
      </c>
      <c r="Z102" t="s">
        <v>2143</v>
      </c>
      <c r="AA102" t="s">
        <v>2144</v>
      </c>
      <c r="AB102" t="s">
        <v>2145</v>
      </c>
      <c r="AC102" t="s">
        <v>74</v>
      </c>
      <c r="AD102" t="s">
        <v>74</v>
      </c>
      <c r="AE102" t="s">
        <v>74</v>
      </c>
      <c r="AF102" t="s">
        <v>74</v>
      </c>
      <c r="AG102">
        <v>17</v>
      </c>
      <c r="AH102">
        <v>0</v>
      </c>
      <c r="AI102">
        <v>0</v>
      </c>
      <c r="AJ102">
        <v>8</v>
      </c>
      <c r="AK102">
        <v>21</v>
      </c>
      <c r="AL102" t="s">
        <v>758</v>
      </c>
      <c r="AM102" t="s">
        <v>759</v>
      </c>
      <c r="AN102" t="s">
        <v>2146</v>
      </c>
      <c r="AO102" t="s">
        <v>2147</v>
      </c>
      <c r="AP102" t="s">
        <v>2148</v>
      </c>
      <c r="AQ102" t="s">
        <v>2149</v>
      </c>
      <c r="AR102" t="s">
        <v>2150</v>
      </c>
      <c r="AS102" t="s">
        <v>74</v>
      </c>
      <c r="AT102" t="s">
        <v>74</v>
      </c>
      <c r="AU102">
        <v>2023</v>
      </c>
      <c r="AV102" t="s">
        <v>74</v>
      </c>
      <c r="AW102" t="s">
        <v>74</v>
      </c>
      <c r="AX102" t="s">
        <v>74</v>
      </c>
      <c r="AY102" t="s">
        <v>74</v>
      </c>
      <c r="AZ102" t="s">
        <v>74</v>
      </c>
      <c r="BA102" t="s">
        <v>74</v>
      </c>
      <c r="BB102">
        <v>60</v>
      </c>
      <c r="BC102">
        <v>65</v>
      </c>
      <c r="BD102" t="s">
        <v>74</v>
      </c>
      <c r="BE102" t="s">
        <v>2151</v>
      </c>
      <c r="BF102" t="str">
        <f>HYPERLINK("http://dx.doi.org/10.1109/ICEDEG58167.2023.10122011","http://dx.doi.org/10.1109/ICEDEG58167.2023.10122011")</f>
        <v>http://dx.doi.org/10.1109/ICEDEG58167.2023.10122011</v>
      </c>
      <c r="BG102" t="s">
        <v>74</v>
      </c>
      <c r="BH102" t="s">
        <v>74</v>
      </c>
      <c r="BI102">
        <v>6</v>
      </c>
      <c r="BJ102" t="s">
        <v>2152</v>
      </c>
      <c r="BK102" t="s">
        <v>648</v>
      </c>
      <c r="BL102" t="s">
        <v>2153</v>
      </c>
      <c r="BM102" t="s">
        <v>2154</v>
      </c>
      <c r="BN102" t="s">
        <v>74</v>
      </c>
      <c r="BO102" t="s">
        <v>74</v>
      </c>
      <c r="BP102" t="s">
        <v>74</v>
      </c>
      <c r="BQ102" t="s">
        <v>74</v>
      </c>
      <c r="BR102" t="s">
        <v>102</v>
      </c>
      <c r="BS102" t="s">
        <v>2155</v>
      </c>
      <c r="BT102" t="str">
        <f>HYPERLINK("https%3A%2F%2Fwww.webofscience.com%2Fwos%2Fwoscc%2Ffull-record%2FWOS:001008282100006","View Full Record in Web of Science")</f>
        <v>View Full Record in Web of Science</v>
      </c>
    </row>
    <row r="103" spans="1:72" x14ac:dyDescent="0.35">
      <c r="A103" t="s">
        <v>72</v>
      </c>
      <c r="B103" t="s">
        <v>2156</v>
      </c>
      <c r="C103" t="s">
        <v>74</v>
      </c>
      <c r="D103" t="s">
        <v>74</v>
      </c>
      <c r="E103" t="s">
        <v>74</v>
      </c>
      <c r="F103" t="s">
        <v>2157</v>
      </c>
      <c r="G103" t="s">
        <v>74</v>
      </c>
      <c r="H103" t="s">
        <v>74</v>
      </c>
      <c r="I103" t="s">
        <v>2158</v>
      </c>
      <c r="J103" t="s">
        <v>2159</v>
      </c>
      <c r="K103" t="s">
        <v>74</v>
      </c>
      <c r="L103" t="s">
        <v>74</v>
      </c>
      <c r="M103" t="s">
        <v>78</v>
      </c>
      <c r="N103" t="s">
        <v>108</v>
      </c>
      <c r="O103" t="s">
        <v>74</v>
      </c>
      <c r="P103" t="s">
        <v>74</v>
      </c>
      <c r="Q103" t="s">
        <v>74</v>
      </c>
      <c r="R103" t="s">
        <v>74</v>
      </c>
      <c r="S103" t="s">
        <v>74</v>
      </c>
      <c r="T103" t="s">
        <v>2160</v>
      </c>
      <c r="U103" t="s">
        <v>74</v>
      </c>
      <c r="V103" t="s">
        <v>2161</v>
      </c>
      <c r="W103" t="s">
        <v>2162</v>
      </c>
      <c r="X103" t="s">
        <v>2163</v>
      </c>
      <c r="Y103" t="s">
        <v>2164</v>
      </c>
      <c r="Z103" t="s">
        <v>2165</v>
      </c>
      <c r="AA103" t="s">
        <v>74</v>
      </c>
      <c r="AB103" t="s">
        <v>2166</v>
      </c>
      <c r="AC103" t="s">
        <v>2167</v>
      </c>
      <c r="AD103" t="s">
        <v>2167</v>
      </c>
      <c r="AE103" t="s">
        <v>2168</v>
      </c>
      <c r="AF103" t="s">
        <v>74</v>
      </c>
      <c r="AG103">
        <v>17</v>
      </c>
      <c r="AH103">
        <v>2</v>
      </c>
      <c r="AI103">
        <v>2</v>
      </c>
      <c r="AJ103">
        <v>3</v>
      </c>
      <c r="AK103">
        <v>26</v>
      </c>
      <c r="AL103" t="s">
        <v>88</v>
      </c>
      <c r="AM103" t="s">
        <v>89</v>
      </c>
      <c r="AN103" t="s">
        <v>90</v>
      </c>
      <c r="AO103" t="s">
        <v>2169</v>
      </c>
      <c r="AP103" t="s">
        <v>2170</v>
      </c>
      <c r="AQ103" t="s">
        <v>74</v>
      </c>
      <c r="AR103" t="s">
        <v>2171</v>
      </c>
      <c r="AS103" t="s">
        <v>2172</v>
      </c>
      <c r="AT103" t="s">
        <v>2173</v>
      </c>
      <c r="AU103">
        <v>2022</v>
      </c>
      <c r="AV103">
        <v>22</v>
      </c>
      <c r="AW103">
        <v>5</v>
      </c>
      <c r="AX103" t="s">
        <v>74</v>
      </c>
      <c r="AY103" t="s">
        <v>74</v>
      </c>
      <c r="AZ103" t="s">
        <v>74</v>
      </c>
      <c r="BA103" t="s">
        <v>74</v>
      </c>
      <c r="BB103">
        <v>1290</v>
      </c>
      <c r="BC103">
        <v>1294</v>
      </c>
      <c r="BD103" t="s">
        <v>74</v>
      </c>
      <c r="BE103" t="s">
        <v>2174</v>
      </c>
      <c r="BF103" t="str">
        <f>HYPERLINK("http://dx.doi.org/10.1080/14680777.2022.2093251","http://dx.doi.org/10.1080/14680777.2022.2093251")</f>
        <v>http://dx.doi.org/10.1080/14680777.2022.2093251</v>
      </c>
      <c r="BG103" t="s">
        <v>74</v>
      </c>
      <c r="BH103" t="s">
        <v>2175</v>
      </c>
      <c r="BI103">
        <v>5</v>
      </c>
      <c r="BJ103" t="s">
        <v>2176</v>
      </c>
      <c r="BK103" t="s">
        <v>99</v>
      </c>
      <c r="BL103" t="s">
        <v>2176</v>
      </c>
      <c r="BM103" t="s">
        <v>2177</v>
      </c>
      <c r="BN103" t="s">
        <v>74</v>
      </c>
      <c r="BO103" t="s">
        <v>74</v>
      </c>
      <c r="BP103" t="s">
        <v>74</v>
      </c>
      <c r="BQ103" t="s">
        <v>74</v>
      </c>
      <c r="BR103" t="s">
        <v>102</v>
      </c>
      <c r="BS103" t="s">
        <v>2178</v>
      </c>
      <c r="BT103" t="str">
        <f>HYPERLINK("https%3A%2F%2Fwww.webofscience.com%2Fwos%2Fwoscc%2Ffull-record%2FWOS:000830627600001","View Full Record in Web of Science")</f>
        <v>View Full Record in Web of Science</v>
      </c>
    </row>
    <row r="104" spans="1:72" x14ac:dyDescent="0.35">
      <c r="A104" t="s">
        <v>72</v>
      </c>
      <c r="B104" t="s">
        <v>2179</v>
      </c>
      <c r="C104" t="s">
        <v>74</v>
      </c>
      <c r="D104" t="s">
        <v>74</v>
      </c>
      <c r="E104" t="s">
        <v>74</v>
      </c>
      <c r="F104" t="s">
        <v>2180</v>
      </c>
      <c r="G104" t="s">
        <v>74</v>
      </c>
      <c r="H104" t="s">
        <v>74</v>
      </c>
      <c r="I104" t="s">
        <v>2181</v>
      </c>
      <c r="J104" t="s">
        <v>1034</v>
      </c>
      <c r="K104" t="s">
        <v>74</v>
      </c>
      <c r="L104" t="s">
        <v>74</v>
      </c>
      <c r="M104" t="s">
        <v>78</v>
      </c>
      <c r="N104" t="s">
        <v>108</v>
      </c>
      <c r="O104" t="s">
        <v>74</v>
      </c>
      <c r="P104" t="s">
        <v>74</v>
      </c>
      <c r="Q104" t="s">
        <v>74</v>
      </c>
      <c r="R104" t="s">
        <v>74</v>
      </c>
      <c r="S104" t="s">
        <v>74</v>
      </c>
      <c r="T104" t="s">
        <v>2182</v>
      </c>
      <c r="U104" t="s">
        <v>2183</v>
      </c>
      <c r="V104" t="s">
        <v>2184</v>
      </c>
      <c r="W104" t="s">
        <v>2185</v>
      </c>
      <c r="X104" t="s">
        <v>2186</v>
      </c>
      <c r="Y104" t="s">
        <v>2187</v>
      </c>
      <c r="Z104" t="s">
        <v>2188</v>
      </c>
      <c r="AA104" t="s">
        <v>2189</v>
      </c>
      <c r="AB104" t="s">
        <v>2190</v>
      </c>
      <c r="AC104" t="s">
        <v>2191</v>
      </c>
      <c r="AD104" t="s">
        <v>2191</v>
      </c>
      <c r="AE104" t="s">
        <v>2192</v>
      </c>
      <c r="AF104" t="s">
        <v>74</v>
      </c>
      <c r="AG104">
        <v>46</v>
      </c>
      <c r="AH104">
        <v>4</v>
      </c>
      <c r="AI104">
        <v>4</v>
      </c>
      <c r="AJ104">
        <v>24</v>
      </c>
      <c r="AK104">
        <v>63</v>
      </c>
      <c r="AL104" t="s">
        <v>226</v>
      </c>
      <c r="AM104" t="s">
        <v>227</v>
      </c>
      <c r="AN104" t="s">
        <v>228</v>
      </c>
      <c r="AO104" t="s">
        <v>1041</v>
      </c>
      <c r="AP104" t="s">
        <v>1042</v>
      </c>
      <c r="AQ104" t="s">
        <v>74</v>
      </c>
      <c r="AR104" t="s">
        <v>1043</v>
      </c>
      <c r="AS104" t="s">
        <v>1044</v>
      </c>
      <c r="AT104" t="s">
        <v>523</v>
      </c>
      <c r="AU104">
        <v>2023</v>
      </c>
      <c r="AV104">
        <v>45</v>
      </c>
      <c r="AW104">
        <v>8</v>
      </c>
      <c r="AX104" t="s">
        <v>74</v>
      </c>
      <c r="AY104" t="s">
        <v>74</v>
      </c>
      <c r="AZ104" t="s">
        <v>456</v>
      </c>
      <c r="BA104" t="s">
        <v>74</v>
      </c>
      <c r="BB104">
        <v>1550</v>
      </c>
      <c r="BC104">
        <v>1567</v>
      </c>
      <c r="BD104" t="s">
        <v>74</v>
      </c>
      <c r="BE104" t="s">
        <v>2193</v>
      </c>
      <c r="BF104" t="str">
        <f>HYPERLINK("http://dx.doi.org/10.1177/01634437231202167","http://dx.doi.org/10.1177/01634437231202167")</f>
        <v>http://dx.doi.org/10.1177/01634437231202167</v>
      </c>
      <c r="BG104" t="s">
        <v>74</v>
      </c>
      <c r="BH104" t="s">
        <v>207</v>
      </c>
      <c r="BI104">
        <v>18</v>
      </c>
      <c r="BJ104" t="s">
        <v>1047</v>
      </c>
      <c r="BK104" t="s">
        <v>99</v>
      </c>
      <c r="BL104" t="s">
        <v>1047</v>
      </c>
      <c r="BM104" t="s">
        <v>1048</v>
      </c>
      <c r="BN104" t="s">
        <v>74</v>
      </c>
      <c r="BO104" t="s">
        <v>2194</v>
      </c>
      <c r="BP104" t="s">
        <v>74</v>
      </c>
      <c r="BQ104" t="s">
        <v>74</v>
      </c>
      <c r="BR104" t="s">
        <v>102</v>
      </c>
      <c r="BS104" t="s">
        <v>2195</v>
      </c>
      <c r="BT104" t="str">
        <f>HYPERLINK("https%3A%2F%2Fwww.webofscience.com%2Fwos%2Fwoscc%2Ffull-record%2FWOS:001079725100001","View Full Record in Web of Science")</f>
        <v>View Full Record in Web of Science</v>
      </c>
    </row>
    <row r="105" spans="1:72" x14ac:dyDescent="0.35">
      <c r="A105" t="s">
        <v>72</v>
      </c>
      <c r="B105" t="s">
        <v>2196</v>
      </c>
      <c r="C105" t="s">
        <v>74</v>
      </c>
      <c r="D105" t="s">
        <v>74</v>
      </c>
      <c r="E105" t="s">
        <v>74</v>
      </c>
      <c r="F105" t="s">
        <v>2197</v>
      </c>
      <c r="G105" t="s">
        <v>74</v>
      </c>
      <c r="H105" t="s">
        <v>74</v>
      </c>
      <c r="I105" t="s">
        <v>2198</v>
      </c>
      <c r="J105" t="s">
        <v>2199</v>
      </c>
      <c r="K105" t="s">
        <v>74</v>
      </c>
      <c r="L105" t="s">
        <v>74</v>
      </c>
      <c r="M105" t="s">
        <v>78</v>
      </c>
      <c r="N105" t="s">
        <v>108</v>
      </c>
      <c r="O105" t="s">
        <v>74</v>
      </c>
      <c r="P105" t="s">
        <v>74</v>
      </c>
      <c r="Q105" t="s">
        <v>74</v>
      </c>
      <c r="R105" t="s">
        <v>74</v>
      </c>
      <c r="S105" t="s">
        <v>74</v>
      </c>
      <c r="T105" t="s">
        <v>2200</v>
      </c>
      <c r="U105" t="s">
        <v>74</v>
      </c>
      <c r="V105" t="s">
        <v>2201</v>
      </c>
      <c r="W105" t="s">
        <v>2202</v>
      </c>
      <c r="X105" t="s">
        <v>2203</v>
      </c>
      <c r="Y105" t="s">
        <v>2204</v>
      </c>
      <c r="Z105" t="s">
        <v>2205</v>
      </c>
      <c r="AA105" t="s">
        <v>74</v>
      </c>
      <c r="AB105" t="s">
        <v>74</v>
      </c>
      <c r="AC105" t="s">
        <v>74</v>
      </c>
      <c r="AD105" t="s">
        <v>74</v>
      </c>
      <c r="AE105" t="s">
        <v>74</v>
      </c>
      <c r="AF105" t="s">
        <v>74</v>
      </c>
      <c r="AG105">
        <v>28</v>
      </c>
      <c r="AH105">
        <v>0</v>
      </c>
      <c r="AI105">
        <v>0</v>
      </c>
      <c r="AJ105">
        <v>2</v>
      </c>
      <c r="AK105">
        <v>9</v>
      </c>
      <c r="AL105" t="s">
        <v>2206</v>
      </c>
      <c r="AM105" t="s">
        <v>2207</v>
      </c>
      <c r="AN105" t="s">
        <v>2208</v>
      </c>
      <c r="AO105" t="s">
        <v>2209</v>
      </c>
      <c r="AP105" t="s">
        <v>2210</v>
      </c>
      <c r="AQ105" t="s">
        <v>74</v>
      </c>
      <c r="AR105" t="s">
        <v>2211</v>
      </c>
      <c r="AS105" t="s">
        <v>2212</v>
      </c>
      <c r="AT105" t="s">
        <v>2213</v>
      </c>
      <c r="AU105">
        <v>2023</v>
      </c>
      <c r="AV105">
        <v>14</v>
      </c>
      <c r="AW105">
        <v>4</v>
      </c>
      <c r="AX105" t="s">
        <v>74</v>
      </c>
      <c r="AY105" t="s">
        <v>74</v>
      </c>
      <c r="AZ105" t="s">
        <v>74</v>
      </c>
      <c r="BA105" t="s">
        <v>74</v>
      </c>
      <c r="BB105">
        <v>49</v>
      </c>
      <c r="BC105">
        <v>54</v>
      </c>
      <c r="BD105" t="s">
        <v>74</v>
      </c>
      <c r="BE105" t="s">
        <v>2214</v>
      </c>
      <c r="BF105" t="str">
        <f>HYPERLINK("http://dx.doi.org/10.51847/GJXdvZJz7N","http://dx.doi.org/10.51847/GJXdvZJz7N")</f>
        <v>http://dx.doi.org/10.51847/GJXdvZJz7N</v>
      </c>
      <c r="BG105" t="s">
        <v>74</v>
      </c>
      <c r="BH105" t="s">
        <v>74</v>
      </c>
      <c r="BI105">
        <v>6</v>
      </c>
      <c r="BJ105" t="s">
        <v>2215</v>
      </c>
      <c r="BK105" t="s">
        <v>125</v>
      </c>
      <c r="BL105" t="s">
        <v>2215</v>
      </c>
      <c r="BM105" t="s">
        <v>2216</v>
      </c>
      <c r="BN105" t="s">
        <v>74</v>
      </c>
      <c r="BO105" t="s">
        <v>235</v>
      </c>
      <c r="BP105" t="s">
        <v>74</v>
      </c>
      <c r="BQ105" t="s">
        <v>74</v>
      </c>
      <c r="BR105" t="s">
        <v>102</v>
      </c>
      <c r="BS105" t="s">
        <v>2217</v>
      </c>
      <c r="BT105" t="str">
        <f>HYPERLINK("https%3A%2F%2Fwww.webofscience.com%2Fwos%2Fwoscc%2Ffull-record%2FWOS:001112074400007","View Full Record in Web of Science")</f>
        <v>View Full Record in Web of Science</v>
      </c>
    </row>
    <row r="106" spans="1:72" x14ac:dyDescent="0.35">
      <c r="A106" t="s">
        <v>72</v>
      </c>
      <c r="B106" t="s">
        <v>2218</v>
      </c>
      <c r="C106" t="s">
        <v>74</v>
      </c>
      <c r="D106" t="s">
        <v>74</v>
      </c>
      <c r="E106" t="s">
        <v>74</v>
      </c>
      <c r="F106" t="s">
        <v>2219</v>
      </c>
      <c r="G106" t="s">
        <v>74</v>
      </c>
      <c r="H106" t="s">
        <v>74</v>
      </c>
      <c r="I106" t="s">
        <v>2220</v>
      </c>
      <c r="J106" t="s">
        <v>2221</v>
      </c>
      <c r="K106" t="s">
        <v>74</v>
      </c>
      <c r="L106" t="s">
        <v>74</v>
      </c>
      <c r="M106" t="s">
        <v>78</v>
      </c>
      <c r="N106" t="s">
        <v>108</v>
      </c>
      <c r="O106" t="s">
        <v>74</v>
      </c>
      <c r="P106" t="s">
        <v>74</v>
      </c>
      <c r="Q106" t="s">
        <v>74</v>
      </c>
      <c r="R106" t="s">
        <v>74</v>
      </c>
      <c r="S106" t="s">
        <v>74</v>
      </c>
      <c r="T106" t="s">
        <v>2222</v>
      </c>
      <c r="U106" t="s">
        <v>2223</v>
      </c>
      <c r="V106" t="s">
        <v>2224</v>
      </c>
      <c r="W106" t="s">
        <v>2225</v>
      </c>
      <c r="X106" t="s">
        <v>2226</v>
      </c>
      <c r="Y106" t="s">
        <v>2227</v>
      </c>
      <c r="Z106" t="s">
        <v>2228</v>
      </c>
      <c r="AA106" t="s">
        <v>74</v>
      </c>
      <c r="AB106" t="s">
        <v>2229</v>
      </c>
      <c r="AC106" t="s">
        <v>74</v>
      </c>
      <c r="AD106" t="s">
        <v>74</v>
      </c>
      <c r="AE106" t="s">
        <v>74</v>
      </c>
      <c r="AF106" t="s">
        <v>74</v>
      </c>
      <c r="AG106">
        <v>46</v>
      </c>
      <c r="AH106">
        <v>8</v>
      </c>
      <c r="AI106">
        <v>9</v>
      </c>
      <c r="AJ106">
        <v>4</v>
      </c>
      <c r="AK106">
        <v>62</v>
      </c>
      <c r="AL106" t="s">
        <v>870</v>
      </c>
      <c r="AM106" t="s">
        <v>871</v>
      </c>
      <c r="AN106" t="s">
        <v>872</v>
      </c>
      <c r="AO106" t="s">
        <v>2230</v>
      </c>
      <c r="AP106" t="s">
        <v>2231</v>
      </c>
      <c r="AQ106" t="s">
        <v>74</v>
      </c>
      <c r="AR106" t="s">
        <v>2232</v>
      </c>
      <c r="AS106" t="s">
        <v>2233</v>
      </c>
      <c r="AT106" t="s">
        <v>2234</v>
      </c>
      <c r="AU106">
        <v>2022</v>
      </c>
      <c r="AV106">
        <v>18</v>
      </c>
      <c r="AW106">
        <v>2</v>
      </c>
      <c r="AX106" t="s">
        <v>74</v>
      </c>
      <c r="AY106" t="s">
        <v>74</v>
      </c>
      <c r="AZ106" t="s">
        <v>74</v>
      </c>
      <c r="BA106" t="s">
        <v>74</v>
      </c>
      <c r="BB106">
        <v>209</v>
      </c>
      <c r="BC106">
        <v>225</v>
      </c>
      <c r="BD106" t="s">
        <v>74</v>
      </c>
      <c r="BE106" t="s">
        <v>2235</v>
      </c>
      <c r="BF106" t="str">
        <f>HYPERLINK("http://dx.doi.org/10.1386/eta_00095_1","http://dx.doi.org/10.1386/eta_00095_1")</f>
        <v>http://dx.doi.org/10.1386/eta_00095_1</v>
      </c>
      <c r="BG106" t="s">
        <v>74</v>
      </c>
      <c r="BH106" t="s">
        <v>74</v>
      </c>
      <c r="BI106">
        <v>17</v>
      </c>
      <c r="BJ106" t="s">
        <v>787</v>
      </c>
      <c r="BK106" t="s">
        <v>125</v>
      </c>
      <c r="BL106" t="s">
        <v>787</v>
      </c>
      <c r="BM106" t="s">
        <v>2236</v>
      </c>
      <c r="BN106" t="s">
        <v>74</v>
      </c>
      <c r="BO106" t="s">
        <v>74</v>
      </c>
      <c r="BP106" t="s">
        <v>74</v>
      </c>
      <c r="BQ106" t="s">
        <v>74</v>
      </c>
      <c r="BR106" t="s">
        <v>102</v>
      </c>
      <c r="BS106" t="s">
        <v>2237</v>
      </c>
      <c r="BT106" t="str">
        <f>HYPERLINK("https%3A%2F%2Fwww.webofscience.com%2Fwos%2Fwoscc%2Ffull-record%2FWOS:000806884700006","View Full Record in Web of Science")</f>
        <v>View Full Record in Web of Science</v>
      </c>
    </row>
    <row r="107" spans="1:72" x14ac:dyDescent="0.35">
      <c r="A107" t="s">
        <v>72</v>
      </c>
      <c r="B107" t="s">
        <v>2238</v>
      </c>
      <c r="C107" t="s">
        <v>74</v>
      </c>
      <c r="D107" t="s">
        <v>74</v>
      </c>
      <c r="E107" t="s">
        <v>74</v>
      </c>
      <c r="F107" t="s">
        <v>2239</v>
      </c>
      <c r="G107" t="s">
        <v>74</v>
      </c>
      <c r="H107" t="s">
        <v>74</v>
      </c>
      <c r="I107" t="s">
        <v>2240</v>
      </c>
      <c r="J107" t="s">
        <v>2241</v>
      </c>
      <c r="K107" t="s">
        <v>74</v>
      </c>
      <c r="L107" t="s">
        <v>74</v>
      </c>
      <c r="M107" t="s">
        <v>78</v>
      </c>
      <c r="N107" t="s">
        <v>52</v>
      </c>
      <c r="O107" t="s">
        <v>2242</v>
      </c>
      <c r="P107" t="s">
        <v>2243</v>
      </c>
      <c r="Q107" t="s">
        <v>2244</v>
      </c>
      <c r="R107" t="s">
        <v>2245</v>
      </c>
      <c r="S107" t="s">
        <v>74</v>
      </c>
      <c r="T107" t="s">
        <v>74</v>
      </c>
      <c r="U107" t="s">
        <v>74</v>
      </c>
      <c r="V107" t="s">
        <v>74</v>
      </c>
      <c r="W107" t="s">
        <v>2246</v>
      </c>
      <c r="X107" t="s">
        <v>2247</v>
      </c>
      <c r="Y107" t="s">
        <v>74</v>
      </c>
      <c r="Z107" t="s">
        <v>74</v>
      </c>
      <c r="AA107" t="s">
        <v>74</v>
      </c>
      <c r="AB107" t="s">
        <v>74</v>
      </c>
      <c r="AC107" t="s">
        <v>74</v>
      </c>
      <c r="AD107" t="s">
        <v>74</v>
      </c>
      <c r="AE107" t="s">
        <v>74</v>
      </c>
      <c r="AF107" t="s">
        <v>74</v>
      </c>
      <c r="AG107">
        <v>0</v>
      </c>
      <c r="AH107">
        <v>0</v>
      </c>
      <c r="AI107">
        <v>0</v>
      </c>
      <c r="AJ107">
        <v>0</v>
      </c>
      <c r="AK107">
        <v>0</v>
      </c>
      <c r="AL107" t="s">
        <v>2248</v>
      </c>
      <c r="AM107" t="s">
        <v>2249</v>
      </c>
      <c r="AN107" t="s">
        <v>2250</v>
      </c>
      <c r="AO107" t="s">
        <v>2251</v>
      </c>
      <c r="AP107" t="s">
        <v>2252</v>
      </c>
      <c r="AQ107" t="s">
        <v>74</v>
      </c>
      <c r="AR107" t="s">
        <v>2241</v>
      </c>
      <c r="AS107" t="s">
        <v>2253</v>
      </c>
      <c r="AT107" t="s">
        <v>745</v>
      </c>
      <c r="AU107">
        <v>2024</v>
      </c>
      <c r="AV107">
        <v>47</v>
      </c>
      <c r="AW107" t="s">
        <v>74</v>
      </c>
      <c r="AX107" t="s">
        <v>74</v>
      </c>
      <c r="AY107">
        <v>1</v>
      </c>
      <c r="AZ107" t="s">
        <v>74</v>
      </c>
      <c r="BA107">
        <v>1093</v>
      </c>
      <c r="BB107" t="s">
        <v>74</v>
      </c>
      <c r="BC107" t="s">
        <v>74</v>
      </c>
      <c r="BD107" t="s">
        <v>2254</v>
      </c>
      <c r="BE107" t="s">
        <v>2255</v>
      </c>
      <c r="BF107" t="str">
        <f>HYPERLINK("http://dx.doi.org/10.1093/sleep/zsae067.01093","http://dx.doi.org/10.1093/sleep/zsae067.01093")</f>
        <v>http://dx.doi.org/10.1093/sleep/zsae067.01093</v>
      </c>
      <c r="BG107" t="s">
        <v>74</v>
      </c>
      <c r="BH107" t="s">
        <v>74</v>
      </c>
      <c r="BI107">
        <v>1</v>
      </c>
      <c r="BJ107" t="s">
        <v>2256</v>
      </c>
      <c r="BK107" t="s">
        <v>2257</v>
      </c>
      <c r="BL107" t="s">
        <v>2258</v>
      </c>
      <c r="BM107" t="s">
        <v>2259</v>
      </c>
      <c r="BN107" t="s">
        <v>74</v>
      </c>
      <c r="BO107" t="s">
        <v>74</v>
      </c>
      <c r="BP107" t="s">
        <v>74</v>
      </c>
      <c r="BQ107" t="s">
        <v>74</v>
      </c>
      <c r="BR107" t="s">
        <v>102</v>
      </c>
      <c r="BS107" t="s">
        <v>2260</v>
      </c>
      <c r="BT107" t="str">
        <f>HYPERLINK("https%3A%2F%2Fwww.webofscience.com%2Fwos%2Fwoscc%2Ffull-record%2FWOS:001262172000202","View Full Record in Web of Science")</f>
        <v>View Full Record in Web of Science</v>
      </c>
    </row>
    <row r="108" spans="1:72" x14ac:dyDescent="0.35">
      <c r="A108" t="s">
        <v>72</v>
      </c>
      <c r="B108" t="s">
        <v>2261</v>
      </c>
      <c r="C108" t="s">
        <v>74</v>
      </c>
      <c r="D108" t="s">
        <v>74</v>
      </c>
      <c r="E108" t="s">
        <v>74</v>
      </c>
      <c r="F108" t="s">
        <v>2262</v>
      </c>
      <c r="G108" t="s">
        <v>74</v>
      </c>
      <c r="H108" t="s">
        <v>74</v>
      </c>
      <c r="I108" t="s">
        <v>2263</v>
      </c>
      <c r="J108" t="s">
        <v>1473</v>
      </c>
      <c r="K108" t="s">
        <v>74</v>
      </c>
      <c r="L108" t="s">
        <v>74</v>
      </c>
      <c r="M108" t="s">
        <v>78</v>
      </c>
      <c r="N108" t="s">
        <v>108</v>
      </c>
      <c r="O108" t="s">
        <v>74</v>
      </c>
      <c r="P108" t="s">
        <v>74</v>
      </c>
      <c r="Q108" t="s">
        <v>74</v>
      </c>
      <c r="R108" t="s">
        <v>74</v>
      </c>
      <c r="S108" t="s">
        <v>74</v>
      </c>
      <c r="T108" t="s">
        <v>2264</v>
      </c>
      <c r="U108" t="s">
        <v>74</v>
      </c>
      <c r="V108" t="s">
        <v>2265</v>
      </c>
      <c r="W108" t="s">
        <v>2266</v>
      </c>
      <c r="X108" t="s">
        <v>2267</v>
      </c>
      <c r="Y108" t="s">
        <v>2268</v>
      </c>
      <c r="Z108" t="s">
        <v>2269</v>
      </c>
      <c r="AA108" t="s">
        <v>74</v>
      </c>
      <c r="AB108" t="s">
        <v>2270</v>
      </c>
      <c r="AC108" t="s">
        <v>74</v>
      </c>
      <c r="AD108" t="s">
        <v>74</v>
      </c>
      <c r="AE108" t="s">
        <v>74</v>
      </c>
      <c r="AF108" t="s">
        <v>74</v>
      </c>
      <c r="AG108">
        <v>6</v>
      </c>
      <c r="AH108">
        <v>69</v>
      </c>
      <c r="AI108">
        <v>71</v>
      </c>
      <c r="AJ108">
        <v>6</v>
      </c>
      <c r="AK108">
        <v>93</v>
      </c>
      <c r="AL108" t="s">
        <v>251</v>
      </c>
      <c r="AM108" t="s">
        <v>252</v>
      </c>
      <c r="AN108" t="s">
        <v>253</v>
      </c>
      <c r="AO108" t="s">
        <v>1480</v>
      </c>
      <c r="AP108" t="s">
        <v>1481</v>
      </c>
      <c r="AQ108" t="s">
        <v>74</v>
      </c>
      <c r="AR108" t="s">
        <v>1482</v>
      </c>
      <c r="AS108" t="s">
        <v>1483</v>
      </c>
      <c r="AT108" t="s">
        <v>232</v>
      </c>
      <c r="AU108">
        <v>2021</v>
      </c>
      <c r="AV108">
        <v>38</v>
      </c>
      <c r="AW108">
        <v>1</v>
      </c>
      <c r="AX108" t="s">
        <v>74</v>
      </c>
      <c r="AY108" t="s">
        <v>74</v>
      </c>
      <c r="AZ108" t="s">
        <v>74</v>
      </c>
      <c r="BA108" t="s">
        <v>74</v>
      </c>
      <c r="BB108">
        <v>336</v>
      </c>
      <c r="BC108">
        <v>338</v>
      </c>
      <c r="BD108" t="s">
        <v>74</v>
      </c>
      <c r="BE108" t="s">
        <v>2271</v>
      </c>
      <c r="BF108" t="str">
        <f>HYPERLINK("http://dx.doi.org/10.1111/pde.14471","http://dx.doi.org/10.1111/pde.14471")</f>
        <v>http://dx.doi.org/10.1111/pde.14471</v>
      </c>
      <c r="BG108" t="s">
        <v>74</v>
      </c>
      <c r="BH108" t="s">
        <v>2272</v>
      </c>
      <c r="BI108">
        <v>3</v>
      </c>
      <c r="BJ108" t="s">
        <v>1486</v>
      </c>
      <c r="BK108" t="s">
        <v>209</v>
      </c>
      <c r="BL108" t="s">
        <v>1486</v>
      </c>
      <c r="BM108" t="s">
        <v>2273</v>
      </c>
      <c r="BN108">
        <v>33247602</v>
      </c>
      <c r="BO108" t="s">
        <v>74</v>
      </c>
      <c r="BP108" t="s">
        <v>74</v>
      </c>
      <c r="BQ108" t="s">
        <v>74</v>
      </c>
      <c r="BR108" t="s">
        <v>102</v>
      </c>
      <c r="BS108" t="s">
        <v>2274</v>
      </c>
      <c r="BT108" t="str">
        <f>HYPERLINK("https%3A%2F%2Fwww.webofscience.com%2Fwos%2Fwoscc%2Ffull-record%2FWOS:000593029600001","View Full Record in Web of Science")</f>
        <v>View Full Record in Web of Science</v>
      </c>
    </row>
    <row r="109" spans="1:72" x14ac:dyDescent="0.35">
      <c r="A109" t="s">
        <v>72</v>
      </c>
      <c r="B109" t="s">
        <v>2275</v>
      </c>
      <c r="C109" t="s">
        <v>74</v>
      </c>
      <c r="D109" t="s">
        <v>74</v>
      </c>
      <c r="E109" t="s">
        <v>74</v>
      </c>
      <c r="F109" t="s">
        <v>2276</v>
      </c>
      <c r="G109" t="s">
        <v>74</v>
      </c>
      <c r="H109" t="s">
        <v>74</v>
      </c>
      <c r="I109" t="s">
        <v>2277</v>
      </c>
      <c r="J109" t="s">
        <v>2278</v>
      </c>
      <c r="K109" t="s">
        <v>74</v>
      </c>
      <c r="L109" t="s">
        <v>74</v>
      </c>
      <c r="M109" t="s">
        <v>78</v>
      </c>
      <c r="N109" t="s">
        <v>108</v>
      </c>
      <c r="O109" t="s">
        <v>74</v>
      </c>
      <c r="P109" t="s">
        <v>74</v>
      </c>
      <c r="Q109" t="s">
        <v>74</v>
      </c>
      <c r="R109" t="s">
        <v>74</v>
      </c>
      <c r="S109" t="s">
        <v>74</v>
      </c>
      <c r="T109" t="s">
        <v>2279</v>
      </c>
      <c r="U109" t="s">
        <v>2280</v>
      </c>
      <c r="V109" t="s">
        <v>2281</v>
      </c>
      <c r="W109" t="s">
        <v>2282</v>
      </c>
      <c r="X109" t="s">
        <v>2283</v>
      </c>
      <c r="Y109" t="s">
        <v>2284</v>
      </c>
      <c r="Z109" t="s">
        <v>2285</v>
      </c>
      <c r="AA109" t="s">
        <v>2286</v>
      </c>
      <c r="AB109" t="s">
        <v>74</v>
      </c>
      <c r="AC109" t="s">
        <v>2287</v>
      </c>
      <c r="AD109" t="s">
        <v>2288</v>
      </c>
      <c r="AE109" t="s">
        <v>2289</v>
      </c>
      <c r="AF109" t="s">
        <v>74</v>
      </c>
      <c r="AG109">
        <v>80</v>
      </c>
      <c r="AH109">
        <v>5</v>
      </c>
      <c r="AI109">
        <v>5</v>
      </c>
      <c r="AJ109">
        <v>2</v>
      </c>
      <c r="AK109">
        <v>34</v>
      </c>
      <c r="AL109" t="s">
        <v>2290</v>
      </c>
      <c r="AM109" t="s">
        <v>2291</v>
      </c>
      <c r="AN109" t="s">
        <v>2292</v>
      </c>
      <c r="AO109" t="s">
        <v>2293</v>
      </c>
      <c r="AP109" t="s">
        <v>74</v>
      </c>
      <c r="AQ109" t="s">
        <v>74</v>
      </c>
      <c r="AR109" t="s">
        <v>2294</v>
      </c>
      <c r="AS109" t="s">
        <v>2295</v>
      </c>
      <c r="AT109" t="s">
        <v>2296</v>
      </c>
      <c r="AU109">
        <v>2022</v>
      </c>
      <c r="AV109">
        <v>9</v>
      </c>
      <c r="AW109">
        <v>1</v>
      </c>
      <c r="AX109" t="s">
        <v>74</v>
      </c>
      <c r="AY109" t="s">
        <v>74</v>
      </c>
      <c r="AZ109" t="s">
        <v>74</v>
      </c>
      <c r="BA109" t="s">
        <v>74</v>
      </c>
      <c r="BB109" t="s">
        <v>74</v>
      </c>
      <c r="BC109" t="s">
        <v>74</v>
      </c>
      <c r="BD109">
        <v>2148498</v>
      </c>
      <c r="BE109" t="s">
        <v>2297</v>
      </c>
      <c r="BF109" t="str">
        <f>HYPERLINK("http://dx.doi.org/10.1080/2331186X.2022.2148498","http://dx.doi.org/10.1080/2331186X.2022.2148498")</f>
        <v>http://dx.doi.org/10.1080/2331186X.2022.2148498</v>
      </c>
      <c r="BG109" t="s">
        <v>74</v>
      </c>
      <c r="BH109" t="s">
        <v>74</v>
      </c>
      <c r="BI109">
        <v>20</v>
      </c>
      <c r="BJ109" t="s">
        <v>787</v>
      </c>
      <c r="BK109" t="s">
        <v>125</v>
      </c>
      <c r="BL109" t="s">
        <v>787</v>
      </c>
      <c r="BM109" t="s">
        <v>2298</v>
      </c>
      <c r="BN109" t="s">
        <v>74</v>
      </c>
      <c r="BO109" t="s">
        <v>235</v>
      </c>
      <c r="BP109" t="s">
        <v>74</v>
      </c>
      <c r="BQ109" t="s">
        <v>74</v>
      </c>
      <c r="BR109" t="s">
        <v>102</v>
      </c>
      <c r="BS109" t="s">
        <v>2299</v>
      </c>
      <c r="BT109" t="str">
        <f>HYPERLINK("https%3A%2F%2Fwww.webofscience.com%2Fwos%2Fwoscc%2Ffull-record%2FWOS:000889096800001","View Full Record in Web of Science")</f>
        <v>View Full Record in Web of Science</v>
      </c>
    </row>
    <row r="110" spans="1:72" x14ac:dyDescent="0.35">
      <c r="A110" t="s">
        <v>72</v>
      </c>
      <c r="B110" t="s">
        <v>2300</v>
      </c>
      <c r="C110" t="s">
        <v>74</v>
      </c>
      <c r="D110" t="s">
        <v>74</v>
      </c>
      <c r="E110" t="s">
        <v>74</v>
      </c>
      <c r="F110" t="s">
        <v>2301</v>
      </c>
      <c r="G110" t="s">
        <v>74</v>
      </c>
      <c r="H110" t="s">
        <v>74</v>
      </c>
      <c r="I110" t="s">
        <v>2302</v>
      </c>
      <c r="J110" t="s">
        <v>401</v>
      </c>
      <c r="K110" t="s">
        <v>74</v>
      </c>
      <c r="L110" t="s">
        <v>74</v>
      </c>
      <c r="M110" t="s">
        <v>78</v>
      </c>
      <c r="N110" t="s">
        <v>108</v>
      </c>
      <c r="O110" t="s">
        <v>74</v>
      </c>
      <c r="P110" t="s">
        <v>74</v>
      </c>
      <c r="Q110" t="s">
        <v>74</v>
      </c>
      <c r="R110" t="s">
        <v>74</v>
      </c>
      <c r="S110" t="s">
        <v>74</v>
      </c>
      <c r="T110" t="s">
        <v>2303</v>
      </c>
      <c r="U110" t="s">
        <v>2304</v>
      </c>
      <c r="V110" t="s">
        <v>2305</v>
      </c>
      <c r="W110" t="s">
        <v>2306</v>
      </c>
      <c r="X110" t="s">
        <v>2307</v>
      </c>
      <c r="Y110" t="s">
        <v>2308</v>
      </c>
      <c r="Z110" t="s">
        <v>2309</v>
      </c>
      <c r="AA110" t="s">
        <v>74</v>
      </c>
      <c r="AB110" t="s">
        <v>74</v>
      </c>
      <c r="AC110" t="s">
        <v>74</v>
      </c>
      <c r="AD110" t="s">
        <v>74</v>
      </c>
      <c r="AE110" t="s">
        <v>74</v>
      </c>
      <c r="AF110" t="s">
        <v>74</v>
      </c>
      <c r="AG110">
        <v>65</v>
      </c>
      <c r="AH110">
        <v>12</v>
      </c>
      <c r="AI110">
        <v>12</v>
      </c>
      <c r="AJ110">
        <v>6</v>
      </c>
      <c r="AK110">
        <v>23</v>
      </c>
      <c r="AL110" t="s">
        <v>409</v>
      </c>
      <c r="AM110" t="s">
        <v>410</v>
      </c>
      <c r="AN110" t="s">
        <v>411</v>
      </c>
      <c r="AO110" t="s">
        <v>412</v>
      </c>
      <c r="AP110" t="s">
        <v>74</v>
      </c>
      <c r="AQ110" t="s">
        <v>74</v>
      </c>
      <c r="AR110" t="s">
        <v>413</v>
      </c>
      <c r="AS110" t="s">
        <v>414</v>
      </c>
      <c r="AT110" t="s">
        <v>74</v>
      </c>
      <c r="AU110">
        <v>2022</v>
      </c>
      <c r="AV110">
        <v>16</v>
      </c>
      <c r="AW110" t="s">
        <v>74</v>
      </c>
      <c r="AX110" t="s">
        <v>74</v>
      </c>
      <c r="AY110" t="s">
        <v>74</v>
      </c>
      <c r="AZ110" t="s">
        <v>74</v>
      </c>
      <c r="BA110" t="s">
        <v>74</v>
      </c>
      <c r="BB110">
        <v>1309</v>
      </c>
      <c r="BC110">
        <v>1331</v>
      </c>
      <c r="BD110" t="s">
        <v>74</v>
      </c>
      <c r="BE110" t="s">
        <v>74</v>
      </c>
      <c r="BF110" t="s">
        <v>74</v>
      </c>
      <c r="BG110" t="s">
        <v>74</v>
      </c>
      <c r="BH110" t="s">
        <v>74</v>
      </c>
      <c r="BI110">
        <v>23</v>
      </c>
      <c r="BJ110" t="s">
        <v>124</v>
      </c>
      <c r="BK110" t="s">
        <v>99</v>
      </c>
      <c r="BL110" t="s">
        <v>124</v>
      </c>
      <c r="BM110" t="s">
        <v>2310</v>
      </c>
      <c r="BN110" t="s">
        <v>74</v>
      </c>
      <c r="BO110" t="s">
        <v>74</v>
      </c>
      <c r="BP110" t="s">
        <v>74</v>
      </c>
      <c r="BQ110" t="s">
        <v>74</v>
      </c>
      <c r="BR110" t="s">
        <v>102</v>
      </c>
      <c r="BS110" t="s">
        <v>2311</v>
      </c>
      <c r="BT110" t="str">
        <f>HYPERLINK("https%3A%2F%2Fwww.webofscience.com%2Fwos%2Fwoscc%2Ffull-record%2FWOS:000789589100078","View Full Record in Web of Science")</f>
        <v>View Full Record in Web of Science</v>
      </c>
    </row>
    <row r="111" spans="1:72" x14ac:dyDescent="0.35">
      <c r="A111" t="s">
        <v>72</v>
      </c>
      <c r="B111" t="s">
        <v>2312</v>
      </c>
      <c r="C111" t="s">
        <v>74</v>
      </c>
      <c r="D111" t="s">
        <v>74</v>
      </c>
      <c r="E111" t="s">
        <v>74</v>
      </c>
      <c r="F111" t="s">
        <v>2313</v>
      </c>
      <c r="G111" t="s">
        <v>74</v>
      </c>
      <c r="H111" t="s">
        <v>74</v>
      </c>
      <c r="I111" t="s">
        <v>2314</v>
      </c>
      <c r="J111" t="s">
        <v>1705</v>
      </c>
      <c r="K111" t="s">
        <v>74</v>
      </c>
      <c r="L111" t="s">
        <v>74</v>
      </c>
      <c r="M111" t="s">
        <v>78</v>
      </c>
      <c r="N111" t="s">
        <v>108</v>
      </c>
      <c r="O111" t="s">
        <v>74</v>
      </c>
      <c r="P111" t="s">
        <v>74</v>
      </c>
      <c r="Q111" t="s">
        <v>74</v>
      </c>
      <c r="R111" t="s">
        <v>74</v>
      </c>
      <c r="S111" t="s">
        <v>74</v>
      </c>
      <c r="T111" t="s">
        <v>2315</v>
      </c>
      <c r="U111" t="s">
        <v>2316</v>
      </c>
      <c r="V111" t="s">
        <v>2317</v>
      </c>
      <c r="W111" t="s">
        <v>2318</v>
      </c>
      <c r="X111" t="s">
        <v>2319</v>
      </c>
      <c r="Y111" t="s">
        <v>2320</v>
      </c>
      <c r="Z111" t="s">
        <v>2321</v>
      </c>
      <c r="AA111" t="s">
        <v>2322</v>
      </c>
      <c r="AB111" t="s">
        <v>74</v>
      </c>
      <c r="AC111" t="s">
        <v>74</v>
      </c>
      <c r="AD111" t="s">
        <v>74</v>
      </c>
      <c r="AE111" t="s">
        <v>74</v>
      </c>
      <c r="AF111" t="s">
        <v>74</v>
      </c>
      <c r="AG111">
        <v>93</v>
      </c>
      <c r="AH111">
        <v>15</v>
      </c>
      <c r="AI111">
        <v>18</v>
      </c>
      <c r="AJ111">
        <v>23</v>
      </c>
      <c r="AK111">
        <v>23</v>
      </c>
      <c r="AL111" t="s">
        <v>1129</v>
      </c>
      <c r="AM111" t="s">
        <v>89</v>
      </c>
      <c r="AN111" t="s">
        <v>1130</v>
      </c>
      <c r="AO111" t="s">
        <v>1715</v>
      </c>
      <c r="AP111" t="s">
        <v>1716</v>
      </c>
      <c r="AQ111" t="s">
        <v>74</v>
      </c>
      <c r="AR111" t="s">
        <v>1717</v>
      </c>
      <c r="AS111" t="s">
        <v>1718</v>
      </c>
      <c r="AT111" t="s">
        <v>2323</v>
      </c>
      <c r="AU111">
        <v>2024</v>
      </c>
      <c r="AV111">
        <v>30</v>
      </c>
      <c r="AW111">
        <v>1</v>
      </c>
      <c r="AX111" t="s">
        <v>74</v>
      </c>
      <c r="AY111" t="s">
        <v>74</v>
      </c>
      <c r="AZ111" t="s">
        <v>74</v>
      </c>
      <c r="BA111" t="s">
        <v>74</v>
      </c>
      <c r="BB111">
        <v>1</v>
      </c>
      <c r="BC111">
        <v>20</v>
      </c>
      <c r="BD111" t="s">
        <v>74</v>
      </c>
      <c r="BE111" t="s">
        <v>2324</v>
      </c>
      <c r="BF111" t="str">
        <f>HYPERLINK("http://dx.doi.org/10.1080/13527266.2022.2098364","http://dx.doi.org/10.1080/13527266.2022.2098364")</f>
        <v>http://dx.doi.org/10.1080/13527266.2022.2098364</v>
      </c>
      <c r="BG111" t="s">
        <v>74</v>
      </c>
      <c r="BH111" t="s">
        <v>74</v>
      </c>
      <c r="BI111">
        <v>20</v>
      </c>
      <c r="BJ111" t="s">
        <v>1722</v>
      </c>
      <c r="BK111" t="s">
        <v>125</v>
      </c>
      <c r="BL111" t="s">
        <v>1723</v>
      </c>
      <c r="BM111" t="s">
        <v>2325</v>
      </c>
      <c r="BN111" t="s">
        <v>74</v>
      </c>
      <c r="BO111" t="s">
        <v>74</v>
      </c>
      <c r="BP111" t="s">
        <v>74</v>
      </c>
      <c r="BQ111" t="s">
        <v>74</v>
      </c>
      <c r="BR111" t="s">
        <v>102</v>
      </c>
      <c r="BS111" t="s">
        <v>2326</v>
      </c>
      <c r="BT111" t="str">
        <f>HYPERLINK("https%3A%2F%2Fwww.webofscience.com%2Fwos%2Fwoscc%2Ffull-record%2FWOS:001248998200005","View Full Record in Web of Science")</f>
        <v>View Full Record in Web of Science</v>
      </c>
    </row>
    <row r="112" spans="1:72" x14ac:dyDescent="0.35">
      <c r="A112" t="s">
        <v>72</v>
      </c>
      <c r="B112" t="s">
        <v>2327</v>
      </c>
      <c r="C112" t="s">
        <v>74</v>
      </c>
      <c r="D112" t="s">
        <v>74</v>
      </c>
      <c r="E112" t="s">
        <v>74</v>
      </c>
      <c r="F112" t="s">
        <v>2328</v>
      </c>
      <c r="G112" t="s">
        <v>74</v>
      </c>
      <c r="H112" t="s">
        <v>74</v>
      </c>
      <c r="I112" t="s">
        <v>2329</v>
      </c>
      <c r="J112" t="s">
        <v>2330</v>
      </c>
      <c r="K112" t="s">
        <v>74</v>
      </c>
      <c r="L112" t="s">
        <v>74</v>
      </c>
      <c r="M112" t="s">
        <v>78</v>
      </c>
      <c r="N112" t="s">
        <v>108</v>
      </c>
      <c r="O112" t="s">
        <v>74</v>
      </c>
      <c r="P112" t="s">
        <v>74</v>
      </c>
      <c r="Q112" t="s">
        <v>74</v>
      </c>
      <c r="R112" t="s">
        <v>74</v>
      </c>
      <c r="S112" t="s">
        <v>74</v>
      </c>
      <c r="T112" t="s">
        <v>2331</v>
      </c>
      <c r="U112" t="s">
        <v>74</v>
      </c>
      <c r="V112" t="s">
        <v>2332</v>
      </c>
      <c r="W112" t="s">
        <v>2333</v>
      </c>
      <c r="X112" t="s">
        <v>2334</v>
      </c>
      <c r="Y112" t="s">
        <v>2335</v>
      </c>
      <c r="Z112" t="s">
        <v>2336</v>
      </c>
      <c r="AA112" t="s">
        <v>74</v>
      </c>
      <c r="AB112" t="s">
        <v>74</v>
      </c>
      <c r="AC112" t="s">
        <v>2337</v>
      </c>
      <c r="AD112" t="s">
        <v>2337</v>
      </c>
      <c r="AE112" t="s">
        <v>2338</v>
      </c>
      <c r="AF112" t="s">
        <v>74</v>
      </c>
      <c r="AG112">
        <v>45</v>
      </c>
      <c r="AH112">
        <v>10</v>
      </c>
      <c r="AI112">
        <v>10</v>
      </c>
      <c r="AJ112">
        <v>8</v>
      </c>
      <c r="AK112">
        <v>48</v>
      </c>
      <c r="AL112" t="s">
        <v>88</v>
      </c>
      <c r="AM112" t="s">
        <v>89</v>
      </c>
      <c r="AN112" t="s">
        <v>90</v>
      </c>
      <c r="AO112" t="s">
        <v>2339</v>
      </c>
      <c r="AP112" t="s">
        <v>2340</v>
      </c>
      <c r="AQ112" t="s">
        <v>74</v>
      </c>
      <c r="AR112" t="s">
        <v>2341</v>
      </c>
      <c r="AS112" t="s">
        <v>2342</v>
      </c>
      <c r="AT112" t="s">
        <v>498</v>
      </c>
      <c r="AU112">
        <v>2024</v>
      </c>
      <c r="AV112">
        <v>25</v>
      </c>
      <c r="AW112">
        <v>3</v>
      </c>
      <c r="AX112" t="s">
        <v>74</v>
      </c>
      <c r="AY112" t="s">
        <v>74</v>
      </c>
      <c r="AZ112" t="s">
        <v>74</v>
      </c>
      <c r="BA112" t="s">
        <v>74</v>
      </c>
      <c r="BB112">
        <v>343</v>
      </c>
      <c r="BC112">
        <v>358</v>
      </c>
      <c r="BD112" t="s">
        <v>74</v>
      </c>
      <c r="BE112" t="s">
        <v>2343</v>
      </c>
      <c r="BF112" t="str">
        <f>HYPERLINK("http://dx.doi.org/10.1080/14647893.2022.2114446","http://dx.doi.org/10.1080/14647893.2022.2114446")</f>
        <v>http://dx.doi.org/10.1080/14647893.2022.2114446</v>
      </c>
      <c r="BG112" t="s">
        <v>74</v>
      </c>
      <c r="BH112" t="s">
        <v>2034</v>
      </c>
      <c r="BI112">
        <v>16</v>
      </c>
      <c r="BJ112" t="s">
        <v>2344</v>
      </c>
      <c r="BK112" t="s">
        <v>316</v>
      </c>
      <c r="BL112" t="s">
        <v>2344</v>
      </c>
      <c r="BM112" t="s">
        <v>2345</v>
      </c>
      <c r="BN112" t="s">
        <v>74</v>
      </c>
      <c r="BO112" t="s">
        <v>156</v>
      </c>
      <c r="BP112" t="s">
        <v>74</v>
      </c>
      <c r="BQ112" t="s">
        <v>74</v>
      </c>
      <c r="BR112" t="s">
        <v>102</v>
      </c>
      <c r="BS112" t="s">
        <v>2346</v>
      </c>
      <c r="BT112" t="str">
        <f>HYPERLINK("https%3A%2F%2Fwww.webofscience.com%2Fwos%2Fwoscc%2Ffull-record%2FWOS:000865377500001","View Full Record in Web of Science")</f>
        <v>View Full Record in Web of Science</v>
      </c>
    </row>
    <row r="113" spans="1:72" x14ac:dyDescent="0.35">
      <c r="A113" t="s">
        <v>72</v>
      </c>
      <c r="B113" t="s">
        <v>2347</v>
      </c>
      <c r="C113" t="s">
        <v>74</v>
      </c>
      <c r="D113" t="s">
        <v>74</v>
      </c>
      <c r="E113" t="s">
        <v>74</v>
      </c>
      <c r="F113" t="s">
        <v>2348</v>
      </c>
      <c r="G113" t="s">
        <v>74</v>
      </c>
      <c r="H113" t="s">
        <v>74</v>
      </c>
      <c r="I113" t="s">
        <v>2349</v>
      </c>
      <c r="J113" t="s">
        <v>2350</v>
      </c>
      <c r="K113" t="s">
        <v>74</v>
      </c>
      <c r="L113" t="s">
        <v>74</v>
      </c>
      <c r="M113" t="s">
        <v>78</v>
      </c>
      <c r="N113" t="s">
        <v>1328</v>
      </c>
      <c r="O113" t="s">
        <v>74</v>
      </c>
      <c r="P113" t="s">
        <v>74</v>
      </c>
      <c r="Q113" t="s">
        <v>74</v>
      </c>
      <c r="R113" t="s">
        <v>74</v>
      </c>
      <c r="S113" t="s">
        <v>74</v>
      </c>
      <c r="T113" t="s">
        <v>2351</v>
      </c>
      <c r="U113" t="s">
        <v>795</v>
      </c>
      <c r="V113" t="s">
        <v>74</v>
      </c>
      <c r="W113" t="s">
        <v>2352</v>
      </c>
      <c r="X113" t="s">
        <v>2353</v>
      </c>
      <c r="Y113" t="s">
        <v>2354</v>
      </c>
      <c r="Z113" t="s">
        <v>2355</v>
      </c>
      <c r="AA113" t="s">
        <v>2356</v>
      </c>
      <c r="AB113" t="s">
        <v>2357</v>
      </c>
      <c r="AC113" t="s">
        <v>74</v>
      </c>
      <c r="AD113" t="s">
        <v>74</v>
      </c>
      <c r="AE113" t="s">
        <v>74</v>
      </c>
      <c r="AF113" t="s">
        <v>74</v>
      </c>
      <c r="AG113">
        <v>9</v>
      </c>
      <c r="AH113">
        <v>5</v>
      </c>
      <c r="AI113">
        <v>5</v>
      </c>
      <c r="AJ113">
        <v>2</v>
      </c>
      <c r="AK113">
        <v>10</v>
      </c>
      <c r="AL113" t="s">
        <v>251</v>
      </c>
      <c r="AM113" t="s">
        <v>252</v>
      </c>
      <c r="AN113" t="s">
        <v>253</v>
      </c>
      <c r="AO113" t="s">
        <v>74</v>
      </c>
      <c r="AP113" t="s">
        <v>2358</v>
      </c>
      <c r="AQ113" t="s">
        <v>74</v>
      </c>
      <c r="AR113" t="s">
        <v>2359</v>
      </c>
      <c r="AS113" t="s">
        <v>2360</v>
      </c>
      <c r="AT113" t="s">
        <v>273</v>
      </c>
      <c r="AU113">
        <v>2022</v>
      </c>
      <c r="AV113">
        <v>5</v>
      </c>
      <c r="AW113">
        <v>4</v>
      </c>
      <c r="AX113" t="s">
        <v>74</v>
      </c>
      <c r="AY113" t="s">
        <v>74</v>
      </c>
      <c r="AZ113" t="s">
        <v>74</v>
      </c>
      <c r="BA113" t="s">
        <v>74</v>
      </c>
      <c r="BB113" t="s">
        <v>74</v>
      </c>
      <c r="BC113" t="s">
        <v>74</v>
      </c>
      <c r="BD113" t="s">
        <v>2361</v>
      </c>
      <c r="BE113" t="s">
        <v>2362</v>
      </c>
      <c r="BF113" t="str">
        <f>HYPERLINK("http://dx.doi.org/10.1002/hsr2.618","http://dx.doi.org/10.1002/hsr2.618")</f>
        <v>http://dx.doi.org/10.1002/hsr2.618</v>
      </c>
      <c r="BG113" t="s">
        <v>74</v>
      </c>
      <c r="BH113" t="s">
        <v>74</v>
      </c>
      <c r="BI113">
        <v>4</v>
      </c>
      <c r="BJ113" t="s">
        <v>2363</v>
      </c>
      <c r="BK113" t="s">
        <v>125</v>
      </c>
      <c r="BL113" t="s">
        <v>2364</v>
      </c>
      <c r="BM113" t="s">
        <v>2365</v>
      </c>
      <c r="BN113">
        <v>35782300</v>
      </c>
      <c r="BO113" t="s">
        <v>394</v>
      </c>
      <c r="BP113" t="s">
        <v>74</v>
      </c>
      <c r="BQ113" t="s">
        <v>74</v>
      </c>
      <c r="BR113" t="s">
        <v>102</v>
      </c>
      <c r="BS113" t="s">
        <v>2366</v>
      </c>
      <c r="BT113" t="str">
        <f>HYPERLINK("https%3A%2F%2Fwww.webofscience.com%2Fwos%2Fwoscc%2Ffull-record%2FWOS:000815845800001","View Full Record in Web of Science")</f>
        <v>View Full Record in Web of Science</v>
      </c>
    </row>
    <row r="114" spans="1:72" x14ac:dyDescent="0.35">
      <c r="A114" t="s">
        <v>72</v>
      </c>
      <c r="B114" t="s">
        <v>2367</v>
      </c>
      <c r="C114" t="s">
        <v>74</v>
      </c>
      <c r="D114" t="s">
        <v>74</v>
      </c>
      <c r="E114" t="s">
        <v>74</v>
      </c>
      <c r="F114" t="s">
        <v>2368</v>
      </c>
      <c r="G114" t="s">
        <v>74</v>
      </c>
      <c r="H114" t="s">
        <v>74</v>
      </c>
      <c r="I114" t="s">
        <v>2369</v>
      </c>
      <c r="J114" t="s">
        <v>2370</v>
      </c>
      <c r="K114" t="s">
        <v>74</v>
      </c>
      <c r="L114" t="s">
        <v>74</v>
      </c>
      <c r="M114" t="s">
        <v>78</v>
      </c>
      <c r="N114" t="s">
        <v>108</v>
      </c>
      <c r="O114" t="s">
        <v>74</v>
      </c>
      <c r="P114" t="s">
        <v>74</v>
      </c>
      <c r="Q114" t="s">
        <v>74</v>
      </c>
      <c r="R114" t="s">
        <v>74</v>
      </c>
      <c r="S114" t="s">
        <v>74</v>
      </c>
      <c r="T114" t="s">
        <v>2371</v>
      </c>
      <c r="U114" t="s">
        <v>2372</v>
      </c>
      <c r="V114" t="s">
        <v>2373</v>
      </c>
      <c r="W114" t="s">
        <v>2374</v>
      </c>
      <c r="X114" t="s">
        <v>2375</v>
      </c>
      <c r="Y114" t="s">
        <v>2376</v>
      </c>
      <c r="Z114" t="s">
        <v>2377</v>
      </c>
      <c r="AA114" t="s">
        <v>2378</v>
      </c>
      <c r="AB114" t="s">
        <v>74</v>
      </c>
      <c r="AC114" t="s">
        <v>2379</v>
      </c>
      <c r="AD114" t="s">
        <v>2380</v>
      </c>
      <c r="AE114" t="s">
        <v>2381</v>
      </c>
      <c r="AF114" t="s">
        <v>74</v>
      </c>
      <c r="AG114">
        <v>41</v>
      </c>
      <c r="AH114">
        <v>0</v>
      </c>
      <c r="AI114">
        <v>0</v>
      </c>
      <c r="AJ114">
        <v>14</v>
      </c>
      <c r="AK114">
        <v>14</v>
      </c>
      <c r="AL114" t="s">
        <v>2382</v>
      </c>
      <c r="AM114" t="s">
        <v>227</v>
      </c>
      <c r="AN114" t="s">
        <v>2383</v>
      </c>
      <c r="AO114" t="s">
        <v>74</v>
      </c>
      <c r="AP114" t="s">
        <v>2384</v>
      </c>
      <c r="AQ114" t="s">
        <v>74</v>
      </c>
      <c r="AR114" t="s">
        <v>2370</v>
      </c>
      <c r="AS114" t="s">
        <v>2385</v>
      </c>
      <c r="AT114" t="s">
        <v>2386</v>
      </c>
      <c r="AU114">
        <v>2024</v>
      </c>
      <c r="AV114">
        <v>24</v>
      </c>
      <c r="AW114">
        <v>1</v>
      </c>
      <c r="AX114" t="s">
        <v>74</v>
      </c>
      <c r="AY114" t="s">
        <v>74</v>
      </c>
      <c r="AZ114" t="s">
        <v>74</v>
      </c>
      <c r="BA114" t="s">
        <v>74</v>
      </c>
      <c r="BB114" t="s">
        <v>74</v>
      </c>
      <c r="BC114" t="s">
        <v>74</v>
      </c>
      <c r="BD114">
        <v>1594</v>
      </c>
      <c r="BE114" t="s">
        <v>2387</v>
      </c>
      <c r="BF114" t="str">
        <f>HYPERLINK("http://dx.doi.org/10.1186/s12889-024-19077-6","http://dx.doi.org/10.1186/s12889-024-19077-6")</f>
        <v>http://dx.doi.org/10.1186/s12889-024-19077-6</v>
      </c>
      <c r="BG114" t="s">
        <v>74</v>
      </c>
      <c r="BH114" t="s">
        <v>74</v>
      </c>
      <c r="BI114">
        <v>13</v>
      </c>
      <c r="BJ114" t="s">
        <v>392</v>
      </c>
      <c r="BK114" t="s">
        <v>209</v>
      </c>
      <c r="BL114" t="s">
        <v>392</v>
      </c>
      <c r="BM114" t="s">
        <v>2388</v>
      </c>
      <c r="BN114">
        <v>38877432</v>
      </c>
      <c r="BO114" t="s">
        <v>2389</v>
      </c>
      <c r="BP114" t="s">
        <v>74</v>
      </c>
      <c r="BQ114" t="s">
        <v>74</v>
      </c>
      <c r="BR114" t="s">
        <v>102</v>
      </c>
      <c r="BS114" t="s">
        <v>2390</v>
      </c>
      <c r="BT114" t="str">
        <f>HYPERLINK("https%3A%2F%2Fwww.webofscience.com%2Fwos%2Fwoscc%2Ffull-record%2FWOS:001249168000002","View Full Record in Web of Science")</f>
        <v>View Full Record in Web of Science</v>
      </c>
    </row>
    <row r="115" spans="1:72" x14ac:dyDescent="0.35">
      <c r="A115" t="s">
        <v>72</v>
      </c>
      <c r="B115" t="s">
        <v>2391</v>
      </c>
      <c r="C115" t="s">
        <v>74</v>
      </c>
      <c r="D115" t="s">
        <v>74</v>
      </c>
      <c r="E115" t="s">
        <v>74</v>
      </c>
      <c r="F115" t="s">
        <v>2392</v>
      </c>
      <c r="G115" t="s">
        <v>74</v>
      </c>
      <c r="H115" t="s">
        <v>74</v>
      </c>
      <c r="I115" t="s">
        <v>2393</v>
      </c>
      <c r="J115" t="s">
        <v>2394</v>
      </c>
      <c r="K115" t="s">
        <v>74</v>
      </c>
      <c r="L115" t="s">
        <v>74</v>
      </c>
      <c r="M115" t="s">
        <v>78</v>
      </c>
      <c r="N115" t="s">
        <v>108</v>
      </c>
      <c r="O115" t="s">
        <v>74</v>
      </c>
      <c r="P115" t="s">
        <v>74</v>
      </c>
      <c r="Q115" t="s">
        <v>74</v>
      </c>
      <c r="R115" t="s">
        <v>74</v>
      </c>
      <c r="S115" t="s">
        <v>74</v>
      </c>
      <c r="T115" t="s">
        <v>2395</v>
      </c>
      <c r="U115" t="s">
        <v>2396</v>
      </c>
      <c r="V115" t="s">
        <v>2397</v>
      </c>
      <c r="W115" t="s">
        <v>2398</v>
      </c>
      <c r="X115" t="s">
        <v>2399</v>
      </c>
      <c r="Y115" t="s">
        <v>2400</v>
      </c>
      <c r="Z115" t="s">
        <v>2401</v>
      </c>
      <c r="AA115" t="s">
        <v>74</v>
      </c>
      <c r="AB115" t="s">
        <v>2402</v>
      </c>
      <c r="AC115" t="s">
        <v>2403</v>
      </c>
      <c r="AD115" t="s">
        <v>2403</v>
      </c>
      <c r="AE115" t="s">
        <v>2404</v>
      </c>
      <c r="AF115" t="s">
        <v>74</v>
      </c>
      <c r="AG115">
        <v>58</v>
      </c>
      <c r="AH115">
        <v>1</v>
      </c>
      <c r="AI115">
        <v>1</v>
      </c>
      <c r="AJ115">
        <v>43</v>
      </c>
      <c r="AK115">
        <v>55</v>
      </c>
      <c r="AL115" t="s">
        <v>665</v>
      </c>
      <c r="AM115" t="s">
        <v>666</v>
      </c>
      <c r="AN115" t="s">
        <v>667</v>
      </c>
      <c r="AO115" t="s">
        <v>2405</v>
      </c>
      <c r="AP115" t="s">
        <v>2406</v>
      </c>
      <c r="AQ115" t="s">
        <v>74</v>
      </c>
      <c r="AR115" t="s">
        <v>2407</v>
      </c>
      <c r="AS115" t="s">
        <v>2408</v>
      </c>
      <c r="AT115" t="s">
        <v>273</v>
      </c>
      <c r="AU115">
        <v>2024</v>
      </c>
      <c r="AV115">
        <v>43</v>
      </c>
      <c r="AW115">
        <v>26</v>
      </c>
      <c r="AX115" t="s">
        <v>74</v>
      </c>
      <c r="AY115" t="s">
        <v>74</v>
      </c>
      <c r="AZ115" t="s">
        <v>74</v>
      </c>
      <c r="BA115" t="s">
        <v>74</v>
      </c>
      <c r="BB115">
        <v>22283</v>
      </c>
      <c r="BC115">
        <v>22296</v>
      </c>
      <c r="BD115" t="s">
        <v>74</v>
      </c>
      <c r="BE115" t="s">
        <v>2409</v>
      </c>
      <c r="BF115" t="str">
        <f>HYPERLINK("http://dx.doi.org/10.1007/s12144-024-05927-4","http://dx.doi.org/10.1007/s12144-024-05927-4")</f>
        <v>http://dx.doi.org/10.1007/s12144-024-05927-4</v>
      </c>
      <c r="BG115" t="s">
        <v>74</v>
      </c>
      <c r="BH115" t="s">
        <v>2410</v>
      </c>
      <c r="BI115">
        <v>14</v>
      </c>
      <c r="BJ115" t="s">
        <v>698</v>
      </c>
      <c r="BK115" t="s">
        <v>99</v>
      </c>
      <c r="BL115" t="s">
        <v>301</v>
      </c>
      <c r="BM115" t="s">
        <v>2411</v>
      </c>
      <c r="BN115" t="s">
        <v>74</v>
      </c>
      <c r="BO115" t="s">
        <v>74</v>
      </c>
      <c r="BP115" t="s">
        <v>74</v>
      </c>
      <c r="BQ115" t="s">
        <v>74</v>
      </c>
      <c r="BR115" t="s">
        <v>102</v>
      </c>
      <c r="BS115" t="s">
        <v>2412</v>
      </c>
      <c r="BT115" t="str">
        <f>HYPERLINK("https%3A%2F%2Fwww.webofscience.com%2Fwos%2Fwoscc%2Ffull-record%2FWOS:001208647000006","View Full Record in Web of Science")</f>
        <v>View Full Record in Web of Science</v>
      </c>
    </row>
    <row r="116" spans="1:72" x14ac:dyDescent="0.35">
      <c r="A116" t="s">
        <v>72</v>
      </c>
      <c r="B116" t="s">
        <v>2413</v>
      </c>
      <c r="C116" t="s">
        <v>74</v>
      </c>
      <c r="D116" t="s">
        <v>74</v>
      </c>
      <c r="E116" t="s">
        <v>74</v>
      </c>
      <c r="F116" t="s">
        <v>2414</v>
      </c>
      <c r="G116" t="s">
        <v>74</v>
      </c>
      <c r="H116" t="s">
        <v>74</v>
      </c>
      <c r="I116" t="s">
        <v>2415</v>
      </c>
      <c r="J116" t="s">
        <v>1034</v>
      </c>
      <c r="K116" t="s">
        <v>74</v>
      </c>
      <c r="L116" t="s">
        <v>74</v>
      </c>
      <c r="M116" t="s">
        <v>78</v>
      </c>
      <c r="N116" t="s">
        <v>108</v>
      </c>
      <c r="O116" t="s">
        <v>74</v>
      </c>
      <c r="P116" t="s">
        <v>74</v>
      </c>
      <c r="Q116" t="s">
        <v>74</v>
      </c>
      <c r="R116" t="s">
        <v>74</v>
      </c>
      <c r="S116" t="s">
        <v>74</v>
      </c>
      <c r="T116" t="s">
        <v>2416</v>
      </c>
      <c r="U116" t="s">
        <v>2417</v>
      </c>
      <c r="V116" t="s">
        <v>2418</v>
      </c>
      <c r="W116" t="s">
        <v>2419</v>
      </c>
      <c r="X116" t="s">
        <v>2420</v>
      </c>
      <c r="Y116" t="s">
        <v>2421</v>
      </c>
      <c r="Z116" t="s">
        <v>2422</v>
      </c>
      <c r="AA116" t="s">
        <v>2423</v>
      </c>
      <c r="AB116" t="s">
        <v>2424</v>
      </c>
      <c r="AC116" t="s">
        <v>74</v>
      </c>
      <c r="AD116" t="s">
        <v>74</v>
      </c>
      <c r="AE116" t="s">
        <v>74</v>
      </c>
      <c r="AF116" t="s">
        <v>74</v>
      </c>
      <c r="AG116">
        <v>37</v>
      </c>
      <c r="AH116">
        <v>5</v>
      </c>
      <c r="AI116">
        <v>5</v>
      </c>
      <c r="AJ116">
        <v>8</v>
      </c>
      <c r="AK116">
        <v>41</v>
      </c>
      <c r="AL116" t="s">
        <v>226</v>
      </c>
      <c r="AM116" t="s">
        <v>227</v>
      </c>
      <c r="AN116" t="s">
        <v>228</v>
      </c>
      <c r="AO116" t="s">
        <v>1041</v>
      </c>
      <c r="AP116" t="s">
        <v>1042</v>
      </c>
      <c r="AQ116" t="s">
        <v>74</v>
      </c>
      <c r="AR116" t="s">
        <v>1043</v>
      </c>
      <c r="AS116" t="s">
        <v>1044</v>
      </c>
      <c r="AT116" t="s">
        <v>523</v>
      </c>
      <c r="AU116">
        <v>2023</v>
      </c>
      <c r="AV116">
        <v>45</v>
      </c>
      <c r="AW116">
        <v>8</v>
      </c>
      <c r="AX116" t="s">
        <v>74</v>
      </c>
      <c r="AY116" t="s">
        <v>74</v>
      </c>
      <c r="AZ116" t="s">
        <v>456</v>
      </c>
      <c r="BA116" t="s">
        <v>74</v>
      </c>
      <c r="BB116">
        <v>1600</v>
      </c>
      <c r="BC116">
        <v>1615</v>
      </c>
      <c r="BD116" t="s">
        <v>74</v>
      </c>
      <c r="BE116" t="s">
        <v>2425</v>
      </c>
      <c r="BF116" t="str">
        <f>HYPERLINK("http://dx.doi.org/10.1177/01634437231174356","http://dx.doi.org/10.1177/01634437231174356")</f>
        <v>http://dx.doi.org/10.1177/01634437231174356</v>
      </c>
      <c r="BG116" t="s">
        <v>74</v>
      </c>
      <c r="BH116" t="s">
        <v>180</v>
      </c>
      <c r="BI116">
        <v>16</v>
      </c>
      <c r="BJ116" t="s">
        <v>1047</v>
      </c>
      <c r="BK116" t="s">
        <v>99</v>
      </c>
      <c r="BL116" t="s">
        <v>1047</v>
      </c>
      <c r="BM116" t="s">
        <v>1048</v>
      </c>
      <c r="BN116" t="s">
        <v>74</v>
      </c>
      <c r="BO116" t="s">
        <v>74</v>
      </c>
      <c r="BP116" t="s">
        <v>74</v>
      </c>
      <c r="BQ116" t="s">
        <v>74</v>
      </c>
      <c r="BR116" t="s">
        <v>102</v>
      </c>
      <c r="BS116" t="s">
        <v>2426</v>
      </c>
      <c r="BT116" t="str">
        <f>HYPERLINK("https%3A%2F%2Fwww.webofscience.com%2Fwos%2Fwoscc%2Ffull-record%2FWOS:001000940900001","View Full Record in Web of Science")</f>
        <v>View Full Record in Web of Science</v>
      </c>
    </row>
    <row r="117" spans="1:72" x14ac:dyDescent="0.35">
      <c r="A117" t="s">
        <v>72</v>
      </c>
      <c r="B117" t="s">
        <v>2427</v>
      </c>
      <c r="C117" t="s">
        <v>74</v>
      </c>
      <c r="D117" t="s">
        <v>74</v>
      </c>
      <c r="E117" t="s">
        <v>74</v>
      </c>
      <c r="F117" t="s">
        <v>2428</v>
      </c>
      <c r="G117" t="s">
        <v>74</v>
      </c>
      <c r="H117" t="s">
        <v>74</v>
      </c>
      <c r="I117" t="s">
        <v>2429</v>
      </c>
      <c r="J117" t="s">
        <v>2430</v>
      </c>
      <c r="K117" t="s">
        <v>74</v>
      </c>
      <c r="L117" t="s">
        <v>74</v>
      </c>
      <c r="M117" t="s">
        <v>78</v>
      </c>
      <c r="N117" t="s">
        <v>79</v>
      </c>
      <c r="O117" t="s">
        <v>74</v>
      </c>
      <c r="P117" t="s">
        <v>74</v>
      </c>
      <c r="Q117" t="s">
        <v>74</v>
      </c>
      <c r="R117" t="s">
        <v>74</v>
      </c>
      <c r="S117" t="s">
        <v>74</v>
      </c>
      <c r="T117" t="s">
        <v>2431</v>
      </c>
      <c r="U117" t="s">
        <v>74</v>
      </c>
      <c r="V117" t="s">
        <v>2432</v>
      </c>
      <c r="W117" t="s">
        <v>2433</v>
      </c>
      <c r="X117" t="s">
        <v>2434</v>
      </c>
      <c r="Y117" t="s">
        <v>2435</v>
      </c>
      <c r="Z117" t="s">
        <v>2436</v>
      </c>
      <c r="AA117" t="s">
        <v>74</v>
      </c>
      <c r="AB117" t="s">
        <v>2437</v>
      </c>
      <c r="AC117" t="s">
        <v>74</v>
      </c>
      <c r="AD117" t="s">
        <v>74</v>
      </c>
      <c r="AE117" t="s">
        <v>74</v>
      </c>
      <c r="AF117" t="s">
        <v>74</v>
      </c>
      <c r="AG117">
        <v>39</v>
      </c>
      <c r="AH117">
        <v>0</v>
      </c>
      <c r="AI117">
        <v>0</v>
      </c>
      <c r="AJ117">
        <v>0</v>
      </c>
      <c r="AK117">
        <v>0</v>
      </c>
      <c r="AL117" t="s">
        <v>226</v>
      </c>
      <c r="AM117" t="s">
        <v>227</v>
      </c>
      <c r="AN117" t="s">
        <v>228</v>
      </c>
      <c r="AO117" t="s">
        <v>2438</v>
      </c>
      <c r="AP117" t="s">
        <v>2439</v>
      </c>
      <c r="AQ117" t="s">
        <v>74</v>
      </c>
      <c r="AR117" t="s">
        <v>2440</v>
      </c>
      <c r="AS117" t="s">
        <v>2441</v>
      </c>
      <c r="AT117" t="s">
        <v>2442</v>
      </c>
      <c r="AU117">
        <v>2024</v>
      </c>
      <c r="AV117" t="s">
        <v>74</v>
      </c>
      <c r="AW117" t="s">
        <v>74</v>
      </c>
      <c r="AX117" t="s">
        <v>74</v>
      </c>
      <c r="AY117" t="s">
        <v>74</v>
      </c>
      <c r="AZ117" t="s">
        <v>74</v>
      </c>
      <c r="BA117" t="s">
        <v>74</v>
      </c>
      <c r="BB117" t="s">
        <v>74</v>
      </c>
      <c r="BC117" t="s">
        <v>74</v>
      </c>
      <c r="BD117" t="s">
        <v>74</v>
      </c>
      <c r="BE117" t="s">
        <v>2443</v>
      </c>
      <c r="BF117" t="str">
        <f>HYPERLINK("http://dx.doi.org/10.1177/14687984241270820","http://dx.doi.org/10.1177/14687984241270820")</f>
        <v>http://dx.doi.org/10.1177/14687984241270820</v>
      </c>
      <c r="BG117" t="s">
        <v>74</v>
      </c>
      <c r="BH117" t="s">
        <v>2444</v>
      </c>
      <c r="BI117">
        <v>19</v>
      </c>
      <c r="BJ117" t="s">
        <v>787</v>
      </c>
      <c r="BK117" t="s">
        <v>99</v>
      </c>
      <c r="BL117" t="s">
        <v>787</v>
      </c>
      <c r="BM117" t="s">
        <v>2445</v>
      </c>
      <c r="BN117" t="s">
        <v>74</v>
      </c>
      <c r="BO117" t="s">
        <v>74</v>
      </c>
      <c r="BP117" t="s">
        <v>74</v>
      </c>
      <c r="BQ117" t="s">
        <v>74</v>
      </c>
      <c r="BR117" t="s">
        <v>102</v>
      </c>
      <c r="BS117" t="s">
        <v>2446</v>
      </c>
      <c r="BT117" t="str">
        <f>HYPERLINK("https%3A%2F%2Fwww.webofscience.com%2Fwos%2Fwoscc%2Ffull-record%2FWOS:001282921400001","View Full Record in Web of Science")</f>
        <v>View Full Record in Web of Science</v>
      </c>
    </row>
    <row r="118" spans="1:72" x14ac:dyDescent="0.35">
      <c r="A118" t="s">
        <v>72</v>
      </c>
      <c r="B118" t="s">
        <v>2447</v>
      </c>
      <c r="C118" t="s">
        <v>74</v>
      </c>
      <c r="D118" t="s">
        <v>74</v>
      </c>
      <c r="E118" t="s">
        <v>74</v>
      </c>
      <c r="F118" t="s">
        <v>2448</v>
      </c>
      <c r="G118" t="s">
        <v>74</v>
      </c>
      <c r="H118" t="s">
        <v>74</v>
      </c>
      <c r="I118" t="s">
        <v>2449</v>
      </c>
      <c r="J118" t="s">
        <v>2450</v>
      </c>
      <c r="K118" t="s">
        <v>74</v>
      </c>
      <c r="L118" t="s">
        <v>74</v>
      </c>
      <c r="M118" t="s">
        <v>78</v>
      </c>
      <c r="N118" t="s">
        <v>108</v>
      </c>
      <c r="O118" t="s">
        <v>74</v>
      </c>
      <c r="P118" t="s">
        <v>74</v>
      </c>
      <c r="Q118" t="s">
        <v>74</v>
      </c>
      <c r="R118" t="s">
        <v>74</v>
      </c>
      <c r="S118" t="s">
        <v>74</v>
      </c>
      <c r="T118" t="s">
        <v>74</v>
      </c>
      <c r="U118" t="s">
        <v>2451</v>
      </c>
      <c r="V118" t="s">
        <v>2452</v>
      </c>
      <c r="W118" t="s">
        <v>2453</v>
      </c>
      <c r="X118" t="s">
        <v>798</v>
      </c>
      <c r="Y118" t="s">
        <v>2454</v>
      </c>
      <c r="Z118" t="s">
        <v>2455</v>
      </c>
      <c r="AA118" t="s">
        <v>74</v>
      </c>
      <c r="AB118" t="s">
        <v>2456</v>
      </c>
      <c r="AC118" t="s">
        <v>798</v>
      </c>
      <c r="AD118" t="s">
        <v>798</v>
      </c>
      <c r="AE118" t="s">
        <v>2457</v>
      </c>
      <c r="AF118" t="s">
        <v>74</v>
      </c>
      <c r="AG118">
        <v>77</v>
      </c>
      <c r="AH118">
        <v>0</v>
      </c>
      <c r="AI118">
        <v>0</v>
      </c>
      <c r="AJ118">
        <v>14</v>
      </c>
      <c r="AK118">
        <v>14</v>
      </c>
      <c r="AL118" t="s">
        <v>2458</v>
      </c>
      <c r="AM118" t="s">
        <v>2459</v>
      </c>
      <c r="AN118" t="s">
        <v>2460</v>
      </c>
      <c r="AO118" t="s">
        <v>2461</v>
      </c>
      <c r="AP118" t="s">
        <v>74</v>
      </c>
      <c r="AQ118" t="s">
        <v>74</v>
      </c>
      <c r="AR118" t="s">
        <v>2450</v>
      </c>
      <c r="AS118" t="s">
        <v>2462</v>
      </c>
      <c r="AT118" t="s">
        <v>2463</v>
      </c>
      <c r="AU118">
        <v>2024</v>
      </c>
      <c r="AV118">
        <v>19</v>
      </c>
      <c r="AW118">
        <v>8</v>
      </c>
      <c r="AX118" t="s">
        <v>74</v>
      </c>
      <c r="AY118" t="s">
        <v>74</v>
      </c>
      <c r="AZ118" t="s">
        <v>74</v>
      </c>
      <c r="BA118" t="s">
        <v>74</v>
      </c>
      <c r="BB118" t="s">
        <v>74</v>
      </c>
      <c r="BC118" t="s">
        <v>74</v>
      </c>
      <c r="BD118" t="s">
        <v>2464</v>
      </c>
      <c r="BE118" t="s">
        <v>2465</v>
      </c>
      <c r="BF118" t="str">
        <f>HYPERLINK("http://dx.doi.org/10.1371/journal.pone.0307597","http://dx.doi.org/10.1371/journal.pone.0307597")</f>
        <v>http://dx.doi.org/10.1371/journal.pone.0307597</v>
      </c>
      <c r="BG118" t="s">
        <v>74</v>
      </c>
      <c r="BH118" t="s">
        <v>74</v>
      </c>
      <c r="BI118">
        <v>29</v>
      </c>
      <c r="BJ118" t="s">
        <v>1301</v>
      </c>
      <c r="BK118" t="s">
        <v>209</v>
      </c>
      <c r="BL118" t="s">
        <v>1302</v>
      </c>
      <c r="BM118" t="s">
        <v>2466</v>
      </c>
      <c r="BN118">
        <v>39110711</v>
      </c>
      <c r="BO118" t="s">
        <v>394</v>
      </c>
      <c r="BP118" t="s">
        <v>74</v>
      </c>
      <c r="BQ118" t="s">
        <v>74</v>
      </c>
      <c r="BR118" t="s">
        <v>102</v>
      </c>
      <c r="BS118" t="s">
        <v>2467</v>
      </c>
      <c r="BT118" t="str">
        <f>HYPERLINK("https%3A%2F%2Fwww.webofscience.com%2Fwos%2Fwoscc%2Ffull-record%2FWOS:001288760100047","View Full Record in Web of Science")</f>
        <v>View Full Record in Web of Science</v>
      </c>
    </row>
    <row r="119" spans="1:72" x14ac:dyDescent="0.35">
      <c r="A119" t="s">
        <v>72</v>
      </c>
      <c r="B119" t="s">
        <v>2468</v>
      </c>
      <c r="C119" t="s">
        <v>74</v>
      </c>
      <c r="D119" t="s">
        <v>74</v>
      </c>
      <c r="E119" t="s">
        <v>74</v>
      </c>
      <c r="F119" t="s">
        <v>2469</v>
      </c>
      <c r="G119" t="s">
        <v>74</v>
      </c>
      <c r="H119" t="s">
        <v>74</v>
      </c>
      <c r="I119" t="s">
        <v>2470</v>
      </c>
      <c r="J119" t="s">
        <v>1054</v>
      </c>
      <c r="K119" t="s">
        <v>74</v>
      </c>
      <c r="L119" t="s">
        <v>74</v>
      </c>
      <c r="M119" t="s">
        <v>78</v>
      </c>
      <c r="N119" t="s">
        <v>52</v>
      </c>
      <c r="O119" t="s">
        <v>74</v>
      </c>
      <c r="P119" t="s">
        <v>74</v>
      </c>
      <c r="Q119" t="s">
        <v>74</v>
      </c>
      <c r="R119" t="s">
        <v>74</v>
      </c>
      <c r="S119" t="s">
        <v>74</v>
      </c>
      <c r="T119" t="s">
        <v>2471</v>
      </c>
      <c r="U119" t="s">
        <v>2472</v>
      </c>
      <c r="V119" t="s">
        <v>74</v>
      </c>
      <c r="W119" t="s">
        <v>2473</v>
      </c>
      <c r="X119" t="s">
        <v>2474</v>
      </c>
      <c r="Y119" t="s">
        <v>2475</v>
      </c>
      <c r="Z119" t="s">
        <v>74</v>
      </c>
      <c r="AA119" t="s">
        <v>1058</v>
      </c>
      <c r="AB119" t="s">
        <v>74</v>
      </c>
      <c r="AC119" t="s">
        <v>74</v>
      </c>
      <c r="AD119" t="s">
        <v>74</v>
      </c>
      <c r="AE119" t="s">
        <v>74</v>
      </c>
      <c r="AF119" t="s">
        <v>74</v>
      </c>
      <c r="AG119">
        <v>3</v>
      </c>
      <c r="AH119">
        <v>0</v>
      </c>
      <c r="AI119">
        <v>0</v>
      </c>
      <c r="AJ119">
        <v>0</v>
      </c>
      <c r="AK119">
        <v>0</v>
      </c>
      <c r="AL119" t="s">
        <v>1061</v>
      </c>
      <c r="AM119" t="s">
        <v>1062</v>
      </c>
      <c r="AN119" t="s">
        <v>1063</v>
      </c>
      <c r="AO119" t="s">
        <v>1064</v>
      </c>
      <c r="AP119" t="s">
        <v>1065</v>
      </c>
      <c r="AQ119" t="s">
        <v>74</v>
      </c>
      <c r="AR119" t="s">
        <v>1066</v>
      </c>
      <c r="AS119" t="s">
        <v>1067</v>
      </c>
      <c r="AT119" t="s">
        <v>930</v>
      </c>
      <c r="AU119">
        <v>2024</v>
      </c>
      <c r="AV119">
        <v>83</v>
      </c>
      <c r="AW119" t="s">
        <v>1068</v>
      </c>
      <c r="AX119" t="s">
        <v>74</v>
      </c>
      <c r="AY119" t="s">
        <v>74</v>
      </c>
      <c r="AZ119" t="s">
        <v>456</v>
      </c>
      <c r="BA119" t="s">
        <v>74</v>
      </c>
      <c r="BB119" t="s">
        <v>74</v>
      </c>
      <c r="BC119" t="s">
        <v>74</v>
      </c>
      <c r="BD119" t="s">
        <v>2476</v>
      </c>
      <c r="BE119" t="s">
        <v>2477</v>
      </c>
      <c r="BF119" t="str">
        <f>HYPERLINK("http://dx.doi.org/10.1017/S0029665124001733","http://dx.doi.org/10.1017/S0029665124001733")</f>
        <v>http://dx.doi.org/10.1017/S0029665124001733</v>
      </c>
      <c r="BG119" t="s">
        <v>74</v>
      </c>
      <c r="BH119" t="s">
        <v>74</v>
      </c>
      <c r="BI119">
        <v>1</v>
      </c>
      <c r="BJ119" t="s">
        <v>1071</v>
      </c>
      <c r="BK119" t="s">
        <v>209</v>
      </c>
      <c r="BL119" t="s">
        <v>1071</v>
      </c>
      <c r="BM119" t="s">
        <v>1072</v>
      </c>
      <c r="BN119" t="s">
        <v>74</v>
      </c>
      <c r="BO119" t="s">
        <v>767</v>
      </c>
      <c r="BP119" t="s">
        <v>74</v>
      </c>
      <c r="BQ119" t="s">
        <v>74</v>
      </c>
      <c r="BR119" t="s">
        <v>102</v>
      </c>
      <c r="BS119" t="s">
        <v>2478</v>
      </c>
      <c r="BT119" t="str">
        <f>HYPERLINK("https%3A%2F%2Fwww.webofscience.com%2Fwos%2Fwoscc%2Ffull-record%2FWOS:001215194800108","View Full Record in Web of Science")</f>
        <v>View Full Record in Web of Science</v>
      </c>
    </row>
    <row r="120" spans="1:72" x14ac:dyDescent="0.35">
      <c r="A120" t="s">
        <v>72</v>
      </c>
      <c r="B120" t="s">
        <v>2479</v>
      </c>
      <c r="C120" t="s">
        <v>74</v>
      </c>
      <c r="D120" t="s">
        <v>74</v>
      </c>
      <c r="E120" t="s">
        <v>74</v>
      </c>
      <c r="F120" t="s">
        <v>2480</v>
      </c>
      <c r="G120" t="s">
        <v>74</v>
      </c>
      <c r="H120" t="s">
        <v>74</v>
      </c>
      <c r="I120" t="s">
        <v>2481</v>
      </c>
      <c r="J120" t="s">
        <v>1011</v>
      </c>
      <c r="K120" t="s">
        <v>74</v>
      </c>
      <c r="L120" t="s">
        <v>74</v>
      </c>
      <c r="M120" t="s">
        <v>1012</v>
      </c>
      <c r="N120" t="s">
        <v>108</v>
      </c>
      <c r="O120" t="s">
        <v>74</v>
      </c>
      <c r="P120" t="s">
        <v>74</v>
      </c>
      <c r="Q120" t="s">
        <v>74</v>
      </c>
      <c r="R120" t="s">
        <v>74</v>
      </c>
      <c r="S120" t="s">
        <v>74</v>
      </c>
      <c r="T120" t="s">
        <v>2482</v>
      </c>
      <c r="U120" t="s">
        <v>74</v>
      </c>
      <c r="V120" t="s">
        <v>2483</v>
      </c>
      <c r="W120" t="s">
        <v>2484</v>
      </c>
      <c r="X120" t="s">
        <v>74</v>
      </c>
      <c r="Y120" t="s">
        <v>2485</v>
      </c>
      <c r="Z120" t="s">
        <v>2486</v>
      </c>
      <c r="AA120" t="s">
        <v>74</v>
      </c>
      <c r="AB120" t="s">
        <v>74</v>
      </c>
      <c r="AC120" t="s">
        <v>74</v>
      </c>
      <c r="AD120" t="s">
        <v>74</v>
      </c>
      <c r="AE120" t="s">
        <v>74</v>
      </c>
      <c r="AF120" t="s">
        <v>74</v>
      </c>
      <c r="AG120">
        <v>10</v>
      </c>
      <c r="AH120">
        <v>1</v>
      </c>
      <c r="AI120">
        <v>1</v>
      </c>
      <c r="AJ120">
        <v>0</v>
      </c>
      <c r="AK120">
        <v>0</v>
      </c>
      <c r="AL120" t="s">
        <v>1021</v>
      </c>
      <c r="AM120" t="s">
        <v>1022</v>
      </c>
      <c r="AN120" t="s">
        <v>1023</v>
      </c>
      <c r="AO120" t="s">
        <v>1024</v>
      </c>
      <c r="AP120" t="s">
        <v>1025</v>
      </c>
      <c r="AQ120" t="s">
        <v>74</v>
      </c>
      <c r="AR120" t="s">
        <v>1026</v>
      </c>
      <c r="AS120" t="s">
        <v>1027</v>
      </c>
      <c r="AT120" t="s">
        <v>257</v>
      </c>
      <c r="AU120">
        <v>2024</v>
      </c>
      <c r="AV120">
        <v>37</v>
      </c>
      <c r="AW120">
        <v>2</v>
      </c>
      <c r="AX120" t="s">
        <v>74</v>
      </c>
      <c r="AY120" t="s">
        <v>74</v>
      </c>
      <c r="AZ120" t="s">
        <v>74</v>
      </c>
      <c r="BA120" t="s">
        <v>74</v>
      </c>
      <c r="BB120">
        <v>99</v>
      </c>
      <c r="BC120">
        <v>103</v>
      </c>
      <c r="BD120" t="s">
        <v>74</v>
      </c>
      <c r="BE120" t="s">
        <v>2487</v>
      </c>
      <c r="BF120" t="str">
        <f>HYPERLINK("http://dx.doi.org/10.1055/a-2283-4009","http://dx.doi.org/10.1055/a-2283-4009")</f>
        <v>http://dx.doi.org/10.1055/a-2283-4009</v>
      </c>
      <c r="BG120" t="s">
        <v>74</v>
      </c>
      <c r="BH120" t="s">
        <v>74</v>
      </c>
      <c r="BI120">
        <v>5</v>
      </c>
      <c r="BJ120" t="s">
        <v>1029</v>
      </c>
      <c r="BK120" t="s">
        <v>99</v>
      </c>
      <c r="BL120" t="s">
        <v>1030</v>
      </c>
      <c r="BM120" t="s">
        <v>2488</v>
      </c>
      <c r="BN120" t="s">
        <v>74</v>
      </c>
      <c r="BO120" t="s">
        <v>74</v>
      </c>
      <c r="BP120" t="s">
        <v>74</v>
      </c>
      <c r="BQ120" t="s">
        <v>74</v>
      </c>
      <c r="BR120" t="s">
        <v>102</v>
      </c>
      <c r="BS120" t="s">
        <v>2489</v>
      </c>
      <c r="BT120" t="str">
        <f>HYPERLINK("https%3A%2F%2Fwww.webofscience.com%2Fwos%2Fwoscc%2Ffull-record%2FWOS:001247417900007","View Full Record in Web of Science")</f>
        <v>View Full Record in Web of Science</v>
      </c>
    </row>
    <row r="121" spans="1:72" x14ac:dyDescent="0.35">
      <c r="A121" t="s">
        <v>72</v>
      </c>
      <c r="B121" t="s">
        <v>2490</v>
      </c>
      <c r="C121" t="s">
        <v>74</v>
      </c>
      <c r="D121" t="s">
        <v>74</v>
      </c>
      <c r="E121" t="s">
        <v>74</v>
      </c>
      <c r="F121" t="s">
        <v>2491</v>
      </c>
      <c r="G121" t="s">
        <v>74</v>
      </c>
      <c r="H121" t="s">
        <v>74</v>
      </c>
      <c r="I121" t="s">
        <v>2492</v>
      </c>
      <c r="J121" t="s">
        <v>2493</v>
      </c>
      <c r="K121" t="s">
        <v>74</v>
      </c>
      <c r="L121" t="s">
        <v>74</v>
      </c>
      <c r="M121" t="s">
        <v>78</v>
      </c>
      <c r="N121" t="s">
        <v>1328</v>
      </c>
      <c r="O121" t="s">
        <v>74</v>
      </c>
      <c r="P121" t="s">
        <v>74</v>
      </c>
      <c r="Q121" t="s">
        <v>74</v>
      </c>
      <c r="R121" t="s">
        <v>74</v>
      </c>
      <c r="S121" t="s">
        <v>74</v>
      </c>
      <c r="T121" t="s">
        <v>74</v>
      </c>
      <c r="U121" t="s">
        <v>74</v>
      </c>
      <c r="V121" t="s">
        <v>74</v>
      </c>
      <c r="W121" t="s">
        <v>2494</v>
      </c>
      <c r="X121" t="s">
        <v>2495</v>
      </c>
      <c r="Y121" t="s">
        <v>2496</v>
      </c>
      <c r="Z121" t="s">
        <v>2497</v>
      </c>
      <c r="AA121" t="s">
        <v>74</v>
      </c>
      <c r="AB121" t="s">
        <v>74</v>
      </c>
      <c r="AC121" t="s">
        <v>74</v>
      </c>
      <c r="AD121" t="s">
        <v>74</v>
      </c>
      <c r="AE121" t="s">
        <v>74</v>
      </c>
      <c r="AF121" t="s">
        <v>74</v>
      </c>
      <c r="AG121">
        <v>5</v>
      </c>
      <c r="AH121">
        <v>8</v>
      </c>
      <c r="AI121">
        <v>8</v>
      </c>
      <c r="AJ121">
        <v>0</v>
      </c>
      <c r="AK121">
        <v>17</v>
      </c>
      <c r="AL121" t="s">
        <v>2027</v>
      </c>
      <c r="AM121" t="s">
        <v>666</v>
      </c>
      <c r="AN121" t="s">
        <v>2028</v>
      </c>
      <c r="AO121" t="s">
        <v>2498</v>
      </c>
      <c r="AP121" t="s">
        <v>2499</v>
      </c>
      <c r="AQ121" t="s">
        <v>74</v>
      </c>
      <c r="AR121" t="s">
        <v>2500</v>
      </c>
      <c r="AS121" t="s">
        <v>2501</v>
      </c>
      <c r="AT121" t="s">
        <v>273</v>
      </c>
      <c r="AU121">
        <v>2021</v>
      </c>
      <c r="AV121">
        <v>85</v>
      </c>
      <c r="AW121">
        <v>1</v>
      </c>
      <c r="AX121" t="s">
        <v>74</v>
      </c>
      <c r="AY121" t="s">
        <v>74</v>
      </c>
      <c r="AZ121" t="s">
        <v>74</v>
      </c>
      <c r="BA121" t="s">
        <v>74</v>
      </c>
      <c r="BB121" t="s">
        <v>2502</v>
      </c>
      <c r="BC121" t="s">
        <v>2503</v>
      </c>
      <c r="BD121" t="s">
        <v>74</v>
      </c>
      <c r="BE121" t="s">
        <v>2504</v>
      </c>
      <c r="BF121" t="str">
        <f>HYPERLINK("http://dx.doi.org/10.1016/j.jaad.2021.01.060","http://dx.doi.org/10.1016/j.jaad.2021.01.060")</f>
        <v>http://dx.doi.org/10.1016/j.jaad.2021.01.060</v>
      </c>
      <c r="BG121" t="s">
        <v>74</v>
      </c>
      <c r="BH121" t="s">
        <v>2090</v>
      </c>
      <c r="BI121">
        <v>2</v>
      </c>
      <c r="BJ121" t="s">
        <v>1341</v>
      </c>
      <c r="BK121" t="s">
        <v>209</v>
      </c>
      <c r="BL121" t="s">
        <v>1341</v>
      </c>
      <c r="BM121" t="s">
        <v>2505</v>
      </c>
      <c r="BN121">
        <v>33647380</v>
      </c>
      <c r="BO121" t="s">
        <v>767</v>
      </c>
      <c r="BP121" t="s">
        <v>74</v>
      </c>
      <c r="BQ121" t="s">
        <v>74</v>
      </c>
      <c r="BR121" t="s">
        <v>102</v>
      </c>
      <c r="BS121" t="s">
        <v>2506</v>
      </c>
      <c r="BT121" t="str">
        <f>HYPERLINK("https%3A%2F%2Fwww.webofscience.com%2Fwos%2Fwoscc%2Ffull-record%2FWOS:000659921800016","View Full Record in Web of Science")</f>
        <v>View Full Record in Web of Science</v>
      </c>
    </row>
    <row r="122" spans="1:72" x14ac:dyDescent="0.35">
      <c r="A122" t="s">
        <v>72</v>
      </c>
      <c r="B122" t="s">
        <v>2507</v>
      </c>
      <c r="C122" t="s">
        <v>74</v>
      </c>
      <c r="D122" t="s">
        <v>74</v>
      </c>
      <c r="E122" t="s">
        <v>74</v>
      </c>
      <c r="F122" t="s">
        <v>2508</v>
      </c>
      <c r="G122" t="s">
        <v>74</v>
      </c>
      <c r="H122" t="s">
        <v>74</v>
      </c>
      <c r="I122" t="s">
        <v>2509</v>
      </c>
      <c r="J122" t="s">
        <v>1034</v>
      </c>
      <c r="K122" t="s">
        <v>74</v>
      </c>
      <c r="L122" t="s">
        <v>74</v>
      </c>
      <c r="M122" t="s">
        <v>78</v>
      </c>
      <c r="N122" t="s">
        <v>108</v>
      </c>
      <c r="O122" t="s">
        <v>74</v>
      </c>
      <c r="P122" t="s">
        <v>74</v>
      </c>
      <c r="Q122" t="s">
        <v>74</v>
      </c>
      <c r="R122" t="s">
        <v>74</v>
      </c>
      <c r="S122" t="s">
        <v>74</v>
      </c>
      <c r="T122" t="s">
        <v>2510</v>
      </c>
      <c r="U122" t="s">
        <v>2511</v>
      </c>
      <c r="V122" t="s">
        <v>2512</v>
      </c>
      <c r="W122" t="s">
        <v>2513</v>
      </c>
      <c r="X122" t="s">
        <v>2514</v>
      </c>
      <c r="Y122" t="s">
        <v>2515</v>
      </c>
      <c r="Z122" t="s">
        <v>2516</v>
      </c>
      <c r="AA122" t="s">
        <v>2517</v>
      </c>
      <c r="AB122" t="s">
        <v>2518</v>
      </c>
      <c r="AC122" t="s">
        <v>74</v>
      </c>
      <c r="AD122" t="s">
        <v>74</v>
      </c>
      <c r="AE122" t="s">
        <v>74</v>
      </c>
      <c r="AF122" t="s">
        <v>74</v>
      </c>
      <c r="AG122">
        <v>54</v>
      </c>
      <c r="AH122">
        <v>6</v>
      </c>
      <c r="AI122">
        <v>6</v>
      </c>
      <c r="AJ122">
        <v>20</v>
      </c>
      <c r="AK122">
        <v>89</v>
      </c>
      <c r="AL122" t="s">
        <v>226</v>
      </c>
      <c r="AM122" t="s">
        <v>227</v>
      </c>
      <c r="AN122" t="s">
        <v>228</v>
      </c>
      <c r="AO122" t="s">
        <v>1041</v>
      </c>
      <c r="AP122" t="s">
        <v>1042</v>
      </c>
      <c r="AQ122" t="s">
        <v>74</v>
      </c>
      <c r="AR122" t="s">
        <v>1043</v>
      </c>
      <c r="AS122" t="s">
        <v>1044</v>
      </c>
      <c r="AT122" t="s">
        <v>523</v>
      </c>
      <c r="AU122">
        <v>2023</v>
      </c>
      <c r="AV122">
        <v>45</v>
      </c>
      <c r="AW122">
        <v>8</v>
      </c>
      <c r="AX122" t="s">
        <v>74</v>
      </c>
      <c r="AY122" t="s">
        <v>74</v>
      </c>
      <c r="AZ122" t="s">
        <v>456</v>
      </c>
      <c r="BA122" t="s">
        <v>74</v>
      </c>
      <c r="BB122">
        <v>1534</v>
      </c>
      <c r="BC122">
        <v>1549</v>
      </c>
      <c r="BD122" t="s">
        <v>74</v>
      </c>
      <c r="BE122" t="s">
        <v>2519</v>
      </c>
      <c r="BF122" t="str">
        <f>HYPERLINK("http://dx.doi.org/10.1177/01634437231168308","http://dx.doi.org/10.1177/01634437231168308")</f>
        <v>http://dx.doi.org/10.1177/01634437231168308</v>
      </c>
      <c r="BG122" t="s">
        <v>74</v>
      </c>
      <c r="BH122" t="s">
        <v>299</v>
      </c>
      <c r="BI122">
        <v>16</v>
      </c>
      <c r="BJ122" t="s">
        <v>1047</v>
      </c>
      <c r="BK122" t="s">
        <v>99</v>
      </c>
      <c r="BL122" t="s">
        <v>1047</v>
      </c>
      <c r="BM122" t="s">
        <v>1048</v>
      </c>
      <c r="BN122" t="s">
        <v>74</v>
      </c>
      <c r="BO122" t="s">
        <v>156</v>
      </c>
      <c r="BP122" t="s">
        <v>74</v>
      </c>
      <c r="BQ122" t="s">
        <v>74</v>
      </c>
      <c r="BR122" t="s">
        <v>102</v>
      </c>
      <c r="BS122" t="s">
        <v>2520</v>
      </c>
      <c r="BT122" t="str">
        <f>HYPERLINK("https%3A%2F%2Fwww.webofscience.com%2Fwos%2Fwoscc%2Ffull-record%2FWOS:000971828700001","View Full Record in Web of Science")</f>
        <v>View Full Record in Web of Science</v>
      </c>
    </row>
    <row r="123" spans="1:72" x14ac:dyDescent="0.35">
      <c r="A123" t="s">
        <v>72</v>
      </c>
      <c r="B123" t="s">
        <v>2521</v>
      </c>
      <c r="C123" t="s">
        <v>74</v>
      </c>
      <c r="D123" t="s">
        <v>74</v>
      </c>
      <c r="E123" t="s">
        <v>74</v>
      </c>
      <c r="F123" t="s">
        <v>2522</v>
      </c>
      <c r="G123" t="s">
        <v>74</v>
      </c>
      <c r="H123" t="s">
        <v>74</v>
      </c>
      <c r="I123" t="s">
        <v>2523</v>
      </c>
      <c r="J123" t="s">
        <v>2524</v>
      </c>
      <c r="K123" t="s">
        <v>74</v>
      </c>
      <c r="L123" t="s">
        <v>74</v>
      </c>
      <c r="M123" t="s">
        <v>78</v>
      </c>
      <c r="N123" t="s">
        <v>52</v>
      </c>
      <c r="O123" t="s">
        <v>2525</v>
      </c>
      <c r="P123" t="s">
        <v>2526</v>
      </c>
      <c r="Q123" t="s">
        <v>2527</v>
      </c>
      <c r="R123" t="s">
        <v>74</v>
      </c>
      <c r="S123" t="s">
        <v>74</v>
      </c>
      <c r="T123" t="s">
        <v>74</v>
      </c>
      <c r="U123" t="s">
        <v>74</v>
      </c>
      <c r="V123" t="s">
        <v>74</v>
      </c>
      <c r="W123" t="s">
        <v>2528</v>
      </c>
      <c r="X123" t="s">
        <v>2529</v>
      </c>
      <c r="Y123" t="s">
        <v>74</v>
      </c>
      <c r="Z123" t="s">
        <v>74</v>
      </c>
      <c r="AA123" t="s">
        <v>74</v>
      </c>
      <c r="AB123" t="s">
        <v>74</v>
      </c>
      <c r="AC123" t="s">
        <v>74</v>
      </c>
      <c r="AD123" t="s">
        <v>74</v>
      </c>
      <c r="AE123" t="s">
        <v>74</v>
      </c>
      <c r="AF123" t="s">
        <v>74</v>
      </c>
      <c r="AG123">
        <v>0</v>
      </c>
      <c r="AH123">
        <v>0</v>
      </c>
      <c r="AI123">
        <v>0</v>
      </c>
      <c r="AJ123">
        <v>0</v>
      </c>
      <c r="AK123">
        <v>2</v>
      </c>
      <c r="AL123" t="s">
        <v>226</v>
      </c>
      <c r="AM123" t="s">
        <v>227</v>
      </c>
      <c r="AN123" t="s">
        <v>228</v>
      </c>
      <c r="AO123" t="s">
        <v>2530</v>
      </c>
      <c r="AP123" t="s">
        <v>2531</v>
      </c>
      <c r="AQ123" t="s">
        <v>74</v>
      </c>
      <c r="AR123" t="s">
        <v>2532</v>
      </c>
      <c r="AS123" t="s">
        <v>2533</v>
      </c>
      <c r="AT123" t="s">
        <v>232</v>
      </c>
      <c r="AU123">
        <v>2023</v>
      </c>
      <c r="AV123">
        <v>71</v>
      </c>
      <c r="AW123">
        <v>1</v>
      </c>
      <c r="AX123" t="s">
        <v>74</v>
      </c>
      <c r="AY123" t="s">
        <v>74</v>
      </c>
      <c r="AZ123" t="s">
        <v>74</v>
      </c>
      <c r="BA123">
        <v>500</v>
      </c>
      <c r="BB123" t="s">
        <v>2534</v>
      </c>
      <c r="BC123" t="s">
        <v>2534</v>
      </c>
      <c r="BD123" t="s">
        <v>74</v>
      </c>
      <c r="BE123" t="s">
        <v>74</v>
      </c>
      <c r="BF123" t="s">
        <v>74</v>
      </c>
      <c r="BG123" t="s">
        <v>74</v>
      </c>
      <c r="BH123" t="s">
        <v>74</v>
      </c>
      <c r="BI123">
        <v>1</v>
      </c>
      <c r="BJ123" t="s">
        <v>2535</v>
      </c>
      <c r="BK123" t="s">
        <v>2257</v>
      </c>
      <c r="BL123" t="s">
        <v>2536</v>
      </c>
      <c r="BM123" t="s">
        <v>2537</v>
      </c>
      <c r="BN123" t="s">
        <v>74</v>
      </c>
      <c r="BO123" t="s">
        <v>74</v>
      </c>
      <c r="BP123" t="s">
        <v>74</v>
      </c>
      <c r="BQ123" t="s">
        <v>74</v>
      </c>
      <c r="BR123" t="s">
        <v>102</v>
      </c>
      <c r="BS123" t="s">
        <v>2538</v>
      </c>
      <c r="BT123" t="str">
        <f>HYPERLINK("https%3A%2F%2Fwww.webofscience.com%2Fwos%2Fwoscc%2Ffull-record%2FWOS:000972423800512","View Full Record in Web of Science")</f>
        <v>View Full Record in Web of Science</v>
      </c>
    </row>
    <row r="124" spans="1:72" x14ac:dyDescent="0.35">
      <c r="A124" t="s">
        <v>72</v>
      </c>
      <c r="B124" t="s">
        <v>2539</v>
      </c>
      <c r="C124" t="s">
        <v>74</v>
      </c>
      <c r="D124" t="s">
        <v>74</v>
      </c>
      <c r="E124" t="s">
        <v>74</v>
      </c>
      <c r="F124" t="s">
        <v>2540</v>
      </c>
      <c r="G124" t="s">
        <v>74</v>
      </c>
      <c r="H124" t="s">
        <v>74</v>
      </c>
      <c r="I124" t="s">
        <v>2541</v>
      </c>
      <c r="J124" t="s">
        <v>793</v>
      </c>
      <c r="K124" t="s">
        <v>74</v>
      </c>
      <c r="L124" t="s">
        <v>74</v>
      </c>
      <c r="M124" t="s">
        <v>78</v>
      </c>
      <c r="N124" t="s">
        <v>108</v>
      </c>
      <c r="O124" t="s">
        <v>74</v>
      </c>
      <c r="P124" t="s">
        <v>74</v>
      </c>
      <c r="Q124" t="s">
        <v>74</v>
      </c>
      <c r="R124" t="s">
        <v>74</v>
      </c>
      <c r="S124" t="s">
        <v>74</v>
      </c>
      <c r="T124" t="s">
        <v>2542</v>
      </c>
      <c r="U124" t="s">
        <v>2543</v>
      </c>
      <c r="V124" t="s">
        <v>2544</v>
      </c>
      <c r="W124" t="s">
        <v>2545</v>
      </c>
      <c r="X124" t="s">
        <v>2546</v>
      </c>
      <c r="Y124" t="s">
        <v>2547</v>
      </c>
      <c r="Z124" t="s">
        <v>2548</v>
      </c>
      <c r="AA124" t="s">
        <v>74</v>
      </c>
      <c r="AB124" t="s">
        <v>74</v>
      </c>
      <c r="AC124" t="s">
        <v>74</v>
      </c>
      <c r="AD124" t="s">
        <v>74</v>
      </c>
      <c r="AE124" t="s">
        <v>74</v>
      </c>
      <c r="AF124" t="s">
        <v>74</v>
      </c>
      <c r="AG124">
        <v>15</v>
      </c>
      <c r="AH124">
        <v>0</v>
      </c>
      <c r="AI124">
        <v>0</v>
      </c>
      <c r="AJ124">
        <v>0</v>
      </c>
      <c r="AK124">
        <v>0</v>
      </c>
      <c r="AL124" t="s">
        <v>803</v>
      </c>
      <c r="AM124" t="s">
        <v>227</v>
      </c>
      <c r="AN124" t="s">
        <v>804</v>
      </c>
      <c r="AO124" t="s">
        <v>74</v>
      </c>
      <c r="AP124" t="s">
        <v>805</v>
      </c>
      <c r="AQ124" t="s">
        <v>74</v>
      </c>
      <c r="AR124" t="s">
        <v>806</v>
      </c>
      <c r="AS124" t="s">
        <v>807</v>
      </c>
      <c r="AT124" t="s">
        <v>2549</v>
      </c>
      <c r="AU124">
        <v>2024</v>
      </c>
      <c r="AV124">
        <v>16</v>
      </c>
      <c r="AW124">
        <v>6</v>
      </c>
      <c r="AX124" t="s">
        <v>74</v>
      </c>
      <c r="AY124" t="s">
        <v>74</v>
      </c>
      <c r="AZ124" t="s">
        <v>74</v>
      </c>
      <c r="BA124" t="s">
        <v>74</v>
      </c>
      <c r="BB124" t="s">
        <v>74</v>
      </c>
      <c r="BC124" t="s">
        <v>74</v>
      </c>
      <c r="BD124" t="s">
        <v>2550</v>
      </c>
      <c r="BE124" t="s">
        <v>2551</v>
      </c>
      <c r="BF124" t="str">
        <f>HYPERLINK("http://dx.doi.org/10.7759/cureus.62762","http://dx.doi.org/10.7759/cureus.62762")</f>
        <v>http://dx.doi.org/10.7759/cureus.62762</v>
      </c>
      <c r="BG124" t="s">
        <v>74</v>
      </c>
      <c r="BH124" t="s">
        <v>74</v>
      </c>
      <c r="BI124">
        <v>4</v>
      </c>
      <c r="BJ124" t="s">
        <v>811</v>
      </c>
      <c r="BK124" t="s">
        <v>125</v>
      </c>
      <c r="BL124" t="s">
        <v>812</v>
      </c>
      <c r="BM124" t="s">
        <v>2552</v>
      </c>
      <c r="BN124">
        <v>39036142</v>
      </c>
      <c r="BO124" t="s">
        <v>552</v>
      </c>
      <c r="BP124" t="s">
        <v>74</v>
      </c>
      <c r="BQ124" t="s">
        <v>74</v>
      </c>
      <c r="BR124" t="s">
        <v>102</v>
      </c>
      <c r="BS124" t="s">
        <v>2553</v>
      </c>
      <c r="BT124" t="str">
        <f>HYPERLINK("https%3A%2F%2Fwww.webofscience.com%2Fwos%2Fwoscc%2Ffull-record%2FWOS:001255975000027","View Full Record in Web of Science")</f>
        <v>View Full Record in Web of Science</v>
      </c>
    </row>
    <row r="125" spans="1:72" x14ac:dyDescent="0.35">
      <c r="A125" t="s">
        <v>72</v>
      </c>
      <c r="B125" t="s">
        <v>2554</v>
      </c>
      <c r="C125" t="s">
        <v>74</v>
      </c>
      <c r="D125" t="s">
        <v>74</v>
      </c>
      <c r="E125" t="s">
        <v>74</v>
      </c>
      <c r="F125" t="s">
        <v>2555</v>
      </c>
      <c r="G125" t="s">
        <v>74</v>
      </c>
      <c r="H125" t="s">
        <v>74</v>
      </c>
      <c r="I125" t="s">
        <v>2556</v>
      </c>
      <c r="J125" t="s">
        <v>2557</v>
      </c>
      <c r="K125" t="s">
        <v>74</v>
      </c>
      <c r="L125" t="s">
        <v>74</v>
      </c>
      <c r="M125" t="s">
        <v>78</v>
      </c>
      <c r="N125" t="s">
        <v>108</v>
      </c>
      <c r="O125" t="s">
        <v>74</v>
      </c>
      <c r="P125" t="s">
        <v>74</v>
      </c>
      <c r="Q125" t="s">
        <v>74</v>
      </c>
      <c r="R125" t="s">
        <v>74</v>
      </c>
      <c r="S125" t="s">
        <v>74</v>
      </c>
      <c r="T125" t="s">
        <v>2558</v>
      </c>
      <c r="U125" t="s">
        <v>2559</v>
      </c>
      <c r="V125" t="s">
        <v>2560</v>
      </c>
      <c r="W125" t="s">
        <v>2561</v>
      </c>
      <c r="X125" t="s">
        <v>2562</v>
      </c>
      <c r="Y125" t="s">
        <v>2563</v>
      </c>
      <c r="Z125" t="s">
        <v>2564</v>
      </c>
      <c r="AA125" t="s">
        <v>2565</v>
      </c>
      <c r="AB125" t="s">
        <v>2566</v>
      </c>
      <c r="AC125" t="s">
        <v>2567</v>
      </c>
      <c r="AD125" t="s">
        <v>2568</v>
      </c>
      <c r="AE125" t="s">
        <v>2569</v>
      </c>
      <c r="AF125" t="s">
        <v>74</v>
      </c>
      <c r="AG125">
        <v>94</v>
      </c>
      <c r="AH125">
        <v>3</v>
      </c>
      <c r="AI125">
        <v>3</v>
      </c>
      <c r="AJ125">
        <v>26</v>
      </c>
      <c r="AK125">
        <v>74</v>
      </c>
      <c r="AL125" t="s">
        <v>199</v>
      </c>
      <c r="AM125" t="s">
        <v>200</v>
      </c>
      <c r="AN125" t="s">
        <v>471</v>
      </c>
      <c r="AO125" t="s">
        <v>2570</v>
      </c>
      <c r="AP125" t="s">
        <v>74</v>
      </c>
      <c r="AQ125" t="s">
        <v>74</v>
      </c>
      <c r="AR125" t="s">
        <v>2571</v>
      </c>
      <c r="AS125" t="s">
        <v>2572</v>
      </c>
      <c r="AT125" t="s">
        <v>2573</v>
      </c>
      <c r="AU125">
        <v>2024</v>
      </c>
      <c r="AV125">
        <v>34</v>
      </c>
      <c r="AW125">
        <v>6</v>
      </c>
      <c r="AX125" t="s">
        <v>74</v>
      </c>
      <c r="AY125" t="s">
        <v>74</v>
      </c>
      <c r="AZ125" t="s">
        <v>74</v>
      </c>
      <c r="BA125" t="s">
        <v>74</v>
      </c>
      <c r="BB125">
        <v>1901</v>
      </c>
      <c r="BC125">
        <v>1931</v>
      </c>
      <c r="BD125" t="s">
        <v>74</v>
      </c>
      <c r="BE125" t="s">
        <v>2574</v>
      </c>
      <c r="BF125" t="str">
        <f>HYPERLINK("http://dx.doi.org/10.1108/INTR-07-2022-0542","http://dx.doi.org/10.1108/INTR-07-2022-0542")</f>
        <v>http://dx.doi.org/10.1108/INTR-07-2022-0542</v>
      </c>
      <c r="BG125" t="s">
        <v>74</v>
      </c>
      <c r="BH125" t="s">
        <v>1449</v>
      </c>
      <c r="BI125">
        <v>31</v>
      </c>
      <c r="BJ125" t="s">
        <v>2575</v>
      </c>
      <c r="BK125" t="s">
        <v>182</v>
      </c>
      <c r="BL125" t="s">
        <v>2576</v>
      </c>
      <c r="BM125" t="s">
        <v>2577</v>
      </c>
      <c r="BN125" t="s">
        <v>74</v>
      </c>
      <c r="BO125" t="s">
        <v>74</v>
      </c>
      <c r="BP125" t="s">
        <v>74</v>
      </c>
      <c r="BQ125" t="s">
        <v>74</v>
      </c>
      <c r="BR125" t="s">
        <v>102</v>
      </c>
      <c r="BS125" t="s">
        <v>2578</v>
      </c>
      <c r="BT125" t="str">
        <f>HYPERLINK("https%3A%2F%2Fwww.webofscience.com%2Fwos%2Fwoscc%2Ffull-record%2FWOS:001128915000001","View Full Record in Web of Science")</f>
        <v>View Full Record in Web of Science</v>
      </c>
    </row>
    <row r="126" spans="1:72" x14ac:dyDescent="0.35">
      <c r="A126" t="s">
        <v>72</v>
      </c>
      <c r="B126" t="s">
        <v>2579</v>
      </c>
      <c r="C126" t="s">
        <v>74</v>
      </c>
      <c r="D126" t="s">
        <v>74</v>
      </c>
      <c r="E126" t="s">
        <v>74</v>
      </c>
      <c r="F126" t="s">
        <v>2580</v>
      </c>
      <c r="G126" t="s">
        <v>74</v>
      </c>
      <c r="H126" t="s">
        <v>74</v>
      </c>
      <c r="I126" t="s">
        <v>2581</v>
      </c>
      <c r="J126" t="s">
        <v>2582</v>
      </c>
      <c r="K126" t="s">
        <v>74</v>
      </c>
      <c r="L126" t="s">
        <v>74</v>
      </c>
      <c r="M126" t="s">
        <v>78</v>
      </c>
      <c r="N126" t="s">
        <v>108</v>
      </c>
      <c r="O126" t="s">
        <v>74</v>
      </c>
      <c r="P126" t="s">
        <v>74</v>
      </c>
      <c r="Q126" t="s">
        <v>74</v>
      </c>
      <c r="R126" t="s">
        <v>74</v>
      </c>
      <c r="S126" t="s">
        <v>74</v>
      </c>
      <c r="T126" t="s">
        <v>2583</v>
      </c>
      <c r="U126" t="s">
        <v>2584</v>
      </c>
      <c r="V126" t="s">
        <v>2585</v>
      </c>
      <c r="W126" t="s">
        <v>2586</v>
      </c>
      <c r="X126" t="s">
        <v>2587</v>
      </c>
      <c r="Y126" t="s">
        <v>2588</v>
      </c>
      <c r="Z126" t="s">
        <v>2589</v>
      </c>
      <c r="AA126" t="s">
        <v>2590</v>
      </c>
      <c r="AB126" t="s">
        <v>2591</v>
      </c>
      <c r="AC126" t="s">
        <v>2592</v>
      </c>
      <c r="AD126" t="s">
        <v>2593</v>
      </c>
      <c r="AE126" t="s">
        <v>2594</v>
      </c>
      <c r="AF126" t="s">
        <v>74</v>
      </c>
      <c r="AG126">
        <v>43</v>
      </c>
      <c r="AH126">
        <v>34</v>
      </c>
      <c r="AI126">
        <v>37</v>
      </c>
      <c r="AJ126">
        <v>8</v>
      </c>
      <c r="AK126">
        <v>123</v>
      </c>
      <c r="AL126" t="s">
        <v>88</v>
      </c>
      <c r="AM126" t="s">
        <v>89</v>
      </c>
      <c r="AN126" t="s">
        <v>90</v>
      </c>
      <c r="AO126" t="s">
        <v>2595</v>
      </c>
      <c r="AP126" t="s">
        <v>2596</v>
      </c>
      <c r="AQ126" t="s">
        <v>74</v>
      </c>
      <c r="AR126" t="s">
        <v>2597</v>
      </c>
      <c r="AS126" t="s">
        <v>2598</v>
      </c>
      <c r="AT126" t="s">
        <v>2599</v>
      </c>
      <c r="AU126">
        <v>2022</v>
      </c>
      <c r="AV126">
        <v>25</v>
      </c>
      <c r="AW126">
        <v>8</v>
      </c>
      <c r="AX126" t="s">
        <v>74</v>
      </c>
      <c r="AY126" t="s">
        <v>74</v>
      </c>
      <c r="AZ126" t="s">
        <v>74</v>
      </c>
      <c r="BA126" t="s">
        <v>74</v>
      </c>
      <c r="BB126">
        <v>1108</v>
      </c>
      <c r="BC126">
        <v>1125</v>
      </c>
      <c r="BD126" t="s">
        <v>74</v>
      </c>
      <c r="BE126" t="s">
        <v>2600</v>
      </c>
      <c r="BF126" t="str">
        <f>HYPERLINK("http://dx.doi.org/10.1080/13676261.2021.1939286","http://dx.doi.org/10.1080/13676261.2021.1939286")</f>
        <v>http://dx.doi.org/10.1080/13676261.2021.1939286</v>
      </c>
      <c r="BG126" t="s">
        <v>74</v>
      </c>
      <c r="BH126" t="s">
        <v>2090</v>
      </c>
      <c r="BI126">
        <v>18</v>
      </c>
      <c r="BJ126" t="s">
        <v>98</v>
      </c>
      <c r="BK126" t="s">
        <v>99</v>
      </c>
      <c r="BL126" t="s">
        <v>100</v>
      </c>
      <c r="BM126" t="s">
        <v>2601</v>
      </c>
      <c r="BN126" t="s">
        <v>74</v>
      </c>
      <c r="BO126" t="s">
        <v>2194</v>
      </c>
      <c r="BP126" t="s">
        <v>74</v>
      </c>
      <c r="BQ126" t="s">
        <v>74</v>
      </c>
      <c r="BR126" t="s">
        <v>102</v>
      </c>
      <c r="BS126" t="s">
        <v>2602</v>
      </c>
      <c r="BT126" t="str">
        <f>HYPERLINK("https%3A%2F%2Fwww.webofscience.com%2Fwos%2Fwoscc%2Ffull-record%2FWOS:000659750700001","View Full Record in Web of Science")</f>
        <v>View Full Record in Web of Science</v>
      </c>
    </row>
    <row r="127" spans="1:72" x14ac:dyDescent="0.35">
      <c r="A127" t="s">
        <v>72</v>
      </c>
      <c r="B127" t="s">
        <v>2603</v>
      </c>
      <c r="C127" t="s">
        <v>74</v>
      </c>
      <c r="D127" t="s">
        <v>74</v>
      </c>
      <c r="E127" t="s">
        <v>74</v>
      </c>
      <c r="F127" t="s">
        <v>2604</v>
      </c>
      <c r="G127" t="s">
        <v>74</v>
      </c>
      <c r="H127" t="s">
        <v>74</v>
      </c>
      <c r="I127" t="s">
        <v>2605</v>
      </c>
      <c r="J127" t="s">
        <v>216</v>
      </c>
      <c r="K127" t="s">
        <v>74</v>
      </c>
      <c r="L127" t="s">
        <v>74</v>
      </c>
      <c r="M127" t="s">
        <v>78</v>
      </c>
      <c r="N127" t="s">
        <v>108</v>
      </c>
      <c r="O127" t="s">
        <v>74</v>
      </c>
      <c r="P127" t="s">
        <v>74</v>
      </c>
      <c r="Q127" t="s">
        <v>74</v>
      </c>
      <c r="R127" t="s">
        <v>74</v>
      </c>
      <c r="S127" t="s">
        <v>74</v>
      </c>
      <c r="T127" t="s">
        <v>2606</v>
      </c>
      <c r="U127" t="s">
        <v>2607</v>
      </c>
      <c r="V127" t="s">
        <v>2608</v>
      </c>
      <c r="W127" t="s">
        <v>2609</v>
      </c>
      <c r="X127" t="s">
        <v>2610</v>
      </c>
      <c r="Y127" t="s">
        <v>2611</v>
      </c>
      <c r="Z127" t="s">
        <v>2612</v>
      </c>
      <c r="AA127" t="s">
        <v>2613</v>
      </c>
      <c r="AB127" t="s">
        <v>2614</v>
      </c>
      <c r="AC127" t="s">
        <v>74</v>
      </c>
      <c r="AD127" t="s">
        <v>74</v>
      </c>
      <c r="AE127" t="s">
        <v>74</v>
      </c>
      <c r="AF127" t="s">
        <v>74</v>
      </c>
      <c r="AG127">
        <v>92</v>
      </c>
      <c r="AH127">
        <v>30</v>
      </c>
      <c r="AI127">
        <v>34</v>
      </c>
      <c r="AJ127">
        <v>15</v>
      </c>
      <c r="AK127">
        <v>67</v>
      </c>
      <c r="AL127" t="s">
        <v>226</v>
      </c>
      <c r="AM127" t="s">
        <v>227</v>
      </c>
      <c r="AN127" t="s">
        <v>228</v>
      </c>
      <c r="AO127" t="s">
        <v>229</v>
      </c>
      <c r="AP127" t="s">
        <v>74</v>
      </c>
      <c r="AQ127" t="s">
        <v>74</v>
      </c>
      <c r="AR127" t="s">
        <v>230</v>
      </c>
      <c r="AS127" t="s">
        <v>231</v>
      </c>
      <c r="AT127" t="s">
        <v>232</v>
      </c>
      <c r="AU127">
        <v>2023</v>
      </c>
      <c r="AV127">
        <v>9</v>
      </c>
      <c r="AW127">
        <v>1</v>
      </c>
      <c r="AX127" t="s">
        <v>74</v>
      </c>
      <c r="AY127" t="s">
        <v>74</v>
      </c>
      <c r="AZ127" t="s">
        <v>74</v>
      </c>
      <c r="BA127" t="s">
        <v>74</v>
      </c>
      <c r="BB127" t="s">
        <v>74</v>
      </c>
      <c r="BC127" t="s">
        <v>74</v>
      </c>
      <c r="BD127">
        <v>2.0563051231157608E+16</v>
      </c>
      <c r="BE127" t="s">
        <v>2615</v>
      </c>
      <c r="BF127" t="str">
        <f>HYPERLINK("http://dx.doi.org/10.1177/20563051231157607","http://dx.doi.org/10.1177/20563051231157607")</f>
        <v>http://dx.doi.org/10.1177/20563051231157607</v>
      </c>
      <c r="BG127" t="s">
        <v>74</v>
      </c>
      <c r="BH127" t="s">
        <v>74</v>
      </c>
      <c r="BI127">
        <v>13</v>
      </c>
      <c r="BJ127" t="s">
        <v>124</v>
      </c>
      <c r="BK127" t="s">
        <v>99</v>
      </c>
      <c r="BL127" t="s">
        <v>124</v>
      </c>
      <c r="BM127" t="s">
        <v>2616</v>
      </c>
      <c r="BN127" t="s">
        <v>74</v>
      </c>
      <c r="BO127" t="s">
        <v>2194</v>
      </c>
      <c r="BP127" t="s">
        <v>395</v>
      </c>
      <c r="BQ127" t="s">
        <v>396</v>
      </c>
      <c r="BR127" t="s">
        <v>102</v>
      </c>
      <c r="BS127" t="s">
        <v>2617</v>
      </c>
      <c r="BT127" t="str">
        <f>HYPERLINK("https%3A%2F%2Fwww.webofscience.com%2Fwos%2Fwoscc%2Ffull-record%2FWOS:000945383400001","View Full Record in Web of Science")</f>
        <v>View Full Record in Web of Science</v>
      </c>
    </row>
    <row r="128" spans="1:72" x14ac:dyDescent="0.35">
      <c r="A128" t="s">
        <v>128</v>
      </c>
      <c r="B128" t="s">
        <v>2618</v>
      </c>
      <c r="C128" t="s">
        <v>74</v>
      </c>
      <c r="D128" t="s">
        <v>2619</v>
      </c>
      <c r="E128" t="s">
        <v>74</v>
      </c>
      <c r="F128" t="s">
        <v>2620</v>
      </c>
      <c r="G128" t="s">
        <v>74</v>
      </c>
      <c r="H128" t="s">
        <v>74</v>
      </c>
      <c r="I128" t="s">
        <v>2621</v>
      </c>
      <c r="J128" t="s">
        <v>2622</v>
      </c>
      <c r="K128" t="s">
        <v>74</v>
      </c>
      <c r="L128" t="s">
        <v>74</v>
      </c>
      <c r="M128" t="s">
        <v>78</v>
      </c>
      <c r="N128" t="s">
        <v>135</v>
      </c>
      <c r="O128" t="s">
        <v>2623</v>
      </c>
      <c r="P128" t="s">
        <v>2624</v>
      </c>
      <c r="Q128" t="s">
        <v>2625</v>
      </c>
      <c r="R128" t="s">
        <v>2626</v>
      </c>
      <c r="S128" t="s">
        <v>2627</v>
      </c>
      <c r="T128" t="s">
        <v>2628</v>
      </c>
      <c r="U128" t="s">
        <v>74</v>
      </c>
      <c r="V128" t="s">
        <v>2629</v>
      </c>
      <c r="W128" t="s">
        <v>2630</v>
      </c>
      <c r="X128" t="s">
        <v>2631</v>
      </c>
      <c r="Y128" t="s">
        <v>2632</v>
      </c>
      <c r="Z128" t="s">
        <v>2633</v>
      </c>
      <c r="AA128" t="s">
        <v>2634</v>
      </c>
      <c r="AB128" t="s">
        <v>74</v>
      </c>
      <c r="AC128" t="s">
        <v>2635</v>
      </c>
      <c r="AD128" t="s">
        <v>2636</v>
      </c>
      <c r="AE128" t="s">
        <v>2637</v>
      </c>
      <c r="AF128" t="s">
        <v>74</v>
      </c>
      <c r="AG128">
        <v>16</v>
      </c>
      <c r="AH128">
        <v>0</v>
      </c>
      <c r="AI128">
        <v>0</v>
      </c>
      <c r="AJ128">
        <v>7</v>
      </c>
      <c r="AK128">
        <v>7</v>
      </c>
      <c r="AL128" t="s">
        <v>2638</v>
      </c>
      <c r="AM128" t="s">
        <v>2639</v>
      </c>
      <c r="AN128" t="s">
        <v>2640</v>
      </c>
      <c r="AO128" t="s">
        <v>74</v>
      </c>
      <c r="AP128" t="s">
        <v>74</v>
      </c>
      <c r="AQ128" t="s">
        <v>2641</v>
      </c>
      <c r="AR128" t="s">
        <v>74</v>
      </c>
      <c r="AS128" t="s">
        <v>74</v>
      </c>
      <c r="AT128" t="s">
        <v>74</v>
      </c>
      <c r="AU128">
        <v>2022</v>
      </c>
      <c r="AV128" t="s">
        <v>74</v>
      </c>
      <c r="AW128" t="s">
        <v>74</v>
      </c>
      <c r="AX128" t="s">
        <v>74</v>
      </c>
      <c r="AY128" t="s">
        <v>74</v>
      </c>
      <c r="AZ128" t="s">
        <v>74</v>
      </c>
      <c r="BA128" t="s">
        <v>74</v>
      </c>
      <c r="BB128">
        <v>287</v>
      </c>
      <c r="BC128">
        <v>292</v>
      </c>
      <c r="BD128" t="s">
        <v>74</v>
      </c>
      <c r="BE128" t="s">
        <v>74</v>
      </c>
      <c r="BF128" t="s">
        <v>74</v>
      </c>
      <c r="BG128" t="s">
        <v>74</v>
      </c>
      <c r="BH128" t="s">
        <v>74</v>
      </c>
      <c r="BI128">
        <v>6</v>
      </c>
      <c r="BJ128" t="s">
        <v>2642</v>
      </c>
      <c r="BK128" t="s">
        <v>723</v>
      </c>
      <c r="BL128" t="s">
        <v>2643</v>
      </c>
      <c r="BM128" t="s">
        <v>2644</v>
      </c>
      <c r="BN128" t="s">
        <v>74</v>
      </c>
      <c r="BO128" t="s">
        <v>74</v>
      </c>
      <c r="BP128" t="s">
        <v>74</v>
      </c>
      <c r="BQ128" t="s">
        <v>74</v>
      </c>
      <c r="BR128" t="s">
        <v>102</v>
      </c>
      <c r="BS128" t="s">
        <v>2645</v>
      </c>
      <c r="BT128" t="str">
        <f>HYPERLINK("https%3A%2F%2Fwww.webofscience.com%2Fwos%2Fwoscc%2Ffull-record%2FWOS:001214137600037","View Full Record in Web of Science")</f>
        <v>View Full Record in Web of Science</v>
      </c>
    </row>
    <row r="129" spans="1:72" x14ac:dyDescent="0.35">
      <c r="A129" t="s">
        <v>72</v>
      </c>
      <c r="B129" t="s">
        <v>2646</v>
      </c>
      <c r="C129" t="s">
        <v>74</v>
      </c>
      <c r="D129" t="s">
        <v>74</v>
      </c>
      <c r="E129" t="s">
        <v>74</v>
      </c>
      <c r="F129" t="s">
        <v>2647</v>
      </c>
      <c r="G129" t="s">
        <v>74</v>
      </c>
      <c r="H129" t="s">
        <v>74</v>
      </c>
      <c r="I129" t="s">
        <v>2648</v>
      </c>
      <c r="J129" t="s">
        <v>2649</v>
      </c>
      <c r="K129" t="s">
        <v>74</v>
      </c>
      <c r="L129" t="s">
        <v>74</v>
      </c>
      <c r="M129" t="s">
        <v>78</v>
      </c>
      <c r="N129" t="s">
        <v>108</v>
      </c>
      <c r="O129" t="s">
        <v>74</v>
      </c>
      <c r="P129" t="s">
        <v>74</v>
      </c>
      <c r="Q129" t="s">
        <v>74</v>
      </c>
      <c r="R129" t="s">
        <v>74</v>
      </c>
      <c r="S129" t="s">
        <v>74</v>
      </c>
      <c r="T129" t="s">
        <v>2650</v>
      </c>
      <c r="U129" t="s">
        <v>2651</v>
      </c>
      <c r="V129" t="s">
        <v>2652</v>
      </c>
      <c r="W129" t="s">
        <v>2653</v>
      </c>
      <c r="X129" t="s">
        <v>2654</v>
      </c>
      <c r="Y129" t="s">
        <v>2655</v>
      </c>
      <c r="Z129" t="s">
        <v>2656</v>
      </c>
      <c r="AA129" t="s">
        <v>2657</v>
      </c>
      <c r="AB129" t="s">
        <v>2658</v>
      </c>
      <c r="AC129" t="s">
        <v>2659</v>
      </c>
      <c r="AD129" t="s">
        <v>2660</v>
      </c>
      <c r="AE129" t="s">
        <v>2661</v>
      </c>
      <c r="AF129" t="s">
        <v>74</v>
      </c>
      <c r="AG129">
        <v>47</v>
      </c>
      <c r="AH129">
        <v>8</v>
      </c>
      <c r="AI129">
        <v>8</v>
      </c>
      <c r="AJ129">
        <v>20</v>
      </c>
      <c r="AK129">
        <v>64</v>
      </c>
      <c r="AL129" t="s">
        <v>2662</v>
      </c>
      <c r="AM129" t="s">
        <v>2663</v>
      </c>
      <c r="AN129" t="s">
        <v>2664</v>
      </c>
      <c r="AO129" t="s">
        <v>2665</v>
      </c>
      <c r="AP129" t="s">
        <v>74</v>
      </c>
      <c r="AQ129" t="s">
        <v>74</v>
      </c>
      <c r="AR129" t="s">
        <v>2666</v>
      </c>
      <c r="AS129" t="s">
        <v>2667</v>
      </c>
      <c r="AT129" t="s">
        <v>74</v>
      </c>
      <c r="AU129">
        <v>2023</v>
      </c>
      <c r="AV129">
        <v>11</v>
      </c>
      <c r="AW129">
        <v>2</v>
      </c>
      <c r="AX129" t="s">
        <v>74</v>
      </c>
      <c r="AY129" t="s">
        <v>74</v>
      </c>
      <c r="AZ129" t="s">
        <v>74</v>
      </c>
      <c r="BA129" t="s">
        <v>74</v>
      </c>
      <c r="BB129">
        <v>218</v>
      </c>
      <c r="BC129">
        <v>231</v>
      </c>
      <c r="BD129" t="s">
        <v>74</v>
      </c>
      <c r="BE129" t="s">
        <v>2668</v>
      </c>
      <c r="BF129" t="str">
        <f>HYPERLINK("http://dx.doi.org/10.17645/mac.v11i2.6348","http://dx.doi.org/10.17645/mac.v11i2.6348")</f>
        <v>http://dx.doi.org/10.17645/mac.v11i2.6348</v>
      </c>
      <c r="BG129" t="s">
        <v>74</v>
      </c>
      <c r="BH129" t="s">
        <v>74</v>
      </c>
      <c r="BI129">
        <v>14</v>
      </c>
      <c r="BJ129" t="s">
        <v>124</v>
      </c>
      <c r="BK129" t="s">
        <v>99</v>
      </c>
      <c r="BL129" t="s">
        <v>124</v>
      </c>
      <c r="BM129" t="s">
        <v>2669</v>
      </c>
      <c r="BN129" t="s">
        <v>74</v>
      </c>
      <c r="BO129" t="s">
        <v>552</v>
      </c>
      <c r="BP129" t="s">
        <v>74</v>
      </c>
      <c r="BQ129" t="s">
        <v>74</v>
      </c>
      <c r="BR129" t="s">
        <v>102</v>
      </c>
      <c r="BS129" t="s">
        <v>2670</v>
      </c>
      <c r="BT129" t="str">
        <f>HYPERLINK("https%3A%2F%2Fwww.webofscience.com%2Fwos%2Fwoscc%2Ffull-record%2FWOS:000996431600010","View Full Record in Web of Science")</f>
        <v>View Full Record in Web of Science</v>
      </c>
    </row>
    <row r="130" spans="1:72" x14ac:dyDescent="0.35">
      <c r="A130" t="s">
        <v>72</v>
      </c>
      <c r="B130" t="s">
        <v>2671</v>
      </c>
      <c r="C130" t="s">
        <v>74</v>
      </c>
      <c r="D130" t="s">
        <v>74</v>
      </c>
      <c r="E130" t="s">
        <v>74</v>
      </c>
      <c r="F130" t="s">
        <v>2672</v>
      </c>
      <c r="G130" t="s">
        <v>74</v>
      </c>
      <c r="H130" t="s">
        <v>74</v>
      </c>
      <c r="I130" t="s">
        <v>2673</v>
      </c>
      <c r="J130" t="s">
        <v>2674</v>
      </c>
      <c r="K130" t="s">
        <v>74</v>
      </c>
      <c r="L130" t="s">
        <v>74</v>
      </c>
      <c r="M130" t="s">
        <v>78</v>
      </c>
      <c r="N130" t="s">
        <v>108</v>
      </c>
      <c r="O130" t="s">
        <v>74</v>
      </c>
      <c r="P130" t="s">
        <v>74</v>
      </c>
      <c r="Q130" t="s">
        <v>74</v>
      </c>
      <c r="R130" t="s">
        <v>74</v>
      </c>
      <c r="S130" t="s">
        <v>74</v>
      </c>
      <c r="T130" t="s">
        <v>2675</v>
      </c>
      <c r="U130" t="s">
        <v>74</v>
      </c>
      <c r="V130" t="s">
        <v>2676</v>
      </c>
      <c r="W130" t="s">
        <v>2677</v>
      </c>
      <c r="X130" t="s">
        <v>2678</v>
      </c>
      <c r="Y130" t="s">
        <v>2679</v>
      </c>
      <c r="Z130" t="s">
        <v>2680</v>
      </c>
      <c r="AA130" t="s">
        <v>74</v>
      </c>
      <c r="AB130" t="s">
        <v>74</v>
      </c>
      <c r="AC130" t="s">
        <v>74</v>
      </c>
      <c r="AD130" t="s">
        <v>74</v>
      </c>
      <c r="AE130" t="s">
        <v>74</v>
      </c>
      <c r="AF130" t="s">
        <v>74</v>
      </c>
      <c r="AG130">
        <v>0</v>
      </c>
      <c r="AH130">
        <v>0</v>
      </c>
      <c r="AI130">
        <v>0</v>
      </c>
      <c r="AJ130">
        <v>3</v>
      </c>
      <c r="AK130">
        <v>5</v>
      </c>
      <c r="AL130" t="s">
        <v>1061</v>
      </c>
      <c r="AM130" t="s">
        <v>1062</v>
      </c>
      <c r="AN130" t="s">
        <v>1063</v>
      </c>
      <c r="AO130" t="s">
        <v>2681</v>
      </c>
      <c r="AP130" t="s">
        <v>2682</v>
      </c>
      <c r="AQ130" t="s">
        <v>74</v>
      </c>
      <c r="AR130" t="s">
        <v>2683</v>
      </c>
      <c r="AS130" t="s">
        <v>2684</v>
      </c>
      <c r="AT130" t="s">
        <v>74</v>
      </c>
      <c r="AU130">
        <v>2023</v>
      </c>
      <c r="AV130">
        <v>22</v>
      </c>
      <c r="AW130">
        <v>63</v>
      </c>
      <c r="AX130" t="s">
        <v>74</v>
      </c>
      <c r="AY130" t="s">
        <v>74</v>
      </c>
      <c r="AZ130" t="s">
        <v>74</v>
      </c>
      <c r="BA130" t="s">
        <v>74</v>
      </c>
      <c r="BB130">
        <v>67</v>
      </c>
      <c r="BC130">
        <v>70</v>
      </c>
      <c r="BD130" t="s">
        <v>74</v>
      </c>
      <c r="BE130" t="s">
        <v>2685</v>
      </c>
      <c r="BF130" t="str">
        <f>HYPERLINK("http://dx.doi.org/10.1017/S1477175622000288","http://dx.doi.org/10.1017/S1477175622000288")</f>
        <v>http://dx.doi.org/10.1017/S1477175622000288</v>
      </c>
      <c r="BG130" t="s">
        <v>74</v>
      </c>
      <c r="BH130" t="s">
        <v>74</v>
      </c>
      <c r="BI130">
        <v>4</v>
      </c>
      <c r="BJ130" t="s">
        <v>2686</v>
      </c>
      <c r="BK130" t="s">
        <v>125</v>
      </c>
      <c r="BL130" t="s">
        <v>2686</v>
      </c>
      <c r="BM130" t="s">
        <v>2687</v>
      </c>
      <c r="BN130" t="s">
        <v>74</v>
      </c>
      <c r="BO130" t="s">
        <v>74</v>
      </c>
      <c r="BP130" t="s">
        <v>74</v>
      </c>
      <c r="BQ130" t="s">
        <v>74</v>
      </c>
      <c r="BR130" t="s">
        <v>102</v>
      </c>
      <c r="BS130" t="s">
        <v>2688</v>
      </c>
      <c r="BT130" t="str">
        <f>HYPERLINK("https%3A%2F%2Fwww.webofscience.com%2Fwos%2Fwoscc%2Ffull-record%2FWOS:001021616900011","View Full Record in Web of Science")</f>
        <v>View Full Record in Web of Science</v>
      </c>
    </row>
    <row r="131" spans="1:72" x14ac:dyDescent="0.35">
      <c r="A131" t="s">
        <v>72</v>
      </c>
      <c r="B131" t="s">
        <v>2689</v>
      </c>
      <c r="C131" t="s">
        <v>74</v>
      </c>
      <c r="D131" t="s">
        <v>74</v>
      </c>
      <c r="E131" t="s">
        <v>74</v>
      </c>
      <c r="F131" t="s">
        <v>2690</v>
      </c>
      <c r="G131" t="s">
        <v>74</v>
      </c>
      <c r="H131" t="s">
        <v>74</v>
      </c>
      <c r="I131" t="s">
        <v>2691</v>
      </c>
      <c r="J131" t="s">
        <v>2649</v>
      </c>
      <c r="K131" t="s">
        <v>74</v>
      </c>
      <c r="L131" t="s">
        <v>74</v>
      </c>
      <c r="M131" t="s">
        <v>78</v>
      </c>
      <c r="N131" t="s">
        <v>108</v>
      </c>
      <c r="O131" t="s">
        <v>74</v>
      </c>
      <c r="P131" t="s">
        <v>74</v>
      </c>
      <c r="Q131" t="s">
        <v>74</v>
      </c>
      <c r="R131" t="s">
        <v>74</v>
      </c>
      <c r="S131" t="s">
        <v>74</v>
      </c>
      <c r="T131" t="s">
        <v>2692</v>
      </c>
      <c r="U131" t="s">
        <v>2693</v>
      </c>
      <c r="V131" t="s">
        <v>2694</v>
      </c>
      <c r="W131" t="s">
        <v>2695</v>
      </c>
      <c r="X131" t="s">
        <v>2696</v>
      </c>
      <c r="Y131" t="s">
        <v>2697</v>
      </c>
      <c r="Z131" t="s">
        <v>2698</v>
      </c>
      <c r="AA131" t="s">
        <v>2699</v>
      </c>
      <c r="AB131" t="s">
        <v>2700</v>
      </c>
      <c r="AC131" t="s">
        <v>74</v>
      </c>
      <c r="AD131" t="s">
        <v>74</v>
      </c>
      <c r="AE131" t="s">
        <v>74</v>
      </c>
      <c r="AF131" t="s">
        <v>74</v>
      </c>
      <c r="AG131">
        <v>58</v>
      </c>
      <c r="AH131">
        <v>0</v>
      </c>
      <c r="AI131">
        <v>1</v>
      </c>
      <c r="AJ131">
        <v>18</v>
      </c>
      <c r="AK131">
        <v>32</v>
      </c>
      <c r="AL131" t="s">
        <v>2662</v>
      </c>
      <c r="AM131" t="s">
        <v>2663</v>
      </c>
      <c r="AN131" t="s">
        <v>2664</v>
      </c>
      <c r="AO131" t="s">
        <v>2665</v>
      </c>
      <c r="AP131" t="s">
        <v>74</v>
      </c>
      <c r="AQ131" t="s">
        <v>74</v>
      </c>
      <c r="AR131" t="s">
        <v>2666</v>
      </c>
      <c r="AS131" t="s">
        <v>2667</v>
      </c>
      <c r="AT131" t="s">
        <v>74</v>
      </c>
      <c r="AU131">
        <v>2023</v>
      </c>
      <c r="AV131">
        <v>11</v>
      </c>
      <c r="AW131">
        <v>4</v>
      </c>
      <c r="AX131" t="s">
        <v>74</v>
      </c>
      <c r="AY131" t="s">
        <v>74</v>
      </c>
      <c r="AZ131" t="s">
        <v>74</v>
      </c>
      <c r="BA131" t="s">
        <v>74</v>
      </c>
      <c r="BB131">
        <v>187</v>
      </c>
      <c r="BC131">
        <v>202</v>
      </c>
      <c r="BD131" t="s">
        <v>74</v>
      </c>
      <c r="BE131" t="s">
        <v>2701</v>
      </c>
      <c r="BF131" t="str">
        <f>HYPERLINK("http://dx.doi.org/10.17645/mac.v11i4.7123","http://dx.doi.org/10.17645/mac.v11i4.7123")</f>
        <v>http://dx.doi.org/10.17645/mac.v11i4.7123</v>
      </c>
      <c r="BG131" t="s">
        <v>74</v>
      </c>
      <c r="BH131" t="s">
        <v>74</v>
      </c>
      <c r="BI131">
        <v>16</v>
      </c>
      <c r="BJ131" t="s">
        <v>124</v>
      </c>
      <c r="BK131" t="s">
        <v>99</v>
      </c>
      <c r="BL131" t="s">
        <v>124</v>
      </c>
      <c r="BM131" t="s">
        <v>2702</v>
      </c>
      <c r="BN131" t="s">
        <v>74</v>
      </c>
      <c r="BO131" t="s">
        <v>2703</v>
      </c>
      <c r="BP131" t="s">
        <v>74</v>
      </c>
      <c r="BQ131" t="s">
        <v>74</v>
      </c>
      <c r="BR131" t="s">
        <v>102</v>
      </c>
      <c r="BS131" t="s">
        <v>2704</v>
      </c>
      <c r="BT131" t="str">
        <f>HYPERLINK("https%3A%2F%2Fwww.webofscience.com%2Fwos%2Fwoscc%2Ffull-record%2FWOS:001157268200007","View Full Record in Web of Science")</f>
        <v>View Full Record in Web of Science</v>
      </c>
    </row>
    <row r="132" spans="1:72" x14ac:dyDescent="0.35">
      <c r="A132" t="s">
        <v>72</v>
      </c>
      <c r="B132" t="s">
        <v>2705</v>
      </c>
      <c r="C132" t="s">
        <v>74</v>
      </c>
      <c r="D132" t="s">
        <v>74</v>
      </c>
      <c r="E132" t="s">
        <v>74</v>
      </c>
      <c r="F132" t="s">
        <v>2706</v>
      </c>
      <c r="G132" t="s">
        <v>74</v>
      </c>
      <c r="H132" t="s">
        <v>74</v>
      </c>
      <c r="I132" t="s">
        <v>2707</v>
      </c>
      <c r="J132" t="s">
        <v>968</v>
      </c>
      <c r="K132" t="s">
        <v>74</v>
      </c>
      <c r="L132" t="s">
        <v>74</v>
      </c>
      <c r="M132" t="s">
        <v>78</v>
      </c>
      <c r="N132" t="s">
        <v>108</v>
      </c>
      <c r="O132" t="s">
        <v>74</v>
      </c>
      <c r="P132" t="s">
        <v>74</v>
      </c>
      <c r="Q132" t="s">
        <v>74</v>
      </c>
      <c r="R132" t="s">
        <v>74</v>
      </c>
      <c r="S132" t="s">
        <v>74</v>
      </c>
      <c r="T132" t="s">
        <v>2708</v>
      </c>
      <c r="U132" t="s">
        <v>2709</v>
      </c>
      <c r="V132" t="s">
        <v>2710</v>
      </c>
      <c r="W132" t="s">
        <v>2711</v>
      </c>
      <c r="X132" t="s">
        <v>1081</v>
      </c>
      <c r="Y132" t="s">
        <v>2712</v>
      </c>
      <c r="Z132" t="s">
        <v>1083</v>
      </c>
      <c r="AA132" t="s">
        <v>1084</v>
      </c>
      <c r="AB132" t="s">
        <v>2713</v>
      </c>
      <c r="AC132" t="s">
        <v>2714</v>
      </c>
      <c r="AD132" t="s">
        <v>2715</v>
      </c>
      <c r="AE132" t="s">
        <v>2716</v>
      </c>
      <c r="AF132" t="s">
        <v>74</v>
      </c>
      <c r="AG132">
        <v>53</v>
      </c>
      <c r="AH132">
        <v>5</v>
      </c>
      <c r="AI132">
        <v>5</v>
      </c>
      <c r="AJ132">
        <v>23</v>
      </c>
      <c r="AK132">
        <v>95</v>
      </c>
      <c r="AL132" t="s">
        <v>226</v>
      </c>
      <c r="AM132" t="s">
        <v>227</v>
      </c>
      <c r="AN132" t="s">
        <v>228</v>
      </c>
      <c r="AO132" t="s">
        <v>978</v>
      </c>
      <c r="AP132" t="s">
        <v>979</v>
      </c>
      <c r="AQ132" t="s">
        <v>74</v>
      </c>
      <c r="AR132" t="s">
        <v>980</v>
      </c>
      <c r="AS132" t="s">
        <v>981</v>
      </c>
      <c r="AT132" t="s">
        <v>297</v>
      </c>
      <c r="AU132">
        <v>2023</v>
      </c>
      <c r="AV132">
        <v>188</v>
      </c>
      <c r="AW132">
        <v>1</v>
      </c>
      <c r="AX132" t="s">
        <v>74</v>
      </c>
      <c r="AY132" t="s">
        <v>74</v>
      </c>
      <c r="AZ132" t="s">
        <v>74</v>
      </c>
      <c r="BA132" t="s">
        <v>74</v>
      </c>
      <c r="BB132">
        <v>86</v>
      </c>
      <c r="BC132">
        <v>111</v>
      </c>
      <c r="BD132" t="s">
        <v>74</v>
      </c>
      <c r="BE132" t="s">
        <v>2717</v>
      </c>
      <c r="BF132" t="str">
        <f>HYPERLINK("http://dx.doi.org/10.1177/1329878X231186445","http://dx.doi.org/10.1177/1329878X231186445")</f>
        <v>http://dx.doi.org/10.1177/1329878X231186445</v>
      </c>
      <c r="BG132" t="s">
        <v>74</v>
      </c>
      <c r="BH132" t="s">
        <v>1180</v>
      </c>
      <c r="BI132">
        <v>26</v>
      </c>
      <c r="BJ132" t="s">
        <v>124</v>
      </c>
      <c r="BK132" t="s">
        <v>99</v>
      </c>
      <c r="BL132" t="s">
        <v>124</v>
      </c>
      <c r="BM132" t="s">
        <v>2718</v>
      </c>
      <c r="BN132" t="s">
        <v>74</v>
      </c>
      <c r="BO132" t="s">
        <v>1343</v>
      </c>
      <c r="BP132" t="s">
        <v>74</v>
      </c>
      <c r="BQ132" t="s">
        <v>74</v>
      </c>
      <c r="BR132" t="s">
        <v>102</v>
      </c>
      <c r="BS132" t="s">
        <v>2719</v>
      </c>
      <c r="BT132" t="str">
        <f>HYPERLINK("https%3A%2F%2Fwww.webofscience.com%2Fwos%2Fwoscc%2Ffull-record%2FWOS:001027194100001","View Full Record in Web of Science")</f>
        <v>View Full Record in Web of Science</v>
      </c>
    </row>
    <row r="133" spans="1:72" x14ac:dyDescent="0.35">
      <c r="A133" t="s">
        <v>128</v>
      </c>
      <c r="B133" t="s">
        <v>2720</v>
      </c>
      <c r="C133" t="s">
        <v>74</v>
      </c>
      <c r="D133" t="s">
        <v>74</v>
      </c>
      <c r="E133" t="s">
        <v>702</v>
      </c>
      <c r="F133" t="s">
        <v>2721</v>
      </c>
      <c r="G133" t="s">
        <v>74</v>
      </c>
      <c r="H133" t="s">
        <v>74</v>
      </c>
      <c r="I133" t="s">
        <v>2722</v>
      </c>
      <c r="J133" t="s">
        <v>2723</v>
      </c>
      <c r="K133" t="s">
        <v>74</v>
      </c>
      <c r="L133" t="s">
        <v>74</v>
      </c>
      <c r="M133" t="s">
        <v>78</v>
      </c>
      <c r="N133" t="s">
        <v>135</v>
      </c>
      <c r="O133" t="s">
        <v>2724</v>
      </c>
      <c r="P133" t="s">
        <v>2725</v>
      </c>
      <c r="Q133" t="s">
        <v>138</v>
      </c>
      <c r="R133" t="s">
        <v>2726</v>
      </c>
      <c r="S133" t="s">
        <v>74</v>
      </c>
      <c r="T133" t="s">
        <v>2727</v>
      </c>
      <c r="U133" t="s">
        <v>74</v>
      </c>
      <c r="V133" t="s">
        <v>2728</v>
      </c>
      <c r="W133" t="s">
        <v>2729</v>
      </c>
      <c r="X133" t="s">
        <v>2730</v>
      </c>
      <c r="Y133" t="s">
        <v>2731</v>
      </c>
      <c r="Z133" t="s">
        <v>2732</v>
      </c>
      <c r="AA133" t="s">
        <v>2733</v>
      </c>
      <c r="AB133" t="s">
        <v>74</v>
      </c>
      <c r="AC133" t="s">
        <v>74</v>
      </c>
      <c r="AD133" t="s">
        <v>74</v>
      </c>
      <c r="AE133" t="s">
        <v>74</v>
      </c>
      <c r="AF133" t="s">
        <v>74</v>
      </c>
      <c r="AG133">
        <v>58</v>
      </c>
      <c r="AH133">
        <v>18</v>
      </c>
      <c r="AI133">
        <v>20</v>
      </c>
      <c r="AJ133">
        <v>10</v>
      </c>
      <c r="AK133">
        <v>97</v>
      </c>
      <c r="AL133" t="s">
        <v>718</v>
      </c>
      <c r="AM133" t="s">
        <v>666</v>
      </c>
      <c r="AN133" t="s">
        <v>719</v>
      </c>
      <c r="AO133" t="s">
        <v>74</v>
      </c>
      <c r="AP133" t="s">
        <v>74</v>
      </c>
      <c r="AQ133" t="s">
        <v>2734</v>
      </c>
      <c r="AR133" t="s">
        <v>74</v>
      </c>
      <c r="AS133" t="s">
        <v>74</v>
      </c>
      <c r="AT133" t="s">
        <v>74</v>
      </c>
      <c r="AU133">
        <v>2022</v>
      </c>
      <c r="AV133" t="s">
        <v>74</v>
      </c>
      <c r="AW133" t="s">
        <v>74</v>
      </c>
      <c r="AX133" t="s">
        <v>74</v>
      </c>
      <c r="AY133" t="s">
        <v>74</v>
      </c>
      <c r="AZ133" t="s">
        <v>74</v>
      </c>
      <c r="BA133" t="s">
        <v>74</v>
      </c>
      <c r="BB133">
        <v>2298</v>
      </c>
      <c r="BC133">
        <v>2309</v>
      </c>
      <c r="BD133" t="s">
        <v>74</v>
      </c>
      <c r="BE133" t="s">
        <v>2735</v>
      </c>
      <c r="BF133" t="str">
        <f>HYPERLINK("http://dx.doi.org/10.1145/3485447.3512102","http://dx.doi.org/10.1145/3485447.3512102")</f>
        <v>http://dx.doi.org/10.1145/3485447.3512102</v>
      </c>
      <c r="BG133" t="s">
        <v>74</v>
      </c>
      <c r="BH133" t="s">
        <v>74</v>
      </c>
      <c r="BI133">
        <v>12</v>
      </c>
      <c r="BJ133" t="s">
        <v>2736</v>
      </c>
      <c r="BK133" t="s">
        <v>723</v>
      </c>
      <c r="BL133" t="s">
        <v>210</v>
      </c>
      <c r="BM133" t="s">
        <v>2737</v>
      </c>
      <c r="BN133" t="s">
        <v>74</v>
      </c>
      <c r="BO133" t="s">
        <v>2738</v>
      </c>
      <c r="BP133" t="s">
        <v>74</v>
      </c>
      <c r="BQ133" t="s">
        <v>74</v>
      </c>
      <c r="BR133" t="s">
        <v>102</v>
      </c>
      <c r="BS133" t="s">
        <v>2739</v>
      </c>
      <c r="BT133" t="str">
        <f>HYPERLINK("https%3A%2F%2Fwww.webofscience.com%2Fwos%2Fwoscc%2Ffull-record%2FWOS:000852713002035","View Full Record in Web of Science")</f>
        <v>View Full Record in Web of Science</v>
      </c>
    </row>
    <row r="134" spans="1:72" x14ac:dyDescent="0.35">
      <c r="A134" t="s">
        <v>72</v>
      </c>
      <c r="B134" t="s">
        <v>2740</v>
      </c>
      <c r="C134" t="s">
        <v>74</v>
      </c>
      <c r="D134" t="s">
        <v>74</v>
      </c>
      <c r="E134" t="s">
        <v>74</v>
      </c>
      <c r="F134" t="s">
        <v>2741</v>
      </c>
      <c r="G134" t="s">
        <v>74</v>
      </c>
      <c r="H134" t="s">
        <v>74</v>
      </c>
      <c r="I134" t="s">
        <v>2742</v>
      </c>
      <c r="J134" t="s">
        <v>2743</v>
      </c>
      <c r="K134" t="s">
        <v>74</v>
      </c>
      <c r="L134" t="s">
        <v>74</v>
      </c>
      <c r="M134" t="s">
        <v>78</v>
      </c>
      <c r="N134" t="s">
        <v>1328</v>
      </c>
      <c r="O134" t="s">
        <v>74</v>
      </c>
      <c r="P134" t="s">
        <v>74</v>
      </c>
      <c r="Q134" t="s">
        <v>74</v>
      </c>
      <c r="R134" t="s">
        <v>74</v>
      </c>
      <c r="S134" t="s">
        <v>74</v>
      </c>
      <c r="T134" t="s">
        <v>2744</v>
      </c>
      <c r="U134" t="s">
        <v>2745</v>
      </c>
      <c r="V134" t="s">
        <v>74</v>
      </c>
      <c r="W134" t="s">
        <v>2746</v>
      </c>
      <c r="X134" t="s">
        <v>2747</v>
      </c>
      <c r="Y134" t="s">
        <v>2748</v>
      </c>
      <c r="Z134" t="s">
        <v>2749</v>
      </c>
      <c r="AA134" t="s">
        <v>74</v>
      </c>
      <c r="AB134" t="s">
        <v>2750</v>
      </c>
      <c r="AC134" t="s">
        <v>74</v>
      </c>
      <c r="AD134" t="s">
        <v>74</v>
      </c>
      <c r="AE134" t="s">
        <v>74</v>
      </c>
      <c r="AF134" t="s">
        <v>74</v>
      </c>
      <c r="AG134">
        <v>5</v>
      </c>
      <c r="AH134">
        <v>4</v>
      </c>
      <c r="AI134">
        <v>4</v>
      </c>
      <c r="AJ134">
        <v>0</v>
      </c>
      <c r="AK134">
        <v>2</v>
      </c>
      <c r="AL134" t="s">
        <v>516</v>
      </c>
      <c r="AM134" t="s">
        <v>517</v>
      </c>
      <c r="AN134" t="s">
        <v>518</v>
      </c>
      <c r="AO134" t="s">
        <v>74</v>
      </c>
      <c r="AP134" t="s">
        <v>2751</v>
      </c>
      <c r="AQ134" t="s">
        <v>74</v>
      </c>
      <c r="AR134" t="s">
        <v>2752</v>
      </c>
      <c r="AS134" t="s">
        <v>2753</v>
      </c>
      <c r="AT134" t="s">
        <v>455</v>
      </c>
      <c r="AU134">
        <v>2022</v>
      </c>
      <c r="AV134">
        <v>8</v>
      </c>
      <c r="AW134" t="s">
        <v>74</v>
      </c>
      <c r="AX134" t="s">
        <v>74</v>
      </c>
      <c r="AY134" t="s">
        <v>74</v>
      </c>
      <c r="AZ134" t="s">
        <v>74</v>
      </c>
      <c r="BA134" t="s">
        <v>74</v>
      </c>
      <c r="BB134">
        <v>116</v>
      </c>
      <c r="BC134">
        <v>117</v>
      </c>
      <c r="BD134" t="s">
        <v>74</v>
      </c>
      <c r="BE134" t="s">
        <v>2754</v>
      </c>
      <c r="BF134" t="str">
        <f>HYPERLINK("http://dx.doi.org/10.1016/j.jdin.2022.06.015","http://dx.doi.org/10.1016/j.jdin.2022.06.015")</f>
        <v>http://dx.doi.org/10.1016/j.jdin.2022.06.015</v>
      </c>
      <c r="BG134" t="s">
        <v>74</v>
      </c>
      <c r="BH134" t="s">
        <v>74</v>
      </c>
      <c r="BI134">
        <v>2</v>
      </c>
      <c r="BJ134" t="s">
        <v>1341</v>
      </c>
      <c r="BK134" t="s">
        <v>125</v>
      </c>
      <c r="BL134" t="s">
        <v>1341</v>
      </c>
      <c r="BM134" t="s">
        <v>2755</v>
      </c>
      <c r="BN134">
        <v>35875398</v>
      </c>
      <c r="BO134" t="s">
        <v>394</v>
      </c>
      <c r="BP134" t="s">
        <v>74</v>
      </c>
      <c r="BQ134" t="s">
        <v>74</v>
      </c>
      <c r="BR134" t="s">
        <v>102</v>
      </c>
      <c r="BS134" t="s">
        <v>2756</v>
      </c>
      <c r="BT134" t="str">
        <f>HYPERLINK("https%3A%2F%2Fwww.webofscience.com%2Fwos%2Fwoscc%2Ffull-record%2FWOS:001244643600030","View Full Record in Web of Science")</f>
        <v>View Full Record in Web of Science</v>
      </c>
    </row>
    <row r="135" spans="1:72" x14ac:dyDescent="0.35">
      <c r="A135" t="s">
        <v>72</v>
      </c>
      <c r="B135" t="s">
        <v>2757</v>
      </c>
      <c r="C135" t="s">
        <v>74</v>
      </c>
      <c r="D135" t="s">
        <v>74</v>
      </c>
      <c r="E135" t="s">
        <v>74</v>
      </c>
      <c r="F135" t="s">
        <v>2758</v>
      </c>
      <c r="G135" t="s">
        <v>74</v>
      </c>
      <c r="H135" t="s">
        <v>74</v>
      </c>
      <c r="I135" t="s">
        <v>2759</v>
      </c>
      <c r="J135" t="s">
        <v>2760</v>
      </c>
      <c r="K135" t="s">
        <v>74</v>
      </c>
      <c r="L135" t="s">
        <v>74</v>
      </c>
      <c r="M135" t="s">
        <v>78</v>
      </c>
      <c r="N135" t="s">
        <v>108</v>
      </c>
      <c r="O135" t="s">
        <v>74</v>
      </c>
      <c r="P135" t="s">
        <v>74</v>
      </c>
      <c r="Q135" t="s">
        <v>74</v>
      </c>
      <c r="R135" t="s">
        <v>74</v>
      </c>
      <c r="S135" t="s">
        <v>74</v>
      </c>
      <c r="T135" t="s">
        <v>2761</v>
      </c>
      <c r="U135" t="s">
        <v>1036</v>
      </c>
      <c r="V135" t="s">
        <v>2762</v>
      </c>
      <c r="W135" t="s">
        <v>2763</v>
      </c>
      <c r="X135" t="s">
        <v>2764</v>
      </c>
      <c r="Y135" t="s">
        <v>2765</v>
      </c>
      <c r="Z135" t="s">
        <v>2766</v>
      </c>
      <c r="AA135" t="s">
        <v>74</v>
      </c>
      <c r="AB135" t="s">
        <v>74</v>
      </c>
      <c r="AC135" t="s">
        <v>74</v>
      </c>
      <c r="AD135" t="s">
        <v>74</v>
      </c>
      <c r="AE135" t="s">
        <v>74</v>
      </c>
      <c r="AF135" t="s">
        <v>74</v>
      </c>
      <c r="AG135">
        <v>40</v>
      </c>
      <c r="AH135">
        <v>0</v>
      </c>
      <c r="AI135">
        <v>0</v>
      </c>
      <c r="AJ135">
        <v>4</v>
      </c>
      <c r="AK135">
        <v>4</v>
      </c>
      <c r="AL135" t="s">
        <v>2767</v>
      </c>
      <c r="AM135" t="s">
        <v>2768</v>
      </c>
      <c r="AN135" t="s">
        <v>2769</v>
      </c>
      <c r="AO135" t="s">
        <v>74</v>
      </c>
      <c r="AP135" t="s">
        <v>2770</v>
      </c>
      <c r="AQ135" t="s">
        <v>74</v>
      </c>
      <c r="AR135" t="s">
        <v>2771</v>
      </c>
      <c r="AS135" t="s">
        <v>2772</v>
      </c>
      <c r="AT135" t="s">
        <v>2773</v>
      </c>
      <c r="AU135">
        <v>2024</v>
      </c>
      <c r="AV135">
        <v>20</v>
      </c>
      <c r="AW135">
        <v>3</v>
      </c>
      <c r="AX135" t="s">
        <v>74</v>
      </c>
      <c r="AY135" t="s">
        <v>74</v>
      </c>
      <c r="AZ135" t="s">
        <v>74</v>
      </c>
      <c r="BA135" t="s">
        <v>74</v>
      </c>
      <c r="BB135">
        <v>212</v>
      </c>
      <c r="BC135">
        <v>235</v>
      </c>
      <c r="BD135" t="s">
        <v>74</v>
      </c>
      <c r="BE135" t="s">
        <v>2774</v>
      </c>
      <c r="BF135" t="str">
        <f>HYPERLINK("http://dx.doi.org/10.18778/1733-8069.20.3.10","http://dx.doi.org/10.18778/1733-8069.20.3.10")</f>
        <v>http://dx.doi.org/10.18778/1733-8069.20.3.10</v>
      </c>
      <c r="BG135" t="s">
        <v>74</v>
      </c>
      <c r="BH135" t="s">
        <v>74</v>
      </c>
      <c r="BI135">
        <v>24</v>
      </c>
      <c r="BJ135" t="s">
        <v>338</v>
      </c>
      <c r="BK135" t="s">
        <v>125</v>
      </c>
      <c r="BL135" t="s">
        <v>339</v>
      </c>
      <c r="BM135" t="s">
        <v>2775</v>
      </c>
      <c r="BN135" t="s">
        <v>74</v>
      </c>
      <c r="BO135" t="s">
        <v>235</v>
      </c>
      <c r="BP135" t="s">
        <v>74</v>
      </c>
      <c r="BQ135" t="s">
        <v>74</v>
      </c>
      <c r="BR135" t="s">
        <v>102</v>
      </c>
      <c r="BS135" t="s">
        <v>2776</v>
      </c>
      <c r="BT135" t="str">
        <f>HYPERLINK("https%3A%2F%2Fwww.webofscience.com%2Fwos%2Fwoscc%2Ffull-record%2FWOS:001318423000010","View Full Record in Web of Science")</f>
        <v>View Full Record in Web of Science</v>
      </c>
    </row>
    <row r="136" spans="1:72" x14ac:dyDescent="0.35">
      <c r="A136" t="s">
        <v>128</v>
      </c>
      <c r="B136" t="s">
        <v>2777</v>
      </c>
      <c r="C136" t="s">
        <v>74</v>
      </c>
      <c r="D136" t="s">
        <v>74</v>
      </c>
      <c r="E136" t="s">
        <v>702</v>
      </c>
      <c r="F136" t="s">
        <v>2778</v>
      </c>
      <c r="G136" t="s">
        <v>74</v>
      </c>
      <c r="H136" t="s">
        <v>74</v>
      </c>
      <c r="I136" t="s">
        <v>2779</v>
      </c>
      <c r="J136" t="s">
        <v>2780</v>
      </c>
      <c r="K136" t="s">
        <v>74</v>
      </c>
      <c r="L136" t="s">
        <v>74</v>
      </c>
      <c r="M136" t="s">
        <v>78</v>
      </c>
      <c r="N136" t="s">
        <v>135</v>
      </c>
      <c r="O136" t="s">
        <v>2781</v>
      </c>
      <c r="P136" t="s">
        <v>2782</v>
      </c>
      <c r="Q136" t="s">
        <v>2783</v>
      </c>
      <c r="R136" t="s">
        <v>2784</v>
      </c>
      <c r="S136" t="s">
        <v>74</v>
      </c>
      <c r="T136" t="s">
        <v>2785</v>
      </c>
      <c r="U136" t="s">
        <v>74</v>
      </c>
      <c r="V136" t="s">
        <v>2786</v>
      </c>
      <c r="W136" t="s">
        <v>2787</v>
      </c>
      <c r="X136" t="s">
        <v>2788</v>
      </c>
      <c r="Y136" t="s">
        <v>2789</v>
      </c>
      <c r="Z136" t="s">
        <v>2790</v>
      </c>
      <c r="AA136" t="s">
        <v>74</v>
      </c>
      <c r="AB136" t="s">
        <v>2791</v>
      </c>
      <c r="AC136" t="s">
        <v>74</v>
      </c>
      <c r="AD136" t="s">
        <v>74</v>
      </c>
      <c r="AE136" t="s">
        <v>74</v>
      </c>
      <c r="AF136" t="s">
        <v>74</v>
      </c>
      <c r="AG136">
        <v>22</v>
      </c>
      <c r="AH136">
        <v>11</v>
      </c>
      <c r="AI136">
        <v>12</v>
      </c>
      <c r="AJ136">
        <v>9</v>
      </c>
      <c r="AK136">
        <v>20</v>
      </c>
      <c r="AL136" t="s">
        <v>718</v>
      </c>
      <c r="AM136" t="s">
        <v>666</v>
      </c>
      <c r="AN136" t="s">
        <v>719</v>
      </c>
      <c r="AO136" t="s">
        <v>74</v>
      </c>
      <c r="AP136" t="s">
        <v>74</v>
      </c>
      <c r="AQ136" t="s">
        <v>2792</v>
      </c>
      <c r="AR136" t="s">
        <v>74</v>
      </c>
      <c r="AS136" t="s">
        <v>74</v>
      </c>
      <c r="AT136" t="s">
        <v>74</v>
      </c>
      <c r="AU136">
        <v>2023</v>
      </c>
      <c r="AV136" t="s">
        <v>74</v>
      </c>
      <c r="AW136" t="s">
        <v>74</v>
      </c>
      <c r="AX136" t="s">
        <v>74</v>
      </c>
      <c r="AY136" t="s">
        <v>74</v>
      </c>
      <c r="AZ136" t="s">
        <v>74</v>
      </c>
      <c r="BA136" t="s">
        <v>74</v>
      </c>
      <c r="BB136">
        <v>234</v>
      </c>
      <c r="BC136">
        <v>237</v>
      </c>
      <c r="BD136" t="s">
        <v>74</v>
      </c>
      <c r="BE136" t="s">
        <v>2793</v>
      </c>
      <c r="BF136" t="str">
        <f>HYPERLINK("http://dx.doi.org/10.1145/3543873.3587355","http://dx.doi.org/10.1145/3543873.3587355")</f>
        <v>http://dx.doi.org/10.1145/3543873.3587355</v>
      </c>
      <c r="BG136" t="s">
        <v>74</v>
      </c>
      <c r="BH136" t="s">
        <v>74</v>
      </c>
      <c r="BI136">
        <v>4</v>
      </c>
      <c r="BJ136" t="s">
        <v>2794</v>
      </c>
      <c r="BK136" t="s">
        <v>723</v>
      </c>
      <c r="BL136" t="s">
        <v>210</v>
      </c>
      <c r="BM136" t="s">
        <v>2795</v>
      </c>
      <c r="BN136" t="s">
        <v>74</v>
      </c>
      <c r="BO136" t="s">
        <v>74</v>
      </c>
      <c r="BP136" t="s">
        <v>74</v>
      </c>
      <c r="BQ136" t="s">
        <v>74</v>
      </c>
      <c r="BR136" t="s">
        <v>102</v>
      </c>
      <c r="BS136" t="s">
        <v>2796</v>
      </c>
      <c r="BT136" t="str">
        <f>HYPERLINK("https%3A%2F%2Fwww.webofscience.com%2Fwos%2Fwoscc%2Ffull-record%2FWOS:001124276300057","View Full Record in Web of Science")</f>
        <v>View Full Record in Web of Science</v>
      </c>
    </row>
    <row r="137" spans="1:72" x14ac:dyDescent="0.35">
      <c r="A137" t="s">
        <v>72</v>
      </c>
      <c r="B137" t="s">
        <v>2797</v>
      </c>
      <c r="C137" t="s">
        <v>74</v>
      </c>
      <c r="D137" t="s">
        <v>74</v>
      </c>
      <c r="E137" t="s">
        <v>74</v>
      </c>
      <c r="F137" t="s">
        <v>2798</v>
      </c>
      <c r="G137" t="s">
        <v>74</v>
      </c>
      <c r="H137" t="s">
        <v>74</v>
      </c>
      <c r="I137" t="s">
        <v>2799</v>
      </c>
      <c r="J137" t="s">
        <v>1034</v>
      </c>
      <c r="K137" t="s">
        <v>74</v>
      </c>
      <c r="L137" t="s">
        <v>74</v>
      </c>
      <c r="M137" t="s">
        <v>78</v>
      </c>
      <c r="N137" t="s">
        <v>79</v>
      </c>
      <c r="O137" t="s">
        <v>74</v>
      </c>
      <c r="P137" t="s">
        <v>74</v>
      </c>
      <c r="Q137" t="s">
        <v>74</v>
      </c>
      <c r="R137" t="s">
        <v>74</v>
      </c>
      <c r="S137" t="s">
        <v>74</v>
      </c>
      <c r="T137" t="s">
        <v>2800</v>
      </c>
      <c r="U137" t="s">
        <v>1036</v>
      </c>
      <c r="V137" t="s">
        <v>2801</v>
      </c>
      <c r="W137" t="s">
        <v>2802</v>
      </c>
      <c r="X137" t="s">
        <v>2803</v>
      </c>
      <c r="Y137" t="s">
        <v>2804</v>
      </c>
      <c r="Z137" t="s">
        <v>2805</v>
      </c>
      <c r="AA137" t="s">
        <v>2806</v>
      </c>
      <c r="AB137" t="s">
        <v>74</v>
      </c>
      <c r="AC137" t="s">
        <v>74</v>
      </c>
      <c r="AD137" t="s">
        <v>74</v>
      </c>
      <c r="AE137" t="s">
        <v>74</v>
      </c>
      <c r="AF137" t="s">
        <v>74</v>
      </c>
      <c r="AG137">
        <v>42</v>
      </c>
      <c r="AH137">
        <v>0</v>
      </c>
      <c r="AI137">
        <v>0</v>
      </c>
      <c r="AJ137">
        <v>4</v>
      </c>
      <c r="AK137">
        <v>4</v>
      </c>
      <c r="AL137" t="s">
        <v>226</v>
      </c>
      <c r="AM137" t="s">
        <v>227</v>
      </c>
      <c r="AN137" t="s">
        <v>228</v>
      </c>
      <c r="AO137" t="s">
        <v>1041</v>
      </c>
      <c r="AP137" t="s">
        <v>1042</v>
      </c>
      <c r="AQ137" t="s">
        <v>74</v>
      </c>
      <c r="AR137" t="s">
        <v>1043</v>
      </c>
      <c r="AS137" t="s">
        <v>1044</v>
      </c>
      <c r="AT137" t="s">
        <v>2807</v>
      </c>
      <c r="AU137">
        <v>2024</v>
      </c>
      <c r="AV137" t="s">
        <v>74</v>
      </c>
      <c r="AW137" t="s">
        <v>74</v>
      </c>
      <c r="AX137" t="s">
        <v>74</v>
      </c>
      <c r="AY137" t="s">
        <v>74</v>
      </c>
      <c r="AZ137" t="s">
        <v>74</v>
      </c>
      <c r="BA137" t="s">
        <v>74</v>
      </c>
      <c r="BB137" t="s">
        <v>74</v>
      </c>
      <c r="BC137" t="s">
        <v>74</v>
      </c>
      <c r="BD137" t="s">
        <v>74</v>
      </c>
      <c r="BE137" t="s">
        <v>2808</v>
      </c>
      <c r="BF137" t="str">
        <f>HYPERLINK("http://dx.doi.org/10.1177/01634437241282905","http://dx.doi.org/10.1177/01634437241282905")</f>
        <v>http://dx.doi.org/10.1177/01634437241282905</v>
      </c>
      <c r="BG137" t="s">
        <v>74</v>
      </c>
      <c r="BH137" t="s">
        <v>1721</v>
      </c>
      <c r="BI137">
        <v>20</v>
      </c>
      <c r="BJ137" t="s">
        <v>1047</v>
      </c>
      <c r="BK137" t="s">
        <v>99</v>
      </c>
      <c r="BL137" t="s">
        <v>1047</v>
      </c>
      <c r="BM137" t="s">
        <v>2809</v>
      </c>
      <c r="BN137" t="s">
        <v>74</v>
      </c>
      <c r="BO137" t="s">
        <v>74</v>
      </c>
      <c r="BP137" t="s">
        <v>74</v>
      </c>
      <c r="BQ137" t="s">
        <v>74</v>
      </c>
      <c r="BR137" t="s">
        <v>102</v>
      </c>
      <c r="BS137" t="s">
        <v>2810</v>
      </c>
      <c r="BT137" t="str">
        <f>HYPERLINK("https%3A%2F%2Fwww.webofscience.com%2Fwos%2Fwoscc%2Ffull-record%2FWOS:001330310800001","View Full Record in Web of Science")</f>
        <v>View Full Record in Web of Science</v>
      </c>
    </row>
    <row r="138" spans="1:72" x14ac:dyDescent="0.35">
      <c r="A138" t="s">
        <v>72</v>
      </c>
      <c r="B138" t="s">
        <v>2811</v>
      </c>
      <c r="C138" t="s">
        <v>74</v>
      </c>
      <c r="D138" t="s">
        <v>74</v>
      </c>
      <c r="E138" t="s">
        <v>74</v>
      </c>
      <c r="F138" t="s">
        <v>2812</v>
      </c>
      <c r="G138" t="s">
        <v>74</v>
      </c>
      <c r="H138" t="s">
        <v>74</v>
      </c>
      <c r="I138" t="s">
        <v>2813</v>
      </c>
      <c r="J138" t="s">
        <v>2814</v>
      </c>
      <c r="K138" t="s">
        <v>74</v>
      </c>
      <c r="L138" t="s">
        <v>74</v>
      </c>
      <c r="M138" t="s">
        <v>78</v>
      </c>
      <c r="N138" t="s">
        <v>1328</v>
      </c>
      <c r="O138" t="s">
        <v>74</v>
      </c>
      <c r="P138" t="s">
        <v>74</v>
      </c>
      <c r="Q138" t="s">
        <v>74</v>
      </c>
      <c r="R138" t="s">
        <v>74</v>
      </c>
      <c r="S138" t="s">
        <v>74</v>
      </c>
      <c r="T138" t="s">
        <v>2815</v>
      </c>
      <c r="U138" t="s">
        <v>74</v>
      </c>
      <c r="V138" t="s">
        <v>74</v>
      </c>
      <c r="W138" t="s">
        <v>2816</v>
      </c>
      <c r="X138" t="s">
        <v>2817</v>
      </c>
      <c r="Y138" t="s">
        <v>2818</v>
      </c>
      <c r="Z138" t="s">
        <v>2819</v>
      </c>
      <c r="AA138" t="s">
        <v>74</v>
      </c>
      <c r="AB138" t="s">
        <v>2820</v>
      </c>
      <c r="AC138" t="s">
        <v>74</v>
      </c>
      <c r="AD138" t="s">
        <v>74</v>
      </c>
      <c r="AE138" t="s">
        <v>74</v>
      </c>
      <c r="AF138" t="s">
        <v>74</v>
      </c>
      <c r="AG138">
        <v>9</v>
      </c>
      <c r="AH138">
        <v>5</v>
      </c>
      <c r="AI138">
        <v>5</v>
      </c>
      <c r="AJ138">
        <v>4</v>
      </c>
      <c r="AK138">
        <v>13</v>
      </c>
      <c r="AL138" t="s">
        <v>543</v>
      </c>
      <c r="AM138" t="s">
        <v>544</v>
      </c>
      <c r="AN138" t="s">
        <v>545</v>
      </c>
      <c r="AO138" t="s">
        <v>2821</v>
      </c>
      <c r="AP138" t="s">
        <v>74</v>
      </c>
      <c r="AQ138" t="s">
        <v>74</v>
      </c>
      <c r="AR138" t="s">
        <v>2822</v>
      </c>
      <c r="AS138" t="s">
        <v>2823</v>
      </c>
      <c r="AT138" t="s">
        <v>2824</v>
      </c>
      <c r="AU138">
        <v>2023</v>
      </c>
      <c r="AV138">
        <v>25</v>
      </c>
      <c r="AW138" t="s">
        <v>74</v>
      </c>
      <c r="AX138" t="s">
        <v>74</v>
      </c>
      <c r="AY138" t="s">
        <v>74</v>
      </c>
      <c r="AZ138" t="s">
        <v>74</v>
      </c>
      <c r="BA138" t="s">
        <v>74</v>
      </c>
      <c r="BB138" t="s">
        <v>74</v>
      </c>
      <c r="BC138" t="s">
        <v>74</v>
      </c>
      <c r="BD138" t="s">
        <v>2825</v>
      </c>
      <c r="BE138" t="s">
        <v>2826</v>
      </c>
      <c r="BF138" t="str">
        <f>HYPERLINK("http://dx.doi.org/10.2196/44697","http://dx.doi.org/10.2196/44697")</f>
        <v>http://dx.doi.org/10.2196/44697</v>
      </c>
      <c r="BG138" t="s">
        <v>74</v>
      </c>
      <c r="BH138" t="s">
        <v>74</v>
      </c>
      <c r="BI138">
        <v>3</v>
      </c>
      <c r="BJ138" t="s">
        <v>550</v>
      </c>
      <c r="BK138" t="s">
        <v>209</v>
      </c>
      <c r="BL138" t="s">
        <v>550</v>
      </c>
      <c r="BM138" t="s">
        <v>2827</v>
      </c>
      <c r="BN138">
        <v>36649057</v>
      </c>
      <c r="BO138" t="s">
        <v>552</v>
      </c>
      <c r="BP138" t="s">
        <v>74</v>
      </c>
      <c r="BQ138" t="s">
        <v>74</v>
      </c>
      <c r="BR138" t="s">
        <v>102</v>
      </c>
      <c r="BS138" t="s">
        <v>2828</v>
      </c>
      <c r="BT138" t="str">
        <f>HYPERLINK("https%3A%2F%2Fwww.webofscience.com%2Fwos%2Fwoscc%2Ffull-record%2FWOS:001009286700002","View Full Record in Web of Science")</f>
        <v>View Full Record in Web of Science</v>
      </c>
    </row>
    <row r="139" spans="1:72" x14ac:dyDescent="0.35">
      <c r="A139" t="s">
        <v>72</v>
      </c>
      <c r="B139" t="s">
        <v>2829</v>
      </c>
      <c r="C139" t="s">
        <v>74</v>
      </c>
      <c r="D139" t="s">
        <v>74</v>
      </c>
      <c r="E139" t="s">
        <v>74</v>
      </c>
      <c r="F139" t="s">
        <v>2830</v>
      </c>
      <c r="G139" t="s">
        <v>74</v>
      </c>
      <c r="H139" t="s">
        <v>74</v>
      </c>
      <c r="I139" t="s">
        <v>2831</v>
      </c>
      <c r="J139" t="s">
        <v>216</v>
      </c>
      <c r="K139" t="s">
        <v>74</v>
      </c>
      <c r="L139" t="s">
        <v>74</v>
      </c>
      <c r="M139" t="s">
        <v>78</v>
      </c>
      <c r="N139" t="s">
        <v>108</v>
      </c>
      <c r="O139" t="s">
        <v>74</v>
      </c>
      <c r="P139" t="s">
        <v>74</v>
      </c>
      <c r="Q139" t="s">
        <v>74</v>
      </c>
      <c r="R139" t="s">
        <v>74</v>
      </c>
      <c r="S139" t="s">
        <v>74</v>
      </c>
      <c r="T139" t="s">
        <v>2832</v>
      </c>
      <c r="U139" t="s">
        <v>2833</v>
      </c>
      <c r="V139" t="s">
        <v>2834</v>
      </c>
      <c r="W139" t="s">
        <v>2835</v>
      </c>
      <c r="X139" t="s">
        <v>2836</v>
      </c>
      <c r="Y139" t="s">
        <v>2837</v>
      </c>
      <c r="Z139" t="s">
        <v>2838</v>
      </c>
      <c r="AA139" t="s">
        <v>74</v>
      </c>
      <c r="AB139" t="s">
        <v>74</v>
      </c>
      <c r="AC139" t="s">
        <v>74</v>
      </c>
      <c r="AD139" t="s">
        <v>74</v>
      </c>
      <c r="AE139" t="s">
        <v>74</v>
      </c>
      <c r="AF139" t="s">
        <v>74</v>
      </c>
      <c r="AG139">
        <v>59</v>
      </c>
      <c r="AH139">
        <v>3</v>
      </c>
      <c r="AI139">
        <v>3</v>
      </c>
      <c r="AJ139">
        <v>12</v>
      </c>
      <c r="AK139">
        <v>48</v>
      </c>
      <c r="AL139" t="s">
        <v>226</v>
      </c>
      <c r="AM139" t="s">
        <v>227</v>
      </c>
      <c r="AN139" t="s">
        <v>228</v>
      </c>
      <c r="AO139" t="s">
        <v>229</v>
      </c>
      <c r="AP139" t="s">
        <v>74</v>
      </c>
      <c r="AQ139" t="s">
        <v>74</v>
      </c>
      <c r="AR139" t="s">
        <v>230</v>
      </c>
      <c r="AS139" t="s">
        <v>231</v>
      </c>
      <c r="AT139" t="s">
        <v>594</v>
      </c>
      <c r="AU139">
        <v>2023</v>
      </c>
      <c r="AV139">
        <v>9</v>
      </c>
      <c r="AW139">
        <v>4</v>
      </c>
      <c r="AX139" t="s">
        <v>74</v>
      </c>
      <c r="AY139" t="s">
        <v>74</v>
      </c>
      <c r="AZ139" t="s">
        <v>74</v>
      </c>
      <c r="BA139" t="s">
        <v>74</v>
      </c>
      <c r="BB139" t="s">
        <v>74</v>
      </c>
      <c r="BC139" t="s">
        <v>74</v>
      </c>
      <c r="BD139">
        <v>2.0563051231213564E+16</v>
      </c>
      <c r="BE139" t="s">
        <v>2839</v>
      </c>
      <c r="BF139" t="str">
        <f>HYPERLINK("http://dx.doi.org/10.1177/20563051231213565","http://dx.doi.org/10.1177/20563051231213565")</f>
        <v>http://dx.doi.org/10.1177/20563051231213565</v>
      </c>
      <c r="BG139" t="s">
        <v>74</v>
      </c>
      <c r="BH139" t="s">
        <v>74</v>
      </c>
      <c r="BI139">
        <v>12</v>
      </c>
      <c r="BJ139" t="s">
        <v>124</v>
      </c>
      <c r="BK139" t="s">
        <v>99</v>
      </c>
      <c r="BL139" t="s">
        <v>124</v>
      </c>
      <c r="BM139" t="s">
        <v>2840</v>
      </c>
      <c r="BN139" t="s">
        <v>74</v>
      </c>
      <c r="BO139" t="s">
        <v>235</v>
      </c>
      <c r="BP139" t="s">
        <v>74</v>
      </c>
      <c r="BQ139" t="s">
        <v>74</v>
      </c>
      <c r="BR139" t="s">
        <v>102</v>
      </c>
      <c r="BS139" t="s">
        <v>2841</v>
      </c>
      <c r="BT139" t="str">
        <f>HYPERLINK("https%3A%2F%2Fwww.webofscience.com%2Fwos%2Fwoscc%2Ffull-record%2FWOS:001110074400001","View Full Record in Web of Science")</f>
        <v>View Full Record in Web of Science</v>
      </c>
    </row>
    <row r="140" spans="1:72" x14ac:dyDescent="0.35">
      <c r="A140" t="s">
        <v>72</v>
      </c>
      <c r="B140" t="s">
        <v>2842</v>
      </c>
      <c r="C140" t="s">
        <v>74</v>
      </c>
      <c r="D140" t="s">
        <v>74</v>
      </c>
      <c r="E140" t="s">
        <v>74</v>
      </c>
      <c r="F140" t="s">
        <v>2843</v>
      </c>
      <c r="G140" t="s">
        <v>74</v>
      </c>
      <c r="H140" t="s">
        <v>74</v>
      </c>
      <c r="I140" t="s">
        <v>2844</v>
      </c>
      <c r="J140" t="s">
        <v>2845</v>
      </c>
      <c r="K140" t="s">
        <v>74</v>
      </c>
      <c r="L140" t="s">
        <v>74</v>
      </c>
      <c r="M140" t="s">
        <v>78</v>
      </c>
      <c r="N140" t="s">
        <v>108</v>
      </c>
      <c r="O140" t="s">
        <v>74</v>
      </c>
      <c r="P140" t="s">
        <v>74</v>
      </c>
      <c r="Q140" t="s">
        <v>74</v>
      </c>
      <c r="R140" t="s">
        <v>74</v>
      </c>
      <c r="S140" t="s">
        <v>74</v>
      </c>
      <c r="T140" t="s">
        <v>2846</v>
      </c>
      <c r="U140" t="s">
        <v>74</v>
      </c>
      <c r="V140" t="s">
        <v>74</v>
      </c>
      <c r="W140" t="s">
        <v>2847</v>
      </c>
      <c r="X140" t="s">
        <v>2848</v>
      </c>
      <c r="Y140" t="s">
        <v>2849</v>
      </c>
      <c r="Z140" t="s">
        <v>2850</v>
      </c>
      <c r="AA140" t="s">
        <v>74</v>
      </c>
      <c r="AB140" t="s">
        <v>2851</v>
      </c>
      <c r="AC140" t="s">
        <v>74</v>
      </c>
      <c r="AD140" t="s">
        <v>74</v>
      </c>
      <c r="AE140" t="s">
        <v>74</v>
      </c>
      <c r="AF140" t="s">
        <v>74</v>
      </c>
      <c r="AG140">
        <v>12</v>
      </c>
      <c r="AH140">
        <v>18</v>
      </c>
      <c r="AI140">
        <v>20</v>
      </c>
      <c r="AJ140">
        <v>5</v>
      </c>
      <c r="AK140">
        <v>51</v>
      </c>
      <c r="AL140" t="s">
        <v>2852</v>
      </c>
      <c r="AM140" t="s">
        <v>2853</v>
      </c>
      <c r="AN140" t="s">
        <v>2854</v>
      </c>
      <c r="AO140" t="s">
        <v>2855</v>
      </c>
      <c r="AP140" t="s">
        <v>2856</v>
      </c>
      <c r="AQ140" t="s">
        <v>74</v>
      </c>
      <c r="AR140" t="s">
        <v>2857</v>
      </c>
      <c r="AS140" t="s">
        <v>2858</v>
      </c>
      <c r="AT140" t="s">
        <v>2859</v>
      </c>
      <c r="AU140">
        <v>2022</v>
      </c>
      <c r="AV140">
        <v>23</v>
      </c>
      <c r="AW140">
        <v>1</v>
      </c>
      <c r="AX140" t="s">
        <v>74</v>
      </c>
      <c r="AY140" t="s">
        <v>74</v>
      </c>
      <c r="AZ140" t="s">
        <v>74</v>
      </c>
      <c r="BA140" t="s">
        <v>74</v>
      </c>
      <c r="BB140" t="s">
        <v>74</v>
      </c>
      <c r="BC140" t="s">
        <v>74</v>
      </c>
      <c r="BD140" t="s">
        <v>74</v>
      </c>
      <c r="BE140" t="s">
        <v>2860</v>
      </c>
      <c r="BF140" t="str">
        <f>HYPERLINK("http://dx.doi.org/10.1128/jmbe.00236-21","http://dx.doi.org/10.1128/jmbe.00236-21")</f>
        <v>http://dx.doi.org/10.1128/jmbe.00236-21</v>
      </c>
      <c r="BG140" t="s">
        <v>74</v>
      </c>
      <c r="BH140" t="s">
        <v>74</v>
      </c>
      <c r="BI140">
        <v>3</v>
      </c>
      <c r="BJ140" t="s">
        <v>2861</v>
      </c>
      <c r="BK140" t="s">
        <v>125</v>
      </c>
      <c r="BL140" t="s">
        <v>787</v>
      </c>
      <c r="BM140" t="s">
        <v>2862</v>
      </c>
      <c r="BN140">
        <v>35496690</v>
      </c>
      <c r="BO140" t="s">
        <v>2194</v>
      </c>
      <c r="BP140" t="s">
        <v>74</v>
      </c>
      <c r="BQ140" t="s">
        <v>74</v>
      </c>
      <c r="BR140" t="s">
        <v>102</v>
      </c>
      <c r="BS140" t="s">
        <v>2863</v>
      </c>
      <c r="BT140" t="str">
        <f>HYPERLINK("https%3A%2F%2Fwww.webofscience.com%2Fwos%2Fwoscc%2Ffull-record%2FWOS:000791223700042","View Full Record in Web of Science")</f>
        <v>View Full Record in Web of Science</v>
      </c>
    </row>
    <row r="141" spans="1:72" x14ac:dyDescent="0.35">
      <c r="A141" t="s">
        <v>72</v>
      </c>
      <c r="B141" t="s">
        <v>2864</v>
      </c>
      <c r="C141" t="s">
        <v>74</v>
      </c>
      <c r="D141" t="s">
        <v>74</v>
      </c>
      <c r="E141" t="s">
        <v>74</v>
      </c>
      <c r="F141" t="s">
        <v>2865</v>
      </c>
      <c r="G141" t="s">
        <v>74</v>
      </c>
      <c r="H141" t="s">
        <v>74</v>
      </c>
      <c r="I141" t="s">
        <v>2866</v>
      </c>
      <c r="J141" t="s">
        <v>2867</v>
      </c>
      <c r="K141" t="s">
        <v>74</v>
      </c>
      <c r="L141" t="s">
        <v>74</v>
      </c>
      <c r="M141" t="s">
        <v>78</v>
      </c>
      <c r="N141" t="s">
        <v>79</v>
      </c>
      <c r="O141" t="s">
        <v>74</v>
      </c>
      <c r="P141" t="s">
        <v>74</v>
      </c>
      <c r="Q141" t="s">
        <v>74</v>
      </c>
      <c r="R141" t="s">
        <v>74</v>
      </c>
      <c r="S141" t="s">
        <v>74</v>
      </c>
      <c r="T141" t="s">
        <v>2868</v>
      </c>
      <c r="U141" t="s">
        <v>74</v>
      </c>
      <c r="V141" t="s">
        <v>2869</v>
      </c>
      <c r="W141" t="s">
        <v>2870</v>
      </c>
      <c r="X141" t="s">
        <v>2871</v>
      </c>
      <c r="Y141" t="s">
        <v>2872</v>
      </c>
      <c r="Z141" t="s">
        <v>2873</v>
      </c>
      <c r="AA141" t="s">
        <v>74</v>
      </c>
      <c r="AB141" t="s">
        <v>74</v>
      </c>
      <c r="AC141" t="s">
        <v>2874</v>
      </c>
      <c r="AD141" t="s">
        <v>2875</v>
      </c>
      <c r="AE141" t="s">
        <v>2876</v>
      </c>
      <c r="AF141" t="s">
        <v>74</v>
      </c>
      <c r="AG141">
        <v>30</v>
      </c>
      <c r="AH141">
        <v>2</v>
      </c>
      <c r="AI141">
        <v>2</v>
      </c>
      <c r="AJ141">
        <v>5</v>
      </c>
      <c r="AK141">
        <v>7</v>
      </c>
      <c r="AL141" t="s">
        <v>994</v>
      </c>
      <c r="AM141" t="s">
        <v>995</v>
      </c>
      <c r="AN141" t="s">
        <v>996</v>
      </c>
      <c r="AO141" t="s">
        <v>2877</v>
      </c>
      <c r="AP141" t="s">
        <v>2878</v>
      </c>
      <c r="AQ141" t="s">
        <v>74</v>
      </c>
      <c r="AR141" t="s">
        <v>2879</v>
      </c>
      <c r="AS141" t="s">
        <v>2880</v>
      </c>
      <c r="AT141" t="s">
        <v>2881</v>
      </c>
      <c r="AU141">
        <v>2024</v>
      </c>
      <c r="AV141" t="s">
        <v>74</v>
      </c>
      <c r="AW141" t="s">
        <v>74</v>
      </c>
      <c r="AX141" t="s">
        <v>74</v>
      </c>
      <c r="AY141" t="s">
        <v>74</v>
      </c>
      <c r="AZ141" t="s">
        <v>74</v>
      </c>
      <c r="BA141" t="s">
        <v>74</v>
      </c>
      <c r="BB141" t="s">
        <v>74</v>
      </c>
      <c r="BC141" t="s">
        <v>74</v>
      </c>
      <c r="BD141" t="s">
        <v>74</v>
      </c>
      <c r="BE141" t="s">
        <v>2882</v>
      </c>
      <c r="BF141" t="str">
        <f>HYPERLINK("http://dx.doi.org/10.1080/08893675.2024.2323198","http://dx.doi.org/10.1080/08893675.2024.2323198")</f>
        <v>http://dx.doi.org/10.1080/08893675.2024.2323198</v>
      </c>
      <c r="BG141" t="s">
        <v>74</v>
      </c>
      <c r="BH141" t="s">
        <v>786</v>
      </c>
      <c r="BI141">
        <v>14</v>
      </c>
      <c r="BJ141" t="s">
        <v>698</v>
      </c>
      <c r="BK141" t="s">
        <v>125</v>
      </c>
      <c r="BL141" t="s">
        <v>301</v>
      </c>
      <c r="BM141" t="s">
        <v>2883</v>
      </c>
      <c r="BN141" t="s">
        <v>74</v>
      </c>
      <c r="BO141" t="s">
        <v>1343</v>
      </c>
      <c r="BP141" t="s">
        <v>74</v>
      </c>
      <c r="BQ141" t="s">
        <v>74</v>
      </c>
      <c r="BR141" t="s">
        <v>102</v>
      </c>
      <c r="BS141" t="s">
        <v>2884</v>
      </c>
      <c r="BT141" t="str">
        <f>HYPERLINK("https%3A%2F%2Fwww.webofscience.com%2Fwos%2Fwoscc%2Ffull-record%2FWOS:001172989500001","View Full Record in Web of Science")</f>
        <v>View Full Record in Web of Science</v>
      </c>
    </row>
    <row r="142" spans="1:72" x14ac:dyDescent="0.35">
      <c r="A142" t="s">
        <v>72</v>
      </c>
      <c r="B142" t="s">
        <v>2885</v>
      </c>
      <c r="C142" t="s">
        <v>74</v>
      </c>
      <c r="D142" t="s">
        <v>74</v>
      </c>
      <c r="E142" t="s">
        <v>74</v>
      </c>
      <c r="F142" t="s">
        <v>2886</v>
      </c>
      <c r="G142" t="s">
        <v>74</v>
      </c>
      <c r="H142" t="s">
        <v>74</v>
      </c>
      <c r="I142" t="s">
        <v>2887</v>
      </c>
      <c r="J142" t="s">
        <v>2888</v>
      </c>
      <c r="K142" t="s">
        <v>74</v>
      </c>
      <c r="L142" t="s">
        <v>74</v>
      </c>
      <c r="M142" t="s">
        <v>78</v>
      </c>
      <c r="N142" t="s">
        <v>108</v>
      </c>
      <c r="O142" t="s">
        <v>74</v>
      </c>
      <c r="P142" t="s">
        <v>74</v>
      </c>
      <c r="Q142" t="s">
        <v>74</v>
      </c>
      <c r="R142" t="s">
        <v>74</v>
      </c>
      <c r="S142" t="s">
        <v>74</v>
      </c>
      <c r="T142" t="s">
        <v>2889</v>
      </c>
      <c r="U142" t="s">
        <v>2890</v>
      </c>
      <c r="V142" t="s">
        <v>2891</v>
      </c>
      <c r="W142" t="s">
        <v>2892</v>
      </c>
      <c r="X142" t="s">
        <v>74</v>
      </c>
      <c r="Y142" t="s">
        <v>2893</v>
      </c>
      <c r="Z142" t="s">
        <v>2894</v>
      </c>
      <c r="AA142" t="s">
        <v>2895</v>
      </c>
      <c r="AB142" t="s">
        <v>2896</v>
      </c>
      <c r="AC142" t="s">
        <v>74</v>
      </c>
      <c r="AD142" t="s">
        <v>74</v>
      </c>
      <c r="AE142" t="s">
        <v>74</v>
      </c>
      <c r="AF142" t="s">
        <v>74</v>
      </c>
      <c r="AG142">
        <v>33</v>
      </c>
      <c r="AH142">
        <v>6</v>
      </c>
      <c r="AI142">
        <v>6</v>
      </c>
      <c r="AJ142">
        <v>1</v>
      </c>
      <c r="AK142">
        <v>8</v>
      </c>
      <c r="AL142" t="s">
        <v>2897</v>
      </c>
      <c r="AM142" t="s">
        <v>227</v>
      </c>
      <c r="AN142" t="s">
        <v>2898</v>
      </c>
      <c r="AO142" t="s">
        <v>2899</v>
      </c>
      <c r="AP142" t="s">
        <v>2900</v>
      </c>
      <c r="AQ142" t="s">
        <v>74</v>
      </c>
      <c r="AR142" t="s">
        <v>2901</v>
      </c>
      <c r="AS142" t="s">
        <v>2902</v>
      </c>
      <c r="AT142" t="s">
        <v>523</v>
      </c>
      <c r="AU142">
        <v>2023</v>
      </c>
      <c r="AV142">
        <v>34</v>
      </c>
      <c r="AW142">
        <v>11</v>
      </c>
      <c r="AX142" t="s">
        <v>74</v>
      </c>
      <c r="AY142" t="s">
        <v>74</v>
      </c>
      <c r="AZ142" t="s">
        <v>74</v>
      </c>
      <c r="BA142" t="s">
        <v>74</v>
      </c>
      <c r="BB142">
        <v>2775</v>
      </c>
      <c r="BC142">
        <v>2781</v>
      </c>
      <c r="BD142" t="s">
        <v>74</v>
      </c>
      <c r="BE142" t="s">
        <v>2903</v>
      </c>
      <c r="BF142" t="str">
        <f>HYPERLINK("http://dx.doi.org/10.1007/s00192-023-05607-0","http://dx.doi.org/10.1007/s00192-023-05607-0")</f>
        <v>http://dx.doi.org/10.1007/s00192-023-05607-0</v>
      </c>
      <c r="BG142" t="s">
        <v>74</v>
      </c>
      <c r="BH142" t="s">
        <v>1180</v>
      </c>
      <c r="BI142">
        <v>7</v>
      </c>
      <c r="BJ142" t="s">
        <v>2904</v>
      </c>
      <c r="BK142" t="s">
        <v>209</v>
      </c>
      <c r="BL142" t="s">
        <v>2904</v>
      </c>
      <c r="BM142" t="s">
        <v>2905</v>
      </c>
      <c r="BN142">
        <v>37470796</v>
      </c>
      <c r="BO142" t="s">
        <v>74</v>
      </c>
      <c r="BP142" t="s">
        <v>74</v>
      </c>
      <c r="BQ142" t="s">
        <v>74</v>
      </c>
      <c r="BR142" t="s">
        <v>102</v>
      </c>
      <c r="BS142" t="s">
        <v>2906</v>
      </c>
      <c r="BT142" t="str">
        <f>HYPERLINK("https%3A%2F%2Fwww.webofscience.com%2Fwos%2Fwoscc%2Ffull-record%2FWOS:001033645200002","View Full Record in Web of Science")</f>
        <v>View Full Record in Web of Science</v>
      </c>
    </row>
    <row r="143" spans="1:72" x14ac:dyDescent="0.35">
      <c r="A143" t="s">
        <v>72</v>
      </c>
      <c r="B143" t="s">
        <v>2907</v>
      </c>
      <c r="C143" t="s">
        <v>74</v>
      </c>
      <c r="D143" t="s">
        <v>74</v>
      </c>
      <c r="E143" t="s">
        <v>74</v>
      </c>
      <c r="F143" t="s">
        <v>2908</v>
      </c>
      <c r="G143" t="s">
        <v>74</v>
      </c>
      <c r="H143" t="s">
        <v>74</v>
      </c>
      <c r="I143" t="s">
        <v>2909</v>
      </c>
      <c r="J143" t="s">
        <v>2910</v>
      </c>
      <c r="K143" t="s">
        <v>74</v>
      </c>
      <c r="L143" t="s">
        <v>74</v>
      </c>
      <c r="M143" t="s">
        <v>78</v>
      </c>
      <c r="N143" t="s">
        <v>108</v>
      </c>
      <c r="O143" t="s">
        <v>74</v>
      </c>
      <c r="P143" t="s">
        <v>74</v>
      </c>
      <c r="Q143" t="s">
        <v>74</v>
      </c>
      <c r="R143" t="s">
        <v>74</v>
      </c>
      <c r="S143" t="s">
        <v>74</v>
      </c>
      <c r="T143" t="s">
        <v>2911</v>
      </c>
      <c r="U143" t="s">
        <v>2912</v>
      </c>
      <c r="V143" t="s">
        <v>2913</v>
      </c>
      <c r="W143" t="s">
        <v>2914</v>
      </c>
      <c r="X143" t="s">
        <v>2915</v>
      </c>
      <c r="Y143" t="s">
        <v>2916</v>
      </c>
      <c r="Z143" t="s">
        <v>2917</v>
      </c>
      <c r="AA143" t="s">
        <v>2918</v>
      </c>
      <c r="AB143" t="s">
        <v>2919</v>
      </c>
      <c r="AC143" t="s">
        <v>2920</v>
      </c>
      <c r="AD143" t="s">
        <v>2920</v>
      </c>
      <c r="AE143" t="s">
        <v>2921</v>
      </c>
      <c r="AF143" t="s">
        <v>74</v>
      </c>
      <c r="AG143">
        <v>155</v>
      </c>
      <c r="AH143">
        <v>2</v>
      </c>
      <c r="AI143">
        <v>2</v>
      </c>
      <c r="AJ143">
        <v>11</v>
      </c>
      <c r="AK143">
        <v>27</v>
      </c>
      <c r="AL143" t="s">
        <v>665</v>
      </c>
      <c r="AM143" t="s">
        <v>2922</v>
      </c>
      <c r="AN143" t="s">
        <v>2923</v>
      </c>
      <c r="AO143" t="s">
        <v>2924</v>
      </c>
      <c r="AP143" t="s">
        <v>2925</v>
      </c>
      <c r="AQ143" t="s">
        <v>74</v>
      </c>
      <c r="AR143" t="s">
        <v>2926</v>
      </c>
      <c r="AS143" t="s">
        <v>2927</v>
      </c>
      <c r="AT143" t="s">
        <v>1484</v>
      </c>
      <c r="AU143">
        <v>2024</v>
      </c>
      <c r="AV143">
        <v>83</v>
      </c>
      <c r="AW143">
        <v>11</v>
      </c>
      <c r="AX143" t="s">
        <v>74</v>
      </c>
      <c r="AY143" t="s">
        <v>74</v>
      </c>
      <c r="AZ143" t="s">
        <v>74</v>
      </c>
      <c r="BA143" t="s">
        <v>74</v>
      </c>
      <c r="BB143">
        <v>32213</v>
      </c>
      <c r="BC143">
        <v>32243</v>
      </c>
      <c r="BD143" t="s">
        <v>74</v>
      </c>
      <c r="BE143" t="s">
        <v>2928</v>
      </c>
      <c r="BF143" t="str">
        <f>HYPERLINK("http://dx.doi.org/10.1007/s11042-023-16768-x","http://dx.doi.org/10.1007/s11042-023-16768-x")</f>
        <v>http://dx.doi.org/10.1007/s11042-023-16768-x</v>
      </c>
      <c r="BG143" t="s">
        <v>74</v>
      </c>
      <c r="BH143" t="s">
        <v>2929</v>
      </c>
      <c r="BI143">
        <v>31</v>
      </c>
      <c r="BJ143" t="s">
        <v>2930</v>
      </c>
      <c r="BK143" t="s">
        <v>209</v>
      </c>
      <c r="BL143" t="s">
        <v>1113</v>
      </c>
      <c r="BM143" t="s">
        <v>2931</v>
      </c>
      <c r="BN143" t="s">
        <v>74</v>
      </c>
      <c r="BO143" t="s">
        <v>156</v>
      </c>
      <c r="BP143" t="s">
        <v>74</v>
      </c>
      <c r="BQ143" t="s">
        <v>74</v>
      </c>
      <c r="BR143" t="s">
        <v>102</v>
      </c>
      <c r="BS143" t="s">
        <v>2932</v>
      </c>
      <c r="BT143" t="str">
        <f>HYPERLINK("https%3A%2F%2Fwww.webofscience.com%2Fwos%2Fwoscc%2Ffull-record%2FWOS:001070386400002","View Full Record in Web of Science")</f>
        <v>View Full Record in Web of Science</v>
      </c>
    </row>
    <row r="144" spans="1:72" x14ac:dyDescent="0.35">
      <c r="A144" t="s">
        <v>72</v>
      </c>
      <c r="B144" t="s">
        <v>2933</v>
      </c>
      <c r="C144" t="s">
        <v>74</v>
      </c>
      <c r="D144" t="s">
        <v>74</v>
      </c>
      <c r="E144" t="s">
        <v>74</v>
      </c>
      <c r="F144" t="s">
        <v>2934</v>
      </c>
      <c r="G144" t="s">
        <v>74</v>
      </c>
      <c r="H144" t="s">
        <v>74</v>
      </c>
      <c r="I144" t="s">
        <v>2935</v>
      </c>
      <c r="J144" t="s">
        <v>2936</v>
      </c>
      <c r="K144" t="s">
        <v>74</v>
      </c>
      <c r="L144" t="s">
        <v>74</v>
      </c>
      <c r="M144" t="s">
        <v>78</v>
      </c>
      <c r="N144" t="s">
        <v>108</v>
      </c>
      <c r="O144" t="s">
        <v>74</v>
      </c>
      <c r="P144" t="s">
        <v>74</v>
      </c>
      <c r="Q144" t="s">
        <v>74</v>
      </c>
      <c r="R144" t="s">
        <v>74</v>
      </c>
      <c r="S144" t="s">
        <v>74</v>
      </c>
      <c r="T144" t="s">
        <v>2937</v>
      </c>
      <c r="U144" t="s">
        <v>582</v>
      </c>
      <c r="V144" t="s">
        <v>2938</v>
      </c>
      <c r="W144" t="s">
        <v>2939</v>
      </c>
      <c r="X144" t="s">
        <v>2940</v>
      </c>
      <c r="Y144" t="s">
        <v>2941</v>
      </c>
      <c r="Z144" t="s">
        <v>2942</v>
      </c>
      <c r="AA144" t="s">
        <v>2943</v>
      </c>
      <c r="AB144" t="s">
        <v>74</v>
      </c>
      <c r="AC144" t="s">
        <v>74</v>
      </c>
      <c r="AD144" t="s">
        <v>74</v>
      </c>
      <c r="AE144" t="s">
        <v>74</v>
      </c>
      <c r="AF144" t="s">
        <v>74</v>
      </c>
      <c r="AG144">
        <v>21</v>
      </c>
      <c r="AH144">
        <v>0</v>
      </c>
      <c r="AI144">
        <v>0</v>
      </c>
      <c r="AJ144">
        <v>9</v>
      </c>
      <c r="AK144">
        <v>36</v>
      </c>
      <c r="AL144" t="s">
        <v>2944</v>
      </c>
      <c r="AM144" t="s">
        <v>2945</v>
      </c>
      <c r="AN144" t="s">
        <v>2946</v>
      </c>
      <c r="AO144" t="s">
        <v>2947</v>
      </c>
      <c r="AP144" t="s">
        <v>2948</v>
      </c>
      <c r="AQ144" t="s">
        <v>74</v>
      </c>
      <c r="AR144" t="s">
        <v>2949</v>
      </c>
      <c r="AS144" t="s">
        <v>2950</v>
      </c>
      <c r="AT144" t="s">
        <v>1275</v>
      </c>
      <c r="AU144">
        <v>2022</v>
      </c>
      <c r="AV144">
        <v>5</v>
      </c>
      <c r="AW144">
        <v>2</v>
      </c>
      <c r="AX144" t="s">
        <v>74</v>
      </c>
      <c r="AY144" t="s">
        <v>74</v>
      </c>
      <c r="AZ144" t="s">
        <v>74</v>
      </c>
      <c r="BA144" t="s">
        <v>74</v>
      </c>
      <c r="BB144">
        <v>225</v>
      </c>
      <c r="BC144">
        <v>237</v>
      </c>
      <c r="BD144" t="s">
        <v>74</v>
      </c>
      <c r="BE144" t="s">
        <v>74</v>
      </c>
      <c r="BF144" t="s">
        <v>74</v>
      </c>
      <c r="BG144" t="s">
        <v>74</v>
      </c>
      <c r="BH144" t="s">
        <v>74</v>
      </c>
      <c r="BI144">
        <v>13</v>
      </c>
      <c r="BJ144" t="s">
        <v>124</v>
      </c>
      <c r="BK144" t="s">
        <v>125</v>
      </c>
      <c r="BL144" t="s">
        <v>124</v>
      </c>
      <c r="BM144" t="s">
        <v>2951</v>
      </c>
      <c r="BN144" t="s">
        <v>74</v>
      </c>
      <c r="BO144" t="s">
        <v>74</v>
      </c>
      <c r="BP144" t="s">
        <v>74</v>
      </c>
      <c r="BQ144" t="s">
        <v>74</v>
      </c>
      <c r="BR144" t="s">
        <v>102</v>
      </c>
      <c r="BS144" t="s">
        <v>2952</v>
      </c>
      <c r="BT144" t="str">
        <f>HYPERLINK("https%3A%2F%2Fwww.webofscience.com%2Fwos%2Fwoscc%2Ffull-record%2FWOS:000900498700015","View Full Record in Web of Science")</f>
        <v>View Full Record in Web of Science</v>
      </c>
    </row>
    <row r="145" spans="1:72" x14ac:dyDescent="0.35">
      <c r="A145" t="s">
        <v>72</v>
      </c>
      <c r="B145" t="s">
        <v>2953</v>
      </c>
      <c r="C145" t="s">
        <v>74</v>
      </c>
      <c r="D145" t="s">
        <v>74</v>
      </c>
      <c r="E145" t="s">
        <v>74</v>
      </c>
      <c r="F145" t="s">
        <v>2954</v>
      </c>
      <c r="G145" t="s">
        <v>74</v>
      </c>
      <c r="H145" t="s">
        <v>74</v>
      </c>
      <c r="I145" t="s">
        <v>2955</v>
      </c>
      <c r="J145" t="s">
        <v>2956</v>
      </c>
      <c r="K145" t="s">
        <v>74</v>
      </c>
      <c r="L145" t="s">
        <v>74</v>
      </c>
      <c r="M145" t="s">
        <v>78</v>
      </c>
      <c r="N145" t="s">
        <v>108</v>
      </c>
      <c r="O145" t="s">
        <v>74</v>
      </c>
      <c r="P145" t="s">
        <v>74</v>
      </c>
      <c r="Q145" t="s">
        <v>74</v>
      </c>
      <c r="R145" t="s">
        <v>74</v>
      </c>
      <c r="S145" t="s">
        <v>74</v>
      </c>
      <c r="T145" t="s">
        <v>2957</v>
      </c>
      <c r="U145" t="s">
        <v>74</v>
      </c>
      <c r="V145" t="s">
        <v>2958</v>
      </c>
      <c r="W145" t="s">
        <v>2959</v>
      </c>
      <c r="X145" t="s">
        <v>2960</v>
      </c>
      <c r="Y145" t="s">
        <v>2961</v>
      </c>
      <c r="Z145" t="s">
        <v>2962</v>
      </c>
      <c r="AA145" t="s">
        <v>74</v>
      </c>
      <c r="AB145" t="s">
        <v>74</v>
      </c>
      <c r="AC145" t="s">
        <v>74</v>
      </c>
      <c r="AD145" t="s">
        <v>74</v>
      </c>
      <c r="AE145" t="s">
        <v>74</v>
      </c>
      <c r="AF145" t="s">
        <v>74</v>
      </c>
      <c r="AG145">
        <v>28</v>
      </c>
      <c r="AH145">
        <v>0</v>
      </c>
      <c r="AI145">
        <v>0</v>
      </c>
      <c r="AJ145">
        <v>0</v>
      </c>
      <c r="AK145">
        <v>2</v>
      </c>
      <c r="AL145" t="s">
        <v>2963</v>
      </c>
      <c r="AM145" t="s">
        <v>2964</v>
      </c>
      <c r="AN145" t="s">
        <v>2965</v>
      </c>
      <c r="AO145" t="s">
        <v>2966</v>
      </c>
      <c r="AP145" t="s">
        <v>74</v>
      </c>
      <c r="AQ145" t="s">
        <v>74</v>
      </c>
      <c r="AR145" t="s">
        <v>2956</v>
      </c>
      <c r="AS145" t="s">
        <v>2967</v>
      </c>
      <c r="AT145" t="s">
        <v>2968</v>
      </c>
      <c r="AU145">
        <v>2023</v>
      </c>
      <c r="AV145">
        <v>10</v>
      </c>
      <c r="AW145">
        <v>3</v>
      </c>
      <c r="AX145" t="s">
        <v>74</v>
      </c>
      <c r="AY145" t="s">
        <v>74</v>
      </c>
      <c r="AZ145" t="s">
        <v>74</v>
      </c>
      <c r="BA145" t="s">
        <v>74</v>
      </c>
      <c r="BB145" t="s">
        <v>74</v>
      </c>
      <c r="BC145" t="s">
        <v>74</v>
      </c>
      <c r="BD145">
        <v>39203</v>
      </c>
      <c r="BE145" t="s">
        <v>2969</v>
      </c>
      <c r="BF145" t="str">
        <f>HYPERLINK("http://dx.doi.org/10.47456/simbitica.v10i3.39203","http://dx.doi.org/10.47456/simbitica.v10i3.39203")</f>
        <v>http://dx.doi.org/10.47456/simbitica.v10i3.39203</v>
      </c>
      <c r="BG145" t="s">
        <v>74</v>
      </c>
      <c r="BH145" t="s">
        <v>74</v>
      </c>
      <c r="BI145">
        <v>20</v>
      </c>
      <c r="BJ145" t="s">
        <v>98</v>
      </c>
      <c r="BK145" t="s">
        <v>125</v>
      </c>
      <c r="BL145" t="s">
        <v>100</v>
      </c>
      <c r="BM145" t="s">
        <v>2970</v>
      </c>
      <c r="BN145" t="s">
        <v>74</v>
      </c>
      <c r="BO145" t="s">
        <v>156</v>
      </c>
      <c r="BP145" t="s">
        <v>74</v>
      </c>
      <c r="BQ145" t="s">
        <v>74</v>
      </c>
      <c r="BR145" t="s">
        <v>102</v>
      </c>
      <c r="BS145" t="s">
        <v>2971</v>
      </c>
      <c r="BT145" t="str">
        <f>HYPERLINK("https%3A%2F%2Fwww.webofscience.com%2Fwos%2Fwoscc%2Ffull-record%2FWOS:001135145400004","View Full Record in Web of Science")</f>
        <v>View Full Record in Web of Science</v>
      </c>
    </row>
    <row r="146" spans="1:72" x14ac:dyDescent="0.35">
      <c r="A146" t="s">
        <v>72</v>
      </c>
      <c r="B146" t="s">
        <v>2972</v>
      </c>
      <c r="C146" t="s">
        <v>74</v>
      </c>
      <c r="D146" t="s">
        <v>74</v>
      </c>
      <c r="E146" t="s">
        <v>74</v>
      </c>
      <c r="F146" t="s">
        <v>2973</v>
      </c>
      <c r="G146" t="s">
        <v>74</v>
      </c>
      <c r="H146" t="s">
        <v>74</v>
      </c>
      <c r="I146" t="s">
        <v>2974</v>
      </c>
      <c r="J146" t="s">
        <v>2975</v>
      </c>
      <c r="K146" t="s">
        <v>74</v>
      </c>
      <c r="L146" t="s">
        <v>74</v>
      </c>
      <c r="M146" t="s">
        <v>78</v>
      </c>
      <c r="N146" t="s">
        <v>79</v>
      </c>
      <c r="O146" t="s">
        <v>74</v>
      </c>
      <c r="P146" t="s">
        <v>74</v>
      </c>
      <c r="Q146" t="s">
        <v>74</v>
      </c>
      <c r="R146" t="s">
        <v>74</v>
      </c>
      <c r="S146" t="s">
        <v>74</v>
      </c>
      <c r="T146" t="s">
        <v>2976</v>
      </c>
      <c r="U146" t="s">
        <v>2977</v>
      </c>
      <c r="V146" t="s">
        <v>2978</v>
      </c>
      <c r="W146" t="s">
        <v>2979</v>
      </c>
      <c r="X146" t="s">
        <v>2980</v>
      </c>
      <c r="Y146" t="s">
        <v>2981</v>
      </c>
      <c r="Z146" t="s">
        <v>2982</v>
      </c>
      <c r="AA146" t="s">
        <v>2983</v>
      </c>
      <c r="AB146" t="s">
        <v>74</v>
      </c>
      <c r="AC146" t="s">
        <v>2984</v>
      </c>
      <c r="AD146" t="s">
        <v>2985</v>
      </c>
      <c r="AE146" t="s">
        <v>2986</v>
      </c>
      <c r="AF146" t="s">
        <v>74</v>
      </c>
      <c r="AG146">
        <v>130</v>
      </c>
      <c r="AH146">
        <v>1</v>
      </c>
      <c r="AI146">
        <v>1</v>
      </c>
      <c r="AJ146">
        <v>17</v>
      </c>
      <c r="AK146">
        <v>64</v>
      </c>
      <c r="AL146" t="s">
        <v>226</v>
      </c>
      <c r="AM146" t="s">
        <v>227</v>
      </c>
      <c r="AN146" t="s">
        <v>228</v>
      </c>
      <c r="AO146" t="s">
        <v>2987</v>
      </c>
      <c r="AP146" t="s">
        <v>2988</v>
      </c>
      <c r="AQ146" t="s">
        <v>74</v>
      </c>
      <c r="AR146" t="s">
        <v>2989</v>
      </c>
      <c r="AS146" t="s">
        <v>2990</v>
      </c>
      <c r="AT146" t="s">
        <v>2991</v>
      </c>
      <c r="AU146">
        <v>2023</v>
      </c>
      <c r="AV146" t="s">
        <v>74</v>
      </c>
      <c r="AW146" t="s">
        <v>74</v>
      </c>
      <c r="AX146" t="s">
        <v>74</v>
      </c>
      <c r="AY146" t="s">
        <v>74</v>
      </c>
      <c r="AZ146" t="s">
        <v>74</v>
      </c>
      <c r="BA146" t="s">
        <v>74</v>
      </c>
      <c r="BB146" t="s">
        <v>74</v>
      </c>
      <c r="BC146" t="s">
        <v>74</v>
      </c>
      <c r="BD146" t="s">
        <v>74</v>
      </c>
      <c r="BE146" t="s">
        <v>2992</v>
      </c>
      <c r="BF146" t="str">
        <f>HYPERLINK("http://dx.doi.org/10.1177/13567667231210591","http://dx.doi.org/10.1177/13567667231210591")</f>
        <v>http://dx.doi.org/10.1177/13567667231210591</v>
      </c>
      <c r="BG146" t="s">
        <v>74</v>
      </c>
      <c r="BH146" t="s">
        <v>674</v>
      </c>
      <c r="BI146">
        <v>22</v>
      </c>
      <c r="BJ146" t="s">
        <v>2993</v>
      </c>
      <c r="BK146" t="s">
        <v>99</v>
      </c>
      <c r="BL146" t="s">
        <v>2994</v>
      </c>
      <c r="BM146" t="s">
        <v>2995</v>
      </c>
      <c r="BN146" t="s">
        <v>74</v>
      </c>
      <c r="BO146" t="s">
        <v>74</v>
      </c>
      <c r="BP146" t="s">
        <v>74</v>
      </c>
      <c r="BQ146" t="s">
        <v>74</v>
      </c>
      <c r="BR146" t="s">
        <v>102</v>
      </c>
      <c r="BS146" t="s">
        <v>2996</v>
      </c>
      <c r="BT146" t="str">
        <f>HYPERLINK("https%3A%2F%2Fwww.webofscience.com%2Fwos%2Fwoscc%2Ffull-record%2FWOS:001098511000001","View Full Record in Web of Science")</f>
        <v>View Full Record in Web of Science</v>
      </c>
    </row>
    <row r="147" spans="1:72" x14ac:dyDescent="0.35">
      <c r="A147" t="s">
        <v>72</v>
      </c>
      <c r="B147" t="s">
        <v>2997</v>
      </c>
      <c r="C147" t="s">
        <v>74</v>
      </c>
      <c r="D147" t="s">
        <v>74</v>
      </c>
      <c r="E147" t="s">
        <v>74</v>
      </c>
      <c r="F147" t="s">
        <v>2998</v>
      </c>
      <c r="G147" t="s">
        <v>74</v>
      </c>
      <c r="H147" t="s">
        <v>74</v>
      </c>
      <c r="I147" t="s">
        <v>2999</v>
      </c>
      <c r="J147" t="s">
        <v>3000</v>
      </c>
      <c r="K147" t="s">
        <v>74</v>
      </c>
      <c r="L147" t="s">
        <v>74</v>
      </c>
      <c r="M147" t="s">
        <v>78</v>
      </c>
      <c r="N147" t="s">
        <v>108</v>
      </c>
      <c r="O147" t="s">
        <v>74</v>
      </c>
      <c r="P147" t="s">
        <v>74</v>
      </c>
      <c r="Q147" t="s">
        <v>74</v>
      </c>
      <c r="R147" t="s">
        <v>74</v>
      </c>
      <c r="S147" t="s">
        <v>74</v>
      </c>
      <c r="T147" t="s">
        <v>3001</v>
      </c>
      <c r="U147" t="s">
        <v>74</v>
      </c>
      <c r="V147" t="s">
        <v>3002</v>
      </c>
      <c r="W147" t="s">
        <v>3003</v>
      </c>
      <c r="X147" t="s">
        <v>3004</v>
      </c>
      <c r="Y147" t="s">
        <v>3005</v>
      </c>
      <c r="Z147" t="s">
        <v>3006</v>
      </c>
      <c r="AA147" t="s">
        <v>74</v>
      </c>
      <c r="AB147" t="s">
        <v>3007</v>
      </c>
      <c r="AC147" t="s">
        <v>3008</v>
      </c>
      <c r="AD147" t="s">
        <v>3009</v>
      </c>
      <c r="AE147" t="s">
        <v>3010</v>
      </c>
      <c r="AF147" t="s">
        <v>74</v>
      </c>
      <c r="AG147">
        <v>30</v>
      </c>
      <c r="AH147">
        <v>3</v>
      </c>
      <c r="AI147">
        <v>3</v>
      </c>
      <c r="AJ147">
        <v>3</v>
      </c>
      <c r="AK147">
        <v>11</v>
      </c>
      <c r="AL147" t="s">
        <v>994</v>
      </c>
      <c r="AM147" t="s">
        <v>995</v>
      </c>
      <c r="AN147" t="s">
        <v>996</v>
      </c>
      <c r="AO147" t="s">
        <v>3011</v>
      </c>
      <c r="AP147" t="s">
        <v>3012</v>
      </c>
      <c r="AQ147" t="s">
        <v>74</v>
      </c>
      <c r="AR147" t="s">
        <v>3013</v>
      </c>
      <c r="AS147" t="s">
        <v>3014</v>
      </c>
      <c r="AT147" t="s">
        <v>1447</v>
      </c>
      <c r="AU147">
        <v>2023</v>
      </c>
      <c r="AV147">
        <v>58</v>
      </c>
      <c r="AW147">
        <v>8</v>
      </c>
      <c r="AX147" t="s">
        <v>74</v>
      </c>
      <c r="AY147" t="s">
        <v>74</v>
      </c>
      <c r="AZ147" t="s">
        <v>74</v>
      </c>
      <c r="BA147" t="s">
        <v>74</v>
      </c>
      <c r="BB147">
        <v>975</v>
      </c>
      <c r="BC147">
        <v>980</v>
      </c>
      <c r="BD147" t="s">
        <v>74</v>
      </c>
      <c r="BE147" t="s">
        <v>3015</v>
      </c>
      <c r="BF147" t="str">
        <f>HYPERLINK("http://dx.doi.org/10.1080/10826084.2023.2201837","http://dx.doi.org/10.1080/10826084.2023.2201837")</f>
        <v>http://dx.doi.org/10.1080/10826084.2023.2201837</v>
      </c>
      <c r="BG147" t="s">
        <v>74</v>
      </c>
      <c r="BH147" t="s">
        <v>299</v>
      </c>
      <c r="BI147">
        <v>6</v>
      </c>
      <c r="BJ147" t="s">
        <v>3016</v>
      </c>
      <c r="BK147" t="s">
        <v>182</v>
      </c>
      <c r="BL147" t="s">
        <v>3016</v>
      </c>
      <c r="BM147" t="s">
        <v>3017</v>
      </c>
      <c r="BN147">
        <v>37086005</v>
      </c>
      <c r="BO147" t="s">
        <v>74</v>
      </c>
      <c r="BP147" t="s">
        <v>74</v>
      </c>
      <c r="BQ147" t="s">
        <v>74</v>
      </c>
      <c r="BR147" t="s">
        <v>102</v>
      </c>
      <c r="BS147" t="s">
        <v>3018</v>
      </c>
      <c r="BT147" t="str">
        <f>HYPERLINK("https%3A%2F%2Fwww.webofscience.com%2Fwos%2Fwoscc%2Ffull-record%2FWOS:000975110400001","View Full Record in Web of Science")</f>
        <v>View Full Record in Web of Science</v>
      </c>
    </row>
    <row r="148" spans="1:72" x14ac:dyDescent="0.35">
      <c r="A148" t="s">
        <v>72</v>
      </c>
      <c r="B148" t="s">
        <v>3019</v>
      </c>
      <c r="C148" t="s">
        <v>74</v>
      </c>
      <c r="D148" t="s">
        <v>74</v>
      </c>
      <c r="E148" t="s">
        <v>74</v>
      </c>
      <c r="F148" t="s">
        <v>3020</v>
      </c>
      <c r="G148" t="s">
        <v>74</v>
      </c>
      <c r="H148" t="s">
        <v>74</v>
      </c>
      <c r="I148" t="s">
        <v>3021</v>
      </c>
      <c r="J148" t="s">
        <v>1874</v>
      </c>
      <c r="K148" t="s">
        <v>74</v>
      </c>
      <c r="L148" t="s">
        <v>74</v>
      </c>
      <c r="M148" t="s">
        <v>78</v>
      </c>
      <c r="N148" t="s">
        <v>52</v>
      </c>
      <c r="O148" t="s">
        <v>3022</v>
      </c>
      <c r="P148" t="s">
        <v>3023</v>
      </c>
      <c r="Q148" t="s">
        <v>138</v>
      </c>
      <c r="R148" t="s">
        <v>74</v>
      </c>
      <c r="S148" t="s">
        <v>74</v>
      </c>
      <c r="T148" t="s">
        <v>3024</v>
      </c>
      <c r="U148" t="s">
        <v>74</v>
      </c>
      <c r="V148" t="s">
        <v>74</v>
      </c>
      <c r="W148" t="s">
        <v>3025</v>
      </c>
      <c r="X148" t="s">
        <v>3026</v>
      </c>
      <c r="Y148" t="s">
        <v>74</v>
      </c>
      <c r="Z148" t="s">
        <v>74</v>
      </c>
      <c r="AA148" t="s">
        <v>74</v>
      </c>
      <c r="AB148" t="s">
        <v>74</v>
      </c>
      <c r="AC148" t="s">
        <v>74</v>
      </c>
      <c r="AD148" t="s">
        <v>74</v>
      </c>
      <c r="AE148" t="s">
        <v>74</v>
      </c>
      <c r="AF148" t="s">
        <v>74</v>
      </c>
      <c r="AG148">
        <v>0</v>
      </c>
      <c r="AH148">
        <v>7</v>
      </c>
      <c r="AI148">
        <v>9</v>
      </c>
      <c r="AJ148">
        <v>6</v>
      </c>
      <c r="AK148">
        <v>64</v>
      </c>
      <c r="AL148" t="s">
        <v>1061</v>
      </c>
      <c r="AM148" t="s">
        <v>1062</v>
      </c>
      <c r="AN148" t="s">
        <v>1063</v>
      </c>
      <c r="AO148" t="s">
        <v>1880</v>
      </c>
      <c r="AP148" t="s">
        <v>1881</v>
      </c>
      <c r="AQ148" t="s">
        <v>74</v>
      </c>
      <c r="AR148" t="s">
        <v>1882</v>
      </c>
      <c r="AS148" t="s">
        <v>1883</v>
      </c>
      <c r="AT148" t="s">
        <v>257</v>
      </c>
      <c r="AU148">
        <v>2022</v>
      </c>
      <c r="AV148">
        <v>65</v>
      </c>
      <c r="AW148" t="s">
        <v>74</v>
      </c>
      <c r="AX148" t="s">
        <v>74</v>
      </c>
      <c r="AY148">
        <v>1</v>
      </c>
      <c r="AZ148" t="s">
        <v>456</v>
      </c>
      <c r="BA148" t="s">
        <v>3027</v>
      </c>
      <c r="BB148" t="s">
        <v>3028</v>
      </c>
      <c r="BC148" t="s">
        <v>3028</v>
      </c>
      <c r="BD148" t="s">
        <v>74</v>
      </c>
      <c r="BE148" t="s">
        <v>3029</v>
      </c>
      <c r="BF148" t="str">
        <f>HYPERLINK("http://dx.doi.org/10.1192/j.eurpsy.2022.1463","http://dx.doi.org/10.1192/j.eurpsy.2022.1463")</f>
        <v>http://dx.doi.org/10.1192/j.eurpsy.2022.1463</v>
      </c>
      <c r="BG148" t="s">
        <v>74</v>
      </c>
      <c r="BH148" t="s">
        <v>74</v>
      </c>
      <c r="BI148">
        <v>1</v>
      </c>
      <c r="BJ148" t="s">
        <v>1847</v>
      </c>
      <c r="BK148" t="s">
        <v>3030</v>
      </c>
      <c r="BL148" t="s">
        <v>1847</v>
      </c>
      <c r="BM148" t="s">
        <v>3031</v>
      </c>
      <c r="BN148" t="s">
        <v>74</v>
      </c>
      <c r="BO148" t="s">
        <v>1888</v>
      </c>
      <c r="BP148" t="s">
        <v>74</v>
      </c>
      <c r="BQ148" t="s">
        <v>74</v>
      </c>
      <c r="BR148" t="s">
        <v>102</v>
      </c>
      <c r="BS148" t="s">
        <v>3032</v>
      </c>
      <c r="BT148" t="str">
        <f>HYPERLINK("https%3A%2F%2Fwww.webofscience.com%2Fwos%2Fwoscc%2Ffull-record%2FWOS:000897965701702","View Full Record in Web of Science")</f>
        <v>View Full Record in Web of Science</v>
      </c>
    </row>
    <row r="149" spans="1:72" x14ac:dyDescent="0.35">
      <c r="A149" t="s">
        <v>128</v>
      </c>
      <c r="B149" t="s">
        <v>3033</v>
      </c>
      <c r="C149" t="s">
        <v>74</v>
      </c>
      <c r="D149" t="s">
        <v>624</v>
      </c>
      <c r="E149" t="s">
        <v>74</v>
      </c>
      <c r="F149" t="s">
        <v>3034</v>
      </c>
      <c r="G149" t="s">
        <v>74</v>
      </c>
      <c r="H149" t="s">
        <v>74</v>
      </c>
      <c r="I149" t="s">
        <v>3035</v>
      </c>
      <c r="J149" t="s">
        <v>627</v>
      </c>
      <c r="K149" t="s">
        <v>628</v>
      </c>
      <c r="L149" t="s">
        <v>74</v>
      </c>
      <c r="M149" t="s">
        <v>78</v>
      </c>
      <c r="N149" t="s">
        <v>135</v>
      </c>
      <c r="O149" t="s">
        <v>629</v>
      </c>
      <c r="P149" t="s">
        <v>630</v>
      </c>
      <c r="Q149" t="s">
        <v>631</v>
      </c>
      <c r="R149" t="s">
        <v>74</v>
      </c>
      <c r="S149" t="s">
        <v>74</v>
      </c>
      <c r="T149" t="s">
        <v>3036</v>
      </c>
      <c r="U149" t="s">
        <v>3037</v>
      </c>
      <c r="V149" t="s">
        <v>3038</v>
      </c>
      <c r="W149" t="s">
        <v>3039</v>
      </c>
      <c r="X149" t="s">
        <v>3040</v>
      </c>
      <c r="Y149" t="s">
        <v>3041</v>
      </c>
      <c r="Z149" t="s">
        <v>3042</v>
      </c>
      <c r="AA149" t="s">
        <v>74</v>
      </c>
      <c r="AB149" t="s">
        <v>3043</v>
      </c>
      <c r="AC149" t="s">
        <v>74</v>
      </c>
      <c r="AD149" t="s">
        <v>74</v>
      </c>
      <c r="AE149" t="s">
        <v>74</v>
      </c>
      <c r="AF149" t="s">
        <v>74</v>
      </c>
      <c r="AG149">
        <v>27</v>
      </c>
      <c r="AH149">
        <v>8</v>
      </c>
      <c r="AI149">
        <v>9</v>
      </c>
      <c r="AJ149">
        <v>0</v>
      </c>
      <c r="AK149">
        <v>0</v>
      </c>
      <c r="AL149" t="s">
        <v>639</v>
      </c>
      <c r="AM149" t="s">
        <v>640</v>
      </c>
      <c r="AN149" t="s">
        <v>641</v>
      </c>
      <c r="AO149" t="s">
        <v>642</v>
      </c>
      <c r="AP149" t="s">
        <v>643</v>
      </c>
      <c r="AQ149" t="s">
        <v>644</v>
      </c>
      <c r="AR149" t="s">
        <v>645</v>
      </c>
      <c r="AS149" t="s">
        <v>74</v>
      </c>
      <c r="AT149" t="s">
        <v>74</v>
      </c>
      <c r="AU149">
        <v>2021</v>
      </c>
      <c r="AV149" t="s">
        <v>74</v>
      </c>
      <c r="AW149" t="s">
        <v>74</v>
      </c>
      <c r="AX149" t="s">
        <v>74</v>
      </c>
      <c r="AY149" t="s">
        <v>74</v>
      </c>
      <c r="AZ149" t="s">
        <v>74</v>
      </c>
      <c r="BA149" t="s">
        <v>74</v>
      </c>
      <c r="BB149">
        <v>95</v>
      </c>
      <c r="BC149">
        <v>103</v>
      </c>
      <c r="BD149" t="s">
        <v>74</v>
      </c>
      <c r="BE149" t="s">
        <v>3044</v>
      </c>
      <c r="BF149" t="str">
        <f>HYPERLINK("http://dx.doi.org/10.1007/978-3-030-76520-0_10","http://dx.doi.org/10.1007/978-3-030-76520-0_10")</f>
        <v>http://dx.doi.org/10.1007/978-3-030-76520-0_10</v>
      </c>
      <c r="BG149" t="s">
        <v>74</v>
      </c>
      <c r="BH149" t="s">
        <v>74</v>
      </c>
      <c r="BI149">
        <v>9</v>
      </c>
      <c r="BJ149" t="s">
        <v>647</v>
      </c>
      <c r="BK149" t="s">
        <v>648</v>
      </c>
      <c r="BL149" t="s">
        <v>649</v>
      </c>
      <c r="BM149" t="s">
        <v>650</v>
      </c>
      <c r="BN149" t="s">
        <v>74</v>
      </c>
      <c r="BO149" t="s">
        <v>74</v>
      </c>
      <c r="BP149" t="s">
        <v>74</v>
      </c>
      <c r="BQ149" t="s">
        <v>74</v>
      </c>
      <c r="BR149" t="s">
        <v>102</v>
      </c>
      <c r="BS149" t="s">
        <v>3045</v>
      </c>
      <c r="BT149" t="str">
        <f>HYPERLINK("https%3A%2F%2Fwww.webofscience.com%2Fwos%2Fwoscc%2Ffull-record%2FWOS:001310136600010","View Full Record in Web of Science")</f>
        <v>View Full Record in Web of Science</v>
      </c>
    </row>
    <row r="150" spans="1:72" x14ac:dyDescent="0.35">
      <c r="A150" t="s">
        <v>72</v>
      </c>
      <c r="B150" t="s">
        <v>3046</v>
      </c>
      <c r="C150" t="s">
        <v>74</v>
      </c>
      <c r="D150" t="s">
        <v>74</v>
      </c>
      <c r="E150" t="s">
        <v>74</v>
      </c>
      <c r="F150" t="s">
        <v>3047</v>
      </c>
      <c r="G150" t="s">
        <v>74</v>
      </c>
      <c r="H150" t="s">
        <v>74</v>
      </c>
      <c r="I150" t="s">
        <v>3048</v>
      </c>
      <c r="J150" t="s">
        <v>216</v>
      </c>
      <c r="K150" t="s">
        <v>74</v>
      </c>
      <c r="L150" t="s">
        <v>74</v>
      </c>
      <c r="M150" t="s">
        <v>78</v>
      </c>
      <c r="N150" t="s">
        <v>108</v>
      </c>
      <c r="O150" t="s">
        <v>74</v>
      </c>
      <c r="P150" t="s">
        <v>74</v>
      </c>
      <c r="Q150" t="s">
        <v>74</v>
      </c>
      <c r="R150" t="s">
        <v>74</v>
      </c>
      <c r="S150" t="s">
        <v>74</v>
      </c>
      <c r="T150" t="s">
        <v>3049</v>
      </c>
      <c r="U150" t="s">
        <v>3050</v>
      </c>
      <c r="V150" t="s">
        <v>3051</v>
      </c>
      <c r="W150" t="s">
        <v>3052</v>
      </c>
      <c r="X150" t="s">
        <v>562</v>
      </c>
      <c r="Y150" t="s">
        <v>3053</v>
      </c>
      <c r="Z150" t="s">
        <v>3054</v>
      </c>
      <c r="AA150" t="s">
        <v>74</v>
      </c>
      <c r="AB150" t="s">
        <v>1274</v>
      </c>
      <c r="AC150" t="s">
        <v>74</v>
      </c>
      <c r="AD150" t="s">
        <v>74</v>
      </c>
      <c r="AE150" t="s">
        <v>74</v>
      </c>
      <c r="AF150" t="s">
        <v>74</v>
      </c>
      <c r="AG150">
        <v>53</v>
      </c>
      <c r="AH150">
        <v>0</v>
      </c>
      <c r="AI150">
        <v>0</v>
      </c>
      <c r="AJ150">
        <v>8</v>
      </c>
      <c r="AK150">
        <v>8</v>
      </c>
      <c r="AL150" t="s">
        <v>226</v>
      </c>
      <c r="AM150" t="s">
        <v>227</v>
      </c>
      <c r="AN150" t="s">
        <v>228</v>
      </c>
      <c r="AO150" t="s">
        <v>229</v>
      </c>
      <c r="AP150" t="s">
        <v>74</v>
      </c>
      <c r="AQ150" t="s">
        <v>74</v>
      </c>
      <c r="AR150" t="s">
        <v>230</v>
      </c>
      <c r="AS150" t="s">
        <v>231</v>
      </c>
      <c r="AT150" t="s">
        <v>273</v>
      </c>
      <c r="AU150">
        <v>2024</v>
      </c>
      <c r="AV150">
        <v>10</v>
      </c>
      <c r="AW150">
        <v>3</v>
      </c>
      <c r="AX150" t="s">
        <v>74</v>
      </c>
      <c r="AY150" t="s">
        <v>74</v>
      </c>
      <c r="AZ150" t="s">
        <v>74</v>
      </c>
      <c r="BA150" t="s">
        <v>74</v>
      </c>
      <c r="BB150" t="s">
        <v>74</v>
      </c>
      <c r="BC150" t="s">
        <v>74</v>
      </c>
      <c r="BD150">
        <v>2.0563051241279256E+16</v>
      </c>
      <c r="BE150" t="s">
        <v>3055</v>
      </c>
      <c r="BF150" t="str">
        <f>HYPERLINK("http://dx.doi.org/10.1177/20563051241279255","http://dx.doi.org/10.1177/20563051241279255")</f>
        <v>http://dx.doi.org/10.1177/20563051241279255</v>
      </c>
      <c r="BG150" t="s">
        <v>74</v>
      </c>
      <c r="BH150" t="s">
        <v>74</v>
      </c>
      <c r="BI150">
        <v>11</v>
      </c>
      <c r="BJ150" t="s">
        <v>124</v>
      </c>
      <c r="BK150" t="s">
        <v>99</v>
      </c>
      <c r="BL150" t="s">
        <v>124</v>
      </c>
      <c r="BM150" t="s">
        <v>3056</v>
      </c>
      <c r="BN150" t="s">
        <v>74</v>
      </c>
      <c r="BO150" t="s">
        <v>235</v>
      </c>
      <c r="BP150" t="s">
        <v>74</v>
      </c>
      <c r="BQ150" t="s">
        <v>74</v>
      </c>
      <c r="BR150" t="s">
        <v>102</v>
      </c>
      <c r="BS150" t="s">
        <v>3057</v>
      </c>
      <c r="BT150" t="str">
        <f>HYPERLINK("https%3A%2F%2Fwww.webofscience.com%2Fwos%2Fwoscc%2Ffull-record%2FWOS:001315289800001","View Full Record in Web of Science")</f>
        <v>View Full Record in Web of Science</v>
      </c>
    </row>
    <row r="151" spans="1:72" x14ac:dyDescent="0.35">
      <c r="A151" t="s">
        <v>72</v>
      </c>
      <c r="B151" t="s">
        <v>3058</v>
      </c>
      <c r="C151" t="s">
        <v>74</v>
      </c>
      <c r="D151" t="s">
        <v>74</v>
      </c>
      <c r="E151" t="s">
        <v>74</v>
      </c>
      <c r="F151" t="s">
        <v>3059</v>
      </c>
      <c r="G151" t="s">
        <v>74</v>
      </c>
      <c r="H151" t="s">
        <v>74</v>
      </c>
      <c r="I151" t="s">
        <v>3060</v>
      </c>
      <c r="J151" t="s">
        <v>401</v>
      </c>
      <c r="K151" t="s">
        <v>74</v>
      </c>
      <c r="L151" t="s">
        <v>74</v>
      </c>
      <c r="M151" t="s">
        <v>78</v>
      </c>
      <c r="N151" t="s">
        <v>108</v>
      </c>
      <c r="O151" t="s">
        <v>74</v>
      </c>
      <c r="P151" t="s">
        <v>74</v>
      </c>
      <c r="Q151" t="s">
        <v>74</v>
      </c>
      <c r="R151" t="s">
        <v>74</v>
      </c>
      <c r="S151" t="s">
        <v>74</v>
      </c>
      <c r="T151" t="s">
        <v>3061</v>
      </c>
      <c r="U151" t="s">
        <v>3062</v>
      </c>
      <c r="V151" t="s">
        <v>3063</v>
      </c>
      <c r="W151" t="s">
        <v>3064</v>
      </c>
      <c r="X151" t="s">
        <v>835</v>
      </c>
      <c r="Y151" t="s">
        <v>1627</v>
      </c>
      <c r="Z151" t="s">
        <v>3065</v>
      </c>
      <c r="AA151" t="s">
        <v>3066</v>
      </c>
      <c r="AB151" t="s">
        <v>3067</v>
      </c>
      <c r="AC151" t="s">
        <v>74</v>
      </c>
      <c r="AD151" t="s">
        <v>74</v>
      </c>
      <c r="AE151" t="s">
        <v>74</v>
      </c>
      <c r="AF151" t="s">
        <v>74</v>
      </c>
      <c r="AG151">
        <v>69</v>
      </c>
      <c r="AH151">
        <v>24</v>
      </c>
      <c r="AI151">
        <v>27</v>
      </c>
      <c r="AJ151">
        <v>19</v>
      </c>
      <c r="AK151">
        <v>74</v>
      </c>
      <c r="AL151" t="s">
        <v>409</v>
      </c>
      <c r="AM151" t="s">
        <v>410</v>
      </c>
      <c r="AN151" t="s">
        <v>411</v>
      </c>
      <c r="AO151" t="s">
        <v>412</v>
      </c>
      <c r="AP151" t="s">
        <v>74</v>
      </c>
      <c r="AQ151" t="s">
        <v>74</v>
      </c>
      <c r="AR151" t="s">
        <v>413</v>
      </c>
      <c r="AS151" t="s">
        <v>414</v>
      </c>
      <c r="AT151" t="s">
        <v>74</v>
      </c>
      <c r="AU151">
        <v>2021</v>
      </c>
      <c r="AV151">
        <v>15</v>
      </c>
      <c r="AW151" t="s">
        <v>74</v>
      </c>
      <c r="AX151" t="s">
        <v>74</v>
      </c>
      <c r="AY151" t="s">
        <v>74</v>
      </c>
      <c r="AZ151" t="s">
        <v>74</v>
      </c>
      <c r="BA151" t="s">
        <v>74</v>
      </c>
      <c r="BB151">
        <v>3216</v>
      </c>
      <c r="BC151">
        <v>3247</v>
      </c>
      <c r="BD151" t="s">
        <v>74</v>
      </c>
      <c r="BE151" t="s">
        <v>74</v>
      </c>
      <c r="BF151" t="s">
        <v>74</v>
      </c>
      <c r="BG151" t="s">
        <v>74</v>
      </c>
      <c r="BH151" t="s">
        <v>74</v>
      </c>
      <c r="BI151">
        <v>32</v>
      </c>
      <c r="BJ151" t="s">
        <v>124</v>
      </c>
      <c r="BK151" t="s">
        <v>99</v>
      </c>
      <c r="BL151" t="s">
        <v>124</v>
      </c>
      <c r="BM151" t="s">
        <v>1217</v>
      </c>
      <c r="BN151" t="s">
        <v>74</v>
      </c>
      <c r="BO151" t="s">
        <v>74</v>
      </c>
      <c r="BP151" t="s">
        <v>74</v>
      </c>
      <c r="BQ151" t="s">
        <v>74</v>
      </c>
      <c r="BR151" t="s">
        <v>102</v>
      </c>
      <c r="BS151" t="s">
        <v>3068</v>
      </c>
      <c r="BT151" t="str">
        <f>HYPERLINK("https%3A%2F%2Fwww.webofscience.com%2Fwos%2Fwoscc%2Ffull-record%2FWOS:000729944300053","View Full Record in Web of Science")</f>
        <v>View Full Record in Web of Science</v>
      </c>
    </row>
    <row r="152" spans="1:72" x14ac:dyDescent="0.35">
      <c r="A152" t="s">
        <v>128</v>
      </c>
      <c r="B152" t="s">
        <v>3069</v>
      </c>
      <c r="C152" t="s">
        <v>74</v>
      </c>
      <c r="D152" t="s">
        <v>74</v>
      </c>
      <c r="E152" t="s">
        <v>702</v>
      </c>
      <c r="F152" t="s">
        <v>3070</v>
      </c>
      <c r="G152" t="s">
        <v>74</v>
      </c>
      <c r="H152" t="s">
        <v>74</v>
      </c>
      <c r="I152" t="s">
        <v>3071</v>
      </c>
      <c r="J152" t="s">
        <v>3072</v>
      </c>
      <c r="K152" t="s">
        <v>74</v>
      </c>
      <c r="L152" t="s">
        <v>74</v>
      </c>
      <c r="M152" t="s">
        <v>78</v>
      </c>
      <c r="N152" t="s">
        <v>135</v>
      </c>
      <c r="O152" t="s">
        <v>3073</v>
      </c>
      <c r="P152" t="s">
        <v>3074</v>
      </c>
      <c r="Q152" t="s">
        <v>3075</v>
      </c>
      <c r="R152" t="s">
        <v>3076</v>
      </c>
      <c r="S152" t="s">
        <v>3077</v>
      </c>
      <c r="T152" t="s">
        <v>3078</v>
      </c>
      <c r="U152" t="s">
        <v>74</v>
      </c>
      <c r="V152" t="s">
        <v>3079</v>
      </c>
      <c r="W152" t="s">
        <v>3080</v>
      </c>
      <c r="X152" t="s">
        <v>3081</v>
      </c>
      <c r="Y152" t="s">
        <v>3082</v>
      </c>
      <c r="Z152" t="s">
        <v>3083</v>
      </c>
      <c r="AA152" t="s">
        <v>74</v>
      </c>
      <c r="AB152" t="s">
        <v>912</v>
      </c>
      <c r="AC152" t="s">
        <v>74</v>
      </c>
      <c r="AD152" t="s">
        <v>74</v>
      </c>
      <c r="AE152" t="s">
        <v>74</v>
      </c>
      <c r="AF152" t="s">
        <v>74</v>
      </c>
      <c r="AG152">
        <v>17</v>
      </c>
      <c r="AH152">
        <v>1</v>
      </c>
      <c r="AI152">
        <v>1</v>
      </c>
      <c r="AJ152">
        <v>8</v>
      </c>
      <c r="AK152">
        <v>9</v>
      </c>
      <c r="AL152" t="s">
        <v>718</v>
      </c>
      <c r="AM152" t="s">
        <v>666</v>
      </c>
      <c r="AN152" t="s">
        <v>719</v>
      </c>
      <c r="AO152" t="s">
        <v>74</v>
      </c>
      <c r="AP152" t="s">
        <v>74</v>
      </c>
      <c r="AQ152" t="s">
        <v>3084</v>
      </c>
      <c r="AR152" t="s">
        <v>74</v>
      </c>
      <c r="AS152" t="s">
        <v>74</v>
      </c>
      <c r="AT152" t="s">
        <v>74</v>
      </c>
      <c r="AU152">
        <v>2021</v>
      </c>
      <c r="AV152" t="s">
        <v>74</v>
      </c>
      <c r="AW152" t="s">
        <v>74</v>
      </c>
      <c r="AX152" t="s">
        <v>74</v>
      </c>
      <c r="AY152" t="s">
        <v>74</v>
      </c>
      <c r="AZ152" t="s">
        <v>74</v>
      </c>
      <c r="BA152" t="s">
        <v>74</v>
      </c>
      <c r="BB152">
        <v>226</v>
      </c>
      <c r="BC152">
        <v>229</v>
      </c>
      <c r="BD152" t="s">
        <v>74</v>
      </c>
      <c r="BE152" t="s">
        <v>3085</v>
      </c>
      <c r="BF152" t="str">
        <f>HYPERLINK("http://dx.doi.org/10.1145/3490632.3497864","http://dx.doi.org/10.1145/3490632.3497864")</f>
        <v>http://dx.doi.org/10.1145/3490632.3497864</v>
      </c>
      <c r="BG152" t="s">
        <v>74</v>
      </c>
      <c r="BH152" t="s">
        <v>74</v>
      </c>
      <c r="BI152">
        <v>4</v>
      </c>
      <c r="BJ152" t="s">
        <v>3086</v>
      </c>
      <c r="BK152" t="s">
        <v>723</v>
      </c>
      <c r="BL152" t="s">
        <v>1113</v>
      </c>
      <c r="BM152" t="s">
        <v>3087</v>
      </c>
      <c r="BN152" t="s">
        <v>74</v>
      </c>
      <c r="BO152" t="s">
        <v>74</v>
      </c>
      <c r="BP152" t="s">
        <v>74</v>
      </c>
      <c r="BQ152" t="s">
        <v>74</v>
      </c>
      <c r="BR152" t="s">
        <v>102</v>
      </c>
      <c r="BS152" t="s">
        <v>3088</v>
      </c>
      <c r="BT152" t="str">
        <f>HYPERLINK("https%3A%2F%2Fwww.webofscience.com%2Fwos%2Fwoscc%2Ffull-record%2FWOS:001112164200035","View Full Record in Web of Science")</f>
        <v>View Full Record in Web of Science</v>
      </c>
    </row>
    <row r="153" spans="1:72" x14ac:dyDescent="0.35">
      <c r="A153" t="s">
        <v>72</v>
      </c>
      <c r="B153" t="s">
        <v>3089</v>
      </c>
      <c r="C153" t="s">
        <v>74</v>
      </c>
      <c r="D153" t="s">
        <v>74</v>
      </c>
      <c r="E153" t="s">
        <v>74</v>
      </c>
      <c r="F153" t="s">
        <v>3090</v>
      </c>
      <c r="G153" t="s">
        <v>74</v>
      </c>
      <c r="H153" t="s">
        <v>74</v>
      </c>
      <c r="I153" t="s">
        <v>3091</v>
      </c>
      <c r="J153" t="s">
        <v>2649</v>
      </c>
      <c r="K153" t="s">
        <v>74</v>
      </c>
      <c r="L153" t="s">
        <v>74</v>
      </c>
      <c r="M153" t="s">
        <v>78</v>
      </c>
      <c r="N153" t="s">
        <v>108</v>
      </c>
      <c r="O153" t="s">
        <v>74</v>
      </c>
      <c r="P153" t="s">
        <v>74</v>
      </c>
      <c r="Q153" t="s">
        <v>74</v>
      </c>
      <c r="R153" t="s">
        <v>74</v>
      </c>
      <c r="S153" t="s">
        <v>74</v>
      </c>
      <c r="T153" t="s">
        <v>3092</v>
      </c>
      <c r="U153" t="s">
        <v>218</v>
      </c>
      <c r="V153" t="s">
        <v>3093</v>
      </c>
      <c r="W153" t="s">
        <v>3094</v>
      </c>
      <c r="X153" t="s">
        <v>3095</v>
      </c>
      <c r="Y153" t="s">
        <v>3096</v>
      </c>
      <c r="Z153" t="s">
        <v>3097</v>
      </c>
      <c r="AA153" t="s">
        <v>3098</v>
      </c>
      <c r="AB153" t="s">
        <v>3099</v>
      </c>
      <c r="AC153" t="s">
        <v>3100</v>
      </c>
      <c r="AD153" t="s">
        <v>3101</v>
      </c>
      <c r="AE153" t="s">
        <v>3102</v>
      </c>
      <c r="AF153" t="s">
        <v>74</v>
      </c>
      <c r="AG153">
        <v>68</v>
      </c>
      <c r="AH153">
        <v>26</v>
      </c>
      <c r="AI153">
        <v>28</v>
      </c>
      <c r="AJ153">
        <v>7</v>
      </c>
      <c r="AK153">
        <v>87</v>
      </c>
      <c r="AL153" t="s">
        <v>2662</v>
      </c>
      <c r="AM153" t="s">
        <v>2663</v>
      </c>
      <c r="AN153" t="s">
        <v>2664</v>
      </c>
      <c r="AO153" t="s">
        <v>2665</v>
      </c>
      <c r="AP153" t="s">
        <v>74</v>
      </c>
      <c r="AQ153" t="s">
        <v>74</v>
      </c>
      <c r="AR153" t="s">
        <v>2666</v>
      </c>
      <c r="AS153" t="s">
        <v>2667</v>
      </c>
      <c r="AT153" t="s">
        <v>74</v>
      </c>
      <c r="AU153">
        <v>2022</v>
      </c>
      <c r="AV153">
        <v>10</v>
      </c>
      <c r="AW153">
        <v>1</v>
      </c>
      <c r="AX153" t="s">
        <v>74</v>
      </c>
      <c r="AY153" t="s">
        <v>74</v>
      </c>
      <c r="AZ153" t="s">
        <v>74</v>
      </c>
      <c r="BA153" t="s">
        <v>74</v>
      </c>
      <c r="BB153">
        <v>146</v>
      </c>
      <c r="BC153">
        <v>156</v>
      </c>
      <c r="BD153" t="s">
        <v>74</v>
      </c>
      <c r="BE153" t="s">
        <v>3103</v>
      </c>
      <c r="BF153" t="str">
        <f>HYPERLINK("http://dx.doi.org/10.17645/mac.v10i1.4699","http://dx.doi.org/10.17645/mac.v10i1.4699")</f>
        <v>http://dx.doi.org/10.17645/mac.v10i1.4699</v>
      </c>
      <c r="BG153" t="s">
        <v>74</v>
      </c>
      <c r="BH153" t="s">
        <v>74</v>
      </c>
      <c r="BI153">
        <v>11</v>
      </c>
      <c r="BJ153" t="s">
        <v>124</v>
      </c>
      <c r="BK153" t="s">
        <v>99</v>
      </c>
      <c r="BL153" t="s">
        <v>124</v>
      </c>
      <c r="BM153" t="s">
        <v>3104</v>
      </c>
      <c r="BN153" t="s">
        <v>74</v>
      </c>
      <c r="BO153" t="s">
        <v>552</v>
      </c>
      <c r="BP153" t="s">
        <v>74</v>
      </c>
      <c r="BQ153" t="s">
        <v>74</v>
      </c>
      <c r="BR153" t="s">
        <v>102</v>
      </c>
      <c r="BS153" t="s">
        <v>3105</v>
      </c>
      <c r="BT153" t="str">
        <f>HYPERLINK("https%3A%2F%2Fwww.webofscience.com%2Fwos%2Fwoscc%2Ffull-record%2FWOS:000762434300003","View Full Record in Web of Science")</f>
        <v>View Full Record in Web of Science</v>
      </c>
    </row>
    <row r="154" spans="1:72" x14ac:dyDescent="0.35">
      <c r="A154" t="s">
        <v>72</v>
      </c>
      <c r="B154" t="s">
        <v>3106</v>
      </c>
      <c r="C154" t="s">
        <v>74</v>
      </c>
      <c r="D154" t="s">
        <v>74</v>
      </c>
      <c r="E154" t="s">
        <v>74</v>
      </c>
      <c r="F154" t="s">
        <v>3107</v>
      </c>
      <c r="G154" t="s">
        <v>74</v>
      </c>
      <c r="H154" t="s">
        <v>74</v>
      </c>
      <c r="I154" t="s">
        <v>3108</v>
      </c>
      <c r="J154" t="s">
        <v>3109</v>
      </c>
      <c r="K154" t="s">
        <v>74</v>
      </c>
      <c r="L154" t="s">
        <v>74</v>
      </c>
      <c r="M154" t="s">
        <v>78</v>
      </c>
      <c r="N154" t="s">
        <v>108</v>
      </c>
      <c r="O154" t="s">
        <v>74</v>
      </c>
      <c r="P154" t="s">
        <v>74</v>
      </c>
      <c r="Q154" t="s">
        <v>74</v>
      </c>
      <c r="R154" t="s">
        <v>74</v>
      </c>
      <c r="S154" t="s">
        <v>74</v>
      </c>
      <c r="T154" t="s">
        <v>3110</v>
      </c>
      <c r="U154" t="s">
        <v>3111</v>
      </c>
      <c r="V154" t="s">
        <v>3112</v>
      </c>
      <c r="W154" t="s">
        <v>3113</v>
      </c>
      <c r="X154" t="s">
        <v>3114</v>
      </c>
      <c r="Y154" t="s">
        <v>3115</v>
      </c>
      <c r="Z154" t="s">
        <v>2516</v>
      </c>
      <c r="AA154" t="s">
        <v>3116</v>
      </c>
      <c r="AB154" t="s">
        <v>3117</v>
      </c>
      <c r="AC154" t="s">
        <v>74</v>
      </c>
      <c r="AD154" t="s">
        <v>74</v>
      </c>
      <c r="AE154" t="s">
        <v>74</v>
      </c>
      <c r="AF154" t="s">
        <v>74</v>
      </c>
      <c r="AG154">
        <v>55</v>
      </c>
      <c r="AH154">
        <v>5</v>
      </c>
      <c r="AI154">
        <v>5</v>
      </c>
      <c r="AJ154">
        <v>12</v>
      </c>
      <c r="AK154">
        <v>47</v>
      </c>
      <c r="AL154" t="s">
        <v>226</v>
      </c>
      <c r="AM154" t="s">
        <v>227</v>
      </c>
      <c r="AN154" t="s">
        <v>228</v>
      </c>
      <c r="AO154" t="s">
        <v>3118</v>
      </c>
      <c r="AP154" t="s">
        <v>3119</v>
      </c>
      <c r="AQ154" t="s">
        <v>74</v>
      </c>
      <c r="AR154" t="s">
        <v>3120</v>
      </c>
      <c r="AS154" t="s">
        <v>3121</v>
      </c>
      <c r="AT154" t="s">
        <v>1484</v>
      </c>
      <c r="AU154">
        <v>2023</v>
      </c>
      <c r="AV154">
        <v>8</v>
      </c>
      <c r="AW154">
        <v>1</v>
      </c>
      <c r="AX154" t="s">
        <v>74</v>
      </c>
      <c r="AY154" t="s">
        <v>74</v>
      </c>
      <c r="AZ154" t="s">
        <v>456</v>
      </c>
      <c r="BA154" t="s">
        <v>74</v>
      </c>
      <c r="BB154">
        <v>57</v>
      </c>
      <c r="BC154">
        <v>71</v>
      </c>
      <c r="BD154" t="s">
        <v>74</v>
      </c>
      <c r="BE154" t="s">
        <v>3122</v>
      </c>
      <c r="BF154" t="str">
        <f>HYPERLINK("http://dx.doi.org/10.1177/20594364231154340","http://dx.doi.org/10.1177/20594364231154340")</f>
        <v>http://dx.doi.org/10.1177/20594364231154340</v>
      </c>
      <c r="BG154" t="s">
        <v>74</v>
      </c>
      <c r="BH154" t="s">
        <v>74</v>
      </c>
      <c r="BI154">
        <v>15</v>
      </c>
      <c r="BJ154" t="s">
        <v>124</v>
      </c>
      <c r="BK154" t="s">
        <v>125</v>
      </c>
      <c r="BL154" t="s">
        <v>124</v>
      </c>
      <c r="BM154" t="s">
        <v>3123</v>
      </c>
      <c r="BN154" t="s">
        <v>74</v>
      </c>
      <c r="BO154" t="s">
        <v>235</v>
      </c>
      <c r="BP154" t="s">
        <v>74</v>
      </c>
      <c r="BQ154" t="s">
        <v>74</v>
      </c>
      <c r="BR154" t="s">
        <v>102</v>
      </c>
      <c r="BS154" t="s">
        <v>3124</v>
      </c>
      <c r="BT154" t="str">
        <f>HYPERLINK("https%3A%2F%2Fwww.webofscience.com%2Fwos%2Fwoscc%2Ffull-record%2FWOS:000947440000005","View Full Record in Web of Science")</f>
        <v>View Full Record in Web of Science</v>
      </c>
    </row>
    <row r="155" spans="1:72" x14ac:dyDescent="0.35">
      <c r="A155" t="s">
        <v>72</v>
      </c>
      <c r="B155" t="s">
        <v>3125</v>
      </c>
      <c r="C155" t="s">
        <v>74</v>
      </c>
      <c r="D155" t="s">
        <v>74</v>
      </c>
      <c r="E155" t="s">
        <v>74</v>
      </c>
      <c r="F155" t="s">
        <v>3126</v>
      </c>
      <c r="G155" t="s">
        <v>74</v>
      </c>
      <c r="H155" t="s">
        <v>74</v>
      </c>
      <c r="I155" t="s">
        <v>3127</v>
      </c>
      <c r="J155" t="s">
        <v>438</v>
      </c>
      <c r="K155" t="s">
        <v>74</v>
      </c>
      <c r="L155" t="s">
        <v>74</v>
      </c>
      <c r="M155" t="s">
        <v>78</v>
      </c>
      <c r="N155" t="s">
        <v>79</v>
      </c>
      <c r="O155" t="s">
        <v>74</v>
      </c>
      <c r="P155" t="s">
        <v>74</v>
      </c>
      <c r="Q155" t="s">
        <v>74</v>
      </c>
      <c r="R155" t="s">
        <v>74</v>
      </c>
      <c r="S155" t="s">
        <v>74</v>
      </c>
      <c r="T155" t="s">
        <v>3128</v>
      </c>
      <c r="U155" t="s">
        <v>3129</v>
      </c>
      <c r="V155" t="s">
        <v>3130</v>
      </c>
      <c r="W155" t="s">
        <v>3131</v>
      </c>
      <c r="X155" t="s">
        <v>3132</v>
      </c>
      <c r="Y155" t="s">
        <v>3133</v>
      </c>
      <c r="Z155" t="s">
        <v>3134</v>
      </c>
      <c r="AA155" t="s">
        <v>74</v>
      </c>
      <c r="AB155" t="s">
        <v>3135</v>
      </c>
      <c r="AC155" t="s">
        <v>74</v>
      </c>
      <c r="AD155" t="s">
        <v>74</v>
      </c>
      <c r="AE155" t="s">
        <v>74</v>
      </c>
      <c r="AF155" t="s">
        <v>74</v>
      </c>
      <c r="AG155">
        <v>45</v>
      </c>
      <c r="AH155">
        <v>4</v>
      </c>
      <c r="AI155">
        <v>4</v>
      </c>
      <c r="AJ155">
        <v>25</v>
      </c>
      <c r="AK155">
        <v>90</v>
      </c>
      <c r="AL155" t="s">
        <v>226</v>
      </c>
      <c r="AM155" t="s">
        <v>227</v>
      </c>
      <c r="AN155" t="s">
        <v>228</v>
      </c>
      <c r="AO155" t="s">
        <v>451</v>
      </c>
      <c r="AP155" t="s">
        <v>452</v>
      </c>
      <c r="AQ155" t="s">
        <v>74</v>
      </c>
      <c r="AR155" t="s">
        <v>453</v>
      </c>
      <c r="AS155" t="s">
        <v>454</v>
      </c>
      <c r="AT155" t="s">
        <v>3136</v>
      </c>
      <c r="AU155">
        <v>2023</v>
      </c>
      <c r="AV155" t="s">
        <v>74</v>
      </c>
      <c r="AW155" t="s">
        <v>74</v>
      </c>
      <c r="AX155" t="s">
        <v>74</v>
      </c>
      <c r="AY155" t="s">
        <v>74</v>
      </c>
      <c r="AZ155" t="s">
        <v>74</v>
      </c>
      <c r="BA155" t="s">
        <v>74</v>
      </c>
      <c r="BB155" t="s">
        <v>74</v>
      </c>
      <c r="BC155" t="s">
        <v>74</v>
      </c>
      <c r="BD155" t="s">
        <v>74</v>
      </c>
      <c r="BE155" t="s">
        <v>3137</v>
      </c>
      <c r="BF155" t="str">
        <f>HYPERLINK("http://dx.doi.org/10.1177/14614448231192964","http://dx.doi.org/10.1177/14614448231192964")</f>
        <v>http://dx.doi.org/10.1177/14614448231192964</v>
      </c>
      <c r="BG155" t="s">
        <v>74</v>
      </c>
      <c r="BH155" t="s">
        <v>3138</v>
      </c>
      <c r="BI155">
        <v>21</v>
      </c>
      <c r="BJ155" t="s">
        <v>124</v>
      </c>
      <c r="BK155" t="s">
        <v>99</v>
      </c>
      <c r="BL155" t="s">
        <v>124</v>
      </c>
      <c r="BM155" t="s">
        <v>3139</v>
      </c>
      <c r="BN155" t="s">
        <v>74</v>
      </c>
      <c r="BO155" t="s">
        <v>74</v>
      </c>
      <c r="BP155" t="s">
        <v>74</v>
      </c>
      <c r="BQ155" t="s">
        <v>74</v>
      </c>
      <c r="BR155" t="s">
        <v>102</v>
      </c>
      <c r="BS155" t="s">
        <v>3140</v>
      </c>
      <c r="BT155" t="str">
        <f>HYPERLINK("https%3A%2F%2Fwww.webofscience.com%2Fwos%2Fwoscc%2Ffull-record%2FWOS:001062074200001","View Full Record in Web of Science")</f>
        <v>View Full Record in Web of Science</v>
      </c>
    </row>
    <row r="156" spans="1:72" x14ac:dyDescent="0.35">
      <c r="A156" t="s">
        <v>72</v>
      </c>
      <c r="B156" t="s">
        <v>3141</v>
      </c>
      <c r="C156" t="s">
        <v>74</v>
      </c>
      <c r="D156" t="s">
        <v>74</v>
      </c>
      <c r="E156" t="s">
        <v>74</v>
      </c>
      <c r="F156" t="s">
        <v>3142</v>
      </c>
      <c r="G156" t="s">
        <v>74</v>
      </c>
      <c r="H156" t="s">
        <v>74</v>
      </c>
      <c r="I156" t="s">
        <v>3143</v>
      </c>
      <c r="J156" t="s">
        <v>3144</v>
      </c>
      <c r="K156" t="s">
        <v>74</v>
      </c>
      <c r="L156" t="s">
        <v>74</v>
      </c>
      <c r="M156" t="s">
        <v>78</v>
      </c>
      <c r="N156" t="s">
        <v>1328</v>
      </c>
      <c r="O156" t="s">
        <v>74</v>
      </c>
      <c r="P156" t="s">
        <v>74</v>
      </c>
      <c r="Q156" t="s">
        <v>74</v>
      </c>
      <c r="R156" t="s">
        <v>74</v>
      </c>
      <c r="S156" t="s">
        <v>74</v>
      </c>
      <c r="T156" t="s">
        <v>3145</v>
      </c>
      <c r="U156" t="s">
        <v>74</v>
      </c>
      <c r="V156" t="s">
        <v>74</v>
      </c>
      <c r="W156" t="s">
        <v>3146</v>
      </c>
      <c r="X156" t="s">
        <v>3147</v>
      </c>
      <c r="Y156" t="s">
        <v>3148</v>
      </c>
      <c r="Z156" t="s">
        <v>3149</v>
      </c>
      <c r="AA156" t="s">
        <v>3150</v>
      </c>
      <c r="AB156" t="s">
        <v>3151</v>
      </c>
      <c r="AC156" t="s">
        <v>74</v>
      </c>
      <c r="AD156" t="s">
        <v>74</v>
      </c>
      <c r="AE156" t="s">
        <v>74</v>
      </c>
      <c r="AF156" t="s">
        <v>74</v>
      </c>
      <c r="AG156">
        <v>5</v>
      </c>
      <c r="AH156">
        <v>1</v>
      </c>
      <c r="AI156">
        <v>1</v>
      </c>
      <c r="AJ156">
        <v>0</v>
      </c>
      <c r="AK156">
        <v>14</v>
      </c>
      <c r="AL156" t="s">
        <v>171</v>
      </c>
      <c r="AM156" t="s">
        <v>172</v>
      </c>
      <c r="AN156" t="s">
        <v>173</v>
      </c>
      <c r="AO156" t="s">
        <v>3152</v>
      </c>
      <c r="AP156" t="s">
        <v>3153</v>
      </c>
      <c r="AQ156" t="s">
        <v>74</v>
      </c>
      <c r="AR156" t="s">
        <v>3154</v>
      </c>
      <c r="AS156" t="s">
        <v>3155</v>
      </c>
      <c r="AT156" t="s">
        <v>273</v>
      </c>
      <c r="AU156">
        <v>2022</v>
      </c>
      <c r="AV156">
        <v>26</v>
      </c>
      <c r="AW156">
        <v>4</v>
      </c>
      <c r="AX156" t="s">
        <v>74</v>
      </c>
      <c r="AY156" t="s">
        <v>74</v>
      </c>
      <c r="AZ156" t="s">
        <v>74</v>
      </c>
      <c r="BA156" t="s">
        <v>74</v>
      </c>
      <c r="BB156">
        <v>428</v>
      </c>
      <c r="BC156">
        <v>429</v>
      </c>
      <c r="BD156">
        <v>1.2034754221083976E+16</v>
      </c>
      <c r="BE156" t="s">
        <v>3156</v>
      </c>
      <c r="BF156" t="str">
        <f>HYPERLINK("http://dx.doi.org/10.1177/12034754221083975","http://dx.doi.org/10.1177/12034754221083975")</f>
        <v>http://dx.doi.org/10.1177/12034754221083975</v>
      </c>
      <c r="BG156" t="s">
        <v>74</v>
      </c>
      <c r="BH156" t="s">
        <v>259</v>
      </c>
      <c r="BI156">
        <v>2</v>
      </c>
      <c r="BJ156" t="s">
        <v>1341</v>
      </c>
      <c r="BK156" t="s">
        <v>209</v>
      </c>
      <c r="BL156" t="s">
        <v>1341</v>
      </c>
      <c r="BM156" t="s">
        <v>3157</v>
      </c>
      <c r="BN156">
        <v>35220797</v>
      </c>
      <c r="BO156" t="s">
        <v>74</v>
      </c>
      <c r="BP156" t="s">
        <v>74</v>
      </c>
      <c r="BQ156" t="s">
        <v>74</v>
      </c>
      <c r="BR156" t="s">
        <v>102</v>
      </c>
      <c r="BS156" t="s">
        <v>3158</v>
      </c>
      <c r="BT156" t="str">
        <f>HYPERLINK("https%3A%2F%2Fwww.webofscience.com%2Fwos%2Fwoscc%2Ffull-record%2FWOS:000763497800001","View Full Record in Web of Science")</f>
        <v>View Full Record in Web of Science</v>
      </c>
    </row>
    <row r="157" spans="1:72" x14ac:dyDescent="0.35">
      <c r="A157" t="s">
        <v>72</v>
      </c>
      <c r="B157" t="s">
        <v>3159</v>
      </c>
      <c r="C157" t="s">
        <v>74</v>
      </c>
      <c r="D157" t="s">
        <v>74</v>
      </c>
      <c r="E157" t="s">
        <v>74</v>
      </c>
      <c r="F157" t="s">
        <v>3160</v>
      </c>
      <c r="G157" t="s">
        <v>74</v>
      </c>
      <c r="H157" t="s">
        <v>74</v>
      </c>
      <c r="I157" t="s">
        <v>3161</v>
      </c>
      <c r="J157" t="s">
        <v>3162</v>
      </c>
      <c r="K157" t="s">
        <v>74</v>
      </c>
      <c r="L157" t="s">
        <v>74</v>
      </c>
      <c r="M157" t="s">
        <v>78</v>
      </c>
      <c r="N157" t="s">
        <v>108</v>
      </c>
      <c r="O157" t="s">
        <v>74</v>
      </c>
      <c r="P157" t="s">
        <v>74</v>
      </c>
      <c r="Q157" t="s">
        <v>74</v>
      </c>
      <c r="R157" t="s">
        <v>74</v>
      </c>
      <c r="S157" t="s">
        <v>74</v>
      </c>
      <c r="T157" t="s">
        <v>3163</v>
      </c>
      <c r="U157" t="s">
        <v>74</v>
      </c>
      <c r="V157" t="s">
        <v>3164</v>
      </c>
      <c r="W157" t="s">
        <v>3165</v>
      </c>
      <c r="X157" t="s">
        <v>3166</v>
      </c>
      <c r="Y157" t="s">
        <v>3167</v>
      </c>
      <c r="Z157" t="s">
        <v>74</v>
      </c>
      <c r="AA157" t="s">
        <v>74</v>
      </c>
      <c r="AB157" t="s">
        <v>74</v>
      </c>
      <c r="AC157" t="s">
        <v>74</v>
      </c>
      <c r="AD157" t="s">
        <v>74</v>
      </c>
      <c r="AE157" t="s">
        <v>74</v>
      </c>
      <c r="AF157" t="s">
        <v>74</v>
      </c>
      <c r="AG157">
        <v>36</v>
      </c>
      <c r="AH157">
        <v>0</v>
      </c>
      <c r="AI157">
        <v>0</v>
      </c>
      <c r="AJ157">
        <v>4</v>
      </c>
      <c r="AK157">
        <v>4</v>
      </c>
      <c r="AL157" t="s">
        <v>3168</v>
      </c>
      <c r="AM157" t="s">
        <v>3169</v>
      </c>
      <c r="AN157" t="s">
        <v>3170</v>
      </c>
      <c r="AO157" t="s">
        <v>3171</v>
      </c>
      <c r="AP157" t="s">
        <v>3172</v>
      </c>
      <c r="AQ157" t="s">
        <v>74</v>
      </c>
      <c r="AR157" t="s">
        <v>3173</v>
      </c>
      <c r="AS157" t="s">
        <v>3174</v>
      </c>
      <c r="AT157" t="s">
        <v>257</v>
      </c>
      <c r="AU157">
        <v>2024</v>
      </c>
      <c r="AV157">
        <v>17</v>
      </c>
      <c r="AW157">
        <v>2</v>
      </c>
      <c r="AX157" t="s">
        <v>74</v>
      </c>
      <c r="AY157" t="s">
        <v>74</v>
      </c>
      <c r="AZ157" t="s">
        <v>74</v>
      </c>
      <c r="BA157" t="s">
        <v>74</v>
      </c>
      <c r="BB157">
        <v>174</v>
      </c>
      <c r="BC157">
        <v>188</v>
      </c>
      <c r="BD157" t="s">
        <v>74</v>
      </c>
      <c r="BE157" t="s">
        <v>3175</v>
      </c>
      <c r="BF157" t="str">
        <f>HYPERLINK("http://dx.doi.org/10.3366/ircl.2024.0562","http://dx.doi.org/10.3366/ircl.2024.0562")</f>
        <v>http://dx.doi.org/10.3366/ircl.2024.0562</v>
      </c>
      <c r="BG157" t="s">
        <v>74</v>
      </c>
      <c r="BH157" t="s">
        <v>74</v>
      </c>
      <c r="BI157">
        <v>15</v>
      </c>
      <c r="BJ157" t="s">
        <v>3176</v>
      </c>
      <c r="BK157" t="s">
        <v>316</v>
      </c>
      <c r="BL157" t="s">
        <v>3176</v>
      </c>
      <c r="BM157" t="s">
        <v>3177</v>
      </c>
      <c r="BN157" t="s">
        <v>74</v>
      </c>
      <c r="BO157" t="s">
        <v>74</v>
      </c>
      <c r="BP157" t="s">
        <v>74</v>
      </c>
      <c r="BQ157" t="s">
        <v>74</v>
      </c>
      <c r="BR157" t="s">
        <v>102</v>
      </c>
      <c r="BS157" t="s">
        <v>3178</v>
      </c>
      <c r="BT157" t="str">
        <f>HYPERLINK("https%3A%2F%2Fwww.webofscience.com%2Fwos%2Fwoscc%2Ffull-record%2FWOS:001242657400006","View Full Record in Web of Science")</f>
        <v>View Full Record in Web of Science</v>
      </c>
    </row>
    <row r="158" spans="1:72" x14ac:dyDescent="0.35">
      <c r="A158" t="s">
        <v>72</v>
      </c>
      <c r="B158" t="s">
        <v>3179</v>
      </c>
      <c r="C158" t="s">
        <v>74</v>
      </c>
      <c r="D158" t="s">
        <v>74</v>
      </c>
      <c r="E158" t="s">
        <v>74</v>
      </c>
      <c r="F158" t="s">
        <v>3180</v>
      </c>
      <c r="G158" t="s">
        <v>74</v>
      </c>
      <c r="H158" t="s">
        <v>74</v>
      </c>
      <c r="I158" t="s">
        <v>3181</v>
      </c>
      <c r="J158" t="s">
        <v>3182</v>
      </c>
      <c r="K158" t="s">
        <v>74</v>
      </c>
      <c r="L158" t="s">
        <v>74</v>
      </c>
      <c r="M158" t="s">
        <v>78</v>
      </c>
      <c r="N158" t="s">
        <v>108</v>
      </c>
      <c r="O158" t="s">
        <v>74</v>
      </c>
      <c r="P158" t="s">
        <v>74</v>
      </c>
      <c r="Q158" t="s">
        <v>74</v>
      </c>
      <c r="R158" t="s">
        <v>74</v>
      </c>
      <c r="S158" t="s">
        <v>74</v>
      </c>
      <c r="T158" t="s">
        <v>3183</v>
      </c>
      <c r="U158" t="s">
        <v>3184</v>
      </c>
      <c r="V158" t="s">
        <v>3185</v>
      </c>
      <c r="W158" t="s">
        <v>3186</v>
      </c>
      <c r="X158" t="s">
        <v>3187</v>
      </c>
      <c r="Y158" t="s">
        <v>3188</v>
      </c>
      <c r="Z158" t="s">
        <v>3189</v>
      </c>
      <c r="AA158" t="s">
        <v>3190</v>
      </c>
      <c r="AB158" t="s">
        <v>3191</v>
      </c>
      <c r="AC158" t="s">
        <v>74</v>
      </c>
      <c r="AD158" t="s">
        <v>74</v>
      </c>
      <c r="AE158" t="s">
        <v>74</v>
      </c>
      <c r="AF158" t="s">
        <v>74</v>
      </c>
      <c r="AG158">
        <v>23</v>
      </c>
      <c r="AH158">
        <v>48</v>
      </c>
      <c r="AI158">
        <v>53</v>
      </c>
      <c r="AJ158">
        <v>3</v>
      </c>
      <c r="AK158">
        <v>88</v>
      </c>
      <c r="AL158" t="s">
        <v>3192</v>
      </c>
      <c r="AM158" t="s">
        <v>2853</v>
      </c>
      <c r="AN158" t="s">
        <v>3193</v>
      </c>
      <c r="AO158" t="s">
        <v>3194</v>
      </c>
      <c r="AP158" t="s">
        <v>3195</v>
      </c>
      <c r="AQ158" t="s">
        <v>74</v>
      </c>
      <c r="AR158" t="s">
        <v>3196</v>
      </c>
      <c r="AS158" t="s">
        <v>3197</v>
      </c>
      <c r="AT158" t="s">
        <v>3198</v>
      </c>
      <c r="AU158">
        <v>2020</v>
      </c>
      <c r="AV158">
        <v>97</v>
      </c>
      <c r="AW158">
        <v>10</v>
      </c>
      <c r="AX158" t="s">
        <v>74</v>
      </c>
      <c r="AY158" t="s">
        <v>74</v>
      </c>
      <c r="AZ158" t="s">
        <v>74</v>
      </c>
      <c r="BA158" t="s">
        <v>74</v>
      </c>
      <c r="BB158">
        <v>3858</v>
      </c>
      <c r="BC158">
        <v>3866</v>
      </c>
      <c r="BD158" t="s">
        <v>74</v>
      </c>
      <c r="BE158" t="s">
        <v>3199</v>
      </c>
      <c r="BF158" t="str">
        <f>HYPERLINK("http://dx.doi.org/10.1021/acs.jchemed.0c00511","http://dx.doi.org/10.1021/acs.jchemed.0c00511")</f>
        <v>http://dx.doi.org/10.1021/acs.jchemed.0c00511</v>
      </c>
      <c r="BG158" t="s">
        <v>74</v>
      </c>
      <c r="BH158" t="s">
        <v>74</v>
      </c>
      <c r="BI158">
        <v>9</v>
      </c>
      <c r="BJ158" t="s">
        <v>3200</v>
      </c>
      <c r="BK158" t="s">
        <v>209</v>
      </c>
      <c r="BL158" t="s">
        <v>3201</v>
      </c>
      <c r="BM158" t="s">
        <v>3202</v>
      </c>
      <c r="BN158" t="s">
        <v>74</v>
      </c>
      <c r="BO158" t="s">
        <v>74</v>
      </c>
      <c r="BP158" t="s">
        <v>74</v>
      </c>
      <c r="BQ158" t="s">
        <v>74</v>
      </c>
      <c r="BR158" t="s">
        <v>102</v>
      </c>
      <c r="BS158" t="s">
        <v>3203</v>
      </c>
      <c r="BT158" t="str">
        <f>HYPERLINK("https%3A%2F%2Fwww.webofscience.com%2Fwos%2Fwoscc%2Ffull-record%2FWOS:000580953900053","View Full Record in Web of Science")</f>
        <v>View Full Record in Web of Science</v>
      </c>
    </row>
    <row r="159" spans="1:72" x14ac:dyDescent="0.35">
      <c r="A159" t="s">
        <v>72</v>
      </c>
      <c r="B159" t="s">
        <v>3204</v>
      </c>
      <c r="C159" t="s">
        <v>74</v>
      </c>
      <c r="D159" t="s">
        <v>74</v>
      </c>
      <c r="E159" t="s">
        <v>74</v>
      </c>
      <c r="F159" t="s">
        <v>3205</v>
      </c>
      <c r="G159" t="s">
        <v>74</v>
      </c>
      <c r="H159" t="s">
        <v>74</v>
      </c>
      <c r="I159" t="s">
        <v>3206</v>
      </c>
      <c r="J159" t="s">
        <v>3207</v>
      </c>
      <c r="K159" t="s">
        <v>74</v>
      </c>
      <c r="L159" t="s">
        <v>74</v>
      </c>
      <c r="M159" t="s">
        <v>78</v>
      </c>
      <c r="N159" t="s">
        <v>108</v>
      </c>
      <c r="O159" t="s">
        <v>74</v>
      </c>
      <c r="P159" t="s">
        <v>74</v>
      </c>
      <c r="Q159" t="s">
        <v>74</v>
      </c>
      <c r="R159" t="s">
        <v>74</v>
      </c>
      <c r="S159" t="s">
        <v>74</v>
      </c>
      <c r="T159" t="s">
        <v>3208</v>
      </c>
      <c r="U159" t="s">
        <v>3209</v>
      </c>
      <c r="V159" t="s">
        <v>3210</v>
      </c>
      <c r="W159" t="s">
        <v>3211</v>
      </c>
      <c r="X159" t="s">
        <v>3212</v>
      </c>
      <c r="Y159" t="s">
        <v>3213</v>
      </c>
      <c r="Z159" t="s">
        <v>3214</v>
      </c>
      <c r="AA159" t="s">
        <v>3215</v>
      </c>
      <c r="AB159" t="s">
        <v>74</v>
      </c>
      <c r="AC159" t="s">
        <v>74</v>
      </c>
      <c r="AD159" t="s">
        <v>74</v>
      </c>
      <c r="AE159" t="s">
        <v>74</v>
      </c>
      <c r="AF159" t="s">
        <v>74</v>
      </c>
      <c r="AG159">
        <v>56</v>
      </c>
      <c r="AH159">
        <v>1</v>
      </c>
      <c r="AI159">
        <v>1</v>
      </c>
      <c r="AJ159">
        <v>14</v>
      </c>
      <c r="AK159">
        <v>78</v>
      </c>
      <c r="AL159" t="s">
        <v>3216</v>
      </c>
      <c r="AM159" t="s">
        <v>3217</v>
      </c>
      <c r="AN159" t="s">
        <v>3218</v>
      </c>
      <c r="AO159" t="s">
        <v>3219</v>
      </c>
      <c r="AP159" t="s">
        <v>74</v>
      </c>
      <c r="AQ159" t="s">
        <v>74</v>
      </c>
      <c r="AR159" t="s">
        <v>3220</v>
      </c>
      <c r="AS159" t="s">
        <v>3221</v>
      </c>
      <c r="AT159" t="s">
        <v>74</v>
      </c>
      <c r="AU159">
        <v>2023</v>
      </c>
      <c r="AV159">
        <v>24</v>
      </c>
      <c r="AW159">
        <v>1</v>
      </c>
      <c r="AX159" t="s">
        <v>74</v>
      </c>
      <c r="AY159" t="s">
        <v>74</v>
      </c>
      <c r="AZ159" t="s">
        <v>74</v>
      </c>
      <c r="BA159" t="s">
        <v>74</v>
      </c>
      <c r="BB159">
        <v>39</v>
      </c>
      <c r="BC159">
        <v>55</v>
      </c>
      <c r="BD159" t="s">
        <v>74</v>
      </c>
      <c r="BE159" t="s">
        <v>3222</v>
      </c>
      <c r="BF159" t="str">
        <f>HYPERLINK("http://dx.doi.org/10.33736/ijbs.5600.2023","http://dx.doi.org/10.33736/ijbs.5600.2023")</f>
        <v>http://dx.doi.org/10.33736/ijbs.5600.2023</v>
      </c>
      <c r="BG159" t="s">
        <v>74</v>
      </c>
      <c r="BH159" t="s">
        <v>74</v>
      </c>
      <c r="BI159">
        <v>17</v>
      </c>
      <c r="BJ159" t="s">
        <v>1597</v>
      </c>
      <c r="BK159" t="s">
        <v>125</v>
      </c>
      <c r="BL159" t="s">
        <v>480</v>
      </c>
      <c r="BM159" t="s">
        <v>3223</v>
      </c>
      <c r="BN159" t="s">
        <v>74</v>
      </c>
      <c r="BO159" t="s">
        <v>235</v>
      </c>
      <c r="BP159" t="s">
        <v>74</v>
      </c>
      <c r="BQ159" t="s">
        <v>74</v>
      </c>
      <c r="BR159" t="s">
        <v>102</v>
      </c>
      <c r="BS159" t="s">
        <v>3224</v>
      </c>
      <c r="BT159" t="str">
        <f>HYPERLINK("https%3A%2F%2Fwww.webofscience.com%2Fwos%2Fwoscc%2Ffull-record%2FWOS:001042927200003","View Full Record in Web of Science")</f>
        <v>View Full Record in Web of Science</v>
      </c>
    </row>
    <row r="160" spans="1:72" x14ac:dyDescent="0.35">
      <c r="A160" t="s">
        <v>72</v>
      </c>
      <c r="B160" t="s">
        <v>3225</v>
      </c>
      <c r="C160" t="s">
        <v>74</v>
      </c>
      <c r="D160" t="s">
        <v>74</v>
      </c>
      <c r="E160" t="s">
        <v>74</v>
      </c>
      <c r="F160" t="s">
        <v>3226</v>
      </c>
      <c r="G160" t="s">
        <v>74</v>
      </c>
      <c r="H160" t="s">
        <v>74</v>
      </c>
      <c r="I160" t="s">
        <v>3227</v>
      </c>
      <c r="J160" t="s">
        <v>3228</v>
      </c>
      <c r="K160" t="s">
        <v>74</v>
      </c>
      <c r="L160" t="s">
        <v>74</v>
      </c>
      <c r="M160" t="s">
        <v>3229</v>
      </c>
      <c r="N160" t="s">
        <v>108</v>
      </c>
      <c r="O160" t="s">
        <v>74</v>
      </c>
      <c r="P160" t="s">
        <v>74</v>
      </c>
      <c r="Q160" t="s">
        <v>74</v>
      </c>
      <c r="R160" t="s">
        <v>74</v>
      </c>
      <c r="S160" t="s">
        <v>74</v>
      </c>
      <c r="T160" t="s">
        <v>3230</v>
      </c>
      <c r="U160" t="s">
        <v>74</v>
      </c>
      <c r="V160" t="s">
        <v>3231</v>
      </c>
      <c r="W160" t="s">
        <v>3232</v>
      </c>
      <c r="X160" t="s">
        <v>3233</v>
      </c>
      <c r="Y160" t="s">
        <v>3234</v>
      </c>
      <c r="Z160" t="s">
        <v>3235</v>
      </c>
      <c r="AA160" t="s">
        <v>74</v>
      </c>
      <c r="AB160" t="s">
        <v>74</v>
      </c>
      <c r="AC160" t="s">
        <v>74</v>
      </c>
      <c r="AD160" t="s">
        <v>74</v>
      </c>
      <c r="AE160" t="s">
        <v>74</v>
      </c>
      <c r="AF160" t="s">
        <v>74</v>
      </c>
      <c r="AG160">
        <v>61</v>
      </c>
      <c r="AH160">
        <v>0</v>
      </c>
      <c r="AI160">
        <v>0</v>
      </c>
      <c r="AJ160">
        <v>29</v>
      </c>
      <c r="AK160">
        <v>29</v>
      </c>
      <c r="AL160" t="s">
        <v>3236</v>
      </c>
      <c r="AM160" t="s">
        <v>3237</v>
      </c>
      <c r="AN160" t="s">
        <v>3238</v>
      </c>
      <c r="AO160" t="s">
        <v>74</v>
      </c>
      <c r="AP160" t="s">
        <v>3239</v>
      </c>
      <c r="AQ160" t="s">
        <v>74</v>
      </c>
      <c r="AR160" t="s">
        <v>3240</v>
      </c>
      <c r="AS160" t="s">
        <v>3241</v>
      </c>
      <c r="AT160" t="s">
        <v>74</v>
      </c>
      <c r="AU160">
        <v>2024</v>
      </c>
      <c r="AV160" t="s">
        <v>74</v>
      </c>
      <c r="AW160">
        <v>45</v>
      </c>
      <c r="AX160" t="s">
        <v>74</v>
      </c>
      <c r="AY160" t="s">
        <v>74</v>
      </c>
      <c r="AZ160" t="s">
        <v>74</v>
      </c>
      <c r="BA160" t="s">
        <v>74</v>
      </c>
      <c r="BB160">
        <v>100</v>
      </c>
      <c r="BC160">
        <v>121</v>
      </c>
      <c r="BD160" t="s">
        <v>74</v>
      </c>
      <c r="BE160" t="s">
        <v>3242</v>
      </c>
      <c r="BF160" t="str">
        <f>HYPERLINK("http://dx.doi.org/10.17829/turcom.1373818","http://dx.doi.org/10.17829/turcom.1373818")</f>
        <v>http://dx.doi.org/10.17829/turcom.1373818</v>
      </c>
      <c r="BG160" t="s">
        <v>74</v>
      </c>
      <c r="BH160" t="s">
        <v>74</v>
      </c>
      <c r="BI160">
        <v>22</v>
      </c>
      <c r="BJ160" t="s">
        <v>124</v>
      </c>
      <c r="BK160" t="s">
        <v>125</v>
      </c>
      <c r="BL160" t="s">
        <v>124</v>
      </c>
      <c r="BM160" t="s">
        <v>3243</v>
      </c>
      <c r="BN160" t="s">
        <v>74</v>
      </c>
      <c r="BO160" t="s">
        <v>235</v>
      </c>
      <c r="BP160" t="s">
        <v>74</v>
      </c>
      <c r="BQ160" t="s">
        <v>74</v>
      </c>
      <c r="BR160" t="s">
        <v>102</v>
      </c>
      <c r="BS160" t="s">
        <v>3244</v>
      </c>
      <c r="BT160" t="str">
        <f>HYPERLINK("https%3A%2F%2Fwww.webofscience.com%2Fwos%2Fwoscc%2Ffull-record%2FWOS:001289822700001","View Full Record in Web of Science")</f>
        <v>View Full Record in Web of Science</v>
      </c>
    </row>
    <row r="161" spans="1:72" x14ac:dyDescent="0.35">
      <c r="A161" t="s">
        <v>72</v>
      </c>
      <c r="B161" t="s">
        <v>3245</v>
      </c>
      <c r="C161" t="s">
        <v>74</v>
      </c>
      <c r="D161" t="s">
        <v>74</v>
      </c>
      <c r="E161" t="s">
        <v>74</v>
      </c>
      <c r="F161" t="s">
        <v>3246</v>
      </c>
      <c r="G161" t="s">
        <v>74</v>
      </c>
      <c r="H161" t="s">
        <v>74</v>
      </c>
      <c r="I161" t="s">
        <v>3247</v>
      </c>
      <c r="J161" t="s">
        <v>3248</v>
      </c>
      <c r="K161" t="s">
        <v>74</v>
      </c>
      <c r="L161" t="s">
        <v>74</v>
      </c>
      <c r="M161" t="s">
        <v>78</v>
      </c>
      <c r="N161" t="s">
        <v>108</v>
      </c>
      <c r="O161" t="s">
        <v>74</v>
      </c>
      <c r="P161" t="s">
        <v>74</v>
      </c>
      <c r="Q161" t="s">
        <v>74</v>
      </c>
      <c r="R161" t="s">
        <v>74</v>
      </c>
      <c r="S161" t="s">
        <v>74</v>
      </c>
      <c r="T161" t="s">
        <v>3249</v>
      </c>
      <c r="U161" t="s">
        <v>3250</v>
      </c>
      <c r="V161" t="s">
        <v>3251</v>
      </c>
      <c r="W161" t="s">
        <v>3252</v>
      </c>
      <c r="X161" t="s">
        <v>3253</v>
      </c>
      <c r="Y161" t="s">
        <v>3254</v>
      </c>
      <c r="Z161" t="s">
        <v>3255</v>
      </c>
      <c r="AA161" t="s">
        <v>74</v>
      </c>
      <c r="AB161" t="s">
        <v>74</v>
      </c>
      <c r="AC161" t="s">
        <v>74</v>
      </c>
      <c r="AD161" t="s">
        <v>74</v>
      </c>
      <c r="AE161" t="s">
        <v>74</v>
      </c>
      <c r="AF161" t="s">
        <v>74</v>
      </c>
      <c r="AG161">
        <v>23</v>
      </c>
      <c r="AH161">
        <v>8</v>
      </c>
      <c r="AI161">
        <v>8</v>
      </c>
      <c r="AJ161">
        <v>5</v>
      </c>
      <c r="AK161">
        <v>60</v>
      </c>
      <c r="AL161" t="s">
        <v>3256</v>
      </c>
      <c r="AM161" t="s">
        <v>3169</v>
      </c>
      <c r="AN161" t="s">
        <v>3257</v>
      </c>
      <c r="AO161" t="s">
        <v>3258</v>
      </c>
      <c r="AP161" t="s">
        <v>3259</v>
      </c>
      <c r="AQ161" t="s">
        <v>74</v>
      </c>
      <c r="AR161" t="s">
        <v>3260</v>
      </c>
      <c r="AS161" t="s">
        <v>3261</v>
      </c>
      <c r="AT161" t="s">
        <v>297</v>
      </c>
      <c r="AU161">
        <v>2021</v>
      </c>
      <c r="AV161">
        <v>60</v>
      </c>
      <c r="AW161" t="s">
        <v>74</v>
      </c>
      <c r="AX161" t="s">
        <v>74</v>
      </c>
      <c r="AY161" t="s">
        <v>74</v>
      </c>
      <c r="AZ161" t="s">
        <v>74</v>
      </c>
      <c r="BA161" t="s">
        <v>74</v>
      </c>
      <c r="BB161" t="s">
        <v>74</v>
      </c>
      <c r="BC161" t="s">
        <v>74</v>
      </c>
      <c r="BD161">
        <v>102749</v>
      </c>
      <c r="BE161" t="s">
        <v>3262</v>
      </c>
      <c r="BF161" t="str">
        <f>HYPERLINK("http://dx.doi.org/10.1016/j.ctim.2021.102749","http://dx.doi.org/10.1016/j.ctim.2021.102749")</f>
        <v>http://dx.doi.org/10.1016/j.ctim.2021.102749</v>
      </c>
      <c r="BG161" t="s">
        <v>74</v>
      </c>
      <c r="BH161" t="s">
        <v>74</v>
      </c>
      <c r="BI161">
        <v>5</v>
      </c>
      <c r="BJ161" t="s">
        <v>3263</v>
      </c>
      <c r="BK161" t="s">
        <v>209</v>
      </c>
      <c r="BL161" t="s">
        <v>3263</v>
      </c>
      <c r="BM161" t="s">
        <v>3264</v>
      </c>
      <c r="BN161">
        <v>34118388</v>
      </c>
      <c r="BO161" t="s">
        <v>235</v>
      </c>
      <c r="BP161" t="s">
        <v>74</v>
      </c>
      <c r="BQ161" t="s">
        <v>74</v>
      </c>
      <c r="BR161" t="s">
        <v>102</v>
      </c>
      <c r="BS161" t="s">
        <v>3265</v>
      </c>
      <c r="BT161" t="str">
        <f>HYPERLINK("https%3A%2F%2Fwww.webofscience.com%2Fwos%2Fwoscc%2Ffull-record%2FWOS:000678443800014","View Full Record in Web of Science")</f>
        <v>View Full Record in Web of Science</v>
      </c>
    </row>
    <row r="162" spans="1:72" x14ac:dyDescent="0.35">
      <c r="A162" t="s">
        <v>72</v>
      </c>
      <c r="B162" t="s">
        <v>3266</v>
      </c>
      <c r="C162" t="s">
        <v>74</v>
      </c>
      <c r="D162" t="s">
        <v>74</v>
      </c>
      <c r="E162" t="s">
        <v>74</v>
      </c>
      <c r="F162" t="s">
        <v>3267</v>
      </c>
      <c r="G162" t="s">
        <v>74</v>
      </c>
      <c r="H162" t="s">
        <v>74</v>
      </c>
      <c r="I162" t="s">
        <v>3268</v>
      </c>
      <c r="J162" t="s">
        <v>3269</v>
      </c>
      <c r="K162" t="s">
        <v>74</v>
      </c>
      <c r="L162" t="s">
        <v>74</v>
      </c>
      <c r="M162" t="s">
        <v>78</v>
      </c>
      <c r="N162" t="s">
        <v>108</v>
      </c>
      <c r="O162" t="s">
        <v>74</v>
      </c>
      <c r="P162" t="s">
        <v>74</v>
      </c>
      <c r="Q162" t="s">
        <v>74</v>
      </c>
      <c r="R162" t="s">
        <v>74</v>
      </c>
      <c r="S162" t="s">
        <v>74</v>
      </c>
      <c r="T162" t="s">
        <v>3270</v>
      </c>
      <c r="U162" t="s">
        <v>218</v>
      </c>
      <c r="V162" t="s">
        <v>3271</v>
      </c>
      <c r="W162" t="s">
        <v>3272</v>
      </c>
      <c r="X162" t="s">
        <v>3273</v>
      </c>
      <c r="Y162" t="s">
        <v>3274</v>
      </c>
      <c r="Z162" t="s">
        <v>3275</v>
      </c>
      <c r="AA162" t="s">
        <v>3276</v>
      </c>
      <c r="AB162" t="s">
        <v>3277</v>
      </c>
      <c r="AC162" t="s">
        <v>74</v>
      </c>
      <c r="AD162" t="s">
        <v>74</v>
      </c>
      <c r="AE162" t="s">
        <v>74</v>
      </c>
      <c r="AF162" t="s">
        <v>74</v>
      </c>
      <c r="AG162">
        <v>44</v>
      </c>
      <c r="AH162">
        <v>0</v>
      </c>
      <c r="AI162">
        <v>0</v>
      </c>
      <c r="AJ162">
        <v>1</v>
      </c>
      <c r="AK162">
        <v>4</v>
      </c>
      <c r="AL162" t="s">
        <v>3269</v>
      </c>
      <c r="AM162" t="s">
        <v>3278</v>
      </c>
      <c r="AN162" t="s">
        <v>3279</v>
      </c>
      <c r="AO162" t="s">
        <v>3280</v>
      </c>
      <c r="AP162" t="s">
        <v>74</v>
      </c>
      <c r="AQ162" t="s">
        <v>74</v>
      </c>
      <c r="AR162" t="s">
        <v>3281</v>
      </c>
      <c r="AS162" t="s">
        <v>3282</v>
      </c>
      <c r="AT162" t="s">
        <v>455</v>
      </c>
      <c r="AU162">
        <v>2023</v>
      </c>
      <c r="AV162">
        <v>14</v>
      </c>
      <c r="AW162">
        <v>3</v>
      </c>
      <c r="AX162" t="s">
        <v>74</v>
      </c>
      <c r="AY162" t="s">
        <v>74</v>
      </c>
      <c r="AZ162" t="s">
        <v>74</v>
      </c>
      <c r="BA162" t="s">
        <v>74</v>
      </c>
      <c r="BB162">
        <v>445</v>
      </c>
      <c r="BC162">
        <v>461</v>
      </c>
      <c r="BD162" t="s">
        <v>74</v>
      </c>
      <c r="BE162" t="s">
        <v>3283</v>
      </c>
      <c r="BF162" t="str">
        <f>HYPERLINK("http://dx.doi.org/10.24093/awej/vol14no3.29","http://dx.doi.org/10.24093/awej/vol14no3.29")</f>
        <v>http://dx.doi.org/10.24093/awej/vol14no3.29</v>
      </c>
      <c r="BG162" t="s">
        <v>74</v>
      </c>
      <c r="BH162" t="s">
        <v>74</v>
      </c>
      <c r="BI162">
        <v>17</v>
      </c>
      <c r="BJ162" t="s">
        <v>3284</v>
      </c>
      <c r="BK162" t="s">
        <v>125</v>
      </c>
      <c r="BL162" t="s">
        <v>3285</v>
      </c>
      <c r="BM162" t="s">
        <v>3286</v>
      </c>
      <c r="BN162" t="s">
        <v>74</v>
      </c>
      <c r="BO162" t="s">
        <v>3287</v>
      </c>
      <c r="BP162" t="s">
        <v>74</v>
      </c>
      <c r="BQ162" t="s">
        <v>74</v>
      </c>
      <c r="BR162" t="s">
        <v>102</v>
      </c>
      <c r="BS162" t="s">
        <v>3288</v>
      </c>
      <c r="BT162" t="str">
        <f>HYPERLINK("https%3A%2F%2Fwww.webofscience.com%2Fwos%2Fwoscc%2Ffull-record%2FWOS:001163091800027","View Full Record in Web of Science")</f>
        <v>View Full Record in Web of Science</v>
      </c>
    </row>
    <row r="163" spans="1:72" x14ac:dyDescent="0.35">
      <c r="A163" t="s">
        <v>72</v>
      </c>
      <c r="B163" t="s">
        <v>3289</v>
      </c>
      <c r="C163" t="s">
        <v>74</v>
      </c>
      <c r="D163" t="s">
        <v>74</v>
      </c>
      <c r="E163" t="s">
        <v>74</v>
      </c>
      <c r="F163" t="s">
        <v>3290</v>
      </c>
      <c r="G163" t="s">
        <v>74</v>
      </c>
      <c r="H163" t="s">
        <v>74</v>
      </c>
      <c r="I163" t="s">
        <v>3291</v>
      </c>
      <c r="J163" t="s">
        <v>1473</v>
      </c>
      <c r="K163" t="s">
        <v>74</v>
      </c>
      <c r="L163" t="s">
        <v>74</v>
      </c>
      <c r="M163" t="s">
        <v>78</v>
      </c>
      <c r="N163" t="s">
        <v>108</v>
      </c>
      <c r="O163" t="s">
        <v>74</v>
      </c>
      <c r="P163" t="s">
        <v>74</v>
      </c>
      <c r="Q163" t="s">
        <v>74</v>
      </c>
      <c r="R163" t="s">
        <v>74</v>
      </c>
      <c r="S163" t="s">
        <v>74</v>
      </c>
      <c r="T163" t="s">
        <v>3292</v>
      </c>
      <c r="U163" t="s">
        <v>74</v>
      </c>
      <c r="V163" t="s">
        <v>3293</v>
      </c>
      <c r="W163" t="s">
        <v>3294</v>
      </c>
      <c r="X163" t="s">
        <v>3295</v>
      </c>
      <c r="Y163" t="s">
        <v>3296</v>
      </c>
      <c r="Z163" t="s">
        <v>3297</v>
      </c>
      <c r="AA163" t="s">
        <v>3298</v>
      </c>
      <c r="AB163" t="s">
        <v>3299</v>
      </c>
      <c r="AC163" t="s">
        <v>74</v>
      </c>
      <c r="AD163" t="s">
        <v>74</v>
      </c>
      <c r="AE163" t="s">
        <v>74</v>
      </c>
      <c r="AF163" t="s">
        <v>74</v>
      </c>
      <c r="AG163">
        <v>4</v>
      </c>
      <c r="AH163">
        <v>10</v>
      </c>
      <c r="AI163">
        <v>10</v>
      </c>
      <c r="AJ163">
        <v>0</v>
      </c>
      <c r="AK163">
        <v>27</v>
      </c>
      <c r="AL163" t="s">
        <v>251</v>
      </c>
      <c r="AM163" t="s">
        <v>252</v>
      </c>
      <c r="AN163" t="s">
        <v>253</v>
      </c>
      <c r="AO163" t="s">
        <v>1480</v>
      </c>
      <c r="AP163" t="s">
        <v>1481</v>
      </c>
      <c r="AQ163" t="s">
        <v>74</v>
      </c>
      <c r="AR163" t="s">
        <v>1482</v>
      </c>
      <c r="AS163" t="s">
        <v>1483</v>
      </c>
      <c r="AT163" t="s">
        <v>273</v>
      </c>
      <c r="AU163">
        <v>2021</v>
      </c>
      <c r="AV163">
        <v>38</v>
      </c>
      <c r="AW163">
        <v>4</v>
      </c>
      <c r="AX163" t="s">
        <v>74</v>
      </c>
      <c r="AY163" t="s">
        <v>74</v>
      </c>
      <c r="AZ163" t="s">
        <v>74</v>
      </c>
      <c r="BA163" t="s">
        <v>74</v>
      </c>
      <c r="BB163">
        <v>980</v>
      </c>
      <c r="BC163">
        <v>981</v>
      </c>
      <c r="BD163" t="s">
        <v>74</v>
      </c>
      <c r="BE163" t="s">
        <v>3300</v>
      </c>
      <c r="BF163" t="str">
        <f>HYPERLINK("http://dx.doi.org/10.1111/pde.14660","http://dx.doi.org/10.1111/pde.14660")</f>
        <v>http://dx.doi.org/10.1111/pde.14660</v>
      </c>
      <c r="BG163" t="s">
        <v>74</v>
      </c>
      <c r="BH163" t="s">
        <v>2090</v>
      </c>
      <c r="BI163">
        <v>2</v>
      </c>
      <c r="BJ163" t="s">
        <v>1486</v>
      </c>
      <c r="BK163" t="s">
        <v>209</v>
      </c>
      <c r="BL163" t="s">
        <v>1486</v>
      </c>
      <c r="BM163" t="s">
        <v>3301</v>
      </c>
      <c r="BN163">
        <v>34128268</v>
      </c>
      <c r="BO163" t="s">
        <v>74</v>
      </c>
      <c r="BP163" t="s">
        <v>74</v>
      </c>
      <c r="BQ163" t="s">
        <v>74</v>
      </c>
      <c r="BR163" t="s">
        <v>102</v>
      </c>
      <c r="BS163" t="s">
        <v>3302</v>
      </c>
      <c r="BT163" t="str">
        <f>HYPERLINK("https%3A%2F%2Fwww.webofscience.com%2Fwos%2Fwoscc%2Ffull-record%2FWOS:000661294000001","View Full Record in Web of Science")</f>
        <v>View Full Record in Web of Science</v>
      </c>
    </row>
    <row r="164" spans="1:72" x14ac:dyDescent="0.35">
      <c r="A164" t="s">
        <v>72</v>
      </c>
      <c r="B164" t="s">
        <v>3303</v>
      </c>
      <c r="C164" t="s">
        <v>74</v>
      </c>
      <c r="D164" t="s">
        <v>74</v>
      </c>
      <c r="E164" t="s">
        <v>74</v>
      </c>
      <c r="F164" t="s">
        <v>3304</v>
      </c>
      <c r="G164" t="s">
        <v>74</v>
      </c>
      <c r="H164" t="s">
        <v>74</v>
      </c>
      <c r="I164" t="s">
        <v>3305</v>
      </c>
      <c r="J164" t="s">
        <v>3306</v>
      </c>
      <c r="K164" t="s">
        <v>74</v>
      </c>
      <c r="L164" t="s">
        <v>74</v>
      </c>
      <c r="M164" t="s">
        <v>78</v>
      </c>
      <c r="N164" t="s">
        <v>108</v>
      </c>
      <c r="O164" t="s">
        <v>74</v>
      </c>
      <c r="P164" t="s">
        <v>74</v>
      </c>
      <c r="Q164" t="s">
        <v>74</v>
      </c>
      <c r="R164" t="s">
        <v>74</v>
      </c>
      <c r="S164" t="s">
        <v>74</v>
      </c>
      <c r="T164" t="s">
        <v>3307</v>
      </c>
      <c r="U164" t="s">
        <v>3308</v>
      </c>
      <c r="V164" t="s">
        <v>3309</v>
      </c>
      <c r="W164" t="s">
        <v>3310</v>
      </c>
      <c r="X164" t="s">
        <v>3311</v>
      </c>
      <c r="Y164" t="s">
        <v>3312</v>
      </c>
      <c r="Z164" t="s">
        <v>3313</v>
      </c>
      <c r="AA164" t="s">
        <v>3314</v>
      </c>
      <c r="AB164" t="s">
        <v>74</v>
      </c>
      <c r="AC164" t="s">
        <v>3315</v>
      </c>
      <c r="AD164" t="s">
        <v>3316</v>
      </c>
      <c r="AE164" t="s">
        <v>3317</v>
      </c>
      <c r="AF164" t="s">
        <v>74</v>
      </c>
      <c r="AG164">
        <v>81</v>
      </c>
      <c r="AH164">
        <v>0</v>
      </c>
      <c r="AI164">
        <v>0</v>
      </c>
      <c r="AJ164">
        <v>10</v>
      </c>
      <c r="AK164">
        <v>29</v>
      </c>
      <c r="AL164" t="s">
        <v>88</v>
      </c>
      <c r="AM164" t="s">
        <v>89</v>
      </c>
      <c r="AN164" t="s">
        <v>90</v>
      </c>
      <c r="AO164" t="s">
        <v>3318</v>
      </c>
      <c r="AP164" t="s">
        <v>3319</v>
      </c>
      <c r="AQ164" t="s">
        <v>74</v>
      </c>
      <c r="AR164" t="s">
        <v>3320</v>
      </c>
      <c r="AS164" t="s">
        <v>3321</v>
      </c>
      <c r="AT164" t="s">
        <v>1447</v>
      </c>
      <c r="AU164">
        <v>2023</v>
      </c>
      <c r="AV164">
        <v>24</v>
      </c>
      <c r="AW164">
        <v>3</v>
      </c>
      <c r="AX164" t="s">
        <v>74</v>
      </c>
      <c r="AY164" t="s">
        <v>74</v>
      </c>
      <c r="AZ164" t="s">
        <v>74</v>
      </c>
      <c r="BA164" t="s">
        <v>74</v>
      </c>
      <c r="BB164">
        <v>382</v>
      </c>
      <c r="BC164">
        <v>396</v>
      </c>
      <c r="BD164" t="s">
        <v>74</v>
      </c>
      <c r="BE164" t="s">
        <v>3322</v>
      </c>
      <c r="BF164" t="str">
        <f>HYPERLINK("http://dx.doi.org/10.1080/14649373.2023.2209424","http://dx.doi.org/10.1080/14649373.2023.2209424")</f>
        <v>http://dx.doi.org/10.1080/14649373.2023.2209424</v>
      </c>
      <c r="BG164" t="s">
        <v>74</v>
      </c>
      <c r="BH164" t="s">
        <v>74</v>
      </c>
      <c r="BI164">
        <v>15</v>
      </c>
      <c r="BJ164" t="s">
        <v>3323</v>
      </c>
      <c r="BK164" t="s">
        <v>2125</v>
      </c>
      <c r="BL164" t="s">
        <v>3323</v>
      </c>
      <c r="BM164" t="s">
        <v>3324</v>
      </c>
      <c r="BN164" t="s">
        <v>74</v>
      </c>
      <c r="BO164" t="s">
        <v>74</v>
      </c>
      <c r="BP164" t="s">
        <v>74</v>
      </c>
      <c r="BQ164" t="s">
        <v>74</v>
      </c>
      <c r="BR164" t="s">
        <v>102</v>
      </c>
      <c r="BS164" t="s">
        <v>3325</v>
      </c>
      <c r="BT164" t="str">
        <f>HYPERLINK("https%3A%2F%2Fwww.webofscience.com%2Fwos%2Fwoscc%2Ffull-record%2FWOS:001018524800002","View Full Record in Web of Science")</f>
        <v>View Full Record in Web of Science</v>
      </c>
    </row>
    <row r="165" spans="1:72" x14ac:dyDescent="0.35">
      <c r="A165" t="s">
        <v>72</v>
      </c>
      <c r="B165" t="s">
        <v>3326</v>
      </c>
      <c r="C165" t="s">
        <v>74</v>
      </c>
      <c r="D165" t="s">
        <v>74</v>
      </c>
      <c r="E165" t="s">
        <v>74</v>
      </c>
      <c r="F165" t="s">
        <v>3327</v>
      </c>
      <c r="G165" t="s">
        <v>74</v>
      </c>
      <c r="H165" t="s">
        <v>74</v>
      </c>
      <c r="I165" t="s">
        <v>3328</v>
      </c>
      <c r="J165" t="s">
        <v>3329</v>
      </c>
      <c r="K165" t="s">
        <v>74</v>
      </c>
      <c r="L165" t="s">
        <v>74</v>
      </c>
      <c r="M165" t="s">
        <v>78</v>
      </c>
      <c r="N165" t="s">
        <v>79</v>
      </c>
      <c r="O165" t="s">
        <v>74</v>
      </c>
      <c r="P165" t="s">
        <v>74</v>
      </c>
      <c r="Q165" t="s">
        <v>74</v>
      </c>
      <c r="R165" t="s">
        <v>74</v>
      </c>
      <c r="S165" t="s">
        <v>74</v>
      </c>
      <c r="T165" t="s">
        <v>3330</v>
      </c>
      <c r="U165" t="s">
        <v>74</v>
      </c>
      <c r="V165" t="s">
        <v>3331</v>
      </c>
      <c r="W165" t="s">
        <v>3332</v>
      </c>
      <c r="X165" t="s">
        <v>3333</v>
      </c>
      <c r="Y165" t="s">
        <v>3334</v>
      </c>
      <c r="Z165" t="s">
        <v>3335</v>
      </c>
      <c r="AA165" t="s">
        <v>74</v>
      </c>
      <c r="AB165" t="s">
        <v>74</v>
      </c>
      <c r="AC165" t="s">
        <v>74</v>
      </c>
      <c r="AD165" t="s">
        <v>74</v>
      </c>
      <c r="AE165" t="s">
        <v>74</v>
      </c>
      <c r="AF165" t="s">
        <v>74</v>
      </c>
      <c r="AG165">
        <v>56</v>
      </c>
      <c r="AH165">
        <v>0</v>
      </c>
      <c r="AI165">
        <v>0</v>
      </c>
      <c r="AJ165">
        <v>1</v>
      </c>
      <c r="AK165">
        <v>1</v>
      </c>
      <c r="AL165" t="s">
        <v>171</v>
      </c>
      <c r="AM165" t="s">
        <v>172</v>
      </c>
      <c r="AN165" t="s">
        <v>173</v>
      </c>
      <c r="AO165" t="s">
        <v>3336</v>
      </c>
      <c r="AP165" t="s">
        <v>3337</v>
      </c>
      <c r="AQ165" t="s">
        <v>74</v>
      </c>
      <c r="AR165" t="s">
        <v>3338</v>
      </c>
      <c r="AS165" t="s">
        <v>3339</v>
      </c>
      <c r="AT165" t="s">
        <v>3340</v>
      </c>
      <c r="AU165">
        <v>2024</v>
      </c>
      <c r="AV165" t="s">
        <v>74</v>
      </c>
      <c r="AW165" t="s">
        <v>74</v>
      </c>
      <c r="AX165" t="s">
        <v>74</v>
      </c>
      <c r="AY165" t="s">
        <v>74</v>
      </c>
      <c r="AZ165" t="s">
        <v>74</v>
      </c>
      <c r="BA165" t="s">
        <v>74</v>
      </c>
      <c r="BB165" t="s">
        <v>74</v>
      </c>
      <c r="BC165" t="s">
        <v>74</v>
      </c>
      <c r="BD165" t="s">
        <v>74</v>
      </c>
      <c r="BE165" t="s">
        <v>3341</v>
      </c>
      <c r="BF165" t="str">
        <f>HYPERLINK("http://dx.doi.org/10.1177/13678779241273462","http://dx.doi.org/10.1177/13678779241273462")</f>
        <v>http://dx.doi.org/10.1177/13678779241273462</v>
      </c>
      <c r="BG165" t="s">
        <v>74</v>
      </c>
      <c r="BH165" t="s">
        <v>1721</v>
      </c>
      <c r="BI165">
        <v>21</v>
      </c>
      <c r="BJ165" t="s">
        <v>2124</v>
      </c>
      <c r="BK165" t="s">
        <v>2125</v>
      </c>
      <c r="BL165" t="s">
        <v>2124</v>
      </c>
      <c r="BM165" t="s">
        <v>3342</v>
      </c>
      <c r="BN165" t="s">
        <v>74</v>
      </c>
      <c r="BO165" t="s">
        <v>156</v>
      </c>
      <c r="BP165" t="s">
        <v>74</v>
      </c>
      <c r="BQ165" t="s">
        <v>74</v>
      </c>
      <c r="BR165" t="s">
        <v>102</v>
      </c>
      <c r="BS165" t="s">
        <v>3343</v>
      </c>
      <c r="BT165" t="str">
        <f>HYPERLINK("https%3A%2F%2Fwww.webofscience.com%2Fwos%2Fwoscc%2Ffull-record%2FWOS:001331013000001","View Full Record in Web of Science")</f>
        <v>View Full Record in Web of Science</v>
      </c>
    </row>
    <row r="166" spans="1:72" x14ac:dyDescent="0.35">
      <c r="A166" t="s">
        <v>72</v>
      </c>
      <c r="B166" t="s">
        <v>3344</v>
      </c>
      <c r="C166" t="s">
        <v>74</v>
      </c>
      <c r="D166" t="s">
        <v>74</v>
      </c>
      <c r="E166" t="s">
        <v>74</v>
      </c>
      <c r="F166" t="s">
        <v>3345</v>
      </c>
      <c r="G166" t="s">
        <v>74</v>
      </c>
      <c r="H166" t="s">
        <v>74</v>
      </c>
      <c r="I166" t="s">
        <v>3346</v>
      </c>
      <c r="J166" t="s">
        <v>401</v>
      </c>
      <c r="K166" t="s">
        <v>74</v>
      </c>
      <c r="L166" t="s">
        <v>74</v>
      </c>
      <c r="M166" t="s">
        <v>78</v>
      </c>
      <c r="N166" t="s">
        <v>108</v>
      </c>
      <c r="O166" t="s">
        <v>74</v>
      </c>
      <c r="P166" t="s">
        <v>74</v>
      </c>
      <c r="Q166" t="s">
        <v>74</v>
      </c>
      <c r="R166" t="s">
        <v>74</v>
      </c>
      <c r="S166" t="s">
        <v>74</v>
      </c>
      <c r="T166" t="s">
        <v>3347</v>
      </c>
      <c r="U166" t="s">
        <v>74</v>
      </c>
      <c r="V166" t="s">
        <v>3348</v>
      </c>
      <c r="W166" t="s">
        <v>3349</v>
      </c>
      <c r="X166" t="s">
        <v>3350</v>
      </c>
      <c r="Y166" t="s">
        <v>3351</v>
      </c>
      <c r="Z166" t="s">
        <v>3352</v>
      </c>
      <c r="AA166" t="s">
        <v>3353</v>
      </c>
      <c r="AB166" t="s">
        <v>74</v>
      </c>
      <c r="AC166" t="s">
        <v>74</v>
      </c>
      <c r="AD166" t="s">
        <v>74</v>
      </c>
      <c r="AE166" t="s">
        <v>74</v>
      </c>
      <c r="AF166" t="s">
        <v>74</v>
      </c>
      <c r="AG166">
        <v>56</v>
      </c>
      <c r="AH166">
        <v>9</v>
      </c>
      <c r="AI166">
        <v>10</v>
      </c>
      <c r="AJ166">
        <v>11</v>
      </c>
      <c r="AK166">
        <v>63</v>
      </c>
      <c r="AL166" t="s">
        <v>409</v>
      </c>
      <c r="AM166" t="s">
        <v>410</v>
      </c>
      <c r="AN166" t="s">
        <v>411</v>
      </c>
      <c r="AO166" t="s">
        <v>412</v>
      </c>
      <c r="AP166" t="s">
        <v>74</v>
      </c>
      <c r="AQ166" t="s">
        <v>74</v>
      </c>
      <c r="AR166" t="s">
        <v>413</v>
      </c>
      <c r="AS166" t="s">
        <v>414</v>
      </c>
      <c r="AT166" t="s">
        <v>74</v>
      </c>
      <c r="AU166">
        <v>2022</v>
      </c>
      <c r="AV166">
        <v>16</v>
      </c>
      <c r="AW166" t="s">
        <v>74</v>
      </c>
      <c r="AX166" t="s">
        <v>74</v>
      </c>
      <c r="AY166" t="s">
        <v>74</v>
      </c>
      <c r="AZ166" t="s">
        <v>74</v>
      </c>
      <c r="BA166" t="s">
        <v>74</v>
      </c>
      <c r="BB166">
        <v>814</v>
      </c>
      <c r="BC166">
        <v>839</v>
      </c>
      <c r="BD166" t="s">
        <v>74</v>
      </c>
      <c r="BE166" t="s">
        <v>74</v>
      </c>
      <c r="BF166" t="s">
        <v>74</v>
      </c>
      <c r="BG166" t="s">
        <v>74</v>
      </c>
      <c r="BH166" t="s">
        <v>74</v>
      </c>
      <c r="BI166">
        <v>26</v>
      </c>
      <c r="BJ166" t="s">
        <v>124</v>
      </c>
      <c r="BK166" t="s">
        <v>99</v>
      </c>
      <c r="BL166" t="s">
        <v>124</v>
      </c>
      <c r="BM166" t="s">
        <v>2310</v>
      </c>
      <c r="BN166" t="s">
        <v>74</v>
      </c>
      <c r="BO166" t="s">
        <v>74</v>
      </c>
      <c r="BP166" t="s">
        <v>74</v>
      </c>
      <c r="BQ166" t="s">
        <v>74</v>
      </c>
      <c r="BR166" t="s">
        <v>102</v>
      </c>
      <c r="BS166" t="s">
        <v>3354</v>
      </c>
      <c r="BT166" t="str">
        <f>HYPERLINK("https%3A%2F%2Fwww.webofscience.com%2Fwos%2Fwoscc%2Ffull-record%2FWOS:000789589100053","View Full Record in Web of Science")</f>
        <v>View Full Record in Web of Science</v>
      </c>
    </row>
    <row r="167" spans="1:72" x14ac:dyDescent="0.35">
      <c r="A167" t="s">
        <v>72</v>
      </c>
      <c r="B167" t="s">
        <v>3355</v>
      </c>
      <c r="C167" t="s">
        <v>74</v>
      </c>
      <c r="D167" t="s">
        <v>74</v>
      </c>
      <c r="E167" t="s">
        <v>74</v>
      </c>
      <c r="F167" t="s">
        <v>3356</v>
      </c>
      <c r="G167" t="s">
        <v>74</v>
      </c>
      <c r="H167" t="s">
        <v>74</v>
      </c>
      <c r="I167" t="s">
        <v>3357</v>
      </c>
      <c r="J167" t="s">
        <v>1634</v>
      </c>
      <c r="K167" t="s">
        <v>74</v>
      </c>
      <c r="L167" t="s">
        <v>74</v>
      </c>
      <c r="M167" t="s">
        <v>78</v>
      </c>
      <c r="N167" t="s">
        <v>108</v>
      </c>
      <c r="O167" t="s">
        <v>74</v>
      </c>
      <c r="P167" t="s">
        <v>74</v>
      </c>
      <c r="Q167" t="s">
        <v>74</v>
      </c>
      <c r="R167" t="s">
        <v>74</v>
      </c>
      <c r="S167" t="s">
        <v>74</v>
      </c>
      <c r="T167" t="s">
        <v>3358</v>
      </c>
      <c r="U167" t="s">
        <v>3359</v>
      </c>
      <c r="V167" t="s">
        <v>3360</v>
      </c>
      <c r="W167" t="s">
        <v>3361</v>
      </c>
      <c r="X167" t="s">
        <v>3362</v>
      </c>
      <c r="Y167" t="s">
        <v>3363</v>
      </c>
      <c r="Z167" t="s">
        <v>74</v>
      </c>
      <c r="AA167" t="s">
        <v>74</v>
      </c>
      <c r="AB167" t="s">
        <v>3364</v>
      </c>
      <c r="AC167" t="s">
        <v>74</v>
      </c>
      <c r="AD167" t="s">
        <v>74</v>
      </c>
      <c r="AE167" t="s">
        <v>74</v>
      </c>
      <c r="AF167" t="s">
        <v>74</v>
      </c>
      <c r="AG167">
        <v>67</v>
      </c>
      <c r="AH167">
        <v>4</v>
      </c>
      <c r="AI167">
        <v>4</v>
      </c>
      <c r="AJ167">
        <v>14</v>
      </c>
      <c r="AK167">
        <v>37</v>
      </c>
      <c r="AL167" t="s">
        <v>1646</v>
      </c>
      <c r="AM167" t="s">
        <v>1647</v>
      </c>
      <c r="AN167" t="s">
        <v>1648</v>
      </c>
      <c r="AO167" t="s">
        <v>1649</v>
      </c>
      <c r="AP167" t="s">
        <v>1650</v>
      </c>
      <c r="AQ167" t="s">
        <v>74</v>
      </c>
      <c r="AR167" t="s">
        <v>1651</v>
      </c>
      <c r="AS167" t="s">
        <v>1652</v>
      </c>
      <c r="AT167" t="s">
        <v>74</v>
      </c>
      <c r="AU167">
        <v>2023</v>
      </c>
      <c r="AV167">
        <v>19</v>
      </c>
      <c r="AW167">
        <v>3</v>
      </c>
      <c r="AX167" t="s">
        <v>74</v>
      </c>
      <c r="AY167" t="s">
        <v>74</v>
      </c>
      <c r="AZ167" t="s">
        <v>74</v>
      </c>
      <c r="BA167" t="s">
        <v>74</v>
      </c>
      <c r="BB167">
        <v>197</v>
      </c>
      <c r="BC167">
        <v>210</v>
      </c>
      <c r="BD167" t="s">
        <v>74</v>
      </c>
      <c r="BE167" t="s">
        <v>3365</v>
      </c>
      <c r="BF167" t="str">
        <f>HYPERLINK("http://dx.doi.org/10.21511/im.19(3).2023.17","http://dx.doi.org/10.21511/im.19(3).2023.17")</f>
        <v>http://dx.doi.org/10.21511/im.19(3).2023.17</v>
      </c>
      <c r="BG167" t="s">
        <v>74</v>
      </c>
      <c r="BH167" t="s">
        <v>74</v>
      </c>
      <c r="BI167">
        <v>15</v>
      </c>
      <c r="BJ167" t="s">
        <v>1597</v>
      </c>
      <c r="BK167" t="s">
        <v>125</v>
      </c>
      <c r="BL167" t="s">
        <v>480</v>
      </c>
      <c r="BM167" t="s">
        <v>1654</v>
      </c>
      <c r="BN167" t="s">
        <v>74</v>
      </c>
      <c r="BO167" t="s">
        <v>235</v>
      </c>
      <c r="BP167" t="s">
        <v>74</v>
      </c>
      <c r="BQ167" t="s">
        <v>74</v>
      </c>
      <c r="BR167" t="s">
        <v>102</v>
      </c>
      <c r="BS167" t="s">
        <v>3366</v>
      </c>
      <c r="BT167" t="str">
        <f>HYPERLINK("https%3A%2F%2Fwww.webofscience.com%2Fwos%2Fwoscc%2Ffull-record%2FWOS:001093339300017","View Full Record in Web of Science")</f>
        <v>View Full Record in Web of Science</v>
      </c>
    </row>
    <row r="168" spans="1:72" x14ac:dyDescent="0.35">
      <c r="A168" t="s">
        <v>72</v>
      </c>
      <c r="B168" t="s">
        <v>3367</v>
      </c>
      <c r="C168" t="s">
        <v>74</v>
      </c>
      <c r="D168" t="s">
        <v>74</v>
      </c>
      <c r="E168" t="s">
        <v>74</v>
      </c>
      <c r="F168" t="s">
        <v>3368</v>
      </c>
      <c r="G168" t="s">
        <v>74</v>
      </c>
      <c r="H168" t="s">
        <v>74</v>
      </c>
      <c r="I168" t="s">
        <v>3369</v>
      </c>
      <c r="J168" t="s">
        <v>401</v>
      </c>
      <c r="K168" t="s">
        <v>74</v>
      </c>
      <c r="L168" t="s">
        <v>74</v>
      </c>
      <c r="M168" t="s">
        <v>78</v>
      </c>
      <c r="N168" t="s">
        <v>108</v>
      </c>
      <c r="O168" t="s">
        <v>74</v>
      </c>
      <c r="P168" t="s">
        <v>74</v>
      </c>
      <c r="Q168" t="s">
        <v>74</v>
      </c>
      <c r="R168" t="s">
        <v>74</v>
      </c>
      <c r="S168" t="s">
        <v>74</v>
      </c>
      <c r="T168" t="s">
        <v>3370</v>
      </c>
      <c r="U168" t="s">
        <v>3371</v>
      </c>
      <c r="V168" t="s">
        <v>3372</v>
      </c>
      <c r="W168" t="s">
        <v>3373</v>
      </c>
      <c r="X168" t="s">
        <v>3374</v>
      </c>
      <c r="Y168" t="s">
        <v>3375</v>
      </c>
      <c r="Z168" t="s">
        <v>74</v>
      </c>
      <c r="AA168" t="s">
        <v>3376</v>
      </c>
      <c r="AB168" t="s">
        <v>3377</v>
      </c>
      <c r="AC168" t="s">
        <v>74</v>
      </c>
      <c r="AD168" t="s">
        <v>74</v>
      </c>
      <c r="AE168" t="s">
        <v>74</v>
      </c>
      <c r="AF168" t="s">
        <v>74</v>
      </c>
      <c r="AG168">
        <v>81</v>
      </c>
      <c r="AH168">
        <v>22</v>
      </c>
      <c r="AI168">
        <v>25</v>
      </c>
      <c r="AJ168">
        <v>3</v>
      </c>
      <c r="AK168">
        <v>41</v>
      </c>
      <c r="AL168" t="s">
        <v>409</v>
      </c>
      <c r="AM168" t="s">
        <v>410</v>
      </c>
      <c r="AN168" t="s">
        <v>411</v>
      </c>
      <c r="AO168" t="s">
        <v>412</v>
      </c>
      <c r="AP168" t="s">
        <v>74</v>
      </c>
      <c r="AQ168" t="s">
        <v>74</v>
      </c>
      <c r="AR168" t="s">
        <v>413</v>
      </c>
      <c r="AS168" t="s">
        <v>414</v>
      </c>
      <c r="AT168" t="s">
        <v>74</v>
      </c>
      <c r="AU168">
        <v>2021</v>
      </c>
      <c r="AV168">
        <v>15</v>
      </c>
      <c r="AW168" t="s">
        <v>74</v>
      </c>
      <c r="AX168" t="s">
        <v>74</v>
      </c>
      <c r="AY168" t="s">
        <v>74</v>
      </c>
      <c r="AZ168" t="s">
        <v>74</v>
      </c>
      <c r="BA168" t="s">
        <v>74</v>
      </c>
      <c r="BB168">
        <v>3248</v>
      </c>
      <c r="BC168">
        <v>3268</v>
      </c>
      <c r="BD168" t="s">
        <v>74</v>
      </c>
      <c r="BE168" t="s">
        <v>74</v>
      </c>
      <c r="BF168" t="s">
        <v>74</v>
      </c>
      <c r="BG168" t="s">
        <v>74</v>
      </c>
      <c r="BH168" t="s">
        <v>74</v>
      </c>
      <c r="BI168">
        <v>21</v>
      </c>
      <c r="BJ168" t="s">
        <v>124</v>
      </c>
      <c r="BK168" t="s">
        <v>99</v>
      </c>
      <c r="BL168" t="s">
        <v>124</v>
      </c>
      <c r="BM168" t="s">
        <v>1217</v>
      </c>
      <c r="BN168" t="s">
        <v>74</v>
      </c>
      <c r="BO168" t="s">
        <v>74</v>
      </c>
      <c r="BP168" t="s">
        <v>74</v>
      </c>
      <c r="BQ168" t="s">
        <v>74</v>
      </c>
      <c r="BR168" t="s">
        <v>102</v>
      </c>
      <c r="BS168" t="s">
        <v>3378</v>
      </c>
      <c r="BT168" t="str">
        <f>HYPERLINK("https%3A%2F%2Fwww.webofscience.com%2Fwos%2Fwoscc%2Ffull-record%2FWOS:000729944300054","View Full Record in Web of Science")</f>
        <v>View Full Record in Web of Science</v>
      </c>
    </row>
    <row r="169" spans="1:72" x14ac:dyDescent="0.35">
      <c r="A169" t="s">
        <v>128</v>
      </c>
      <c r="B169" t="s">
        <v>3379</v>
      </c>
      <c r="C169" t="s">
        <v>74</v>
      </c>
      <c r="D169" t="s">
        <v>3380</v>
      </c>
      <c r="E169" t="s">
        <v>74</v>
      </c>
      <c r="F169" t="s">
        <v>3381</v>
      </c>
      <c r="G169" t="s">
        <v>74</v>
      </c>
      <c r="H169" t="s">
        <v>74</v>
      </c>
      <c r="I169" t="s">
        <v>3382</v>
      </c>
      <c r="J169" t="s">
        <v>3383</v>
      </c>
      <c r="K169" t="s">
        <v>3384</v>
      </c>
      <c r="L169" t="s">
        <v>74</v>
      </c>
      <c r="M169" t="s">
        <v>78</v>
      </c>
      <c r="N169" t="s">
        <v>135</v>
      </c>
      <c r="O169" t="s">
        <v>3385</v>
      </c>
      <c r="P169" t="s">
        <v>3386</v>
      </c>
      <c r="Q169" t="s">
        <v>138</v>
      </c>
      <c r="R169" t="s">
        <v>3387</v>
      </c>
      <c r="S169" t="s">
        <v>74</v>
      </c>
      <c r="T169" t="s">
        <v>3388</v>
      </c>
      <c r="U169" t="s">
        <v>74</v>
      </c>
      <c r="V169" t="s">
        <v>3389</v>
      </c>
      <c r="W169" t="s">
        <v>3390</v>
      </c>
      <c r="X169" t="s">
        <v>1688</v>
      </c>
      <c r="Y169" t="s">
        <v>1689</v>
      </c>
      <c r="Z169" t="s">
        <v>3391</v>
      </c>
      <c r="AA169" t="s">
        <v>1691</v>
      </c>
      <c r="AB169" t="s">
        <v>74</v>
      </c>
      <c r="AC169" t="s">
        <v>74</v>
      </c>
      <c r="AD169" t="s">
        <v>74</v>
      </c>
      <c r="AE169" t="s">
        <v>74</v>
      </c>
      <c r="AF169" t="s">
        <v>74</v>
      </c>
      <c r="AG169">
        <v>17</v>
      </c>
      <c r="AH169">
        <v>0</v>
      </c>
      <c r="AI169">
        <v>0</v>
      </c>
      <c r="AJ169">
        <v>1</v>
      </c>
      <c r="AK169">
        <v>11</v>
      </c>
      <c r="AL169" t="s">
        <v>758</v>
      </c>
      <c r="AM169" t="s">
        <v>759</v>
      </c>
      <c r="AN169" t="s">
        <v>2146</v>
      </c>
      <c r="AO169" t="s">
        <v>3392</v>
      </c>
      <c r="AP169" t="s">
        <v>74</v>
      </c>
      <c r="AQ169" t="s">
        <v>3393</v>
      </c>
      <c r="AR169" t="s">
        <v>3394</v>
      </c>
      <c r="AS169" t="s">
        <v>74</v>
      </c>
      <c r="AT169" t="s">
        <v>74</v>
      </c>
      <c r="AU169">
        <v>2021</v>
      </c>
      <c r="AV169" t="s">
        <v>74</v>
      </c>
      <c r="AW169" t="s">
        <v>74</v>
      </c>
      <c r="AX169" t="s">
        <v>74</v>
      </c>
      <c r="AY169" t="s">
        <v>74</v>
      </c>
      <c r="AZ169" t="s">
        <v>74</v>
      </c>
      <c r="BA169" t="s">
        <v>74</v>
      </c>
      <c r="BB169">
        <v>192</v>
      </c>
      <c r="BC169">
        <v>196</v>
      </c>
      <c r="BD169" t="s">
        <v>74</v>
      </c>
      <c r="BE169" t="s">
        <v>3395</v>
      </c>
      <c r="BF169" t="str">
        <f>HYPERLINK("http://dx.doi.org/10.1109/CBI52690.2021.10071","http://dx.doi.org/10.1109/CBI52690.2021.10071")</f>
        <v>http://dx.doi.org/10.1109/CBI52690.2021.10071</v>
      </c>
      <c r="BG169" t="s">
        <v>74</v>
      </c>
      <c r="BH169" t="s">
        <v>74</v>
      </c>
      <c r="BI169">
        <v>5</v>
      </c>
      <c r="BJ169" t="s">
        <v>3396</v>
      </c>
      <c r="BK169" t="s">
        <v>648</v>
      </c>
      <c r="BL169" t="s">
        <v>3397</v>
      </c>
      <c r="BM169" t="s">
        <v>3398</v>
      </c>
      <c r="BN169" t="s">
        <v>74</v>
      </c>
      <c r="BO169" t="s">
        <v>74</v>
      </c>
      <c r="BP169" t="s">
        <v>74</v>
      </c>
      <c r="BQ169" t="s">
        <v>74</v>
      </c>
      <c r="BR169" t="s">
        <v>102</v>
      </c>
      <c r="BS169" t="s">
        <v>3399</v>
      </c>
      <c r="BT169" t="str">
        <f>HYPERLINK("https%3A%2F%2Fwww.webofscience.com%2Fwos%2Fwoscc%2Ffull-record%2FWOS:000848188800023","View Full Record in Web of Science")</f>
        <v>View Full Record in Web of Science</v>
      </c>
    </row>
    <row r="170" spans="1:72" x14ac:dyDescent="0.35">
      <c r="A170" t="s">
        <v>72</v>
      </c>
      <c r="B170" t="s">
        <v>3400</v>
      </c>
      <c r="C170" t="s">
        <v>74</v>
      </c>
      <c r="D170" t="s">
        <v>74</v>
      </c>
      <c r="E170" t="s">
        <v>74</v>
      </c>
      <c r="F170" t="s">
        <v>3401</v>
      </c>
      <c r="G170" t="s">
        <v>74</v>
      </c>
      <c r="H170" t="s">
        <v>74</v>
      </c>
      <c r="I170" t="s">
        <v>3402</v>
      </c>
      <c r="J170" t="s">
        <v>3403</v>
      </c>
      <c r="K170" t="s">
        <v>74</v>
      </c>
      <c r="L170" t="s">
        <v>74</v>
      </c>
      <c r="M170" t="s">
        <v>78</v>
      </c>
      <c r="N170" t="s">
        <v>3404</v>
      </c>
      <c r="O170" t="s">
        <v>74</v>
      </c>
      <c r="P170" t="s">
        <v>74</v>
      </c>
      <c r="Q170" t="s">
        <v>74</v>
      </c>
      <c r="R170" t="s">
        <v>74</v>
      </c>
      <c r="S170" t="s">
        <v>74</v>
      </c>
      <c r="T170" t="s">
        <v>3405</v>
      </c>
      <c r="U170" t="s">
        <v>795</v>
      </c>
      <c r="V170" t="s">
        <v>74</v>
      </c>
      <c r="W170" t="s">
        <v>3406</v>
      </c>
      <c r="X170" t="s">
        <v>3407</v>
      </c>
      <c r="Y170" t="s">
        <v>3408</v>
      </c>
      <c r="Z170" t="s">
        <v>3409</v>
      </c>
      <c r="AA170" t="s">
        <v>74</v>
      </c>
      <c r="AB170" t="s">
        <v>3410</v>
      </c>
      <c r="AC170" t="s">
        <v>74</v>
      </c>
      <c r="AD170" t="s">
        <v>74</v>
      </c>
      <c r="AE170" t="s">
        <v>74</v>
      </c>
      <c r="AF170" t="s">
        <v>74</v>
      </c>
      <c r="AG170">
        <v>5</v>
      </c>
      <c r="AH170">
        <v>0</v>
      </c>
      <c r="AI170">
        <v>0</v>
      </c>
      <c r="AJ170">
        <v>0</v>
      </c>
      <c r="AK170">
        <v>0</v>
      </c>
      <c r="AL170" t="s">
        <v>251</v>
      </c>
      <c r="AM170" t="s">
        <v>252</v>
      </c>
      <c r="AN170" t="s">
        <v>253</v>
      </c>
      <c r="AO170" t="s">
        <v>3411</v>
      </c>
      <c r="AP170" t="s">
        <v>3412</v>
      </c>
      <c r="AQ170" t="s">
        <v>74</v>
      </c>
      <c r="AR170" t="s">
        <v>3413</v>
      </c>
      <c r="AS170" t="s">
        <v>3414</v>
      </c>
      <c r="AT170" t="s">
        <v>3415</v>
      </c>
      <c r="AU170">
        <v>2024</v>
      </c>
      <c r="AV170" t="s">
        <v>74</v>
      </c>
      <c r="AW170" t="s">
        <v>74</v>
      </c>
      <c r="AX170" t="s">
        <v>74</v>
      </c>
      <c r="AY170" t="s">
        <v>74</v>
      </c>
      <c r="AZ170" t="s">
        <v>74</v>
      </c>
      <c r="BA170" t="s">
        <v>74</v>
      </c>
      <c r="BB170" t="s">
        <v>74</v>
      </c>
      <c r="BC170" t="s">
        <v>74</v>
      </c>
      <c r="BD170" t="s">
        <v>74</v>
      </c>
      <c r="BE170" t="s">
        <v>3416</v>
      </c>
      <c r="BF170" t="str">
        <f>HYPERLINK("http://dx.doi.org/10.1111/ijd.17530","http://dx.doi.org/10.1111/ijd.17530")</f>
        <v>http://dx.doi.org/10.1111/ijd.17530</v>
      </c>
      <c r="BG170" t="s">
        <v>74</v>
      </c>
      <c r="BH170" t="s">
        <v>1721</v>
      </c>
      <c r="BI170">
        <v>3</v>
      </c>
      <c r="BJ170" t="s">
        <v>1341</v>
      </c>
      <c r="BK170" t="s">
        <v>209</v>
      </c>
      <c r="BL170" t="s">
        <v>1341</v>
      </c>
      <c r="BM170" t="s">
        <v>3417</v>
      </c>
      <c r="BN170">
        <v>39440908</v>
      </c>
      <c r="BO170" t="s">
        <v>767</v>
      </c>
      <c r="BP170" t="s">
        <v>74</v>
      </c>
      <c r="BQ170" t="s">
        <v>74</v>
      </c>
      <c r="BR170" t="s">
        <v>102</v>
      </c>
      <c r="BS170" t="s">
        <v>3418</v>
      </c>
      <c r="BT170" t="str">
        <f>HYPERLINK("https%3A%2F%2Fwww.webofscience.com%2Fwos%2Fwoscc%2Ffull-record%2FWOS:001340309800001","View Full Record in Web of Science")</f>
        <v>View Full Record in Web of Science</v>
      </c>
    </row>
    <row r="171" spans="1:72" x14ac:dyDescent="0.35">
      <c r="A171" t="s">
        <v>72</v>
      </c>
      <c r="B171" t="s">
        <v>3419</v>
      </c>
      <c r="C171" t="s">
        <v>74</v>
      </c>
      <c r="D171" t="s">
        <v>74</v>
      </c>
      <c r="E171" t="s">
        <v>74</v>
      </c>
      <c r="F171" t="s">
        <v>3420</v>
      </c>
      <c r="G171" t="s">
        <v>74</v>
      </c>
      <c r="H171" t="s">
        <v>74</v>
      </c>
      <c r="I171" t="s">
        <v>3421</v>
      </c>
      <c r="J171" t="s">
        <v>753</v>
      </c>
      <c r="K171" t="s">
        <v>74</v>
      </c>
      <c r="L171" t="s">
        <v>74</v>
      </c>
      <c r="M171" t="s">
        <v>78</v>
      </c>
      <c r="N171" t="s">
        <v>108</v>
      </c>
      <c r="O171" t="s">
        <v>74</v>
      </c>
      <c r="P171" t="s">
        <v>74</v>
      </c>
      <c r="Q171" t="s">
        <v>74</v>
      </c>
      <c r="R171" t="s">
        <v>74</v>
      </c>
      <c r="S171" t="s">
        <v>74</v>
      </c>
      <c r="T171" t="s">
        <v>74</v>
      </c>
      <c r="U171" t="s">
        <v>74</v>
      </c>
      <c r="V171" t="s">
        <v>3422</v>
      </c>
      <c r="W171" t="s">
        <v>3423</v>
      </c>
      <c r="X171" t="s">
        <v>3004</v>
      </c>
      <c r="Y171" t="s">
        <v>3424</v>
      </c>
      <c r="Z171" t="s">
        <v>3425</v>
      </c>
      <c r="AA171" t="s">
        <v>3426</v>
      </c>
      <c r="AB171" t="s">
        <v>3427</v>
      </c>
      <c r="AC171" t="s">
        <v>74</v>
      </c>
      <c r="AD171" t="s">
        <v>74</v>
      </c>
      <c r="AE171" t="s">
        <v>74</v>
      </c>
      <c r="AF171" t="s">
        <v>74</v>
      </c>
      <c r="AG171">
        <v>4</v>
      </c>
      <c r="AH171">
        <v>4</v>
      </c>
      <c r="AI171">
        <v>4</v>
      </c>
      <c r="AJ171">
        <v>4</v>
      </c>
      <c r="AK171">
        <v>17</v>
      </c>
      <c r="AL171" t="s">
        <v>758</v>
      </c>
      <c r="AM171" t="s">
        <v>759</v>
      </c>
      <c r="AN171" t="s">
        <v>760</v>
      </c>
      <c r="AO171" t="s">
        <v>761</v>
      </c>
      <c r="AP171" t="s">
        <v>762</v>
      </c>
      <c r="AQ171" t="s">
        <v>74</v>
      </c>
      <c r="AR171" t="s">
        <v>753</v>
      </c>
      <c r="AS171" t="s">
        <v>763</v>
      </c>
      <c r="AT171" t="s">
        <v>273</v>
      </c>
      <c r="AU171">
        <v>2023</v>
      </c>
      <c r="AV171">
        <v>56</v>
      </c>
      <c r="AW171">
        <v>7</v>
      </c>
      <c r="AX171" t="s">
        <v>74</v>
      </c>
      <c r="AY171" t="s">
        <v>74</v>
      </c>
      <c r="AZ171" t="s">
        <v>74</v>
      </c>
      <c r="BA171" t="s">
        <v>74</v>
      </c>
      <c r="BB171">
        <v>131</v>
      </c>
      <c r="BC171">
        <v>136</v>
      </c>
      <c r="BD171" t="s">
        <v>74</v>
      </c>
      <c r="BE171" t="s">
        <v>3428</v>
      </c>
      <c r="BF171" t="str">
        <f>HYPERLINK("http://dx.doi.org/10.1109/MC.2023.3267986","http://dx.doi.org/10.1109/MC.2023.3267986")</f>
        <v>http://dx.doi.org/10.1109/MC.2023.3267986</v>
      </c>
      <c r="BG171" t="s">
        <v>74</v>
      </c>
      <c r="BH171" t="s">
        <v>74</v>
      </c>
      <c r="BI171">
        <v>6</v>
      </c>
      <c r="BJ171" t="s">
        <v>765</v>
      </c>
      <c r="BK171" t="s">
        <v>209</v>
      </c>
      <c r="BL171" t="s">
        <v>210</v>
      </c>
      <c r="BM171" t="s">
        <v>3429</v>
      </c>
      <c r="BN171" t="s">
        <v>74</v>
      </c>
      <c r="BO171" t="s">
        <v>767</v>
      </c>
      <c r="BP171" t="s">
        <v>74</v>
      </c>
      <c r="BQ171" t="s">
        <v>74</v>
      </c>
      <c r="BR171" t="s">
        <v>102</v>
      </c>
      <c r="BS171" t="s">
        <v>3430</v>
      </c>
      <c r="BT171" t="str">
        <f>HYPERLINK("https%3A%2F%2Fwww.webofscience.com%2Fwos%2Fwoscc%2Ffull-record%2FWOS:001012789800018","View Full Record in Web of Science")</f>
        <v>View Full Record in Web of Science</v>
      </c>
    </row>
    <row r="172" spans="1:72" x14ac:dyDescent="0.35">
      <c r="A172" t="s">
        <v>72</v>
      </c>
      <c r="B172" t="s">
        <v>3431</v>
      </c>
      <c r="C172" t="s">
        <v>74</v>
      </c>
      <c r="D172" t="s">
        <v>74</v>
      </c>
      <c r="E172" t="s">
        <v>74</v>
      </c>
      <c r="F172" t="s">
        <v>3432</v>
      </c>
      <c r="G172" t="s">
        <v>74</v>
      </c>
      <c r="H172" t="s">
        <v>74</v>
      </c>
      <c r="I172" t="s">
        <v>3433</v>
      </c>
      <c r="J172" t="s">
        <v>681</v>
      </c>
      <c r="K172" t="s">
        <v>74</v>
      </c>
      <c r="L172" t="s">
        <v>74</v>
      </c>
      <c r="M172" t="s">
        <v>78</v>
      </c>
      <c r="N172" t="s">
        <v>108</v>
      </c>
      <c r="O172" t="s">
        <v>74</v>
      </c>
      <c r="P172" t="s">
        <v>74</v>
      </c>
      <c r="Q172" t="s">
        <v>74</v>
      </c>
      <c r="R172" t="s">
        <v>74</v>
      </c>
      <c r="S172" t="s">
        <v>74</v>
      </c>
      <c r="T172" t="s">
        <v>3434</v>
      </c>
      <c r="U172" t="s">
        <v>3435</v>
      </c>
      <c r="V172" t="s">
        <v>3436</v>
      </c>
      <c r="W172" t="s">
        <v>3437</v>
      </c>
      <c r="X172" t="s">
        <v>3438</v>
      </c>
      <c r="Y172" t="s">
        <v>3439</v>
      </c>
      <c r="Z172" t="s">
        <v>3440</v>
      </c>
      <c r="AA172" t="s">
        <v>3441</v>
      </c>
      <c r="AB172" t="s">
        <v>3442</v>
      </c>
      <c r="AC172" t="s">
        <v>74</v>
      </c>
      <c r="AD172" t="s">
        <v>74</v>
      </c>
      <c r="AE172" t="s">
        <v>74</v>
      </c>
      <c r="AF172" t="s">
        <v>74</v>
      </c>
      <c r="AG172">
        <v>114</v>
      </c>
      <c r="AH172">
        <v>36</v>
      </c>
      <c r="AI172">
        <v>38</v>
      </c>
      <c r="AJ172">
        <v>70</v>
      </c>
      <c r="AK172">
        <v>404</v>
      </c>
      <c r="AL172" t="s">
        <v>384</v>
      </c>
      <c r="AM172" t="s">
        <v>385</v>
      </c>
      <c r="AN172" t="s">
        <v>386</v>
      </c>
      <c r="AO172" t="s">
        <v>693</v>
      </c>
      <c r="AP172" t="s">
        <v>74</v>
      </c>
      <c r="AQ172" t="s">
        <v>74</v>
      </c>
      <c r="AR172" t="s">
        <v>694</v>
      </c>
      <c r="AS172" t="s">
        <v>695</v>
      </c>
      <c r="AT172" t="s">
        <v>3443</v>
      </c>
      <c r="AU172">
        <v>2022</v>
      </c>
      <c r="AV172">
        <v>13</v>
      </c>
      <c r="AW172" t="s">
        <v>74</v>
      </c>
      <c r="AX172" t="s">
        <v>74</v>
      </c>
      <c r="AY172" t="s">
        <v>74</v>
      </c>
      <c r="AZ172" t="s">
        <v>74</v>
      </c>
      <c r="BA172" t="s">
        <v>74</v>
      </c>
      <c r="BB172" t="s">
        <v>74</v>
      </c>
      <c r="BC172" t="s">
        <v>74</v>
      </c>
      <c r="BD172">
        <v>932805</v>
      </c>
      <c r="BE172" t="s">
        <v>3444</v>
      </c>
      <c r="BF172" t="str">
        <f>HYPERLINK("http://dx.doi.org/10.3389/fpsyg.2022.932805","http://dx.doi.org/10.3389/fpsyg.2022.932805")</f>
        <v>http://dx.doi.org/10.3389/fpsyg.2022.932805</v>
      </c>
      <c r="BG172" t="s">
        <v>74</v>
      </c>
      <c r="BH172" t="s">
        <v>74</v>
      </c>
      <c r="BI172">
        <v>17</v>
      </c>
      <c r="BJ172" t="s">
        <v>698</v>
      </c>
      <c r="BK172" t="s">
        <v>99</v>
      </c>
      <c r="BL172" t="s">
        <v>301</v>
      </c>
      <c r="BM172" t="s">
        <v>3445</v>
      </c>
      <c r="BN172">
        <v>36148123</v>
      </c>
      <c r="BO172" t="s">
        <v>394</v>
      </c>
      <c r="BP172" t="s">
        <v>74</v>
      </c>
      <c r="BQ172" t="s">
        <v>74</v>
      </c>
      <c r="BR172" t="s">
        <v>102</v>
      </c>
      <c r="BS172" t="s">
        <v>3446</v>
      </c>
      <c r="BT172" t="str">
        <f>HYPERLINK("https%3A%2F%2Fwww.webofscience.com%2Fwos%2Fwoscc%2Ffull-record%2FWOS:000872919300001","View Full Record in Web of Science")</f>
        <v>View Full Record in Web of Science</v>
      </c>
    </row>
    <row r="173" spans="1:72" x14ac:dyDescent="0.35">
      <c r="A173" t="s">
        <v>72</v>
      </c>
      <c r="B173" t="s">
        <v>3447</v>
      </c>
      <c r="C173" t="s">
        <v>74</v>
      </c>
      <c r="D173" t="s">
        <v>74</v>
      </c>
      <c r="E173" t="s">
        <v>74</v>
      </c>
      <c r="F173" t="s">
        <v>3448</v>
      </c>
      <c r="G173" t="s">
        <v>74</v>
      </c>
      <c r="H173" t="s">
        <v>74</v>
      </c>
      <c r="I173" t="s">
        <v>3449</v>
      </c>
      <c r="J173" t="s">
        <v>1634</v>
      </c>
      <c r="K173" t="s">
        <v>74</v>
      </c>
      <c r="L173" t="s">
        <v>74</v>
      </c>
      <c r="M173" t="s">
        <v>78</v>
      </c>
      <c r="N173" t="s">
        <v>108</v>
      </c>
      <c r="O173" t="s">
        <v>74</v>
      </c>
      <c r="P173" t="s">
        <v>74</v>
      </c>
      <c r="Q173" t="s">
        <v>74</v>
      </c>
      <c r="R173" t="s">
        <v>74</v>
      </c>
      <c r="S173" t="s">
        <v>74</v>
      </c>
      <c r="T173" t="s">
        <v>3450</v>
      </c>
      <c r="U173" t="s">
        <v>3451</v>
      </c>
      <c r="V173" t="s">
        <v>3452</v>
      </c>
      <c r="W173" t="s">
        <v>3453</v>
      </c>
      <c r="X173" t="s">
        <v>3454</v>
      </c>
      <c r="Y173" t="s">
        <v>3455</v>
      </c>
      <c r="Z173" t="s">
        <v>74</v>
      </c>
      <c r="AA173" t="s">
        <v>3456</v>
      </c>
      <c r="AB173" t="s">
        <v>3457</v>
      </c>
      <c r="AC173" t="s">
        <v>74</v>
      </c>
      <c r="AD173" t="s">
        <v>74</v>
      </c>
      <c r="AE173" t="s">
        <v>74</v>
      </c>
      <c r="AF173" t="s">
        <v>74</v>
      </c>
      <c r="AG173">
        <v>53</v>
      </c>
      <c r="AH173">
        <v>0</v>
      </c>
      <c r="AI173">
        <v>0</v>
      </c>
      <c r="AJ173">
        <v>36</v>
      </c>
      <c r="AK173">
        <v>49</v>
      </c>
      <c r="AL173" t="s">
        <v>1646</v>
      </c>
      <c r="AM173" t="s">
        <v>1647</v>
      </c>
      <c r="AN173" t="s">
        <v>1648</v>
      </c>
      <c r="AO173" t="s">
        <v>1649</v>
      </c>
      <c r="AP173" t="s">
        <v>1650</v>
      </c>
      <c r="AQ173" t="s">
        <v>74</v>
      </c>
      <c r="AR173" t="s">
        <v>1651</v>
      </c>
      <c r="AS173" t="s">
        <v>1652</v>
      </c>
      <c r="AT173" t="s">
        <v>74</v>
      </c>
      <c r="AU173">
        <v>2024</v>
      </c>
      <c r="AV173">
        <v>20</v>
      </c>
      <c r="AW173">
        <v>1</v>
      </c>
      <c r="AX173" t="s">
        <v>74</v>
      </c>
      <c r="AY173" t="s">
        <v>74</v>
      </c>
      <c r="AZ173" t="s">
        <v>74</v>
      </c>
      <c r="BA173" t="s">
        <v>74</v>
      </c>
      <c r="BB173" t="s">
        <v>74</v>
      </c>
      <c r="BC173" t="s">
        <v>74</v>
      </c>
      <c r="BD173" t="s">
        <v>74</v>
      </c>
      <c r="BE173" t="s">
        <v>3458</v>
      </c>
      <c r="BF173" t="str">
        <f>HYPERLINK("http://dx.doi.org/10.21511/im.20(1).2024.11","http://dx.doi.org/10.21511/im.20(1).2024.11")</f>
        <v>http://dx.doi.org/10.21511/im.20(1).2024.11</v>
      </c>
      <c r="BG173" t="s">
        <v>74</v>
      </c>
      <c r="BH173" t="s">
        <v>74</v>
      </c>
      <c r="BI173">
        <v>11</v>
      </c>
      <c r="BJ173" t="s">
        <v>1597</v>
      </c>
      <c r="BK173" t="s">
        <v>125</v>
      </c>
      <c r="BL173" t="s">
        <v>480</v>
      </c>
      <c r="BM173" t="s">
        <v>3459</v>
      </c>
      <c r="BN173" t="s">
        <v>74</v>
      </c>
      <c r="BO173" t="s">
        <v>235</v>
      </c>
      <c r="BP173" t="s">
        <v>74</v>
      </c>
      <c r="BQ173" t="s">
        <v>74</v>
      </c>
      <c r="BR173" t="s">
        <v>102</v>
      </c>
      <c r="BS173" t="s">
        <v>3460</v>
      </c>
      <c r="BT173" t="str">
        <f>HYPERLINK("https%3A%2F%2Fwww.webofscience.com%2Fwos%2Fwoscc%2Ffull-record%2FWOS:001171843200004","View Full Record in Web of Science")</f>
        <v>View Full Record in Web of Science</v>
      </c>
    </row>
    <row r="174" spans="1:72" x14ac:dyDescent="0.35">
      <c r="A174" t="s">
        <v>72</v>
      </c>
      <c r="B174" t="s">
        <v>304</v>
      </c>
      <c r="C174" t="s">
        <v>74</v>
      </c>
      <c r="D174" t="s">
        <v>74</v>
      </c>
      <c r="E174" t="s">
        <v>74</v>
      </c>
      <c r="F174" t="s">
        <v>305</v>
      </c>
      <c r="G174" t="s">
        <v>74</v>
      </c>
      <c r="H174" t="s">
        <v>74</v>
      </c>
      <c r="I174" t="s">
        <v>3461</v>
      </c>
      <c r="J174" t="s">
        <v>3462</v>
      </c>
      <c r="K174" t="s">
        <v>74</v>
      </c>
      <c r="L174" t="s">
        <v>74</v>
      </c>
      <c r="M174" t="s">
        <v>78</v>
      </c>
      <c r="N174" t="s">
        <v>108</v>
      </c>
      <c r="O174" t="s">
        <v>74</v>
      </c>
      <c r="P174" t="s">
        <v>74</v>
      </c>
      <c r="Q174" t="s">
        <v>74</v>
      </c>
      <c r="R174" t="s">
        <v>74</v>
      </c>
      <c r="S174" t="s">
        <v>74</v>
      </c>
      <c r="T174" t="s">
        <v>3463</v>
      </c>
      <c r="U174" t="s">
        <v>74</v>
      </c>
      <c r="V174" t="s">
        <v>3464</v>
      </c>
      <c r="W174" t="s">
        <v>3465</v>
      </c>
      <c r="X174" t="s">
        <v>3466</v>
      </c>
      <c r="Y174" t="s">
        <v>3467</v>
      </c>
      <c r="Z174" t="s">
        <v>3468</v>
      </c>
      <c r="AA174" t="s">
        <v>74</v>
      </c>
      <c r="AB174" t="s">
        <v>74</v>
      </c>
      <c r="AC174" t="s">
        <v>74</v>
      </c>
      <c r="AD174" t="s">
        <v>74</v>
      </c>
      <c r="AE174" t="s">
        <v>74</v>
      </c>
      <c r="AF174" t="s">
        <v>74</v>
      </c>
      <c r="AG174">
        <v>18</v>
      </c>
      <c r="AH174">
        <v>0</v>
      </c>
      <c r="AI174">
        <v>0</v>
      </c>
      <c r="AJ174">
        <v>0</v>
      </c>
      <c r="AK174">
        <v>0</v>
      </c>
      <c r="AL174" t="s">
        <v>870</v>
      </c>
      <c r="AM174" t="s">
        <v>871</v>
      </c>
      <c r="AN174" t="s">
        <v>872</v>
      </c>
      <c r="AO174" t="s">
        <v>3469</v>
      </c>
      <c r="AP174" t="s">
        <v>3470</v>
      </c>
      <c r="AQ174" t="s">
        <v>74</v>
      </c>
      <c r="AR174" t="s">
        <v>3471</v>
      </c>
      <c r="AS174" t="s">
        <v>3472</v>
      </c>
      <c r="AT174" t="s">
        <v>74</v>
      </c>
      <c r="AU174">
        <v>2024</v>
      </c>
      <c r="AV174">
        <v>18</v>
      </c>
      <c r="AW174">
        <v>2</v>
      </c>
      <c r="AX174" t="s">
        <v>74</v>
      </c>
      <c r="AY174" t="s">
        <v>74</v>
      </c>
      <c r="AZ174" t="s">
        <v>74</v>
      </c>
      <c r="BA174" t="s">
        <v>74</v>
      </c>
      <c r="BB174">
        <v>127</v>
      </c>
      <c r="BC174">
        <v>137</v>
      </c>
      <c r="BD174" t="s">
        <v>74</v>
      </c>
      <c r="BE174" t="s">
        <v>3473</v>
      </c>
      <c r="BF174" t="str">
        <f>HYPERLINK("http://dx.doi.org/10.1386/smt_00157_1","http://dx.doi.org/10.1386/smt_00157_1")</f>
        <v>http://dx.doi.org/10.1386/smt_00157_1</v>
      </c>
      <c r="BG174" t="s">
        <v>74</v>
      </c>
      <c r="BH174" t="s">
        <v>74</v>
      </c>
      <c r="BI174">
        <v>11</v>
      </c>
      <c r="BJ174" t="s">
        <v>315</v>
      </c>
      <c r="BK174" t="s">
        <v>125</v>
      </c>
      <c r="BL174" t="s">
        <v>315</v>
      </c>
      <c r="BM174" t="s">
        <v>3474</v>
      </c>
      <c r="BN174" t="s">
        <v>74</v>
      </c>
      <c r="BO174" t="s">
        <v>74</v>
      </c>
      <c r="BP174" t="s">
        <v>74</v>
      </c>
      <c r="BQ174" t="s">
        <v>74</v>
      </c>
      <c r="BR174" t="s">
        <v>102</v>
      </c>
      <c r="BS174" t="s">
        <v>3475</v>
      </c>
      <c r="BT174" t="str">
        <f>HYPERLINK("https%3A%2F%2Fwww.webofscience.com%2Fwos%2Fwoscc%2Ffull-record%2FWOS:001352854100003","View Full Record in Web of Science")</f>
        <v>View Full Record in Web of Science</v>
      </c>
    </row>
    <row r="175" spans="1:72" x14ac:dyDescent="0.35">
      <c r="A175" t="s">
        <v>72</v>
      </c>
      <c r="B175" t="s">
        <v>3476</v>
      </c>
      <c r="C175" t="s">
        <v>74</v>
      </c>
      <c r="D175" t="s">
        <v>74</v>
      </c>
      <c r="E175" t="s">
        <v>74</v>
      </c>
      <c r="F175" t="s">
        <v>3477</v>
      </c>
      <c r="G175" t="s">
        <v>74</v>
      </c>
      <c r="H175" t="s">
        <v>74</v>
      </c>
      <c r="I175" t="s">
        <v>3478</v>
      </c>
      <c r="J175" t="s">
        <v>3479</v>
      </c>
      <c r="K175" t="s">
        <v>74</v>
      </c>
      <c r="L175" t="s">
        <v>74</v>
      </c>
      <c r="M175" t="s">
        <v>78</v>
      </c>
      <c r="N175" t="s">
        <v>108</v>
      </c>
      <c r="O175" t="s">
        <v>74</v>
      </c>
      <c r="P175" t="s">
        <v>74</v>
      </c>
      <c r="Q175" t="s">
        <v>74</v>
      </c>
      <c r="R175" t="s">
        <v>74</v>
      </c>
      <c r="S175" t="s">
        <v>74</v>
      </c>
      <c r="T175" t="s">
        <v>3480</v>
      </c>
      <c r="U175" t="s">
        <v>3481</v>
      </c>
      <c r="V175" t="s">
        <v>3482</v>
      </c>
      <c r="W175" t="s">
        <v>3483</v>
      </c>
      <c r="X175" t="s">
        <v>3484</v>
      </c>
      <c r="Y175" t="s">
        <v>3485</v>
      </c>
      <c r="Z175" t="s">
        <v>3486</v>
      </c>
      <c r="AA175" t="s">
        <v>3487</v>
      </c>
      <c r="AB175" t="s">
        <v>3488</v>
      </c>
      <c r="AC175" t="s">
        <v>74</v>
      </c>
      <c r="AD175" t="s">
        <v>74</v>
      </c>
      <c r="AE175" t="s">
        <v>74</v>
      </c>
      <c r="AF175" t="s">
        <v>74</v>
      </c>
      <c r="AG175">
        <v>80</v>
      </c>
      <c r="AH175">
        <v>20</v>
      </c>
      <c r="AI175">
        <v>20</v>
      </c>
      <c r="AJ175">
        <v>30</v>
      </c>
      <c r="AK175">
        <v>163</v>
      </c>
      <c r="AL175" t="s">
        <v>3489</v>
      </c>
      <c r="AM175" t="s">
        <v>3490</v>
      </c>
      <c r="AN175" t="s">
        <v>3491</v>
      </c>
      <c r="AO175" t="s">
        <v>3492</v>
      </c>
      <c r="AP175" t="s">
        <v>3493</v>
      </c>
      <c r="AQ175" t="s">
        <v>74</v>
      </c>
      <c r="AR175" t="s">
        <v>3494</v>
      </c>
      <c r="AS175" t="s">
        <v>3495</v>
      </c>
      <c r="AT175" t="s">
        <v>455</v>
      </c>
      <c r="AU175">
        <v>2022</v>
      </c>
      <c r="AV175">
        <v>24</v>
      </c>
      <c r="AW175">
        <v>3</v>
      </c>
      <c r="AX175" t="s">
        <v>74</v>
      </c>
      <c r="AY175" t="s">
        <v>74</v>
      </c>
      <c r="AZ175" t="s">
        <v>74</v>
      </c>
      <c r="BA175" t="s">
        <v>74</v>
      </c>
      <c r="BB175">
        <v>389</v>
      </c>
      <c r="BC175">
        <v>407</v>
      </c>
      <c r="BD175" t="s">
        <v>74</v>
      </c>
      <c r="BE175" t="s">
        <v>3496</v>
      </c>
      <c r="BF175" t="str">
        <f>HYPERLINK("http://dx.doi.org/10.1007/s40558-022-00233-w","http://dx.doi.org/10.1007/s40558-022-00233-w")</f>
        <v>http://dx.doi.org/10.1007/s40558-022-00233-w</v>
      </c>
      <c r="BG175" t="s">
        <v>74</v>
      </c>
      <c r="BH175" t="s">
        <v>1527</v>
      </c>
      <c r="BI175">
        <v>19</v>
      </c>
      <c r="BJ175" t="s">
        <v>574</v>
      </c>
      <c r="BK175" t="s">
        <v>99</v>
      </c>
      <c r="BL175" t="s">
        <v>100</v>
      </c>
      <c r="BM175" t="s">
        <v>3497</v>
      </c>
      <c r="BN175" t="s">
        <v>74</v>
      </c>
      <c r="BO175" t="s">
        <v>767</v>
      </c>
      <c r="BP175" t="s">
        <v>74</v>
      </c>
      <c r="BQ175" t="s">
        <v>74</v>
      </c>
      <c r="BR175" t="s">
        <v>102</v>
      </c>
      <c r="BS175" t="s">
        <v>3498</v>
      </c>
      <c r="BT175" t="str">
        <f>HYPERLINK("https%3A%2F%2Fwww.webofscience.com%2Fwos%2Fwoscc%2Ffull-record%2FWOS:000838486900001","View Full Record in Web of Science")</f>
        <v>View Full Record in Web of Science</v>
      </c>
    </row>
    <row r="176" spans="1:72" x14ac:dyDescent="0.35">
      <c r="A176" t="s">
        <v>72</v>
      </c>
      <c r="B176" t="s">
        <v>3499</v>
      </c>
      <c r="C176" t="s">
        <v>74</v>
      </c>
      <c r="D176" t="s">
        <v>74</v>
      </c>
      <c r="E176" t="s">
        <v>74</v>
      </c>
      <c r="F176" t="s">
        <v>3500</v>
      </c>
      <c r="G176" t="s">
        <v>74</v>
      </c>
      <c r="H176" t="s">
        <v>74</v>
      </c>
      <c r="I176" t="s">
        <v>3501</v>
      </c>
      <c r="J176" t="s">
        <v>3502</v>
      </c>
      <c r="K176" t="s">
        <v>74</v>
      </c>
      <c r="L176" t="s">
        <v>74</v>
      </c>
      <c r="M176" t="s">
        <v>3503</v>
      </c>
      <c r="N176" t="s">
        <v>108</v>
      </c>
      <c r="O176" t="s">
        <v>74</v>
      </c>
      <c r="P176" t="s">
        <v>74</v>
      </c>
      <c r="Q176" t="s">
        <v>74</v>
      </c>
      <c r="R176" t="s">
        <v>74</v>
      </c>
      <c r="S176" t="s">
        <v>74</v>
      </c>
      <c r="T176" t="s">
        <v>3504</v>
      </c>
      <c r="U176" t="s">
        <v>74</v>
      </c>
      <c r="V176" t="s">
        <v>3505</v>
      </c>
      <c r="W176" t="s">
        <v>3506</v>
      </c>
      <c r="X176" t="s">
        <v>3507</v>
      </c>
      <c r="Y176" t="s">
        <v>3508</v>
      </c>
      <c r="Z176" t="s">
        <v>3509</v>
      </c>
      <c r="AA176" t="s">
        <v>3510</v>
      </c>
      <c r="AB176" t="s">
        <v>74</v>
      </c>
      <c r="AC176" t="s">
        <v>74</v>
      </c>
      <c r="AD176" t="s">
        <v>74</v>
      </c>
      <c r="AE176" t="s">
        <v>74</v>
      </c>
      <c r="AF176" t="s">
        <v>74</v>
      </c>
      <c r="AG176">
        <v>46</v>
      </c>
      <c r="AH176">
        <v>0</v>
      </c>
      <c r="AI176">
        <v>0</v>
      </c>
      <c r="AJ176">
        <v>5</v>
      </c>
      <c r="AK176">
        <v>5</v>
      </c>
      <c r="AL176" t="s">
        <v>3511</v>
      </c>
      <c r="AM176" t="s">
        <v>3512</v>
      </c>
      <c r="AN176" t="s">
        <v>3513</v>
      </c>
      <c r="AO176" t="s">
        <v>3514</v>
      </c>
      <c r="AP176" t="s">
        <v>74</v>
      </c>
      <c r="AQ176" t="s">
        <v>74</v>
      </c>
      <c r="AR176" t="s">
        <v>3515</v>
      </c>
      <c r="AS176" t="s">
        <v>3516</v>
      </c>
      <c r="AT176" t="s">
        <v>3517</v>
      </c>
      <c r="AU176">
        <v>2024</v>
      </c>
      <c r="AV176">
        <v>15</v>
      </c>
      <c r="AW176">
        <v>1</v>
      </c>
      <c r="AX176" t="s">
        <v>74</v>
      </c>
      <c r="AY176" t="s">
        <v>74</v>
      </c>
      <c r="AZ176" t="s">
        <v>456</v>
      </c>
      <c r="BA176" t="s">
        <v>74</v>
      </c>
      <c r="BB176">
        <v>163</v>
      </c>
      <c r="BC176">
        <v>179</v>
      </c>
      <c r="BD176" t="s">
        <v>74</v>
      </c>
      <c r="BE176" t="s">
        <v>3518</v>
      </c>
      <c r="BF176" t="str">
        <f>HYPERLINK("http://dx.doi.org/10.14198/MEDCOM.25508","http://dx.doi.org/10.14198/MEDCOM.25508")</f>
        <v>http://dx.doi.org/10.14198/MEDCOM.25508</v>
      </c>
      <c r="BG176" t="s">
        <v>74</v>
      </c>
      <c r="BH176" t="s">
        <v>74</v>
      </c>
      <c r="BI176">
        <v>17</v>
      </c>
      <c r="BJ176" t="s">
        <v>124</v>
      </c>
      <c r="BK176" t="s">
        <v>125</v>
      </c>
      <c r="BL176" t="s">
        <v>124</v>
      </c>
      <c r="BM176" t="s">
        <v>3519</v>
      </c>
      <c r="BN176" t="s">
        <v>74</v>
      </c>
      <c r="BO176" t="s">
        <v>552</v>
      </c>
      <c r="BP176" t="s">
        <v>74</v>
      </c>
      <c r="BQ176" t="s">
        <v>74</v>
      </c>
      <c r="BR176" t="s">
        <v>102</v>
      </c>
      <c r="BS176" t="s">
        <v>3520</v>
      </c>
      <c r="BT176" t="str">
        <f>HYPERLINK("https%3A%2F%2Fwww.webofscience.com%2Fwos%2Fwoscc%2Ffull-record%2FWOS:001248434900009","View Full Record in Web of Science")</f>
        <v>View Full Record in Web of Science</v>
      </c>
    </row>
    <row r="177" spans="1:72" x14ac:dyDescent="0.35">
      <c r="A177" t="s">
        <v>72</v>
      </c>
      <c r="B177" t="s">
        <v>3521</v>
      </c>
      <c r="C177" t="s">
        <v>74</v>
      </c>
      <c r="D177" t="s">
        <v>74</v>
      </c>
      <c r="E177" t="s">
        <v>74</v>
      </c>
      <c r="F177" t="s">
        <v>3522</v>
      </c>
      <c r="G177" t="s">
        <v>74</v>
      </c>
      <c r="H177" t="s">
        <v>74</v>
      </c>
      <c r="I177" t="s">
        <v>3523</v>
      </c>
      <c r="J177" t="s">
        <v>1603</v>
      </c>
      <c r="K177" t="s">
        <v>74</v>
      </c>
      <c r="L177" t="s">
        <v>74</v>
      </c>
      <c r="M177" t="s">
        <v>78</v>
      </c>
      <c r="N177" t="s">
        <v>108</v>
      </c>
      <c r="O177" t="s">
        <v>74</v>
      </c>
      <c r="P177" t="s">
        <v>74</v>
      </c>
      <c r="Q177" t="s">
        <v>74</v>
      </c>
      <c r="R177" t="s">
        <v>74</v>
      </c>
      <c r="S177" t="s">
        <v>74</v>
      </c>
      <c r="T177" t="s">
        <v>3524</v>
      </c>
      <c r="U177" t="s">
        <v>3525</v>
      </c>
      <c r="V177" t="s">
        <v>3526</v>
      </c>
      <c r="W177" t="s">
        <v>3527</v>
      </c>
      <c r="X177" t="s">
        <v>3528</v>
      </c>
      <c r="Y177" t="s">
        <v>3529</v>
      </c>
      <c r="Z177" t="s">
        <v>3530</v>
      </c>
      <c r="AA177" t="s">
        <v>74</v>
      </c>
      <c r="AB177" t="s">
        <v>74</v>
      </c>
      <c r="AC177" t="s">
        <v>74</v>
      </c>
      <c r="AD177" t="s">
        <v>74</v>
      </c>
      <c r="AE177" t="s">
        <v>74</v>
      </c>
      <c r="AF177" t="s">
        <v>74</v>
      </c>
      <c r="AG177">
        <v>58</v>
      </c>
      <c r="AH177">
        <v>16</v>
      </c>
      <c r="AI177">
        <v>18</v>
      </c>
      <c r="AJ177">
        <v>19</v>
      </c>
      <c r="AK177">
        <v>82</v>
      </c>
      <c r="AL177" t="s">
        <v>516</v>
      </c>
      <c r="AM177" t="s">
        <v>517</v>
      </c>
      <c r="AN177" t="s">
        <v>518</v>
      </c>
      <c r="AO177" t="s">
        <v>1612</v>
      </c>
      <c r="AP177" t="s">
        <v>1613</v>
      </c>
      <c r="AQ177" t="s">
        <v>74</v>
      </c>
      <c r="AR177" t="s">
        <v>1603</v>
      </c>
      <c r="AS177" t="s">
        <v>1614</v>
      </c>
      <c r="AT177" t="s">
        <v>455</v>
      </c>
      <c r="AU177">
        <v>2023</v>
      </c>
      <c r="AV177">
        <v>46</v>
      </c>
      <c r="AW177" t="s">
        <v>74</v>
      </c>
      <c r="AX177" t="s">
        <v>74</v>
      </c>
      <c r="AY177" t="s">
        <v>74</v>
      </c>
      <c r="AZ177" t="s">
        <v>74</v>
      </c>
      <c r="BA177" t="s">
        <v>74</v>
      </c>
      <c r="BB177">
        <v>256</v>
      </c>
      <c r="BC177">
        <v>264</v>
      </c>
      <c r="BD177" t="s">
        <v>74</v>
      </c>
      <c r="BE177" t="s">
        <v>3531</v>
      </c>
      <c r="BF177" t="str">
        <f>HYPERLINK("http://dx.doi.org/10.1016/j.bodyim.2023.06.003","http://dx.doi.org/10.1016/j.bodyim.2023.06.003")</f>
        <v>http://dx.doi.org/10.1016/j.bodyim.2023.06.003</v>
      </c>
      <c r="BG177" t="s">
        <v>74</v>
      </c>
      <c r="BH177" t="s">
        <v>1954</v>
      </c>
      <c r="BI177">
        <v>9</v>
      </c>
      <c r="BJ177" t="s">
        <v>1616</v>
      </c>
      <c r="BK177" t="s">
        <v>99</v>
      </c>
      <c r="BL177" t="s">
        <v>1617</v>
      </c>
      <c r="BM177" t="s">
        <v>3532</v>
      </c>
      <c r="BN177">
        <v>37379612</v>
      </c>
      <c r="BO177" t="s">
        <v>74</v>
      </c>
      <c r="BP177" t="s">
        <v>74</v>
      </c>
      <c r="BQ177" t="s">
        <v>74</v>
      </c>
      <c r="BR177" t="s">
        <v>102</v>
      </c>
      <c r="BS177" t="s">
        <v>3533</v>
      </c>
      <c r="BT177" t="str">
        <f>HYPERLINK("https%3A%2F%2Fwww.webofscience.com%2Fwos%2Fwoscc%2Ffull-record%2FWOS:001033171100001","View Full Record in Web of Science")</f>
        <v>View Full Record in Web of Science</v>
      </c>
    </row>
    <row r="178" spans="1:72" x14ac:dyDescent="0.35">
      <c r="A178" t="s">
        <v>72</v>
      </c>
      <c r="B178" t="s">
        <v>3534</v>
      </c>
      <c r="C178" t="s">
        <v>74</v>
      </c>
      <c r="D178" t="s">
        <v>74</v>
      </c>
      <c r="E178" t="s">
        <v>74</v>
      </c>
      <c r="F178" t="s">
        <v>3535</v>
      </c>
      <c r="G178" t="s">
        <v>74</v>
      </c>
      <c r="H178" t="s">
        <v>74</v>
      </c>
      <c r="I178" t="s">
        <v>3536</v>
      </c>
      <c r="J178" t="s">
        <v>3537</v>
      </c>
      <c r="K178" t="s">
        <v>74</v>
      </c>
      <c r="L178" t="s">
        <v>74</v>
      </c>
      <c r="M178" t="s">
        <v>78</v>
      </c>
      <c r="N178" t="s">
        <v>108</v>
      </c>
      <c r="O178" t="s">
        <v>74</v>
      </c>
      <c r="P178" t="s">
        <v>74</v>
      </c>
      <c r="Q178" t="s">
        <v>74</v>
      </c>
      <c r="R178" t="s">
        <v>74</v>
      </c>
      <c r="S178" t="s">
        <v>74</v>
      </c>
      <c r="T178" t="s">
        <v>3538</v>
      </c>
      <c r="U178" t="s">
        <v>3539</v>
      </c>
      <c r="V178" t="s">
        <v>3540</v>
      </c>
      <c r="W178" t="s">
        <v>3541</v>
      </c>
      <c r="X178" t="s">
        <v>3542</v>
      </c>
      <c r="Y178" t="s">
        <v>3543</v>
      </c>
      <c r="Z178" t="s">
        <v>3544</v>
      </c>
      <c r="AA178" t="s">
        <v>3545</v>
      </c>
      <c r="AB178" t="s">
        <v>3546</v>
      </c>
      <c r="AC178" t="s">
        <v>3547</v>
      </c>
      <c r="AD178" t="s">
        <v>3548</v>
      </c>
      <c r="AE178" t="s">
        <v>3549</v>
      </c>
      <c r="AF178" t="s">
        <v>74</v>
      </c>
      <c r="AG178">
        <v>32</v>
      </c>
      <c r="AH178">
        <v>3</v>
      </c>
      <c r="AI178">
        <v>3</v>
      </c>
      <c r="AJ178">
        <v>10</v>
      </c>
      <c r="AK178">
        <v>76</v>
      </c>
      <c r="AL178" t="s">
        <v>88</v>
      </c>
      <c r="AM178" t="s">
        <v>89</v>
      </c>
      <c r="AN178" t="s">
        <v>90</v>
      </c>
      <c r="AO178" t="s">
        <v>3550</v>
      </c>
      <c r="AP178" t="s">
        <v>3551</v>
      </c>
      <c r="AQ178" t="s">
        <v>74</v>
      </c>
      <c r="AR178" t="s">
        <v>3552</v>
      </c>
      <c r="AS178" t="s">
        <v>3553</v>
      </c>
      <c r="AT178" t="s">
        <v>3554</v>
      </c>
      <c r="AU178">
        <v>2023</v>
      </c>
      <c r="AV178">
        <v>31</v>
      </c>
      <c r="AW178">
        <v>3</v>
      </c>
      <c r="AX178" t="s">
        <v>74</v>
      </c>
      <c r="AY178" t="s">
        <v>74</v>
      </c>
      <c r="AZ178" t="s">
        <v>74</v>
      </c>
      <c r="BA178" t="s">
        <v>74</v>
      </c>
      <c r="BB178">
        <v>711</v>
      </c>
      <c r="BC178">
        <v>728</v>
      </c>
      <c r="BD178" t="s">
        <v>74</v>
      </c>
      <c r="BE178" t="s">
        <v>3555</v>
      </c>
      <c r="BF178" t="str">
        <f>HYPERLINK("http://dx.doi.org/10.1080/19761597.2022.2148704","http://dx.doi.org/10.1080/19761597.2022.2148704")</f>
        <v>http://dx.doi.org/10.1080/19761597.2022.2148704</v>
      </c>
      <c r="BG178" t="s">
        <v>74</v>
      </c>
      <c r="BH178" t="s">
        <v>366</v>
      </c>
      <c r="BI178">
        <v>18</v>
      </c>
      <c r="BJ178" t="s">
        <v>3556</v>
      </c>
      <c r="BK178" t="s">
        <v>99</v>
      </c>
      <c r="BL178" t="s">
        <v>480</v>
      </c>
      <c r="BM178" t="s">
        <v>3557</v>
      </c>
      <c r="BN178" t="s">
        <v>74</v>
      </c>
      <c r="BO178" t="s">
        <v>74</v>
      </c>
      <c r="BP178" t="s">
        <v>74</v>
      </c>
      <c r="BQ178" t="s">
        <v>74</v>
      </c>
      <c r="BR178" t="s">
        <v>102</v>
      </c>
      <c r="BS178" t="s">
        <v>3558</v>
      </c>
      <c r="BT178" t="str">
        <f>HYPERLINK("https%3A%2F%2Fwww.webofscience.com%2Fwos%2Fwoscc%2Ffull-record%2FWOS:000889486900001","View Full Record in Web of Science")</f>
        <v>View Full Record in Web of Science</v>
      </c>
    </row>
    <row r="179" spans="1:72" x14ac:dyDescent="0.35">
      <c r="A179" t="s">
        <v>72</v>
      </c>
      <c r="B179" t="s">
        <v>3559</v>
      </c>
      <c r="C179" t="s">
        <v>74</v>
      </c>
      <c r="D179" t="s">
        <v>74</v>
      </c>
      <c r="E179" t="s">
        <v>74</v>
      </c>
      <c r="F179" t="s">
        <v>3560</v>
      </c>
      <c r="G179" t="s">
        <v>74</v>
      </c>
      <c r="H179" t="s">
        <v>74</v>
      </c>
      <c r="I179" t="s">
        <v>3561</v>
      </c>
      <c r="J179" t="s">
        <v>3562</v>
      </c>
      <c r="K179" t="s">
        <v>74</v>
      </c>
      <c r="L179" t="s">
        <v>74</v>
      </c>
      <c r="M179" t="s">
        <v>78</v>
      </c>
      <c r="N179" t="s">
        <v>108</v>
      </c>
      <c r="O179" t="s">
        <v>74</v>
      </c>
      <c r="P179" t="s">
        <v>74</v>
      </c>
      <c r="Q179" t="s">
        <v>74</v>
      </c>
      <c r="R179" t="s">
        <v>74</v>
      </c>
      <c r="S179" t="s">
        <v>74</v>
      </c>
      <c r="T179" t="s">
        <v>3563</v>
      </c>
      <c r="U179" t="s">
        <v>3564</v>
      </c>
      <c r="V179" t="s">
        <v>3565</v>
      </c>
      <c r="W179" t="s">
        <v>3566</v>
      </c>
      <c r="X179" t="s">
        <v>3567</v>
      </c>
      <c r="Y179" t="s">
        <v>3568</v>
      </c>
      <c r="Z179" t="s">
        <v>3569</v>
      </c>
      <c r="AA179" t="s">
        <v>74</v>
      </c>
      <c r="AB179" t="s">
        <v>3570</v>
      </c>
      <c r="AC179" t="s">
        <v>3571</v>
      </c>
      <c r="AD179" t="s">
        <v>3572</v>
      </c>
      <c r="AE179" t="s">
        <v>3573</v>
      </c>
      <c r="AF179" t="s">
        <v>74</v>
      </c>
      <c r="AG179">
        <v>18</v>
      </c>
      <c r="AH179">
        <v>1</v>
      </c>
      <c r="AI179">
        <v>1</v>
      </c>
      <c r="AJ179">
        <v>0</v>
      </c>
      <c r="AK179">
        <v>0</v>
      </c>
      <c r="AL179" t="s">
        <v>251</v>
      </c>
      <c r="AM179" t="s">
        <v>252</v>
      </c>
      <c r="AN179" t="s">
        <v>253</v>
      </c>
      <c r="AO179" t="s">
        <v>3574</v>
      </c>
      <c r="AP179" t="s">
        <v>3575</v>
      </c>
      <c r="AQ179" t="s">
        <v>74</v>
      </c>
      <c r="AR179" t="s">
        <v>3576</v>
      </c>
      <c r="AS179" t="s">
        <v>3577</v>
      </c>
      <c r="AT179" t="s">
        <v>523</v>
      </c>
      <c r="AU179">
        <v>2024</v>
      </c>
      <c r="AV179">
        <v>43</v>
      </c>
      <c r="AW179">
        <v>8</v>
      </c>
      <c r="AX179" t="s">
        <v>74</v>
      </c>
      <c r="AY179" t="s">
        <v>74</v>
      </c>
      <c r="AZ179" t="s">
        <v>74</v>
      </c>
      <c r="BA179" t="s">
        <v>74</v>
      </c>
      <c r="BB179">
        <v>1956</v>
      </c>
      <c r="BC179">
        <v>1961</v>
      </c>
      <c r="BD179" t="s">
        <v>74</v>
      </c>
      <c r="BE179" t="s">
        <v>3578</v>
      </c>
      <c r="BF179" t="str">
        <f>HYPERLINK("http://dx.doi.org/10.1002/nau.25519","http://dx.doi.org/10.1002/nau.25519")</f>
        <v>http://dx.doi.org/10.1002/nau.25519</v>
      </c>
      <c r="BG179" t="s">
        <v>74</v>
      </c>
      <c r="BH179" t="s">
        <v>500</v>
      </c>
      <c r="BI179">
        <v>6</v>
      </c>
      <c r="BJ179" t="s">
        <v>1908</v>
      </c>
      <c r="BK179" t="s">
        <v>209</v>
      </c>
      <c r="BL179" t="s">
        <v>1908</v>
      </c>
      <c r="BM179" t="s">
        <v>3579</v>
      </c>
      <c r="BN179">
        <v>38828831</v>
      </c>
      <c r="BO179" t="s">
        <v>74</v>
      </c>
      <c r="BP179" t="s">
        <v>74</v>
      </c>
      <c r="BQ179" t="s">
        <v>74</v>
      </c>
      <c r="BR179" t="s">
        <v>102</v>
      </c>
      <c r="BS179" t="s">
        <v>3580</v>
      </c>
      <c r="BT179" t="str">
        <f>HYPERLINK("https%3A%2F%2Fwww.webofscience.com%2Fwos%2Fwoscc%2Ffull-record%2FWOS:001237632900001","View Full Record in Web of Science")</f>
        <v>View Full Record in Web of Science</v>
      </c>
    </row>
    <row r="180" spans="1:72" x14ac:dyDescent="0.35">
      <c r="A180" t="s">
        <v>72</v>
      </c>
      <c r="B180" t="s">
        <v>3581</v>
      </c>
      <c r="C180" t="s">
        <v>74</v>
      </c>
      <c r="D180" t="s">
        <v>74</v>
      </c>
      <c r="E180" t="s">
        <v>74</v>
      </c>
      <c r="F180" t="s">
        <v>3582</v>
      </c>
      <c r="G180" t="s">
        <v>74</v>
      </c>
      <c r="H180" t="s">
        <v>74</v>
      </c>
      <c r="I180" t="s">
        <v>3583</v>
      </c>
      <c r="J180" t="s">
        <v>3584</v>
      </c>
      <c r="K180" t="s">
        <v>74</v>
      </c>
      <c r="L180" t="s">
        <v>74</v>
      </c>
      <c r="M180" t="s">
        <v>78</v>
      </c>
      <c r="N180" t="s">
        <v>374</v>
      </c>
      <c r="O180" t="s">
        <v>74</v>
      </c>
      <c r="P180" t="s">
        <v>74</v>
      </c>
      <c r="Q180" t="s">
        <v>74</v>
      </c>
      <c r="R180" t="s">
        <v>74</v>
      </c>
      <c r="S180" t="s">
        <v>74</v>
      </c>
      <c r="T180" t="s">
        <v>3585</v>
      </c>
      <c r="U180" t="s">
        <v>3586</v>
      </c>
      <c r="V180" t="s">
        <v>3587</v>
      </c>
      <c r="W180" t="s">
        <v>3588</v>
      </c>
      <c r="X180" t="s">
        <v>3589</v>
      </c>
      <c r="Y180" t="s">
        <v>3590</v>
      </c>
      <c r="Z180" t="s">
        <v>3591</v>
      </c>
      <c r="AA180" t="s">
        <v>3592</v>
      </c>
      <c r="AB180" t="s">
        <v>3593</v>
      </c>
      <c r="AC180" t="s">
        <v>74</v>
      </c>
      <c r="AD180" t="s">
        <v>74</v>
      </c>
      <c r="AE180" t="s">
        <v>74</v>
      </c>
      <c r="AF180" t="s">
        <v>74</v>
      </c>
      <c r="AG180">
        <v>65</v>
      </c>
      <c r="AH180">
        <v>5</v>
      </c>
      <c r="AI180">
        <v>6</v>
      </c>
      <c r="AJ180">
        <v>13</v>
      </c>
      <c r="AK180">
        <v>46</v>
      </c>
      <c r="AL180" t="s">
        <v>1195</v>
      </c>
      <c r="AM180" t="s">
        <v>1196</v>
      </c>
      <c r="AN180" t="s">
        <v>1197</v>
      </c>
      <c r="AO180" t="s">
        <v>74</v>
      </c>
      <c r="AP180" t="s">
        <v>3594</v>
      </c>
      <c r="AQ180" t="s">
        <v>74</v>
      </c>
      <c r="AR180" t="s">
        <v>3595</v>
      </c>
      <c r="AS180" t="s">
        <v>3596</v>
      </c>
      <c r="AT180" t="s">
        <v>1275</v>
      </c>
      <c r="AU180">
        <v>2022</v>
      </c>
      <c r="AV180">
        <v>14</v>
      </c>
      <c r="AW180">
        <v>24</v>
      </c>
      <c r="AX180" t="s">
        <v>74</v>
      </c>
      <c r="AY180" t="s">
        <v>74</v>
      </c>
      <c r="AZ180" t="s">
        <v>74</v>
      </c>
      <c r="BA180" t="s">
        <v>74</v>
      </c>
      <c r="BB180" t="s">
        <v>74</v>
      </c>
      <c r="BC180" t="s">
        <v>74</v>
      </c>
      <c r="BD180">
        <v>16876</v>
      </c>
      <c r="BE180" t="s">
        <v>3597</v>
      </c>
      <c r="BF180" t="str">
        <f>HYPERLINK("http://dx.doi.org/10.3390/su142416876","http://dx.doi.org/10.3390/su142416876")</f>
        <v>http://dx.doi.org/10.3390/su142416876</v>
      </c>
      <c r="BG180" t="s">
        <v>74</v>
      </c>
      <c r="BH180" t="s">
        <v>74</v>
      </c>
      <c r="BI180">
        <v>22</v>
      </c>
      <c r="BJ180" t="s">
        <v>3598</v>
      </c>
      <c r="BK180" t="s">
        <v>182</v>
      </c>
      <c r="BL180" t="s">
        <v>3599</v>
      </c>
      <c r="BM180" t="s">
        <v>3600</v>
      </c>
      <c r="BN180" t="s">
        <v>74</v>
      </c>
      <c r="BO180" t="s">
        <v>235</v>
      </c>
      <c r="BP180" t="s">
        <v>74</v>
      </c>
      <c r="BQ180" t="s">
        <v>74</v>
      </c>
      <c r="BR180" t="s">
        <v>102</v>
      </c>
      <c r="BS180" t="s">
        <v>3601</v>
      </c>
      <c r="BT180" t="str">
        <f>HYPERLINK("https%3A%2F%2Fwww.webofscience.com%2Fwos%2Fwoscc%2Ffull-record%2FWOS:000904226600001","View Full Record in Web of Science")</f>
        <v>View Full Record in Web of Science</v>
      </c>
    </row>
    <row r="181" spans="1:72" x14ac:dyDescent="0.35">
      <c r="A181" t="s">
        <v>72</v>
      </c>
      <c r="B181" t="s">
        <v>3602</v>
      </c>
      <c r="C181" t="s">
        <v>74</v>
      </c>
      <c r="D181" t="s">
        <v>74</v>
      </c>
      <c r="E181" t="s">
        <v>74</v>
      </c>
      <c r="F181" t="s">
        <v>3603</v>
      </c>
      <c r="G181" t="s">
        <v>74</v>
      </c>
      <c r="H181" t="s">
        <v>74</v>
      </c>
      <c r="I181" t="s">
        <v>3604</v>
      </c>
      <c r="J181" t="s">
        <v>1186</v>
      </c>
      <c r="K181" t="s">
        <v>74</v>
      </c>
      <c r="L181" t="s">
        <v>74</v>
      </c>
      <c r="M181" t="s">
        <v>78</v>
      </c>
      <c r="N181" t="s">
        <v>108</v>
      </c>
      <c r="O181" t="s">
        <v>74</v>
      </c>
      <c r="P181" t="s">
        <v>74</v>
      </c>
      <c r="Q181" t="s">
        <v>74</v>
      </c>
      <c r="R181" t="s">
        <v>74</v>
      </c>
      <c r="S181" t="s">
        <v>74</v>
      </c>
      <c r="T181" t="s">
        <v>3605</v>
      </c>
      <c r="U181" t="s">
        <v>3606</v>
      </c>
      <c r="V181" t="s">
        <v>3607</v>
      </c>
      <c r="W181" t="s">
        <v>3608</v>
      </c>
      <c r="X181" t="s">
        <v>3609</v>
      </c>
      <c r="Y181" t="s">
        <v>3610</v>
      </c>
      <c r="Z181" t="s">
        <v>3611</v>
      </c>
      <c r="AA181" t="s">
        <v>3612</v>
      </c>
      <c r="AB181" t="s">
        <v>74</v>
      </c>
      <c r="AC181" t="s">
        <v>3613</v>
      </c>
      <c r="AD181" t="s">
        <v>3614</v>
      </c>
      <c r="AE181" t="s">
        <v>3615</v>
      </c>
      <c r="AF181" t="s">
        <v>74</v>
      </c>
      <c r="AG181">
        <v>54</v>
      </c>
      <c r="AH181">
        <v>23</v>
      </c>
      <c r="AI181">
        <v>25</v>
      </c>
      <c r="AJ181">
        <v>17</v>
      </c>
      <c r="AK181">
        <v>292</v>
      </c>
      <c r="AL181" t="s">
        <v>1195</v>
      </c>
      <c r="AM181" t="s">
        <v>1196</v>
      </c>
      <c r="AN181" t="s">
        <v>1197</v>
      </c>
      <c r="AO181" t="s">
        <v>74</v>
      </c>
      <c r="AP181" t="s">
        <v>1198</v>
      </c>
      <c r="AQ181" t="s">
        <v>74</v>
      </c>
      <c r="AR181" t="s">
        <v>1199</v>
      </c>
      <c r="AS181" t="s">
        <v>1200</v>
      </c>
      <c r="AT181" t="s">
        <v>297</v>
      </c>
      <c r="AU181">
        <v>2021</v>
      </c>
      <c r="AV181">
        <v>18</v>
      </c>
      <c r="AW181">
        <v>16</v>
      </c>
      <c r="AX181" t="s">
        <v>74</v>
      </c>
      <c r="AY181" t="s">
        <v>74</v>
      </c>
      <c r="AZ181" t="s">
        <v>74</v>
      </c>
      <c r="BA181" t="s">
        <v>74</v>
      </c>
      <c r="BB181" t="s">
        <v>74</v>
      </c>
      <c r="BC181" t="s">
        <v>74</v>
      </c>
      <c r="BD181">
        <v>8820</v>
      </c>
      <c r="BE181" t="s">
        <v>3616</v>
      </c>
      <c r="BF181" t="str">
        <f>HYPERLINK("http://dx.doi.org/10.3390/ijerph18168820","http://dx.doi.org/10.3390/ijerph18168820")</f>
        <v>http://dx.doi.org/10.3390/ijerph18168820</v>
      </c>
      <c r="BG181" t="s">
        <v>74</v>
      </c>
      <c r="BH181" t="s">
        <v>74</v>
      </c>
      <c r="BI181">
        <v>11</v>
      </c>
      <c r="BJ181" t="s">
        <v>1202</v>
      </c>
      <c r="BK181" t="s">
        <v>182</v>
      </c>
      <c r="BL181" t="s">
        <v>1203</v>
      </c>
      <c r="BM181" t="s">
        <v>3617</v>
      </c>
      <c r="BN181">
        <v>34444569</v>
      </c>
      <c r="BO181" t="s">
        <v>552</v>
      </c>
      <c r="BP181" t="s">
        <v>74</v>
      </c>
      <c r="BQ181" t="s">
        <v>74</v>
      </c>
      <c r="BR181" t="s">
        <v>102</v>
      </c>
      <c r="BS181" t="s">
        <v>3618</v>
      </c>
      <c r="BT181" t="str">
        <f>HYPERLINK("https%3A%2F%2Fwww.webofscience.com%2Fwos%2Fwoscc%2Ffull-record%2FWOS:000689188500001","View Full Record in Web of Science")</f>
        <v>View Full Record in Web of Science</v>
      </c>
    </row>
    <row r="182" spans="1:72" x14ac:dyDescent="0.35">
      <c r="A182" t="s">
        <v>72</v>
      </c>
      <c r="B182" t="s">
        <v>3619</v>
      </c>
      <c r="C182" t="s">
        <v>74</v>
      </c>
      <c r="D182" t="s">
        <v>74</v>
      </c>
      <c r="E182" t="s">
        <v>74</v>
      </c>
      <c r="F182" t="s">
        <v>3620</v>
      </c>
      <c r="G182" t="s">
        <v>74</v>
      </c>
      <c r="H182" t="s">
        <v>74</v>
      </c>
      <c r="I182" t="s">
        <v>3621</v>
      </c>
      <c r="J182" t="s">
        <v>3622</v>
      </c>
      <c r="K182" t="s">
        <v>74</v>
      </c>
      <c r="L182" t="s">
        <v>74</v>
      </c>
      <c r="M182" t="s">
        <v>78</v>
      </c>
      <c r="N182" t="s">
        <v>108</v>
      </c>
      <c r="O182" t="s">
        <v>74</v>
      </c>
      <c r="P182" t="s">
        <v>74</v>
      </c>
      <c r="Q182" t="s">
        <v>74</v>
      </c>
      <c r="R182" t="s">
        <v>74</v>
      </c>
      <c r="S182" t="s">
        <v>74</v>
      </c>
      <c r="T182" t="s">
        <v>3623</v>
      </c>
      <c r="U182" t="s">
        <v>3624</v>
      </c>
      <c r="V182" t="s">
        <v>3625</v>
      </c>
      <c r="W182" t="s">
        <v>3626</v>
      </c>
      <c r="X182" t="s">
        <v>3627</v>
      </c>
      <c r="Y182" t="s">
        <v>3628</v>
      </c>
      <c r="Z182" t="s">
        <v>3629</v>
      </c>
      <c r="AA182" t="s">
        <v>3630</v>
      </c>
      <c r="AB182" t="s">
        <v>3631</v>
      </c>
      <c r="AC182" t="s">
        <v>74</v>
      </c>
      <c r="AD182" t="s">
        <v>74</v>
      </c>
      <c r="AE182" t="s">
        <v>74</v>
      </c>
      <c r="AF182" t="s">
        <v>74</v>
      </c>
      <c r="AG182">
        <v>68</v>
      </c>
      <c r="AH182">
        <v>7</v>
      </c>
      <c r="AI182">
        <v>7</v>
      </c>
      <c r="AJ182">
        <v>15</v>
      </c>
      <c r="AK182">
        <v>36</v>
      </c>
      <c r="AL182" t="s">
        <v>3632</v>
      </c>
      <c r="AM182" t="s">
        <v>291</v>
      </c>
      <c r="AN182" t="s">
        <v>3633</v>
      </c>
      <c r="AO182" t="s">
        <v>3634</v>
      </c>
      <c r="AP182" t="s">
        <v>74</v>
      </c>
      <c r="AQ182" t="s">
        <v>74</v>
      </c>
      <c r="AR182" t="s">
        <v>3635</v>
      </c>
      <c r="AS182" t="s">
        <v>3636</v>
      </c>
      <c r="AT182" t="s">
        <v>257</v>
      </c>
      <c r="AU182">
        <v>2023</v>
      </c>
      <c r="AV182">
        <v>32</v>
      </c>
      <c r="AW182" t="s">
        <v>74</v>
      </c>
      <c r="AX182" t="s">
        <v>74</v>
      </c>
      <c r="AY182" t="s">
        <v>74</v>
      </c>
      <c r="AZ182" t="s">
        <v>74</v>
      </c>
      <c r="BA182" t="s">
        <v>74</v>
      </c>
      <c r="BB182" t="s">
        <v>74</v>
      </c>
      <c r="BC182" t="s">
        <v>74</v>
      </c>
      <c r="BD182">
        <v>100415</v>
      </c>
      <c r="BE182" t="s">
        <v>3637</v>
      </c>
      <c r="BF182" t="str">
        <f>HYPERLINK("http://dx.doi.org/10.1016/j.jhlste.2022.100415","http://dx.doi.org/10.1016/j.jhlste.2022.100415")</f>
        <v>http://dx.doi.org/10.1016/j.jhlste.2022.100415</v>
      </c>
      <c r="BG182" t="s">
        <v>74</v>
      </c>
      <c r="BH182" t="s">
        <v>3638</v>
      </c>
      <c r="BI182">
        <v>10</v>
      </c>
      <c r="BJ182" t="s">
        <v>3639</v>
      </c>
      <c r="BK182" t="s">
        <v>99</v>
      </c>
      <c r="BL182" t="s">
        <v>3640</v>
      </c>
      <c r="BM182" t="s">
        <v>3641</v>
      </c>
      <c r="BN182" t="s">
        <v>74</v>
      </c>
      <c r="BO182" t="s">
        <v>767</v>
      </c>
      <c r="BP182" t="s">
        <v>74</v>
      </c>
      <c r="BQ182" t="s">
        <v>74</v>
      </c>
      <c r="BR182" t="s">
        <v>102</v>
      </c>
      <c r="BS182" t="s">
        <v>3642</v>
      </c>
      <c r="BT182" t="str">
        <f>HYPERLINK("https%3A%2F%2Fwww.webofscience.com%2Fwos%2Fwoscc%2Ffull-record%2FWOS:001009480800001","View Full Record in Web of Science")</f>
        <v>View Full Record in Web of Science</v>
      </c>
    </row>
    <row r="183" spans="1:72" x14ac:dyDescent="0.35">
      <c r="A183" t="s">
        <v>72</v>
      </c>
      <c r="B183" t="s">
        <v>3643</v>
      </c>
      <c r="C183" t="s">
        <v>74</v>
      </c>
      <c r="D183" t="s">
        <v>74</v>
      </c>
      <c r="E183" t="s">
        <v>74</v>
      </c>
      <c r="F183" t="s">
        <v>3644</v>
      </c>
      <c r="G183" t="s">
        <v>74</v>
      </c>
      <c r="H183" t="s">
        <v>74</v>
      </c>
      <c r="I183" t="s">
        <v>3645</v>
      </c>
      <c r="J183" t="s">
        <v>3646</v>
      </c>
      <c r="K183" t="s">
        <v>74</v>
      </c>
      <c r="L183" t="s">
        <v>74</v>
      </c>
      <c r="M183" t="s">
        <v>78</v>
      </c>
      <c r="N183" t="s">
        <v>108</v>
      </c>
      <c r="O183" t="s">
        <v>74</v>
      </c>
      <c r="P183" t="s">
        <v>74</v>
      </c>
      <c r="Q183" t="s">
        <v>74</v>
      </c>
      <c r="R183" t="s">
        <v>74</v>
      </c>
      <c r="S183" t="s">
        <v>74</v>
      </c>
      <c r="T183" t="s">
        <v>3647</v>
      </c>
      <c r="U183" t="s">
        <v>3648</v>
      </c>
      <c r="V183" t="s">
        <v>3649</v>
      </c>
      <c r="W183" t="s">
        <v>3650</v>
      </c>
      <c r="X183" t="s">
        <v>3651</v>
      </c>
      <c r="Y183" t="s">
        <v>3652</v>
      </c>
      <c r="Z183" t="s">
        <v>3653</v>
      </c>
      <c r="AA183" t="s">
        <v>3654</v>
      </c>
      <c r="AB183" t="s">
        <v>3655</v>
      </c>
      <c r="AC183" t="s">
        <v>3656</v>
      </c>
      <c r="AD183" t="s">
        <v>3656</v>
      </c>
      <c r="AE183" t="s">
        <v>3657</v>
      </c>
      <c r="AF183" t="s">
        <v>74</v>
      </c>
      <c r="AG183">
        <v>57</v>
      </c>
      <c r="AH183">
        <v>0</v>
      </c>
      <c r="AI183">
        <v>0</v>
      </c>
      <c r="AJ183">
        <v>1</v>
      </c>
      <c r="AK183">
        <v>7</v>
      </c>
      <c r="AL183" t="s">
        <v>88</v>
      </c>
      <c r="AM183" t="s">
        <v>89</v>
      </c>
      <c r="AN183" t="s">
        <v>90</v>
      </c>
      <c r="AO183" t="s">
        <v>3658</v>
      </c>
      <c r="AP183" t="s">
        <v>3659</v>
      </c>
      <c r="AQ183" t="s">
        <v>74</v>
      </c>
      <c r="AR183" t="s">
        <v>3660</v>
      </c>
      <c r="AS183" t="s">
        <v>3661</v>
      </c>
      <c r="AT183" t="s">
        <v>3662</v>
      </c>
      <c r="AU183">
        <v>2024</v>
      </c>
      <c r="AV183">
        <v>56</v>
      </c>
      <c r="AW183">
        <v>59</v>
      </c>
      <c r="AX183" t="s">
        <v>74</v>
      </c>
      <c r="AY183" t="s">
        <v>74</v>
      </c>
      <c r="AZ183" t="s">
        <v>74</v>
      </c>
      <c r="BA183" t="s">
        <v>74</v>
      </c>
      <c r="BB183">
        <v>8951</v>
      </c>
      <c r="BC183">
        <v>8966</v>
      </c>
      <c r="BD183" t="s">
        <v>74</v>
      </c>
      <c r="BE183" t="s">
        <v>3663</v>
      </c>
      <c r="BF183" t="str">
        <f>HYPERLINK("http://dx.doi.org/10.1080/00036846.2023.2295307","http://dx.doi.org/10.1080/00036846.2023.2295307")</f>
        <v>http://dx.doi.org/10.1080/00036846.2023.2295307</v>
      </c>
      <c r="BG183" t="s">
        <v>74</v>
      </c>
      <c r="BH183" t="s">
        <v>1449</v>
      </c>
      <c r="BI183">
        <v>16</v>
      </c>
      <c r="BJ183" t="s">
        <v>675</v>
      </c>
      <c r="BK183" t="s">
        <v>99</v>
      </c>
      <c r="BL183" t="s">
        <v>480</v>
      </c>
      <c r="BM183" t="s">
        <v>3664</v>
      </c>
      <c r="BN183" t="s">
        <v>74</v>
      </c>
      <c r="BO183" t="s">
        <v>156</v>
      </c>
      <c r="BP183" t="s">
        <v>74</v>
      </c>
      <c r="BQ183" t="s">
        <v>74</v>
      </c>
      <c r="BR183" t="s">
        <v>102</v>
      </c>
      <c r="BS183" t="s">
        <v>3665</v>
      </c>
      <c r="BT183" t="str">
        <f>HYPERLINK("https%3A%2F%2Fwww.webofscience.com%2Fwos%2Fwoscc%2Ffull-record%2FWOS:001128554700001","View Full Record in Web of Science")</f>
        <v>View Full Record in Web of Science</v>
      </c>
    </row>
    <row r="184" spans="1:72" x14ac:dyDescent="0.35">
      <c r="A184" t="s">
        <v>72</v>
      </c>
      <c r="B184" t="s">
        <v>3666</v>
      </c>
      <c r="C184" t="s">
        <v>74</v>
      </c>
      <c r="D184" t="s">
        <v>74</v>
      </c>
      <c r="E184" t="s">
        <v>74</v>
      </c>
      <c r="F184" t="s">
        <v>3667</v>
      </c>
      <c r="G184" t="s">
        <v>74</v>
      </c>
      <c r="H184" t="s">
        <v>74</v>
      </c>
      <c r="I184" t="s">
        <v>3668</v>
      </c>
      <c r="J184" t="s">
        <v>3669</v>
      </c>
      <c r="K184" t="s">
        <v>74</v>
      </c>
      <c r="L184" t="s">
        <v>74</v>
      </c>
      <c r="M184" t="s">
        <v>78</v>
      </c>
      <c r="N184" t="s">
        <v>108</v>
      </c>
      <c r="O184" t="s">
        <v>74</v>
      </c>
      <c r="P184" t="s">
        <v>74</v>
      </c>
      <c r="Q184" t="s">
        <v>74</v>
      </c>
      <c r="R184" t="s">
        <v>74</v>
      </c>
      <c r="S184" t="s">
        <v>74</v>
      </c>
      <c r="T184" t="s">
        <v>3670</v>
      </c>
      <c r="U184" t="s">
        <v>3671</v>
      </c>
      <c r="V184" t="s">
        <v>3672</v>
      </c>
      <c r="W184" t="s">
        <v>3673</v>
      </c>
      <c r="X184" t="s">
        <v>3674</v>
      </c>
      <c r="Y184" t="s">
        <v>3675</v>
      </c>
      <c r="Z184" t="s">
        <v>3676</v>
      </c>
      <c r="AA184" t="s">
        <v>2918</v>
      </c>
      <c r="AB184" t="s">
        <v>2919</v>
      </c>
      <c r="AC184" t="s">
        <v>74</v>
      </c>
      <c r="AD184" t="s">
        <v>74</v>
      </c>
      <c r="AE184" t="s">
        <v>3677</v>
      </c>
      <c r="AF184" t="s">
        <v>74</v>
      </c>
      <c r="AG184">
        <v>199</v>
      </c>
      <c r="AH184">
        <v>3</v>
      </c>
      <c r="AI184">
        <v>3</v>
      </c>
      <c r="AJ184">
        <v>18</v>
      </c>
      <c r="AK184">
        <v>18</v>
      </c>
      <c r="AL184" t="s">
        <v>516</v>
      </c>
      <c r="AM184" t="s">
        <v>517</v>
      </c>
      <c r="AN184" t="s">
        <v>518</v>
      </c>
      <c r="AO184" t="s">
        <v>74</v>
      </c>
      <c r="AP184" t="s">
        <v>3678</v>
      </c>
      <c r="AQ184" t="s">
        <v>74</v>
      </c>
      <c r="AR184" t="s">
        <v>3679</v>
      </c>
      <c r="AS184" t="s">
        <v>3680</v>
      </c>
      <c r="AT184" t="s">
        <v>257</v>
      </c>
      <c r="AU184">
        <v>2024</v>
      </c>
      <c r="AV184">
        <v>4</v>
      </c>
      <c r="AW184">
        <v>1</v>
      </c>
      <c r="AX184" t="s">
        <v>74</v>
      </c>
      <c r="AY184" t="s">
        <v>74</v>
      </c>
      <c r="AZ184" t="s">
        <v>74</v>
      </c>
      <c r="BA184" t="s">
        <v>74</v>
      </c>
      <c r="BB184" t="s">
        <v>74</v>
      </c>
      <c r="BC184" t="s">
        <v>74</v>
      </c>
      <c r="BD184">
        <v>100075</v>
      </c>
      <c r="BE184" t="s">
        <v>3681</v>
      </c>
      <c r="BF184" t="str">
        <f>HYPERLINK("http://dx.doi.org/10.1016/j.digbus.2024.100075","http://dx.doi.org/10.1016/j.digbus.2024.100075")</f>
        <v>http://dx.doi.org/10.1016/j.digbus.2024.100075</v>
      </c>
      <c r="BG184" t="s">
        <v>74</v>
      </c>
      <c r="BH184" t="s">
        <v>786</v>
      </c>
      <c r="BI184">
        <v>23</v>
      </c>
      <c r="BJ184" t="s">
        <v>479</v>
      </c>
      <c r="BK184" t="s">
        <v>125</v>
      </c>
      <c r="BL184" t="s">
        <v>480</v>
      </c>
      <c r="BM184" t="s">
        <v>3682</v>
      </c>
      <c r="BN184" t="s">
        <v>74</v>
      </c>
      <c r="BO184" t="s">
        <v>235</v>
      </c>
      <c r="BP184" t="s">
        <v>74</v>
      </c>
      <c r="BQ184" t="s">
        <v>74</v>
      </c>
      <c r="BR184" t="s">
        <v>102</v>
      </c>
      <c r="BS184" t="s">
        <v>3683</v>
      </c>
      <c r="BT184" t="str">
        <f>HYPERLINK("https%3A%2F%2Fwww.webofscience.com%2Fwos%2Fwoscc%2Ffull-record%2FWOS:001302753500001","View Full Record in Web of Science")</f>
        <v>View Full Record in Web of Science</v>
      </c>
    </row>
    <row r="185" spans="1:72" x14ac:dyDescent="0.35">
      <c r="A185" t="s">
        <v>72</v>
      </c>
      <c r="B185" t="s">
        <v>3684</v>
      </c>
      <c r="C185" t="s">
        <v>74</v>
      </c>
      <c r="D185" t="s">
        <v>74</v>
      </c>
      <c r="E185" t="s">
        <v>74</v>
      </c>
      <c r="F185" t="s">
        <v>3685</v>
      </c>
      <c r="G185" t="s">
        <v>74</v>
      </c>
      <c r="H185" t="s">
        <v>74</v>
      </c>
      <c r="I185" t="s">
        <v>3686</v>
      </c>
      <c r="J185" t="s">
        <v>3687</v>
      </c>
      <c r="K185" t="s">
        <v>74</v>
      </c>
      <c r="L185" t="s">
        <v>74</v>
      </c>
      <c r="M185" t="s">
        <v>78</v>
      </c>
      <c r="N185" t="s">
        <v>79</v>
      </c>
      <c r="O185" t="s">
        <v>74</v>
      </c>
      <c r="P185" t="s">
        <v>74</v>
      </c>
      <c r="Q185" t="s">
        <v>74</v>
      </c>
      <c r="R185" t="s">
        <v>74</v>
      </c>
      <c r="S185" t="s">
        <v>74</v>
      </c>
      <c r="T185" t="s">
        <v>74</v>
      </c>
      <c r="U185" t="s">
        <v>3688</v>
      </c>
      <c r="V185" t="s">
        <v>3689</v>
      </c>
      <c r="W185" t="s">
        <v>3690</v>
      </c>
      <c r="X185" t="s">
        <v>3691</v>
      </c>
      <c r="Y185" t="s">
        <v>3692</v>
      </c>
      <c r="Z185" t="s">
        <v>3693</v>
      </c>
      <c r="AA185" t="s">
        <v>74</v>
      </c>
      <c r="AB185" t="s">
        <v>3694</v>
      </c>
      <c r="AC185" t="s">
        <v>74</v>
      </c>
      <c r="AD185" t="s">
        <v>74</v>
      </c>
      <c r="AE185" t="s">
        <v>74</v>
      </c>
      <c r="AF185" t="s">
        <v>74</v>
      </c>
      <c r="AG185">
        <v>48</v>
      </c>
      <c r="AH185">
        <v>0</v>
      </c>
      <c r="AI185">
        <v>0</v>
      </c>
      <c r="AJ185">
        <v>15</v>
      </c>
      <c r="AK185">
        <v>15</v>
      </c>
      <c r="AL185" t="s">
        <v>88</v>
      </c>
      <c r="AM185" t="s">
        <v>89</v>
      </c>
      <c r="AN185" t="s">
        <v>90</v>
      </c>
      <c r="AO185" t="s">
        <v>3695</v>
      </c>
      <c r="AP185" t="s">
        <v>3696</v>
      </c>
      <c r="AQ185" t="s">
        <v>74</v>
      </c>
      <c r="AR185" t="s">
        <v>3697</v>
      </c>
      <c r="AS185" t="s">
        <v>3698</v>
      </c>
      <c r="AT185" t="s">
        <v>3699</v>
      </c>
      <c r="AU185">
        <v>2024</v>
      </c>
      <c r="AV185" t="s">
        <v>74</v>
      </c>
      <c r="AW185" t="s">
        <v>74</v>
      </c>
      <c r="AX185" t="s">
        <v>74</v>
      </c>
      <c r="AY185" t="s">
        <v>74</v>
      </c>
      <c r="AZ185" t="s">
        <v>74</v>
      </c>
      <c r="BA185" t="s">
        <v>74</v>
      </c>
      <c r="BB185" t="s">
        <v>74</v>
      </c>
      <c r="BC185" t="s">
        <v>74</v>
      </c>
      <c r="BD185" t="s">
        <v>74</v>
      </c>
      <c r="BE185" t="s">
        <v>3700</v>
      </c>
      <c r="BF185" t="str">
        <f>HYPERLINK("http://dx.doi.org/10.1080/10410236.2024.2389353","http://dx.doi.org/10.1080/10410236.2024.2389353")</f>
        <v>http://dx.doi.org/10.1080/10410236.2024.2389353</v>
      </c>
      <c r="BG185" t="s">
        <v>74</v>
      </c>
      <c r="BH185" t="s">
        <v>2444</v>
      </c>
      <c r="BI185">
        <v>12</v>
      </c>
      <c r="BJ185" t="s">
        <v>3701</v>
      </c>
      <c r="BK185" t="s">
        <v>99</v>
      </c>
      <c r="BL185" t="s">
        <v>3702</v>
      </c>
      <c r="BM185" t="s">
        <v>3703</v>
      </c>
      <c r="BN185">
        <v>39114962</v>
      </c>
      <c r="BO185" t="s">
        <v>74</v>
      </c>
      <c r="BP185" t="s">
        <v>74</v>
      </c>
      <c r="BQ185" t="s">
        <v>74</v>
      </c>
      <c r="BR185" t="s">
        <v>102</v>
      </c>
      <c r="BS185" t="s">
        <v>3704</v>
      </c>
      <c r="BT185" t="str">
        <f>HYPERLINK("https%3A%2F%2Fwww.webofscience.com%2Fwos%2Fwoscc%2Ffull-record%2FWOS:001286737400001","View Full Record in Web of Science")</f>
        <v>View Full Record in Web of Science</v>
      </c>
    </row>
    <row r="186" spans="1:72" x14ac:dyDescent="0.35">
      <c r="A186" t="s">
        <v>128</v>
      </c>
      <c r="B186" t="s">
        <v>3705</v>
      </c>
      <c r="C186" t="s">
        <v>74</v>
      </c>
      <c r="D186" t="s">
        <v>74</v>
      </c>
      <c r="E186" t="s">
        <v>1677</v>
      </c>
      <c r="F186" t="s">
        <v>3706</v>
      </c>
      <c r="G186" t="s">
        <v>74</v>
      </c>
      <c r="H186" t="s">
        <v>74</v>
      </c>
      <c r="I186" t="s">
        <v>3707</v>
      </c>
      <c r="J186" t="s">
        <v>3708</v>
      </c>
      <c r="K186" t="s">
        <v>3709</v>
      </c>
      <c r="L186" t="s">
        <v>74</v>
      </c>
      <c r="M186" t="s">
        <v>78</v>
      </c>
      <c r="N186" t="s">
        <v>135</v>
      </c>
      <c r="O186" t="s">
        <v>3710</v>
      </c>
      <c r="P186" t="s">
        <v>3711</v>
      </c>
      <c r="Q186" t="s">
        <v>3712</v>
      </c>
      <c r="R186" t="s">
        <v>3713</v>
      </c>
      <c r="S186" t="s">
        <v>74</v>
      </c>
      <c r="T186" t="s">
        <v>3714</v>
      </c>
      <c r="U186" t="s">
        <v>74</v>
      </c>
      <c r="V186" t="s">
        <v>3715</v>
      </c>
      <c r="W186" t="s">
        <v>3716</v>
      </c>
      <c r="X186" t="s">
        <v>3717</v>
      </c>
      <c r="Y186" t="s">
        <v>3718</v>
      </c>
      <c r="Z186" t="s">
        <v>3719</v>
      </c>
      <c r="AA186" t="s">
        <v>3720</v>
      </c>
      <c r="AB186" t="s">
        <v>74</v>
      </c>
      <c r="AC186" t="s">
        <v>74</v>
      </c>
      <c r="AD186" t="s">
        <v>74</v>
      </c>
      <c r="AE186" t="s">
        <v>74</v>
      </c>
      <c r="AF186" t="s">
        <v>74</v>
      </c>
      <c r="AG186">
        <v>8</v>
      </c>
      <c r="AH186">
        <v>0</v>
      </c>
      <c r="AI186">
        <v>0</v>
      </c>
      <c r="AJ186">
        <v>5</v>
      </c>
      <c r="AK186">
        <v>21</v>
      </c>
      <c r="AL186" t="s">
        <v>758</v>
      </c>
      <c r="AM186" t="s">
        <v>759</v>
      </c>
      <c r="AN186" t="s">
        <v>2146</v>
      </c>
      <c r="AO186" t="s">
        <v>3721</v>
      </c>
      <c r="AP186" t="s">
        <v>74</v>
      </c>
      <c r="AQ186" t="s">
        <v>3722</v>
      </c>
      <c r="AR186" t="s">
        <v>3723</v>
      </c>
      <c r="AS186" t="s">
        <v>74</v>
      </c>
      <c r="AT186" t="s">
        <v>74</v>
      </c>
      <c r="AU186">
        <v>2023</v>
      </c>
      <c r="AV186" t="s">
        <v>74</v>
      </c>
      <c r="AW186" t="s">
        <v>74</v>
      </c>
      <c r="AX186" t="s">
        <v>74</v>
      </c>
      <c r="AY186" t="s">
        <v>74</v>
      </c>
      <c r="AZ186" t="s">
        <v>74</v>
      </c>
      <c r="BA186" t="s">
        <v>74</v>
      </c>
      <c r="BB186">
        <v>213</v>
      </c>
      <c r="BC186">
        <v>214</v>
      </c>
      <c r="BD186" t="s">
        <v>74</v>
      </c>
      <c r="BE186" t="s">
        <v>3724</v>
      </c>
      <c r="BF186" t="str">
        <f>HYPERLINK("http://dx.doi.org/10.1109/IRI58017.2023.00043","http://dx.doi.org/10.1109/IRI58017.2023.00043")</f>
        <v>http://dx.doi.org/10.1109/IRI58017.2023.00043</v>
      </c>
      <c r="BG186" t="s">
        <v>74</v>
      </c>
      <c r="BH186" t="s">
        <v>74</v>
      </c>
      <c r="BI186">
        <v>2</v>
      </c>
      <c r="BJ186" t="s">
        <v>3725</v>
      </c>
      <c r="BK186" t="s">
        <v>723</v>
      </c>
      <c r="BL186" t="s">
        <v>210</v>
      </c>
      <c r="BM186" t="s">
        <v>3726</v>
      </c>
      <c r="BN186" t="s">
        <v>74</v>
      </c>
      <c r="BO186" t="s">
        <v>74</v>
      </c>
      <c r="BP186" t="s">
        <v>74</v>
      </c>
      <c r="BQ186" t="s">
        <v>74</v>
      </c>
      <c r="BR186" t="s">
        <v>102</v>
      </c>
      <c r="BS186" t="s">
        <v>3727</v>
      </c>
      <c r="BT186" t="str">
        <f>HYPERLINK("https%3A%2F%2Fwww.webofscience.com%2Fwos%2Fwoscc%2Ffull-record%2FWOS:001063198500036","View Full Record in Web of Science")</f>
        <v>View Full Record in Web of Science</v>
      </c>
    </row>
    <row r="187" spans="1:72" x14ac:dyDescent="0.35">
      <c r="A187" t="s">
        <v>128</v>
      </c>
      <c r="B187" t="s">
        <v>3728</v>
      </c>
      <c r="C187" t="s">
        <v>74</v>
      </c>
      <c r="D187" t="s">
        <v>74</v>
      </c>
      <c r="E187" t="s">
        <v>702</v>
      </c>
      <c r="F187" t="s">
        <v>3729</v>
      </c>
      <c r="G187" t="s">
        <v>74</v>
      </c>
      <c r="H187" t="s">
        <v>74</v>
      </c>
      <c r="I187" t="s">
        <v>3730</v>
      </c>
      <c r="J187" t="s">
        <v>3731</v>
      </c>
      <c r="K187" t="s">
        <v>74</v>
      </c>
      <c r="L187" t="s">
        <v>74</v>
      </c>
      <c r="M187" t="s">
        <v>78</v>
      </c>
      <c r="N187" t="s">
        <v>135</v>
      </c>
      <c r="O187" t="s">
        <v>3732</v>
      </c>
      <c r="P187" t="s">
        <v>3733</v>
      </c>
      <c r="Q187" t="s">
        <v>138</v>
      </c>
      <c r="R187" t="s">
        <v>3734</v>
      </c>
      <c r="S187" t="s">
        <v>74</v>
      </c>
      <c r="T187" t="s">
        <v>3735</v>
      </c>
      <c r="U187" t="s">
        <v>3736</v>
      </c>
      <c r="V187" t="s">
        <v>3737</v>
      </c>
      <c r="W187" t="s">
        <v>3738</v>
      </c>
      <c r="X187" t="s">
        <v>3739</v>
      </c>
      <c r="Y187" t="s">
        <v>3740</v>
      </c>
      <c r="Z187" t="s">
        <v>3741</v>
      </c>
      <c r="AA187" t="s">
        <v>3742</v>
      </c>
      <c r="AB187" t="s">
        <v>74</v>
      </c>
      <c r="AC187" t="s">
        <v>74</v>
      </c>
      <c r="AD187" t="s">
        <v>74</v>
      </c>
      <c r="AE187" t="s">
        <v>74</v>
      </c>
      <c r="AF187" t="s">
        <v>74</v>
      </c>
      <c r="AG187">
        <v>20</v>
      </c>
      <c r="AH187">
        <v>2</v>
      </c>
      <c r="AI187">
        <v>2</v>
      </c>
      <c r="AJ187">
        <v>0</v>
      </c>
      <c r="AK187">
        <v>5</v>
      </c>
      <c r="AL187" t="s">
        <v>718</v>
      </c>
      <c r="AM187" t="s">
        <v>666</v>
      </c>
      <c r="AN187" t="s">
        <v>719</v>
      </c>
      <c r="AO187" t="s">
        <v>74</v>
      </c>
      <c r="AP187" t="s">
        <v>74</v>
      </c>
      <c r="AQ187" t="s">
        <v>3743</v>
      </c>
      <c r="AR187" t="s">
        <v>74</v>
      </c>
      <c r="AS187" t="s">
        <v>74</v>
      </c>
      <c r="AT187" t="s">
        <v>74</v>
      </c>
      <c r="AU187">
        <v>2021</v>
      </c>
      <c r="AV187" t="s">
        <v>74</v>
      </c>
      <c r="AW187" t="s">
        <v>74</v>
      </c>
      <c r="AX187" t="s">
        <v>74</v>
      </c>
      <c r="AY187" t="s">
        <v>74</v>
      </c>
      <c r="AZ187" t="s">
        <v>74</v>
      </c>
      <c r="BA187" t="s">
        <v>74</v>
      </c>
      <c r="BB187" t="s">
        <v>74</v>
      </c>
      <c r="BC187" t="s">
        <v>74</v>
      </c>
      <c r="BD187">
        <v>11</v>
      </c>
      <c r="BE187" t="s">
        <v>3744</v>
      </c>
      <c r="BF187" t="str">
        <f>HYPERLINK("http://dx.doi.org/10.1145/3447527.3474857","http://dx.doi.org/10.1145/3447527.3474857")</f>
        <v>http://dx.doi.org/10.1145/3447527.3474857</v>
      </c>
      <c r="BG187" t="s">
        <v>74</v>
      </c>
      <c r="BH187" t="s">
        <v>74</v>
      </c>
      <c r="BI187">
        <v>6</v>
      </c>
      <c r="BJ187" t="s">
        <v>3745</v>
      </c>
      <c r="BK187" t="s">
        <v>723</v>
      </c>
      <c r="BL187" t="s">
        <v>1699</v>
      </c>
      <c r="BM187" t="s">
        <v>3746</v>
      </c>
      <c r="BN187" t="s">
        <v>74</v>
      </c>
      <c r="BO187" t="s">
        <v>3747</v>
      </c>
      <c r="BP187" t="s">
        <v>74</v>
      </c>
      <c r="BQ187" t="s">
        <v>74</v>
      </c>
      <c r="BR187" t="s">
        <v>102</v>
      </c>
      <c r="BS187" t="s">
        <v>3748</v>
      </c>
      <c r="BT187" t="str">
        <f>HYPERLINK("https%3A%2F%2Fwww.webofscience.com%2Fwos%2Fwoscc%2Ffull-record%2FWOS:000748916000010","View Full Record in Web of Science")</f>
        <v>View Full Record in Web of Science</v>
      </c>
    </row>
    <row r="188" spans="1:72" x14ac:dyDescent="0.35">
      <c r="A188" t="s">
        <v>72</v>
      </c>
      <c r="B188" t="s">
        <v>3749</v>
      </c>
      <c r="C188" t="s">
        <v>74</v>
      </c>
      <c r="D188" t="s">
        <v>74</v>
      </c>
      <c r="E188" t="s">
        <v>74</v>
      </c>
      <c r="F188" t="s">
        <v>3750</v>
      </c>
      <c r="G188" t="s">
        <v>74</v>
      </c>
      <c r="H188" t="s">
        <v>74</v>
      </c>
      <c r="I188" t="s">
        <v>3751</v>
      </c>
      <c r="J188" t="s">
        <v>3752</v>
      </c>
      <c r="K188" t="s">
        <v>74</v>
      </c>
      <c r="L188" t="s">
        <v>74</v>
      </c>
      <c r="M188" t="s">
        <v>78</v>
      </c>
      <c r="N188" t="s">
        <v>108</v>
      </c>
      <c r="O188" t="s">
        <v>74</v>
      </c>
      <c r="P188" t="s">
        <v>74</v>
      </c>
      <c r="Q188" t="s">
        <v>74</v>
      </c>
      <c r="R188" t="s">
        <v>74</v>
      </c>
      <c r="S188" t="s">
        <v>74</v>
      </c>
      <c r="T188" t="s">
        <v>3753</v>
      </c>
      <c r="U188" t="s">
        <v>74</v>
      </c>
      <c r="V188" t="s">
        <v>3754</v>
      </c>
      <c r="W188" t="s">
        <v>3755</v>
      </c>
      <c r="X188" t="s">
        <v>3756</v>
      </c>
      <c r="Y188" t="s">
        <v>3757</v>
      </c>
      <c r="Z188" t="s">
        <v>3758</v>
      </c>
      <c r="AA188" t="s">
        <v>3759</v>
      </c>
      <c r="AB188" t="s">
        <v>3760</v>
      </c>
      <c r="AC188" t="s">
        <v>74</v>
      </c>
      <c r="AD188" t="s">
        <v>74</v>
      </c>
      <c r="AE188" t="s">
        <v>74</v>
      </c>
      <c r="AF188" t="s">
        <v>74</v>
      </c>
      <c r="AG188">
        <v>16</v>
      </c>
      <c r="AH188">
        <v>59</v>
      </c>
      <c r="AI188">
        <v>64</v>
      </c>
      <c r="AJ188">
        <v>9</v>
      </c>
      <c r="AK188">
        <v>119</v>
      </c>
      <c r="AL188" t="s">
        <v>3761</v>
      </c>
      <c r="AM188" t="s">
        <v>3762</v>
      </c>
      <c r="AN188" t="s">
        <v>3763</v>
      </c>
      <c r="AO188" t="s">
        <v>3764</v>
      </c>
      <c r="AP188" t="s">
        <v>3765</v>
      </c>
      <c r="AQ188" t="s">
        <v>74</v>
      </c>
      <c r="AR188" t="s">
        <v>3766</v>
      </c>
      <c r="AS188" t="s">
        <v>3767</v>
      </c>
      <c r="AT188" t="s">
        <v>455</v>
      </c>
      <c r="AU188">
        <v>2020</v>
      </c>
      <c r="AV188">
        <v>13</v>
      </c>
      <c r="AW188">
        <v>3</v>
      </c>
      <c r="AX188" t="s">
        <v>74</v>
      </c>
      <c r="AY188" t="s">
        <v>74</v>
      </c>
      <c r="AZ188" t="s">
        <v>456</v>
      </c>
      <c r="BA188" t="s">
        <v>74</v>
      </c>
      <c r="BB188">
        <v>436</v>
      </c>
      <c r="BC188">
        <v>446</v>
      </c>
      <c r="BD188" t="s">
        <v>74</v>
      </c>
      <c r="BE188" t="s">
        <v>3768</v>
      </c>
      <c r="BF188" t="str">
        <f>HYPERLINK("http://dx.doi.org/10.1123/ijsc.2020-0238","http://dx.doi.org/10.1123/ijsc.2020-0238")</f>
        <v>http://dx.doi.org/10.1123/ijsc.2020-0238</v>
      </c>
      <c r="BG188" t="s">
        <v>74</v>
      </c>
      <c r="BH188" t="s">
        <v>74</v>
      </c>
      <c r="BI188">
        <v>11</v>
      </c>
      <c r="BJ188" t="s">
        <v>124</v>
      </c>
      <c r="BK188" t="s">
        <v>125</v>
      </c>
      <c r="BL188" t="s">
        <v>124</v>
      </c>
      <c r="BM188" t="s">
        <v>3769</v>
      </c>
      <c r="BN188" t="s">
        <v>74</v>
      </c>
      <c r="BO188" t="s">
        <v>767</v>
      </c>
      <c r="BP188" t="s">
        <v>74</v>
      </c>
      <c r="BQ188" t="s">
        <v>74</v>
      </c>
      <c r="BR188" t="s">
        <v>102</v>
      </c>
      <c r="BS188" t="s">
        <v>3770</v>
      </c>
      <c r="BT188" t="str">
        <f>HYPERLINK("https%3A%2F%2Fwww.webofscience.com%2Fwos%2Fwoscc%2Ffull-record%2FWOS:000573255600018","View Full Record in Web of Science")</f>
        <v>View Full Record in Web of Science</v>
      </c>
    </row>
    <row r="189" spans="1:72" x14ac:dyDescent="0.35">
      <c r="A189" t="s">
        <v>72</v>
      </c>
      <c r="B189" t="s">
        <v>3771</v>
      </c>
      <c r="C189" t="s">
        <v>74</v>
      </c>
      <c r="D189" t="s">
        <v>74</v>
      </c>
      <c r="E189" t="s">
        <v>74</v>
      </c>
      <c r="F189" t="s">
        <v>3772</v>
      </c>
      <c r="G189" t="s">
        <v>74</v>
      </c>
      <c r="H189" t="s">
        <v>74</v>
      </c>
      <c r="I189" t="s">
        <v>3773</v>
      </c>
      <c r="J189" t="s">
        <v>3774</v>
      </c>
      <c r="K189" t="s">
        <v>74</v>
      </c>
      <c r="L189" t="s">
        <v>74</v>
      </c>
      <c r="M189" t="s">
        <v>78</v>
      </c>
      <c r="N189" t="s">
        <v>374</v>
      </c>
      <c r="O189" t="s">
        <v>74</v>
      </c>
      <c r="P189" t="s">
        <v>74</v>
      </c>
      <c r="Q189" t="s">
        <v>74</v>
      </c>
      <c r="R189" t="s">
        <v>74</v>
      </c>
      <c r="S189" t="s">
        <v>74</v>
      </c>
      <c r="T189" t="s">
        <v>3775</v>
      </c>
      <c r="U189" t="s">
        <v>3776</v>
      </c>
      <c r="V189" t="s">
        <v>3777</v>
      </c>
      <c r="W189" t="s">
        <v>3778</v>
      </c>
      <c r="X189" t="s">
        <v>3779</v>
      </c>
      <c r="Y189" t="s">
        <v>3780</v>
      </c>
      <c r="Z189" t="s">
        <v>3781</v>
      </c>
      <c r="AA189" t="s">
        <v>74</v>
      </c>
      <c r="AB189" t="s">
        <v>3782</v>
      </c>
      <c r="AC189" t="s">
        <v>74</v>
      </c>
      <c r="AD189" t="s">
        <v>74</v>
      </c>
      <c r="AE189" t="s">
        <v>74</v>
      </c>
      <c r="AF189" t="s">
        <v>74</v>
      </c>
      <c r="AG189">
        <v>41</v>
      </c>
      <c r="AH189">
        <v>54</v>
      </c>
      <c r="AI189">
        <v>61</v>
      </c>
      <c r="AJ189">
        <v>21</v>
      </c>
      <c r="AK189">
        <v>214</v>
      </c>
      <c r="AL189" t="s">
        <v>171</v>
      </c>
      <c r="AM189" t="s">
        <v>172</v>
      </c>
      <c r="AN189" t="s">
        <v>173</v>
      </c>
      <c r="AO189" t="s">
        <v>3783</v>
      </c>
      <c r="AP189" t="s">
        <v>3784</v>
      </c>
      <c r="AQ189" t="s">
        <v>74</v>
      </c>
      <c r="AR189" t="s">
        <v>3785</v>
      </c>
      <c r="AS189" t="s">
        <v>3786</v>
      </c>
      <c r="AT189" t="s">
        <v>232</v>
      </c>
      <c r="AU189">
        <v>2023</v>
      </c>
      <c r="AV189">
        <v>28</v>
      </c>
      <c r="AW189">
        <v>1</v>
      </c>
      <c r="AX189" t="s">
        <v>74</v>
      </c>
      <c r="AY189" t="s">
        <v>74</v>
      </c>
      <c r="AZ189" t="s">
        <v>456</v>
      </c>
      <c r="BA189" t="s">
        <v>74</v>
      </c>
      <c r="BB189">
        <v>279</v>
      </c>
      <c r="BC189">
        <v>306</v>
      </c>
      <c r="BD189" t="s">
        <v>74</v>
      </c>
      <c r="BE189" t="s">
        <v>3787</v>
      </c>
      <c r="BF189" t="str">
        <f>HYPERLINK("http://dx.doi.org/10.1177/13591045221106608","http://dx.doi.org/10.1177/13591045221106608")</f>
        <v>http://dx.doi.org/10.1177/13591045221106608</v>
      </c>
      <c r="BG189" t="s">
        <v>74</v>
      </c>
      <c r="BH189" t="s">
        <v>1428</v>
      </c>
      <c r="BI189">
        <v>28</v>
      </c>
      <c r="BJ189" t="s">
        <v>3788</v>
      </c>
      <c r="BK189" t="s">
        <v>182</v>
      </c>
      <c r="BL189" t="s">
        <v>1617</v>
      </c>
      <c r="BM189" t="s">
        <v>3789</v>
      </c>
      <c r="BN189">
        <v>35689365</v>
      </c>
      <c r="BO189" t="s">
        <v>2194</v>
      </c>
      <c r="BP189" t="s">
        <v>395</v>
      </c>
      <c r="BQ189" t="s">
        <v>396</v>
      </c>
      <c r="BR189" t="s">
        <v>102</v>
      </c>
      <c r="BS189" t="s">
        <v>3790</v>
      </c>
      <c r="BT189" t="str">
        <f>HYPERLINK("https%3A%2F%2Fwww.webofscience.com%2Fwos%2Fwoscc%2Ffull-record%2FWOS:000811265800001","View Full Record in Web of Science")</f>
        <v>View Full Record in Web of Science</v>
      </c>
    </row>
    <row r="190" spans="1:72" x14ac:dyDescent="0.35">
      <c r="A190" t="s">
        <v>72</v>
      </c>
      <c r="B190" t="s">
        <v>3791</v>
      </c>
      <c r="C190" t="s">
        <v>74</v>
      </c>
      <c r="D190" t="s">
        <v>74</v>
      </c>
      <c r="E190" t="s">
        <v>74</v>
      </c>
      <c r="F190" t="s">
        <v>3792</v>
      </c>
      <c r="G190" t="s">
        <v>74</v>
      </c>
      <c r="H190" t="s">
        <v>74</v>
      </c>
      <c r="I190" t="s">
        <v>3793</v>
      </c>
      <c r="J190" t="s">
        <v>2975</v>
      </c>
      <c r="K190" t="s">
        <v>74</v>
      </c>
      <c r="L190" t="s">
        <v>74</v>
      </c>
      <c r="M190" t="s">
        <v>78</v>
      </c>
      <c r="N190" t="s">
        <v>79</v>
      </c>
      <c r="O190" t="s">
        <v>74</v>
      </c>
      <c r="P190" t="s">
        <v>74</v>
      </c>
      <c r="Q190" t="s">
        <v>74</v>
      </c>
      <c r="R190" t="s">
        <v>74</v>
      </c>
      <c r="S190" t="s">
        <v>74</v>
      </c>
      <c r="T190" t="s">
        <v>3794</v>
      </c>
      <c r="U190" t="s">
        <v>3795</v>
      </c>
      <c r="V190" t="s">
        <v>3796</v>
      </c>
      <c r="W190" t="s">
        <v>3797</v>
      </c>
      <c r="X190" t="s">
        <v>3798</v>
      </c>
      <c r="Y190" t="s">
        <v>3799</v>
      </c>
      <c r="Z190" t="s">
        <v>3800</v>
      </c>
      <c r="AA190" t="s">
        <v>3801</v>
      </c>
      <c r="AB190" t="s">
        <v>3802</v>
      </c>
      <c r="AC190" t="s">
        <v>74</v>
      </c>
      <c r="AD190" t="s">
        <v>74</v>
      </c>
      <c r="AE190" t="s">
        <v>74</v>
      </c>
      <c r="AF190" t="s">
        <v>74</v>
      </c>
      <c r="AG190">
        <v>87</v>
      </c>
      <c r="AH190">
        <v>3</v>
      </c>
      <c r="AI190">
        <v>3</v>
      </c>
      <c r="AJ190">
        <v>56</v>
      </c>
      <c r="AK190">
        <v>101</v>
      </c>
      <c r="AL190" t="s">
        <v>226</v>
      </c>
      <c r="AM190" t="s">
        <v>227</v>
      </c>
      <c r="AN190" t="s">
        <v>228</v>
      </c>
      <c r="AO190" t="s">
        <v>2987</v>
      </c>
      <c r="AP190" t="s">
        <v>2988</v>
      </c>
      <c r="AQ190" t="s">
        <v>74</v>
      </c>
      <c r="AR190" t="s">
        <v>2989</v>
      </c>
      <c r="AS190" t="s">
        <v>2990</v>
      </c>
      <c r="AT190" t="s">
        <v>3803</v>
      </c>
      <c r="AU190">
        <v>2024</v>
      </c>
      <c r="AV190" t="s">
        <v>74</v>
      </c>
      <c r="AW190" t="s">
        <v>74</v>
      </c>
      <c r="AX190" t="s">
        <v>74</v>
      </c>
      <c r="AY190" t="s">
        <v>74</v>
      </c>
      <c r="AZ190" t="s">
        <v>74</v>
      </c>
      <c r="BA190" t="s">
        <v>74</v>
      </c>
      <c r="BB190" t="s">
        <v>74</v>
      </c>
      <c r="BC190" t="s">
        <v>74</v>
      </c>
      <c r="BD190" t="s">
        <v>74</v>
      </c>
      <c r="BE190" t="s">
        <v>3804</v>
      </c>
      <c r="BF190" t="str">
        <f>HYPERLINK("http://dx.doi.org/10.1177/13567667241229449","http://dx.doi.org/10.1177/13567667241229449")</f>
        <v>http://dx.doi.org/10.1177/13567667241229449</v>
      </c>
      <c r="BG190" t="s">
        <v>74</v>
      </c>
      <c r="BH190" t="s">
        <v>1377</v>
      </c>
      <c r="BI190">
        <v>17</v>
      </c>
      <c r="BJ190" t="s">
        <v>2993</v>
      </c>
      <c r="BK190" t="s">
        <v>99</v>
      </c>
      <c r="BL190" t="s">
        <v>2994</v>
      </c>
      <c r="BM190" t="s">
        <v>3805</v>
      </c>
      <c r="BN190" t="s">
        <v>74</v>
      </c>
      <c r="BO190" t="s">
        <v>74</v>
      </c>
      <c r="BP190" t="s">
        <v>74</v>
      </c>
      <c r="BQ190" t="s">
        <v>74</v>
      </c>
      <c r="BR190" t="s">
        <v>102</v>
      </c>
      <c r="BS190" t="s">
        <v>3806</v>
      </c>
      <c r="BT190" t="str">
        <f>HYPERLINK("https%3A%2F%2Fwww.webofscience.com%2Fwos%2Fwoscc%2Ffull-record%2FWOS:001154459900001","View Full Record in Web of Science")</f>
        <v>View Full Record in Web of Science</v>
      </c>
    </row>
    <row r="191" spans="1:72" x14ac:dyDescent="0.35">
      <c r="A191" t="s">
        <v>72</v>
      </c>
      <c r="B191" t="s">
        <v>3807</v>
      </c>
      <c r="C191" t="s">
        <v>74</v>
      </c>
      <c r="D191" t="s">
        <v>74</v>
      </c>
      <c r="E191" t="s">
        <v>74</v>
      </c>
      <c r="F191" t="s">
        <v>3808</v>
      </c>
      <c r="G191" t="s">
        <v>74</v>
      </c>
      <c r="H191" t="s">
        <v>74</v>
      </c>
      <c r="I191" t="s">
        <v>3809</v>
      </c>
      <c r="J191" t="s">
        <v>3810</v>
      </c>
      <c r="K191" t="s">
        <v>74</v>
      </c>
      <c r="L191" t="s">
        <v>74</v>
      </c>
      <c r="M191" t="s">
        <v>78</v>
      </c>
      <c r="N191" t="s">
        <v>108</v>
      </c>
      <c r="O191" t="s">
        <v>74</v>
      </c>
      <c r="P191" t="s">
        <v>74</v>
      </c>
      <c r="Q191" t="s">
        <v>74</v>
      </c>
      <c r="R191" t="s">
        <v>74</v>
      </c>
      <c r="S191" t="s">
        <v>74</v>
      </c>
      <c r="T191" t="s">
        <v>3811</v>
      </c>
      <c r="U191" t="s">
        <v>3812</v>
      </c>
      <c r="V191" t="s">
        <v>3813</v>
      </c>
      <c r="W191" t="s">
        <v>3814</v>
      </c>
      <c r="X191" t="s">
        <v>3815</v>
      </c>
      <c r="Y191" t="s">
        <v>3816</v>
      </c>
      <c r="Z191" t="s">
        <v>3817</v>
      </c>
      <c r="AA191" t="s">
        <v>3818</v>
      </c>
      <c r="AB191" t="s">
        <v>3819</v>
      </c>
      <c r="AC191" t="s">
        <v>74</v>
      </c>
      <c r="AD191" t="s">
        <v>74</v>
      </c>
      <c r="AE191" t="s">
        <v>74</v>
      </c>
      <c r="AF191" t="s">
        <v>74</v>
      </c>
      <c r="AG191">
        <v>47</v>
      </c>
      <c r="AH191">
        <v>1</v>
      </c>
      <c r="AI191">
        <v>1</v>
      </c>
      <c r="AJ191">
        <v>5</v>
      </c>
      <c r="AK191">
        <v>19</v>
      </c>
      <c r="AL191" t="s">
        <v>665</v>
      </c>
      <c r="AM191" t="s">
        <v>666</v>
      </c>
      <c r="AN191" t="s">
        <v>667</v>
      </c>
      <c r="AO191" t="s">
        <v>3820</v>
      </c>
      <c r="AP191" t="s">
        <v>3821</v>
      </c>
      <c r="AQ191" t="s">
        <v>74</v>
      </c>
      <c r="AR191" t="s">
        <v>3822</v>
      </c>
      <c r="AS191" t="s">
        <v>3823</v>
      </c>
      <c r="AT191" t="s">
        <v>257</v>
      </c>
      <c r="AU191">
        <v>2024</v>
      </c>
      <c r="AV191">
        <v>28</v>
      </c>
      <c r="AW191">
        <v>3</v>
      </c>
      <c r="AX191" t="s">
        <v>74</v>
      </c>
      <c r="AY191" t="s">
        <v>74</v>
      </c>
      <c r="AZ191" t="s">
        <v>74</v>
      </c>
      <c r="BA191" t="s">
        <v>74</v>
      </c>
      <c r="BB191">
        <v>1133</v>
      </c>
      <c r="BC191">
        <v>1151</v>
      </c>
      <c r="BD191" t="s">
        <v>74</v>
      </c>
      <c r="BE191" t="s">
        <v>3824</v>
      </c>
      <c r="BF191" t="str">
        <f>HYPERLINK("http://dx.doi.org/10.1007/s12119-023-10170-3","http://dx.doi.org/10.1007/s12119-023-10170-3")</f>
        <v>http://dx.doi.org/10.1007/s12119-023-10170-3</v>
      </c>
      <c r="BG191" t="s">
        <v>74</v>
      </c>
      <c r="BH191" t="s">
        <v>674</v>
      </c>
      <c r="BI191">
        <v>19</v>
      </c>
      <c r="BJ191" t="s">
        <v>98</v>
      </c>
      <c r="BK191" t="s">
        <v>125</v>
      </c>
      <c r="BL191" t="s">
        <v>100</v>
      </c>
      <c r="BM191" t="s">
        <v>3825</v>
      </c>
      <c r="BN191" t="s">
        <v>74</v>
      </c>
      <c r="BO191" t="s">
        <v>74</v>
      </c>
      <c r="BP191" t="s">
        <v>74</v>
      </c>
      <c r="BQ191" t="s">
        <v>74</v>
      </c>
      <c r="BR191" t="s">
        <v>102</v>
      </c>
      <c r="BS191" t="s">
        <v>3826</v>
      </c>
      <c r="BT191" t="str">
        <f>HYPERLINK("https%3A%2F%2Fwww.webofscience.com%2Fwos%2Fwoscc%2Ffull-record%2FWOS:001100385000001","View Full Record in Web of Science")</f>
        <v>View Full Record in Web of Science</v>
      </c>
    </row>
    <row r="192" spans="1:72" x14ac:dyDescent="0.35">
      <c r="A192" t="s">
        <v>72</v>
      </c>
      <c r="B192" t="s">
        <v>3827</v>
      </c>
      <c r="C192" t="s">
        <v>74</v>
      </c>
      <c r="D192" t="s">
        <v>74</v>
      </c>
      <c r="E192" t="s">
        <v>74</v>
      </c>
      <c r="F192" t="s">
        <v>3828</v>
      </c>
      <c r="G192" t="s">
        <v>74</v>
      </c>
      <c r="H192" t="s">
        <v>74</v>
      </c>
      <c r="I192" t="s">
        <v>3829</v>
      </c>
      <c r="J192" t="s">
        <v>3830</v>
      </c>
      <c r="K192" t="s">
        <v>74</v>
      </c>
      <c r="L192" t="s">
        <v>74</v>
      </c>
      <c r="M192" t="s">
        <v>78</v>
      </c>
      <c r="N192" t="s">
        <v>52</v>
      </c>
      <c r="O192" t="s">
        <v>3831</v>
      </c>
      <c r="P192" t="s">
        <v>3832</v>
      </c>
      <c r="Q192" t="s">
        <v>3833</v>
      </c>
      <c r="R192" t="s">
        <v>3834</v>
      </c>
      <c r="S192" t="s">
        <v>74</v>
      </c>
      <c r="T192" t="s">
        <v>3835</v>
      </c>
      <c r="U192" t="s">
        <v>74</v>
      </c>
      <c r="V192" t="s">
        <v>74</v>
      </c>
      <c r="W192" t="s">
        <v>74</v>
      </c>
      <c r="X192" t="s">
        <v>74</v>
      </c>
      <c r="Y192" t="s">
        <v>74</v>
      </c>
      <c r="Z192" t="s">
        <v>74</v>
      </c>
      <c r="AA192" t="s">
        <v>74</v>
      </c>
      <c r="AB192" t="s">
        <v>3836</v>
      </c>
      <c r="AC192" t="s">
        <v>74</v>
      </c>
      <c r="AD192" t="s">
        <v>74</v>
      </c>
      <c r="AE192" t="s">
        <v>74</v>
      </c>
      <c r="AF192" t="s">
        <v>74</v>
      </c>
      <c r="AG192">
        <v>0</v>
      </c>
      <c r="AH192">
        <v>0</v>
      </c>
      <c r="AI192">
        <v>0</v>
      </c>
      <c r="AJ192">
        <v>0</v>
      </c>
      <c r="AK192">
        <v>2</v>
      </c>
      <c r="AL192" t="s">
        <v>1901</v>
      </c>
      <c r="AM192" t="s">
        <v>995</v>
      </c>
      <c r="AN192" t="s">
        <v>1902</v>
      </c>
      <c r="AO192" t="s">
        <v>3837</v>
      </c>
      <c r="AP192" t="s">
        <v>3838</v>
      </c>
      <c r="AQ192" t="s">
        <v>74</v>
      </c>
      <c r="AR192" t="s">
        <v>3830</v>
      </c>
      <c r="AS192" t="s">
        <v>3839</v>
      </c>
      <c r="AT192" t="s">
        <v>3840</v>
      </c>
      <c r="AU192">
        <v>2023</v>
      </c>
      <c r="AV192">
        <v>148</v>
      </c>
      <c r="AW192" t="s">
        <v>74</v>
      </c>
      <c r="AX192" t="s">
        <v>74</v>
      </c>
      <c r="AY192">
        <v>1</v>
      </c>
      <c r="AZ192" t="s">
        <v>74</v>
      </c>
      <c r="BA192" t="s">
        <v>3841</v>
      </c>
      <c r="BB192" t="s">
        <v>74</v>
      </c>
      <c r="BC192" t="s">
        <v>74</v>
      </c>
      <c r="BD192" t="s">
        <v>74</v>
      </c>
      <c r="BE192" t="s">
        <v>3842</v>
      </c>
      <c r="BF192" t="str">
        <f>HYPERLINK("http://dx.doi.org/10.1161/circ.148.suppl_1.13187","http://dx.doi.org/10.1161/circ.148.suppl_1.13187")</f>
        <v>http://dx.doi.org/10.1161/circ.148.suppl_1.13187</v>
      </c>
      <c r="BG192" t="s">
        <v>74</v>
      </c>
      <c r="BH192" t="s">
        <v>74</v>
      </c>
      <c r="BI192">
        <v>2</v>
      </c>
      <c r="BJ192" t="s">
        <v>3843</v>
      </c>
      <c r="BK192" t="s">
        <v>2257</v>
      </c>
      <c r="BL192" t="s">
        <v>3844</v>
      </c>
      <c r="BM192" t="s">
        <v>3845</v>
      </c>
      <c r="BN192" t="s">
        <v>74</v>
      </c>
      <c r="BO192" t="s">
        <v>74</v>
      </c>
      <c r="BP192" t="s">
        <v>74</v>
      </c>
      <c r="BQ192" t="s">
        <v>74</v>
      </c>
      <c r="BR192" t="s">
        <v>102</v>
      </c>
      <c r="BS192" t="s">
        <v>3846</v>
      </c>
      <c r="BT192" t="str">
        <f>HYPERLINK("https%3A%2F%2Fwww.webofscience.com%2Fwos%2Fwoscc%2Ffull-record%2FWOS:001157891302123","View Full Record in Web of Science")</f>
        <v>View Full Record in Web of Science</v>
      </c>
    </row>
    <row r="193" spans="1:72" x14ac:dyDescent="0.35">
      <c r="A193" t="s">
        <v>72</v>
      </c>
      <c r="B193" t="s">
        <v>3847</v>
      </c>
      <c r="C193" t="s">
        <v>74</v>
      </c>
      <c r="D193" t="s">
        <v>74</v>
      </c>
      <c r="E193" t="s">
        <v>74</v>
      </c>
      <c r="F193" t="s">
        <v>3848</v>
      </c>
      <c r="G193" t="s">
        <v>74</v>
      </c>
      <c r="H193" t="s">
        <v>74</v>
      </c>
      <c r="I193" t="s">
        <v>3849</v>
      </c>
      <c r="J193" t="s">
        <v>1186</v>
      </c>
      <c r="K193" t="s">
        <v>74</v>
      </c>
      <c r="L193" t="s">
        <v>74</v>
      </c>
      <c r="M193" t="s">
        <v>78</v>
      </c>
      <c r="N193" t="s">
        <v>108</v>
      </c>
      <c r="O193" t="s">
        <v>74</v>
      </c>
      <c r="P193" t="s">
        <v>74</v>
      </c>
      <c r="Q193" t="s">
        <v>74</v>
      </c>
      <c r="R193" t="s">
        <v>74</v>
      </c>
      <c r="S193" t="s">
        <v>74</v>
      </c>
      <c r="T193" t="s">
        <v>3850</v>
      </c>
      <c r="U193" t="s">
        <v>3851</v>
      </c>
      <c r="V193" t="s">
        <v>3852</v>
      </c>
      <c r="W193" t="s">
        <v>3853</v>
      </c>
      <c r="X193" t="s">
        <v>3854</v>
      </c>
      <c r="Y193" t="s">
        <v>3855</v>
      </c>
      <c r="Z193" t="s">
        <v>3856</v>
      </c>
      <c r="AA193" t="s">
        <v>3857</v>
      </c>
      <c r="AB193" t="s">
        <v>3858</v>
      </c>
      <c r="AC193" t="s">
        <v>74</v>
      </c>
      <c r="AD193" t="s">
        <v>74</v>
      </c>
      <c r="AE193" t="s">
        <v>74</v>
      </c>
      <c r="AF193" t="s">
        <v>74</v>
      </c>
      <c r="AG193">
        <v>76</v>
      </c>
      <c r="AH193">
        <v>21</v>
      </c>
      <c r="AI193">
        <v>23</v>
      </c>
      <c r="AJ193">
        <v>3</v>
      </c>
      <c r="AK193">
        <v>48</v>
      </c>
      <c r="AL193" t="s">
        <v>1195</v>
      </c>
      <c r="AM193" t="s">
        <v>1196</v>
      </c>
      <c r="AN193" t="s">
        <v>1197</v>
      </c>
      <c r="AO193" t="s">
        <v>74</v>
      </c>
      <c r="AP193" t="s">
        <v>1198</v>
      </c>
      <c r="AQ193" t="s">
        <v>74</v>
      </c>
      <c r="AR193" t="s">
        <v>1199</v>
      </c>
      <c r="AS193" t="s">
        <v>1200</v>
      </c>
      <c r="AT193" t="s">
        <v>1275</v>
      </c>
      <c r="AU193">
        <v>2021</v>
      </c>
      <c r="AV193">
        <v>18</v>
      </c>
      <c r="AW193">
        <v>24</v>
      </c>
      <c r="AX193" t="s">
        <v>74</v>
      </c>
      <c r="AY193" t="s">
        <v>74</v>
      </c>
      <c r="AZ193" t="s">
        <v>74</v>
      </c>
      <c r="BA193" t="s">
        <v>74</v>
      </c>
      <c r="BB193" t="s">
        <v>74</v>
      </c>
      <c r="BC193" t="s">
        <v>74</v>
      </c>
      <c r="BD193">
        <v>13260</v>
      </c>
      <c r="BE193" t="s">
        <v>3859</v>
      </c>
      <c r="BF193" t="str">
        <f>HYPERLINK("http://dx.doi.org/10.3390/ijerph182413260","http://dx.doi.org/10.3390/ijerph182413260")</f>
        <v>http://dx.doi.org/10.3390/ijerph182413260</v>
      </c>
      <c r="BG193" t="s">
        <v>74</v>
      </c>
      <c r="BH193" t="s">
        <v>74</v>
      </c>
      <c r="BI193">
        <v>18</v>
      </c>
      <c r="BJ193" t="s">
        <v>1202</v>
      </c>
      <c r="BK193" t="s">
        <v>182</v>
      </c>
      <c r="BL193" t="s">
        <v>1203</v>
      </c>
      <c r="BM193" t="s">
        <v>3860</v>
      </c>
      <c r="BN193">
        <v>34948869</v>
      </c>
      <c r="BO193" t="s">
        <v>552</v>
      </c>
      <c r="BP193" t="s">
        <v>74</v>
      </c>
      <c r="BQ193" t="s">
        <v>74</v>
      </c>
      <c r="BR193" t="s">
        <v>102</v>
      </c>
      <c r="BS193" t="s">
        <v>3861</v>
      </c>
      <c r="BT193" t="str">
        <f>HYPERLINK("https%3A%2F%2Fwww.webofscience.com%2Fwos%2Fwoscc%2Ffull-record%2FWOS:000737881100001","View Full Record in Web of Science")</f>
        <v>View Full Record in Web of Science</v>
      </c>
    </row>
    <row r="194" spans="1:72" x14ac:dyDescent="0.35">
      <c r="A194" t="s">
        <v>72</v>
      </c>
      <c r="B194" t="s">
        <v>3862</v>
      </c>
      <c r="C194" t="s">
        <v>74</v>
      </c>
      <c r="D194" t="s">
        <v>74</v>
      </c>
      <c r="E194" t="s">
        <v>74</v>
      </c>
      <c r="F194" t="s">
        <v>3863</v>
      </c>
      <c r="G194" t="s">
        <v>74</v>
      </c>
      <c r="H194" t="s">
        <v>74</v>
      </c>
      <c r="I194" t="s">
        <v>3864</v>
      </c>
      <c r="J194" t="s">
        <v>793</v>
      </c>
      <c r="K194" t="s">
        <v>74</v>
      </c>
      <c r="L194" t="s">
        <v>74</v>
      </c>
      <c r="M194" t="s">
        <v>78</v>
      </c>
      <c r="N194" t="s">
        <v>108</v>
      </c>
      <c r="O194" t="s">
        <v>74</v>
      </c>
      <c r="P194" t="s">
        <v>74</v>
      </c>
      <c r="Q194" t="s">
        <v>74</v>
      </c>
      <c r="R194" t="s">
        <v>74</v>
      </c>
      <c r="S194" t="s">
        <v>74</v>
      </c>
      <c r="T194" t="s">
        <v>3865</v>
      </c>
      <c r="U194" t="s">
        <v>74</v>
      </c>
      <c r="V194" t="s">
        <v>3866</v>
      </c>
      <c r="W194" t="s">
        <v>3867</v>
      </c>
      <c r="X194" t="s">
        <v>3868</v>
      </c>
      <c r="Y194" t="s">
        <v>3869</v>
      </c>
      <c r="Z194" t="s">
        <v>3870</v>
      </c>
      <c r="AA194" t="s">
        <v>74</v>
      </c>
      <c r="AB194" t="s">
        <v>74</v>
      </c>
      <c r="AC194" t="s">
        <v>74</v>
      </c>
      <c r="AD194" t="s">
        <v>74</v>
      </c>
      <c r="AE194" t="s">
        <v>74</v>
      </c>
      <c r="AF194" t="s">
        <v>74</v>
      </c>
      <c r="AG194">
        <v>11</v>
      </c>
      <c r="AH194">
        <v>1</v>
      </c>
      <c r="AI194">
        <v>1</v>
      </c>
      <c r="AJ194">
        <v>1</v>
      </c>
      <c r="AK194">
        <v>1</v>
      </c>
      <c r="AL194" t="s">
        <v>803</v>
      </c>
      <c r="AM194" t="s">
        <v>227</v>
      </c>
      <c r="AN194" t="s">
        <v>804</v>
      </c>
      <c r="AO194" t="s">
        <v>74</v>
      </c>
      <c r="AP194" t="s">
        <v>805</v>
      </c>
      <c r="AQ194" t="s">
        <v>74</v>
      </c>
      <c r="AR194" t="s">
        <v>806</v>
      </c>
      <c r="AS194" t="s">
        <v>807</v>
      </c>
      <c r="AT194" t="s">
        <v>3871</v>
      </c>
      <c r="AU194">
        <v>2023</v>
      </c>
      <c r="AV194">
        <v>15</v>
      </c>
      <c r="AW194">
        <v>9</v>
      </c>
      <c r="AX194" t="s">
        <v>74</v>
      </c>
      <c r="AY194" t="s">
        <v>74</v>
      </c>
      <c r="AZ194" t="s">
        <v>74</v>
      </c>
      <c r="BA194" t="s">
        <v>74</v>
      </c>
      <c r="BB194" t="s">
        <v>74</v>
      </c>
      <c r="BC194" t="s">
        <v>74</v>
      </c>
      <c r="BD194" t="s">
        <v>3872</v>
      </c>
      <c r="BE194" t="s">
        <v>3873</v>
      </c>
      <c r="BF194" t="str">
        <f>HYPERLINK("http://dx.doi.org/10.7759/cureus.45119","http://dx.doi.org/10.7759/cureus.45119")</f>
        <v>http://dx.doi.org/10.7759/cureus.45119</v>
      </c>
      <c r="BG194" t="s">
        <v>74</v>
      </c>
      <c r="BH194" t="s">
        <v>74</v>
      </c>
      <c r="BI194">
        <v>5</v>
      </c>
      <c r="BJ194" t="s">
        <v>811</v>
      </c>
      <c r="BK194" t="s">
        <v>125</v>
      </c>
      <c r="BL194" t="s">
        <v>812</v>
      </c>
      <c r="BM194" t="s">
        <v>3874</v>
      </c>
      <c r="BN194">
        <v>37842395</v>
      </c>
      <c r="BO194" t="s">
        <v>394</v>
      </c>
      <c r="BP194" t="s">
        <v>74</v>
      </c>
      <c r="BQ194" t="s">
        <v>74</v>
      </c>
      <c r="BR194" t="s">
        <v>102</v>
      </c>
      <c r="BS194" t="s">
        <v>3875</v>
      </c>
      <c r="BT194" t="str">
        <f>HYPERLINK("https%3A%2F%2Fwww.webofscience.com%2Fwos%2Fwoscc%2Ffull-record%2FWOS:001106802900018","View Full Record in Web of Science")</f>
        <v>View Full Record in Web of Science</v>
      </c>
    </row>
    <row r="195" spans="1:72" x14ac:dyDescent="0.35">
      <c r="A195" t="s">
        <v>72</v>
      </c>
      <c r="B195" t="s">
        <v>3876</v>
      </c>
      <c r="C195" t="s">
        <v>74</v>
      </c>
      <c r="D195" t="s">
        <v>74</v>
      </c>
      <c r="E195" t="s">
        <v>74</v>
      </c>
      <c r="F195" t="s">
        <v>3877</v>
      </c>
      <c r="G195" t="s">
        <v>74</v>
      </c>
      <c r="H195" t="s">
        <v>74</v>
      </c>
      <c r="I195" t="s">
        <v>3878</v>
      </c>
      <c r="J195" t="s">
        <v>1034</v>
      </c>
      <c r="K195" t="s">
        <v>74</v>
      </c>
      <c r="L195" t="s">
        <v>74</v>
      </c>
      <c r="M195" t="s">
        <v>78</v>
      </c>
      <c r="N195" t="s">
        <v>108</v>
      </c>
      <c r="O195" t="s">
        <v>74</v>
      </c>
      <c r="P195" t="s">
        <v>74</v>
      </c>
      <c r="Q195" t="s">
        <v>74</v>
      </c>
      <c r="R195" t="s">
        <v>74</v>
      </c>
      <c r="S195" t="s">
        <v>74</v>
      </c>
      <c r="T195" t="s">
        <v>3879</v>
      </c>
      <c r="U195" t="s">
        <v>74</v>
      </c>
      <c r="V195" t="s">
        <v>3880</v>
      </c>
      <c r="W195" t="s">
        <v>3881</v>
      </c>
      <c r="X195" t="s">
        <v>3882</v>
      </c>
      <c r="Y195" t="s">
        <v>3883</v>
      </c>
      <c r="Z195" t="s">
        <v>2188</v>
      </c>
      <c r="AA195" t="s">
        <v>3884</v>
      </c>
      <c r="AB195" t="s">
        <v>3885</v>
      </c>
      <c r="AC195" t="s">
        <v>74</v>
      </c>
      <c r="AD195" t="s">
        <v>74</v>
      </c>
      <c r="AE195" t="s">
        <v>74</v>
      </c>
      <c r="AF195" t="s">
        <v>74</v>
      </c>
      <c r="AG195">
        <v>41</v>
      </c>
      <c r="AH195">
        <v>2</v>
      </c>
      <c r="AI195">
        <v>2</v>
      </c>
      <c r="AJ195">
        <v>12</v>
      </c>
      <c r="AK195">
        <v>38</v>
      </c>
      <c r="AL195" t="s">
        <v>226</v>
      </c>
      <c r="AM195" t="s">
        <v>227</v>
      </c>
      <c r="AN195" t="s">
        <v>228</v>
      </c>
      <c r="AO195" t="s">
        <v>1041</v>
      </c>
      <c r="AP195" t="s">
        <v>1042</v>
      </c>
      <c r="AQ195" t="s">
        <v>74</v>
      </c>
      <c r="AR195" t="s">
        <v>1043</v>
      </c>
      <c r="AS195" t="s">
        <v>1044</v>
      </c>
      <c r="AT195" t="s">
        <v>523</v>
      </c>
      <c r="AU195">
        <v>2023</v>
      </c>
      <c r="AV195">
        <v>45</v>
      </c>
      <c r="AW195">
        <v>8</v>
      </c>
      <c r="AX195" t="s">
        <v>74</v>
      </c>
      <c r="AY195" t="s">
        <v>74</v>
      </c>
      <c r="AZ195" t="s">
        <v>456</v>
      </c>
      <c r="BA195" t="s">
        <v>74</v>
      </c>
      <c r="BB195">
        <v>1525</v>
      </c>
      <c r="BC195">
        <v>1533</v>
      </c>
      <c r="BD195" t="s">
        <v>74</v>
      </c>
      <c r="BE195" t="s">
        <v>3886</v>
      </c>
      <c r="BF195" t="str">
        <f>HYPERLINK("http://dx.doi.org/10.1177/01634437231209203","http://dx.doi.org/10.1177/01634437231209203")</f>
        <v>http://dx.doi.org/10.1177/01634437231209203</v>
      </c>
      <c r="BG195" t="s">
        <v>74</v>
      </c>
      <c r="BH195" t="s">
        <v>207</v>
      </c>
      <c r="BI195">
        <v>9</v>
      </c>
      <c r="BJ195" t="s">
        <v>1047</v>
      </c>
      <c r="BK195" t="s">
        <v>99</v>
      </c>
      <c r="BL195" t="s">
        <v>1047</v>
      </c>
      <c r="BM195" t="s">
        <v>1048</v>
      </c>
      <c r="BN195" t="s">
        <v>74</v>
      </c>
      <c r="BO195" t="s">
        <v>74</v>
      </c>
      <c r="BP195" t="s">
        <v>74</v>
      </c>
      <c r="BQ195" t="s">
        <v>74</v>
      </c>
      <c r="BR195" t="s">
        <v>102</v>
      </c>
      <c r="BS195" t="s">
        <v>3887</v>
      </c>
      <c r="BT195" t="str">
        <f>HYPERLINK("https%3A%2F%2Fwww.webofscience.com%2Fwos%2Fwoscc%2Ffull-record%2FWOS:001087536300001","View Full Record in Web of Science")</f>
        <v>View Full Record in Web of Science</v>
      </c>
    </row>
    <row r="196" spans="1:72" x14ac:dyDescent="0.35">
      <c r="A196" t="s">
        <v>72</v>
      </c>
      <c r="B196" t="s">
        <v>3888</v>
      </c>
      <c r="C196" t="s">
        <v>74</v>
      </c>
      <c r="D196" t="s">
        <v>74</v>
      </c>
      <c r="E196" t="s">
        <v>74</v>
      </c>
      <c r="F196" t="s">
        <v>3889</v>
      </c>
      <c r="G196" t="s">
        <v>74</v>
      </c>
      <c r="H196" t="s">
        <v>74</v>
      </c>
      <c r="I196" t="s">
        <v>3890</v>
      </c>
      <c r="J196" t="s">
        <v>216</v>
      </c>
      <c r="K196" t="s">
        <v>74</v>
      </c>
      <c r="L196" t="s">
        <v>74</v>
      </c>
      <c r="M196" t="s">
        <v>78</v>
      </c>
      <c r="N196" t="s">
        <v>108</v>
      </c>
      <c r="O196" t="s">
        <v>74</v>
      </c>
      <c r="P196" t="s">
        <v>74</v>
      </c>
      <c r="Q196" t="s">
        <v>74</v>
      </c>
      <c r="R196" t="s">
        <v>74</v>
      </c>
      <c r="S196" t="s">
        <v>74</v>
      </c>
      <c r="T196" t="s">
        <v>3891</v>
      </c>
      <c r="U196" t="s">
        <v>3892</v>
      </c>
      <c r="V196" t="s">
        <v>3893</v>
      </c>
      <c r="W196" t="s">
        <v>3894</v>
      </c>
      <c r="X196" t="s">
        <v>2307</v>
      </c>
      <c r="Y196" t="s">
        <v>3895</v>
      </c>
      <c r="Z196" t="s">
        <v>3896</v>
      </c>
      <c r="AA196" t="s">
        <v>74</v>
      </c>
      <c r="AB196" t="s">
        <v>74</v>
      </c>
      <c r="AC196" t="s">
        <v>74</v>
      </c>
      <c r="AD196" t="s">
        <v>74</v>
      </c>
      <c r="AE196" t="s">
        <v>74</v>
      </c>
      <c r="AF196" t="s">
        <v>74</v>
      </c>
      <c r="AG196">
        <v>42</v>
      </c>
      <c r="AH196">
        <v>0</v>
      </c>
      <c r="AI196">
        <v>0</v>
      </c>
      <c r="AJ196">
        <v>18</v>
      </c>
      <c r="AK196">
        <v>18</v>
      </c>
      <c r="AL196" t="s">
        <v>226</v>
      </c>
      <c r="AM196" t="s">
        <v>227</v>
      </c>
      <c r="AN196" t="s">
        <v>228</v>
      </c>
      <c r="AO196" t="s">
        <v>229</v>
      </c>
      <c r="AP196" t="s">
        <v>74</v>
      </c>
      <c r="AQ196" t="s">
        <v>74</v>
      </c>
      <c r="AR196" t="s">
        <v>230</v>
      </c>
      <c r="AS196" t="s">
        <v>231</v>
      </c>
      <c r="AT196" t="s">
        <v>273</v>
      </c>
      <c r="AU196">
        <v>2024</v>
      </c>
      <c r="AV196">
        <v>10</v>
      </c>
      <c r="AW196">
        <v>3</v>
      </c>
      <c r="AX196" t="s">
        <v>74</v>
      </c>
      <c r="AY196" t="s">
        <v>74</v>
      </c>
      <c r="AZ196" t="s">
        <v>74</v>
      </c>
      <c r="BA196" t="s">
        <v>74</v>
      </c>
      <c r="BB196" t="s">
        <v>74</v>
      </c>
      <c r="BC196" t="s">
        <v>74</v>
      </c>
      <c r="BD196">
        <v>2.056305124126926E+16</v>
      </c>
      <c r="BE196" t="s">
        <v>3897</v>
      </c>
      <c r="BF196" t="str">
        <f>HYPERLINK("http://dx.doi.org/10.1177/20563051241269260","http://dx.doi.org/10.1177/20563051241269260")</f>
        <v>http://dx.doi.org/10.1177/20563051241269260</v>
      </c>
      <c r="BG196" t="s">
        <v>74</v>
      </c>
      <c r="BH196" t="s">
        <v>74</v>
      </c>
      <c r="BI196">
        <v>9</v>
      </c>
      <c r="BJ196" t="s">
        <v>124</v>
      </c>
      <c r="BK196" t="s">
        <v>99</v>
      </c>
      <c r="BL196" t="s">
        <v>124</v>
      </c>
      <c r="BM196" t="s">
        <v>3898</v>
      </c>
      <c r="BN196" t="s">
        <v>74</v>
      </c>
      <c r="BO196" t="s">
        <v>235</v>
      </c>
      <c r="BP196" t="s">
        <v>74</v>
      </c>
      <c r="BQ196" t="s">
        <v>74</v>
      </c>
      <c r="BR196" t="s">
        <v>102</v>
      </c>
      <c r="BS196" t="s">
        <v>3899</v>
      </c>
      <c r="BT196" t="str">
        <f>HYPERLINK("https%3A%2F%2Fwww.webofscience.com%2Fwos%2Fwoscc%2Ffull-record%2FWOS:001290374100001","View Full Record in Web of Science")</f>
        <v>View Full Record in Web of Science</v>
      </c>
    </row>
    <row r="197" spans="1:72" x14ac:dyDescent="0.35">
      <c r="A197" t="s">
        <v>72</v>
      </c>
      <c r="B197" t="s">
        <v>3900</v>
      </c>
      <c r="C197" t="s">
        <v>74</v>
      </c>
      <c r="D197" t="s">
        <v>74</v>
      </c>
      <c r="E197" t="s">
        <v>74</v>
      </c>
      <c r="F197" t="s">
        <v>3901</v>
      </c>
      <c r="G197" t="s">
        <v>74</v>
      </c>
      <c r="H197" t="s">
        <v>74</v>
      </c>
      <c r="I197" t="s">
        <v>3902</v>
      </c>
      <c r="J197" t="s">
        <v>3903</v>
      </c>
      <c r="K197" t="s">
        <v>74</v>
      </c>
      <c r="L197" t="s">
        <v>74</v>
      </c>
      <c r="M197" t="s">
        <v>78</v>
      </c>
      <c r="N197" t="s">
        <v>108</v>
      </c>
      <c r="O197" t="s">
        <v>74</v>
      </c>
      <c r="P197" t="s">
        <v>74</v>
      </c>
      <c r="Q197" t="s">
        <v>74</v>
      </c>
      <c r="R197" t="s">
        <v>74</v>
      </c>
      <c r="S197" t="s">
        <v>74</v>
      </c>
      <c r="T197" t="s">
        <v>3904</v>
      </c>
      <c r="U197" t="s">
        <v>74</v>
      </c>
      <c r="V197" t="s">
        <v>3905</v>
      </c>
      <c r="W197" t="s">
        <v>3906</v>
      </c>
      <c r="X197" t="s">
        <v>3907</v>
      </c>
      <c r="Y197" t="s">
        <v>3908</v>
      </c>
      <c r="Z197" t="s">
        <v>3909</v>
      </c>
      <c r="AA197" t="s">
        <v>74</v>
      </c>
      <c r="AB197" t="s">
        <v>3910</v>
      </c>
      <c r="AC197" t="s">
        <v>74</v>
      </c>
      <c r="AD197" t="s">
        <v>74</v>
      </c>
      <c r="AE197" t="s">
        <v>74</v>
      </c>
      <c r="AF197" t="s">
        <v>74</v>
      </c>
      <c r="AG197">
        <v>40</v>
      </c>
      <c r="AH197">
        <v>0</v>
      </c>
      <c r="AI197">
        <v>0</v>
      </c>
      <c r="AJ197">
        <v>1</v>
      </c>
      <c r="AK197">
        <v>2</v>
      </c>
      <c r="AL197" t="s">
        <v>226</v>
      </c>
      <c r="AM197" t="s">
        <v>227</v>
      </c>
      <c r="AN197" t="s">
        <v>228</v>
      </c>
      <c r="AO197" t="s">
        <v>3911</v>
      </c>
      <c r="AP197" t="s">
        <v>3912</v>
      </c>
      <c r="AQ197" t="s">
        <v>74</v>
      </c>
      <c r="AR197" t="s">
        <v>3913</v>
      </c>
      <c r="AS197" t="s">
        <v>3914</v>
      </c>
      <c r="AT197" t="s">
        <v>257</v>
      </c>
      <c r="AU197">
        <v>2024</v>
      </c>
      <c r="AV197">
        <v>20</v>
      </c>
      <c r="AW197">
        <v>2</v>
      </c>
      <c r="AX197" t="s">
        <v>74</v>
      </c>
      <c r="AY197" t="s">
        <v>74</v>
      </c>
      <c r="AZ197" t="s">
        <v>456</v>
      </c>
      <c r="BA197" t="s">
        <v>74</v>
      </c>
      <c r="BB197">
        <v>322</v>
      </c>
      <c r="BC197">
        <v>331</v>
      </c>
      <c r="BD197" t="s">
        <v>74</v>
      </c>
      <c r="BE197" t="s">
        <v>3915</v>
      </c>
      <c r="BF197" t="str">
        <f>HYPERLINK("http://dx.doi.org/10.1177/11771801241246731","http://dx.doi.org/10.1177/11771801241246731")</f>
        <v>http://dx.doi.org/10.1177/11771801241246731</v>
      </c>
      <c r="BG197" t="s">
        <v>74</v>
      </c>
      <c r="BH197" t="s">
        <v>2410</v>
      </c>
      <c r="BI197">
        <v>10</v>
      </c>
      <c r="BJ197" t="s">
        <v>3916</v>
      </c>
      <c r="BK197" t="s">
        <v>125</v>
      </c>
      <c r="BL197" t="s">
        <v>3916</v>
      </c>
      <c r="BM197" t="s">
        <v>3917</v>
      </c>
      <c r="BN197" t="s">
        <v>74</v>
      </c>
      <c r="BO197" t="s">
        <v>156</v>
      </c>
      <c r="BP197" t="s">
        <v>74</v>
      </c>
      <c r="BQ197" t="s">
        <v>74</v>
      </c>
      <c r="BR197" t="s">
        <v>102</v>
      </c>
      <c r="BS197" t="s">
        <v>3918</v>
      </c>
      <c r="BT197" t="str">
        <f>HYPERLINK("https%3A%2F%2Fwww.webofscience.com%2Fwos%2Fwoscc%2Ffull-record%2FWOS:001207987400001","View Full Record in Web of Science")</f>
        <v>View Full Record in Web of Science</v>
      </c>
    </row>
    <row r="198" spans="1:72" x14ac:dyDescent="0.35">
      <c r="A198" t="s">
        <v>72</v>
      </c>
      <c r="B198" t="s">
        <v>1430</v>
      </c>
      <c r="C198" t="s">
        <v>74</v>
      </c>
      <c r="D198" t="s">
        <v>74</v>
      </c>
      <c r="E198" t="s">
        <v>74</v>
      </c>
      <c r="F198" t="s">
        <v>1431</v>
      </c>
      <c r="G198" t="s">
        <v>74</v>
      </c>
      <c r="H198" t="s">
        <v>74</v>
      </c>
      <c r="I198" t="s">
        <v>3919</v>
      </c>
      <c r="J198" t="s">
        <v>1774</v>
      </c>
      <c r="K198" t="s">
        <v>74</v>
      </c>
      <c r="L198" t="s">
        <v>74</v>
      </c>
      <c r="M198" t="s">
        <v>78</v>
      </c>
      <c r="N198" t="s">
        <v>79</v>
      </c>
      <c r="O198" t="s">
        <v>74</v>
      </c>
      <c r="P198" t="s">
        <v>74</v>
      </c>
      <c r="Q198" t="s">
        <v>74</v>
      </c>
      <c r="R198" t="s">
        <v>74</v>
      </c>
      <c r="S198" t="s">
        <v>74</v>
      </c>
      <c r="T198" t="s">
        <v>3920</v>
      </c>
      <c r="U198" t="s">
        <v>74</v>
      </c>
      <c r="V198" t="s">
        <v>3921</v>
      </c>
      <c r="W198" t="s">
        <v>3922</v>
      </c>
      <c r="X198" t="s">
        <v>1438</v>
      </c>
      <c r="Y198" t="s">
        <v>3923</v>
      </c>
      <c r="Z198" t="s">
        <v>1440</v>
      </c>
      <c r="AA198" t="s">
        <v>1441</v>
      </c>
      <c r="AB198" t="s">
        <v>74</v>
      </c>
      <c r="AC198" t="s">
        <v>74</v>
      </c>
      <c r="AD198" t="s">
        <v>74</v>
      </c>
      <c r="AE198" t="s">
        <v>74</v>
      </c>
      <c r="AF198" t="s">
        <v>74</v>
      </c>
      <c r="AG198">
        <v>50</v>
      </c>
      <c r="AH198">
        <v>0</v>
      </c>
      <c r="AI198">
        <v>0</v>
      </c>
      <c r="AJ198">
        <v>3</v>
      </c>
      <c r="AK198">
        <v>3</v>
      </c>
      <c r="AL198" t="s">
        <v>88</v>
      </c>
      <c r="AM198" t="s">
        <v>89</v>
      </c>
      <c r="AN198" t="s">
        <v>90</v>
      </c>
      <c r="AO198" t="s">
        <v>1783</v>
      </c>
      <c r="AP198" t="s">
        <v>1784</v>
      </c>
      <c r="AQ198" t="s">
        <v>74</v>
      </c>
      <c r="AR198" t="s">
        <v>1785</v>
      </c>
      <c r="AS198" t="s">
        <v>1786</v>
      </c>
      <c r="AT198" t="s">
        <v>3924</v>
      </c>
      <c r="AU198">
        <v>2024</v>
      </c>
      <c r="AV198" t="s">
        <v>74</v>
      </c>
      <c r="AW198" t="s">
        <v>74</v>
      </c>
      <c r="AX198" t="s">
        <v>74</v>
      </c>
      <c r="AY198" t="s">
        <v>74</v>
      </c>
      <c r="AZ198" t="s">
        <v>74</v>
      </c>
      <c r="BA198" t="s">
        <v>74</v>
      </c>
      <c r="BB198" t="s">
        <v>74</v>
      </c>
      <c r="BC198" t="s">
        <v>74</v>
      </c>
      <c r="BD198" t="s">
        <v>74</v>
      </c>
      <c r="BE198" t="s">
        <v>3925</v>
      </c>
      <c r="BF198" t="str">
        <f>HYPERLINK("http://dx.doi.org/10.1080/1369118X.2024.2388093","http://dx.doi.org/10.1080/1369118X.2024.2388093")</f>
        <v>http://dx.doi.org/10.1080/1369118X.2024.2388093</v>
      </c>
      <c r="BG198" t="s">
        <v>74</v>
      </c>
      <c r="BH198" t="s">
        <v>2444</v>
      </c>
      <c r="BI198">
        <v>18</v>
      </c>
      <c r="BJ198" t="s">
        <v>1047</v>
      </c>
      <c r="BK198" t="s">
        <v>99</v>
      </c>
      <c r="BL198" t="s">
        <v>1047</v>
      </c>
      <c r="BM198" t="s">
        <v>3926</v>
      </c>
      <c r="BN198" t="s">
        <v>74</v>
      </c>
      <c r="BO198" t="s">
        <v>156</v>
      </c>
      <c r="BP198" t="s">
        <v>74</v>
      </c>
      <c r="BQ198" t="s">
        <v>74</v>
      </c>
      <c r="BR198" t="s">
        <v>102</v>
      </c>
      <c r="BS198" t="s">
        <v>3927</v>
      </c>
      <c r="BT198" t="str">
        <f>HYPERLINK("https%3A%2F%2Fwww.webofscience.com%2Fwos%2Fwoscc%2Ffull-record%2FWOS:001287706400001","View Full Record in Web of Science")</f>
        <v>View Full Record in Web of Science</v>
      </c>
    </row>
    <row r="199" spans="1:72" x14ac:dyDescent="0.35">
      <c r="A199" t="s">
        <v>128</v>
      </c>
      <c r="B199" t="s">
        <v>3928</v>
      </c>
      <c r="C199" t="s">
        <v>74</v>
      </c>
      <c r="D199" t="s">
        <v>74</v>
      </c>
      <c r="E199" t="s">
        <v>702</v>
      </c>
      <c r="F199" t="s">
        <v>3929</v>
      </c>
      <c r="G199" t="s">
        <v>74</v>
      </c>
      <c r="H199" t="s">
        <v>74</v>
      </c>
      <c r="I199" t="s">
        <v>3930</v>
      </c>
      <c r="J199" t="s">
        <v>3931</v>
      </c>
      <c r="K199" t="s">
        <v>74</v>
      </c>
      <c r="L199" t="s">
        <v>74</v>
      </c>
      <c r="M199" t="s">
        <v>78</v>
      </c>
      <c r="N199" t="s">
        <v>135</v>
      </c>
      <c r="O199" t="s">
        <v>828</v>
      </c>
      <c r="P199" t="s">
        <v>829</v>
      </c>
      <c r="Q199" t="s">
        <v>830</v>
      </c>
      <c r="R199" t="s">
        <v>831</v>
      </c>
      <c r="S199" t="s">
        <v>74</v>
      </c>
      <c r="T199" t="s">
        <v>3932</v>
      </c>
      <c r="U199" t="s">
        <v>3933</v>
      </c>
      <c r="V199" t="s">
        <v>3934</v>
      </c>
      <c r="W199" t="s">
        <v>3935</v>
      </c>
      <c r="X199" t="s">
        <v>3936</v>
      </c>
      <c r="Y199" t="s">
        <v>3937</v>
      </c>
      <c r="Z199" t="s">
        <v>3938</v>
      </c>
      <c r="AA199" t="s">
        <v>74</v>
      </c>
      <c r="AB199" t="s">
        <v>3939</v>
      </c>
      <c r="AC199" t="s">
        <v>3940</v>
      </c>
      <c r="AD199" t="s">
        <v>3941</v>
      </c>
      <c r="AE199" t="s">
        <v>3942</v>
      </c>
      <c r="AF199" t="s">
        <v>74</v>
      </c>
      <c r="AG199">
        <v>101</v>
      </c>
      <c r="AH199">
        <v>0</v>
      </c>
      <c r="AI199">
        <v>0</v>
      </c>
      <c r="AJ199">
        <v>1</v>
      </c>
      <c r="AK199">
        <v>1</v>
      </c>
      <c r="AL199" t="s">
        <v>718</v>
      </c>
      <c r="AM199" t="s">
        <v>666</v>
      </c>
      <c r="AN199" t="s">
        <v>719</v>
      </c>
      <c r="AO199" t="s">
        <v>74</v>
      </c>
      <c r="AP199" t="s">
        <v>74</v>
      </c>
      <c r="AQ199" t="s">
        <v>892</v>
      </c>
      <c r="AR199" t="s">
        <v>74</v>
      </c>
      <c r="AS199" t="s">
        <v>74</v>
      </c>
      <c r="AT199" t="s">
        <v>74</v>
      </c>
      <c r="AU199">
        <v>2024</v>
      </c>
      <c r="AV199" t="s">
        <v>74</v>
      </c>
      <c r="AW199" t="s">
        <v>74</v>
      </c>
      <c r="AX199" t="s">
        <v>74</v>
      </c>
      <c r="AY199" t="s">
        <v>74</v>
      </c>
      <c r="AZ199" t="s">
        <v>74</v>
      </c>
      <c r="BA199" t="s">
        <v>74</v>
      </c>
      <c r="BB199" t="s">
        <v>74</v>
      </c>
      <c r="BC199" t="s">
        <v>74</v>
      </c>
      <c r="BD199" t="s">
        <v>74</v>
      </c>
      <c r="BE199" t="s">
        <v>3943</v>
      </c>
      <c r="BF199" t="str">
        <f>HYPERLINK("http://dx.doi.org/10.1145/3613904.3642177","http://dx.doi.org/10.1145/3613904.3642177")</f>
        <v>http://dx.doi.org/10.1145/3613904.3642177</v>
      </c>
      <c r="BG199" t="s">
        <v>74</v>
      </c>
      <c r="BH199" t="s">
        <v>74</v>
      </c>
      <c r="BI199">
        <v>16</v>
      </c>
      <c r="BJ199" t="s">
        <v>894</v>
      </c>
      <c r="BK199" t="s">
        <v>723</v>
      </c>
      <c r="BL199" t="s">
        <v>210</v>
      </c>
      <c r="BM199" t="s">
        <v>3944</v>
      </c>
      <c r="BN199" t="s">
        <v>74</v>
      </c>
      <c r="BO199" t="s">
        <v>156</v>
      </c>
      <c r="BP199" t="s">
        <v>74</v>
      </c>
      <c r="BQ199" t="s">
        <v>74</v>
      </c>
      <c r="BR199" t="s">
        <v>102</v>
      </c>
      <c r="BS199" t="s">
        <v>3945</v>
      </c>
      <c r="BT199" t="str">
        <f>HYPERLINK("https%3A%2F%2Fwww.webofscience.com%2Fwos%2Fwoscc%2Ffull-record%2FWOS:001255317905020","View Full Record in Web of Science")</f>
        <v>View Full Record in Web of Science</v>
      </c>
    </row>
    <row r="200" spans="1:72" x14ac:dyDescent="0.35">
      <c r="A200" t="s">
        <v>72</v>
      </c>
      <c r="B200" t="s">
        <v>3946</v>
      </c>
      <c r="C200" t="s">
        <v>74</v>
      </c>
      <c r="D200" t="s">
        <v>74</v>
      </c>
      <c r="E200" t="s">
        <v>74</v>
      </c>
      <c r="F200" t="s">
        <v>3947</v>
      </c>
      <c r="G200" t="s">
        <v>74</v>
      </c>
      <c r="H200" t="s">
        <v>74</v>
      </c>
      <c r="I200" t="s">
        <v>3948</v>
      </c>
      <c r="J200" t="s">
        <v>1034</v>
      </c>
      <c r="K200" t="s">
        <v>74</v>
      </c>
      <c r="L200" t="s">
        <v>74</v>
      </c>
      <c r="M200" t="s">
        <v>78</v>
      </c>
      <c r="N200" t="s">
        <v>108</v>
      </c>
      <c r="O200" t="s">
        <v>74</v>
      </c>
      <c r="P200" t="s">
        <v>74</v>
      </c>
      <c r="Q200" t="s">
        <v>74</v>
      </c>
      <c r="R200" t="s">
        <v>74</v>
      </c>
      <c r="S200" t="s">
        <v>74</v>
      </c>
      <c r="T200" t="s">
        <v>3949</v>
      </c>
      <c r="U200" t="s">
        <v>74</v>
      </c>
      <c r="V200" t="s">
        <v>3950</v>
      </c>
      <c r="W200" t="s">
        <v>3951</v>
      </c>
      <c r="X200" t="s">
        <v>3952</v>
      </c>
      <c r="Y200" t="s">
        <v>3953</v>
      </c>
      <c r="Z200" t="s">
        <v>3954</v>
      </c>
      <c r="AA200" t="s">
        <v>74</v>
      </c>
      <c r="AB200" t="s">
        <v>3955</v>
      </c>
      <c r="AC200" t="s">
        <v>74</v>
      </c>
      <c r="AD200" t="s">
        <v>74</v>
      </c>
      <c r="AE200" t="s">
        <v>74</v>
      </c>
      <c r="AF200" t="s">
        <v>74</v>
      </c>
      <c r="AG200">
        <v>22</v>
      </c>
      <c r="AH200">
        <v>1</v>
      </c>
      <c r="AI200">
        <v>1</v>
      </c>
      <c r="AJ200">
        <v>2</v>
      </c>
      <c r="AK200">
        <v>14</v>
      </c>
      <c r="AL200" t="s">
        <v>226</v>
      </c>
      <c r="AM200" t="s">
        <v>227</v>
      </c>
      <c r="AN200" t="s">
        <v>228</v>
      </c>
      <c r="AO200" t="s">
        <v>1041</v>
      </c>
      <c r="AP200" t="s">
        <v>1042</v>
      </c>
      <c r="AQ200" t="s">
        <v>74</v>
      </c>
      <c r="AR200" t="s">
        <v>1043</v>
      </c>
      <c r="AS200" t="s">
        <v>1044</v>
      </c>
      <c r="AT200" t="s">
        <v>745</v>
      </c>
      <c r="AU200">
        <v>2023</v>
      </c>
      <c r="AV200">
        <v>45</v>
      </c>
      <c r="AW200">
        <v>4</v>
      </c>
      <c r="AX200" t="s">
        <v>74</v>
      </c>
      <c r="AY200" t="s">
        <v>74</v>
      </c>
      <c r="AZ200" t="s">
        <v>74</v>
      </c>
      <c r="BA200" t="s">
        <v>74</v>
      </c>
      <c r="BB200">
        <v>869</v>
      </c>
      <c r="BC200">
        <v>876</v>
      </c>
      <c r="BD200" t="s">
        <v>74</v>
      </c>
      <c r="BE200" t="s">
        <v>3956</v>
      </c>
      <c r="BF200" t="str">
        <f>HYPERLINK("http://dx.doi.org/10.1177/01634437221146904","http://dx.doi.org/10.1177/01634437221146904")</f>
        <v>http://dx.doi.org/10.1177/01634437221146904</v>
      </c>
      <c r="BG200" t="s">
        <v>74</v>
      </c>
      <c r="BH200" t="s">
        <v>3638</v>
      </c>
      <c r="BI200">
        <v>8</v>
      </c>
      <c r="BJ200" t="s">
        <v>1047</v>
      </c>
      <c r="BK200" t="s">
        <v>99</v>
      </c>
      <c r="BL200" t="s">
        <v>1047</v>
      </c>
      <c r="BM200" t="s">
        <v>3957</v>
      </c>
      <c r="BN200">
        <v>38603299</v>
      </c>
      <c r="BO200" t="s">
        <v>2194</v>
      </c>
      <c r="BP200" t="s">
        <v>74</v>
      </c>
      <c r="BQ200" t="s">
        <v>74</v>
      </c>
      <c r="BR200" t="s">
        <v>102</v>
      </c>
      <c r="BS200" t="s">
        <v>3958</v>
      </c>
      <c r="BT200" t="str">
        <f>HYPERLINK("https%3A%2F%2Fwww.webofscience.com%2Fwos%2Fwoscc%2Ffull-record%2FWOS:000912558100001","View Full Record in Web of Science")</f>
        <v>View Full Record in Web of Science</v>
      </c>
    </row>
    <row r="201" spans="1:72" x14ac:dyDescent="0.35">
      <c r="A201" t="s">
        <v>72</v>
      </c>
      <c r="B201" t="s">
        <v>3959</v>
      </c>
      <c r="C201" t="s">
        <v>74</v>
      </c>
      <c r="D201" t="s">
        <v>74</v>
      </c>
      <c r="E201" t="s">
        <v>74</v>
      </c>
      <c r="F201" t="s">
        <v>3960</v>
      </c>
      <c r="G201" t="s">
        <v>74</v>
      </c>
      <c r="H201" t="s">
        <v>74</v>
      </c>
      <c r="I201" t="s">
        <v>3961</v>
      </c>
      <c r="J201" t="s">
        <v>438</v>
      </c>
      <c r="K201" t="s">
        <v>74</v>
      </c>
      <c r="L201" t="s">
        <v>74</v>
      </c>
      <c r="M201" t="s">
        <v>78</v>
      </c>
      <c r="N201" t="s">
        <v>108</v>
      </c>
      <c r="O201" t="s">
        <v>74</v>
      </c>
      <c r="P201" t="s">
        <v>74</v>
      </c>
      <c r="Q201" t="s">
        <v>74</v>
      </c>
      <c r="R201" t="s">
        <v>74</v>
      </c>
      <c r="S201" t="s">
        <v>74</v>
      </c>
      <c r="T201" t="s">
        <v>3962</v>
      </c>
      <c r="U201" t="s">
        <v>74</v>
      </c>
      <c r="V201" t="s">
        <v>3963</v>
      </c>
      <c r="W201" t="s">
        <v>3964</v>
      </c>
      <c r="X201" t="s">
        <v>3965</v>
      </c>
      <c r="Y201" t="s">
        <v>3966</v>
      </c>
      <c r="Z201" t="s">
        <v>3967</v>
      </c>
      <c r="AA201" t="s">
        <v>3968</v>
      </c>
      <c r="AB201" t="s">
        <v>74</v>
      </c>
      <c r="AC201" t="s">
        <v>74</v>
      </c>
      <c r="AD201" t="s">
        <v>74</v>
      </c>
      <c r="AE201" t="s">
        <v>74</v>
      </c>
      <c r="AF201" t="s">
        <v>74</v>
      </c>
      <c r="AG201">
        <v>40</v>
      </c>
      <c r="AH201">
        <v>31</v>
      </c>
      <c r="AI201">
        <v>32</v>
      </c>
      <c r="AJ201">
        <v>23</v>
      </c>
      <c r="AK201">
        <v>133</v>
      </c>
      <c r="AL201" t="s">
        <v>226</v>
      </c>
      <c r="AM201" t="s">
        <v>227</v>
      </c>
      <c r="AN201" t="s">
        <v>228</v>
      </c>
      <c r="AO201" t="s">
        <v>451</v>
      </c>
      <c r="AP201" t="s">
        <v>452</v>
      </c>
      <c r="AQ201" t="s">
        <v>74</v>
      </c>
      <c r="AR201" t="s">
        <v>453</v>
      </c>
      <c r="AS201" t="s">
        <v>454</v>
      </c>
      <c r="AT201" t="s">
        <v>594</v>
      </c>
      <c r="AU201">
        <v>2024</v>
      </c>
      <c r="AV201">
        <v>26</v>
      </c>
      <c r="AW201">
        <v>10</v>
      </c>
      <c r="AX201" t="s">
        <v>74</v>
      </c>
      <c r="AY201" t="s">
        <v>74</v>
      </c>
      <c r="AZ201" t="s">
        <v>74</v>
      </c>
      <c r="BA201" t="s">
        <v>74</v>
      </c>
      <c r="BB201">
        <v>5702</v>
      </c>
      <c r="BC201">
        <v>5718</v>
      </c>
      <c r="BD201" t="s">
        <v>74</v>
      </c>
      <c r="BE201" t="s">
        <v>3969</v>
      </c>
      <c r="BF201" t="str">
        <f>HYPERLINK("http://dx.doi.org/10.1177/14614448221138973","http://dx.doi.org/10.1177/14614448221138973")</f>
        <v>http://dx.doi.org/10.1177/14614448221138973</v>
      </c>
      <c r="BG201" t="s">
        <v>74</v>
      </c>
      <c r="BH201" t="s">
        <v>3970</v>
      </c>
      <c r="BI201">
        <v>17</v>
      </c>
      <c r="BJ201" t="s">
        <v>124</v>
      </c>
      <c r="BK201" t="s">
        <v>99</v>
      </c>
      <c r="BL201" t="s">
        <v>124</v>
      </c>
      <c r="BM201" t="s">
        <v>3971</v>
      </c>
      <c r="BN201" t="s">
        <v>74</v>
      </c>
      <c r="BO201" t="s">
        <v>74</v>
      </c>
      <c r="BP201" t="s">
        <v>74</v>
      </c>
      <c r="BQ201" t="s">
        <v>74</v>
      </c>
      <c r="BR201" t="s">
        <v>102</v>
      </c>
      <c r="BS201" t="s">
        <v>3972</v>
      </c>
      <c r="BT201" t="str">
        <f>HYPERLINK("https%3A%2F%2Fwww.webofscience.com%2Fwos%2Fwoscc%2Ffull-record%2FWOS:000896764200001","View Full Record in Web of Science")</f>
        <v>View Full Record in Web of Science</v>
      </c>
    </row>
    <row r="202" spans="1:72" x14ac:dyDescent="0.35">
      <c r="A202" t="s">
        <v>72</v>
      </c>
      <c r="B202" t="s">
        <v>3973</v>
      </c>
      <c r="C202" t="s">
        <v>74</v>
      </c>
      <c r="D202" t="s">
        <v>74</v>
      </c>
      <c r="E202" t="s">
        <v>74</v>
      </c>
      <c r="F202" t="s">
        <v>3974</v>
      </c>
      <c r="G202" t="s">
        <v>74</v>
      </c>
      <c r="H202" t="s">
        <v>74</v>
      </c>
      <c r="I202" t="s">
        <v>3975</v>
      </c>
      <c r="J202" t="s">
        <v>3976</v>
      </c>
      <c r="K202" t="s">
        <v>74</v>
      </c>
      <c r="L202" t="s">
        <v>74</v>
      </c>
      <c r="M202" t="s">
        <v>78</v>
      </c>
      <c r="N202" t="s">
        <v>108</v>
      </c>
      <c r="O202" t="s">
        <v>74</v>
      </c>
      <c r="P202" t="s">
        <v>74</v>
      </c>
      <c r="Q202" t="s">
        <v>74</v>
      </c>
      <c r="R202" t="s">
        <v>74</v>
      </c>
      <c r="S202" t="s">
        <v>74</v>
      </c>
      <c r="T202" t="s">
        <v>3977</v>
      </c>
      <c r="U202" t="s">
        <v>74</v>
      </c>
      <c r="V202" t="s">
        <v>3978</v>
      </c>
      <c r="W202" t="s">
        <v>3979</v>
      </c>
      <c r="X202" t="s">
        <v>74</v>
      </c>
      <c r="Y202" t="s">
        <v>3980</v>
      </c>
      <c r="Z202" t="s">
        <v>3981</v>
      </c>
      <c r="AA202" t="s">
        <v>3982</v>
      </c>
      <c r="AB202" t="s">
        <v>74</v>
      </c>
      <c r="AC202" t="s">
        <v>74</v>
      </c>
      <c r="AD202" t="s">
        <v>74</v>
      </c>
      <c r="AE202" t="s">
        <v>74</v>
      </c>
      <c r="AF202" t="s">
        <v>74</v>
      </c>
      <c r="AG202">
        <v>29</v>
      </c>
      <c r="AH202">
        <v>8</v>
      </c>
      <c r="AI202">
        <v>8</v>
      </c>
      <c r="AJ202">
        <v>22</v>
      </c>
      <c r="AK202">
        <v>154</v>
      </c>
      <c r="AL202" t="s">
        <v>1965</v>
      </c>
      <c r="AM202" t="s">
        <v>666</v>
      </c>
      <c r="AN202" t="s">
        <v>1966</v>
      </c>
      <c r="AO202" t="s">
        <v>3983</v>
      </c>
      <c r="AP202" t="s">
        <v>3984</v>
      </c>
      <c r="AQ202" t="s">
        <v>74</v>
      </c>
      <c r="AR202" t="s">
        <v>3985</v>
      </c>
      <c r="AS202" t="s">
        <v>3986</v>
      </c>
      <c r="AT202" t="s">
        <v>523</v>
      </c>
      <c r="AU202">
        <v>2022</v>
      </c>
      <c r="AV202">
        <v>48</v>
      </c>
      <c r="AW202">
        <v>6</v>
      </c>
      <c r="AX202" t="s">
        <v>74</v>
      </c>
      <c r="AY202" t="s">
        <v>74</v>
      </c>
      <c r="AZ202" t="s">
        <v>74</v>
      </c>
      <c r="BA202" t="s">
        <v>74</v>
      </c>
      <c r="BB202" t="s">
        <v>74</v>
      </c>
      <c r="BC202" t="s">
        <v>74</v>
      </c>
      <c r="BD202">
        <v>102611</v>
      </c>
      <c r="BE202" t="s">
        <v>3987</v>
      </c>
      <c r="BF202" t="str">
        <f>HYPERLINK("http://dx.doi.org/10.1016/j.acalib.2022.102611","http://dx.doi.org/10.1016/j.acalib.2022.102611")</f>
        <v>http://dx.doi.org/10.1016/j.acalib.2022.102611</v>
      </c>
      <c r="BG202" t="s">
        <v>74</v>
      </c>
      <c r="BH202" t="s">
        <v>598</v>
      </c>
      <c r="BI202">
        <v>9</v>
      </c>
      <c r="BJ202" t="s">
        <v>1162</v>
      </c>
      <c r="BK202" t="s">
        <v>99</v>
      </c>
      <c r="BL202" t="s">
        <v>1162</v>
      </c>
      <c r="BM202" t="s">
        <v>3988</v>
      </c>
      <c r="BN202" t="s">
        <v>74</v>
      </c>
      <c r="BO202" t="s">
        <v>74</v>
      </c>
      <c r="BP202" t="s">
        <v>74</v>
      </c>
      <c r="BQ202" t="s">
        <v>74</v>
      </c>
      <c r="BR202" t="s">
        <v>102</v>
      </c>
      <c r="BS202" t="s">
        <v>3989</v>
      </c>
      <c r="BT202" t="str">
        <f>HYPERLINK("https%3A%2F%2Fwww.webofscience.com%2Fwos%2Fwoscc%2Ffull-record%2FWOS:000872545600004","View Full Record in Web of Science")</f>
        <v>View Full Record in Web of Science</v>
      </c>
    </row>
    <row r="203" spans="1:72" x14ac:dyDescent="0.35">
      <c r="A203" t="s">
        <v>72</v>
      </c>
      <c r="B203" t="s">
        <v>3990</v>
      </c>
      <c r="C203" t="s">
        <v>74</v>
      </c>
      <c r="D203" t="s">
        <v>74</v>
      </c>
      <c r="E203" t="s">
        <v>74</v>
      </c>
      <c r="F203" t="s">
        <v>3991</v>
      </c>
      <c r="G203" t="s">
        <v>74</v>
      </c>
      <c r="H203" t="s">
        <v>74</v>
      </c>
      <c r="I203" t="s">
        <v>3992</v>
      </c>
      <c r="J203" t="s">
        <v>3993</v>
      </c>
      <c r="K203" t="s">
        <v>74</v>
      </c>
      <c r="L203" t="s">
        <v>74</v>
      </c>
      <c r="M203" t="s">
        <v>78</v>
      </c>
      <c r="N203" t="s">
        <v>108</v>
      </c>
      <c r="O203" t="s">
        <v>74</v>
      </c>
      <c r="P203" t="s">
        <v>74</v>
      </c>
      <c r="Q203" t="s">
        <v>74</v>
      </c>
      <c r="R203" t="s">
        <v>74</v>
      </c>
      <c r="S203" t="s">
        <v>74</v>
      </c>
      <c r="T203" t="s">
        <v>3994</v>
      </c>
      <c r="U203" t="s">
        <v>3995</v>
      </c>
      <c r="V203" t="s">
        <v>3996</v>
      </c>
      <c r="W203" t="s">
        <v>3997</v>
      </c>
      <c r="X203" t="s">
        <v>3998</v>
      </c>
      <c r="Y203" t="s">
        <v>3999</v>
      </c>
      <c r="Z203" t="s">
        <v>4000</v>
      </c>
      <c r="AA203" t="s">
        <v>4001</v>
      </c>
      <c r="AB203" t="s">
        <v>4002</v>
      </c>
      <c r="AC203" t="s">
        <v>4003</v>
      </c>
      <c r="AD203" t="s">
        <v>4004</v>
      </c>
      <c r="AE203" t="s">
        <v>4005</v>
      </c>
      <c r="AF203" t="s">
        <v>74</v>
      </c>
      <c r="AG203">
        <v>45</v>
      </c>
      <c r="AH203">
        <v>5</v>
      </c>
      <c r="AI203">
        <v>5</v>
      </c>
      <c r="AJ203">
        <v>20</v>
      </c>
      <c r="AK203">
        <v>53</v>
      </c>
      <c r="AL203" t="s">
        <v>803</v>
      </c>
      <c r="AM203" t="s">
        <v>227</v>
      </c>
      <c r="AN203" t="s">
        <v>804</v>
      </c>
      <c r="AO203" t="s">
        <v>4006</v>
      </c>
      <c r="AP203" t="s">
        <v>4007</v>
      </c>
      <c r="AQ203" t="s">
        <v>74</v>
      </c>
      <c r="AR203" t="s">
        <v>4008</v>
      </c>
      <c r="AS203" t="s">
        <v>4009</v>
      </c>
      <c r="AT203" t="s">
        <v>1275</v>
      </c>
      <c r="AU203">
        <v>2022</v>
      </c>
      <c r="AV203">
        <v>9</v>
      </c>
      <c r="AW203" t="s">
        <v>4010</v>
      </c>
      <c r="AX203" t="s">
        <v>74</v>
      </c>
      <c r="AY203" t="s">
        <v>74</v>
      </c>
      <c r="AZ203" t="s">
        <v>74</v>
      </c>
      <c r="BA203" t="s">
        <v>74</v>
      </c>
      <c r="BB203">
        <v>139</v>
      </c>
      <c r="BC203">
        <v>147</v>
      </c>
      <c r="BD203" t="s">
        <v>74</v>
      </c>
      <c r="BE203" t="s">
        <v>4011</v>
      </c>
      <c r="BF203" t="str">
        <f>HYPERLINK("http://dx.doi.org/10.1007/s40636-022-00259-z","http://dx.doi.org/10.1007/s40636-022-00259-z")</f>
        <v>http://dx.doi.org/10.1007/s40636-022-00259-z</v>
      </c>
      <c r="BG203" t="s">
        <v>74</v>
      </c>
      <c r="BH203" t="s">
        <v>74</v>
      </c>
      <c r="BI203">
        <v>9</v>
      </c>
      <c r="BJ203" t="s">
        <v>4012</v>
      </c>
      <c r="BK203" t="s">
        <v>125</v>
      </c>
      <c r="BL203" t="s">
        <v>4012</v>
      </c>
      <c r="BM203" t="s">
        <v>4013</v>
      </c>
      <c r="BN203" t="s">
        <v>74</v>
      </c>
      <c r="BO203" t="s">
        <v>156</v>
      </c>
      <c r="BP203" t="s">
        <v>74</v>
      </c>
      <c r="BQ203" t="s">
        <v>74</v>
      </c>
      <c r="BR203" t="s">
        <v>102</v>
      </c>
      <c r="BS203" t="s">
        <v>4014</v>
      </c>
      <c r="BT203" t="str">
        <f>HYPERLINK("https%3A%2F%2Fwww.webofscience.com%2Fwos%2Fwoscc%2Ffull-record%2FWOS:000903593500002","View Full Record in Web of Science")</f>
        <v>View Full Record in Web of Science</v>
      </c>
    </row>
    <row r="204" spans="1:72" x14ac:dyDescent="0.35">
      <c r="A204" t="s">
        <v>72</v>
      </c>
      <c r="B204" t="s">
        <v>4015</v>
      </c>
      <c r="C204" t="s">
        <v>74</v>
      </c>
      <c r="D204" t="s">
        <v>74</v>
      </c>
      <c r="E204" t="s">
        <v>74</v>
      </c>
      <c r="F204" t="s">
        <v>4016</v>
      </c>
      <c r="G204" t="s">
        <v>74</v>
      </c>
      <c r="H204" t="s">
        <v>74</v>
      </c>
      <c r="I204" t="s">
        <v>4017</v>
      </c>
      <c r="J204" t="s">
        <v>4018</v>
      </c>
      <c r="K204" t="s">
        <v>74</v>
      </c>
      <c r="L204" t="s">
        <v>74</v>
      </c>
      <c r="M204" t="s">
        <v>78</v>
      </c>
      <c r="N204" t="s">
        <v>79</v>
      </c>
      <c r="O204" t="s">
        <v>74</v>
      </c>
      <c r="P204" t="s">
        <v>74</v>
      </c>
      <c r="Q204" t="s">
        <v>74</v>
      </c>
      <c r="R204" t="s">
        <v>74</v>
      </c>
      <c r="S204" t="s">
        <v>74</v>
      </c>
      <c r="T204" t="s">
        <v>4019</v>
      </c>
      <c r="U204" t="s">
        <v>4020</v>
      </c>
      <c r="V204" t="s">
        <v>4021</v>
      </c>
      <c r="W204" t="s">
        <v>4022</v>
      </c>
      <c r="X204" t="s">
        <v>4023</v>
      </c>
      <c r="Y204" t="s">
        <v>4024</v>
      </c>
      <c r="Z204" t="s">
        <v>4025</v>
      </c>
      <c r="AA204" t="s">
        <v>4026</v>
      </c>
      <c r="AB204" t="s">
        <v>74</v>
      </c>
      <c r="AC204" t="s">
        <v>74</v>
      </c>
      <c r="AD204" t="s">
        <v>74</v>
      </c>
      <c r="AE204" t="s">
        <v>74</v>
      </c>
      <c r="AF204" t="s">
        <v>74</v>
      </c>
      <c r="AG204">
        <v>165</v>
      </c>
      <c r="AH204">
        <v>0</v>
      </c>
      <c r="AI204">
        <v>1</v>
      </c>
      <c r="AJ204">
        <v>46</v>
      </c>
      <c r="AK204">
        <v>106</v>
      </c>
      <c r="AL204" t="s">
        <v>665</v>
      </c>
      <c r="AM204" t="s">
        <v>666</v>
      </c>
      <c r="AN204" t="s">
        <v>667</v>
      </c>
      <c r="AO204" t="s">
        <v>4027</v>
      </c>
      <c r="AP204" t="s">
        <v>4028</v>
      </c>
      <c r="AQ204" t="s">
        <v>74</v>
      </c>
      <c r="AR204" t="s">
        <v>4029</v>
      </c>
      <c r="AS204" t="s">
        <v>4030</v>
      </c>
      <c r="AT204" t="s">
        <v>4031</v>
      </c>
      <c r="AU204">
        <v>2024</v>
      </c>
      <c r="AV204" t="s">
        <v>74</v>
      </c>
      <c r="AW204" t="s">
        <v>74</v>
      </c>
      <c r="AX204" t="s">
        <v>74</v>
      </c>
      <c r="AY204" t="s">
        <v>74</v>
      </c>
      <c r="AZ204" t="s">
        <v>74</v>
      </c>
      <c r="BA204" t="s">
        <v>74</v>
      </c>
      <c r="BB204" t="s">
        <v>74</v>
      </c>
      <c r="BC204" t="s">
        <v>74</v>
      </c>
      <c r="BD204" t="s">
        <v>74</v>
      </c>
      <c r="BE204" t="s">
        <v>4032</v>
      </c>
      <c r="BF204" t="str">
        <f>HYPERLINK("http://dx.doi.org/10.1007/s11469-023-01224-6","http://dx.doi.org/10.1007/s11469-023-01224-6")</f>
        <v>http://dx.doi.org/10.1007/s11469-023-01224-6</v>
      </c>
      <c r="BG204" t="s">
        <v>74</v>
      </c>
      <c r="BH204" t="s">
        <v>1377</v>
      </c>
      <c r="BI204">
        <v>23</v>
      </c>
      <c r="BJ204" t="s">
        <v>4033</v>
      </c>
      <c r="BK204" t="s">
        <v>182</v>
      </c>
      <c r="BL204" t="s">
        <v>4034</v>
      </c>
      <c r="BM204" t="s">
        <v>4035</v>
      </c>
      <c r="BN204" t="s">
        <v>74</v>
      </c>
      <c r="BO204" t="s">
        <v>156</v>
      </c>
      <c r="BP204" t="s">
        <v>74</v>
      </c>
      <c r="BQ204" t="s">
        <v>74</v>
      </c>
      <c r="BR204" t="s">
        <v>102</v>
      </c>
      <c r="BS204" t="s">
        <v>4036</v>
      </c>
      <c r="BT204" t="str">
        <f>HYPERLINK("https%3A%2F%2Fwww.webofscience.com%2Fwos%2Fwoscc%2Ffull-record%2FWOS:001136765800001","View Full Record in Web of Science")</f>
        <v>View Full Record in Web of Science</v>
      </c>
    </row>
    <row r="205" spans="1:72" x14ac:dyDescent="0.35">
      <c r="A205" t="s">
        <v>72</v>
      </c>
      <c r="B205" t="s">
        <v>4037</v>
      </c>
      <c r="C205" t="s">
        <v>74</v>
      </c>
      <c r="D205" t="s">
        <v>74</v>
      </c>
      <c r="E205" t="s">
        <v>74</v>
      </c>
      <c r="F205" t="s">
        <v>4038</v>
      </c>
      <c r="G205" t="s">
        <v>74</v>
      </c>
      <c r="H205" t="s">
        <v>74</v>
      </c>
      <c r="I205" t="s">
        <v>4039</v>
      </c>
      <c r="J205" t="s">
        <v>4040</v>
      </c>
      <c r="K205" t="s">
        <v>74</v>
      </c>
      <c r="L205" t="s">
        <v>74</v>
      </c>
      <c r="M205" t="s">
        <v>78</v>
      </c>
      <c r="N205" t="s">
        <v>108</v>
      </c>
      <c r="O205" t="s">
        <v>74</v>
      </c>
      <c r="P205" t="s">
        <v>74</v>
      </c>
      <c r="Q205" t="s">
        <v>74</v>
      </c>
      <c r="R205" t="s">
        <v>74</v>
      </c>
      <c r="S205" t="s">
        <v>74</v>
      </c>
      <c r="T205" t="s">
        <v>4041</v>
      </c>
      <c r="U205" t="s">
        <v>4042</v>
      </c>
      <c r="V205" t="s">
        <v>4043</v>
      </c>
      <c r="W205" t="s">
        <v>4044</v>
      </c>
      <c r="X205" t="s">
        <v>4045</v>
      </c>
      <c r="Y205" t="s">
        <v>4046</v>
      </c>
      <c r="Z205" t="s">
        <v>74</v>
      </c>
      <c r="AA205" t="s">
        <v>4047</v>
      </c>
      <c r="AB205" t="s">
        <v>4048</v>
      </c>
      <c r="AC205" t="s">
        <v>74</v>
      </c>
      <c r="AD205" t="s">
        <v>74</v>
      </c>
      <c r="AE205" t="s">
        <v>4049</v>
      </c>
      <c r="AF205" t="s">
        <v>74</v>
      </c>
      <c r="AG205">
        <v>45</v>
      </c>
      <c r="AH205">
        <v>3</v>
      </c>
      <c r="AI205">
        <v>3</v>
      </c>
      <c r="AJ205">
        <v>3</v>
      </c>
      <c r="AK205">
        <v>3</v>
      </c>
      <c r="AL205" t="s">
        <v>4050</v>
      </c>
      <c r="AM205" t="s">
        <v>4051</v>
      </c>
      <c r="AN205" t="s">
        <v>4052</v>
      </c>
      <c r="AO205" t="s">
        <v>4053</v>
      </c>
      <c r="AP205" t="s">
        <v>74</v>
      </c>
      <c r="AQ205" t="s">
        <v>74</v>
      </c>
      <c r="AR205" t="s">
        <v>4054</v>
      </c>
      <c r="AS205" t="s">
        <v>4055</v>
      </c>
      <c r="AT205" t="s">
        <v>4056</v>
      </c>
      <c r="AU205">
        <v>2024</v>
      </c>
      <c r="AV205">
        <v>10</v>
      </c>
      <c r="AW205">
        <v>1</v>
      </c>
      <c r="AX205" t="s">
        <v>74</v>
      </c>
      <c r="AY205" t="s">
        <v>74</v>
      </c>
      <c r="AZ205" t="s">
        <v>74</v>
      </c>
      <c r="BA205" t="s">
        <v>74</v>
      </c>
      <c r="BB205">
        <v>27</v>
      </c>
      <c r="BC205">
        <v>51</v>
      </c>
      <c r="BD205" t="s">
        <v>74</v>
      </c>
      <c r="BE205" t="s">
        <v>4057</v>
      </c>
      <c r="BF205" t="str">
        <f>HYPERLINK("http://dx.doi.org/10.20899/jpna.dky82f18","http://dx.doi.org/10.20899/jpna.dky82f18")</f>
        <v>http://dx.doi.org/10.20899/jpna.dky82f18</v>
      </c>
      <c r="BG205" t="s">
        <v>74</v>
      </c>
      <c r="BH205" t="s">
        <v>74</v>
      </c>
      <c r="BI205">
        <v>25</v>
      </c>
      <c r="BJ205" t="s">
        <v>4058</v>
      </c>
      <c r="BK205" t="s">
        <v>125</v>
      </c>
      <c r="BL205" t="s">
        <v>4058</v>
      </c>
      <c r="BM205" t="s">
        <v>4059</v>
      </c>
      <c r="BN205" t="s">
        <v>74</v>
      </c>
      <c r="BO205" t="s">
        <v>235</v>
      </c>
      <c r="BP205" t="s">
        <v>74</v>
      </c>
      <c r="BQ205" t="s">
        <v>74</v>
      </c>
      <c r="BR205" t="s">
        <v>102</v>
      </c>
      <c r="BS205" t="s">
        <v>4060</v>
      </c>
      <c r="BT205" t="str">
        <f>HYPERLINK("https%3A%2F%2Fwww.webofscience.com%2Fwos%2Fwoscc%2Ffull-record%2FWOS:001292969100003","View Full Record in Web of Science")</f>
        <v>View Full Record in Web of Science</v>
      </c>
    </row>
    <row r="206" spans="1:72" x14ac:dyDescent="0.35">
      <c r="A206" t="s">
        <v>72</v>
      </c>
      <c r="B206" t="s">
        <v>4061</v>
      </c>
      <c r="C206" t="s">
        <v>74</v>
      </c>
      <c r="D206" t="s">
        <v>74</v>
      </c>
      <c r="E206" t="s">
        <v>74</v>
      </c>
      <c r="F206" t="s">
        <v>4062</v>
      </c>
      <c r="G206" t="s">
        <v>74</v>
      </c>
      <c r="H206" t="s">
        <v>74</v>
      </c>
      <c r="I206" t="s">
        <v>4063</v>
      </c>
      <c r="J206" t="s">
        <v>216</v>
      </c>
      <c r="K206" t="s">
        <v>74</v>
      </c>
      <c r="L206" t="s">
        <v>74</v>
      </c>
      <c r="M206" t="s">
        <v>78</v>
      </c>
      <c r="N206" t="s">
        <v>108</v>
      </c>
      <c r="O206" t="s">
        <v>74</v>
      </c>
      <c r="P206" t="s">
        <v>74</v>
      </c>
      <c r="Q206" t="s">
        <v>74</v>
      </c>
      <c r="R206" t="s">
        <v>74</v>
      </c>
      <c r="S206" t="s">
        <v>74</v>
      </c>
      <c r="T206" t="s">
        <v>4064</v>
      </c>
      <c r="U206" t="s">
        <v>74</v>
      </c>
      <c r="V206" t="s">
        <v>4065</v>
      </c>
      <c r="W206" t="s">
        <v>4066</v>
      </c>
      <c r="X206" t="s">
        <v>4067</v>
      </c>
      <c r="Y206" t="s">
        <v>4068</v>
      </c>
      <c r="Z206" t="s">
        <v>1519</v>
      </c>
      <c r="AA206" t="s">
        <v>1520</v>
      </c>
      <c r="AB206" t="s">
        <v>4069</v>
      </c>
      <c r="AC206" t="s">
        <v>74</v>
      </c>
      <c r="AD206" t="s">
        <v>74</v>
      </c>
      <c r="AE206" t="s">
        <v>74</v>
      </c>
      <c r="AF206" t="s">
        <v>74</v>
      </c>
      <c r="AG206">
        <v>21</v>
      </c>
      <c r="AH206">
        <v>8</v>
      </c>
      <c r="AI206">
        <v>12</v>
      </c>
      <c r="AJ206">
        <v>14</v>
      </c>
      <c r="AK206">
        <v>50</v>
      </c>
      <c r="AL206" t="s">
        <v>226</v>
      </c>
      <c r="AM206" t="s">
        <v>227</v>
      </c>
      <c r="AN206" t="s">
        <v>228</v>
      </c>
      <c r="AO206" t="s">
        <v>229</v>
      </c>
      <c r="AP206" t="s">
        <v>74</v>
      </c>
      <c r="AQ206" t="s">
        <v>74</v>
      </c>
      <c r="AR206" t="s">
        <v>230</v>
      </c>
      <c r="AS206" t="s">
        <v>231</v>
      </c>
      <c r="AT206" t="s">
        <v>232</v>
      </c>
      <c r="AU206">
        <v>2023</v>
      </c>
      <c r="AV206">
        <v>9</v>
      </c>
      <c r="AW206">
        <v>1</v>
      </c>
      <c r="AX206" t="s">
        <v>74</v>
      </c>
      <c r="AY206" t="s">
        <v>74</v>
      </c>
      <c r="AZ206" t="s">
        <v>74</v>
      </c>
      <c r="BA206" t="s">
        <v>74</v>
      </c>
      <c r="BB206" t="s">
        <v>74</v>
      </c>
      <c r="BC206" t="s">
        <v>74</v>
      </c>
      <c r="BD206">
        <v>2.0563051231157596E+16</v>
      </c>
      <c r="BE206" t="s">
        <v>4070</v>
      </c>
      <c r="BF206" t="str">
        <f>HYPERLINK("http://dx.doi.org/10.1177/20563051231157595","http://dx.doi.org/10.1177/20563051231157595")</f>
        <v>http://dx.doi.org/10.1177/20563051231157595</v>
      </c>
      <c r="BG206" t="s">
        <v>74</v>
      </c>
      <c r="BH206" t="s">
        <v>74</v>
      </c>
      <c r="BI206">
        <v>3</v>
      </c>
      <c r="BJ206" t="s">
        <v>124</v>
      </c>
      <c r="BK206" t="s">
        <v>99</v>
      </c>
      <c r="BL206" t="s">
        <v>124</v>
      </c>
      <c r="BM206" t="s">
        <v>4071</v>
      </c>
      <c r="BN206" t="s">
        <v>74</v>
      </c>
      <c r="BO206" t="s">
        <v>235</v>
      </c>
      <c r="BP206" t="s">
        <v>74</v>
      </c>
      <c r="BQ206" t="s">
        <v>74</v>
      </c>
      <c r="BR206" t="s">
        <v>102</v>
      </c>
      <c r="BS206" t="s">
        <v>4072</v>
      </c>
      <c r="BT206" t="str">
        <f>HYPERLINK("https%3A%2F%2Fwww.webofscience.com%2Fwos%2Fwoscc%2Ffull-record%2FWOS:000939709300001","View Full Record in Web of Science")</f>
        <v>View Full Record in Web of Science</v>
      </c>
    </row>
    <row r="207" spans="1:72" x14ac:dyDescent="0.35">
      <c r="A207" t="s">
        <v>72</v>
      </c>
      <c r="B207" t="s">
        <v>4073</v>
      </c>
      <c r="C207" t="s">
        <v>74</v>
      </c>
      <c r="D207" t="s">
        <v>74</v>
      </c>
      <c r="E207" t="s">
        <v>74</v>
      </c>
      <c r="F207" t="s">
        <v>4074</v>
      </c>
      <c r="G207" t="s">
        <v>74</v>
      </c>
      <c r="H207" t="s">
        <v>74</v>
      </c>
      <c r="I207" t="s">
        <v>4075</v>
      </c>
      <c r="J207" t="s">
        <v>4076</v>
      </c>
      <c r="K207" t="s">
        <v>74</v>
      </c>
      <c r="L207" t="s">
        <v>74</v>
      </c>
      <c r="M207" t="s">
        <v>78</v>
      </c>
      <c r="N207" t="s">
        <v>4077</v>
      </c>
      <c r="O207" t="s">
        <v>74</v>
      </c>
      <c r="P207" t="s">
        <v>74</v>
      </c>
      <c r="Q207" t="s">
        <v>74</v>
      </c>
      <c r="R207" t="s">
        <v>74</v>
      </c>
      <c r="S207" t="s">
        <v>74</v>
      </c>
      <c r="T207" t="s">
        <v>4078</v>
      </c>
      <c r="U207" t="s">
        <v>218</v>
      </c>
      <c r="V207" t="s">
        <v>4079</v>
      </c>
      <c r="W207" t="s">
        <v>4080</v>
      </c>
      <c r="X207" t="s">
        <v>4081</v>
      </c>
      <c r="Y207" t="s">
        <v>4082</v>
      </c>
      <c r="Z207" t="s">
        <v>4083</v>
      </c>
      <c r="AA207" t="s">
        <v>4084</v>
      </c>
      <c r="AB207" t="s">
        <v>4085</v>
      </c>
      <c r="AC207" t="s">
        <v>74</v>
      </c>
      <c r="AD207" t="s">
        <v>74</v>
      </c>
      <c r="AE207" t="s">
        <v>74</v>
      </c>
      <c r="AF207" t="s">
        <v>74</v>
      </c>
      <c r="AG207">
        <v>60</v>
      </c>
      <c r="AH207">
        <v>0</v>
      </c>
      <c r="AI207">
        <v>0</v>
      </c>
      <c r="AJ207">
        <v>0</v>
      </c>
      <c r="AK207">
        <v>0</v>
      </c>
      <c r="AL207" t="s">
        <v>171</v>
      </c>
      <c r="AM207" t="s">
        <v>172</v>
      </c>
      <c r="AN207" t="s">
        <v>173</v>
      </c>
      <c r="AO207" t="s">
        <v>4086</v>
      </c>
      <c r="AP207" t="s">
        <v>4087</v>
      </c>
      <c r="AQ207" t="s">
        <v>74</v>
      </c>
      <c r="AR207" t="s">
        <v>4088</v>
      </c>
      <c r="AS207" t="s">
        <v>4089</v>
      </c>
      <c r="AT207" t="s">
        <v>4090</v>
      </c>
      <c r="AU207">
        <v>2024</v>
      </c>
      <c r="AV207" t="s">
        <v>74</v>
      </c>
      <c r="AW207" t="s">
        <v>74</v>
      </c>
      <c r="AX207" t="s">
        <v>74</v>
      </c>
      <c r="AY207" t="s">
        <v>74</v>
      </c>
      <c r="AZ207" t="s">
        <v>74</v>
      </c>
      <c r="BA207" t="s">
        <v>74</v>
      </c>
      <c r="BB207" t="s">
        <v>74</v>
      </c>
      <c r="BC207" t="s">
        <v>74</v>
      </c>
      <c r="BD207" t="s">
        <v>74</v>
      </c>
      <c r="BE207" t="s">
        <v>4091</v>
      </c>
      <c r="BF207" t="str">
        <f>HYPERLINK("http://dx.doi.org/10.1177/03400352241286175","http://dx.doi.org/10.1177/03400352241286175")</f>
        <v>http://dx.doi.org/10.1177/03400352241286175</v>
      </c>
      <c r="BG207" t="s">
        <v>74</v>
      </c>
      <c r="BH207" t="s">
        <v>4092</v>
      </c>
      <c r="BI207">
        <v>12</v>
      </c>
      <c r="BJ207" t="s">
        <v>1162</v>
      </c>
      <c r="BK207" t="s">
        <v>125</v>
      </c>
      <c r="BL207" t="s">
        <v>1162</v>
      </c>
      <c r="BM207" t="s">
        <v>4093</v>
      </c>
      <c r="BN207" t="s">
        <v>74</v>
      </c>
      <c r="BO207" t="s">
        <v>156</v>
      </c>
      <c r="BP207" t="s">
        <v>74</v>
      </c>
      <c r="BQ207" t="s">
        <v>74</v>
      </c>
      <c r="BR207" t="s">
        <v>102</v>
      </c>
      <c r="BS207" t="s">
        <v>4094</v>
      </c>
      <c r="BT207" t="str">
        <f>HYPERLINK("https%3A%2F%2Fwww.webofscience.com%2Fwos%2Fwoscc%2Ffull-record%2FWOS:001349428600001","View Full Record in Web of Science")</f>
        <v>View Full Record in Web of Science</v>
      </c>
    </row>
    <row r="208" spans="1:72" x14ac:dyDescent="0.35">
      <c r="A208" t="s">
        <v>72</v>
      </c>
      <c r="B208" t="s">
        <v>4095</v>
      </c>
      <c r="C208" t="s">
        <v>74</v>
      </c>
      <c r="D208" t="s">
        <v>74</v>
      </c>
      <c r="E208" t="s">
        <v>74</v>
      </c>
      <c r="F208" t="s">
        <v>4096</v>
      </c>
      <c r="G208" t="s">
        <v>74</v>
      </c>
      <c r="H208" t="s">
        <v>74</v>
      </c>
      <c r="I208" t="s">
        <v>4097</v>
      </c>
      <c r="J208" t="s">
        <v>968</v>
      </c>
      <c r="K208" t="s">
        <v>74</v>
      </c>
      <c r="L208" t="s">
        <v>74</v>
      </c>
      <c r="M208" t="s">
        <v>78</v>
      </c>
      <c r="N208" t="s">
        <v>108</v>
      </c>
      <c r="O208" t="s">
        <v>74</v>
      </c>
      <c r="P208" t="s">
        <v>74</v>
      </c>
      <c r="Q208" t="s">
        <v>74</v>
      </c>
      <c r="R208" t="s">
        <v>74</v>
      </c>
      <c r="S208" t="s">
        <v>74</v>
      </c>
      <c r="T208" t="s">
        <v>4098</v>
      </c>
      <c r="U208" t="s">
        <v>74</v>
      </c>
      <c r="V208" t="s">
        <v>4099</v>
      </c>
      <c r="W208" t="s">
        <v>4100</v>
      </c>
      <c r="X208" t="s">
        <v>4101</v>
      </c>
      <c r="Y208" t="s">
        <v>4102</v>
      </c>
      <c r="Z208" t="s">
        <v>4103</v>
      </c>
      <c r="AA208" t="s">
        <v>1084</v>
      </c>
      <c r="AB208" t="s">
        <v>2713</v>
      </c>
      <c r="AC208" t="s">
        <v>4104</v>
      </c>
      <c r="AD208" t="s">
        <v>4105</v>
      </c>
      <c r="AE208" t="s">
        <v>4106</v>
      </c>
      <c r="AF208" t="s">
        <v>74</v>
      </c>
      <c r="AG208">
        <v>54</v>
      </c>
      <c r="AH208">
        <v>3</v>
      </c>
      <c r="AI208">
        <v>3</v>
      </c>
      <c r="AJ208">
        <v>1</v>
      </c>
      <c r="AK208">
        <v>15</v>
      </c>
      <c r="AL208" t="s">
        <v>226</v>
      </c>
      <c r="AM208" t="s">
        <v>227</v>
      </c>
      <c r="AN208" t="s">
        <v>228</v>
      </c>
      <c r="AO208" t="s">
        <v>978</v>
      </c>
      <c r="AP208" t="s">
        <v>979</v>
      </c>
      <c r="AQ208" t="s">
        <v>74</v>
      </c>
      <c r="AR208" t="s">
        <v>980</v>
      </c>
      <c r="AS208" t="s">
        <v>981</v>
      </c>
      <c r="AT208" t="s">
        <v>178</v>
      </c>
      <c r="AU208">
        <v>2023</v>
      </c>
      <c r="AV208">
        <v>186</v>
      </c>
      <c r="AW208">
        <v>1</v>
      </c>
      <c r="AX208" t="s">
        <v>74</v>
      </c>
      <c r="AY208" t="s">
        <v>74</v>
      </c>
      <c r="AZ208" t="s">
        <v>456</v>
      </c>
      <c r="BA208" t="s">
        <v>74</v>
      </c>
      <c r="BB208">
        <v>3</v>
      </c>
      <c r="BC208">
        <v>10</v>
      </c>
      <c r="BD208" t="s">
        <v>74</v>
      </c>
      <c r="BE208" t="s">
        <v>4107</v>
      </c>
      <c r="BF208" t="str">
        <f>HYPERLINK("http://dx.doi.org/10.1177/1329878X221130126","http://dx.doi.org/10.1177/1329878X221130126")</f>
        <v>http://dx.doi.org/10.1177/1329878X221130126</v>
      </c>
      <c r="BG208" t="s">
        <v>74</v>
      </c>
      <c r="BH208" t="s">
        <v>2034</v>
      </c>
      <c r="BI208">
        <v>8</v>
      </c>
      <c r="BJ208" t="s">
        <v>124</v>
      </c>
      <c r="BK208" t="s">
        <v>99</v>
      </c>
      <c r="BL208" t="s">
        <v>124</v>
      </c>
      <c r="BM208" t="s">
        <v>983</v>
      </c>
      <c r="BN208" t="s">
        <v>74</v>
      </c>
      <c r="BO208" t="s">
        <v>74</v>
      </c>
      <c r="BP208" t="s">
        <v>74</v>
      </c>
      <c r="BQ208" t="s">
        <v>74</v>
      </c>
      <c r="BR208" t="s">
        <v>102</v>
      </c>
      <c r="BS208" t="s">
        <v>4108</v>
      </c>
      <c r="BT208" t="str">
        <f>HYPERLINK("https%3A%2F%2Fwww.webofscience.com%2Fwos%2Fwoscc%2Ffull-record%2FWOS:000869419300001","View Full Record in Web of Science")</f>
        <v>View Full Record in Web of Science</v>
      </c>
    </row>
    <row r="209" spans="1:72" x14ac:dyDescent="0.35">
      <c r="A209" t="s">
        <v>72</v>
      </c>
      <c r="B209" t="s">
        <v>4109</v>
      </c>
      <c r="C209" t="s">
        <v>74</v>
      </c>
      <c r="D209" t="s">
        <v>74</v>
      </c>
      <c r="E209" t="s">
        <v>74</v>
      </c>
      <c r="F209" t="s">
        <v>4110</v>
      </c>
      <c r="G209" t="s">
        <v>74</v>
      </c>
      <c r="H209" t="s">
        <v>74</v>
      </c>
      <c r="I209" t="s">
        <v>4111</v>
      </c>
      <c r="J209" t="s">
        <v>4112</v>
      </c>
      <c r="K209" t="s">
        <v>74</v>
      </c>
      <c r="L209" t="s">
        <v>74</v>
      </c>
      <c r="M209" t="s">
        <v>78</v>
      </c>
      <c r="N209" t="s">
        <v>108</v>
      </c>
      <c r="O209" t="s">
        <v>74</v>
      </c>
      <c r="P209" t="s">
        <v>74</v>
      </c>
      <c r="Q209" t="s">
        <v>74</v>
      </c>
      <c r="R209" t="s">
        <v>74</v>
      </c>
      <c r="S209" t="s">
        <v>74</v>
      </c>
      <c r="T209" t="s">
        <v>4113</v>
      </c>
      <c r="U209" t="s">
        <v>4114</v>
      </c>
      <c r="V209" t="s">
        <v>4115</v>
      </c>
      <c r="W209" t="s">
        <v>4116</v>
      </c>
      <c r="X209" t="s">
        <v>4117</v>
      </c>
      <c r="Y209" t="s">
        <v>4118</v>
      </c>
      <c r="Z209" t="s">
        <v>4119</v>
      </c>
      <c r="AA209" t="s">
        <v>4120</v>
      </c>
      <c r="AB209" t="s">
        <v>4121</v>
      </c>
      <c r="AC209" t="s">
        <v>4122</v>
      </c>
      <c r="AD209" t="s">
        <v>4122</v>
      </c>
      <c r="AE209" t="s">
        <v>4123</v>
      </c>
      <c r="AF209" t="s">
        <v>74</v>
      </c>
      <c r="AG209">
        <v>56</v>
      </c>
      <c r="AH209">
        <v>1</v>
      </c>
      <c r="AI209">
        <v>1</v>
      </c>
      <c r="AJ209">
        <v>10</v>
      </c>
      <c r="AK209">
        <v>10</v>
      </c>
      <c r="AL209" t="s">
        <v>543</v>
      </c>
      <c r="AM209" t="s">
        <v>544</v>
      </c>
      <c r="AN209" t="s">
        <v>545</v>
      </c>
      <c r="AO209" t="s">
        <v>74</v>
      </c>
      <c r="AP209" t="s">
        <v>4124</v>
      </c>
      <c r="AQ209" t="s">
        <v>74</v>
      </c>
      <c r="AR209" t="s">
        <v>4125</v>
      </c>
      <c r="AS209" t="s">
        <v>4126</v>
      </c>
      <c r="AT209" t="s">
        <v>74</v>
      </c>
      <c r="AU209">
        <v>2024</v>
      </c>
      <c r="AV209">
        <v>4</v>
      </c>
      <c r="AW209">
        <v>1</v>
      </c>
      <c r="AX209" t="s">
        <v>74</v>
      </c>
      <c r="AY209" t="s">
        <v>74</v>
      </c>
      <c r="AZ209" t="s">
        <v>74</v>
      </c>
      <c r="BA209" t="s">
        <v>74</v>
      </c>
      <c r="BB209" t="s">
        <v>74</v>
      </c>
      <c r="BC209" t="s">
        <v>74</v>
      </c>
      <c r="BD209" t="s">
        <v>4127</v>
      </c>
      <c r="BE209" t="s">
        <v>4128</v>
      </c>
      <c r="BF209" t="str">
        <f>HYPERLINK("http://dx.doi.org/10.2196/54663","http://dx.doi.org/10.2196/54663")</f>
        <v>http://dx.doi.org/10.2196/54663</v>
      </c>
      <c r="BG209" t="s">
        <v>74</v>
      </c>
      <c r="BH209" t="s">
        <v>74</v>
      </c>
      <c r="BI209">
        <v>16</v>
      </c>
      <c r="BJ209" t="s">
        <v>4129</v>
      </c>
      <c r="BK209" t="s">
        <v>125</v>
      </c>
      <c r="BL209" t="s">
        <v>4129</v>
      </c>
      <c r="BM209" t="s">
        <v>4130</v>
      </c>
      <c r="BN209">
        <v>38772020</v>
      </c>
      <c r="BO209" t="s">
        <v>394</v>
      </c>
      <c r="BP209" t="s">
        <v>74</v>
      </c>
      <c r="BQ209" t="s">
        <v>74</v>
      </c>
      <c r="BR209" t="s">
        <v>102</v>
      </c>
      <c r="BS209" t="s">
        <v>4131</v>
      </c>
      <c r="BT209" t="str">
        <f>HYPERLINK("https%3A%2F%2Fwww.webofscience.com%2Fwos%2Fwoscc%2Ffull-record%2FWOS:001235038600001","View Full Record in Web of Science")</f>
        <v>View Full Record in Web of Science</v>
      </c>
    </row>
    <row r="210" spans="1:72" x14ac:dyDescent="0.35">
      <c r="A210" t="s">
        <v>72</v>
      </c>
      <c r="B210" t="s">
        <v>4132</v>
      </c>
      <c r="C210" t="s">
        <v>74</v>
      </c>
      <c r="D210" t="s">
        <v>74</v>
      </c>
      <c r="E210" t="s">
        <v>74</v>
      </c>
      <c r="F210" t="s">
        <v>4133</v>
      </c>
      <c r="G210" t="s">
        <v>74</v>
      </c>
      <c r="H210" t="s">
        <v>74</v>
      </c>
      <c r="I210" t="s">
        <v>4134</v>
      </c>
      <c r="J210" t="s">
        <v>4135</v>
      </c>
      <c r="K210" t="s">
        <v>74</v>
      </c>
      <c r="L210" t="s">
        <v>74</v>
      </c>
      <c r="M210" t="s">
        <v>78</v>
      </c>
      <c r="N210" t="s">
        <v>108</v>
      </c>
      <c r="O210" t="s">
        <v>74</v>
      </c>
      <c r="P210" t="s">
        <v>74</v>
      </c>
      <c r="Q210" t="s">
        <v>74</v>
      </c>
      <c r="R210" t="s">
        <v>74</v>
      </c>
      <c r="S210" t="s">
        <v>74</v>
      </c>
      <c r="T210" t="s">
        <v>4136</v>
      </c>
      <c r="U210" t="s">
        <v>4137</v>
      </c>
      <c r="V210" t="s">
        <v>4138</v>
      </c>
      <c r="W210" t="s">
        <v>4139</v>
      </c>
      <c r="X210" t="s">
        <v>4140</v>
      </c>
      <c r="Y210" t="s">
        <v>4141</v>
      </c>
      <c r="Z210" t="s">
        <v>4142</v>
      </c>
      <c r="AA210" t="s">
        <v>4143</v>
      </c>
      <c r="AB210" t="s">
        <v>4144</v>
      </c>
      <c r="AC210" t="s">
        <v>4145</v>
      </c>
      <c r="AD210" t="s">
        <v>4146</v>
      </c>
      <c r="AE210" t="s">
        <v>4147</v>
      </c>
      <c r="AF210" t="s">
        <v>74</v>
      </c>
      <c r="AG210">
        <v>98</v>
      </c>
      <c r="AH210">
        <v>83</v>
      </c>
      <c r="AI210">
        <v>88</v>
      </c>
      <c r="AJ210">
        <v>71</v>
      </c>
      <c r="AK210">
        <v>422</v>
      </c>
      <c r="AL210" t="s">
        <v>3632</v>
      </c>
      <c r="AM210" t="s">
        <v>291</v>
      </c>
      <c r="AN210" t="s">
        <v>3633</v>
      </c>
      <c r="AO210" t="s">
        <v>4148</v>
      </c>
      <c r="AP210" t="s">
        <v>4149</v>
      </c>
      <c r="AQ210" t="s">
        <v>74</v>
      </c>
      <c r="AR210" t="s">
        <v>4150</v>
      </c>
      <c r="AS210" t="s">
        <v>4151</v>
      </c>
      <c r="AT210" t="s">
        <v>232</v>
      </c>
      <c r="AU210">
        <v>2023</v>
      </c>
      <c r="AV210">
        <v>70</v>
      </c>
      <c r="AW210" t="s">
        <v>74</v>
      </c>
      <c r="AX210" t="s">
        <v>74</v>
      </c>
      <c r="AY210" t="s">
        <v>74</v>
      </c>
      <c r="AZ210" t="s">
        <v>74</v>
      </c>
      <c r="BA210" t="s">
        <v>74</v>
      </c>
      <c r="BB210" t="s">
        <v>74</v>
      </c>
      <c r="BC210" t="s">
        <v>74</v>
      </c>
      <c r="BD210">
        <v>103149</v>
      </c>
      <c r="BE210" t="s">
        <v>4152</v>
      </c>
      <c r="BF210" t="str">
        <f>HYPERLINK("http://dx.doi.org/10.1016/j.jretconser.2022.103149","http://dx.doi.org/10.1016/j.jretconser.2022.103149")</f>
        <v>http://dx.doi.org/10.1016/j.jretconser.2022.103149</v>
      </c>
      <c r="BG210" t="s">
        <v>74</v>
      </c>
      <c r="BH210" t="s">
        <v>598</v>
      </c>
      <c r="BI210">
        <v>12</v>
      </c>
      <c r="BJ210" t="s">
        <v>1597</v>
      </c>
      <c r="BK210" t="s">
        <v>99</v>
      </c>
      <c r="BL210" t="s">
        <v>480</v>
      </c>
      <c r="BM210" t="s">
        <v>4153</v>
      </c>
      <c r="BN210" t="s">
        <v>74</v>
      </c>
      <c r="BO210" t="s">
        <v>4154</v>
      </c>
      <c r="BP210" t="s">
        <v>395</v>
      </c>
      <c r="BQ210" t="s">
        <v>396</v>
      </c>
      <c r="BR210" t="s">
        <v>102</v>
      </c>
      <c r="BS210" t="s">
        <v>4155</v>
      </c>
      <c r="BT210" t="str">
        <f>HYPERLINK("https%3A%2F%2Fwww.webofscience.com%2Fwos%2Fwoscc%2Ffull-record%2FWOS:000882144500013","View Full Record in Web of Science")</f>
        <v>View Full Record in Web of Science</v>
      </c>
    </row>
    <row r="211" spans="1:72" x14ac:dyDescent="0.35">
      <c r="A211" t="s">
        <v>72</v>
      </c>
      <c r="B211" t="s">
        <v>4156</v>
      </c>
      <c r="C211" t="s">
        <v>74</v>
      </c>
      <c r="D211" t="s">
        <v>74</v>
      </c>
      <c r="E211" t="s">
        <v>74</v>
      </c>
      <c r="F211" t="s">
        <v>4157</v>
      </c>
      <c r="G211" t="s">
        <v>74</v>
      </c>
      <c r="H211" t="s">
        <v>74</v>
      </c>
      <c r="I211" t="s">
        <v>4158</v>
      </c>
      <c r="J211" t="s">
        <v>4159</v>
      </c>
      <c r="K211" t="s">
        <v>74</v>
      </c>
      <c r="L211" t="s">
        <v>74</v>
      </c>
      <c r="M211" t="s">
        <v>78</v>
      </c>
      <c r="N211" t="s">
        <v>1328</v>
      </c>
      <c r="O211" t="s">
        <v>74</v>
      </c>
      <c r="P211" t="s">
        <v>74</v>
      </c>
      <c r="Q211" t="s">
        <v>74</v>
      </c>
      <c r="R211" t="s">
        <v>74</v>
      </c>
      <c r="S211" t="s">
        <v>74</v>
      </c>
      <c r="T211" t="s">
        <v>4160</v>
      </c>
      <c r="U211" t="s">
        <v>74</v>
      </c>
      <c r="V211" t="s">
        <v>74</v>
      </c>
      <c r="W211" t="s">
        <v>4161</v>
      </c>
      <c r="X211" t="s">
        <v>4162</v>
      </c>
      <c r="Y211" t="s">
        <v>4163</v>
      </c>
      <c r="Z211" t="s">
        <v>4164</v>
      </c>
      <c r="AA211" t="s">
        <v>74</v>
      </c>
      <c r="AB211" t="s">
        <v>74</v>
      </c>
      <c r="AC211" t="s">
        <v>74</v>
      </c>
      <c r="AD211" t="s">
        <v>74</v>
      </c>
      <c r="AE211" t="s">
        <v>74</v>
      </c>
      <c r="AF211" t="s">
        <v>74</v>
      </c>
      <c r="AG211">
        <v>3</v>
      </c>
      <c r="AH211">
        <v>0</v>
      </c>
      <c r="AI211">
        <v>0</v>
      </c>
      <c r="AJ211">
        <v>0</v>
      </c>
      <c r="AK211">
        <v>0</v>
      </c>
      <c r="AL211" t="s">
        <v>4165</v>
      </c>
      <c r="AM211" t="s">
        <v>640</v>
      </c>
      <c r="AN211" t="s">
        <v>641</v>
      </c>
      <c r="AO211" t="s">
        <v>4166</v>
      </c>
      <c r="AP211" t="s">
        <v>4167</v>
      </c>
      <c r="AQ211" t="s">
        <v>74</v>
      </c>
      <c r="AR211" t="s">
        <v>4168</v>
      </c>
      <c r="AS211" t="s">
        <v>4169</v>
      </c>
      <c r="AT211" t="s">
        <v>455</v>
      </c>
      <c r="AU211">
        <v>2024</v>
      </c>
      <c r="AV211">
        <v>13</v>
      </c>
      <c r="AW211">
        <v>9</v>
      </c>
      <c r="AX211" t="s">
        <v>74</v>
      </c>
      <c r="AY211" t="s">
        <v>74</v>
      </c>
      <c r="AZ211" t="s">
        <v>74</v>
      </c>
      <c r="BA211" t="s">
        <v>74</v>
      </c>
      <c r="BB211">
        <v>2509</v>
      </c>
      <c r="BC211">
        <v>2510</v>
      </c>
      <c r="BD211" t="s">
        <v>74</v>
      </c>
      <c r="BE211" t="s">
        <v>4170</v>
      </c>
      <c r="BF211" t="str">
        <f>HYPERLINK("http://dx.doi.org/10.1007/s40123-024-00990-3","http://dx.doi.org/10.1007/s40123-024-00990-3")</f>
        <v>http://dx.doi.org/10.1007/s40123-024-00990-3</v>
      </c>
      <c r="BG211" t="s">
        <v>74</v>
      </c>
      <c r="BH211" t="s">
        <v>478</v>
      </c>
      <c r="BI211">
        <v>2</v>
      </c>
      <c r="BJ211" t="s">
        <v>4171</v>
      </c>
      <c r="BK211" t="s">
        <v>209</v>
      </c>
      <c r="BL211" t="s">
        <v>4171</v>
      </c>
      <c r="BM211" t="s">
        <v>4172</v>
      </c>
      <c r="BN211">
        <v>38977606</v>
      </c>
      <c r="BO211" t="s">
        <v>394</v>
      </c>
      <c r="BP211" t="s">
        <v>74</v>
      </c>
      <c r="BQ211" t="s">
        <v>74</v>
      </c>
      <c r="BR211" t="s">
        <v>102</v>
      </c>
      <c r="BS211" t="s">
        <v>4173</v>
      </c>
      <c r="BT211" t="str">
        <f>HYPERLINK("https%3A%2F%2Fwww.webofscience.com%2Fwos%2Fwoscc%2Ffull-record%2FWOS:001265430900002","View Full Record in Web of Science")</f>
        <v>View Full Record in Web of Science</v>
      </c>
    </row>
    <row r="212" spans="1:72" x14ac:dyDescent="0.35">
      <c r="A212" t="s">
        <v>72</v>
      </c>
      <c r="B212" t="s">
        <v>4174</v>
      </c>
      <c r="C212" t="s">
        <v>74</v>
      </c>
      <c r="D212" t="s">
        <v>74</v>
      </c>
      <c r="E212" t="s">
        <v>74</v>
      </c>
      <c r="F212" t="s">
        <v>4175</v>
      </c>
      <c r="G212" t="s">
        <v>74</v>
      </c>
      <c r="H212" t="s">
        <v>74</v>
      </c>
      <c r="I212" t="s">
        <v>4176</v>
      </c>
      <c r="J212" t="s">
        <v>793</v>
      </c>
      <c r="K212" t="s">
        <v>74</v>
      </c>
      <c r="L212" t="s">
        <v>74</v>
      </c>
      <c r="M212" t="s">
        <v>78</v>
      </c>
      <c r="N212" t="s">
        <v>108</v>
      </c>
      <c r="O212" t="s">
        <v>74</v>
      </c>
      <c r="P212" t="s">
        <v>74</v>
      </c>
      <c r="Q212" t="s">
        <v>74</v>
      </c>
      <c r="R212" t="s">
        <v>74</v>
      </c>
      <c r="S212" t="s">
        <v>74</v>
      </c>
      <c r="T212" t="s">
        <v>4177</v>
      </c>
      <c r="U212" t="s">
        <v>4178</v>
      </c>
      <c r="V212" t="s">
        <v>4179</v>
      </c>
      <c r="W212" t="s">
        <v>4180</v>
      </c>
      <c r="X212" t="s">
        <v>4181</v>
      </c>
      <c r="Y212" t="s">
        <v>4182</v>
      </c>
      <c r="Z212" t="s">
        <v>4183</v>
      </c>
      <c r="AA212" t="s">
        <v>74</v>
      </c>
      <c r="AB212" t="s">
        <v>74</v>
      </c>
      <c r="AC212" t="s">
        <v>74</v>
      </c>
      <c r="AD212" t="s">
        <v>74</v>
      </c>
      <c r="AE212" t="s">
        <v>74</v>
      </c>
      <c r="AF212" t="s">
        <v>74</v>
      </c>
      <c r="AG212">
        <v>35</v>
      </c>
      <c r="AH212">
        <v>2</v>
      </c>
      <c r="AI212">
        <v>2</v>
      </c>
      <c r="AJ212">
        <v>15</v>
      </c>
      <c r="AK212">
        <v>38</v>
      </c>
      <c r="AL212" t="s">
        <v>803</v>
      </c>
      <c r="AM212" t="s">
        <v>227</v>
      </c>
      <c r="AN212" t="s">
        <v>804</v>
      </c>
      <c r="AO212" t="s">
        <v>74</v>
      </c>
      <c r="AP212" t="s">
        <v>805</v>
      </c>
      <c r="AQ212" t="s">
        <v>74</v>
      </c>
      <c r="AR212" t="s">
        <v>806</v>
      </c>
      <c r="AS212" t="s">
        <v>807</v>
      </c>
      <c r="AT212" t="s">
        <v>4184</v>
      </c>
      <c r="AU212">
        <v>2023</v>
      </c>
      <c r="AV212">
        <v>15</v>
      </c>
      <c r="AW212">
        <v>11</v>
      </c>
      <c r="AX212" t="s">
        <v>74</v>
      </c>
      <c r="AY212" t="s">
        <v>74</v>
      </c>
      <c r="AZ212" t="s">
        <v>74</v>
      </c>
      <c r="BA212" t="s">
        <v>74</v>
      </c>
      <c r="BB212" t="s">
        <v>74</v>
      </c>
      <c r="BC212" t="s">
        <v>74</v>
      </c>
      <c r="BD212" t="s">
        <v>4185</v>
      </c>
      <c r="BE212" t="s">
        <v>4186</v>
      </c>
      <c r="BF212" t="str">
        <f>HYPERLINK("http://dx.doi.org/10.7759/cureus.48227","http://dx.doi.org/10.7759/cureus.48227")</f>
        <v>http://dx.doi.org/10.7759/cureus.48227</v>
      </c>
      <c r="BG212" t="s">
        <v>74</v>
      </c>
      <c r="BH212" t="s">
        <v>74</v>
      </c>
      <c r="BI212">
        <v>11</v>
      </c>
      <c r="BJ212" t="s">
        <v>811</v>
      </c>
      <c r="BK212" t="s">
        <v>125</v>
      </c>
      <c r="BL212" t="s">
        <v>812</v>
      </c>
      <c r="BM212" t="s">
        <v>4187</v>
      </c>
      <c r="BN212">
        <v>38050505</v>
      </c>
      <c r="BO212" t="s">
        <v>394</v>
      </c>
      <c r="BP212" t="s">
        <v>74</v>
      </c>
      <c r="BQ212" t="s">
        <v>74</v>
      </c>
      <c r="BR212" t="s">
        <v>102</v>
      </c>
      <c r="BS212" t="s">
        <v>4188</v>
      </c>
      <c r="BT212" t="str">
        <f>HYPERLINK("https%3A%2F%2Fwww.webofscience.com%2Fwos%2Fwoscc%2Ffull-record%2FWOS:001106416900016","View Full Record in Web of Science")</f>
        <v>View Full Record in Web of Science</v>
      </c>
    </row>
    <row r="213" spans="1:72" x14ac:dyDescent="0.35">
      <c r="A213" t="s">
        <v>72</v>
      </c>
      <c r="B213" t="s">
        <v>4189</v>
      </c>
      <c r="C213" t="s">
        <v>74</v>
      </c>
      <c r="D213" t="s">
        <v>74</v>
      </c>
      <c r="E213" t="s">
        <v>74</v>
      </c>
      <c r="F213" t="s">
        <v>4190</v>
      </c>
      <c r="G213" t="s">
        <v>74</v>
      </c>
      <c r="H213" t="s">
        <v>74</v>
      </c>
      <c r="I213" t="s">
        <v>4191</v>
      </c>
      <c r="J213" t="s">
        <v>4192</v>
      </c>
      <c r="K213" t="s">
        <v>74</v>
      </c>
      <c r="L213" t="s">
        <v>74</v>
      </c>
      <c r="M213" t="s">
        <v>3503</v>
      </c>
      <c r="N213" t="s">
        <v>374</v>
      </c>
      <c r="O213" t="s">
        <v>74</v>
      </c>
      <c r="P213" t="s">
        <v>74</v>
      </c>
      <c r="Q213" t="s">
        <v>74</v>
      </c>
      <c r="R213" t="s">
        <v>74</v>
      </c>
      <c r="S213" t="s">
        <v>74</v>
      </c>
      <c r="T213" t="s">
        <v>4193</v>
      </c>
      <c r="U213" t="s">
        <v>74</v>
      </c>
      <c r="V213" t="s">
        <v>4194</v>
      </c>
      <c r="W213" t="s">
        <v>4195</v>
      </c>
      <c r="X213" t="s">
        <v>4196</v>
      </c>
      <c r="Y213" t="s">
        <v>4197</v>
      </c>
      <c r="Z213" t="s">
        <v>4198</v>
      </c>
      <c r="AA213" t="s">
        <v>4199</v>
      </c>
      <c r="AB213" t="s">
        <v>74</v>
      </c>
      <c r="AC213" t="s">
        <v>74</v>
      </c>
      <c r="AD213" t="s">
        <v>74</v>
      </c>
      <c r="AE213" t="s">
        <v>74</v>
      </c>
      <c r="AF213" t="s">
        <v>74</v>
      </c>
      <c r="AG213">
        <v>65</v>
      </c>
      <c r="AH213">
        <v>0</v>
      </c>
      <c r="AI213">
        <v>0</v>
      </c>
      <c r="AJ213">
        <v>13</v>
      </c>
      <c r="AK213">
        <v>39</v>
      </c>
      <c r="AL213" t="s">
        <v>4200</v>
      </c>
      <c r="AM213" t="s">
        <v>4201</v>
      </c>
      <c r="AN213" t="s">
        <v>4202</v>
      </c>
      <c r="AO213" t="s">
        <v>4203</v>
      </c>
      <c r="AP213" t="s">
        <v>4204</v>
      </c>
      <c r="AQ213" t="s">
        <v>74</v>
      </c>
      <c r="AR213" t="s">
        <v>4205</v>
      </c>
      <c r="AS213" t="s">
        <v>4206</v>
      </c>
      <c r="AT213" t="s">
        <v>1275</v>
      </c>
      <c r="AU213">
        <v>2023</v>
      </c>
      <c r="AV213" t="s">
        <v>74</v>
      </c>
      <c r="AW213">
        <v>69</v>
      </c>
      <c r="AX213" t="s">
        <v>74</v>
      </c>
      <c r="AY213" t="s">
        <v>74</v>
      </c>
      <c r="AZ213" t="s">
        <v>74</v>
      </c>
      <c r="BA213" t="s">
        <v>74</v>
      </c>
      <c r="BB213" t="s">
        <v>74</v>
      </c>
      <c r="BC213" t="s">
        <v>74</v>
      </c>
      <c r="BD213" t="s">
        <v>74</v>
      </c>
      <c r="BE213" t="s">
        <v>4207</v>
      </c>
      <c r="BF213" t="str">
        <f>HYPERLINK("http://dx.doi.org/10.5565/rev/analisi.3630","http://dx.doi.org/10.5565/rev/analisi.3630")</f>
        <v>http://dx.doi.org/10.5565/rev/analisi.3630</v>
      </c>
      <c r="BG213" t="s">
        <v>74</v>
      </c>
      <c r="BH213" t="s">
        <v>74</v>
      </c>
      <c r="BI213">
        <v>22</v>
      </c>
      <c r="BJ213" t="s">
        <v>124</v>
      </c>
      <c r="BK213" t="s">
        <v>125</v>
      </c>
      <c r="BL213" t="s">
        <v>124</v>
      </c>
      <c r="BM213" t="s">
        <v>4208</v>
      </c>
      <c r="BN213" t="s">
        <v>74</v>
      </c>
      <c r="BO213" t="s">
        <v>3287</v>
      </c>
      <c r="BP213" t="s">
        <v>74</v>
      </c>
      <c r="BQ213" t="s">
        <v>74</v>
      </c>
      <c r="BR213" t="s">
        <v>102</v>
      </c>
      <c r="BS213" t="s">
        <v>4209</v>
      </c>
      <c r="BT213" t="str">
        <f>HYPERLINK("https%3A%2F%2Fwww.webofscience.com%2Fwos%2Fwoscc%2Ffull-record%2FWOS:001141862900007","View Full Record in Web of Science")</f>
        <v>View Full Record in Web of Science</v>
      </c>
    </row>
    <row r="214" spans="1:72" x14ac:dyDescent="0.35">
      <c r="A214" t="s">
        <v>128</v>
      </c>
      <c r="B214" t="s">
        <v>4210</v>
      </c>
      <c r="C214" t="s">
        <v>74</v>
      </c>
      <c r="D214" t="s">
        <v>74</v>
      </c>
      <c r="E214" t="s">
        <v>702</v>
      </c>
      <c r="F214" t="s">
        <v>4211</v>
      </c>
      <c r="G214" t="s">
        <v>74</v>
      </c>
      <c r="H214" t="s">
        <v>74</v>
      </c>
      <c r="I214" t="s">
        <v>4212</v>
      </c>
      <c r="J214" t="s">
        <v>4213</v>
      </c>
      <c r="K214" t="s">
        <v>74</v>
      </c>
      <c r="L214" t="s">
        <v>74</v>
      </c>
      <c r="M214" t="s">
        <v>78</v>
      </c>
      <c r="N214" t="s">
        <v>135</v>
      </c>
      <c r="O214" t="s">
        <v>4214</v>
      </c>
      <c r="P214" t="s">
        <v>4215</v>
      </c>
      <c r="Q214" t="s">
        <v>2783</v>
      </c>
      <c r="R214" t="s">
        <v>4216</v>
      </c>
      <c r="S214" t="s">
        <v>74</v>
      </c>
      <c r="T214" t="s">
        <v>4217</v>
      </c>
      <c r="U214" t="s">
        <v>74</v>
      </c>
      <c r="V214" t="s">
        <v>4218</v>
      </c>
      <c r="W214" t="s">
        <v>4219</v>
      </c>
      <c r="X214" t="s">
        <v>4220</v>
      </c>
      <c r="Y214" t="s">
        <v>4221</v>
      </c>
      <c r="Z214" t="s">
        <v>4222</v>
      </c>
      <c r="AA214" t="s">
        <v>4223</v>
      </c>
      <c r="AB214" t="s">
        <v>4224</v>
      </c>
      <c r="AC214" t="s">
        <v>4225</v>
      </c>
      <c r="AD214" t="s">
        <v>4226</v>
      </c>
      <c r="AE214" t="s">
        <v>4227</v>
      </c>
      <c r="AF214" t="s">
        <v>74</v>
      </c>
      <c r="AG214">
        <v>44</v>
      </c>
      <c r="AH214">
        <v>3</v>
      </c>
      <c r="AI214">
        <v>3</v>
      </c>
      <c r="AJ214">
        <v>3</v>
      </c>
      <c r="AK214">
        <v>4</v>
      </c>
      <c r="AL214" t="s">
        <v>718</v>
      </c>
      <c r="AM214" t="s">
        <v>666</v>
      </c>
      <c r="AN214" t="s">
        <v>719</v>
      </c>
      <c r="AO214" t="s">
        <v>74</v>
      </c>
      <c r="AP214" t="s">
        <v>74</v>
      </c>
      <c r="AQ214" t="s">
        <v>4228</v>
      </c>
      <c r="AR214" t="s">
        <v>74</v>
      </c>
      <c r="AS214" t="s">
        <v>74</v>
      </c>
      <c r="AT214" t="s">
        <v>74</v>
      </c>
      <c r="AU214">
        <v>2023</v>
      </c>
      <c r="AV214" t="s">
        <v>74</v>
      </c>
      <c r="AW214" t="s">
        <v>74</v>
      </c>
      <c r="AX214" t="s">
        <v>74</v>
      </c>
      <c r="AY214" t="s">
        <v>74</v>
      </c>
      <c r="AZ214" t="s">
        <v>74</v>
      </c>
      <c r="BA214" t="s">
        <v>74</v>
      </c>
      <c r="BB214">
        <v>33</v>
      </c>
      <c r="BC214">
        <v>42</v>
      </c>
      <c r="BD214" t="s">
        <v>74</v>
      </c>
      <c r="BE214" t="s">
        <v>4229</v>
      </c>
      <c r="BF214" t="str">
        <f>HYPERLINK("http://dx.doi.org/10.1145/3578503.3583613","http://dx.doi.org/10.1145/3578503.3583613")</f>
        <v>http://dx.doi.org/10.1145/3578503.3583613</v>
      </c>
      <c r="BG214" t="s">
        <v>74</v>
      </c>
      <c r="BH214" t="s">
        <v>74</v>
      </c>
      <c r="BI214">
        <v>10</v>
      </c>
      <c r="BJ214" t="s">
        <v>4230</v>
      </c>
      <c r="BK214" t="s">
        <v>648</v>
      </c>
      <c r="BL214" t="s">
        <v>4231</v>
      </c>
      <c r="BM214" t="s">
        <v>4232</v>
      </c>
      <c r="BN214" t="s">
        <v>74</v>
      </c>
      <c r="BO214" t="s">
        <v>74</v>
      </c>
      <c r="BP214" t="s">
        <v>74</v>
      </c>
      <c r="BQ214" t="s">
        <v>74</v>
      </c>
      <c r="BR214" t="s">
        <v>102</v>
      </c>
      <c r="BS214" t="s">
        <v>4233</v>
      </c>
      <c r="BT214" t="str">
        <f>HYPERLINK("https%3A%2F%2Fwww.webofscience.com%2Fwos%2Fwoscc%2Ffull-record%2FWOS:001118948600004","View Full Record in Web of Science")</f>
        <v>View Full Record in Web of Science</v>
      </c>
    </row>
    <row r="215" spans="1:72" x14ac:dyDescent="0.35">
      <c r="A215" t="s">
        <v>128</v>
      </c>
      <c r="B215" t="s">
        <v>4234</v>
      </c>
      <c r="C215" t="s">
        <v>74</v>
      </c>
      <c r="D215" t="s">
        <v>74</v>
      </c>
      <c r="E215" t="s">
        <v>4235</v>
      </c>
      <c r="F215" t="s">
        <v>4236</v>
      </c>
      <c r="G215" t="s">
        <v>74</v>
      </c>
      <c r="H215" t="s">
        <v>74</v>
      </c>
      <c r="I215" t="s">
        <v>4237</v>
      </c>
      <c r="J215" t="s">
        <v>4238</v>
      </c>
      <c r="K215" t="s">
        <v>74</v>
      </c>
      <c r="L215" t="s">
        <v>74</v>
      </c>
      <c r="M215" t="s">
        <v>78</v>
      </c>
      <c r="N215" t="s">
        <v>135</v>
      </c>
      <c r="O215" t="s">
        <v>4239</v>
      </c>
      <c r="P215" t="s">
        <v>4240</v>
      </c>
      <c r="Q215" t="s">
        <v>138</v>
      </c>
      <c r="R215" t="s">
        <v>4241</v>
      </c>
      <c r="S215" t="s">
        <v>74</v>
      </c>
      <c r="T215" t="s">
        <v>4242</v>
      </c>
      <c r="U215" t="s">
        <v>74</v>
      </c>
      <c r="V215" t="s">
        <v>4243</v>
      </c>
      <c r="W215" t="s">
        <v>4244</v>
      </c>
      <c r="X215" t="s">
        <v>4245</v>
      </c>
      <c r="Y215" t="s">
        <v>4246</v>
      </c>
      <c r="Z215" t="s">
        <v>4247</v>
      </c>
      <c r="AA215" t="s">
        <v>74</v>
      </c>
      <c r="AB215" t="s">
        <v>74</v>
      </c>
      <c r="AC215" t="s">
        <v>74</v>
      </c>
      <c r="AD215" t="s">
        <v>74</v>
      </c>
      <c r="AE215" t="s">
        <v>74</v>
      </c>
      <c r="AF215" t="s">
        <v>74</v>
      </c>
      <c r="AG215">
        <v>7</v>
      </c>
      <c r="AH215">
        <v>0</v>
      </c>
      <c r="AI215">
        <v>0</v>
      </c>
      <c r="AJ215">
        <v>2</v>
      </c>
      <c r="AK215">
        <v>11</v>
      </c>
      <c r="AL215" t="s">
        <v>718</v>
      </c>
      <c r="AM215" t="s">
        <v>666</v>
      </c>
      <c r="AN215" t="s">
        <v>719</v>
      </c>
      <c r="AO215" t="s">
        <v>74</v>
      </c>
      <c r="AP215" t="s">
        <v>74</v>
      </c>
      <c r="AQ215" t="s">
        <v>4248</v>
      </c>
      <c r="AR215" t="s">
        <v>74</v>
      </c>
      <c r="AS215" t="s">
        <v>74</v>
      </c>
      <c r="AT215" t="s">
        <v>74</v>
      </c>
      <c r="AU215">
        <v>2021</v>
      </c>
      <c r="AV215" t="s">
        <v>74</v>
      </c>
      <c r="AW215" t="s">
        <v>74</v>
      </c>
      <c r="AX215" t="s">
        <v>74</v>
      </c>
      <c r="AY215" t="s">
        <v>74</v>
      </c>
      <c r="AZ215" t="s">
        <v>74</v>
      </c>
      <c r="BA215" t="s">
        <v>74</v>
      </c>
      <c r="BB215">
        <v>502</v>
      </c>
      <c r="BC215">
        <v>508</v>
      </c>
      <c r="BD215" t="s">
        <v>74</v>
      </c>
      <c r="BE215" t="s">
        <v>4249</v>
      </c>
      <c r="BF215" t="str">
        <f>HYPERLINK("http://dx.doi.org/10.1145/3461702.3462555","http://dx.doi.org/10.1145/3461702.3462555")</f>
        <v>http://dx.doi.org/10.1145/3461702.3462555</v>
      </c>
      <c r="BG215" t="s">
        <v>74</v>
      </c>
      <c r="BH215" t="s">
        <v>74</v>
      </c>
      <c r="BI215">
        <v>7</v>
      </c>
      <c r="BJ215" t="s">
        <v>4250</v>
      </c>
      <c r="BK215" t="s">
        <v>723</v>
      </c>
      <c r="BL215" t="s">
        <v>210</v>
      </c>
      <c r="BM215" t="s">
        <v>4251</v>
      </c>
      <c r="BN215" t="s">
        <v>74</v>
      </c>
      <c r="BO215" t="s">
        <v>767</v>
      </c>
      <c r="BP215" t="s">
        <v>74</v>
      </c>
      <c r="BQ215" t="s">
        <v>74</v>
      </c>
      <c r="BR215" t="s">
        <v>102</v>
      </c>
      <c r="BS215" t="s">
        <v>4252</v>
      </c>
      <c r="BT215" t="str">
        <f>HYPERLINK("https%3A%2F%2Fwww.webofscience.com%2Fwos%2Fwoscc%2Ffull-record%2FWOS:000767973400058","View Full Record in Web of Science")</f>
        <v>View Full Record in Web of Science</v>
      </c>
    </row>
    <row r="216" spans="1:72" x14ac:dyDescent="0.35">
      <c r="A216" t="s">
        <v>72</v>
      </c>
      <c r="B216" t="s">
        <v>4253</v>
      </c>
      <c r="C216" t="s">
        <v>74</v>
      </c>
      <c r="D216" t="s">
        <v>74</v>
      </c>
      <c r="E216" t="s">
        <v>74</v>
      </c>
      <c r="F216" t="s">
        <v>4254</v>
      </c>
      <c r="G216" t="s">
        <v>74</v>
      </c>
      <c r="H216" t="s">
        <v>74</v>
      </c>
      <c r="I216" t="s">
        <v>4255</v>
      </c>
      <c r="J216" t="s">
        <v>2370</v>
      </c>
      <c r="K216" t="s">
        <v>74</v>
      </c>
      <c r="L216" t="s">
        <v>74</v>
      </c>
      <c r="M216" t="s">
        <v>78</v>
      </c>
      <c r="N216" t="s">
        <v>108</v>
      </c>
      <c r="O216" t="s">
        <v>74</v>
      </c>
      <c r="P216" t="s">
        <v>74</v>
      </c>
      <c r="Q216" t="s">
        <v>74</v>
      </c>
      <c r="R216" t="s">
        <v>74</v>
      </c>
      <c r="S216" t="s">
        <v>74</v>
      </c>
      <c r="T216" t="s">
        <v>4256</v>
      </c>
      <c r="U216" t="s">
        <v>4257</v>
      </c>
      <c r="V216" t="s">
        <v>4258</v>
      </c>
      <c r="W216" t="s">
        <v>4259</v>
      </c>
      <c r="X216" t="s">
        <v>4260</v>
      </c>
      <c r="Y216" t="s">
        <v>4261</v>
      </c>
      <c r="Z216" t="s">
        <v>4262</v>
      </c>
      <c r="AA216" t="s">
        <v>4263</v>
      </c>
      <c r="AB216" t="s">
        <v>4264</v>
      </c>
      <c r="AC216" t="s">
        <v>74</v>
      </c>
      <c r="AD216" t="s">
        <v>74</v>
      </c>
      <c r="AE216" t="s">
        <v>74</v>
      </c>
      <c r="AF216" t="s">
        <v>74</v>
      </c>
      <c r="AG216">
        <v>62</v>
      </c>
      <c r="AH216">
        <v>3</v>
      </c>
      <c r="AI216">
        <v>3</v>
      </c>
      <c r="AJ216">
        <v>2</v>
      </c>
      <c r="AK216">
        <v>8</v>
      </c>
      <c r="AL216" t="s">
        <v>2382</v>
      </c>
      <c r="AM216" t="s">
        <v>227</v>
      </c>
      <c r="AN216" t="s">
        <v>2383</v>
      </c>
      <c r="AO216" t="s">
        <v>74</v>
      </c>
      <c r="AP216" t="s">
        <v>2384</v>
      </c>
      <c r="AQ216" t="s">
        <v>74</v>
      </c>
      <c r="AR216" t="s">
        <v>2370</v>
      </c>
      <c r="AS216" t="s">
        <v>2385</v>
      </c>
      <c r="AT216" t="s">
        <v>4265</v>
      </c>
      <c r="AU216">
        <v>2023</v>
      </c>
      <c r="AV216">
        <v>23</v>
      </c>
      <c r="AW216">
        <v>1</v>
      </c>
      <c r="AX216" t="s">
        <v>74</v>
      </c>
      <c r="AY216" t="s">
        <v>74</v>
      </c>
      <c r="AZ216" t="s">
        <v>74</v>
      </c>
      <c r="BA216" t="s">
        <v>74</v>
      </c>
      <c r="BB216" t="s">
        <v>74</v>
      </c>
      <c r="BC216" t="s">
        <v>74</v>
      </c>
      <c r="BD216">
        <v>880</v>
      </c>
      <c r="BE216" t="s">
        <v>4266</v>
      </c>
      <c r="BF216" t="str">
        <f>HYPERLINK("http://dx.doi.org/10.1186/s12889-023-15748-y","http://dx.doi.org/10.1186/s12889-023-15748-y")</f>
        <v>http://dx.doi.org/10.1186/s12889-023-15748-y</v>
      </c>
      <c r="BG216" t="s">
        <v>74</v>
      </c>
      <c r="BH216" t="s">
        <v>74</v>
      </c>
      <c r="BI216">
        <v>13</v>
      </c>
      <c r="BJ216" t="s">
        <v>392</v>
      </c>
      <c r="BK216" t="s">
        <v>209</v>
      </c>
      <c r="BL216" t="s">
        <v>392</v>
      </c>
      <c r="BM216" t="s">
        <v>4267</v>
      </c>
      <c r="BN216">
        <v>37173677</v>
      </c>
      <c r="BO216" t="s">
        <v>552</v>
      </c>
      <c r="BP216" t="s">
        <v>74</v>
      </c>
      <c r="BQ216" t="s">
        <v>74</v>
      </c>
      <c r="BR216" t="s">
        <v>102</v>
      </c>
      <c r="BS216" t="s">
        <v>4268</v>
      </c>
      <c r="BT216" t="str">
        <f>HYPERLINK("https%3A%2F%2Fwww.webofscience.com%2Fwos%2Fwoscc%2Ffull-record%2FWOS:000986365200004","View Full Record in Web of Science")</f>
        <v>View Full Record in Web of Science</v>
      </c>
    </row>
    <row r="217" spans="1:72" x14ac:dyDescent="0.35">
      <c r="A217" t="s">
        <v>72</v>
      </c>
      <c r="B217" t="s">
        <v>4269</v>
      </c>
      <c r="C217" t="s">
        <v>74</v>
      </c>
      <c r="D217" t="s">
        <v>74</v>
      </c>
      <c r="E217" t="s">
        <v>74</v>
      </c>
      <c r="F217" t="s">
        <v>4270</v>
      </c>
      <c r="G217" t="s">
        <v>74</v>
      </c>
      <c r="H217" t="s">
        <v>74</v>
      </c>
      <c r="I217" t="s">
        <v>4271</v>
      </c>
      <c r="J217" t="s">
        <v>557</v>
      </c>
      <c r="K217" t="s">
        <v>74</v>
      </c>
      <c r="L217" t="s">
        <v>74</v>
      </c>
      <c r="M217" t="s">
        <v>78</v>
      </c>
      <c r="N217" t="s">
        <v>108</v>
      </c>
      <c r="O217" t="s">
        <v>74</v>
      </c>
      <c r="P217" t="s">
        <v>74</v>
      </c>
      <c r="Q217" t="s">
        <v>74</v>
      </c>
      <c r="R217" t="s">
        <v>74</v>
      </c>
      <c r="S217" t="s">
        <v>74</v>
      </c>
      <c r="T217" t="s">
        <v>4272</v>
      </c>
      <c r="U217" t="s">
        <v>4273</v>
      </c>
      <c r="V217" t="s">
        <v>4274</v>
      </c>
      <c r="W217" t="s">
        <v>4275</v>
      </c>
      <c r="X217" t="s">
        <v>4276</v>
      </c>
      <c r="Y217" t="s">
        <v>3485</v>
      </c>
      <c r="Z217" t="s">
        <v>4277</v>
      </c>
      <c r="AA217" t="s">
        <v>4278</v>
      </c>
      <c r="AB217" t="s">
        <v>4279</v>
      </c>
      <c r="AC217" t="s">
        <v>74</v>
      </c>
      <c r="AD217" t="s">
        <v>74</v>
      </c>
      <c r="AE217" t="s">
        <v>74</v>
      </c>
      <c r="AF217" t="s">
        <v>74</v>
      </c>
      <c r="AG217">
        <v>59</v>
      </c>
      <c r="AH217">
        <v>36</v>
      </c>
      <c r="AI217">
        <v>36</v>
      </c>
      <c r="AJ217">
        <v>26</v>
      </c>
      <c r="AK217">
        <v>174</v>
      </c>
      <c r="AL217" t="s">
        <v>88</v>
      </c>
      <c r="AM217" t="s">
        <v>89</v>
      </c>
      <c r="AN217" t="s">
        <v>90</v>
      </c>
      <c r="AO217" t="s">
        <v>567</v>
      </c>
      <c r="AP217" t="s">
        <v>568</v>
      </c>
      <c r="AQ217" t="s">
        <v>74</v>
      </c>
      <c r="AR217" t="s">
        <v>569</v>
      </c>
      <c r="AS217" t="s">
        <v>570</v>
      </c>
      <c r="AT217" t="s">
        <v>3554</v>
      </c>
      <c r="AU217">
        <v>2023</v>
      </c>
      <c r="AV217">
        <v>26</v>
      </c>
      <c r="AW217">
        <v>17</v>
      </c>
      <c r="AX217" t="s">
        <v>74</v>
      </c>
      <c r="AY217" t="s">
        <v>74</v>
      </c>
      <c r="AZ217" t="s">
        <v>74</v>
      </c>
      <c r="BA217" t="s">
        <v>74</v>
      </c>
      <c r="BB217">
        <v>2762</v>
      </c>
      <c r="BC217">
        <v>2776</v>
      </c>
      <c r="BD217" t="s">
        <v>74</v>
      </c>
      <c r="BE217" t="s">
        <v>4280</v>
      </c>
      <c r="BF217" t="str">
        <f>HYPERLINK("http://dx.doi.org/10.1080/13683500.2022.2097058","http://dx.doi.org/10.1080/13683500.2022.2097058")</f>
        <v>http://dx.doi.org/10.1080/13683500.2022.2097058</v>
      </c>
      <c r="BG217" t="s">
        <v>74</v>
      </c>
      <c r="BH217" t="s">
        <v>2175</v>
      </c>
      <c r="BI217">
        <v>15</v>
      </c>
      <c r="BJ217" t="s">
        <v>574</v>
      </c>
      <c r="BK217" t="s">
        <v>99</v>
      </c>
      <c r="BL217" t="s">
        <v>100</v>
      </c>
      <c r="BM217" t="s">
        <v>4281</v>
      </c>
      <c r="BN217" t="s">
        <v>74</v>
      </c>
      <c r="BO217" t="s">
        <v>74</v>
      </c>
      <c r="BP217" t="s">
        <v>74</v>
      </c>
      <c r="BQ217" t="s">
        <v>74</v>
      </c>
      <c r="BR217" t="s">
        <v>102</v>
      </c>
      <c r="BS217" t="s">
        <v>4282</v>
      </c>
      <c r="BT217" t="str">
        <f>HYPERLINK("https%3A%2F%2Fwww.webofscience.com%2Fwos%2Fwoscc%2Ffull-record%2FWOS:000821401100001","View Full Record in Web of Science")</f>
        <v>View Full Record in Web of Science</v>
      </c>
    </row>
    <row r="218" spans="1:72" x14ac:dyDescent="0.35">
      <c r="A218" t="s">
        <v>72</v>
      </c>
      <c r="B218" t="s">
        <v>4283</v>
      </c>
      <c r="C218" t="s">
        <v>74</v>
      </c>
      <c r="D218" t="s">
        <v>74</v>
      </c>
      <c r="E218" t="s">
        <v>74</v>
      </c>
      <c r="F218" t="s">
        <v>4284</v>
      </c>
      <c r="G218" t="s">
        <v>74</v>
      </c>
      <c r="H218" t="s">
        <v>74</v>
      </c>
      <c r="I218" t="s">
        <v>4285</v>
      </c>
      <c r="J218" t="s">
        <v>4286</v>
      </c>
      <c r="K218" t="s">
        <v>74</v>
      </c>
      <c r="L218" t="s">
        <v>74</v>
      </c>
      <c r="M218" t="s">
        <v>78</v>
      </c>
      <c r="N218" t="s">
        <v>108</v>
      </c>
      <c r="O218" t="s">
        <v>74</v>
      </c>
      <c r="P218" t="s">
        <v>74</v>
      </c>
      <c r="Q218" t="s">
        <v>74</v>
      </c>
      <c r="R218" t="s">
        <v>74</v>
      </c>
      <c r="S218" t="s">
        <v>74</v>
      </c>
      <c r="T218" t="s">
        <v>4287</v>
      </c>
      <c r="U218" t="s">
        <v>4288</v>
      </c>
      <c r="V218" t="s">
        <v>4289</v>
      </c>
      <c r="W218" t="s">
        <v>4290</v>
      </c>
      <c r="X218" t="s">
        <v>4291</v>
      </c>
      <c r="Y218" t="s">
        <v>4292</v>
      </c>
      <c r="Z218" t="s">
        <v>3693</v>
      </c>
      <c r="AA218" t="s">
        <v>4293</v>
      </c>
      <c r="AB218" t="s">
        <v>4294</v>
      </c>
      <c r="AC218" t="s">
        <v>74</v>
      </c>
      <c r="AD218" t="s">
        <v>74</v>
      </c>
      <c r="AE218" t="s">
        <v>74</v>
      </c>
      <c r="AF218" t="s">
        <v>74</v>
      </c>
      <c r="AG218">
        <v>55</v>
      </c>
      <c r="AH218">
        <v>0</v>
      </c>
      <c r="AI218">
        <v>0</v>
      </c>
      <c r="AJ218">
        <v>16</v>
      </c>
      <c r="AK218">
        <v>41</v>
      </c>
      <c r="AL218" t="s">
        <v>171</v>
      </c>
      <c r="AM218" t="s">
        <v>172</v>
      </c>
      <c r="AN218" t="s">
        <v>173</v>
      </c>
      <c r="AO218" t="s">
        <v>4295</v>
      </c>
      <c r="AP218" t="s">
        <v>4296</v>
      </c>
      <c r="AQ218" t="s">
        <v>74</v>
      </c>
      <c r="AR218" t="s">
        <v>4297</v>
      </c>
      <c r="AS218" t="s">
        <v>4298</v>
      </c>
      <c r="AT218" t="s">
        <v>594</v>
      </c>
      <c r="AU218">
        <v>2023</v>
      </c>
      <c r="AV218">
        <v>45</v>
      </c>
      <c r="AW218">
        <v>5</v>
      </c>
      <c r="AX218" t="s">
        <v>74</v>
      </c>
      <c r="AY218" t="s">
        <v>74</v>
      </c>
      <c r="AZ218" t="s">
        <v>74</v>
      </c>
      <c r="BA218" t="s">
        <v>74</v>
      </c>
      <c r="BB218">
        <v>596</v>
      </c>
      <c r="BC218">
        <v>626</v>
      </c>
      <c r="BD218" t="s">
        <v>74</v>
      </c>
      <c r="BE218" t="s">
        <v>4299</v>
      </c>
      <c r="BF218" t="str">
        <f>HYPERLINK("http://dx.doi.org/10.1177/10755470231198213","http://dx.doi.org/10.1177/10755470231198213")</f>
        <v>http://dx.doi.org/10.1177/10755470231198213</v>
      </c>
      <c r="BG218" t="s">
        <v>74</v>
      </c>
      <c r="BH218" t="s">
        <v>2929</v>
      </c>
      <c r="BI218">
        <v>31</v>
      </c>
      <c r="BJ218" t="s">
        <v>124</v>
      </c>
      <c r="BK218" t="s">
        <v>99</v>
      </c>
      <c r="BL218" t="s">
        <v>124</v>
      </c>
      <c r="BM218" t="s">
        <v>4300</v>
      </c>
      <c r="BN218" t="s">
        <v>74</v>
      </c>
      <c r="BO218" t="s">
        <v>156</v>
      </c>
      <c r="BP218" t="s">
        <v>74</v>
      </c>
      <c r="BQ218" t="s">
        <v>74</v>
      </c>
      <c r="BR218" t="s">
        <v>102</v>
      </c>
      <c r="BS218" t="s">
        <v>4301</v>
      </c>
      <c r="BT218" t="str">
        <f>HYPERLINK("https%3A%2F%2Fwww.webofscience.com%2Fwos%2Fwoscc%2Ffull-record%2FWOS:001074693100001","View Full Record in Web of Science")</f>
        <v>View Full Record in Web of Science</v>
      </c>
    </row>
    <row r="219" spans="1:72" x14ac:dyDescent="0.35">
      <c r="A219" t="s">
        <v>72</v>
      </c>
      <c r="B219" t="s">
        <v>4302</v>
      </c>
      <c r="C219" t="s">
        <v>74</v>
      </c>
      <c r="D219" t="s">
        <v>74</v>
      </c>
      <c r="E219" t="s">
        <v>74</v>
      </c>
      <c r="F219" t="s">
        <v>4303</v>
      </c>
      <c r="G219" t="s">
        <v>74</v>
      </c>
      <c r="H219" t="s">
        <v>74</v>
      </c>
      <c r="I219" t="s">
        <v>4304</v>
      </c>
      <c r="J219" t="s">
        <v>4305</v>
      </c>
      <c r="K219" t="s">
        <v>74</v>
      </c>
      <c r="L219" t="s">
        <v>74</v>
      </c>
      <c r="M219" t="s">
        <v>78</v>
      </c>
      <c r="N219" t="s">
        <v>108</v>
      </c>
      <c r="O219" t="s">
        <v>74</v>
      </c>
      <c r="P219" t="s">
        <v>74</v>
      </c>
      <c r="Q219" t="s">
        <v>74</v>
      </c>
      <c r="R219" t="s">
        <v>74</v>
      </c>
      <c r="S219" t="s">
        <v>74</v>
      </c>
      <c r="T219" t="s">
        <v>4306</v>
      </c>
      <c r="U219" t="s">
        <v>4307</v>
      </c>
      <c r="V219" t="s">
        <v>4308</v>
      </c>
      <c r="W219" t="s">
        <v>4309</v>
      </c>
      <c r="X219" t="s">
        <v>4310</v>
      </c>
      <c r="Y219" t="s">
        <v>4311</v>
      </c>
      <c r="Z219" t="s">
        <v>4312</v>
      </c>
      <c r="AA219" t="s">
        <v>4313</v>
      </c>
      <c r="AB219" t="s">
        <v>4314</v>
      </c>
      <c r="AC219" t="s">
        <v>74</v>
      </c>
      <c r="AD219" t="s">
        <v>74</v>
      </c>
      <c r="AE219" t="s">
        <v>4315</v>
      </c>
      <c r="AF219" t="s">
        <v>74</v>
      </c>
      <c r="AG219">
        <v>118</v>
      </c>
      <c r="AH219">
        <v>0</v>
      </c>
      <c r="AI219">
        <v>0</v>
      </c>
      <c r="AJ219">
        <v>9</v>
      </c>
      <c r="AK219">
        <v>9</v>
      </c>
      <c r="AL219" t="s">
        <v>199</v>
      </c>
      <c r="AM219" t="s">
        <v>200</v>
      </c>
      <c r="AN219" t="s">
        <v>471</v>
      </c>
      <c r="AO219" t="s">
        <v>4316</v>
      </c>
      <c r="AP219" t="s">
        <v>4317</v>
      </c>
      <c r="AQ219" t="s">
        <v>74</v>
      </c>
      <c r="AR219" t="s">
        <v>4318</v>
      </c>
      <c r="AS219" t="s">
        <v>4319</v>
      </c>
      <c r="AT219" t="s">
        <v>4320</v>
      </c>
      <c r="AU219">
        <v>2024</v>
      </c>
      <c r="AV219">
        <v>22</v>
      </c>
      <c r="AW219">
        <v>4</v>
      </c>
      <c r="AX219" t="s">
        <v>74</v>
      </c>
      <c r="AY219" t="s">
        <v>74</v>
      </c>
      <c r="AZ219" t="s">
        <v>74</v>
      </c>
      <c r="BA219" t="s">
        <v>74</v>
      </c>
      <c r="BB219">
        <v>392</v>
      </c>
      <c r="BC219">
        <v>418</v>
      </c>
      <c r="BD219" t="s">
        <v>74</v>
      </c>
      <c r="BE219" t="s">
        <v>4321</v>
      </c>
      <c r="BF219" t="str">
        <f>HYPERLINK("http://dx.doi.org/10.1108/JICES-04-2024-0045","http://dx.doi.org/10.1108/JICES-04-2024-0045")</f>
        <v>http://dx.doi.org/10.1108/JICES-04-2024-0045</v>
      </c>
      <c r="BG219" t="s">
        <v>74</v>
      </c>
      <c r="BH219" t="s">
        <v>337</v>
      </c>
      <c r="BI219">
        <v>27</v>
      </c>
      <c r="BJ219" t="s">
        <v>4322</v>
      </c>
      <c r="BK219" t="s">
        <v>125</v>
      </c>
      <c r="BL219" t="s">
        <v>100</v>
      </c>
      <c r="BM219" t="s">
        <v>4323</v>
      </c>
      <c r="BN219" t="s">
        <v>74</v>
      </c>
      <c r="BO219" t="s">
        <v>74</v>
      </c>
      <c r="BP219" t="s">
        <v>74</v>
      </c>
      <c r="BQ219" t="s">
        <v>74</v>
      </c>
      <c r="BR219" t="s">
        <v>102</v>
      </c>
      <c r="BS219" t="s">
        <v>4324</v>
      </c>
      <c r="BT219" t="str">
        <f>HYPERLINK("https%3A%2F%2Fwww.webofscience.com%2Fwos%2Fwoscc%2Ffull-record%2FWOS:001303695900001","View Full Record in Web of Science")</f>
        <v>View Full Record in Web of Science</v>
      </c>
    </row>
    <row r="220" spans="1:72" x14ac:dyDescent="0.35">
      <c r="A220" t="s">
        <v>72</v>
      </c>
      <c r="B220" t="s">
        <v>4325</v>
      </c>
      <c r="C220" t="s">
        <v>74</v>
      </c>
      <c r="D220" t="s">
        <v>74</v>
      </c>
      <c r="E220" t="s">
        <v>74</v>
      </c>
      <c r="F220" t="s">
        <v>4326</v>
      </c>
      <c r="G220" t="s">
        <v>74</v>
      </c>
      <c r="H220" t="s">
        <v>74</v>
      </c>
      <c r="I220" t="s">
        <v>4327</v>
      </c>
      <c r="J220" t="s">
        <v>1936</v>
      </c>
      <c r="K220" t="s">
        <v>74</v>
      </c>
      <c r="L220" t="s">
        <v>74</v>
      </c>
      <c r="M220" t="s">
        <v>78</v>
      </c>
      <c r="N220" t="s">
        <v>108</v>
      </c>
      <c r="O220" t="s">
        <v>74</v>
      </c>
      <c r="P220" t="s">
        <v>74</v>
      </c>
      <c r="Q220" t="s">
        <v>74</v>
      </c>
      <c r="R220" t="s">
        <v>74</v>
      </c>
      <c r="S220" t="s">
        <v>74</v>
      </c>
      <c r="T220" t="s">
        <v>4328</v>
      </c>
      <c r="U220" t="s">
        <v>4329</v>
      </c>
      <c r="V220" t="s">
        <v>4330</v>
      </c>
      <c r="W220" t="s">
        <v>4331</v>
      </c>
      <c r="X220" t="s">
        <v>4332</v>
      </c>
      <c r="Y220" t="s">
        <v>4333</v>
      </c>
      <c r="Z220" t="s">
        <v>4334</v>
      </c>
      <c r="AA220" t="s">
        <v>74</v>
      </c>
      <c r="AB220" t="s">
        <v>74</v>
      </c>
      <c r="AC220" t="s">
        <v>74</v>
      </c>
      <c r="AD220" t="s">
        <v>74</v>
      </c>
      <c r="AE220" t="s">
        <v>74</v>
      </c>
      <c r="AF220" t="s">
        <v>74</v>
      </c>
      <c r="AG220">
        <v>44</v>
      </c>
      <c r="AH220">
        <v>5</v>
      </c>
      <c r="AI220">
        <v>8</v>
      </c>
      <c r="AJ220">
        <v>13</v>
      </c>
      <c r="AK220">
        <v>46</v>
      </c>
      <c r="AL220" t="s">
        <v>516</v>
      </c>
      <c r="AM220" t="s">
        <v>517</v>
      </c>
      <c r="AN220" t="s">
        <v>518</v>
      </c>
      <c r="AO220" t="s">
        <v>1949</v>
      </c>
      <c r="AP220" t="s">
        <v>1950</v>
      </c>
      <c r="AQ220" t="s">
        <v>74</v>
      </c>
      <c r="AR220" t="s">
        <v>1951</v>
      </c>
      <c r="AS220" t="s">
        <v>1952</v>
      </c>
      <c r="AT220" t="s">
        <v>297</v>
      </c>
      <c r="AU220">
        <v>2023</v>
      </c>
      <c r="AV220">
        <v>50</v>
      </c>
      <c r="AW220" t="s">
        <v>74</v>
      </c>
      <c r="AX220" t="s">
        <v>74</v>
      </c>
      <c r="AY220" t="s">
        <v>74</v>
      </c>
      <c r="AZ220" t="s">
        <v>74</v>
      </c>
      <c r="BA220" t="s">
        <v>74</v>
      </c>
      <c r="BB220" t="s">
        <v>74</v>
      </c>
      <c r="BC220" t="s">
        <v>74</v>
      </c>
      <c r="BD220">
        <v>101747</v>
      </c>
      <c r="BE220" t="s">
        <v>4335</v>
      </c>
      <c r="BF220" t="str">
        <f>HYPERLINK("http://dx.doi.org/10.1016/j.eatbeh.2023.101747","http://dx.doi.org/10.1016/j.eatbeh.2023.101747")</f>
        <v>http://dx.doi.org/10.1016/j.eatbeh.2023.101747</v>
      </c>
      <c r="BG220" t="s">
        <v>74</v>
      </c>
      <c r="BH220" t="s">
        <v>180</v>
      </c>
      <c r="BI220">
        <v>8</v>
      </c>
      <c r="BJ220" t="s">
        <v>1955</v>
      </c>
      <c r="BK220" t="s">
        <v>99</v>
      </c>
      <c r="BL220" t="s">
        <v>1617</v>
      </c>
      <c r="BM220" t="s">
        <v>4336</v>
      </c>
      <c r="BN220">
        <v>37263141</v>
      </c>
      <c r="BO220" t="s">
        <v>74</v>
      </c>
      <c r="BP220" t="s">
        <v>74</v>
      </c>
      <c r="BQ220" t="s">
        <v>74</v>
      </c>
      <c r="BR220" t="s">
        <v>102</v>
      </c>
      <c r="BS220" t="s">
        <v>4337</v>
      </c>
      <c r="BT220" t="str">
        <f>HYPERLINK("https%3A%2F%2Fwww.webofscience.com%2Fwos%2Fwoscc%2Ffull-record%2FWOS:001012470800001","View Full Record in Web of Science")</f>
        <v>View Full Record in Web of Science</v>
      </c>
    </row>
    <row r="221" spans="1:72" x14ac:dyDescent="0.35">
      <c r="A221" t="s">
        <v>72</v>
      </c>
      <c r="B221" t="s">
        <v>4338</v>
      </c>
      <c r="C221" t="s">
        <v>74</v>
      </c>
      <c r="D221" t="s">
        <v>74</v>
      </c>
      <c r="E221" t="s">
        <v>74</v>
      </c>
      <c r="F221" t="s">
        <v>4339</v>
      </c>
      <c r="G221" t="s">
        <v>74</v>
      </c>
      <c r="H221" t="s">
        <v>74</v>
      </c>
      <c r="I221" t="s">
        <v>4340</v>
      </c>
      <c r="J221" t="s">
        <v>4341</v>
      </c>
      <c r="K221" t="s">
        <v>74</v>
      </c>
      <c r="L221" t="s">
        <v>74</v>
      </c>
      <c r="M221" t="s">
        <v>78</v>
      </c>
      <c r="N221" t="s">
        <v>108</v>
      </c>
      <c r="O221" t="s">
        <v>74</v>
      </c>
      <c r="P221" t="s">
        <v>74</v>
      </c>
      <c r="Q221" t="s">
        <v>74</v>
      </c>
      <c r="R221" t="s">
        <v>74</v>
      </c>
      <c r="S221" t="s">
        <v>74</v>
      </c>
      <c r="T221" t="s">
        <v>4342</v>
      </c>
      <c r="U221" t="s">
        <v>4343</v>
      </c>
      <c r="V221" t="s">
        <v>4344</v>
      </c>
      <c r="W221" t="s">
        <v>4345</v>
      </c>
      <c r="X221" t="s">
        <v>4346</v>
      </c>
      <c r="Y221" t="s">
        <v>4347</v>
      </c>
      <c r="Z221" t="s">
        <v>4348</v>
      </c>
      <c r="AA221" t="s">
        <v>4349</v>
      </c>
      <c r="AB221" t="s">
        <v>4350</v>
      </c>
      <c r="AC221" t="s">
        <v>4351</v>
      </c>
      <c r="AD221" t="s">
        <v>4351</v>
      </c>
      <c r="AE221" t="s">
        <v>4352</v>
      </c>
      <c r="AF221" t="s">
        <v>74</v>
      </c>
      <c r="AG221">
        <v>32</v>
      </c>
      <c r="AH221">
        <v>11</v>
      </c>
      <c r="AI221">
        <v>12</v>
      </c>
      <c r="AJ221">
        <v>4</v>
      </c>
      <c r="AK221">
        <v>17</v>
      </c>
      <c r="AL221" t="s">
        <v>1195</v>
      </c>
      <c r="AM221" t="s">
        <v>1196</v>
      </c>
      <c r="AN221" t="s">
        <v>1197</v>
      </c>
      <c r="AO221" t="s">
        <v>74</v>
      </c>
      <c r="AP221" t="s">
        <v>4353</v>
      </c>
      <c r="AQ221" t="s">
        <v>74</v>
      </c>
      <c r="AR221" t="s">
        <v>4354</v>
      </c>
      <c r="AS221" t="s">
        <v>4355</v>
      </c>
      <c r="AT221" t="s">
        <v>455</v>
      </c>
      <c r="AU221">
        <v>2022</v>
      </c>
      <c r="AV221">
        <v>10</v>
      </c>
      <c r="AW221">
        <v>9</v>
      </c>
      <c r="AX221" t="s">
        <v>74</v>
      </c>
      <c r="AY221" t="s">
        <v>74</v>
      </c>
      <c r="AZ221" t="s">
        <v>74</v>
      </c>
      <c r="BA221" t="s">
        <v>74</v>
      </c>
      <c r="BB221" t="s">
        <v>74</v>
      </c>
      <c r="BC221" t="s">
        <v>74</v>
      </c>
      <c r="BD221">
        <v>1622</v>
      </c>
      <c r="BE221" t="s">
        <v>4356</v>
      </c>
      <c r="BF221" t="str">
        <f>HYPERLINK("http://dx.doi.org/10.3390/healthcare10091622","http://dx.doi.org/10.3390/healthcare10091622")</f>
        <v>http://dx.doi.org/10.3390/healthcare10091622</v>
      </c>
      <c r="BG221" t="s">
        <v>74</v>
      </c>
      <c r="BH221" t="s">
        <v>74</v>
      </c>
      <c r="BI221">
        <v>10</v>
      </c>
      <c r="BJ221" t="s">
        <v>4357</v>
      </c>
      <c r="BK221" t="s">
        <v>182</v>
      </c>
      <c r="BL221" t="s">
        <v>4358</v>
      </c>
      <c r="BM221" t="s">
        <v>4359</v>
      </c>
      <c r="BN221">
        <v>36141233</v>
      </c>
      <c r="BO221" t="s">
        <v>394</v>
      </c>
      <c r="BP221" t="s">
        <v>74</v>
      </c>
      <c r="BQ221" t="s">
        <v>74</v>
      </c>
      <c r="BR221" t="s">
        <v>102</v>
      </c>
      <c r="BS221" t="s">
        <v>4360</v>
      </c>
      <c r="BT221" t="str">
        <f>HYPERLINK("https%3A%2F%2Fwww.webofscience.com%2Fwos%2Fwoscc%2Ffull-record%2FWOS:000858189700001","View Full Record in Web of Science")</f>
        <v>View Full Record in Web of Science</v>
      </c>
    </row>
    <row r="222" spans="1:72" x14ac:dyDescent="0.35">
      <c r="A222" t="s">
        <v>72</v>
      </c>
      <c r="B222" t="s">
        <v>4361</v>
      </c>
      <c r="C222" t="s">
        <v>74</v>
      </c>
      <c r="D222" t="s">
        <v>74</v>
      </c>
      <c r="E222" t="s">
        <v>74</v>
      </c>
      <c r="F222" t="s">
        <v>4362</v>
      </c>
      <c r="G222" t="s">
        <v>74</v>
      </c>
      <c r="H222" t="s">
        <v>74</v>
      </c>
      <c r="I222" t="s">
        <v>4363</v>
      </c>
      <c r="J222" t="s">
        <v>4364</v>
      </c>
      <c r="K222" t="s">
        <v>74</v>
      </c>
      <c r="L222" t="s">
        <v>74</v>
      </c>
      <c r="M222" t="s">
        <v>78</v>
      </c>
      <c r="N222" t="s">
        <v>108</v>
      </c>
      <c r="O222" t="s">
        <v>74</v>
      </c>
      <c r="P222" t="s">
        <v>74</v>
      </c>
      <c r="Q222" t="s">
        <v>74</v>
      </c>
      <c r="R222" t="s">
        <v>74</v>
      </c>
      <c r="S222" t="s">
        <v>74</v>
      </c>
      <c r="T222" t="s">
        <v>4365</v>
      </c>
      <c r="U222" t="s">
        <v>4366</v>
      </c>
      <c r="V222" t="s">
        <v>4367</v>
      </c>
      <c r="W222" t="s">
        <v>4368</v>
      </c>
      <c r="X222" t="s">
        <v>4369</v>
      </c>
      <c r="Y222" t="s">
        <v>4370</v>
      </c>
      <c r="Z222" t="s">
        <v>4371</v>
      </c>
      <c r="AA222" t="s">
        <v>4372</v>
      </c>
      <c r="AB222" t="s">
        <v>4373</v>
      </c>
      <c r="AC222" t="s">
        <v>74</v>
      </c>
      <c r="AD222" t="s">
        <v>74</v>
      </c>
      <c r="AE222" t="s">
        <v>74</v>
      </c>
      <c r="AF222" t="s">
        <v>74</v>
      </c>
      <c r="AG222">
        <v>40</v>
      </c>
      <c r="AH222">
        <v>2</v>
      </c>
      <c r="AI222">
        <v>4</v>
      </c>
      <c r="AJ222">
        <v>2</v>
      </c>
      <c r="AK222">
        <v>18</v>
      </c>
      <c r="AL222" t="s">
        <v>1195</v>
      </c>
      <c r="AM222" t="s">
        <v>1196</v>
      </c>
      <c r="AN222" t="s">
        <v>1197</v>
      </c>
      <c r="AO222" t="s">
        <v>74</v>
      </c>
      <c r="AP222" t="s">
        <v>4374</v>
      </c>
      <c r="AQ222" t="s">
        <v>74</v>
      </c>
      <c r="AR222" t="s">
        <v>4375</v>
      </c>
      <c r="AS222" t="s">
        <v>4376</v>
      </c>
      <c r="AT222" t="s">
        <v>257</v>
      </c>
      <c r="AU222">
        <v>2022</v>
      </c>
      <c r="AV222">
        <v>6</v>
      </c>
      <c r="AW222">
        <v>2</v>
      </c>
      <c r="AX222" t="s">
        <v>74</v>
      </c>
      <c r="AY222" t="s">
        <v>74</v>
      </c>
      <c r="AZ222" t="s">
        <v>74</v>
      </c>
      <c r="BA222" t="s">
        <v>74</v>
      </c>
      <c r="BB222" t="s">
        <v>74</v>
      </c>
      <c r="BC222" t="s">
        <v>74</v>
      </c>
      <c r="BD222">
        <v>55</v>
      </c>
      <c r="BE222" t="s">
        <v>4377</v>
      </c>
      <c r="BF222" t="str">
        <f>HYPERLINK("http://dx.doi.org/10.3390/genealogy6020055","http://dx.doi.org/10.3390/genealogy6020055")</f>
        <v>http://dx.doi.org/10.3390/genealogy6020055</v>
      </c>
      <c r="BG222" t="s">
        <v>74</v>
      </c>
      <c r="BH222" t="s">
        <v>74</v>
      </c>
      <c r="BI222">
        <v>21</v>
      </c>
      <c r="BJ222" t="s">
        <v>4378</v>
      </c>
      <c r="BK222" t="s">
        <v>125</v>
      </c>
      <c r="BL222" t="s">
        <v>4378</v>
      </c>
      <c r="BM222" t="s">
        <v>4379</v>
      </c>
      <c r="BN222" t="s">
        <v>74</v>
      </c>
      <c r="BO222" t="s">
        <v>1888</v>
      </c>
      <c r="BP222" t="s">
        <v>74</v>
      </c>
      <c r="BQ222" t="s">
        <v>74</v>
      </c>
      <c r="BR222" t="s">
        <v>102</v>
      </c>
      <c r="BS222" t="s">
        <v>4380</v>
      </c>
      <c r="BT222" t="str">
        <f>HYPERLINK("https%3A%2F%2Fwww.webofscience.com%2Fwos%2Fwoscc%2Ffull-record%2FWOS:000819080600001","View Full Record in Web of Science")</f>
        <v>View Full Record in Web of Science</v>
      </c>
    </row>
    <row r="223" spans="1:72" x14ac:dyDescent="0.35">
      <c r="A223" t="s">
        <v>72</v>
      </c>
      <c r="B223" t="s">
        <v>4381</v>
      </c>
      <c r="C223" t="s">
        <v>74</v>
      </c>
      <c r="D223" t="s">
        <v>74</v>
      </c>
      <c r="E223" t="s">
        <v>74</v>
      </c>
      <c r="F223" t="s">
        <v>4382</v>
      </c>
      <c r="G223" t="s">
        <v>74</v>
      </c>
      <c r="H223" t="s">
        <v>74</v>
      </c>
      <c r="I223" t="s">
        <v>4383</v>
      </c>
      <c r="J223" t="s">
        <v>4384</v>
      </c>
      <c r="K223" t="s">
        <v>74</v>
      </c>
      <c r="L223" t="s">
        <v>74</v>
      </c>
      <c r="M223" t="s">
        <v>78</v>
      </c>
      <c r="N223" t="s">
        <v>108</v>
      </c>
      <c r="O223" t="s">
        <v>74</v>
      </c>
      <c r="P223" t="s">
        <v>74</v>
      </c>
      <c r="Q223" t="s">
        <v>74</v>
      </c>
      <c r="R223" t="s">
        <v>74</v>
      </c>
      <c r="S223" t="s">
        <v>74</v>
      </c>
      <c r="T223" t="s">
        <v>74</v>
      </c>
      <c r="U223" t="s">
        <v>4385</v>
      </c>
      <c r="V223" t="s">
        <v>4386</v>
      </c>
      <c r="W223" t="s">
        <v>4387</v>
      </c>
      <c r="X223" t="s">
        <v>4388</v>
      </c>
      <c r="Y223" t="s">
        <v>4389</v>
      </c>
      <c r="Z223" t="s">
        <v>4390</v>
      </c>
      <c r="AA223" t="s">
        <v>74</v>
      </c>
      <c r="AB223" t="s">
        <v>4391</v>
      </c>
      <c r="AC223" t="s">
        <v>4392</v>
      </c>
      <c r="AD223" t="s">
        <v>4393</v>
      </c>
      <c r="AE223" t="s">
        <v>4394</v>
      </c>
      <c r="AF223" t="s">
        <v>74</v>
      </c>
      <c r="AG223">
        <v>91</v>
      </c>
      <c r="AH223">
        <v>0</v>
      </c>
      <c r="AI223">
        <v>0</v>
      </c>
      <c r="AJ223">
        <v>15</v>
      </c>
      <c r="AK223">
        <v>15</v>
      </c>
      <c r="AL223" t="s">
        <v>803</v>
      </c>
      <c r="AM223" t="s">
        <v>227</v>
      </c>
      <c r="AN223" t="s">
        <v>804</v>
      </c>
      <c r="AO223" t="s">
        <v>74</v>
      </c>
      <c r="AP223" t="s">
        <v>4395</v>
      </c>
      <c r="AQ223" t="s">
        <v>74</v>
      </c>
      <c r="AR223" t="s">
        <v>4396</v>
      </c>
      <c r="AS223" t="s">
        <v>4397</v>
      </c>
      <c r="AT223" t="s">
        <v>4398</v>
      </c>
      <c r="AU223">
        <v>2024</v>
      </c>
      <c r="AV223">
        <v>11</v>
      </c>
      <c r="AW223">
        <v>1</v>
      </c>
      <c r="AX223" t="s">
        <v>74</v>
      </c>
      <c r="AY223" t="s">
        <v>74</v>
      </c>
      <c r="AZ223" t="s">
        <v>74</v>
      </c>
      <c r="BA223" t="s">
        <v>74</v>
      </c>
      <c r="BB223" t="s">
        <v>74</v>
      </c>
      <c r="BC223" t="s">
        <v>74</v>
      </c>
      <c r="BD223">
        <v>1132</v>
      </c>
      <c r="BE223" t="s">
        <v>4399</v>
      </c>
      <c r="BF223" t="str">
        <f>HYPERLINK("http://dx.doi.org/10.1057/s41599-024-03654-6","http://dx.doi.org/10.1057/s41599-024-03654-6")</f>
        <v>http://dx.doi.org/10.1057/s41599-024-03654-6</v>
      </c>
      <c r="BG223" t="s">
        <v>74</v>
      </c>
      <c r="BH223" t="s">
        <v>74</v>
      </c>
      <c r="BI223">
        <v>11</v>
      </c>
      <c r="BJ223" t="s">
        <v>4400</v>
      </c>
      <c r="BK223" t="s">
        <v>2125</v>
      </c>
      <c r="BL223" t="s">
        <v>4401</v>
      </c>
      <c r="BM223" t="s">
        <v>4402</v>
      </c>
      <c r="BN223" t="s">
        <v>74</v>
      </c>
      <c r="BO223" t="s">
        <v>235</v>
      </c>
      <c r="BP223" t="s">
        <v>74</v>
      </c>
      <c r="BQ223" t="s">
        <v>74</v>
      </c>
      <c r="BR223" t="s">
        <v>102</v>
      </c>
      <c r="BS223" t="s">
        <v>4403</v>
      </c>
      <c r="BT223" t="str">
        <f>HYPERLINK("https%3A%2F%2Fwww.webofscience.com%2Fwos%2Fwoscc%2Ffull-record%2FWOS:001304507700004","View Full Record in Web of Science")</f>
        <v>View Full Record in Web of Science</v>
      </c>
    </row>
    <row r="224" spans="1:72" x14ac:dyDescent="0.35">
      <c r="A224" t="s">
        <v>72</v>
      </c>
      <c r="B224" t="s">
        <v>4404</v>
      </c>
      <c r="C224" t="s">
        <v>74</v>
      </c>
      <c r="D224" t="s">
        <v>74</v>
      </c>
      <c r="E224" t="s">
        <v>74</v>
      </c>
      <c r="F224" t="s">
        <v>4405</v>
      </c>
      <c r="G224" t="s">
        <v>74</v>
      </c>
      <c r="H224" t="s">
        <v>74</v>
      </c>
      <c r="I224" t="s">
        <v>4406</v>
      </c>
      <c r="J224" t="s">
        <v>4407</v>
      </c>
      <c r="K224" t="s">
        <v>74</v>
      </c>
      <c r="L224" t="s">
        <v>74</v>
      </c>
      <c r="M224" t="s">
        <v>78</v>
      </c>
      <c r="N224" t="s">
        <v>79</v>
      </c>
      <c r="O224" t="s">
        <v>74</v>
      </c>
      <c r="P224" t="s">
        <v>74</v>
      </c>
      <c r="Q224" t="s">
        <v>74</v>
      </c>
      <c r="R224" t="s">
        <v>74</v>
      </c>
      <c r="S224" t="s">
        <v>74</v>
      </c>
      <c r="T224" t="s">
        <v>4408</v>
      </c>
      <c r="U224" t="s">
        <v>4409</v>
      </c>
      <c r="V224" t="s">
        <v>4410</v>
      </c>
      <c r="W224" t="s">
        <v>4411</v>
      </c>
      <c r="X224" t="s">
        <v>4412</v>
      </c>
      <c r="Y224" t="s">
        <v>4413</v>
      </c>
      <c r="Z224" t="s">
        <v>4414</v>
      </c>
      <c r="AA224" t="s">
        <v>74</v>
      </c>
      <c r="AB224" t="s">
        <v>74</v>
      </c>
      <c r="AC224" t="s">
        <v>74</v>
      </c>
      <c r="AD224" t="s">
        <v>74</v>
      </c>
      <c r="AE224" t="s">
        <v>74</v>
      </c>
      <c r="AF224" t="s">
        <v>74</v>
      </c>
      <c r="AG224">
        <v>79</v>
      </c>
      <c r="AH224">
        <v>0</v>
      </c>
      <c r="AI224">
        <v>0</v>
      </c>
      <c r="AJ224">
        <v>2</v>
      </c>
      <c r="AK224">
        <v>2</v>
      </c>
      <c r="AL224" t="s">
        <v>226</v>
      </c>
      <c r="AM224" t="s">
        <v>227</v>
      </c>
      <c r="AN224" t="s">
        <v>228</v>
      </c>
      <c r="AO224" t="s">
        <v>4415</v>
      </c>
      <c r="AP224" t="s">
        <v>4416</v>
      </c>
      <c r="AQ224" t="s">
        <v>74</v>
      </c>
      <c r="AR224" t="s">
        <v>4417</v>
      </c>
      <c r="AS224" t="s">
        <v>4418</v>
      </c>
      <c r="AT224" t="s">
        <v>4419</v>
      </c>
      <c r="AU224">
        <v>2024</v>
      </c>
      <c r="AV224" t="s">
        <v>74</v>
      </c>
      <c r="AW224" t="s">
        <v>74</v>
      </c>
      <c r="AX224" t="s">
        <v>74</v>
      </c>
      <c r="AY224" t="s">
        <v>74</v>
      </c>
      <c r="AZ224" t="s">
        <v>74</v>
      </c>
      <c r="BA224" t="s">
        <v>74</v>
      </c>
      <c r="BB224" t="s">
        <v>74</v>
      </c>
      <c r="BC224" t="s">
        <v>74</v>
      </c>
      <c r="BD224" t="s">
        <v>74</v>
      </c>
      <c r="BE224" t="s">
        <v>4420</v>
      </c>
      <c r="BF224" t="str">
        <f>HYPERLINK("http://dx.doi.org/10.1177/14673584241263009","http://dx.doi.org/10.1177/14673584241263009")</f>
        <v>http://dx.doi.org/10.1177/14673584241263009</v>
      </c>
      <c r="BG224" t="s">
        <v>74</v>
      </c>
      <c r="BH224" t="s">
        <v>478</v>
      </c>
      <c r="BI224">
        <v>17</v>
      </c>
      <c r="BJ224" t="s">
        <v>574</v>
      </c>
      <c r="BK224" t="s">
        <v>125</v>
      </c>
      <c r="BL224" t="s">
        <v>100</v>
      </c>
      <c r="BM224" t="s">
        <v>4421</v>
      </c>
      <c r="BN224" t="s">
        <v>74</v>
      </c>
      <c r="BO224" t="s">
        <v>74</v>
      </c>
      <c r="BP224" t="s">
        <v>74</v>
      </c>
      <c r="BQ224" t="s">
        <v>74</v>
      </c>
      <c r="BR224" t="s">
        <v>102</v>
      </c>
      <c r="BS224" t="s">
        <v>4422</v>
      </c>
      <c r="BT224" t="str">
        <f>HYPERLINK("https%3A%2F%2Fwww.webofscience.com%2Fwos%2Fwoscc%2Ffull-record%2FWOS:001275128700001","View Full Record in Web of Science")</f>
        <v>View Full Record in Web of Science</v>
      </c>
    </row>
    <row r="225" spans="1:72" x14ac:dyDescent="0.35">
      <c r="A225" t="s">
        <v>72</v>
      </c>
      <c r="B225" t="s">
        <v>4423</v>
      </c>
      <c r="C225" t="s">
        <v>74</v>
      </c>
      <c r="D225" t="s">
        <v>74</v>
      </c>
      <c r="E225" t="s">
        <v>74</v>
      </c>
      <c r="F225" t="s">
        <v>4424</v>
      </c>
      <c r="G225" t="s">
        <v>74</v>
      </c>
      <c r="H225" t="s">
        <v>74</v>
      </c>
      <c r="I225" t="s">
        <v>4425</v>
      </c>
      <c r="J225" t="s">
        <v>4426</v>
      </c>
      <c r="K225" t="s">
        <v>74</v>
      </c>
      <c r="L225" t="s">
        <v>74</v>
      </c>
      <c r="M225" t="s">
        <v>78</v>
      </c>
      <c r="N225" t="s">
        <v>108</v>
      </c>
      <c r="O225" t="s">
        <v>74</v>
      </c>
      <c r="P225" t="s">
        <v>74</v>
      </c>
      <c r="Q225" t="s">
        <v>74</v>
      </c>
      <c r="R225" t="s">
        <v>74</v>
      </c>
      <c r="S225" t="s">
        <v>74</v>
      </c>
      <c r="T225" t="s">
        <v>4427</v>
      </c>
      <c r="U225" t="s">
        <v>4428</v>
      </c>
      <c r="V225" t="s">
        <v>4429</v>
      </c>
      <c r="W225" t="s">
        <v>4430</v>
      </c>
      <c r="X225" t="s">
        <v>1213</v>
      </c>
      <c r="Y225" t="s">
        <v>4431</v>
      </c>
      <c r="Z225" t="s">
        <v>4432</v>
      </c>
      <c r="AA225" t="s">
        <v>74</v>
      </c>
      <c r="AB225" t="s">
        <v>4433</v>
      </c>
      <c r="AC225" t="s">
        <v>74</v>
      </c>
      <c r="AD225" t="s">
        <v>74</v>
      </c>
      <c r="AE225" t="s">
        <v>74</v>
      </c>
      <c r="AF225" t="s">
        <v>74</v>
      </c>
      <c r="AG225">
        <v>116</v>
      </c>
      <c r="AH225">
        <v>42</v>
      </c>
      <c r="AI225">
        <v>47</v>
      </c>
      <c r="AJ225">
        <v>17</v>
      </c>
      <c r="AK225">
        <v>181</v>
      </c>
      <c r="AL225" t="s">
        <v>4434</v>
      </c>
      <c r="AM225" t="s">
        <v>4435</v>
      </c>
      <c r="AN225" t="s">
        <v>4436</v>
      </c>
      <c r="AO225" t="s">
        <v>4437</v>
      </c>
      <c r="AP225" t="s">
        <v>74</v>
      </c>
      <c r="AQ225" t="s">
        <v>74</v>
      </c>
      <c r="AR225" t="s">
        <v>4438</v>
      </c>
      <c r="AS225" t="s">
        <v>4439</v>
      </c>
      <c r="AT225" t="s">
        <v>74</v>
      </c>
      <c r="AU225">
        <v>2021</v>
      </c>
      <c r="AV225">
        <v>10</v>
      </c>
      <c r="AW225">
        <v>2</v>
      </c>
      <c r="AX225" t="s">
        <v>74</v>
      </c>
      <c r="AY225" t="s">
        <v>74</v>
      </c>
      <c r="AZ225" t="s">
        <v>456</v>
      </c>
      <c r="BA225" t="s">
        <v>74</v>
      </c>
      <c r="BB225" t="s">
        <v>74</v>
      </c>
      <c r="BC225" t="s">
        <v>74</v>
      </c>
      <c r="BD225" t="s">
        <v>4440</v>
      </c>
      <c r="BE225" t="s">
        <v>4441</v>
      </c>
      <c r="BF225" t="str">
        <f>HYPERLINK("http://dx.doi.org/10.14763/2021.2.1557","http://dx.doi.org/10.14763/2021.2.1557")</f>
        <v>http://dx.doi.org/10.14763/2021.2.1557</v>
      </c>
      <c r="BG225" t="s">
        <v>74</v>
      </c>
      <c r="BH225" t="s">
        <v>74</v>
      </c>
      <c r="BI225">
        <v>26</v>
      </c>
      <c r="BJ225" t="s">
        <v>4442</v>
      </c>
      <c r="BK225" t="s">
        <v>125</v>
      </c>
      <c r="BL225" t="s">
        <v>1529</v>
      </c>
      <c r="BM225" t="s">
        <v>4443</v>
      </c>
      <c r="BN225" t="s">
        <v>74</v>
      </c>
      <c r="BO225" t="s">
        <v>235</v>
      </c>
      <c r="BP225" t="s">
        <v>74</v>
      </c>
      <c r="BQ225" t="s">
        <v>74</v>
      </c>
      <c r="BR225" t="s">
        <v>102</v>
      </c>
      <c r="BS225" t="s">
        <v>4444</v>
      </c>
      <c r="BT225" t="str">
        <f>HYPERLINK("https%3A%2F%2Fwww.webofscience.com%2Fwos%2Fwoscc%2Ffull-record%2FWOS:000680844700007","View Full Record in Web of Science")</f>
        <v>View Full Record in Web of Science</v>
      </c>
    </row>
    <row r="226" spans="1:72" x14ac:dyDescent="0.35">
      <c r="A226" t="s">
        <v>72</v>
      </c>
      <c r="B226" t="s">
        <v>4445</v>
      </c>
      <c r="C226" t="s">
        <v>74</v>
      </c>
      <c r="D226" t="s">
        <v>74</v>
      </c>
      <c r="E226" t="s">
        <v>74</v>
      </c>
      <c r="F226" t="s">
        <v>4446</v>
      </c>
      <c r="G226" t="s">
        <v>74</v>
      </c>
      <c r="H226" t="s">
        <v>74</v>
      </c>
      <c r="I226" t="s">
        <v>4447</v>
      </c>
      <c r="J226" t="s">
        <v>4448</v>
      </c>
      <c r="K226" t="s">
        <v>74</v>
      </c>
      <c r="L226" t="s">
        <v>74</v>
      </c>
      <c r="M226" t="s">
        <v>78</v>
      </c>
      <c r="N226" t="s">
        <v>108</v>
      </c>
      <c r="O226" t="s">
        <v>74</v>
      </c>
      <c r="P226" t="s">
        <v>74</v>
      </c>
      <c r="Q226" t="s">
        <v>74</v>
      </c>
      <c r="R226" t="s">
        <v>74</v>
      </c>
      <c r="S226" t="s">
        <v>74</v>
      </c>
      <c r="T226" t="s">
        <v>4449</v>
      </c>
      <c r="U226" t="s">
        <v>74</v>
      </c>
      <c r="V226" t="s">
        <v>4450</v>
      </c>
      <c r="W226" t="s">
        <v>4451</v>
      </c>
      <c r="X226" t="s">
        <v>4452</v>
      </c>
      <c r="Y226" t="s">
        <v>4453</v>
      </c>
      <c r="Z226" t="s">
        <v>4454</v>
      </c>
      <c r="AA226" t="s">
        <v>74</v>
      </c>
      <c r="AB226" t="s">
        <v>74</v>
      </c>
      <c r="AC226" t="s">
        <v>74</v>
      </c>
      <c r="AD226" t="s">
        <v>74</v>
      </c>
      <c r="AE226" t="s">
        <v>74</v>
      </c>
      <c r="AF226" t="s">
        <v>74</v>
      </c>
      <c r="AG226">
        <v>25</v>
      </c>
      <c r="AH226">
        <v>3</v>
      </c>
      <c r="AI226">
        <v>3</v>
      </c>
      <c r="AJ226">
        <v>0</v>
      </c>
      <c r="AK226">
        <v>12</v>
      </c>
      <c r="AL226" t="s">
        <v>88</v>
      </c>
      <c r="AM226" t="s">
        <v>89</v>
      </c>
      <c r="AN226" t="s">
        <v>90</v>
      </c>
      <c r="AO226" t="s">
        <v>4455</v>
      </c>
      <c r="AP226" t="s">
        <v>4456</v>
      </c>
      <c r="AQ226" t="s">
        <v>74</v>
      </c>
      <c r="AR226" t="s">
        <v>4457</v>
      </c>
      <c r="AS226" t="s">
        <v>4458</v>
      </c>
      <c r="AT226" t="s">
        <v>1447</v>
      </c>
      <c r="AU226">
        <v>2022</v>
      </c>
      <c r="AV226">
        <v>42</v>
      </c>
      <c r="AW226">
        <v>3</v>
      </c>
      <c r="AX226" t="s">
        <v>74</v>
      </c>
      <c r="AY226" t="s">
        <v>74</v>
      </c>
      <c r="AZ226" t="s">
        <v>456</v>
      </c>
      <c r="BA226" t="s">
        <v>74</v>
      </c>
      <c r="BB226">
        <v>284</v>
      </c>
      <c r="BC226">
        <v>297</v>
      </c>
      <c r="BD226" t="s">
        <v>74</v>
      </c>
      <c r="BE226" t="s">
        <v>4459</v>
      </c>
      <c r="BF226" t="str">
        <f>HYPERLINK("http://dx.doi.org/10.1080/10462937.2022.2044071","http://dx.doi.org/10.1080/10462937.2022.2044071")</f>
        <v>http://dx.doi.org/10.1080/10462937.2022.2044071</v>
      </c>
      <c r="BG226" t="s">
        <v>74</v>
      </c>
      <c r="BH226" t="s">
        <v>4460</v>
      </c>
      <c r="BI226">
        <v>14</v>
      </c>
      <c r="BJ226" t="s">
        <v>4461</v>
      </c>
      <c r="BK226" t="s">
        <v>316</v>
      </c>
      <c r="BL226" t="s">
        <v>4462</v>
      </c>
      <c r="BM226" t="s">
        <v>4463</v>
      </c>
      <c r="BN226" t="s">
        <v>74</v>
      </c>
      <c r="BO226" t="s">
        <v>74</v>
      </c>
      <c r="BP226" t="s">
        <v>74</v>
      </c>
      <c r="BQ226" t="s">
        <v>74</v>
      </c>
      <c r="BR226" t="s">
        <v>102</v>
      </c>
      <c r="BS226" t="s">
        <v>4464</v>
      </c>
      <c r="BT226" t="str">
        <f>HYPERLINK("https%3A%2F%2Fwww.webofscience.com%2Fwos%2Fwoscc%2Ffull-record%2FWOS:000763856300001","View Full Record in Web of Science")</f>
        <v>View Full Record in Web of Science</v>
      </c>
    </row>
    <row r="227" spans="1:72" x14ac:dyDescent="0.35">
      <c r="A227" t="s">
        <v>72</v>
      </c>
      <c r="B227" t="s">
        <v>4465</v>
      </c>
      <c r="C227" t="s">
        <v>74</v>
      </c>
      <c r="D227" t="s">
        <v>74</v>
      </c>
      <c r="E227" t="s">
        <v>74</v>
      </c>
      <c r="F227" t="s">
        <v>4466</v>
      </c>
      <c r="G227" t="s">
        <v>74</v>
      </c>
      <c r="H227" t="s">
        <v>74</v>
      </c>
      <c r="I227" t="s">
        <v>4467</v>
      </c>
      <c r="J227" t="s">
        <v>3329</v>
      </c>
      <c r="K227" t="s">
        <v>74</v>
      </c>
      <c r="L227" t="s">
        <v>74</v>
      </c>
      <c r="M227" t="s">
        <v>78</v>
      </c>
      <c r="N227" t="s">
        <v>79</v>
      </c>
      <c r="O227" t="s">
        <v>74</v>
      </c>
      <c r="P227" t="s">
        <v>74</v>
      </c>
      <c r="Q227" t="s">
        <v>74</v>
      </c>
      <c r="R227" t="s">
        <v>74</v>
      </c>
      <c r="S227" t="s">
        <v>74</v>
      </c>
      <c r="T227" t="s">
        <v>4468</v>
      </c>
      <c r="U227" t="s">
        <v>74</v>
      </c>
      <c r="V227" t="s">
        <v>4469</v>
      </c>
      <c r="W227" t="s">
        <v>4470</v>
      </c>
      <c r="X227" t="s">
        <v>4471</v>
      </c>
      <c r="Y227" t="s">
        <v>4472</v>
      </c>
      <c r="Z227" t="s">
        <v>4473</v>
      </c>
      <c r="AA227" t="s">
        <v>4474</v>
      </c>
      <c r="AB227" t="s">
        <v>74</v>
      </c>
      <c r="AC227" t="s">
        <v>4475</v>
      </c>
      <c r="AD227" t="s">
        <v>4476</v>
      </c>
      <c r="AE227" t="s">
        <v>4477</v>
      </c>
      <c r="AF227" t="s">
        <v>74</v>
      </c>
      <c r="AG227">
        <v>23</v>
      </c>
      <c r="AH227">
        <v>0</v>
      </c>
      <c r="AI227">
        <v>0</v>
      </c>
      <c r="AJ227">
        <v>0</v>
      </c>
      <c r="AK227">
        <v>0</v>
      </c>
      <c r="AL227" t="s">
        <v>171</v>
      </c>
      <c r="AM227" t="s">
        <v>172</v>
      </c>
      <c r="AN227" t="s">
        <v>173</v>
      </c>
      <c r="AO227" t="s">
        <v>3336</v>
      </c>
      <c r="AP227" t="s">
        <v>3337</v>
      </c>
      <c r="AQ227" t="s">
        <v>74</v>
      </c>
      <c r="AR227" t="s">
        <v>3338</v>
      </c>
      <c r="AS227" t="s">
        <v>3339</v>
      </c>
      <c r="AT227" t="s">
        <v>4478</v>
      </c>
      <c r="AU227">
        <v>2024</v>
      </c>
      <c r="AV227" t="s">
        <v>74</v>
      </c>
      <c r="AW227" t="s">
        <v>74</v>
      </c>
      <c r="AX227" t="s">
        <v>74</v>
      </c>
      <c r="AY227" t="s">
        <v>74</v>
      </c>
      <c r="AZ227" t="s">
        <v>74</v>
      </c>
      <c r="BA227" t="s">
        <v>74</v>
      </c>
      <c r="BB227" t="s">
        <v>74</v>
      </c>
      <c r="BC227" t="s">
        <v>74</v>
      </c>
      <c r="BD227" t="s">
        <v>74</v>
      </c>
      <c r="BE227" t="s">
        <v>4479</v>
      </c>
      <c r="BF227" t="str">
        <f>HYPERLINK("http://dx.doi.org/10.1177/13678779241276011","http://dx.doi.org/10.1177/13678779241276011")</f>
        <v>http://dx.doi.org/10.1177/13678779241276011</v>
      </c>
      <c r="BG227" t="s">
        <v>74</v>
      </c>
      <c r="BH227" t="s">
        <v>337</v>
      </c>
      <c r="BI227">
        <v>11</v>
      </c>
      <c r="BJ227" t="s">
        <v>2124</v>
      </c>
      <c r="BK227" t="s">
        <v>2125</v>
      </c>
      <c r="BL227" t="s">
        <v>2124</v>
      </c>
      <c r="BM227" t="s">
        <v>4480</v>
      </c>
      <c r="BN227" t="s">
        <v>74</v>
      </c>
      <c r="BO227" t="s">
        <v>156</v>
      </c>
      <c r="BP227" t="s">
        <v>74</v>
      </c>
      <c r="BQ227" t="s">
        <v>74</v>
      </c>
      <c r="BR227" t="s">
        <v>102</v>
      </c>
      <c r="BS227" t="s">
        <v>4481</v>
      </c>
      <c r="BT227" t="str">
        <f>HYPERLINK("https%3A%2F%2Fwww.webofscience.com%2Fwos%2Fwoscc%2Ffull-record%2FWOS:001303575500001","View Full Record in Web of Science")</f>
        <v>View Full Record in Web of Science</v>
      </c>
    </row>
    <row r="228" spans="1:72" x14ac:dyDescent="0.35">
      <c r="A228" t="s">
        <v>72</v>
      </c>
      <c r="B228" t="s">
        <v>4482</v>
      </c>
      <c r="C228" t="s">
        <v>74</v>
      </c>
      <c r="D228" t="s">
        <v>74</v>
      </c>
      <c r="E228" t="s">
        <v>74</v>
      </c>
      <c r="F228" t="s">
        <v>4483</v>
      </c>
      <c r="G228" t="s">
        <v>74</v>
      </c>
      <c r="H228" t="s">
        <v>74</v>
      </c>
      <c r="I228" t="s">
        <v>4484</v>
      </c>
      <c r="J228" t="s">
        <v>2743</v>
      </c>
      <c r="K228" t="s">
        <v>74</v>
      </c>
      <c r="L228" t="s">
        <v>74</v>
      </c>
      <c r="M228" t="s">
        <v>78</v>
      </c>
      <c r="N228" t="s">
        <v>1328</v>
      </c>
      <c r="O228" t="s">
        <v>74</v>
      </c>
      <c r="P228" t="s">
        <v>74</v>
      </c>
      <c r="Q228" t="s">
        <v>74</v>
      </c>
      <c r="R228" t="s">
        <v>74</v>
      </c>
      <c r="S228" t="s">
        <v>74</v>
      </c>
      <c r="T228" t="s">
        <v>4485</v>
      </c>
      <c r="U228" t="s">
        <v>74</v>
      </c>
      <c r="V228" t="s">
        <v>74</v>
      </c>
      <c r="W228" t="s">
        <v>4486</v>
      </c>
      <c r="X228" t="s">
        <v>4487</v>
      </c>
      <c r="Y228" t="s">
        <v>4488</v>
      </c>
      <c r="Z228" t="s">
        <v>4489</v>
      </c>
      <c r="AA228" t="s">
        <v>74</v>
      </c>
      <c r="AB228" t="s">
        <v>74</v>
      </c>
      <c r="AC228" t="s">
        <v>74</v>
      </c>
      <c r="AD228" t="s">
        <v>74</v>
      </c>
      <c r="AE228" t="s">
        <v>74</v>
      </c>
      <c r="AF228" t="s">
        <v>74</v>
      </c>
      <c r="AG228">
        <v>5</v>
      </c>
      <c r="AH228">
        <v>0</v>
      </c>
      <c r="AI228">
        <v>0</v>
      </c>
      <c r="AJ228">
        <v>1</v>
      </c>
      <c r="AK228">
        <v>1</v>
      </c>
      <c r="AL228" t="s">
        <v>516</v>
      </c>
      <c r="AM228" t="s">
        <v>517</v>
      </c>
      <c r="AN228" t="s">
        <v>518</v>
      </c>
      <c r="AO228" t="s">
        <v>74</v>
      </c>
      <c r="AP228" t="s">
        <v>2751</v>
      </c>
      <c r="AQ228" t="s">
        <v>74</v>
      </c>
      <c r="AR228" t="s">
        <v>2752</v>
      </c>
      <c r="AS228" t="s">
        <v>2753</v>
      </c>
      <c r="AT228" t="s">
        <v>1275</v>
      </c>
      <c r="AU228">
        <v>2024</v>
      </c>
      <c r="AV228">
        <v>17</v>
      </c>
      <c r="AW228" t="s">
        <v>74</v>
      </c>
      <c r="AX228" t="s">
        <v>74</v>
      </c>
      <c r="AY228" t="s">
        <v>74</v>
      </c>
      <c r="AZ228" t="s">
        <v>74</v>
      </c>
      <c r="BA228" t="s">
        <v>74</v>
      </c>
      <c r="BB228">
        <v>124</v>
      </c>
      <c r="BC228">
        <v>125</v>
      </c>
      <c r="BD228" t="s">
        <v>74</v>
      </c>
      <c r="BE228" t="s">
        <v>4490</v>
      </c>
      <c r="BF228" t="str">
        <f>HYPERLINK("http://dx.doi.org/10.1016/j.jdin.2024.08.001","http://dx.doi.org/10.1016/j.jdin.2024.08.001")</f>
        <v>http://dx.doi.org/10.1016/j.jdin.2024.08.001</v>
      </c>
      <c r="BG228" t="s">
        <v>74</v>
      </c>
      <c r="BH228" t="s">
        <v>1721</v>
      </c>
      <c r="BI228">
        <v>2</v>
      </c>
      <c r="BJ228" t="s">
        <v>1341</v>
      </c>
      <c r="BK228" t="s">
        <v>125</v>
      </c>
      <c r="BL228" t="s">
        <v>1341</v>
      </c>
      <c r="BM228" t="s">
        <v>4491</v>
      </c>
      <c r="BN228">
        <v>39399333</v>
      </c>
      <c r="BO228" t="s">
        <v>1957</v>
      </c>
      <c r="BP228" t="s">
        <v>74</v>
      </c>
      <c r="BQ228" t="s">
        <v>74</v>
      </c>
      <c r="BR228" t="s">
        <v>102</v>
      </c>
      <c r="BS228" t="s">
        <v>4492</v>
      </c>
      <c r="BT228" t="str">
        <f>HYPERLINK("https%3A%2F%2Fwww.webofscience.com%2Fwos%2Fwoscc%2Ffull-record%2FWOS:001330789200001","View Full Record in Web of Science")</f>
        <v>View Full Record in Web of Science</v>
      </c>
    </row>
    <row r="229" spans="1:72" x14ac:dyDescent="0.35">
      <c r="A229" t="s">
        <v>72</v>
      </c>
      <c r="B229" t="s">
        <v>4493</v>
      </c>
      <c r="C229" t="s">
        <v>74</v>
      </c>
      <c r="D229" t="s">
        <v>74</v>
      </c>
      <c r="E229" t="s">
        <v>74</v>
      </c>
      <c r="F229" t="s">
        <v>4494</v>
      </c>
      <c r="G229" t="s">
        <v>74</v>
      </c>
      <c r="H229" t="s">
        <v>74</v>
      </c>
      <c r="I229" t="s">
        <v>4495</v>
      </c>
      <c r="J229" t="s">
        <v>2814</v>
      </c>
      <c r="K229" t="s">
        <v>74</v>
      </c>
      <c r="L229" t="s">
        <v>74</v>
      </c>
      <c r="M229" t="s">
        <v>78</v>
      </c>
      <c r="N229" t="s">
        <v>108</v>
      </c>
      <c r="O229" t="s">
        <v>74</v>
      </c>
      <c r="P229" t="s">
        <v>74</v>
      </c>
      <c r="Q229" t="s">
        <v>74</v>
      </c>
      <c r="R229" t="s">
        <v>74</v>
      </c>
      <c r="S229" t="s">
        <v>74</v>
      </c>
      <c r="T229" t="s">
        <v>4496</v>
      </c>
      <c r="U229" t="s">
        <v>4497</v>
      </c>
      <c r="V229" t="s">
        <v>4498</v>
      </c>
      <c r="W229" t="s">
        <v>4499</v>
      </c>
      <c r="X229" t="s">
        <v>4500</v>
      </c>
      <c r="Y229" t="s">
        <v>4501</v>
      </c>
      <c r="Z229" t="s">
        <v>4502</v>
      </c>
      <c r="AA229" t="s">
        <v>4503</v>
      </c>
      <c r="AB229" t="s">
        <v>4504</v>
      </c>
      <c r="AC229" t="s">
        <v>4505</v>
      </c>
      <c r="AD229" t="s">
        <v>4506</v>
      </c>
      <c r="AE229" t="s">
        <v>4507</v>
      </c>
      <c r="AF229" t="s">
        <v>74</v>
      </c>
      <c r="AG229">
        <v>44</v>
      </c>
      <c r="AH229">
        <v>70</v>
      </c>
      <c r="AI229">
        <v>72</v>
      </c>
      <c r="AJ229">
        <v>18</v>
      </c>
      <c r="AK229">
        <v>183</v>
      </c>
      <c r="AL229" t="s">
        <v>543</v>
      </c>
      <c r="AM229" t="s">
        <v>544</v>
      </c>
      <c r="AN229" t="s">
        <v>545</v>
      </c>
      <c r="AO229" t="s">
        <v>2821</v>
      </c>
      <c r="AP229" t="s">
        <v>74</v>
      </c>
      <c r="AQ229" t="s">
        <v>74</v>
      </c>
      <c r="AR229" t="s">
        <v>2822</v>
      </c>
      <c r="AS229" t="s">
        <v>2823</v>
      </c>
      <c r="AT229" t="s">
        <v>4508</v>
      </c>
      <c r="AU229">
        <v>2021</v>
      </c>
      <c r="AV229">
        <v>23</v>
      </c>
      <c r="AW229">
        <v>12</v>
      </c>
      <c r="AX229" t="s">
        <v>74</v>
      </c>
      <c r="AY229" t="s">
        <v>74</v>
      </c>
      <c r="AZ229" t="s">
        <v>74</v>
      </c>
      <c r="BA229" t="s">
        <v>74</v>
      </c>
      <c r="BB229" t="s">
        <v>74</v>
      </c>
      <c r="BC229" t="s">
        <v>74</v>
      </c>
      <c r="BD229" t="s">
        <v>4509</v>
      </c>
      <c r="BE229" t="s">
        <v>4510</v>
      </c>
      <c r="BF229" t="str">
        <f>HYPERLINK("http://dx.doi.org/10.2196/28318","http://dx.doi.org/10.2196/28318")</f>
        <v>http://dx.doi.org/10.2196/28318</v>
      </c>
      <c r="BG229" t="s">
        <v>74</v>
      </c>
      <c r="BH229" t="s">
        <v>74</v>
      </c>
      <c r="BI229">
        <v>10</v>
      </c>
      <c r="BJ229" t="s">
        <v>550</v>
      </c>
      <c r="BK229" t="s">
        <v>182</v>
      </c>
      <c r="BL229" t="s">
        <v>550</v>
      </c>
      <c r="BM229" t="s">
        <v>4511</v>
      </c>
      <c r="BN229">
        <v>34931996</v>
      </c>
      <c r="BO229" t="s">
        <v>394</v>
      </c>
      <c r="BP229" t="s">
        <v>74</v>
      </c>
      <c r="BQ229" t="s">
        <v>74</v>
      </c>
      <c r="BR229" t="s">
        <v>102</v>
      </c>
      <c r="BS229" t="s">
        <v>4512</v>
      </c>
      <c r="BT229" t="str">
        <f>HYPERLINK("https%3A%2F%2Fwww.webofscience.com%2Fwos%2Fwoscc%2Ffull-record%2FWOS:000740350700008","View Full Record in Web of Science")</f>
        <v>View Full Record in Web of Science</v>
      </c>
    </row>
    <row r="230" spans="1:72" x14ac:dyDescent="0.35">
      <c r="A230" t="s">
        <v>72</v>
      </c>
      <c r="B230" t="s">
        <v>4513</v>
      </c>
      <c r="C230" t="s">
        <v>74</v>
      </c>
      <c r="D230" t="s">
        <v>74</v>
      </c>
      <c r="E230" t="s">
        <v>74</v>
      </c>
      <c r="F230" t="s">
        <v>4514</v>
      </c>
      <c r="G230" t="s">
        <v>74</v>
      </c>
      <c r="H230" t="s">
        <v>74</v>
      </c>
      <c r="I230" t="s">
        <v>4515</v>
      </c>
      <c r="J230" t="s">
        <v>216</v>
      </c>
      <c r="K230" t="s">
        <v>74</v>
      </c>
      <c r="L230" t="s">
        <v>74</v>
      </c>
      <c r="M230" t="s">
        <v>78</v>
      </c>
      <c r="N230" t="s">
        <v>108</v>
      </c>
      <c r="O230" t="s">
        <v>74</v>
      </c>
      <c r="P230" t="s">
        <v>74</v>
      </c>
      <c r="Q230" t="s">
        <v>74</v>
      </c>
      <c r="R230" t="s">
        <v>74</v>
      </c>
      <c r="S230" t="s">
        <v>74</v>
      </c>
      <c r="T230" t="s">
        <v>4516</v>
      </c>
      <c r="U230" t="s">
        <v>74</v>
      </c>
      <c r="V230" t="s">
        <v>4517</v>
      </c>
      <c r="W230" t="s">
        <v>4518</v>
      </c>
      <c r="X230" t="s">
        <v>4519</v>
      </c>
      <c r="Y230" t="s">
        <v>4520</v>
      </c>
      <c r="Z230" t="s">
        <v>4521</v>
      </c>
      <c r="AA230" t="s">
        <v>4522</v>
      </c>
      <c r="AB230" t="s">
        <v>74</v>
      </c>
      <c r="AC230" t="s">
        <v>4523</v>
      </c>
      <c r="AD230" t="s">
        <v>4524</v>
      </c>
      <c r="AE230" t="s">
        <v>4525</v>
      </c>
      <c r="AF230" t="s">
        <v>74</v>
      </c>
      <c r="AG230">
        <v>21</v>
      </c>
      <c r="AH230">
        <v>7</v>
      </c>
      <c r="AI230">
        <v>7</v>
      </c>
      <c r="AJ230">
        <v>2</v>
      </c>
      <c r="AK230">
        <v>22</v>
      </c>
      <c r="AL230" t="s">
        <v>226</v>
      </c>
      <c r="AM230" t="s">
        <v>227</v>
      </c>
      <c r="AN230" t="s">
        <v>228</v>
      </c>
      <c r="AO230" t="s">
        <v>229</v>
      </c>
      <c r="AP230" t="s">
        <v>74</v>
      </c>
      <c r="AQ230" t="s">
        <v>74</v>
      </c>
      <c r="AR230" t="s">
        <v>230</v>
      </c>
      <c r="AS230" t="s">
        <v>231</v>
      </c>
      <c r="AT230" t="s">
        <v>232</v>
      </c>
      <c r="AU230">
        <v>2023</v>
      </c>
      <c r="AV230">
        <v>9</v>
      </c>
      <c r="AW230">
        <v>1</v>
      </c>
      <c r="AX230" t="s">
        <v>74</v>
      </c>
      <c r="AY230" t="s">
        <v>74</v>
      </c>
      <c r="AZ230" t="s">
        <v>74</v>
      </c>
      <c r="BA230" t="s">
        <v>74</v>
      </c>
      <c r="BB230" t="s">
        <v>74</v>
      </c>
      <c r="BC230" t="s">
        <v>74</v>
      </c>
      <c r="BD230">
        <v>2.0563051231157592E+16</v>
      </c>
      <c r="BE230" t="s">
        <v>4526</v>
      </c>
      <c r="BF230" t="str">
        <f>HYPERLINK("http://dx.doi.org/10.1177/20563051231157594","http://dx.doi.org/10.1177/20563051231157594")</f>
        <v>http://dx.doi.org/10.1177/20563051231157594</v>
      </c>
      <c r="BG230" t="s">
        <v>74</v>
      </c>
      <c r="BH230" t="s">
        <v>74</v>
      </c>
      <c r="BI230">
        <v>4</v>
      </c>
      <c r="BJ230" t="s">
        <v>124</v>
      </c>
      <c r="BK230" t="s">
        <v>99</v>
      </c>
      <c r="BL230" t="s">
        <v>124</v>
      </c>
      <c r="BM230" t="s">
        <v>4527</v>
      </c>
      <c r="BN230" t="s">
        <v>74</v>
      </c>
      <c r="BO230" t="s">
        <v>235</v>
      </c>
      <c r="BP230" t="s">
        <v>74</v>
      </c>
      <c r="BQ230" t="s">
        <v>74</v>
      </c>
      <c r="BR230" t="s">
        <v>102</v>
      </c>
      <c r="BS230" t="s">
        <v>4528</v>
      </c>
      <c r="BT230" t="str">
        <f>HYPERLINK("https%3A%2F%2Fwww.webofscience.com%2Fwos%2Fwoscc%2Ffull-record%2FWOS:000936451600001","View Full Record in Web of Science")</f>
        <v>View Full Record in Web of Science</v>
      </c>
    </row>
    <row r="231" spans="1:72" x14ac:dyDescent="0.35">
      <c r="A231" t="s">
        <v>72</v>
      </c>
      <c r="B231" t="s">
        <v>4529</v>
      </c>
      <c r="C231" t="s">
        <v>74</v>
      </c>
      <c r="D231" t="s">
        <v>74</v>
      </c>
      <c r="E231" t="s">
        <v>74</v>
      </c>
      <c r="F231" t="s">
        <v>4530</v>
      </c>
      <c r="G231" t="s">
        <v>74</v>
      </c>
      <c r="H231" t="s">
        <v>74</v>
      </c>
      <c r="I231" t="s">
        <v>4531</v>
      </c>
      <c r="J231" t="s">
        <v>4532</v>
      </c>
      <c r="K231" t="s">
        <v>74</v>
      </c>
      <c r="L231" t="s">
        <v>74</v>
      </c>
      <c r="M231" t="s">
        <v>78</v>
      </c>
      <c r="N231" t="s">
        <v>79</v>
      </c>
      <c r="O231" t="s">
        <v>74</v>
      </c>
      <c r="P231" t="s">
        <v>74</v>
      </c>
      <c r="Q231" t="s">
        <v>74</v>
      </c>
      <c r="R231" t="s">
        <v>74</v>
      </c>
      <c r="S231" t="s">
        <v>74</v>
      </c>
      <c r="T231" t="s">
        <v>4533</v>
      </c>
      <c r="U231" t="s">
        <v>4534</v>
      </c>
      <c r="V231" t="s">
        <v>4535</v>
      </c>
      <c r="W231" t="s">
        <v>4536</v>
      </c>
      <c r="X231" t="s">
        <v>4537</v>
      </c>
      <c r="Y231" t="s">
        <v>4538</v>
      </c>
      <c r="Z231" t="s">
        <v>4539</v>
      </c>
      <c r="AA231" t="s">
        <v>4540</v>
      </c>
      <c r="AB231" t="s">
        <v>4541</v>
      </c>
      <c r="AC231" t="s">
        <v>4542</v>
      </c>
      <c r="AD231" t="s">
        <v>4542</v>
      </c>
      <c r="AE231" t="s">
        <v>4543</v>
      </c>
      <c r="AF231" t="s">
        <v>74</v>
      </c>
      <c r="AG231">
        <v>65</v>
      </c>
      <c r="AH231">
        <v>0</v>
      </c>
      <c r="AI231">
        <v>0</v>
      </c>
      <c r="AJ231">
        <v>5</v>
      </c>
      <c r="AK231">
        <v>5</v>
      </c>
      <c r="AL231" t="s">
        <v>171</v>
      </c>
      <c r="AM231" t="s">
        <v>172</v>
      </c>
      <c r="AN231" t="s">
        <v>173</v>
      </c>
      <c r="AO231" t="s">
        <v>4544</v>
      </c>
      <c r="AP231" t="s">
        <v>4545</v>
      </c>
      <c r="AQ231" t="s">
        <v>74</v>
      </c>
      <c r="AR231" t="s">
        <v>4546</v>
      </c>
      <c r="AS231" t="s">
        <v>4547</v>
      </c>
      <c r="AT231" t="s">
        <v>4548</v>
      </c>
      <c r="AU231">
        <v>2024</v>
      </c>
      <c r="AV231" t="s">
        <v>74</v>
      </c>
      <c r="AW231" t="s">
        <v>74</v>
      </c>
      <c r="AX231" t="s">
        <v>74</v>
      </c>
      <c r="AY231" t="s">
        <v>74</v>
      </c>
      <c r="AZ231" t="s">
        <v>74</v>
      </c>
      <c r="BA231" t="s">
        <v>74</v>
      </c>
      <c r="BB231" t="s">
        <v>74</v>
      </c>
      <c r="BC231" t="s">
        <v>74</v>
      </c>
      <c r="BD231" t="s">
        <v>74</v>
      </c>
      <c r="BE231" t="s">
        <v>4549</v>
      </c>
      <c r="BF231" t="str">
        <f>HYPERLINK("http://dx.doi.org/10.1177/10778012241279106","http://dx.doi.org/10.1177/10778012241279106")</f>
        <v>http://dx.doi.org/10.1177/10778012241279106</v>
      </c>
      <c r="BG231" t="s">
        <v>74</v>
      </c>
      <c r="BH231" t="s">
        <v>337</v>
      </c>
      <c r="BI231">
        <v>19</v>
      </c>
      <c r="BJ231" t="s">
        <v>4550</v>
      </c>
      <c r="BK231" t="s">
        <v>99</v>
      </c>
      <c r="BL231" t="s">
        <v>4550</v>
      </c>
      <c r="BM231" t="s">
        <v>4551</v>
      </c>
      <c r="BN231">
        <v>39262394</v>
      </c>
      <c r="BO231" t="s">
        <v>74</v>
      </c>
      <c r="BP231" t="s">
        <v>74</v>
      </c>
      <c r="BQ231" t="s">
        <v>74</v>
      </c>
      <c r="BR231" t="s">
        <v>102</v>
      </c>
      <c r="BS231" t="s">
        <v>4552</v>
      </c>
      <c r="BT231" t="str">
        <f>HYPERLINK("https%3A%2F%2Fwww.webofscience.com%2Fwos%2Fwoscc%2Ffull-record%2FWOS:001313215400001","View Full Record in Web of Science")</f>
        <v>View Full Record in Web of Science</v>
      </c>
    </row>
    <row r="232" spans="1:72" x14ac:dyDescent="0.35">
      <c r="A232" t="s">
        <v>72</v>
      </c>
      <c r="B232" t="s">
        <v>4553</v>
      </c>
      <c r="C232" t="s">
        <v>74</v>
      </c>
      <c r="D232" t="s">
        <v>74</v>
      </c>
      <c r="E232" t="s">
        <v>74</v>
      </c>
      <c r="F232" t="s">
        <v>4554</v>
      </c>
      <c r="G232" t="s">
        <v>74</v>
      </c>
      <c r="H232" t="s">
        <v>74</v>
      </c>
      <c r="I232" t="s">
        <v>4555</v>
      </c>
      <c r="J232" t="s">
        <v>4556</v>
      </c>
      <c r="K232" t="s">
        <v>74</v>
      </c>
      <c r="L232" t="s">
        <v>74</v>
      </c>
      <c r="M232" t="s">
        <v>78</v>
      </c>
      <c r="N232" t="s">
        <v>108</v>
      </c>
      <c r="O232" t="s">
        <v>74</v>
      </c>
      <c r="P232" t="s">
        <v>74</v>
      </c>
      <c r="Q232" t="s">
        <v>74</v>
      </c>
      <c r="R232" t="s">
        <v>74</v>
      </c>
      <c r="S232" t="s">
        <v>74</v>
      </c>
      <c r="T232" t="s">
        <v>4557</v>
      </c>
      <c r="U232" t="s">
        <v>4558</v>
      </c>
      <c r="V232" t="s">
        <v>4559</v>
      </c>
      <c r="W232" t="s">
        <v>4560</v>
      </c>
      <c r="X232" t="s">
        <v>4561</v>
      </c>
      <c r="Y232" t="s">
        <v>4562</v>
      </c>
      <c r="Z232" t="s">
        <v>4563</v>
      </c>
      <c r="AA232" t="s">
        <v>4564</v>
      </c>
      <c r="AB232" t="s">
        <v>4565</v>
      </c>
      <c r="AC232" t="s">
        <v>74</v>
      </c>
      <c r="AD232" t="s">
        <v>74</v>
      </c>
      <c r="AE232" t="s">
        <v>74</v>
      </c>
      <c r="AF232" t="s">
        <v>74</v>
      </c>
      <c r="AG232">
        <v>42</v>
      </c>
      <c r="AH232">
        <v>1</v>
      </c>
      <c r="AI232">
        <v>1</v>
      </c>
      <c r="AJ232">
        <v>2</v>
      </c>
      <c r="AK232">
        <v>14</v>
      </c>
      <c r="AL232" t="s">
        <v>4566</v>
      </c>
      <c r="AM232" t="s">
        <v>4567</v>
      </c>
      <c r="AN232" t="s">
        <v>4568</v>
      </c>
      <c r="AO232" t="s">
        <v>4569</v>
      </c>
      <c r="AP232" t="s">
        <v>74</v>
      </c>
      <c r="AQ232" t="s">
        <v>74</v>
      </c>
      <c r="AR232" t="s">
        <v>4570</v>
      </c>
      <c r="AS232" t="s">
        <v>4571</v>
      </c>
      <c r="AT232" t="s">
        <v>74</v>
      </c>
      <c r="AU232">
        <v>2022</v>
      </c>
      <c r="AV232">
        <v>14</v>
      </c>
      <c r="AW232">
        <v>2</v>
      </c>
      <c r="AX232" t="s">
        <v>74</v>
      </c>
      <c r="AY232" t="s">
        <v>74</v>
      </c>
      <c r="AZ232" t="s">
        <v>74</v>
      </c>
      <c r="BA232" t="s">
        <v>74</v>
      </c>
      <c r="BB232">
        <v>80</v>
      </c>
      <c r="BC232">
        <v>92</v>
      </c>
      <c r="BD232" t="s">
        <v>74</v>
      </c>
      <c r="BE232" t="s">
        <v>4572</v>
      </c>
      <c r="BF232" t="str">
        <f>HYPERLINK("http://dx.doi.org/10.5130/ccs.v14.i2.8017","http://dx.doi.org/10.5130/ccs.v14.i2.8017")</f>
        <v>http://dx.doi.org/10.5130/ccs.v14.i2.8017</v>
      </c>
      <c r="BG232" t="s">
        <v>74</v>
      </c>
      <c r="BH232" t="s">
        <v>74</v>
      </c>
      <c r="BI232">
        <v>13</v>
      </c>
      <c r="BJ232" t="s">
        <v>4573</v>
      </c>
      <c r="BK232" t="s">
        <v>125</v>
      </c>
      <c r="BL232" t="s">
        <v>4573</v>
      </c>
      <c r="BM232" t="s">
        <v>4574</v>
      </c>
      <c r="BN232" t="s">
        <v>74</v>
      </c>
      <c r="BO232" t="s">
        <v>235</v>
      </c>
      <c r="BP232" t="s">
        <v>74</v>
      </c>
      <c r="BQ232" t="s">
        <v>74</v>
      </c>
      <c r="BR232" t="s">
        <v>102</v>
      </c>
      <c r="BS232" t="s">
        <v>4575</v>
      </c>
      <c r="BT232" t="str">
        <f>HYPERLINK("https%3A%2F%2Fwww.webofscience.com%2Fwos%2Fwoscc%2Ffull-record%2FWOS:000891440000001","View Full Record in Web of Science")</f>
        <v>View Full Record in Web of Science</v>
      </c>
    </row>
    <row r="233" spans="1:72" x14ac:dyDescent="0.35">
      <c r="A233" t="s">
        <v>72</v>
      </c>
      <c r="B233" t="s">
        <v>4576</v>
      </c>
      <c r="C233" t="s">
        <v>74</v>
      </c>
      <c r="D233" t="s">
        <v>74</v>
      </c>
      <c r="E233" t="s">
        <v>74</v>
      </c>
      <c r="F233" t="s">
        <v>4577</v>
      </c>
      <c r="G233" t="s">
        <v>74</v>
      </c>
      <c r="H233" t="s">
        <v>74</v>
      </c>
      <c r="I233" t="s">
        <v>4578</v>
      </c>
      <c r="J233" t="s">
        <v>3622</v>
      </c>
      <c r="K233" t="s">
        <v>74</v>
      </c>
      <c r="L233" t="s">
        <v>74</v>
      </c>
      <c r="M233" t="s">
        <v>78</v>
      </c>
      <c r="N233" t="s">
        <v>108</v>
      </c>
      <c r="O233" t="s">
        <v>74</v>
      </c>
      <c r="P233" t="s">
        <v>74</v>
      </c>
      <c r="Q233" t="s">
        <v>74</v>
      </c>
      <c r="R233" t="s">
        <v>74</v>
      </c>
      <c r="S233" t="s">
        <v>74</v>
      </c>
      <c r="T233" t="s">
        <v>4579</v>
      </c>
      <c r="U233" t="s">
        <v>4580</v>
      </c>
      <c r="V233" t="s">
        <v>4581</v>
      </c>
      <c r="W233" t="s">
        <v>4582</v>
      </c>
      <c r="X233" t="s">
        <v>4583</v>
      </c>
      <c r="Y233" t="s">
        <v>4584</v>
      </c>
      <c r="Z233" t="s">
        <v>4585</v>
      </c>
      <c r="AA233" t="s">
        <v>4586</v>
      </c>
      <c r="AB233" t="s">
        <v>4587</v>
      </c>
      <c r="AC233" t="s">
        <v>4588</v>
      </c>
      <c r="AD233" t="s">
        <v>4589</v>
      </c>
      <c r="AE233" t="s">
        <v>4590</v>
      </c>
      <c r="AF233" t="s">
        <v>74</v>
      </c>
      <c r="AG233">
        <v>58</v>
      </c>
      <c r="AH233">
        <v>64</v>
      </c>
      <c r="AI233">
        <v>70</v>
      </c>
      <c r="AJ233">
        <v>7</v>
      </c>
      <c r="AK233">
        <v>111</v>
      </c>
      <c r="AL233" t="s">
        <v>3632</v>
      </c>
      <c r="AM233" t="s">
        <v>291</v>
      </c>
      <c r="AN233" t="s">
        <v>3633</v>
      </c>
      <c r="AO233" t="s">
        <v>3634</v>
      </c>
      <c r="AP233" t="s">
        <v>74</v>
      </c>
      <c r="AQ233" t="s">
        <v>74</v>
      </c>
      <c r="AR233" t="s">
        <v>3635</v>
      </c>
      <c r="AS233" t="s">
        <v>3636</v>
      </c>
      <c r="AT233" t="s">
        <v>257</v>
      </c>
      <c r="AU233">
        <v>2021</v>
      </c>
      <c r="AV233">
        <v>28</v>
      </c>
      <c r="AW233" t="s">
        <v>74</v>
      </c>
      <c r="AX233" t="s">
        <v>74</v>
      </c>
      <c r="AY233" t="s">
        <v>74</v>
      </c>
      <c r="AZ233" t="s">
        <v>74</v>
      </c>
      <c r="BA233" t="s">
        <v>74</v>
      </c>
      <c r="BB233" t="s">
        <v>74</v>
      </c>
      <c r="BC233" t="s">
        <v>74</v>
      </c>
      <c r="BD233">
        <v>100302</v>
      </c>
      <c r="BE233" t="s">
        <v>4591</v>
      </c>
      <c r="BF233" t="str">
        <f>HYPERLINK("http://dx.doi.org/10.1016/j.jhlste.2021.100302","http://dx.doi.org/10.1016/j.jhlste.2021.100302")</f>
        <v>http://dx.doi.org/10.1016/j.jhlste.2021.100302</v>
      </c>
      <c r="BG233" t="s">
        <v>74</v>
      </c>
      <c r="BH233" t="s">
        <v>4592</v>
      </c>
      <c r="BI233">
        <v>13</v>
      </c>
      <c r="BJ233" t="s">
        <v>3639</v>
      </c>
      <c r="BK233" t="s">
        <v>99</v>
      </c>
      <c r="BL233" t="s">
        <v>3640</v>
      </c>
      <c r="BM233" t="s">
        <v>4593</v>
      </c>
      <c r="BN233" t="s">
        <v>74</v>
      </c>
      <c r="BO233" t="s">
        <v>74</v>
      </c>
      <c r="BP233" t="s">
        <v>74</v>
      </c>
      <c r="BQ233" t="s">
        <v>74</v>
      </c>
      <c r="BR233" t="s">
        <v>102</v>
      </c>
      <c r="BS233" t="s">
        <v>4594</v>
      </c>
      <c r="BT233" t="str">
        <f>HYPERLINK("https%3A%2F%2Fwww.webofscience.com%2Fwos%2Fwoscc%2Ffull-record%2FWOS:000651883800012","View Full Record in Web of Science")</f>
        <v>View Full Record in Web of Science</v>
      </c>
    </row>
    <row r="234" spans="1:72" x14ac:dyDescent="0.35">
      <c r="A234" t="s">
        <v>72</v>
      </c>
      <c r="B234" t="s">
        <v>4595</v>
      </c>
      <c r="C234" t="s">
        <v>74</v>
      </c>
      <c r="D234" t="s">
        <v>74</v>
      </c>
      <c r="E234" t="s">
        <v>74</v>
      </c>
      <c r="F234" t="s">
        <v>4596</v>
      </c>
      <c r="G234" t="s">
        <v>74</v>
      </c>
      <c r="H234" t="s">
        <v>74</v>
      </c>
      <c r="I234" t="s">
        <v>4597</v>
      </c>
      <c r="J234" t="s">
        <v>4598</v>
      </c>
      <c r="K234" t="s">
        <v>74</v>
      </c>
      <c r="L234" t="s">
        <v>74</v>
      </c>
      <c r="M234" t="s">
        <v>78</v>
      </c>
      <c r="N234" t="s">
        <v>79</v>
      </c>
      <c r="O234" t="s">
        <v>74</v>
      </c>
      <c r="P234" t="s">
        <v>74</v>
      </c>
      <c r="Q234" t="s">
        <v>74</v>
      </c>
      <c r="R234" t="s">
        <v>74</v>
      </c>
      <c r="S234" t="s">
        <v>74</v>
      </c>
      <c r="T234" t="s">
        <v>4599</v>
      </c>
      <c r="U234" t="s">
        <v>4600</v>
      </c>
      <c r="V234" t="s">
        <v>4601</v>
      </c>
      <c r="W234" t="s">
        <v>4602</v>
      </c>
      <c r="X234" t="s">
        <v>4603</v>
      </c>
      <c r="Y234" t="s">
        <v>4604</v>
      </c>
      <c r="Z234" t="s">
        <v>4605</v>
      </c>
      <c r="AA234" t="s">
        <v>4606</v>
      </c>
      <c r="AB234" t="s">
        <v>4607</v>
      </c>
      <c r="AC234" t="s">
        <v>74</v>
      </c>
      <c r="AD234" t="s">
        <v>74</v>
      </c>
      <c r="AE234" t="s">
        <v>74</v>
      </c>
      <c r="AF234" t="s">
        <v>74</v>
      </c>
      <c r="AG234">
        <v>37</v>
      </c>
      <c r="AH234">
        <v>0</v>
      </c>
      <c r="AI234">
        <v>0</v>
      </c>
      <c r="AJ234">
        <v>0</v>
      </c>
      <c r="AK234">
        <v>0</v>
      </c>
      <c r="AL234" t="s">
        <v>88</v>
      </c>
      <c r="AM234" t="s">
        <v>89</v>
      </c>
      <c r="AN234" t="s">
        <v>90</v>
      </c>
      <c r="AO234" t="s">
        <v>4608</v>
      </c>
      <c r="AP234" t="s">
        <v>4609</v>
      </c>
      <c r="AQ234" t="s">
        <v>74</v>
      </c>
      <c r="AR234" t="s">
        <v>4610</v>
      </c>
      <c r="AS234" t="s">
        <v>4611</v>
      </c>
      <c r="AT234" t="s">
        <v>4612</v>
      </c>
      <c r="AU234">
        <v>2024</v>
      </c>
      <c r="AV234" t="s">
        <v>74</v>
      </c>
      <c r="AW234" t="s">
        <v>74</v>
      </c>
      <c r="AX234" t="s">
        <v>74</v>
      </c>
      <c r="AY234" t="s">
        <v>74</v>
      </c>
      <c r="AZ234" t="s">
        <v>74</v>
      </c>
      <c r="BA234" t="s">
        <v>74</v>
      </c>
      <c r="BB234" t="s">
        <v>74</v>
      </c>
      <c r="BC234" t="s">
        <v>74</v>
      </c>
      <c r="BD234" t="s">
        <v>74</v>
      </c>
      <c r="BE234" t="s">
        <v>4613</v>
      </c>
      <c r="BF234" t="str">
        <f>HYPERLINK("http://dx.doi.org/10.1080/10550887.2024.2414139","http://dx.doi.org/10.1080/10550887.2024.2414139")</f>
        <v>http://dx.doi.org/10.1080/10550887.2024.2414139</v>
      </c>
      <c r="BG234" t="s">
        <v>74</v>
      </c>
      <c r="BH234" t="s">
        <v>1721</v>
      </c>
      <c r="BI234">
        <v>9</v>
      </c>
      <c r="BJ234" t="s">
        <v>4614</v>
      </c>
      <c r="BK234" t="s">
        <v>99</v>
      </c>
      <c r="BL234" t="s">
        <v>4614</v>
      </c>
      <c r="BM234" t="s">
        <v>4615</v>
      </c>
      <c r="BN234">
        <v>39404137</v>
      </c>
      <c r="BO234" t="s">
        <v>74</v>
      </c>
      <c r="BP234" t="s">
        <v>74</v>
      </c>
      <c r="BQ234" t="s">
        <v>74</v>
      </c>
      <c r="BR234" t="s">
        <v>102</v>
      </c>
      <c r="BS234" t="s">
        <v>4616</v>
      </c>
      <c r="BT234" t="str">
        <f>HYPERLINK("https%3A%2F%2Fwww.webofscience.com%2Fwos%2Fwoscc%2Ffull-record%2FWOS:001331838400001","View Full Record in Web of Science")</f>
        <v>View Full Record in Web of Science</v>
      </c>
    </row>
    <row r="235" spans="1:72" x14ac:dyDescent="0.35">
      <c r="A235" t="s">
        <v>72</v>
      </c>
      <c r="B235" t="s">
        <v>4617</v>
      </c>
      <c r="C235" t="s">
        <v>74</v>
      </c>
      <c r="D235" t="s">
        <v>74</v>
      </c>
      <c r="E235" t="s">
        <v>74</v>
      </c>
      <c r="F235" t="s">
        <v>4618</v>
      </c>
      <c r="G235" t="s">
        <v>74</v>
      </c>
      <c r="H235" t="s">
        <v>74</v>
      </c>
      <c r="I235" t="s">
        <v>4619</v>
      </c>
      <c r="J235" t="s">
        <v>4620</v>
      </c>
      <c r="K235" t="s">
        <v>74</v>
      </c>
      <c r="L235" t="s">
        <v>74</v>
      </c>
      <c r="M235" t="s">
        <v>78</v>
      </c>
      <c r="N235" t="s">
        <v>108</v>
      </c>
      <c r="O235" t="s">
        <v>74</v>
      </c>
      <c r="P235" t="s">
        <v>74</v>
      </c>
      <c r="Q235" t="s">
        <v>74</v>
      </c>
      <c r="R235" t="s">
        <v>74</v>
      </c>
      <c r="S235" t="s">
        <v>74</v>
      </c>
      <c r="T235" t="s">
        <v>4621</v>
      </c>
      <c r="U235" t="s">
        <v>4622</v>
      </c>
      <c r="V235" t="s">
        <v>4623</v>
      </c>
      <c r="W235" t="s">
        <v>4624</v>
      </c>
      <c r="X235" t="s">
        <v>4625</v>
      </c>
      <c r="Y235" t="s">
        <v>4626</v>
      </c>
      <c r="Z235" t="s">
        <v>4627</v>
      </c>
      <c r="AA235" t="s">
        <v>4628</v>
      </c>
      <c r="AB235" t="s">
        <v>4629</v>
      </c>
      <c r="AC235" t="s">
        <v>74</v>
      </c>
      <c r="AD235" t="s">
        <v>74</v>
      </c>
      <c r="AE235" t="s">
        <v>74</v>
      </c>
      <c r="AF235" t="s">
        <v>74</v>
      </c>
      <c r="AG235">
        <v>27</v>
      </c>
      <c r="AH235">
        <v>1</v>
      </c>
      <c r="AI235">
        <v>1</v>
      </c>
      <c r="AJ235">
        <v>1</v>
      </c>
      <c r="AK235">
        <v>15</v>
      </c>
      <c r="AL235" t="s">
        <v>171</v>
      </c>
      <c r="AM235" t="s">
        <v>172</v>
      </c>
      <c r="AN235" t="s">
        <v>173</v>
      </c>
      <c r="AO235" t="s">
        <v>4630</v>
      </c>
      <c r="AP235" t="s">
        <v>4631</v>
      </c>
      <c r="AQ235" t="s">
        <v>74</v>
      </c>
      <c r="AR235" t="s">
        <v>4632</v>
      </c>
      <c r="AS235" t="s">
        <v>4633</v>
      </c>
      <c r="AT235" t="s">
        <v>257</v>
      </c>
      <c r="AU235">
        <v>2023</v>
      </c>
      <c r="AV235">
        <v>37</v>
      </c>
      <c r="AW235">
        <v>5</v>
      </c>
      <c r="AX235" t="s">
        <v>74</v>
      </c>
      <c r="AY235" t="s">
        <v>74</v>
      </c>
      <c r="AZ235" t="s">
        <v>74</v>
      </c>
      <c r="BA235" t="s">
        <v>74</v>
      </c>
      <c r="BB235">
        <v>638</v>
      </c>
      <c r="BC235">
        <v>645</v>
      </c>
      <c r="BD235" t="s">
        <v>74</v>
      </c>
      <c r="BE235" t="s">
        <v>4634</v>
      </c>
      <c r="BF235" t="str">
        <f>HYPERLINK("http://dx.doi.org/10.1177/08901171221141974","http://dx.doi.org/10.1177/08901171221141974")</f>
        <v>http://dx.doi.org/10.1177/08901171221141974</v>
      </c>
      <c r="BG235" t="s">
        <v>74</v>
      </c>
      <c r="BH235" t="s">
        <v>3970</v>
      </c>
      <c r="BI235">
        <v>8</v>
      </c>
      <c r="BJ235" t="s">
        <v>392</v>
      </c>
      <c r="BK235" t="s">
        <v>99</v>
      </c>
      <c r="BL235" t="s">
        <v>392</v>
      </c>
      <c r="BM235" t="s">
        <v>4635</v>
      </c>
      <c r="BN235">
        <v>36494184</v>
      </c>
      <c r="BO235" t="s">
        <v>2194</v>
      </c>
      <c r="BP235" t="s">
        <v>74</v>
      </c>
      <c r="BQ235" t="s">
        <v>74</v>
      </c>
      <c r="BR235" t="s">
        <v>102</v>
      </c>
      <c r="BS235" t="s">
        <v>4636</v>
      </c>
      <c r="BT235" t="str">
        <f>HYPERLINK("https%3A%2F%2Fwww.webofscience.com%2Fwos%2Fwoscc%2Ffull-record%2FWOS:000896894000001","View Full Record in Web of Science")</f>
        <v>View Full Record in Web of Science</v>
      </c>
    </row>
    <row r="236" spans="1:72" x14ac:dyDescent="0.35">
      <c r="A236" t="s">
        <v>72</v>
      </c>
      <c r="B236" t="s">
        <v>4637</v>
      </c>
      <c r="C236" t="s">
        <v>74</v>
      </c>
      <c r="D236" t="s">
        <v>74</v>
      </c>
      <c r="E236" t="s">
        <v>74</v>
      </c>
      <c r="F236" t="s">
        <v>4638</v>
      </c>
      <c r="G236" t="s">
        <v>74</v>
      </c>
      <c r="H236" t="s">
        <v>74</v>
      </c>
      <c r="I236" t="s">
        <v>4639</v>
      </c>
      <c r="J236" t="s">
        <v>2649</v>
      </c>
      <c r="K236" t="s">
        <v>74</v>
      </c>
      <c r="L236" t="s">
        <v>74</v>
      </c>
      <c r="M236" t="s">
        <v>78</v>
      </c>
      <c r="N236" t="s">
        <v>108</v>
      </c>
      <c r="O236" t="s">
        <v>74</v>
      </c>
      <c r="P236" t="s">
        <v>74</v>
      </c>
      <c r="Q236" t="s">
        <v>74</v>
      </c>
      <c r="R236" t="s">
        <v>74</v>
      </c>
      <c r="S236" t="s">
        <v>74</v>
      </c>
      <c r="T236" t="s">
        <v>4640</v>
      </c>
      <c r="U236" t="s">
        <v>4641</v>
      </c>
      <c r="V236" t="s">
        <v>4642</v>
      </c>
      <c r="W236" t="s">
        <v>4643</v>
      </c>
      <c r="X236" t="s">
        <v>4644</v>
      </c>
      <c r="Y236" t="s">
        <v>4645</v>
      </c>
      <c r="Z236" t="s">
        <v>4646</v>
      </c>
      <c r="AA236" t="s">
        <v>4647</v>
      </c>
      <c r="AB236" t="s">
        <v>4648</v>
      </c>
      <c r="AC236" t="s">
        <v>4649</v>
      </c>
      <c r="AD236" t="s">
        <v>4650</v>
      </c>
      <c r="AE236" t="s">
        <v>4651</v>
      </c>
      <c r="AF236" t="s">
        <v>74</v>
      </c>
      <c r="AG236">
        <v>67</v>
      </c>
      <c r="AH236">
        <v>23</v>
      </c>
      <c r="AI236">
        <v>26</v>
      </c>
      <c r="AJ236">
        <v>14</v>
      </c>
      <c r="AK236">
        <v>124</v>
      </c>
      <c r="AL236" t="s">
        <v>2662</v>
      </c>
      <c r="AM236" t="s">
        <v>2663</v>
      </c>
      <c r="AN236" t="s">
        <v>2664</v>
      </c>
      <c r="AO236" t="s">
        <v>2665</v>
      </c>
      <c r="AP236" t="s">
        <v>74</v>
      </c>
      <c r="AQ236" t="s">
        <v>74</v>
      </c>
      <c r="AR236" t="s">
        <v>2666</v>
      </c>
      <c r="AS236" t="s">
        <v>2667</v>
      </c>
      <c r="AT236" t="s">
        <v>74</v>
      </c>
      <c r="AU236">
        <v>2022</v>
      </c>
      <c r="AV236">
        <v>10</v>
      </c>
      <c r="AW236">
        <v>1</v>
      </c>
      <c r="AX236" t="s">
        <v>74</v>
      </c>
      <c r="AY236" t="s">
        <v>74</v>
      </c>
      <c r="AZ236" t="s">
        <v>74</v>
      </c>
      <c r="BA236" t="s">
        <v>74</v>
      </c>
      <c r="BB236">
        <v>157</v>
      </c>
      <c r="BC236">
        <v>172</v>
      </c>
      <c r="BD236" t="s">
        <v>74</v>
      </c>
      <c r="BE236" t="s">
        <v>4652</v>
      </c>
      <c r="BF236" t="str">
        <f>HYPERLINK("http://dx.doi.org/10.17645/mac.v10i1.4715","http://dx.doi.org/10.17645/mac.v10i1.4715")</f>
        <v>http://dx.doi.org/10.17645/mac.v10i1.4715</v>
      </c>
      <c r="BG236" t="s">
        <v>74</v>
      </c>
      <c r="BH236" t="s">
        <v>74</v>
      </c>
      <c r="BI236">
        <v>16</v>
      </c>
      <c r="BJ236" t="s">
        <v>124</v>
      </c>
      <c r="BK236" t="s">
        <v>99</v>
      </c>
      <c r="BL236" t="s">
        <v>124</v>
      </c>
      <c r="BM236" t="s">
        <v>3104</v>
      </c>
      <c r="BN236" t="s">
        <v>74</v>
      </c>
      <c r="BO236" t="s">
        <v>394</v>
      </c>
      <c r="BP236" t="s">
        <v>74</v>
      </c>
      <c r="BQ236" t="s">
        <v>74</v>
      </c>
      <c r="BR236" t="s">
        <v>102</v>
      </c>
      <c r="BS236" t="s">
        <v>4653</v>
      </c>
      <c r="BT236" t="str">
        <f>HYPERLINK("https%3A%2F%2Fwww.webofscience.com%2Fwos%2Fwoscc%2Ffull-record%2FWOS:000762434300004","View Full Record in Web of Science")</f>
        <v>View Full Record in Web of Science</v>
      </c>
    </row>
    <row r="237" spans="1:72" x14ac:dyDescent="0.35">
      <c r="A237" t="s">
        <v>72</v>
      </c>
      <c r="B237" t="s">
        <v>4654</v>
      </c>
      <c r="C237" t="s">
        <v>74</v>
      </c>
      <c r="D237" t="s">
        <v>74</v>
      </c>
      <c r="E237" t="s">
        <v>74</v>
      </c>
      <c r="F237" t="s">
        <v>4655</v>
      </c>
      <c r="G237" t="s">
        <v>74</v>
      </c>
      <c r="H237" t="s">
        <v>74</v>
      </c>
      <c r="I237" t="s">
        <v>4656</v>
      </c>
      <c r="J237" t="s">
        <v>4657</v>
      </c>
      <c r="K237" t="s">
        <v>74</v>
      </c>
      <c r="L237" t="s">
        <v>74</v>
      </c>
      <c r="M237" t="s">
        <v>78</v>
      </c>
      <c r="N237" t="s">
        <v>108</v>
      </c>
      <c r="O237" t="s">
        <v>74</v>
      </c>
      <c r="P237" t="s">
        <v>74</v>
      </c>
      <c r="Q237" t="s">
        <v>74</v>
      </c>
      <c r="R237" t="s">
        <v>74</v>
      </c>
      <c r="S237" t="s">
        <v>74</v>
      </c>
      <c r="T237" t="s">
        <v>4658</v>
      </c>
      <c r="U237" t="s">
        <v>74</v>
      </c>
      <c r="V237" t="s">
        <v>4659</v>
      </c>
      <c r="W237" t="s">
        <v>4660</v>
      </c>
      <c r="X237" t="s">
        <v>4661</v>
      </c>
      <c r="Y237" t="s">
        <v>4662</v>
      </c>
      <c r="Z237" t="s">
        <v>4663</v>
      </c>
      <c r="AA237" t="s">
        <v>74</v>
      </c>
      <c r="AB237" t="s">
        <v>74</v>
      </c>
      <c r="AC237" t="s">
        <v>74</v>
      </c>
      <c r="AD237" t="s">
        <v>74</v>
      </c>
      <c r="AE237" t="s">
        <v>74</v>
      </c>
      <c r="AF237" t="s">
        <v>74</v>
      </c>
      <c r="AG237">
        <v>54</v>
      </c>
      <c r="AH237">
        <v>3</v>
      </c>
      <c r="AI237">
        <v>4</v>
      </c>
      <c r="AJ237">
        <v>1</v>
      </c>
      <c r="AK237">
        <v>32</v>
      </c>
      <c r="AL237" t="s">
        <v>1195</v>
      </c>
      <c r="AM237" t="s">
        <v>1196</v>
      </c>
      <c r="AN237" t="s">
        <v>1197</v>
      </c>
      <c r="AO237" t="s">
        <v>74</v>
      </c>
      <c r="AP237" t="s">
        <v>4664</v>
      </c>
      <c r="AQ237" t="s">
        <v>74</v>
      </c>
      <c r="AR237" t="s">
        <v>4657</v>
      </c>
      <c r="AS237" t="s">
        <v>4665</v>
      </c>
      <c r="AT237" t="s">
        <v>455</v>
      </c>
      <c r="AU237">
        <v>2021</v>
      </c>
      <c r="AV237">
        <v>10</v>
      </c>
      <c r="AW237">
        <v>3</v>
      </c>
      <c r="AX237" t="s">
        <v>74</v>
      </c>
      <c r="AY237" t="s">
        <v>74</v>
      </c>
      <c r="AZ237" t="s">
        <v>74</v>
      </c>
      <c r="BA237" t="s">
        <v>74</v>
      </c>
      <c r="BB237" t="s">
        <v>74</v>
      </c>
      <c r="BC237" t="s">
        <v>74</v>
      </c>
      <c r="BD237">
        <v>52</v>
      </c>
      <c r="BE237" t="s">
        <v>4666</v>
      </c>
      <c r="BF237" t="str">
        <f>HYPERLINK("http://dx.doi.org/10.3390/arts10030052","http://dx.doi.org/10.3390/arts10030052")</f>
        <v>http://dx.doi.org/10.3390/arts10030052</v>
      </c>
      <c r="BG237" t="s">
        <v>74</v>
      </c>
      <c r="BH237" t="s">
        <v>74</v>
      </c>
      <c r="BI237">
        <v>14</v>
      </c>
      <c r="BJ237" t="s">
        <v>4461</v>
      </c>
      <c r="BK237" t="s">
        <v>125</v>
      </c>
      <c r="BL237" t="s">
        <v>4462</v>
      </c>
      <c r="BM237" t="s">
        <v>4667</v>
      </c>
      <c r="BN237" t="s">
        <v>74</v>
      </c>
      <c r="BO237" t="s">
        <v>552</v>
      </c>
      <c r="BP237" t="s">
        <v>74</v>
      </c>
      <c r="BQ237" t="s">
        <v>74</v>
      </c>
      <c r="BR237" t="s">
        <v>102</v>
      </c>
      <c r="BS237" t="s">
        <v>4668</v>
      </c>
      <c r="BT237" t="str">
        <f>HYPERLINK("https%3A%2F%2Fwww.webofscience.com%2Fwos%2Fwoscc%2Ffull-record%2FWOS:000699071300001","View Full Record in Web of Science")</f>
        <v>View Full Record in Web of Science</v>
      </c>
    </row>
    <row r="238" spans="1:72" x14ac:dyDescent="0.35">
      <c r="A238" t="s">
        <v>72</v>
      </c>
      <c r="B238" t="s">
        <v>4669</v>
      </c>
      <c r="C238" t="s">
        <v>74</v>
      </c>
      <c r="D238" t="s">
        <v>74</v>
      </c>
      <c r="E238" t="s">
        <v>74</v>
      </c>
      <c r="F238" t="s">
        <v>4670</v>
      </c>
      <c r="G238" t="s">
        <v>74</v>
      </c>
      <c r="H238" t="s">
        <v>74</v>
      </c>
      <c r="I238" t="s">
        <v>4671</v>
      </c>
      <c r="J238" t="s">
        <v>216</v>
      </c>
      <c r="K238" t="s">
        <v>74</v>
      </c>
      <c r="L238" t="s">
        <v>74</v>
      </c>
      <c r="M238" t="s">
        <v>78</v>
      </c>
      <c r="N238" t="s">
        <v>108</v>
      </c>
      <c r="O238" t="s">
        <v>74</v>
      </c>
      <c r="P238" t="s">
        <v>74</v>
      </c>
      <c r="Q238" t="s">
        <v>74</v>
      </c>
      <c r="R238" t="s">
        <v>74</v>
      </c>
      <c r="S238" t="s">
        <v>74</v>
      </c>
      <c r="T238" t="s">
        <v>4672</v>
      </c>
      <c r="U238" t="s">
        <v>4673</v>
      </c>
      <c r="V238" t="s">
        <v>4674</v>
      </c>
      <c r="W238" t="s">
        <v>4675</v>
      </c>
      <c r="X238" t="s">
        <v>4676</v>
      </c>
      <c r="Y238" t="s">
        <v>4677</v>
      </c>
      <c r="Z238" t="s">
        <v>4678</v>
      </c>
      <c r="AA238" t="s">
        <v>4679</v>
      </c>
      <c r="AB238" t="s">
        <v>74</v>
      </c>
      <c r="AC238" t="s">
        <v>4680</v>
      </c>
      <c r="AD238" t="s">
        <v>4681</v>
      </c>
      <c r="AE238" t="s">
        <v>4682</v>
      </c>
      <c r="AF238" t="s">
        <v>74</v>
      </c>
      <c r="AG238">
        <v>64</v>
      </c>
      <c r="AH238">
        <v>0</v>
      </c>
      <c r="AI238">
        <v>0</v>
      </c>
      <c r="AJ238">
        <v>6</v>
      </c>
      <c r="AK238">
        <v>6</v>
      </c>
      <c r="AL238" t="s">
        <v>226</v>
      </c>
      <c r="AM238" t="s">
        <v>227</v>
      </c>
      <c r="AN238" t="s">
        <v>228</v>
      </c>
      <c r="AO238" t="s">
        <v>229</v>
      </c>
      <c r="AP238" t="s">
        <v>74</v>
      </c>
      <c r="AQ238" t="s">
        <v>74</v>
      </c>
      <c r="AR238" t="s">
        <v>230</v>
      </c>
      <c r="AS238" t="s">
        <v>231</v>
      </c>
      <c r="AT238" t="s">
        <v>273</v>
      </c>
      <c r="AU238">
        <v>2024</v>
      </c>
      <c r="AV238">
        <v>10</v>
      </c>
      <c r="AW238">
        <v>3</v>
      </c>
      <c r="AX238" t="s">
        <v>74</v>
      </c>
      <c r="AY238" t="s">
        <v>74</v>
      </c>
      <c r="AZ238" t="s">
        <v>74</v>
      </c>
      <c r="BA238" t="s">
        <v>74</v>
      </c>
      <c r="BB238" t="s">
        <v>74</v>
      </c>
      <c r="BC238" t="s">
        <v>74</v>
      </c>
      <c r="BD238">
        <v>2.0563051241283424E+16</v>
      </c>
      <c r="BE238" t="s">
        <v>4683</v>
      </c>
      <c r="BF238" t="str">
        <f>HYPERLINK("http://dx.doi.org/10.1177/20563051241283426","http://dx.doi.org/10.1177/20563051241283426")</f>
        <v>http://dx.doi.org/10.1177/20563051241283426</v>
      </c>
      <c r="BG238" t="s">
        <v>74</v>
      </c>
      <c r="BH238" t="s">
        <v>74</v>
      </c>
      <c r="BI238">
        <v>13</v>
      </c>
      <c r="BJ238" t="s">
        <v>124</v>
      </c>
      <c r="BK238" t="s">
        <v>99</v>
      </c>
      <c r="BL238" t="s">
        <v>124</v>
      </c>
      <c r="BM238" t="s">
        <v>4684</v>
      </c>
      <c r="BN238" t="s">
        <v>74</v>
      </c>
      <c r="BO238" t="s">
        <v>235</v>
      </c>
      <c r="BP238" t="s">
        <v>74</v>
      </c>
      <c r="BQ238" t="s">
        <v>74</v>
      </c>
      <c r="BR238" t="s">
        <v>102</v>
      </c>
      <c r="BS238" t="s">
        <v>4685</v>
      </c>
      <c r="BT238" t="str">
        <f>HYPERLINK("https%3A%2F%2Fwww.webofscience.com%2Fwos%2Fwoscc%2Ffull-record%2FWOS:001321951200001","View Full Record in Web of Science")</f>
        <v>View Full Record in Web of Science</v>
      </c>
    </row>
    <row r="239" spans="1:72" x14ac:dyDescent="0.35">
      <c r="A239" t="s">
        <v>72</v>
      </c>
      <c r="B239" t="s">
        <v>4686</v>
      </c>
      <c r="C239" t="s">
        <v>74</v>
      </c>
      <c r="D239" t="s">
        <v>74</v>
      </c>
      <c r="E239" t="s">
        <v>74</v>
      </c>
      <c r="F239" t="s">
        <v>4687</v>
      </c>
      <c r="G239" t="s">
        <v>74</v>
      </c>
      <c r="H239" t="s">
        <v>74</v>
      </c>
      <c r="I239" t="s">
        <v>4688</v>
      </c>
      <c r="J239" t="s">
        <v>1034</v>
      </c>
      <c r="K239" t="s">
        <v>74</v>
      </c>
      <c r="L239" t="s">
        <v>74</v>
      </c>
      <c r="M239" t="s">
        <v>78</v>
      </c>
      <c r="N239" t="s">
        <v>108</v>
      </c>
      <c r="O239" t="s">
        <v>74</v>
      </c>
      <c r="P239" t="s">
        <v>74</v>
      </c>
      <c r="Q239" t="s">
        <v>74</v>
      </c>
      <c r="R239" t="s">
        <v>74</v>
      </c>
      <c r="S239" t="s">
        <v>74</v>
      </c>
      <c r="T239" t="s">
        <v>4689</v>
      </c>
      <c r="U239" t="s">
        <v>4690</v>
      </c>
      <c r="V239" t="s">
        <v>4691</v>
      </c>
      <c r="W239" t="s">
        <v>4692</v>
      </c>
      <c r="X239" t="s">
        <v>4693</v>
      </c>
      <c r="Y239" t="s">
        <v>4694</v>
      </c>
      <c r="Z239" t="s">
        <v>4695</v>
      </c>
      <c r="AA239" t="s">
        <v>4696</v>
      </c>
      <c r="AB239" t="s">
        <v>74</v>
      </c>
      <c r="AC239" t="s">
        <v>74</v>
      </c>
      <c r="AD239" t="s">
        <v>74</v>
      </c>
      <c r="AE239" t="s">
        <v>74</v>
      </c>
      <c r="AF239" t="s">
        <v>74</v>
      </c>
      <c r="AG239">
        <v>58</v>
      </c>
      <c r="AH239">
        <v>15</v>
      </c>
      <c r="AI239">
        <v>17</v>
      </c>
      <c r="AJ239">
        <v>16</v>
      </c>
      <c r="AK239">
        <v>97</v>
      </c>
      <c r="AL239" t="s">
        <v>226</v>
      </c>
      <c r="AM239" t="s">
        <v>227</v>
      </c>
      <c r="AN239" t="s">
        <v>228</v>
      </c>
      <c r="AO239" t="s">
        <v>1041</v>
      </c>
      <c r="AP239" t="s">
        <v>1042</v>
      </c>
      <c r="AQ239" t="s">
        <v>74</v>
      </c>
      <c r="AR239" t="s">
        <v>1043</v>
      </c>
      <c r="AS239" t="s">
        <v>1044</v>
      </c>
      <c r="AT239" t="s">
        <v>523</v>
      </c>
      <c r="AU239">
        <v>2022</v>
      </c>
      <c r="AV239">
        <v>44</v>
      </c>
      <c r="AW239">
        <v>8</v>
      </c>
      <c r="AX239" t="s">
        <v>74</v>
      </c>
      <c r="AY239" t="s">
        <v>74</v>
      </c>
      <c r="AZ239" t="s">
        <v>456</v>
      </c>
      <c r="BA239" t="s">
        <v>74</v>
      </c>
      <c r="BB239">
        <v>1490</v>
      </c>
      <c r="BC239">
        <v>1507</v>
      </c>
      <c r="BD239">
        <v>1634437221104709</v>
      </c>
      <c r="BE239" t="s">
        <v>4697</v>
      </c>
      <c r="BF239" t="str">
        <f>HYPERLINK("http://dx.doi.org/10.1177/01634437221104709","http://dx.doi.org/10.1177/01634437221104709")</f>
        <v>http://dx.doi.org/10.1177/01634437221104709</v>
      </c>
      <c r="BG239" t="s">
        <v>74</v>
      </c>
      <c r="BH239" t="s">
        <v>1428</v>
      </c>
      <c r="BI239">
        <v>18</v>
      </c>
      <c r="BJ239" t="s">
        <v>1047</v>
      </c>
      <c r="BK239" t="s">
        <v>99</v>
      </c>
      <c r="BL239" t="s">
        <v>1047</v>
      </c>
      <c r="BM239" t="s">
        <v>4698</v>
      </c>
      <c r="BN239" t="s">
        <v>74</v>
      </c>
      <c r="BO239" t="s">
        <v>74</v>
      </c>
      <c r="BP239" t="s">
        <v>74</v>
      </c>
      <c r="BQ239" t="s">
        <v>74</v>
      </c>
      <c r="BR239" t="s">
        <v>102</v>
      </c>
      <c r="BS239" t="s">
        <v>4699</v>
      </c>
      <c r="BT239" t="str">
        <f>HYPERLINK("https%3A%2F%2Fwww.webofscience.com%2Fwos%2Fwoscc%2Ffull-record%2FWOS:000813814500001","View Full Record in Web of Science")</f>
        <v>View Full Record in Web of Science</v>
      </c>
    </row>
    <row r="240" spans="1:72" x14ac:dyDescent="0.35">
      <c r="A240" t="s">
        <v>72</v>
      </c>
      <c r="B240" t="s">
        <v>4700</v>
      </c>
      <c r="C240" t="s">
        <v>74</v>
      </c>
      <c r="D240" t="s">
        <v>74</v>
      </c>
      <c r="E240" t="s">
        <v>74</v>
      </c>
      <c r="F240" t="s">
        <v>4701</v>
      </c>
      <c r="G240" t="s">
        <v>74</v>
      </c>
      <c r="H240" t="s">
        <v>74</v>
      </c>
      <c r="I240" t="s">
        <v>4702</v>
      </c>
      <c r="J240" t="s">
        <v>4703</v>
      </c>
      <c r="K240" t="s">
        <v>74</v>
      </c>
      <c r="L240" t="s">
        <v>74</v>
      </c>
      <c r="M240" t="s">
        <v>78</v>
      </c>
      <c r="N240" t="s">
        <v>108</v>
      </c>
      <c r="O240" t="s">
        <v>74</v>
      </c>
      <c r="P240" t="s">
        <v>74</v>
      </c>
      <c r="Q240" t="s">
        <v>74</v>
      </c>
      <c r="R240" t="s">
        <v>74</v>
      </c>
      <c r="S240" t="s">
        <v>74</v>
      </c>
      <c r="T240" t="s">
        <v>4704</v>
      </c>
      <c r="U240" t="s">
        <v>4705</v>
      </c>
      <c r="V240" t="s">
        <v>4706</v>
      </c>
      <c r="W240" t="s">
        <v>4707</v>
      </c>
      <c r="X240" t="s">
        <v>4708</v>
      </c>
      <c r="Y240" t="s">
        <v>4709</v>
      </c>
      <c r="Z240" t="s">
        <v>4710</v>
      </c>
      <c r="AA240" t="s">
        <v>74</v>
      </c>
      <c r="AB240" t="s">
        <v>74</v>
      </c>
      <c r="AC240" t="s">
        <v>4711</v>
      </c>
      <c r="AD240" t="s">
        <v>4711</v>
      </c>
      <c r="AE240" t="s">
        <v>4712</v>
      </c>
      <c r="AF240" t="s">
        <v>74</v>
      </c>
      <c r="AG240">
        <v>53</v>
      </c>
      <c r="AH240">
        <v>0</v>
      </c>
      <c r="AI240">
        <v>0</v>
      </c>
      <c r="AJ240">
        <v>1</v>
      </c>
      <c r="AK240">
        <v>1</v>
      </c>
      <c r="AL240" t="s">
        <v>4713</v>
      </c>
      <c r="AM240" t="s">
        <v>4714</v>
      </c>
      <c r="AN240" t="s">
        <v>4715</v>
      </c>
      <c r="AO240" t="s">
        <v>4716</v>
      </c>
      <c r="AP240" t="s">
        <v>4717</v>
      </c>
      <c r="AQ240" t="s">
        <v>74</v>
      </c>
      <c r="AR240" t="s">
        <v>4718</v>
      </c>
      <c r="AS240" t="s">
        <v>4719</v>
      </c>
      <c r="AT240" t="s">
        <v>257</v>
      </c>
      <c r="AU240">
        <v>2024</v>
      </c>
      <c r="AV240">
        <v>15</v>
      </c>
      <c r="AW240">
        <v>1</v>
      </c>
      <c r="AX240" t="s">
        <v>74</v>
      </c>
      <c r="AY240" t="s">
        <v>74</v>
      </c>
      <c r="AZ240" t="s">
        <v>74</v>
      </c>
      <c r="BA240" t="s">
        <v>74</v>
      </c>
      <c r="BB240">
        <v>11</v>
      </c>
      <c r="BC240">
        <v>30</v>
      </c>
      <c r="BD240" t="s">
        <v>74</v>
      </c>
      <c r="BE240" t="s">
        <v>4720</v>
      </c>
      <c r="BF240" t="str">
        <f>HYPERLINK("http://dx.doi.org/10.1177/09749276241252631","http://dx.doi.org/10.1177/09749276241252631")</f>
        <v>http://dx.doi.org/10.1177/09749276241252631</v>
      </c>
      <c r="BG240" t="s">
        <v>74</v>
      </c>
      <c r="BH240" t="s">
        <v>500</v>
      </c>
      <c r="BI240">
        <v>20</v>
      </c>
      <c r="BJ240" t="s">
        <v>4721</v>
      </c>
      <c r="BK240" t="s">
        <v>316</v>
      </c>
      <c r="BL240" t="s">
        <v>4722</v>
      </c>
      <c r="BM240" t="s">
        <v>4723</v>
      </c>
      <c r="BN240" t="s">
        <v>74</v>
      </c>
      <c r="BO240" t="s">
        <v>74</v>
      </c>
      <c r="BP240" t="s">
        <v>74</v>
      </c>
      <c r="BQ240" t="s">
        <v>74</v>
      </c>
      <c r="BR240" t="s">
        <v>102</v>
      </c>
      <c r="BS240" t="s">
        <v>4724</v>
      </c>
      <c r="BT240" t="str">
        <f>HYPERLINK("https%3A%2F%2Fwww.webofscience.com%2Fwos%2Fwoscc%2Ffull-record%2FWOS:001241122000001","View Full Record in Web of Science")</f>
        <v>View Full Record in Web of Science</v>
      </c>
    </row>
    <row r="241" spans="1:72" x14ac:dyDescent="0.35">
      <c r="A241" t="s">
        <v>72</v>
      </c>
      <c r="B241" t="s">
        <v>4725</v>
      </c>
      <c r="C241" t="s">
        <v>74</v>
      </c>
      <c r="D241" t="s">
        <v>74</v>
      </c>
      <c r="E241" t="s">
        <v>74</v>
      </c>
      <c r="F241" t="s">
        <v>4726</v>
      </c>
      <c r="G241" t="s">
        <v>74</v>
      </c>
      <c r="H241" t="s">
        <v>74</v>
      </c>
      <c r="I241" t="s">
        <v>4727</v>
      </c>
      <c r="J241" t="s">
        <v>2888</v>
      </c>
      <c r="K241" t="s">
        <v>74</v>
      </c>
      <c r="L241" t="s">
        <v>74</v>
      </c>
      <c r="M241" t="s">
        <v>78</v>
      </c>
      <c r="N241" t="s">
        <v>108</v>
      </c>
      <c r="O241" t="s">
        <v>74</v>
      </c>
      <c r="P241" t="s">
        <v>74</v>
      </c>
      <c r="Q241" t="s">
        <v>74</v>
      </c>
      <c r="R241" t="s">
        <v>74</v>
      </c>
      <c r="S241" t="s">
        <v>74</v>
      </c>
      <c r="T241" t="s">
        <v>4728</v>
      </c>
      <c r="U241" t="s">
        <v>74</v>
      </c>
      <c r="V241" t="s">
        <v>4729</v>
      </c>
      <c r="W241" t="s">
        <v>4730</v>
      </c>
      <c r="X241" t="s">
        <v>4731</v>
      </c>
      <c r="Y241" t="s">
        <v>4732</v>
      </c>
      <c r="Z241" t="s">
        <v>4733</v>
      </c>
      <c r="AA241" t="s">
        <v>74</v>
      </c>
      <c r="AB241" t="s">
        <v>74</v>
      </c>
      <c r="AC241" t="s">
        <v>74</v>
      </c>
      <c r="AD241" t="s">
        <v>74</v>
      </c>
      <c r="AE241" t="s">
        <v>74</v>
      </c>
      <c r="AF241" t="s">
        <v>74</v>
      </c>
      <c r="AG241">
        <v>14</v>
      </c>
      <c r="AH241">
        <v>1</v>
      </c>
      <c r="AI241">
        <v>1</v>
      </c>
      <c r="AJ241">
        <v>0</v>
      </c>
      <c r="AK241">
        <v>1</v>
      </c>
      <c r="AL241" t="s">
        <v>2897</v>
      </c>
      <c r="AM241" t="s">
        <v>227</v>
      </c>
      <c r="AN241" t="s">
        <v>2898</v>
      </c>
      <c r="AO241" t="s">
        <v>2899</v>
      </c>
      <c r="AP241" t="s">
        <v>2900</v>
      </c>
      <c r="AQ241" t="s">
        <v>74</v>
      </c>
      <c r="AR241" t="s">
        <v>2901</v>
      </c>
      <c r="AS241" t="s">
        <v>2902</v>
      </c>
      <c r="AT241" t="s">
        <v>232</v>
      </c>
      <c r="AU241">
        <v>2024</v>
      </c>
      <c r="AV241">
        <v>35</v>
      </c>
      <c r="AW241">
        <v>1</v>
      </c>
      <c r="AX241" t="s">
        <v>74</v>
      </c>
      <c r="AY241" t="s">
        <v>74</v>
      </c>
      <c r="AZ241" t="s">
        <v>74</v>
      </c>
      <c r="BA241" t="s">
        <v>74</v>
      </c>
      <c r="BB241">
        <v>183</v>
      </c>
      <c r="BC241">
        <v>188</v>
      </c>
      <c r="BD241" t="s">
        <v>74</v>
      </c>
      <c r="BE241" t="s">
        <v>4734</v>
      </c>
      <c r="BF241" t="str">
        <f>HYPERLINK("http://dx.doi.org/10.1007/s00192-023-05690-3","http://dx.doi.org/10.1007/s00192-023-05690-3")</f>
        <v>http://dx.doi.org/10.1007/s00192-023-05690-3</v>
      </c>
      <c r="BG241" t="s">
        <v>74</v>
      </c>
      <c r="BH241" t="s">
        <v>674</v>
      </c>
      <c r="BI241">
        <v>6</v>
      </c>
      <c r="BJ241" t="s">
        <v>2904</v>
      </c>
      <c r="BK241" t="s">
        <v>209</v>
      </c>
      <c r="BL241" t="s">
        <v>2904</v>
      </c>
      <c r="BM241" t="s">
        <v>4735</v>
      </c>
      <c r="BN241">
        <v>38032377</v>
      </c>
      <c r="BO241" t="s">
        <v>74</v>
      </c>
      <c r="BP241" t="s">
        <v>74</v>
      </c>
      <c r="BQ241" t="s">
        <v>74</v>
      </c>
      <c r="BR241" t="s">
        <v>102</v>
      </c>
      <c r="BS241" t="s">
        <v>4736</v>
      </c>
      <c r="BT241" t="str">
        <f>HYPERLINK("https%3A%2F%2Fwww.webofscience.com%2Fwos%2Fwoscc%2Ffull-record%2FWOS:001111215300001","View Full Record in Web of Science")</f>
        <v>View Full Record in Web of Science</v>
      </c>
    </row>
    <row r="242" spans="1:72" x14ac:dyDescent="0.35">
      <c r="A242" t="s">
        <v>72</v>
      </c>
      <c r="B242" t="s">
        <v>4737</v>
      </c>
      <c r="C242" t="s">
        <v>74</v>
      </c>
      <c r="D242" t="s">
        <v>74</v>
      </c>
      <c r="E242" t="s">
        <v>74</v>
      </c>
      <c r="F242" t="s">
        <v>4738</v>
      </c>
      <c r="G242" t="s">
        <v>74</v>
      </c>
      <c r="H242" t="s">
        <v>74</v>
      </c>
      <c r="I242" t="s">
        <v>4739</v>
      </c>
      <c r="J242" t="s">
        <v>4407</v>
      </c>
      <c r="K242" t="s">
        <v>74</v>
      </c>
      <c r="L242" t="s">
        <v>74</v>
      </c>
      <c r="M242" t="s">
        <v>78</v>
      </c>
      <c r="N242" t="s">
        <v>79</v>
      </c>
      <c r="O242" t="s">
        <v>74</v>
      </c>
      <c r="P242" t="s">
        <v>74</v>
      </c>
      <c r="Q242" t="s">
        <v>74</v>
      </c>
      <c r="R242" t="s">
        <v>74</v>
      </c>
      <c r="S242" t="s">
        <v>74</v>
      </c>
      <c r="T242" t="s">
        <v>4740</v>
      </c>
      <c r="U242" t="s">
        <v>4741</v>
      </c>
      <c r="V242" t="s">
        <v>4742</v>
      </c>
      <c r="W242" t="s">
        <v>4743</v>
      </c>
      <c r="X242" t="s">
        <v>4744</v>
      </c>
      <c r="Y242" t="s">
        <v>4745</v>
      </c>
      <c r="Z242" t="s">
        <v>4746</v>
      </c>
      <c r="AA242" t="s">
        <v>74</v>
      </c>
      <c r="AB242" t="s">
        <v>4747</v>
      </c>
      <c r="AC242" t="s">
        <v>74</v>
      </c>
      <c r="AD242" t="s">
        <v>74</v>
      </c>
      <c r="AE242" t="s">
        <v>74</v>
      </c>
      <c r="AF242" t="s">
        <v>74</v>
      </c>
      <c r="AG242">
        <v>78</v>
      </c>
      <c r="AH242">
        <v>1</v>
      </c>
      <c r="AI242">
        <v>1</v>
      </c>
      <c r="AJ242">
        <v>22</v>
      </c>
      <c r="AK242">
        <v>47</v>
      </c>
      <c r="AL242" t="s">
        <v>226</v>
      </c>
      <c r="AM242" t="s">
        <v>227</v>
      </c>
      <c r="AN242" t="s">
        <v>228</v>
      </c>
      <c r="AO242" t="s">
        <v>4415</v>
      </c>
      <c r="AP242" t="s">
        <v>4416</v>
      </c>
      <c r="AQ242" t="s">
        <v>74</v>
      </c>
      <c r="AR242" t="s">
        <v>4417</v>
      </c>
      <c r="AS242" t="s">
        <v>4418</v>
      </c>
      <c r="AT242" t="s">
        <v>4748</v>
      </c>
      <c r="AU242">
        <v>2023</v>
      </c>
      <c r="AV242" t="s">
        <v>74</v>
      </c>
      <c r="AW242" t="s">
        <v>74</v>
      </c>
      <c r="AX242" t="s">
        <v>74</v>
      </c>
      <c r="AY242" t="s">
        <v>74</v>
      </c>
      <c r="AZ242" t="s">
        <v>74</v>
      </c>
      <c r="BA242" t="s">
        <v>74</v>
      </c>
      <c r="BB242" t="s">
        <v>74</v>
      </c>
      <c r="BC242" t="s">
        <v>74</v>
      </c>
      <c r="BD242" t="s">
        <v>74</v>
      </c>
      <c r="BE242" t="s">
        <v>4749</v>
      </c>
      <c r="BF242" t="str">
        <f>HYPERLINK("http://dx.doi.org/10.1177/14673584231217654","http://dx.doi.org/10.1177/14673584231217654")</f>
        <v>http://dx.doi.org/10.1177/14673584231217654</v>
      </c>
      <c r="BG242" t="s">
        <v>74</v>
      </c>
      <c r="BH242" t="s">
        <v>674</v>
      </c>
      <c r="BI242">
        <v>13</v>
      </c>
      <c r="BJ242" t="s">
        <v>574</v>
      </c>
      <c r="BK242" t="s">
        <v>125</v>
      </c>
      <c r="BL242" t="s">
        <v>100</v>
      </c>
      <c r="BM242" t="s">
        <v>4750</v>
      </c>
      <c r="BN242" t="s">
        <v>74</v>
      </c>
      <c r="BO242" t="s">
        <v>74</v>
      </c>
      <c r="BP242" t="s">
        <v>74</v>
      </c>
      <c r="BQ242" t="s">
        <v>74</v>
      </c>
      <c r="BR242" t="s">
        <v>102</v>
      </c>
      <c r="BS242" t="s">
        <v>4751</v>
      </c>
      <c r="BT242" t="str">
        <f>HYPERLINK("https%3A%2F%2Fwww.webofscience.com%2Fwos%2Fwoscc%2Ffull-record%2FWOS:001105864500001","View Full Record in Web of Science")</f>
        <v>View Full Record in Web of Science</v>
      </c>
    </row>
    <row r="243" spans="1:72" x14ac:dyDescent="0.35">
      <c r="A243" t="s">
        <v>72</v>
      </c>
      <c r="B243" t="s">
        <v>4752</v>
      </c>
      <c r="C243" t="s">
        <v>74</v>
      </c>
      <c r="D243" t="s">
        <v>74</v>
      </c>
      <c r="E243" t="s">
        <v>74</v>
      </c>
      <c r="F243" t="s">
        <v>4753</v>
      </c>
      <c r="G243" t="s">
        <v>74</v>
      </c>
      <c r="H243" t="s">
        <v>74</v>
      </c>
      <c r="I243" t="s">
        <v>4754</v>
      </c>
      <c r="J243" t="s">
        <v>216</v>
      </c>
      <c r="K243" t="s">
        <v>74</v>
      </c>
      <c r="L243" t="s">
        <v>74</v>
      </c>
      <c r="M243" t="s">
        <v>78</v>
      </c>
      <c r="N243" t="s">
        <v>108</v>
      </c>
      <c r="O243" t="s">
        <v>74</v>
      </c>
      <c r="P243" t="s">
        <v>74</v>
      </c>
      <c r="Q243" t="s">
        <v>74</v>
      </c>
      <c r="R243" t="s">
        <v>74</v>
      </c>
      <c r="S243" t="s">
        <v>74</v>
      </c>
      <c r="T243" t="s">
        <v>4755</v>
      </c>
      <c r="U243" t="s">
        <v>4756</v>
      </c>
      <c r="V243" t="s">
        <v>4757</v>
      </c>
      <c r="W243" t="s">
        <v>4758</v>
      </c>
      <c r="X243" t="s">
        <v>4759</v>
      </c>
      <c r="Y243" t="s">
        <v>4760</v>
      </c>
      <c r="Z243" t="s">
        <v>4761</v>
      </c>
      <c r="AA243" t="s">
        <v>4762</v>
      </c>
      <c r="AB243" t="s">
        <v>4763</v>
      </c>
      <c r="AC243" t="s">
        <v>4764</v>
      </c>
      <c r="AD243" t="s">
        <v>4765</v>
      </c>
      <c r="AE243" t="s">
        <v>4766</v>
      </c>
      <c r="AF243" t="s">
        <v>74</v>
      </c>
      <c r="AG243">
        <v>67</v>
      </c>
      <c r="AH243">
        <v>0</v>
      </c>
      <c r="AI243">
        <v>0</v>
      </c>
      <c r="AJ243">
        <v>12</v>
      </c>
      <c r="AK243">
        <v>12</v>
      </c>
      <c r="AL243" t="s">
        <v>226</v>
      </c>
      <c r="AM243" t="s">
        <v>227</v>
      </c>
      <c r="AN243" t="s">
        <v>228</v>
      </c>
      <c r="AO243" t="s">
        <v>229</v>
      </c>
      <c r="AP243" t="s">
        <v>74</v>
      </c>
      <c r="AQ243" t="s">
        <v>74</v>
      </c>
      <c r="AR243" t="s">
        <v>230</v>
      </c>
      <c r="AS243" t="s">
        <v>231</v>
      </c>
      <c r="AT243" t="s">
        <v>273</v>
      </c>
      <c r="AU243">
        <v>2024</v>
      </c>
      <c r="AV243">
        <v>10</v>
      </c>
      <c r="AW243">
        <v>3</v>
      </c>
      <c r="AX243" t="s">
        <v>74</v>
      </c>
      <c r="AY243" t="s">
        <v>74</v>
      </c>
      <c r="AZ243" t="s">
        <v>74</v>
      </c>
      <c r="BA243" t="s">
        <v>74</v>
      </c>
      <c r="BB243" t="s">
        <v>74</v>
      </c>
      <c r="BC243" t="s">
        <v>74</v>
      </c>
      <c r="BD243">
        <v>2.0563051241269264E+16</v>
      </c>
      <c r="BE243" t="s">
        <v>4767</v>
      </c>
      <c r="BF243" t="str">
        <f>HYPERLINK("http://dx.doi.org/10.1177/20563051241269266","http://dx.doi.org/10.1177/20563051241269266")</f>
        <v>http://dx.doi.org/10.1177/20563051241269266</v>
      </c>
      <c r="BG243" t="s">
        <v>74</v>
      </c>
      <c r="BH243" t="s">
        <v>74</v>
      </c>
      <c r="BI243">
        <v>11</v>
      </c>
      <c r="BJ243" t="s">
        <v>124</v>
      </c>
      <c r="BK243" t="s">
        <v>99</v>
      </c>
      <c r="BL243" t="s">
        <v>124</v>
      </c>
      <c r="BM243" t="s">
        <v>4768</v>
      </c>
      <c r="BN243" t="s">
        <v>74</v>
      </c>
      <c r="BO243" t="s">
        <v>235</v>
      </c>
      <c r="BP243" t="s">
        <v>74</v>
      </c>
      <c r="BQ243" t="s">
        <v>74</v>
      </c>
      <c r="BR243" t="s">
        <v>102</v>
      </c>
      <c r="BS243" t="s">
        <v>4769</v>
      </c>
      <c r="BT243" t="str">
        <f>HYPERLINK("https%3A%2F%2Fwww.webofscience.com%2Fwos%2Fwoscc%2Ffull-record%2FWOS:001290376800001","View Full Record in Web of Science")</f>
        <v>View Full Record in Web of Science</v>
      </c>
    </row>
    <row r="244" spans="1:72" x14ac:dyDescent="0.35">
      <c r="A244" t="s">
        <v>72</v>
      </c>
      <c r="B244" t="s">
        <v>4770</v>
      </c>
      <c r="C244" t="s">
        <v>74</v>
      </c>
      <c r="D244" t="s">
        <v>74</v>
      </c>
      <c r="E244" t="s">
        <v>74</v>
      </c>
      <c r="F244" t="s">
        <v>4771</v>
      </c>
      <c r="G244" t="s">
        <v>74</v>
      </c>
      <c r="H244" t="s">
        <v>74</v>
      </c>
      <c r="I244" t="s">
        <v>4772</v>
      </c>
      <c r="J244" t="s">
        <v>438</v>
      </c>
      <c r="K244" t="s">
        <v>74</v>
      </c>
      <c r="L244" t="s">
        <v>74</v>
      </c>
      <c r="M244" t="s">
        <v>78</v>
      </c>
      <c r="N244" t="s">
        <v>108</v>
      </c>
      <c r="O244" t="s">
        <v>74</v>
      </c>
      <c r="P244" t="s">
        <v>74</v>
      </c>
      <c r="Q244" t="s">
        <v>74</v>
      </c>
      <c r="R244" t="s">
        <v>74</v>
      </c>
      <c r="S244" t="s">
        <v>74</v>
      </c>
      <c r="T244" t="s">
        <v>4773</v>
      </c>
      <c r="U244" t="s">
        <v>4774</v>
      </c>
      <c r="V244" t="s">
        <v>4775</v>
      </c>
      <c r="W244" t="s">
        <v>4776</v>
      </c>
      <c r="X244" t="s">
        <v>4777</v>
      </c>
      <c r="Y244" t="s">
        <v>4778</v>
      </c>
      <c r="Z244" t="s">
        <v>493</v>
      </c>
      <c r="AA244" t="s">
        <v>74</v>
      </c>
      <c r="AB244" t="s">
        <v>74</v>
      </c>
      <c r="AC244" t="s">
        <v>74</v>
      </c>
      <c r="AD244" t="s">
        <v>74</v>
      </c>
      <c r="AE244" t="s">
        <v>74</v>
      </c>
      <c r="AF244" t="s">
        <v>74</v>
      </c>
      <c r="AG244">
        <v>52</v>
      </c>
      <c r="AH244">
        <v>202</v>
      </c>
      <c r="AI244">
        <v>228</v>
      </c>
      <c r="AJ244">
        <v>57</v>
      </c>
      <c r="AK244">
        <v>349</v>
      </c>
      <c r="AL244" t="s">
        <v>226</v>
      </c>
      <c r="AM244" t="s">
        <v>227</v>
      </c>
      <c r="AN244" t="s">
        <v>228</v>
      </c>
      <c r="AO244" t="s">
        <v>451</v>
      </c>
      <c r="AP244" t="s">
        <v>452</v>
      </c>
      <c r="AQ244" t="s">
        <v>74</v>
      </c>
      <c r="AR244" t="s">
        <v>453</v>
      </c>
      <c r="AS244" t="s">
        <v>454</v>
      </c>
      <c r="AT244" t="s">
        <v>297</v>
      </c>
      <c r="AU244">
        <v>2022</v>
      </c>
      <c r="AV244">
        <v>24</v>
      </c>
      <c r="AW244">
        <v>8</v>
      </c>
      <c r="AX244" t="s">
        <v>74</v>
      </c>
      <c r="AY244" t="s">
        <v>74</v>
      </c>
      <c r="AZ244" t="s">
        <v>74</v>
      </c>
      <c r="BA244" t="s">
        <v>74</v>
      </c>
      <c r="BB244">
        <v>1872</v>
      </c>
      <c r="BC244">
        <v>1890</v>
      </c>
      <c r="BD244">
        <v>1461444820983603</v>
      </c>
      <c r="BE244" t="s">
        <v>4779</v>
      </c>
      <c r="BF244" t="str">
        <f>HYPERLINK("http://dx.doi.org/10.1177/1461444820983603","http://dx.doi.org/10.1177/1461444820983603")</f>
        <v>http://dx.doi.org/10.1177/1461444820983603</v>
      </c>
      <c r="BG244" t="s">
        <v>74</v>
      </c>
      <c r="BH244" t="s">
        <v>4780</v>
      </c>
      <c r="BI244">
        <v>19</v>
      </c>
      <c r="BJ244" t="s">
        <v>124</v>
      </c>
      <c r="BK244" t="s">
        <v>99</v>
      </c>
      <c r="BL244" t="s">
        <v>124</v>
      </c>
      <c r="BM244" t="s">
        <v>4781</v>
      </c>
      <c r="BN244" t="s">
        <v>74</v>
      </c>
      <c r="BO244" t="s">
        <v>74</v>
      </c>
      <c r="BP244" t="s">
        <v>395</v>
      </c>
      <c r="BQ244" t="s">
        <v>396</v>
      </c>
      <c r="BR244" t="s">
        <v>102</v>
      </c>
      <c r="BS244" t="s">
        <v>4782</v>
      </c>
      <c r="BT244" t="str">
        <f>HYPERLINK("https%3A%2F%2Fwww.webofscience.com%2Fwos%2Fwoscc%2Ffull-record%2FWOS:000624209600001","View Full Record in Web of Science")</f>
        <v>View Full Record in Web of Science</v>
      </c>
    </row>
    <row r="245" spans="1:72" x14ac:dyDescent="0.35">
      <c r="A245" t="s">
        <v>72</v>
      </c>
      <c r="B245" t="s">
        <v>4783</v>
      </c>
      <c r="C245" t="s">
        <v>74</v>
      </c>
      <c r="D245" t="s">
        <v>74</v>
      </c>
      <c r="E245" t="s">
        <v>74</v>
      </c>
      <c r="F245" t="s">
        <v>4784</v>
      </c>
      <c r="G245" t="s">
        <v>74</v>
      </c>
      <c r="H245" t="s">
        <v>74</v>
      </c>
      <c r="I245" t="s">
        <v>4785</v>
      </c>
      <c r="J245" t="s">
        <v>2814</v>
      </c>
      <c r="K245" t="s">
        <v>74</v>
      </c>
      <c r="L245" t="s">
        <v>74</v>
      </c>
      <c r="M245" t="s">
        <v>78</v>
      </c>
      <c r="N245" t="s">
        <v>1328</v>
      </c>
      <c r="O245" t="s">
        <v>74</v>
      </c>
      <c r="P245" t="s">
        <v>74</v>
      </c>
      <c r="Q245" t="s">
        <v>74</v>
      </c>
      <c r="R245" t="s">
        <v>74</v>
      </c>
      <c r="S245" t="s">
        <v>74</v>
      </c>
      <c r="T245" t="s">
        <v>4786</v>
      </c>
      <c r="U245" t="s">
        <v>74</v>
      </c>
      <c r="V245" t="s">
        <v>74</v>
      </c>
      <c r="W245" t="s">
        <v>4787</v>
      </c>
      <c r="X245" t="s">
        <v>4788</v>
      </c>
      <c r="Y245" t="s">
        <v>4789</v>
      </c>
      <c r="Z245" t="s">
        <v>4790</v>
      </c>
      <c r="AA245" t="s">
        <v>4791</v>
      </c>
      <c r="AB245" t="s">
        <v>4792</v>
      </c>
      <c r="AC245" t="s">
        <v>74</v>
      </c>
      <c r="AD245" t="s">
        <v>74</v>
      </c>
      <c r="AE245" t="s">
        <v>74</v>
      </c>
      <c r="AF245" t="s">
        <v>74</v>
      </c>
      <c r="AG245">
        <v>10</v>
      </c>
      <c r="AH245">
        <v>5</v>
      </c>
      <c r="AI245">
        <v>5</v>
      </c>
      <c r="AJ245">
        <v>6</v>
      </c>
      <c r="AK245">
        <v>30</v>
      </c>
      <c r="AL245" t="s">
        <v>543</v>
      </c>
      <c r="AM245" t="s">
        <v>544</v>
      </c>
      <c r="AN245" t="s">
        <v>545</v>
      </c>
      <c r="AO245" t="s">
        <v>2821</v>
      </c>
      <c r="AP245" t="s">
        <v>74</v>
      </c>
      <c r="AQ245" t="s">
        <v>74</v>
      </c>
      <c r="AR245" t="s">
        <v>2822</v>
      </c>
      <c r="AS245" t="s">
        <v>2823</v>
      </c>
      <c r="AT245" t="s">
        <v>4793</v>
      </c>
      <c r="AU245">
        <v>2023</v>
      </c>
      <c r="AV245">
        <v>25</v>
      </c>
      <c r="AW245" t="s">
        <v>74</v>
      </c>
      <c r="AX245" t="s">
        <v>74</v>
      </c>
      <c r="AY245" t="s">
        <v>74</v>
      </c>
      <c r="AZ245" t="s">
        <v>74</v>
      </c>
      <c r="BA245" t="s">
        <v>74</v>
      </c>
      <c r="BB245" t="s">
        <v>74</v>
      </c>
      <c r="BC245" t="s">
        <v>74</v>
      </c>
      <c r="BD245" t="s">
        <v>4794</v>
      </c>
      <c r="BE245" t="s">
        <v>4795</v>
      </c>
      <c r="BF245" t="str">
        <f>HYPERLINK("http://dx.doi.org/10.2196/45571","http://dx.doi.org/10.2196/45571")</f>
        <v>http://dx.doi.org/10.2196/45571</v>
      </c>
      <c r="BG245" t="s">
        <v>74</v>
      </c>
      <c r="BH245" t="s">
        <v>74</v>
      </c>
      <c r="BI245">
        <v>4</v>
      </c>
      <c r="BJ245" t="s">
        <v>550</v>
      </c>
      <c r="BK245" t="s">
        <v>209</v>
      </c>
      <c r="BL245" t="s">
        <v>550</v>
      </c>
      <c r="BM245" t="s">
        <v>4796</v>
      </c>
      <c r="BN245">
        <v>36912883</v>
      </c>
      <c r="BO245" t="s">
        <v>552</v>
      </c>
      <c r="BP245" t="s">
        <v>74</v>
      </c>
      <c r="BQ245" t="s">
        <v>74</v>
      </c>
      <c r="BR245" t="s">
        <v>102</v>
      </c>
      <c r="BS245" t="s">
        <v>4797</v>
      </c>
      <c r="BT245" t="str">
        <f>HYPERLINK("https%3A%2F%2Fwww.webofscience.com%2Fwos%2Fwoscc%2Ffull-record%2FWOS:001009319100002","View Full Record in Web of Science")</f>
        <v>View Full Record in Web of Science</v>
      </c>
    </row>
    <row r="246" spans="1:72" x14ac:dyDescent="0.35">
      <c r="A246" t="s">
        <v>72</v>
      </c>
      <c r="B246" t="s">
        <v>4798</v>
      </c>
      <c r="C246" t="s">
        <v>74</v>
      </c>
      <c r="D246" t="s">
        <v>74</v>
      </c>
      <c r="E246" t="s">
        <v>74</v>
      </c>
      <c r="F246" t="s">
        <v>4799</v>
      </c>
      <c r="G246" t="s">
        <v>74</v>
      </c>
      <c r="H246" t="s">
        <v>74</v>
      </c>
      <c r="I246" t="s">
        <v>4800</v>
      </c>
      <c r="J246" t="s">
        <v>4801</v>
      </c>
      <c r="K246" t="s">
        <v>74</v>
      </c>
      <c r="L246" t="s">
        <v>74</v>
      </c>
      <c r="M246" t="s">
        <v>78</v>
      </c>
      <c r="N246" t="s">
        <v>108</v>
      </c>
      <c r="O246" t="s">
        <v>74</v>
      </c>
      <c r="P246" t="s">
        <v>74</v>
      </c>
      <c r="Q246" t="s">
        <v>74</v>
      </c>
      <c r="R246" t="s">
        <v>74</v>
      </c>
      <c r="S246" t="s">
        <v>74</v>
      </c>
      <c r="T246" t="s">
        <v>4802</v>
      </c>
      <c r="U246" t="s">
        <v>74</v>
      </c>
      <c r="V246" t="s">
        <v>4803</v>
      </c>
      <c r="W246" t="s">
        <v>4804</v>
      </c>
      <c r="X246" t="s">
        <v>4805</v>
      </c>
      <c r="Y246" t="s">
        <v>4806</v>
      </c>
      <c r="Z246" t="s">
        <v>4807</v>
      </c>
      <c r="AA246" t="s">
        <v>4808</v>
      </c>
      <c r="AB246" t="s">
        <v>4809</v>
      </c>
      <c r="AC246" t="s">
        <v>74</v>
      </c>
      <c r="AD246" t="s">
        <v>74</v>
      </c>
      <c r="AE246" t="s">
        <v>74</v>
      </c>
      <c r="AF246" t="s">
        <v>74</v>
      </c>
      <c r="AG246">
        <v>16</v>
      </c>
      <c r="AH246">
        <v>4</v>
      </c>
      <c r="AI246">
        <v>4</v>
      </c>
      <c r="AJ246">
        <v>7</v>
      </c>
      <c r="AK246">
        <v>105</v>
      </c>
      <c r="AL246" t="s">
        <v>4810</v>
      </c>
      <c r="AM246" t="s">
        <v>1564</v>
      </c>
      <c r="AN246" t="s">
        <v>4811</v>
      </c>
      <c r="AO246" t="s">
        <v>4812</v>
      </c>
      <c r="AP246" t="s">
        <v>74</v>
      </c>
      <c r="AQ246" t="s">
        <v>74</v>
      </c>
      <c r="AR246" t="s">
        <v>4801</v>
      </c>
      <c r="AS246" t="s">
        <v>4813</v>
      </c>
      <c r="AT246" t="s">
        <v>523</v>
      </c>
      <c r="AU246">
        <v>2022</v>
      </c>
      <c r="AV246" t="s">
        <v>74</v>
      </c>
      <c r="AW246">
        <v>24</v>
      </c>
      <c r="AX246" t="s">
        <v>74</v>
      </c>
      <c r="AY246" t="s">
        <v>74</v>
      </c>
      <c r="AZ246" t="s">
        <v>74</v>
      </c>
      <c r="BA246" t="s">
        <v>74</v>
      </c>
      <c r="BB246">
        <v>896</v>
      </c>
      <c r="BC246">
        <v>902</v>
      </c>
      <c r="BD246" t="s">
        <v>74</v>
      </c>
      <c r="BE246" t="s">
        <v>4814</v>
      </c>
      <c r="BF246" t="str">
        <f>HYPERLINK("http://dx.doi.org/10.18137/cardiometry.2022.24.896902","http://dx.doi.org/10.18137/cardiometry.2022.24.896902")</f>
        <v>http://dx.doi.org/10.18137/cardiometry.2022.24.896902</v>
      </c>
      <c r="BG246" t="s">
        <v>74</v>
      </c>
      <c r="BH246" t="s">
        <v>74</v>
      </c>
      <c r="BI246">
        <v>7</v>
      </c>
      <c r="BJ246" t="s">
        <v>4815</v>
      </c>
      <c r="BK246" t="s">
        <v>125</v>
      </c>
      <c r="BL246" t="s">
        <v>4815</v>
      </c>
      <c r="BM246" t="s">
        <v>4816</v>
      </c>
      <c r="BN246" t="s">
        <v>74</v>
      </c>
      <c r="BO246" t="s">
        <v>767</v>
      </c>
      <c r="BP246" t="s">
        <v>74</v>
      </c>
      <c r="BQ246" t="s">
        <v>74</v>
      </c>
      <c r="BR246" t="s">
        <v>102</v>
      </c>
      <c r="BS246" t="s">
        <v>4817</v>
      </c>
      <c r="BT246" t="str">
        <f>HYPERLINK("https%3A%2F%2Fwww.webofscience.com%2Fwos%2Fwoscc%2Ffull-record%2FWOS:000905187800097","View Full Record in Web of Science")</f>
        <v>View Full Record in Web of Science</v>
      </c>
    </row>
    <row r="247" spans="1:72" x14ac:dyDescent="0.35">
      <c r="A247" t="s">
        <v>72</v>
      </c>
      <c r="B247" t="s">
        <v>4818</v>
      </c>
      <c r="C247" t="s">
        <v>74</v>
      </c>
      <c r="D247" t="s">
        <v>74</v>
      </c>
      <c r="E247" t="s">
        <v>74</v>
      </c>
      <c r="F247" t="s">
        <v>4819</v>
      </c>
      <c r="G247" t="s">
        <v>74</v>
      </c>
      <c r="H247" t="s">
        <v>74</v>
      </c>
      <c r="I247" t="s">
        <v>4820</v>
      </c>
      <c r="J247" t="s">
        <v>4821</v>
      </c>
      <c r="K247" t="s">
        <v>74</v>
      </c>
      <c r="L247" t="s">
        <v>74</v>
      </c>
      <c r="M247" t="s">
        <v>78</v>
      </c>
      <c r="N247" t="s">
        <v>108</v>
      </c>
      <c r="O247" t="s">
        <v>74</v>
      </c>
      <c r="P247" t="s">
        <v>74</v>
      </c>
      <c r="Q247" t="s">
        <v>74</v>
      </c>
      <c r="R247" t="s">
        <v>74</v>
      </c>
      <c r="S247" t="s">
        <v>74</v>
      </c>
      <c r="T247" t="s">
        <v>74</v>
      </c>
      <c r="U247" t="s">
        <v>4822</v>
      </c>
      <c r="V247" t="s">
        <v>4823</v>
      </c>
      <c r="W247" t="s">
        <v>4824</v>
      </c>
      <c r="X247" t="s">
        <v>4825</v>
      </c>
      <c r="Y247" t="s">
        <v>4826</v>
      </c>
      <c r="Z247" t="s">
        <v>4827</v>
      </c>
      <c r="AA247" t="s">
        <v>74</v>
      </c>
      <c r="AB247" t="s">
        <v>74</v>
      </c>
      <c r="AC247" t="s">
        <v>74</v>
      </c>
      <c r="AD247" t="s">
        <v>74</v>
      </c>
      <c r="AE247" t="s">
        <v>74</v>
      </c>
      <c r="AF247" t="s">
        <v>74</v>
      </c>
      <c r="AG247">
        <v>45</v>
      </c>
      <c r="AH247">
        <v>0</v>
      </c>
      <c r="AI247">
        <v>0</v>
      </c>
      <c r="AJ247">
        <v>5</v>
      </c>
      <c r="AK247">
        <v>5</v>
      </c>
      <c r="AL247" t="s">
        <v>88</v>
      </c>
      <c r="AM247" t="s">
        <v>89</v>
      </c>
      <c r="AN247" t="s">
        <v>90</v>
      </c>
      <c r="AO247" t="s">
        <v>4828</v>
      </c>
      <c r="AP247" t="s">
        <v>4829</v>
      </c>
      <c r="AQ247" t="s">
        <v>74</v>
      </c>
      <c r="AR247" t="s">
        <v>4830</v>
      </c>
      <c r="AS247" t="s">
        <v>4831</v>
      </c>
      <c r="AT247" t="s">
        <v>4832</v>
      </c>
      <c r="AU247">
        <v>2024</v>
      </c>
      <c r="AV247">
        <v>37</v>
      </c>
      <c r="AW247">
        <v>3</v>
      </c>
      <c r="AX247" t="s">
        <v>74</v>
      </c>
      <c r="AY247" t="s">
        <v>74</v>
      </c>
      <c r="AZ247" t="s">
        <v>456</v>
      </c>
      <c r="BA247" t="s">
        <v>74</v>
      </c>
      <c r="BB247">
        <v>195</v>
      </c>
      <c r="BC247">
        <v>211</v>
      </c>
      <c r="BD247" t="s">
        <v>74</v>
      </c>
      <c r="BE247" t="s">
        <v>4833</v>
      </c>
      <c r="BF247" t="str">
        <f>HYPERLINK("http://dx.doi.org/10.1080/08949468.2024.2330268","http://dx.doi.org/10.1080/08949468.2024.2330268")</f>
        <v>http://dx.doi.org/10.1080/08949468.2024.2330268</v>
      </c>
      <c r="BG247" t="s">
        <v>74</v>
      </c>
      <c r="BH247" t="s">
        <v>74</v>
      </c>
      <c r="BI247">
        <v>17</v>
      </c>
      <c r="BJ247" t="s">
        <v>4834</v>
      </c>
      <c r="BK247" t="s">
        <v>125</v>
      </c>
      <c r="BL247" t="s">
        <v>4834</v>
      </c>
      <c r="BM247" t="s">
        <v>4835</v>
      </c>
      <c r="BN247" t="s">
        <v>74</v>
      </c>
      <c r="BO247" t="s">
        <v>156</v>
      </c>
      <c r="BP247" t="s">
        <v>74</v>
      </c>
      <c r="BQ247" t="s">
        <v>74</v>
      </c>
      <c r="BR247" t="s">
        <v>102</v>
      </c>
      <c r="BS247" t="s">
        <v>4836</v>
      </c>
      <c r="BT247" t="str">
        <f>HYPERLINK("https%3A%2F%2Fwww.webofscience.com%2Fwos%2Fwoscc%2Ffull-record%2FWOS:001248647600002","View Full Record in Web of Science")</f>
        <v>View Full Record in Web of Science</v>
      </c>
    </row>
    <row r="248" spans="1:72" x14ac:dyDescent="0.35">
      <c r="A248" t="s">
        <v>72</v>
      </c>
      <c r="B248" t="s">
        <v>4837</v>
      </c>
      <c r="C248" t="s">
        <v>74</v>
      </c>
      <c r="D248" t="s">
        <v>74</v>
      </c>
      <c r="E248" t="s">
        <v>74</v>
      </c>
      <c r="F248" t="s">
        <v>4838</v>
      </c>
      <c r="G248" t="s">
        <v>74</v>
      </c>
      <c r="H248" t="s">
        <v>74</v>
      </c>
      <c r="I248" t="s">
        <v>4839</v>
      </c>
      <c r="J248" t="s">
        <v>1914</v>
      </c>
      <c r="K248" t="s">
        <v>74</v>
      </c>
      <c r="L248" t="s">
        <v>74</v>
      </c>
      <c r="M248" t="s">
        <v>78</v>
      </c>
      <c r="N248" t="s">
        <v>108</v>
      </c>
      <c r="O248" t="s">
        <v>74</v>
      </c>
      <c r="P248" t="s">
        <v>74</v>
      </c>
      <c r="Q248" t="s">
        <v>74</v>
      </c>
      <c r="R248" t="s">
        <v>74</v>
      </c>
      <c r="S248" t="s">
        <v>74</v>
      </c>
      <c r="T248" t="s">
        <v>4840</v>
      </c>
      <c r="U248" t="s">
        <v>74</v>
      </c>
      <c r="V248" t="s">
        <v>4841</v>
      </c>
      <c r="W248" t="s">
        <v>4842</v>
      </c>
      <c r="X248" t="s">
        <v>4843</v>
      </c>
      <c r="Y248" t="s">
        <v>4844</v>
      </c>
      <c r="Z248" t="s">
        <v>74</v>
      </c>
      <c r="AA248" t="s">
        <v>74</v>
      </c>
      <c r="AB248" t="s">
        <v>4845</v>
      </c>
      <c r="AC248" t="s">
        <v>4846</v>
      </c>
      <c r="AD248" t="s">
        <v>4847</v>
      </c>
      <c r="AE248" t="s">
        <v>4848</v>
      </c>
      <c r="AF248" t="s">
        <v>74</v>
      </c>
      <c r="AG248">
        <v>22</v>
      </c>
      <c r="AH248">
        <v>2</v>
      </c>
      <c r="AI248">
        <v>2</v>
      </c>
      <c r="AJ248">
        <v>14</v>
      </c>
      <c r="AK248">
        <v>90</v>
      </c>
      <c r="AL248" t="s">
        <v>1061</v>
      </c>
      <c r="AM248" t="s">
        <v>1062</v>
      </c>
      <c r="AN248" t="s">
        <v>1063</v>
      </c>
      <c r="AO248" t="s">
        <v>1924</v>
      </c>
      <c r="AP248" t="s">
        <v>1925</v>
      </c>
      <c r="AQ248" t="s">
        <v>74</v>
      </c>
      <c r="AR248" t="s">
        <v>1926</v>
      </c>
      <c r="AS248" t="s">
        <v>1927</v>
      </c>
      <c r="AT248" t="s">
        <v>178</v>
      </c>
      <c r="AU248">
        <v>2022</v>
      </c>
      <c r="AV248">
        <v>18</v>
      </c>
      <c r="AW248">
        <v>1</v>
      </c>
      <c r="AX248" t="s">
        <v>74</v>
      </c>
      <c r="AY248" t="s">
        <v>74</v>
      </c>
      <c r="AZ248" t="s">
        <v>74</v>
      </c>
      <c r="BA248" t="s">
        <v>74</v>
      </c>
      <c r="BB248">
        <v>203</v>
      </c>
      <c r="BC248">
        <v>208</v>
      </c>
      <c r="BD248" t="s">
        <v>4849</v>
      </c>
      <c r="BE248" t="s">
        <v>4850</v>
      </c>
      <c r="BF248" t="str">
        <f>HYPERLINK("http://dx.doi.org/10.1017/mor.2021.78","http://dx.doi.org/10.1017/mor.2021.78")</f>
        <v>http://dx.doi.org/10.1017/mor.2021.78</v>
      </c>
      <c r="BG248" t="s">
        <v>74</v>
      </c>
      <c r="BH248" t="s">
        <v>2076</v>
      </c>
      <c r="BI248">
        <v>6</v>
      </c>
      <c r="BJ248" t="s">
        <v>1930</v>
      </c>
      <c r="BK248" t="s">
        <v>99</v>
      </c>
      <c r="BL248" t="s">
        <v>480</v>
      </c>
      <c r="BM248" t="s">
        <v>4851</v>
      </c>
      <c r="BN248" t="s">
        <v>74</v>
      </c>
      <c r="BO248" t="s">
        <v>74</v>
      </c>
      <c r="BP248" t="s">
        <v>74</v>
      </c>
      <c r="BQ248" t="s">
        <v>74</v>
      </c>
      <c r="BR248" t="s">
        <v>102</v>
      </c>
      <c r="BS248" t="s">
        <v>4852</v>
      </c>
      <c r="BT248" t="str">
        <f>HYPERLINK("https%3A%2F%2Fwww.webofscience.com%2Fwos%2Fwoscc%2Ffull-record%2FWOS:000741801700001","View Full Record in Web of Science")</f>
        <v>View Full Record in Web of Science</v>
      </c>
    </row>
    <row r="249" spans="1:72" x14ac:dyDescent="0.35">
      <c r="A249" t="s">
        <v>72</v>
      </c>
      <c r="B249" t="s">
        <v>4853</v>
      </c>
      <c r="C249" t="s">
        <v>74</v>
      </c>
      <c r="D249" t="s">
        <v>74</v>
      </c>
      <c r="E249" t="s">
        <v>74</v>
      </c>
      <c r="F249" t="s">
        <v>4854</v>
      </c>
      <c r="G249" t="s">
        <v>74</v>
      </c>
      <c r="H249" t="s">
        <v>74</v>
      </c>
      <c r="I249" t="s">
        <v>4855</v>
      </c>
      <c r="J249" t="s">
        <v>4856</v>
      </c>
      <c r="K249" t="s">
        <v>74</v>
      </c>
      <c r="L249" t="s">
        <v>74</v>
      </c>
      <c r="M249" t="s">
        <v>78</v>
      </c>
      <c r="N249" t="s">
        <v>108</v>
      </c>
      <c r="O249" t="s">
        <v>74</v>
      </c>
      <c r="P249" t="s">
        <v>74</v>
      </c>
      <c r="Q249" t="s">
        <v>74</v>
      </c>
      <c r="R249" t="s">
        <v>74</v>
      </c>
      <c r="S249" t="s">
        <v>74</v>
      </c>
      <c r="T249" t="s">
        <v>4857</v>
      </c>
      <c r="U249" t="s">
        <v>4858</v>
      </c>
      <c r="V249" t="s">
        <v>4859</v>
      </c>
      <c r="W249" t="s">
        <v>4860</v>
      </c>
      <c r="X249" t="s">
        <v>4861</v>
      </c>
      <c r="Y249" t="s">
        <v>4862</v>
      </c>
      <c r="Z249" t="s">
        <v>4863</v>
      </c>
      <c r="AA249" t="s">
        <v>74</v>
      </c>
      <c r="AB249" t="s">
        <v>4864</v>
      </c>
      <c r="AC249" t="s">
        <v>4865</v>
      </c>
      <c r="AD249" t="s">
        <v>4865</v>
      </c>
      <c r="AE249" t="s">
        <v>4866</v>
      </c>
      <c r="AF249" t="s">
        <v>74</v>
      </c>
      <c r="AG249">
        <v>105</v>
      </c>
      <c r="AH249">
        <v>0</v>
      </c>
      <c r="AI249">
        <v>0</v>
      </c>
      <c r="AJ249">
        <v>5</v>
      </c>
      <c r="AK249">
        <v>5</v>
      </c>
      <c r="AL249" t="s">
        <v>1965</v>
      </c>
      <c r="AM249" t="s">
        <v>666</v>
      </c>
      <c r="AN249" t="s">
        <v>1966</v>
      </c>
      <c r="AO249" t="s">
        <v>4867</v>
      </c>
      <c r="AP249" t="s">
        <v>4868</v>
      </c>
      <c r="AQ249" t="s">
        <v>74</v>
      </c>
      <c r="AR249" t="s">
        <v>4869</v>
      </c>
      <c r="AS249" t="s">
        <v>4870</v>
      </c>
      <c r="AT249" t="s">
        <v>1275</v>
      </c>
      <c r="AU249">
        <v>2024</v>
      </c>
      <c r="AV249">
        <v>50</v>
      </c>
      <c r="AW249">
        <v>5</v>
      </c>
      <c r="AX249" t="s">
        <v>74</v>
      </c>
      <c r="AY249" t="s">
        <v>74</v>
      </c>
      <c r="AZ249" t="s">
        <v>74</v>
      </c>
      <c r="BA249" t="s">
        <v>74</v>
      </c>
      <c r="BB249" t="s">
        <v>74</v>
      </c>
      <c r="BC249" t="s">
        <v>74</v>
      </c>
      <c r="BD249">
        <v>102512</v>
      </c>
      <c r="BE249" t="s">
        <v>4871</v>
      </c>
      <c r="BF249" t="str">
        <f>HYPERLINK("http://dx.doi.org/10.1016/j.pubrev.2024.102512","http://dx.doi.org/10.1016/j.pubrev.2024.102512")</f>
        <v>http://dx.doi.org/10.1016/j.pubrev.2024.102512</v>
      </c>
      <c r="BG249" t="s">
        <v>74</v>
      </c>
      <c r="BH249" t="s">
        <v>1721</v>
      </c>
      <c r="BI249">
        <v>11</v>
      </c>
      <c r="BJ249" t="s">
        <v>1722</v>
      </c>
      <c r="BK249" t="s">
        <v>99</v>
      </c>
      <c r="BL249" t="s">
        <v>1723</v>
      </c>
      <c r="BM249" t="s">
        <v>4872</v>
      </c>
      <c r="BN249" t="s">
        <v>74</v>
      </c>
      <c r="BO249" t="s">
        <v>74</v>
      </c>
      <c r="BP249" t="s">
        <v>74</v>
      </c>
      <c r="BQ249" t="s">
        <v>74</v>
      </c>
      <c r="BR249" t="s">
        <v>102</v>
      </c>
      <c r="BS249" t="s">
        <v>4873</v>
      </c>
      <c r="BT249" t="str">
        <f>HYPERLINK("https%3A%2F%2Fwww.webofscience.com%2Fwos%2Fwoscc%2Ffull-record%2FWOS:001339694600001","View Full Record in Web of Science")</f>
        <v>View Full Record in Web of Science</v>
      </c>
    </row>
    <row r="250" spans="1:72" x14ac:dyDescent="0.35">
      <c r="A250" t="s">
        <v>72</v>
      </c>
      <c r="B250" t="s">
        <v>4874</v>
      </c>
      <c r="C250" t="s">
        <v>74</v>
      </c>
      <c r="D250" t="s">
        <v>74</v>
      </c>
      <c r="E250" t="s">
        <v>74</v>
      </c>
      <c r="F250" t="s">
        <v>4875</v>
      </c>
      <c r="G250" t="s">
        <v>74</v>
      </c>
      <c r="H250" t="s">
        <v>74</v>
      </c>
      <c r="I250" t="s">
        <v>4876</v>
      </c>
      <c r="J250" t="s">
        <v>438</v>
      </c>
      <c r="K250" t="s">
        <v>74</v>
      </c>
      <c r="L250" t="s">
        <v>74</v>
      </c>
      <c r="M250" t="s">
        <v>78</v>
      </c>
      <c r="N250" t="s">
        <v>79</v>
      </c>
      <c r="O250" t="s">
        <v>74</v>
      </c>
      <c r="P250" t="s">
        <v>74</v>
      </c>
      <c r="Q250" t="s">
        <v>74</v>
      </c>
      <c r="R250" t="s">
        <v>74</v>
      </c>
      <c r="S250" t="s">
        <v>74</v>
      </c>
      <c r="T250" t="s">
        <v>4877</v>
      </c>
      <c r="U250" t="s">
        <v>4878</v>
      </c>
      <c r="V250" t="s">
        <v>4879</v>
      </c>
      <c r="W250" t="s">
        <v>4880</v>
      </c>
      <c r="X250" t="s">
        <v>4881</v>
      </c>
      <c r="Y250" t="s">
        <v>4882</v>
      </c>
      <c r="Z250" t="s">
        <v>4883</v>
      </c>
      <c r="AA250" t="s">
        <v>74</v>
      </c>
      <c r="AB250" t="s">
        <v>4884</v>
      </c>
      <c r="AC250" t="s">
        <v>74</v>
      </c>
      <c r="AD250" t="s">
        <v>74</v>
      </c>
      <c r="AE250" t="s">
        <v>74</v>
      </c>
      <c r="AF250" t="s">
        <v>74</v>
      </c>
      <c r="AG250">
        <v>92</v>
      </c>
      <c r="AH250">
        <v>7</v>
      </c>
      <c r="AI250">
        <v>7</v>
      </c>
      <c r="AJ250">
        <v>15</v>
      </c>
      <c r="AK250">
        <v>38</v>
      </c>
      <c r="AL250" t="s">
        <v>226</v>
      </c>
      <c r="AM250" t="s">
        <v>227</v>
      </c>
      <c r="AN250" t="s">
        <v>228</v>
      </c>
      <c r="AO250" t="s">
        <v>451</v>
      </c>
      <c r="AP250" t="s">
        <v>452</v>
      </c>
      <c r="AQ250" t="s">
        <v>74</v>
      </c>
      <c r="AR250" t="s">
        <v>453</v>
      </c>
      <c r="AS250" t="s">
        <v>454</v>
      </c>
      <c r="AT250" t="s">
        <v>4885</v>
      </c>
      <c r="AU250">
        <v>2023</v>
      </c>
      <c r="AV250" t="s">
        <v>74</v>
      </c>
      <c r="AW250" t="s">
        <v>74</v>
      </c>
      <c r="AX250" t="s">
        <v>74</v>
      </c>
      <c r="AY250" t="s">
        <v>74</v>
      </c>
      <c r="AZ250" t="s">
        <v>74</v>
      </c>
      <c r="BA250" t="s">
        <v>74</v>
      </c>
      <c r="BB250" t="s">
        <v>74</v>
      </c>
      <c r="BC250" t="s">
        <v>74</v>
      </c>
      <c r="BD250" t="s">
        <v>74</v>
      </c>
      <c r="BE250" t="s">
        <v>4886</v>
      </c>
      <c r="BF250" t="str">
        <f>HYPERLINK("http://dx.doi.org/10.1177/14614448231193091","http://dx.doi.org/10.1177/14614448231193091")</f>
        <v>http://dx.doi.org/10.1177/14614448231193091</v>
      </c>
      <c r="BG250" t="s">
        <v>74</v>
      </c>
      <c r="BH250" t="s">
        <v>3138</v>
      </c>
      <c r="BI250">
        <v>19</v>
      </c>
      <c r="BJ250" t="s">
        <v>124</v>
      </c>
      <c r="BK250" t="s">
        <v>99</v>
      </c>
      <c r="BL250" t="s">
        <v>124</v>
      </c>
      <c r="BM250" t="s">
        <v>4887</v>
      </c>
      <c r="BN250" t="s">
        <v>74</v>
      </c>
      <c r="BO250" t="s">
        <v>74</v>
      </c>
      <c r="BP250" t="s">
        <v>74</v>
      </c>
      <c r="BQ250" t="s">
        <v>74</v>
      </c>
      <c r="BR250" t="s">
        <v>102</v>
      </c>
      <c r="BS250" t="s">
        <v>4888</v>
      </c>
      <c r="BT250" t="str">
        <f>HYPERLINK("https%3A%2F%2Fwww.webofscience.com%2Fwos%2Fwoscc%2Ffull-record%2FWOS:001060567900001","View Full Record in Web of Science")</f>
        <v>View Full Record in Web of Science</v>
      </c>
    </row>
    <row r="251" spans="1:72" x14ac:dyDescent="0.35">
      <c r="A251" t="s">
        <v>72</v>
      </c>
      <c r="B251" t="s">
        <v>4889</v>
      </c>
      <c r="C251" t="s">
        <v>74</v>
      </c>
      <c r="D251" t="s">
        <v>74</v>
      </c>
      <c r="E251" t="s">
        <v>74</v>
      </c>
      <c r="F251" t="s">
        <v>4890</v>
      </c>
      <c r="G251" t="s">
        <v>74</v>
      </c>
      <c r="H251" t="s">
        <v>74</v>
      </c>
      <c r="I251" t="s">
        <v>4891</v>
      </c>
      <c r="J251" t="s">
        <v>4892</v>
      </c>
      <c r="K251" t="s">
        <v>74</v>
      </c>
      <c r="L251" t="s">
        <v>74</v>
      </c>
      <c r="M251" t="s">
        <v>3503</v>
      </c>
      <c r="N251" t="s">
        <v>108</v>
      </c>
      <c r="O251" t="s">
        <v>74</v>
      </c>
      <c r="P251" t="s">
        <v>74</v>
      </c>
      <c r="Q251" t="s">
        <v>74</v>
      </c>
      <c r="R251" t="s">
        <v>74</v>
      </c>
      <c r="S251" t="s">
        <v>74</v>
      </c>
      <c r="T251" t="s">
        <v>4893</v>
      </c>
      <c r="U251" t="s">
        <v>4641</v>
      </c>
      <c r="V251" t="s">
        <v>4894</v>
      </c>
      <c r="W251" t="s">
        <v>4895</v>
      </c>
      <c r="X251" t="s">
        <v>4896</v>
      </c>
      <c r="Y251" t="s">
        <v>4897</v>
      </c>
      <c r="Z251" t="s">
        <v>4898</v>
      </c>
      <c r="AA251" t="s">
        <v>4899</v>
      </c>
      <c r="AB251" t="s">
        <v>74</v>
      </c>
      <c r="AC251" t="s">
        <v>74</v>
      </c>
      <c r="AD251" t="s">
        <v>74</v>
      </c>
      <c r="AE251" t="s">
        <v>74</v>
      </c>
      <c r="AF251" t="s">
        <v>74</v>
      </c>
      <c r="AG251">
        <v>58</v>
      </c>
      <c r="AH251">
        <v>2</v>
      </c>
      <c r="AI251">
        <v>2</v>
      </c>
      <c r="AJ251">
        <v>5</v>
      </c>
      <c r="AK251">
        <v>27</v>
      </c>
      <c r="AL251" t="s">
        <v>4900</v>
      </c>
      <c r="AM251" t="s">
        <v>4901</v>
      </c>
      <c r="AN251" t="s">
        <v>4902</v>
      </c>
      <c r="AO251" t="s">
        <v>4903</v>
      </c>
      <c r="AP251" t="s">
        <v>74</v>
      </c>
      <c r="AQ251" t="s">
        <v>74</v>
      </c>
      <c r="AR251" t="s">
        <v>4904</v>
      </c>
      <c r="AS251" t="s">
        <v>4905</v>
      </c>
      <c r="AT251" t="s">
        <v>594</v>
      </c>
      <c r="AU251">
        <v>2022</v>
      </c>
      <c r="AV251" t="s">
        <v>74</v>
      </c>
      <c r="AW251">
        <v>39</v>
      </c>
      <c r="AX251" t="s">
        <v>74</v>
      </c>
      <c r="AY251" t="s">
        <v>74</v>
      </c>
      <c r="AZ251" t="s">
        <v>74</v>
      </c>
      <c r="BA251" t="s">
        <v>74</v>
      </c>
      <c r="BB251">
        <v>156</v>
      </c>
      <c r="BC251">
        <v>182</v>
      </c>
      <c r="BD251" t="s">
        <v>74</v>
      </c>
      <c r="BE251" t="s">
        <v>4906</v>
      </c>
      <c r="BF251" t="str">
        <f>HYPERLINK("http://dx.doi.org/10.5487/prism.5487","http://dx.doi.org/10.5487/prism.5487")</f>
        <v>http://dx.doi.org/10.5487/prism.5487</v>
      </c>
      <c r="BG251" t="s">
        <v>74</v>
      </c>
      <c r="BH251" t="s">
        <v>74</v>
      </c>
      <c r="BI251">
        <v>27</v>
      </c>
      <c r="BJ251" t="s">
        <v>98</v>
      </c>
      <c r="BK251" t="s">
        <v>125</v>
      </c>
      <c r="BL251" t="s">
        <v>100</v>
      </c>
      <c r="BM251" t="s">
        <v>4907</v>
      </c>
      <c r="BN251" t="s">
        <v>74</v>
      </c>
      <c r="BO251" t="s">
        <v>74</v>
      </c>
      <c r="BP251" t="s">
        <v>74</v>
      </c>
      <c r="BQ251" t="s">
        <v>74</v>
      </c>
      <c r="BR251" t="s">
        <v>102</v>
      </c>
      <c r="BS251" t="s">
        <v>4908</v>
      </c>
      <c r="BT251" t="str">
        <f>HYPERLINK("https%3A%2F%2Fwww.webofscience.com%2Fwos%2Fwoscc%2Ffull-record%2FWOS:000879893500008","View Full Record in Web of Science")</f>
        <v>View Full Record in Web of Science</v>
      </c>
    </row>
    <row r="252" spans="1:72" x14ac:dyDescent="0.35">
      <c r="A252" t="s">
        <v>72</v>
      </c>
      <c r="B252" t="s">
        <v>4909</v>
      </c>
      <c r="C252" t="s">
        <v>74</v>
      </c>
      <c r="D252" t="s">
        <v>74</v>
      </c>
      <c r="E252" t="s">
        <v>74</v>
      </c>
      <c r="F252" t="s">
        <v>4910</v>
      </c>
      <c r="G252" t="s">
        <v>74</v>
      </c>
      <c r="H252" t="s">
        <v>74</v>
      </c>
      <c r="I252" t="s">
        <v>4911</v>
      </c>
      <c r="J252" t="s">
        <v>1774</v>
      </c>
      <c r="K252" t="s">
        <v>74</v>
      </c>
      <c r="L252" t="s">
        <v>74</v>
      </c>
      <c r="M252" t="s">
        <v>78</v>
      </c>
      <c r="N252" t="s">
        <v>108</v>
      </c>
      <c r="O252" t="s">
        <v>74</v>
      </c>
      <c r="P252" t="s">
        <v>74</v>
      </c>
      <c r="Q252" t="s">
        <v>74</v>
      </c>
      <c r="R252" t="s">
        <v>74</v>
      </c>
      <c r="S252" t="s">
        <v>74</v>
      </c>
      <c r="T252" t="s">
        <v>4912</v>
      </c>
      <c r="U252" t="s">
        <v>4913</v>
      </c>
      <c r="V252" t="s">
        <v>4914</v>
      </c>
      <c r="W252" t="s">
        <v>4915</v>
      </c>
      <c r="X252" t="s">
        <v>4916</v>
      </c>
      <c r="Y252" t="s">
        <v>4917</v>
      </c>
      <c r="Z252" t="s">
        <v>4918</v>
      </c>
      <c r="AA252" t="s">
        <v>4919</v>
      </c>
      <c r="AB252" t="s">
        <v>4920</v>
      </c>
      <c r="AC252" t="s">
        <v>74</v>
      </c>
      <c r="AD252" t="s">
        <v>74</v>
      </c>
      <c r="AE252" t="s">
        <v>74</v>
      </c>
      <c r="AF252" t="s">
        <v>74</v>
      </c>
      <c r="AG252">
        <v>54</v>
      </c>
      <c r="AH252">
        <v>9</v>
      </c>
      <c r="AI252">
        <v>12</v>
      </c>
      <c r="AJ252">
        <v>3</v>
      </c>
      <c r="AK252">
        <v>31</v>
      </c>
      <c r="AL252" t="s">
        <v>88</v>
      </c>
      <c r="AM252" t="s">
        <v>89</v>
      </c>
      <c r="AN252" t="s">
        <v>90</v>
      </c>
      <c r="AO252" t="s">
        <v>1783</v>
      </c>
      <c r="AP252" t="s">
        <v>1784</v>
      </c>
      <c r="AQ252" t="s">
        <v>74</v>
      </c>
      <c r="AR252" t="s">
        <v>1785</v>
      </c>
      <c r="AS252" t="s">
        <v>1786</v>
      </c>
      <c r="AT252" t="s">
        <v>4921</v>
      </c>
      <c r="AU252">
        <v>2022</v>
      </c>
      <c r="AV252">
        <v>25</v>
      </c>
      <c r="AW252">
        <v>6</v>
      </c>
      <c r="AX252" t="s">
        <v>74</v>
      </c>
      <c r="AY252" t="s">
        <v>74</v>
      </c>
      <c r="AZ252" t="s">
        <v>456</v>
      </c>
      <c r="BA252" t="s">
        <v>74</v>
      </c>
      <c r="BB252">
        <v>734</v>
      </c>
      <c r="BC252">
        <v>751</v>
      </c>
      <c r="BD252" t="s">
        <v>74</v>
      </c>
      <c r="BE252" t="s">
        <v>4922</v>
      </c>
      <c r="BF252" t="str">
        <f>HYPERLINK("http://dx.doi.org/10.1080/1369118X.2022.2044500","http://dx.doi.org/10.1080/1369118X.2022.2044500")</f>
        <v>http://dx.doi.org/10.1080/1369118X.2022.2044500</v>
      </c>
      <c r="BG252" t="s">
        <v>74</v>
      </c>
      <c r="BH252" t="s">
        <v>4460</v>
      </c>
      <c r="BI252">
        <v>18</v>
      </c>
      <c r="BJ252" t="s">
        <v>1047</v>
      </c>
      <c r="BK252" t="s">
        <v>99</v>
      </c>
      <c r="BL252" t="s">
        <v>1047</v>
      </c>
      <c r="BM252" t="s">
        <v>4923</v>
      </c>
      <c r="BN252" t="s">
        <v>74</v>
      </c>
      <c r="BO252" t="s">
        <v>74</v>
      </c>
      <c r="BP252" t="s">
        <v>74</v>
      </c>
      <c r="BQ252" t="s">
        <v>74</v>
      </c>
      <c r="BR252" t="s">
        <v>102</v>
      </c>
      <c r="BS252" t="s">
        <v>4924</v>
      </c>
      <c r="BT252" t="str">
        <f>HYPERLINK("https%3A%2F%2Fwww.webofscience.com%2Fwos%2Fwoscc%2Ffull-record%2FWOS:000765212400001","View Full Record in Web of Science")</f>
        <v>View Full Record in Web of Science</v>
      </c>
    </row>
    <row r="253" spans="1:72" x14ac:dyDescent="0.35">
      <c r="A253" t="s">
        <v>72</v>
      </c>
      <c r="B253" t="s">
        <v>4925</v>
      </c>
      <c r="C253" t="s">
        <v>74</v>
      </c>
      <c r="D253" t="s">
        <v>74</v>
      </c>
      <c r="E253" t="s">
        <v>74</v>
      </c>
      <c r="F253" t="s">
        <v>4926</v>
      </c>
      <c r="G253" t="s">
        <v>74</v>
      </c>
      <c r="H253" t="s">
        <v>74</v>
      </c>
      <c r="I253" t="s">
        <v>4927</v>
      </c>
      <c r="J253" t="s">
        <v>4928</v>
      </c>
      <c r="K253" t="s">
        <v>74</v>
      </c>
      <c r="L253" t="s">
        <v>74</v>
      </c>
      <c r="M253" t="s">
        <v>78</v>
      </c>
      <c r="N253" t="s">
        <v>108</v>
      </c>
      <c r="O253" t="s">
        <v>74</v>
      </c>
      <c r="P253" t="s">
        <v>74</v>
      </c>
      <c r="Q253" t="s">
        <v>74</v>
      </c>
      <c r="R253" t="s">
        <v>74</v>
      </c>
      <c r="S253" t="s">
        <v>74</v>
      </c>
      <c r="T253" t="s">
        <v>74</v>
      </c>
      <c r="U253" t="s">
        <v>4929</v>
      </c>
      <c r="V253" t="s">
        <v>4930</v>
      </c>
      <c r="W253" t="s">
        <v>4931</v>
      </c>
      <c r="X253" t="s">
        <v>4932</v>
      </c>
      <c r="Y253" t="s">
        <v>4933</v>
      </c>
      <c r="Z253" t="s">
        <v>4934</v>
      </c>
      <c r="AA253" t="s">
        <v>4047</v>
      </c>
      <c r="AB253" t="s">
        <v>4935</v>
      </c>
      <c r="AC253" t="s">
        <v>74</v>
      </c>
      <c r="AD253" t="s">
        <v>74</v>
      </c>
      <c r="AE253" t="s">
        <v>74</v>
      </c>
      <c r="AF253" t="s">
        <v>74</v>
      </c>
      <c r="AG253">
        <v>35</v>
      </c>
      <c r="AH253">
        <v>10</v>
      </c>
      <c r="AI253">
        <v>11</v>
      </c>
      <c r="AJ253">
        <v>5</v>
      </c>
      <c r="AK253">
        <v>25</v>
      </c>
      <c r="AL253" t="s">
        <v>251</v>
      </c>
      <c r="AM253" t="s">
        <v>252</v>
      </c>
      <c r="AN253" t="s">
        <v>253</v>
      </c>
      <c r="AO253" t="s">
        <v>4936</v>
      </c>
      <c r="AP253" t="s">
        <v>4937</v>
      </c>
      <c r="AQ253" t="s">
        <v>74</v>
      </c>
      <c r="AR253" t="s">
        <v>4938</v>
      </c>
      <c r="AS253" t="s">
        <v>4939</v>
      </c>
      <c r="AT253" t="s">
        <v>455</v>
      </c>
      <c r="AU253">
        <v>2023</v>
      </c>
      <c r="AV253">
        <v>101</v>
      </c>
      <c r="AW253">
        <v>3</v>
      </c>
      <c r="AX253" t="s">
        <v>74</v>
      </c>
      <c r="AY253" t="s">
        <v>74</v>
      </c>
      <c r="AZ253" t="s">
        <v>74</v>
      </c>
      <c r="BA253" t="s">
        <v>74</v>
      </c>
      <c r="BB253">
        <v>822</v>
      </c>
      <c r="BC253">
        <v>842</v>
      </c>
      <c r="BD253" t="s">
        <v>74</v>
      </c>
      <c r="BE253" t="s">
        <v>4940</v>
      </c>
      <c r="BF253" t="str">
        <f>HYPERLINK("http://dx.doi.org/10.1111/padm.12851","http://dx.doi.org/10.1111/padm.12851")</f>
        <v>http://dx.doi.org/10.1111/padm.12851</v>
      </c>
      <c r="BG253" t="s">
        <v>74</v>
      </c>
      <c r="BH253" t="s">
        <v>4941</v>
      </c>
      <c r="BI253">
        <v>21</v>
      </c>
      <c r="BJ253" t="s">
        <v>4942</v>
      </c>
      <c r="BK253" t="s">
        <v>99</v>
      </c>
      <c r="BL253" t="s">
        <v>4943</v>
      </c>
      <c r="BM253" t="s">
        <v>4944</v>
      </c>
      <c r="BN253" t="s">
        <v>74</v>
      </c>
      <c r="BO253" t="s">
        <v>74</v>
      </c>
      <c r="BP253" t="s">
        <v>74</v>
      </c>
      <c r="BQ253" t="s">
        <v>74</v>
      </c>
      <c r="BR253" t="s">
        <v>102</v>
      </c>
      <c r="BS253" t="s">
        <v>4945</v>
      </c>
      <c r="BT253" t="str">
        <f>HYPERLINK("https%3A%2F%2Fwww.webofscience.com%2Fwos%2Fwoscc%2Ffull-record%2FWOS:000787080400001","View Full Record in Web of Science")</f>
        <v>View Full Record in Web of Science</v>
      </c>
    </row>
    <row r="254" spans="1:72" x14ac:dyDescent="0.35">
      <c r="A254" t="s">
        <v>4946</v>
      </c>
      <c r="B254" t="s">
        <v>4947</v>
      </c>
      <c r="C254" t="s">
        <v>74</v>
      </c>
      <c r="D254" t="s">
        <v>4948</v>
      </c>
      <c r="E254" t="s">
        <v>74</v>
      </c>
      <c r="F254" t="s">
        <v>4949</v>
      </c>
      <c r="G254" t="s">
        <v>74</v>
      </c>
      <c r="H254" t="s">
        <v>74</v>
      </c>
      <c r="I254" t="s">
        <v>4950</v>
      </c>
      <c r="J254" t="s">
        <v>4951</v>
      </c>
      <c r="K254" t="s">
        <v>4952</v>
      </c>
      <c r="L254" t="s">
        <v>74</v>
      </c>
      <c r="M254" t="s">
        <v>78</v>
      </c>
      <c r="N254" t="s">
        <v>4953</v>
      </c>
      <c r="O254" t="s">
        <v>74</v>
      </c>
      <c r="P254" t="s">
        <v>74</v>
      </c>
      <c r="Q254" t="s">
        <v>74</v>
      </c>
      <c r="R254" t="s">
        <v>74</v>
      </c>
      <c r="S254" t="s">
        <v>74</v>
      </c>
      <c r="T254" t="s">
        <v>4954</v>
      </c>
      <c r="U254" t="s">
        <v>4955</v>
      </c>
      <c r="V254" t="s">
        <v>4956</v>
      </c>
      <c r="W254" t="s">
        <v>4957</v>
      </c>
      <c r="X254" t="s">
        <v>4958</v>
      </c>
      <c r="Y254" t="s">
        <v>4959</v>
      </c>
      <c r="Z254" t="s">
        <v>4960</v>
      </c>
      <c r="AA254" t="s">
        <v>4961</v>
      </c>
      <c r="AB254" t="s">
        <v>4962</v>
      </c>
      <c r="AC254" t="s">
        <v>74</v>
      </c>
      <c r="AD254" t="s">
        <v>74</v>
      </c>
      <c r="AE254" t="s">
        <v>74</v>
      </c>
      <c r="AF254" t="s">
        <v>74</v>
      </c>
      <c r="AG254">
        <v>126</v>
      </c>
      <c r="AH254">
        <v>0</v>
      </c>
      <c r="AI254">
        <v>0</v>
      </c>
      <c r="AJ254">
        <v>2</v>
      </c>
      <c r="AK254">
        <v>2</v>
      </c>
      <c r="AL254" t="s">
        <v>639</v>
      </c>
      <c r="AM254" t="s">
        <v>640</v>
      </c>
      <c r="AN254" t="s">
        <v>641</v>
      </c>
      <c r="AO254" t="s">
        <v>4963</v>
      </c>
      <c r="AP254" t="s">
        <v>4964</v>
      </c>
      <c r="AQ254" t="s">
        <v>4965</v>
      </c>
      <c r="AR254" t="s">
        <v>4966</v>
      </c>
      <c r="AS254" t="s">
        <v>74</v>
      </c>
      <c r="AT254" t="s">
        <v>74</v>
      </c>
      <c r="AU254">
        <v>2023</v>
      </c>
      <c r="AV254">
        <v>1056</v>
      </c>
      <c r="AW254" t="s">
        <v>74</v>
      </c>
      <c r="AX254" t="s">
        <v>74</v>
      </c>
      <c r="AY254" t="s">
        <v>74</v>
      </c>
      <c r="AZ254" t="s">
        <v>74</v>
      </c>
      <c r="BA254" t="s">
        <v>74</v>
      </c>
      <c r="BB254">
        <v>259</v>
      </c>
      <c r="BC254">
        <v>281</v>
      </c>
      <c r="BD254" t="s">
        <v>74</v>
      </c>
      <c r="BE254" t="s">
        <v>4967</v>
      </c>
      <c r="BF254" t="str">
        <f>HYPERLINK("http://dx.doi.org/10.1007/978-3-031-12382-5_14","http://dx.doi.org/10.1007/978-3-031-12382-5_14")</f>
        <v>http://dx.doi.org/10.1007/978-3-031-12382-5_14</v>
      </c>
      <c r="BG254" t="s">
        <v>4968</v>
      </c>
      <c r="BH254" t="s">
        <v>74</v>
      </c>
      <c r="BI254">
        <v>23</v>
      </c>
      <c r="BJ254" t="s">
        <v>4969</v>
      </c>
      <c r="BK254" t="s">
        <v>4970</v>
      </c>
      <c r="BL254" t="s">
        <v>649</v>
      </c>
      <c r="BM254" t="s">
        <v>4971</v>
      </c>
      <c r="BN254" t="s">
        <v>74</v>
      </c>
      <c r="BO254" t="s">
        <v>74</v>
      </c>
      <c r="BP254" t="s">
        <v>74</v>
      </c>
      <c r="BQ254" t="s">
        <v>74</v>
      </c>
      <c r="BR254" t="s">
        <v>102</v>
      </c>
      <c r="BS254" t="s">
        <v>4972</v>
      </c>
      <c r="BT254" t="str">
        <f>HYPERLINK("https%3A%2F%2Fwww.webofscience.com%2Fwos%2Fwoscc%2Ffull-record%2FWOS:001073547600014","View Full Record in Web of Science")</f>
        <v>View Full Record in Web of Science</v>
      </c>
    </row>
    <row r="255" spans="1:72" x14ac:dyDescent="0.35">
      <c r="A255" t="s">
        <v>72</v>
      </c>
      <c r="B255" t="s">
        <v>398</v>
      </c>
      <c r="C255" t="s">
        <v>74</v>
      </c>
      <c r="D255" t="s">
        <v>74</v>
      </c>
      <c r="E255" t="s">
        <v>74</v>
      </c>
      <c r="F255" t="s">
        <v>399</v>
      </c>
      <c r="G255" t="s">
        <v>74</v>
      </c>
      <c r="H255" t="s">
        <v>74</v>
      </c>
      <c r="I255" t="s">
        <v>4973</v>
      </c>
      <c r="J255" t="s">
        <v>216</v>
      </c>
      <c r="K255" t="s">
        <v>74</v>
      </c>
      <c r="L255" t="s">
        <v>74</v>
      </c>
      <c r="M255" t="s">
        <v>78</v>
      </c>
      <c r="N255" t="s">
        <v>108</v>
      </c>
      <c r="O255" t="s">
        <v>74</v>
      </c>
      <c r="P255" t="s">
        <v>74</v>
      </c>
      <c r="Q255" t="s">
        <v>74</v>
      </c>
      <c r="R255" t="s">
        <v>74</v>
      </c>
      <c r="S255" t="s">
        <v>74</v>
      </c>
      <c r="T255" t="s">
        <v>4974</v>
      </c>
      <c r="U255" t="s">
        <v>4975</v>
      </c>
      <c r="V255" t="s">
        <v>4976</v>
      </c>
      <c r="W255" t="s">
        <v>4977</v>
      </c>
      <c r="X255" t="s">
        <v>406</v>
      </c>
      <c r="Y255" t="s">
        <v>1040</v>
      </c>
      <c r="Z255" t="s">
        <v>408</v>
      </c>
      <c r="AA255" t="s">
        <v>74</v>
      </c>
      <c r="AB255" t="s">
        <v>74</v>
      </c>
      <c r="AC255" t="s">
        <v>74</v>
      </c>
      <c r="AD255" t="s">
        <v>74</v>
      </c>
      <c r="AE255" t="s">
        <v>74</v>
      </c>
      <c r="AF255" t="s">
        <v>74</v>
      </c>
      <c r="AG255">
        <v>36</v>
      </c>
      <c r="AH255">
        <v>26</v>
      </c>
      <c r="AI255">
        <v>27</v>
      </c>
      <c r="AJ255">
        <v>15</v>
      </c>
      <c r="AK255">
        <v>108</v>
      </c>
      <c r="AL255" t="s">
        <v>226</v>
      </c>
      <c r="AM255" t="s">
        <v>227</v>
      </c>
      <c r="AN255" t="s">
        <v>228</v>
      </c>
      <c r="AO255" t="s">
        <v>229</v>
      </c>
      <c r="AP255" t="s">
        <v>74</v>
      </c>
      <c r="AQ255" t="s">
        <v>74</v>
      </c>
      <c r="AR255" t="s">
        <v>230</v>
      </c>
      <c r="AS255" t="s">
        <v>231</v>
      </c>
      <c r="AT255" t="s">
        <v>232</v>
      </c>
      <c r="AU255">
        <v>2022</v>
      </c>
      <c r="AV255">
        <v>8</v>
      </c>
      <c r="AW255">
        <v>1</v>
      </c>
      <c r="AX255" t="s">
        <v>74</v>
      </c>
      <c r="AY255" t="s">
        <v>74</v>
      </c>
      <c r="AZ255" t="s">
        <v>74</v>
      </c>
      <c r="BA255" t="s">
        <v>74</v>
      </c>
      <c r="BB255" t="s">
        <v>74</v>
      </c>
      <c r="BC255" t="s">
        <v>74</v>
      </c>
      <c r="BD255">
        <v>2.0563051221077024E+16</v>
      </c>
      <c r="BE255" t="s">
        <v>4978</v>
      </c>
      <c r="BF255" t="str">
        <f>HYPERLINK("http://dx.doi.org/10.1177/20563051221077025","http://dx.doi.org/10.1177/20563051221077025")</f>
        <v>http://dx.doi.org/10.1177/20563051221077025</v>
      </c>
      <c r="BG255" t="s">
        <v>74</v>
      </c>
      <c r="BH255" t="s">
        <v>74</v>
      </c>
      <c r="BI255">
        <v>10</v>
      </c>
      <c r="BJ255" t="s">
        <v>124</v>
      </c>
      <c r="BK255" t="s">
        <v>99</v>
      </c>
      <c r="BL255" t="s">
        <v>124</v>
      </c>
      <c r="BM255" t="s">
        <v>4979</v>
      </c>
      <c r="BN255" t="s">
        <v>74</v>
      </c>
      <c r="BO255" t="s">
        <v>1888</v>
      </c>
      <c r="BP255" t="s">
        <v>74</v>
      </c>
      <c r="BQ255" t="s">
        <v>74</v>
      </c>
      <c r="BR255" t="s">
        <v>102</v>
      </c>
      <c r="BS255" t="s">
        <v>4980</v>
      </c>
      <c r="BT255" t="str">
        <f>HYPERLINK("https%3A%2F%2Fwww.webofscience.com%2Fwos%2Fwoscc%2Ffull-record%2FWOS:000760917800001","View Full Record in Web of Science")</f>
        <v>View Full Record in Web of Science</v>
      </c>
    </row>
    <row r="256" spans="1:72" x14ac:dyDescent="0.35">
      <c r="A256" t="s">
        <v>72</v>
      </c>
      <c r="B256" t="s">
        <v>4981</v>
      </c>
      <c r="C256" t="s">
        <v>74</v>
      </c>
      <c r="D256" t="s">
        <v>74</v>
      </c>
      <c r="E256" t="s">
        <v>74</v>
      </c>
      <c r="F256" t="s">
        <v>4982</v>
      </c>
      <c r="G256" t="s">
        <v>74</v>
      </c>
      <c r="H256" t="s">
        <v>74</v>
      </c>
      <c r="I256" t="s">
        <v>4983</v>
      </c>
      <c r="J256" t="s">
        <v>4984</v>
      </c>
      <c r="K256" t="s">
        <v>74</v>
      </c>
      <c r="L256" t="s">
        <v>74</v>
      </c>
      <c r="M256" t="s">
        <v>78</v>
      </c>
      <c r="N256" t="s">
        <v>1328</v>
      </c>
      <c r="O256" t="s">
        <v>74</v>
      </c>
      <c r="P256" t="s">
        <v>74</v>
      </c>
      <c r="Q256" t="s">
        <v>74</v>
      </c>
      <c r="R256" t="s">
        <v>74</v>
      </c>
      <c r="S256" t="s">
        <v>74</v>
      </c>
      <c r="T256" t="s">
        <v>74</v>
      </c>
      <c r="U256" t="s">
        <v>74</v>
      </c>
      <c r="V256" t="s">
        <v>74</v>
      </c>
      <c r="W256" t="s">
        <v>4985</v>
      </c>
      <c r="X256" t="s">
        <v>4986</v>
      </c>
      <c r="Y256" t="s">
        <v>4987</v>
      </c>
      <c r="Z256" t="s">
        <v>4988</v>
      </c>
      <c r="AA256" t="s">
        <v>74</v>
      </c>
      <c r="AB256" t="s">
        <v>74</v>
      </c>
      <c r="AC256" t="s">
        <v>74</v>
      </c>
      <c r="AD256" t="s">
        <v>74</v>
      </c>
      <c r="AE256" t="s">
        <v>74</v>
      </c>
      <c r="AF256" t="s">
        <v>74</v>
      </c>
      <c r="AG256">
        <v>5</v>
      </c>
      <c r="AH256">
        <v>2</v>
      </c>
      <c r="AI256">
        <v>2</v>
      </c>
      <c r="AJ256">
        <v>0</v>
      </c>
      <c r="AK256">
        <v>0</v>
      </c>
      <c r="AL256" t="s">
        <v>357</v>
      </c>
      <c r="AM256" t="s">
        <v>358</v>
      </c>
      <c r="AN256" t="s">
        <v>359</v>
      </c>
      <c r="AO256" t="s">
        <v>4989</v>
      </c>
      <c r="AP256" t="s">
        <v>4990</v>
      </c>
      <c r="AQ256" t="s">
        <v>74</v>
      </c>
      <c r="AR256" t="s">
        <v>4991</v>
      </c>
      <c r="AS256" t="s">
        <v>4992</v>
      </c>
      <c r="AT256" t="s">
        <v>523</v>
      </c>
      <c r="AU256">
        <v>2023</v>
      </c>
      <c r="AV256">
        <v>25</v>
      </c>
      <c r="AW256">
        <v>6</v>
      </c>
      <c r="AX256" t="s">
        <v>74</v>
      </c>
      <c r="AY256" t="s">
        <v>74</v>
      </c>
      <c r="AZ256" t="s">
        <v>74</v>
      </c>
      <c r="BA256" t="s">
        <v>74</v>
      </c>
      <c r="BB256">
        <v>530</v>
      </c>
      <c r="BC256">
        <v>531</v>
      </c>
      <c r="BD256" t="s">
        <v>74</v>
      </c>
      <c r="BE256" t="s">
        <v>4993</v>
      </c>
      <c r="BF256" t="str">
        <f>HYPERLINK("http://dx.doi.org/10.1089/fpsam.2023.0092","http://dx.doi.org/10.1089/fpsam.2023.0092")</f>
        <v>http://dx.doi.org/10.1089/fpsam.2023.0092</v>
      </c>
      <c r="BG256" t="s">
        <v>74</v>
      </c>
      <c r="BH256" t="s">
        <v>1180</v>
      </c>
      <c r="BI256">
        <v>3</v>
      </c>
      <c r="BJ256" t="s">
        <v>4994</v>
      </c>
      <c r="BK256" t="s">
        <v>209</v>
      </c>
      <c r="BL256" t="s">
        <v>4994</v>
      </c>
      <c r="BM256" t="s">
        <v>4995</v>
      </c>
      <c r="BN256">
        <v>37405728</v>
      </c>
      <c r="BO256" t="s">
        <v>74</v>
      </c>
      <c r="BP256" t="s">
        <v>74</v>
      </c>
      <c r="BQ256" t="s">
        <v>74</v>
      </c>
      <c r="BR256" t="s">
        <v>102</v>
      </c>
      <c r="BS256" t="s">
        <v>4996</v>
      </c>
      <c r="BT256" t="str">
        <f>HYPERLINK("https%3A%2F%2Fwww.webofscience.com%2Fwos%2Fwoscc%2Ffull-record%2FWOS:001023672200001","View Full Record in Web of Science")</f>
        <v>View Full Record in Web of Science</v>
      </c>
    </row>
    <row r="257" spans="1:72" x14ac:dyDescent="0.35">
      <c r="A257" t="s">
        <v>72</v>
      </c>
      <c r="B257" t="s">
        <v>4997</v>
      </c>
      <c r="C257" t="s">
        <v>74</v>
      </c>
      <c r="D257" t="s">
        <v>74</v>
      </c>
      <c r="E257" t="s">
        <v>74</v>
      </c>
      <c r="F257" t="s">
        <v>4998</v>
      </c>
      <c r="G257" t="s">
        <v>74</v>
      </c>
      <c r="H257" t="s">
        <v>74</v>
      </c>
      <c r="I257" t="s">
        <v>4999</v>
      </c>
      <c r="J257" t="s">
        <v>438</v>
      </c>
      <c r="K257" t="s">
        <v>74</v>
      </c>
      <c r="L257" t="s">
        <v>74</v>
      </c>
      <c r="M257" t="s">
        <v>78</v>
      </c>
      <c r="N257" t="s">
        <v>79</v>
      </c>
      <c r="O257" t="s">
        <v>74</v>
      </c>
      <c r="P257" t="s">
        <v>74</v>
      </c>
      <c r="Q257" t="s">
        <v>74</v>
      </c>
      <c r="R257" t="s">
        <v>74</v>
      </c>
      <c r="S257" t="s">
        <v>74</v>
      </c>
      <c r="T257" t="s">
        <v>5000</v>
      </c>
      <c r="U257" t="s">
        <v>5001</v>
      </c>
      <c r="V257" t="s">
        <v>5002</v>
      </c>
      <c r="W257" t="s">
        <v>5003</v>
      </c>
      <c r="X257" t="s">
        <v>5004</v>
      </c>
      <c r="Y257" t="s">
        <v>5005</v>
      </c>
      <c r="Z257" t="s">
        <v>5006</v>
      </c>
      <c r="AA257" t="s">
        <v>5007</v>
      </c>
      <c r="AB257" t="s">
        <v>5008</v>
      </c>
      <c r="AC257" t="s">
        <v>5009</v>
      </c>
      <c r="AD257" t="s">
        <v>5010</v>
      </c>
      <c r="AE257" t="s">
        <v>5011</v>
      </c>
      <c r="AF257" t="s">
        <v>74</v>
      </c>
      <c r="AG257">
        <v>61</v>
      </c>
      <c r="AH257">
        <v>0</v>
      </c>
      <c r="AI257">
        <v>0</v>
      </c>
      <c r="AJ257">
        <v>5</v>
      </c>
      <c r="AK257">
        <v>10</v>
      </c>
      <c r="AL257" t="s">
        <v>226</v>
      </c>
      <c r="AM257" t="s">
        <v>227</v>
      </c>
      <c r="AN257" t="s">
        <v>228</v>
      </c>
      <c r="AO257" t="s">
        <v>451</v>
      </c>
      <c r="AP257" t="s">
        <v>452</v>
      </c>
      <c r="AQ257" t="s">
        <v>74</v>
      </c>
      <c r="AR257" t="s">
        <v>453</v>
      </c>
      <c r="AS257" t="s">
        <v>454</v>
      </c>
      <c r="AT257" t="s">
        <v>5012</v>
      </c>
      <c r="AU257">
        <v>2024</v>
      </c>
      <c r="AV257" t="s">
        <v>74</v>
      </c>
      <c r="AW257" t="s">
        <v>74</v>
      </c>
      <c r="AX257" t="s">
        <v>74</v>
      </c>
      <c r="AY257" t="s">
        <v>74</v>
      </c>
      <c r="AZ257" t="s">
        <v>74</v>
      </c>
      <c r="BA257" t="s">
        <v>74</v>
      </c>
      <c r="BB257" t="s">
        <v>74</v>
      </c>
      <c r="BC257" t="s">
        <v>74</v>
      </c>
      <c r="BD257" t="s">
        <v>74</v>
      </c>
      <c r="BE257" t="s">
        <v>5013</v>
      </c>
      <c r="BF257" t="str">
        <f>HYPERLINK("http://dx.doi.org/10.1177/14614448241235188","http://dx.doi.org/10.1177/14614448241235188")</f>
        <v>http://dx.doi.org/10.1177/14614448241235188</v>
      </c>
      <c r="BG257" t="s">
        <v>74</v>
      </c>
      <c r="BH257" t="s">
        <v>123</v>
      </c>
      <c r="BI257">
        <v>16</v>
      </c>
      <c r="BJ257" t="s">
        <v>124</v>
      </c>
      <c r="BK257" t="s">
        <v>99</v>
      </c>
      <c r="BL257" t="s">
        <v>124</v>
      </c>
      <c r="BM257" t="s">
        <v>5014</v>
      </c>
      <c r="BN257" t="s">
        <v>74</v>
      </c>
      <c r="BO257" t="s">
        <v>156</v>
      </c>
      <c r="BP257" t="s">
        <v>74</v>
      </c>
      <c r="BQ257" t="s">
        <v>74</v>
      </c>
      <c r="BR257" t="s">
        <v>102</v>
      </c>
      <c r="BS257" t="s">
        <v>5015</v>
      </c>
      <c r="BT257" t="str">
        <f>HYPERLINK("https%3A%2F%2Fwww.webofscience.com%2Fwos%2Fwoscc%2Ffull-record%2FWOS:001180192200001","View Full Record in Web of Science")</f>
        <v>View Full Record in Web of Science</v>
      </c>
    </row>
    <row r="258" spans="1:72" x14ac:dyDescent="0.35">
      <c r="A258" t="s">
        <v>128</v>
      </c>
      <c r="B258" t="s">
        <v>5016</v>
      </c>
      <c r="C258" t="s">
        <v>74</v>
      </c>
      <c r="D258" t="s">
        <v>74</v>
      </c>
      <c r="E258" t="s">
        <v>702</v>
      </c>
      <c r="F258" t="s">
        <v>5017</v>
      </c>
      <c r="G258" t="s">
        <v>74</v>
      </c>
      <c r="H258" t="s">
        <v>74</v>
      </c>
      <c r="I258" t="s">
        <v>5018</v>
      </c>
      <c r="J258" t="s">
        <v>5019</v>
      </c>
      <c r="K258" t="s">
        <v>74</v>
      </c>
      <c r="L258" t="s">
        <v>74</v>
      </c>
      <c r="M258" t="s">
        <v>78</v>
      </c>
      <c r="N258" t="s">
        <v>135</v>
      </c>
      <c r="O258" t="s">
        <v>5020</v>
      </c>
      <c r="P258" t="s">
        <v>5021</v>
      </c>
      <c r="Q258" t="s">
        <v>631</v>
      </c>
      <c r="R258" t="s">
        <v>5022</v>
      </c>
      <c r="S258" t="s">
        <v>74</v>
      </c>
      <c r="T258" t="s">
        <v>5023</v>
      </c>
      <c r="U258" t="s">
        <v>5024</v>
      </c>
      <c r="V258" t="s">
        <v>5025</v>
      </c>
      <c r="W258" t="s">
        <v>5026</v>
      </c>
      <c r="X258" t="s">
        <v>5027</v>
      </c>
      <c r="Y258" t="s">
        <v>5028</v>
      </c>
      <c r="Z258" t="s">
        <v>5029</v>
      </c>
      <c r="AA258" t="s">
        <v>5030</v>
      </c>
      <c r="AB258" t="s">
        <v>74</v>
      </c>
      <c r="AC258" t="s">
        <v>5031</v>
      </c>
      <c r="AD258" t="s">
        <v>5032</v>
      </c>
      <c r="AE258" t="s">
        <v>5033</v>
      </c>
      <c r="AF258" t="s">
        <v>74</v>
      </c>
      <c r="AG258">
        <v>86</v>
      </c>
      <c r="AH258">
        <v>7</v>
      </c>
      <c r="AI258">
        <v>9</v>
      </c>
      <c r="AJ258">
        <v>8</v>
      </c>
      <c r="AK258">
        <v>15</v>
      </c>
      <c r="AL258" t="s">
        <v>718</v>
      </c>
      <c r="AM258" t="s">
        <v>666</v>
      </c>
      <c r="AN258" t="s">
        <v>719</v>
      </c>
      <c r="AO258" t="s">
        <v>74</v>
      </c>
      <c r="AP258" t="s">
        <v>74</v>
      </c>
      <c r="AQ258" t="s">
        <v>5034</v>
      </c>
      <c r="AR258" t="s">
        <v>74</v>
      </c>
      <c r="AS258" t="s">
        <v>74</v>
      </c>
      <c r="AT258" t="s">
        <v>74</v>
      </c>
      <c r="AU258">
        <v>2022</v>
      </c>
      <c r="AV258" t="s">
        <v>74</v>
      </c>
      <c r="AW258" t="s">
        <v>74</v>
      </c>
      <c r="AX258" t="s">
        <v>74</v>
      </c>
      <c r="AY258" t="s">
        <v>74</v>
      </c>
      <c r="AZ258" t="s">
        <v>74</v>
      </c>
      <c r="BA258" t="s">
        <v>74</v>
      </c>
      <c r="BB258">
        <v>164</v>
      </c>
      <c r="BC258">
        <v>173</v>
      </c>
      <c r="BD258" t="s">
        <v>74</v>
      </c>
      <c r="BE258" t="s">
        <v>5035</v>
      </c>
      <c r="BF258" t="str">
        <f>HYPERLINK("http://dx.doi.org/10.1145/3501247.3531551","http://dx.doi.org/10.1145/3501247.3531551")</f>
        <v>http://dx.doi.org/10.1145/3501247.3531551</v>
      </c>
      <c r="BG258" t="s">
        <v>74</v>
      </c>
      <c r="BH258" t="s">
        <v>74</v>
      </c>
      <c r="BI258">
        <v>10</v>
      </c>
      <c r="BJ258" t="s">
        <v>4230</v>
      </c>
      <c r="BK258" t="s">
        <v>648</v>
      </c>
      <c r="BL258" t="s">
        <v>4231</v>
      </c>
      <c r="BM258" t="s">
        <v>5036</v>
      </c>
      <c r="BN258" t="s">
        <v>74</v>
      </c>
      <c r="BO258" t="s">
        <v>5037</v>
      </c>
      <c r="BP258" t="s">
        <v>74</v>
      </c>
      <c r="BQ258" t="s">
        <v>74</v>
      </c>
      <c r="BR258" t="s">
        <v>102</v>
      </c>
      <c r="BS258" t="s">
        <v>5038</v>
      </c>
      <c r="BT258" t="str">
        <f>HYPERLINK("https%3A%2F%2Fwww.webofscience.com%2Fwos%2Fwoscc%2Ffull-record%2FWOS:001118952600017","View Full Record in Web of Science")</f>
        <v>View Full Record in Web of Science</v>
      </c>
    </row>
    <row r="259" spans="1:72" x14ac:dyDescent="0.35">
      <c r="A259" t="s">
        <v>72</v>
      </c>
      <c r="B259" t="s">
        <v>5039</v>
      </c>
      <c r="C259" t="s">
        <v>74</v>
      </c>
      <c r="D259" t="s">
        <v>74</v>
      </c>
      <c r="E259" t="s">
        <v>74</v>
      </c>
      <c r="F259" t="s">
        <v>5040</v>
      </c>
      <c r="G259" t="s">
        <v>74</v>
      </c>
      <c r="H259" t="s">
        <v>74</v>
      </c>
      <c r="I259" t="s">
        <v>5041</v>
      </c>
      <c r="J259" t="s">
        <v>3622</v>
      </c>
      <c r="K259" t="s">
        <v>74</v>
      </c>
      <c r="L259" t="s">
        <v>74</v>
      </c>
      <c r="M259" t="s">
        <v>78</v>
      </c>
      <c r="N259" t="s">
        <v>108</v>
      </c>
      <c r="O259" t="s">
        <v>74</v>
      </c>
      <c r="P259" t="s">
        <v>74</v>
      </c>
      <c r="Q259" t="s">
        <v>74</v>
      </c>
      <c r="R259" t="s">
        <v>74</v>
      </c>
      <c r="S259" t="s">
        <v>74</v>
      </c>
      <c r="T259" t="s">
        <v>5042</v>
      </c>
      <c r="U259" t="s">
        <v>218</v>
      </c>
      <c r="V259" t="s">
        <v>5043</v>
      </c>
      <c r="W259" t="s">
        <v>5044</v>
      </c>
      <c r="X259" t="s">
        <v>5045</v>
      </c>
      <c r="Y259" t="s">
        <v>5046</v>
      </c>
      <c r="Z259" t="s">
        <v>5047</v>
      </c>
      <c r="AA259" t="s">
        <v>5048</v>
      </c>
      <c r="AB259" t="s">
        <v>5049</v>
      </c>
      <c r="AC259" t="s">
        <v>5050</v>
      </c>
      <c r="AD259" t="s">
        <v>5051</v>
      </c>
      <c r="AE259" t="s">
        <v>5052</v>
      </c>
      <c r="AF259" t="s">
        <v>74</v>
      </c>
      <c r="AG259">
        <v>32</v>
      </c>
      <c r="AH259">
        <v>0</v>
      </c>
      <c r="AI259">
        <v>0</v>
      </c>
      <c r="AJ259">
        <v>17</v>
      </c>
      <c r="AK259">
        <v>17</v>
      </c>
      <c r="AL259" t="s">
        <v>3632</v>
      </c>
      <c r="AM259" t="s">
        <v>148</v>
      </c>
      <c r="AN259" t="s">
        <v>5053</v>
      </c>
      <c r="AO259" t="s">
        <v>3634</v>
      </c>
      <c r="AP259" t="s">
        <v>74</v>
      </c>
      <c r="AQ259" t="s">
        <v>74</v>
      </c>
      <c r="AR259" t="s">
        <v>3635</v>
      </c>
      <c r="AS259" t="s">
        <v>3636</v>
      </c>
      <c r="AT259" t="s">
        <v>523</v>
      </c>
      <c r="AU259">
        <v>2024</v>
      </c>
      <c r="AV259">
        <v>35</v>
      </c>
      <c r="AW259" t="s">
        <v>74</v>
      </c>
      <c r="AX259" t="s">
        <v>74</v>
      </c>
      <c r="AY259" t="s">
        <v>74</v>
      </c>
      <c r="AZ259" t="s">
        <v>74</v>
      </c>
      <c r="BA259" t="s">
        <v>74</v>
      </c>
      <c r="BB259" t="s">
        <v>74</v>
      </c>
      <c r="BC259" t="s">
        <v>74</v>
      </c>
      <c r="BD259">
        <v>100501</v>
      </c>
      <c r="BE259" t="s">
        <v>5054</v>
      </c>
      <c r="BF259" t="str">
        <f>HYPERLINK("http://dx.doi.org/10.1016/j.jhlste.2024.100501","http://dx.doi.org/10.1016/j.jhlste.2024.100501")</f>
        <v>http://dx.doi.org/10.1016/j.jhlste.2024.100501</v>
      </c>
      <c r="BG259" t="s">
        <v>74</v>
      </c>
      <c r="BH259" t="s">
        <v>500</v>
      </c>
      <c r="BI259">
        <v>8</v>
      </c>
      <c r="BJ259" t="s">
        <v>3639</v>
      </c>
      <c r="BK259" t="s">
        <v>99</v>
      </c>
      <c r="BL259" t="s">
        <v>3640</v>
      </c>
      <c r="BM259" t="s">
        <v>5055</v>
      </c>
      <c r="BN259" t="s">
        <v>74</v>
      </c>
      <c r="BO259" t="s">
        <v>156</v>
      </c>
      <c r="BP259" t="s">
        <v>74</v>
      </c>
      <c r="BQ259" t="s">
        <v>74</v>
      </c>
      <c r="BR259" t="s">
        <v>102</v>
      </c>
      <c r="BS259" t="s">
        <v>5056</v>
      </c>
      <c r="BT259" t="str">
        <f>HYPERLINK("https%3A%2F%2Fwww.webofscience.com%2Fwos%2Fwoscc%2Ffull-record%2FWOS:001249491900001","View Full Record in Web of Science")</f>
        <v>View Full Record in Web of Science</v>
      </c>
    </row>
    <row r="260" spans="1:72" x14ac:dyDescent="0.35">
      <c r="A260" t="s">
        <v>72</v>
      </c>
      <c r="B260" t="s">
        <v>5057</v>
      </c>
      <c r="C260" t="s">
        <v>74</v>
      </c>
      <c r="D260" t="s">
        <v>74</v>
      </c>
      <c r="E260" t="s">
        <v>74</v>
      </c>
      <c r="F260" t="s">
        <v>5058</v>
      </c>
      <c r="G260" t="s">
        <v>74</v>
      </c>
      <c r="H260" t="s">
        <v>74</v>
      </c>
      <c r="I260" t="s">
        <v>5059</v>
      </c>
      <c r="J260" t="s">
        <v>5060</v>
      </c>
      <c r="K260" t="s">
        <v>74</v>
      </c>
      <c r="L260" t="s">
        <v>74</v>
      </c>
      <c r="M260" t="s">
        <v>78</v>
      </c>
      <c r="N260" t="s">
        <v>108</v>
      </c>
      <c r="O260" t="s">
        <v>74</v>
      </c>
      <c r="P260" t="s">
        <v>74</v>
      </c>
      <c r="Q260" t="s">
        <v>74</v>
      </c>
      <c r="R260" t="s">
        <v>74</v>
      </c>
      <c r="S260" t="s">
        <v>74</v>
      </c>
      <c r="T260" t="s">
        <v>5061</v>
      </c>
      <c r="U260" t="s">
        <v>5062</v>
      </c>
      <c r="V260" t="s">
        <v>5063</v>
      </c>
      <c r="W260" t="s">
        <v>5064</v>
      </c>
      <c r="X260" t="s">
        <v>5065</v>
      </c>
      <c r="Y260" t="s">
        <v>5066</v>
      </c>
      <c r="Z260" t="s">
        <v>5067</v>
      </c>
      <c r="AA260" t="s">
        <v>5068</v>
      </c>
      <c r="AB260" t="s">
        <v>74</v>
      </c>
      <c r="AC260" t="s">
        <v>74</v>
      </c>
      <c r="AD260" t="s">
        <v>74</v>
      </c>
      <c r="AE260" t="s">
        <v>74</v>
      </c>
      <c r="AF260" t="s">
        <v>74</v>
      </c>
      <c r="AG260">
        <v>106</v>
      </c>
      <c r="AH260">
        <v>0</v>
      </c>
      <c r="AI260">
        <v>0</v>
      </c>
      <c r="AJ260">
        <v>40</v>
      </c>
      <c r="AK260">
        <v>45</v>
      </c>
      <c r="AL260" t="s">
        <v>199</v>
      </c>
      <c r="AM260" t="s">
        <v>200</v>
      </c>
      <c r="AN260" t="s">
        <v>471</v>
      </c>
      <c r="AO260" t="s">
        <v>5069</v>
      </c>
      <c r="AP260" t="s">
        <v>5070</v>
      </c>
      <c r="AQ260" t="s">
        <v>74</v>
      </c>
      <c r="AR260" t="s">
        <v>5071</v>
      </c>
      <c r="AS260" t="s">
        <v>5072</v>
      </c>
      <c r="AT260" t="s">
        <v>5073</v>
      </c>
      <c r="AU260">
        <v>2024</v>
      </c>
      <c r="AV260">
        <v>18</v>
      </c>
      <c r="AW260">
        <v>4</v>
      </c>
      <c r="AX260" t="s">
        <v>74</v>
      </c>
      <c r="AY260" t="s">
        <v>74</v>
      </c>
      <c r="AZ260" t="s">
        <v>74</v>
      </c>
      <c r="BA260" t="s">
        <v>74</v>
      </c>
      <c r="BB260">
        <v>930</v>
      </c>
      <c r="BC260">
        <v>945</v>
      </c>
      <c r="BD260" t="s">
        <v>74</v>
      </c>
      <c r="BE260" t="s">
        <v>5074</v>
      </c>
      <c r="BF260" t="str">
        <f>HYPERLINK("http://dx.doi.org/10.1108/JABS-04-2023-0138","http://dx.doi.org/10.1108/JABS-04-2023-0138")</f>
        <v>http://dx.doi.org/10.1108/JABS-04-2023-0138</v>
      </c>
      <c r="BG260" t="s">
        <v>74</v>
      </c>
      <c r="BH260" t="s">
        <v>2410</v>
      </c>
      <c r="BI260">
        <v>16</v>
      </c>
      <c r="BJ260" t="s">
        <v>1597</v>
      </c>
      <c r="BK260" t="s">
        <v>125</v>
      </c>
      <c r="BL260" t="s">
        <v>480</v>
      </c>
      <c r="BM260" t="s">
        <v>5075</v>
      </c>
      <c r="BN260" t="s">
        <v>74</v>
      </c>
      <c r="BO260" t="s">
        <v>74</v>
      </c>
      <c r="BP260" t="s">
        <v>74</v>
      </c>
      <c r="BQ260" t="s">
        <v>74</v>
      </c>
      <c r="BR260" t="s">
        <v>102</v>
      </c>
      <c r="BS260" t="s">
        <v>5076</v>
      </c>
      <c r="BT260" t="str">
        <f>HYPERLINK("https%3A%2F%2Fwww.webofscience.com%2Fwos%2Fwoscc%2Ffull-record%2FWOS:001210850100001","View Full Record in Web of Science")</f>
        <v>View Full Record in Web of Science</v>
      </c>
    </row>
    <row r="261" spans="1:72" x14ac:dyDescent="0.35">
      <c r="A261" t="s">
        <v>72</v>
      </c>
      <c r="B261" t="s">
        <v>5077</v>
      </c>
      <c r="C261" t="s">
        <v>74</v>
      </c>
      <c r="D261" t="s">
        <v>74</v>
      </c>
      <c r="E261" t="s">
        <v>74</v>
      </c>
      <c r="F261" t="s">
        <v>5078</v>
      </c>
      <c r="G261" t="s">
        <v>74</v>
      </c>
      <c r="H261" t="s">
        <v>74</v>
      </c>
      <c r="I261" t="s">
        <v>5079</v>
      </c>
      <c r="J261" t="s">
        <v>5080</v>
      </c>
      <c r="K261" t="s">
        <v>74</v>
      </c>
      <c r="L261" t="s">
        <v>74</v>
      </c>
      <c r="M261" t="s">
        <v>78</v>
      </c>
      <c r="N261" t="s">
        <v>4077</v>
      </c>
      <c r="O261" t="s">
        <v>74</v>
      </c>
      <c r="P261" t="s">
        <v>74</v>
      </c>
      <c r="Q261" t="s">
        <v>74</v>
      </c>
      <c r="R261" t="s">
        <v>74</v>
      </c>
      <c r="S261" t="s">
        <v>74</v>
      </c>
      <c r="T261" t="s">
        <v>5081</v>
      </c>
      <c r="U261" t="s">
        <v>5082</v>
      </c>
      <c r="V261" t="s">
        <v>5083</v>
      </c>
      <c r="W261" t="s">
        <v>5084</v>
      </c>
      <c r="X261" t="s">
        <v>5085</v>
      </c>
      <c r="Y261" t="s">
        <v>5086</v>
      </c>
      <c r="Z261" t="s">
        <v>5087</v>
      </c>
      <c r="AA261" t="s">
        <v>5088</v>
      </c>
      <c r="AB261" t="s">
        <v>5089</v>
      </c>
      <c r="AC261" t="s">
        <v>5090</v>
      </c>
      <c r="AD261" t="s">
        <v>5090</v>
      </c>
      <c r="AE261" t="s">
        <v>5091</v>
      </c>
      <c r="AF261" t="s">
        <v>74</v>
      </c>
      <c r="AG261">
        <v>113</v>
      </c>
      <c r="AH261">
        <v>0</v>
      </c>
      <c r="AI261">
        <v>0</v>
      </c>
      <c r="AJ261">
        <v>16</v>
      </c>
      <c r="AK261">
        <v>16</v>
      </c>
      <c r="AL261" t="s">
        <v>665</v>
      </c>
      <c r="AM261" t="s">
        <v>666</v>
      </c>
      <c r="AN261" t="s">
        <v>667</v>
      </c>
      <c r="AO261" t="s">
        <v>5092</v>
      </c>
      <c r="AP261" t="s">
        <v>5093</v>
      </c>
      <c r="AQ261" t="s">
        <v>74</v>
      </c>
      <c r="AR261" t="s">
        <v>5094</v>
      </c>
      <c r="AS261" t="s">
        <v>5095</v>
      </c>
      <c r="AT261" t="s">
        <v>5096</v>
      </c>
      <c r="AU261">
        <v>2024</v>
      </c>
      <c r="AV261" t="s">
        <v>74</v>
      </c>
      <c r="AW261" t="s">
        <v>74</v>
      </c>
      <c r="AX261" t="s">
        <v>74</v>
      </c>
      <c r="AY261" t="s">
        <v>74</v>
      </c>
      <c r="AZ261" t="s">
        <v>74</v>
      </c>
      <c r="BA261" t="s">
        <v>74</v>
      </c>
      <c r="BB261" t="s">
        <v>74</v>
      </c>
      <c r="BC261" t="s">
        <v>74</v>
      </c>
      <c r="BD261" t="s">
        <v>74</v>
      </c>
      <c r="BE261" t="s">
        <v>5097</v>
      </c>
      <c r="BF261" t="str">
        <f>HYPERLINK("http://dx.doi.org/10.1007/s00787-024-02581-w","http://dx.doi.org/10.1007/s00787-024-02581-w")</f>
        <v>http://dx.doi.org/10.1007/s00787-024-02581-w</v>
      </c>
      <c r="BG261" t="s">
        <v>74</v>
      </c>
      <c r="BH261" t="s">
        <v>1721</v>
      </c>
      <c r="BI261">
        <v>17</v>
      </c>
      <c r="BJ261" t="s">
        <v>5098</v>
      </c>
      <c r="BK261" t="s">
        <v>182</v>
      </c>
      <c r="BL261" t="s">
        <v>5099</v>
      </c>
      <c r="BM261" t="s">
        <v>5100</v>
      </c>
      <c r="BN261">
        <v>39412670</v>
      </c>
      <c r="BO261" t="s">
        <v>156</v>
      </c>
      <c r="BP261" t="s">
        <v>74</v>
      </c>
      <c r="BQ261" t="s">
        <v>74</v>
      </c>
      <c r="BR261" t="s">
        <v>102</v>
      </c>
      <c r="BS261" t="s">
        <v>5101</v>
      </c>
      <c r="BT261" t="str">
        <f>HYPERLINK("https%3A%2F%2Fwww.webofscience.com%2Fwos%2Fwoscc%2Ffull-record%2FWOS:001333372500001","View Full Record in Web of Science")</f>
        <v>View Full Record in Web of Science</v>
      </c>
    </row>
    <row r="262" spans="1:72" x14ac:dyDescent="0.35">
      <c r="A262" t="s">
        <v>72</v>
      </c>
      <c r="B262" t="s">
        <v>5102</v>
      </c>
      <c r="C262" t="s">
        <v>74</v>
      </c>
      <c r="D262" t="s">
        <v>74</v>
      </c>
      <c r="E262" t="s">
        <v>74</v>
      </c>
      <c r="F262" t="s">
        <v>5103</v>
      </c>
      <c r="G262" t="s">
        <v>74</v>
      </c>
      <c r="H262" t="s">
        <v>74</v>
      </c>
      <c r="I262" t="s">
        <v>5104</v>
      </c>
      <c r="J262" t="s">
        <v>1774</v>
      </c>
      <c r="K262" t="s">
        <v>74</v>
      </c>
      <c r="L262" t="s">
        <v>74</v>
      </c>
      <c r="M262" t="s">
        <v>78</v>
      </c>
      <c r="N262" t="s">
        <v>108</v>
      </c>
      <c r="O262" t="s">
        <v>74</v>
      </c>
      <c r="P262" t="s">
        <v>74</v>
      </c>
      <c r="Q262" t="s">
        <v>74</v>
      </c>
      <c r="R262" t="s">
        <v>74</v>
      </c>
      <c r="S262" t="s">
        <v>74</v>
      </c>
      <c r="T262" t="s">
        <v>5105</v>
      </c>
      <c r="U262" t="s">
        <v>5106</v>
      </c>
      <c r="V262" t="s">
        <v>5107</v>
      </c>
      <c r="W262" t="s">
        <v>5108</v>
      </c>
      <c r="X262" t="s">
        <v>1626</v>
      </c>
      <c r="Y262" t="s">
        <v>5109</v>
      </c>
      <c r="Z262" t="s">
        <v>5110</v>
      </c>
      <c r="AA262" t="s">
        <v>5111</v>
      </c>
      <c r="AB262" t="s">
        <v>5112</v>
      </c>
      <c r="AC262" t="s">
        <v>74</v>
      </c>
      <c r="AD262" t="s">
        <v>74</v>
      </c>
      <c r="AE262" t="s">
        <v>74</v>
      </c>
      <c r="AF262" t="s">
        <v>74</v>
      </c>
      <c r="AG262">
        <v>48</v>
      </c>
      <c r="AH262">
        <v>72</v>
      </c>
      <c r="AI262">
        <v>79</v>
      </c>
      <c r="AJ262">
        <v>23</v>
      </c>
      <c r="AK262">
        <v>177</v>
      </c>
      <c r="AL262" t="s">
        <v>88</v>
      </c>
      <c r="AM262" t="s">
        <v>89</v>
      </c>
      <c r="AN262" t="s">
        <v>90</v>
      </c>
      <c r="AO262" t="s">
        <v>1783</v>
      </c>
      <c r="AP262" t="s">
        <v>1784</v>
      </c>
      <c r="AQ262" t="s">
        <v>74</v>
      </c>
      <c r="AR262" t="s">
        <v>1785</v>
      </c>
      <c r="AS262" t="s">
        <v>1786</v>
      </c>
      <c r="AT262" t="s">
        <v>5113</v>
      </c>
      <c r="AU262">
        <v>2021</v>
      </c>
      <c r="AV262">
        <v>24</v>
      </c>
      <c r="AW262">
        <v>16</v>
      </c>
      <c r="AX262" t="s">
        <v>74</v>
      </c>
      <c r="AY262" t="s">
        <v>74</v>
      </c>
      <c r="AZ262" t="s">
        <v>456</v>
      </c>
      <c r="BA262" t="s">
        <v>74</v>
      </c>
      <c r="BB262">
        <v>2459</v>
      </c>
      <c r="BC262">
        <v>2481</v>
      </c>
      <c r="BD262" t="s">
        <v>74</v>
      </c>
      <c r="BE262" t="s">
        <v>5114</v>
      </c>
      <c r="BF262" t="str">
        <f>HYPERLINK("http://dx.doi.org/10.1080/1369118X.2021.1961007","http://dx.doi.org/10.1080/1369118X.2021.1961007")</f>
        <v>http://dx.doi.org/10.1080/1369118X.2021.1961007</v>
      </c>
      <c r="BG262" t="s">
        <v>74</v>
      </c>
      <c r="BH262" t="s">
        <v>97</v>
      </c>
      <c r="BI262">
        <v>23</v>
      </c>
      <c r="BJ262" t="s">
        <v>1047</v>
      </c>
      <c r="BK262" t="s">
        <v>99</v>
      </c>
      <c r="BL262" t="s">
        <v>1047</v>
      </c>
      <c r="BM262" t="s">
        <v>5115</v>
      </c>
      <c r="BN262" t="s">
        <v>74</v>
      </c>
      <c r="BO262" t="s">
        <v>1343</v>
      </c>
      <c r="BP262" t="s">
        <v>74</v>
      </c>
      <c r="BQ262" t="s">
        <v>74</v>
      </c>
      <c r="BR262" t="s">
        <v>102</v>
      </c>
      <c r="BS262" t="s">
        <v>5116</v>
      </c>
      <c r="BT262" t="str">
        <f>HYPERLINK("https%3A%2F%2Fwww.webofscience.com%2Fwos%2Fwoscc%2Ffull-record%2FWOS:000679859300001","View Full Record in Web of Science")</f>
        <v>View Full Record in Web of Science</v>
      </c>
    </row>
    <row r="263" spans="1:72" x14ac:dyDescent="0.35">
      <c r="A263" t="s">
        <v>72</v>
      </c>
      <c r="B263" t="s">
        <v>5117</v>
      </c>
      <c r="C263" t="s">
        <v>74</v>
      </c>
      <c r="D263" t="s">
        <v>74</v>
      </c>
      <c r="E263" t="s">
        <v>74</v>
      </c>
      <c r="F263" t="s">
        <v>5118</v>
      </c>
      <c r="G263" t="s">
        <v>74</v>
      </c>
      <c r="H263" t="s">
        <v>74</v>
      </c>
      <c r="I263" t="s">
        <v>5119</v>
      </c>
      <c r="J263" t="s">
        <v>5120</v>
      </c>
      <c r="K263" t="s">
        <v>74</v>
      </c>
      <c r="L263" t="s">
        <v>74</v>
      </c>
      <c r="M263" t="s">
        <v>78</v>
      </c>
      <c r="N263" t="s">
        <v>108</v>
      </c>
      <c r="O263" t="s">
        <v>74</v>
      </c>
      <c r="P263" t="s">
        <v>74</v>
      </c>
      <c r="Q263" t="s">
        <v>74</v>
      </c>
      <c r="R263" t="s">
        <v>74</v>
      </c>
      <c r="S263" t="s">
        <v>74</v>
      </c>
      <c r="T263" t="s">
        <v>5121</v>
      </c>
      <c r="U263" t="s">
        <v>74</v>
      </c>
      <c r="V263" t="s">
        <v>5122</v>
      </c>
      <c r="W263" t="s">
        <v>5123</v>
      </c>
      <c r="X263" t="s">
        <v>5124</v>
      </c>
      <c r="Y263" t="s">
        <v>5125</v>
      </c>
      <c r="Z263" t="s">
        <v>5126</v>
      </c>
      <c r="AA263" t="s">
        <v>74</v>
      </c>
      <c r="AB263" t="s">
        <v>74</v>
      </c>
      <c r="AC263" t="s">
        <v>74</v>
      </c>
      <c r="AD263" t="s">
        <v>74</v>
      </c>
      <c r="AE263" t="s">
        <v>74</v>
      </c>
      <c r="AF263" t="s">
        <v>74</v>
      </c>
      <c r="AG263">
        <v>30</v>
      </c>
      <c r="AH263">
        <v>0</v>
      </c>
      <c r="AI263">
        <v>0</v>
      </c>
      <c r="AJ263">
        <v>16</v>
      </c>
      <c r="AK263">
        <v>45</v>
      </c>
      <c r="AL263" t="s">
        <v>5127</v>
      </c>
      <c r="AM263" t="s">
        <v>5128</v>
      </c>
      <c r="AN263" t="s">
        <v>5129</v>
      </c>
      <c r="AO263" t="s">
        <v>5130</v>
      </c>
      <c r="AP263" t="s">
        <v>5131</v>
      </c>
      <c r="AQ263" t="s">
        <v>74</v>
      </c>
      <c r="AR263" t="s">
        <v>5132</v>
      </c>
      <c r="AS263" t="s">
        <v>5133</v>
      </c>
      <c r="AT263" t="s">
        <v>455</v>
      </c>
      <c r="AU263">
        <v>2023</v>
      </c>
      <c r="AV263">
        <v>34</v>
      </c>
      <c r="AW263">
        <v>1</v>
      </c>
      <c r="AX263" t="s">
        <v>74</v>
      </c>
      <c r="AY263" t="s">
        <v>74</v>
      </c>
      <c r="AZ263" t="s">
        <v>74</v>
      </c>
      <c r="BA263" t="s">
        <v>74</v>
      </c>
      <c r="BB263">
        <v>24</v>
      </c>
      <c r="BC263">
        <v>37</v>
      </c>
      <c r="BD263" t="s">
        <v>74</v>
      </c>
      <c r="BE263" t="s">
        <v>5134</v>
      </c>
      <c r="BF263" t="str">
        <f>HYPERLINK("http://dx.doi.org/10.1163/18784712-03104056","http://dx.doi.org/10.1163/18784712-03104056")</f>
        <v>http://dx.doi.org/10.1163/18784712-03104056</v>
      </c>
      <c r="BG263" t="s">
        <v>74</v>
      </c>
      <c r="BH263" t="s">
        <v>74</v>
      </c>
      <c r="BI263">
        <v>14</v>
      </c>
      <c r="BJ263" t="s">
        <v>4461</v>
      </c>
      <c r="BK263" t="s">
        <v>125</v>
      </c>
      <c r="BL263" t="s">
        <v>4462</v>
      </c>
      <c r="BM263" t="s">
        <v>5135</v>
      </c>
      <c r="BN263" t="s">
        <v>74</v>
      </c>
      <c r="BO263" t="s">
        <v>74</v>
      </c>
      <c r="BP263" t="s">
        <v>74</v>
      </c>
      <c r="BQ263" t="s">
        <v>74</v>
      </c>
      <c r="BR263" t="s">
        <v>102</v>
      </c>
      <c r="BS263" t="s">
        <v>5136</v>
      </c>
      <c r="BT263" t="str">
        <f>HYPERLINK("https%3A%2F%2Fwww.webofscience.com%2Fwos%2Fwoscc%2Ffull-record%2FWOS:001095703900002","View Full Record in Web of Science")</f>
        <v>View Full Record in Web of Science</v>
      </c>
    </row>
    <row r="264" spans="1:72" x14ac:dyDescent="0.35">
      <c r="A264" t="s">
        <v>72</v>
      </c>
      <c r="B264" t="s">
        <v>5137</v>
      </c>
      <c r="C264" t="s">
        <v>74</v>
      </c>
      <c r="D264" t="s">
        <v>74</v>
      </c>
      <c r="E264" t="s">
        <v>74</v>
      </c>
      <c r="F264" t="s">
        <v>5138</v>
      </c>
      <c r="G264" t="s">
        <v>74</v>
      </c>
      <c r="H264" t="s">
        <v>74</v>
      </c>
      <c r="I264" t="s">
        <v>5139</v>
      </c>
      <c r="J264" t="s">
        <v>5140</v>
      </c>
      <c r="K264" t="s">
        <v>74</v>
      </c>
      <c r="L264" t="s">
        <v>74</v>
      </c>
      <c r="M264" t="s">
        <v>3503</v>
      </c>
      <c r="N264" t="s">
        <v>108</v>
      </c>
      <c r="O264" t="s">
        <v>74</v>
      </c>
      <c r="P264" t="s">
        <v>74</v>
      </c>
      <c r="Q264" t="s">
        <v>74</v>
      </c>
      <c r="R264" t="s">
        <v>74</v>
      </c>
      <c r="S264" t="s">
        <v>74</v>
      </c>
      <c r="T264" t="s">
        <v>5141</v>
      </c>
      <c r="U264" t="s">
        <v>5142</v>
      </c>
      <c r="V264" t="s">
        <v>5143</v>
      </c>
      <c r="W264" t="s">
        <v>5144</v>
      </c>
      <c r="X264" t="s">
        <v>3095</v>
      </c>
      <c r="Y264" t="s">
        <v>5145</v>
      </c>
      <c r="Z264" t="s">
        <v>5146</v>
      </c>
      <c r="AA264" t="s">
        <v>74</v>
      </c>
      <c r="AB264" t="s">
        <v>74</v>
      </c>
      <c r="AC264" t="s">
        <v>74</v>
      </c>
      <c r="AD264" t="s">
        <v>74</v>
      </c>
      <c r="AE264" t="s">
        <v>74</v>
      </c>
      <c r="AF264" t="s">
        <v>74</v>
      </c>
      <c r="AG264">
        <v>30</v>
      </c>
      <c r="AH264">
        <v>3</v>
      </c>
      <c r="AI264">
        <v>3</v>
      </c>
      <c r="AJ264">
        <v>6</v>
      </c>
      <c r="AK264">
        <v>38</v>
      </c>
      <c r="AL264" t="s">
        <v>5147</v>
      </c>
      <c r="AM264" t="s">
        <v>5148</v>
      </c>
      <c r="AN264" t="s">
        <v>5149</v>
      </c>
      <c r="AO264" t="s">
        <v>5150</v>
      </c>
      <c r="AP264" t="s">
        <v>5151</v>
      </c>
      <c r="AQ264" t="s">
        <v>74</v>
      </c>
      <c r="AR264" t="s">
        <v>5152</v>
      </c>
      <c r="AS264" t="s">
        <v>5153</v>
      </c>
      <c r="AT264" t="s">
        <v>5154</v>
      </c>
      <c r="AU264">
        <v>2022</v>
      </c>
      <c r="AV264" t="s">
        <v>74</v>
      </c>
      <c r="AW264">
        <v>36</v>
      </c>
      <c r="AX264" t="s">
        <v>74</v>
      </c>
      <c r="AY264" t="s">
        <v>74</v>
      </c>
      <c r="AZ264" t="s">
        <v>74</v>
      </c>
      <c r="BA264" t="s">
        <v>74</v>
      </c>
      <c r="BB264">
        <v>221</v>
      </c>
      <c r="BC264">
        <v>241</v>
      </c>
      <c r="BD264" t="s">
        <v>74</v>
      </c>
      <c r="BE264" t="s">
        <v>5155</v>
      </c>
      <c r="BF264" t="str">
        <f>HYPERLINK("http://dx.doi.org/10.17163/uni.n36.2022.09","http://dx.doi.org/10.17163/uni.n36.2022.09")</f>
        <v>http://dx.doi.org/10.17163/uni.n36.2022.09</v>
      </c>
      <c r="BG264" t="s">
        <v>74</v>
      </c>
      <c r="BH264" t="s">
        <v>74</v>
      </c>
      <c r="BI264">
        <v>21</v>
      </c>
      <c r="BJ264" t="s">
        <v>98</v>
      </c>
      <c r="BK264" t="s">
        <v>125</v>
      </c>
      <c r="BL264" t="s">
        <v>100</v>
      </c>
      <c r="BM264" t="s">
        <v>5156</v>
      </c>
      <c r="BN264" t="s">
        <v>74</v>
      </c>
      <c r="BO264" t="s">
        <v>3287</v>
      </c>
      <c r="BP264" t="s">
        <v>74</v>
      </c>
      <c r="BQ264" t="s">
        <v>74</v>
      </c>
      <c r="BR264" t="s">
        <v>102</v>
      </c>
      <c r="BS264" t="s">
        <v>5157</v>
      </c>
      <c r="BT264" t="str">
        <f>HYPERLINK("https%3A%2F%2Fwww.webofscience.com%2Fwos%2Fwoscc%2Ffull-record%2FWOS:000766642800009","View Full Record in Web of Science")</f>
        <v>View Full Record in Web of Science</v>
      </c>
    </row>
    <row r="265" spans="1:72" x14ac:dyDescent="0.35">
      <c r="A265" t="s">
        <v>72</v>
      </c>
      <c r="B265" t="s">
        <v>5158</v>
      </c>
      <c r="C265" t="s">
        <v>74</v>
      </c>
      <c r="D265" t="s">
        <v>74</v>
      </c>
      <c r="E265" t="s">
        <v>74</v>
      </c>
      <c r="F265" t="s">
        <v>5159</v>
      </c>
      <c r="G265" t="s">
        <v>74</v>
      </c>
      <c r="H265" t="s">
        <v>74</v>
      </c>
      <c r="I265" t="s">
        <v>5160</v>
      </c>
      <c r="J265" t="s">
        <v>5161</v>
      </c>
      <c r="K265" t="s">
        <v>74</v>
      </c>
      <c r="L265" t="s">
        <v>74</v>
      </c>
      <c r="M265" t="s">
        <v>78</v>
      </c>
      <c r="N265" t="s">
        <v>108</v>
      </c>
      <c r="O265" t="s">
        <v>74</v>
      </c>
      <c r="P265" t="s">
        <v>74</v>
      </c>
      <c r="Q265" t="s">
        <v>74</v>
      </c>
      <c r="R265" t="s">
        <v>74</v>
      </c>
      <c r="S265" t="s">
        <v>74</v>
      </c>
      <c r="T265" t="s">
        <v>5162</v>
      </c>
      <c r="U265" t="s">
        <v>5163</v>
      </c>
      <c r="V265" t="s">
        <v>5164</v>
      </c>
      <c r="W265" t="s">
        <v>5165</v>
      </c>
      <c r="X265" t="s">
        <v>74</v>
      </c>
      <c r="Y265" t="s">
        <v>5166</v>
      </c>
      <c r="Z265" t="s">
        <v>5167</v>
      </c>
      <c r="AA265" t="s">
        <v>74</v>
      </c>
      <c r="AB265" t="s">
        <v>5168</v>
      </c>
      <c r="AC265" t="s">
        <v>74</v>
      </c>
      <c r="AD265" t="s">
        <v>74</v>
      </c>
      <c r="AE265" t="s">
        <v>74</v>
      </c>
      <c r="AF265" t="s">
        <v>74</v>
      </c>
      <c r="AG265">
        <v>16</v>
      </c>
      <c r="AH265">
        <v>2</v>
      </c>
      <c r="AI265">
        <v>2</v>
      </c>
      <c r="AJ265">
        <v>2</v>
      </c>
      <c r="AK265">
        <v>6</v>
      </c>
      <c r="AL265" t="s">
        <v>1061</v>
      </c>
      <c r="AM265" t="s">
        <v>1062</v>
      </c>
      <c r="AN265" t="s">
        <v>1063</v>
      </c>
      <c r="AO265" t="s">
        <v>5169</v>
      </c>
      <c r="AP265" t="s">
        <v>5170</v>
      </c>
      <c r="AQ265" t="s">
        <v>74</v>
      </c>
      <c r="AR265" t="s">
        <v>5171</v>
      </c>
      <c r="AS265" t="s">
        <v>5172</v>
      </c>
      <c r="AT265" t="s">
        <v>273</v>
      </c>
      <c r="AU265">
        <v>2023</v>
      </c>
      <c r="AV265">
        <v>33</v>
      </c>
      <c r="AW265">
        <v>7</v>
      </c>
      <c r="AX265" t="s">
        <v>74</v>
      </c>
      <c r="AY265" t="s">
        <v>74</v>
      </c>
      <c r="AZ265" t="s">
        <v>74</v>
      </c>
      <c r="BA265" t="s">
        <v>74</v>
      </c>
      <c r="BB265">
        <v>1213</v>
      </c>
      <c r="BC265">
        <v>1216</v>
      </c>
      <c r="BD265" t="s">
        <v>5173</v>
      </c>
      <c r="BE265" t="s">
        <v>5174</v>
      </c>
      <c r="BF265" t="str">
        <f>HYPERLINK("http://dx.doi.org/10.1017/S1047951122003717","http://dx.doi.org/10.1017/S1047951122003717")</f>
        <v>http://dx.doi.org/10.1017/S1047951122003717</v>
      </c>
      <c r="BG265" t="s">
        <v>74</v>
      </c>
      <c r="BH265" t="s">
        <v>3970</v>
      </c>
      <c r="BI265">
        <v>4</v>
      </c>
      <c r="BJ265" t="s">
        <v>5175</v>
      </c>
      <c r="BK265" t="s">
        <v>209</v>
      </c>
      <c r="BL265" t="s">
        <v>5176</v>
      </c>
      <c r="BM265" t="s">
        <v>5177</v>
      </c>
      <c r="BN265">
        <v>36475309</v>
      </c>
      <c r="BO265" t="s">
        <v>74</v>
      </c>
      <c r="BP265" t="s">
        <v>74</v>
      </c>
      <c r="BQ265" t="s">
        <v>74</v>
      </c>
      <c r="BR265" t="s">
        <v>102</v>
      </c>
      <c r="BS265" t="s">
        <v>5178</v>
      </c>
      <c r="BT265" t="str">
        <f>HYPERLINK("https%3A%2F%2Fwww.webofscience.com%2Fwos%2Fwoscc%2Ffull-record%2FWOS:000893724500001","View Full Record in Web of Science")</f>
        <v>View Full Record in Web of Science</v>
      </c>
    </row>
    <row r="266" spans="1:72" x14ac:dyDescent="0.35">
      <c r="A266" t="s">
        <v>72</v>
      </c>
      <c r="B266" t="s">
        <v>5179</v>
      </c>
      <c r="C266" t="s">
        <v>74</v>
      </c>
      <c r="D266" t="s">
        <v>74</v>
      </c>
      <c r="E266" t="s">
        <v>74</v>
      </c>
      <c r="F266" t="s">
        <v>5180</v>
      </c>
      <c r="G266" t="s">
        <v>74</v>
      </c>
      <c r="H266" t="s">
        <v>74</v>
      </c>
      <c r="I266" t="s">
        <v>5181</v>
      </c>
      <c r="J266" t="s">
        <v>5182</v>
      </c>
      <c r="K266" t="s">
        <v>74</v>
      </c>
      <c r="L266" t="s">
        <v>74</v>
      </c>
      <c r="M266" t="s">
        <v>78</v>
      </c>
      <c r="N266" t="s">
        <v>2042</v>
      </c>
      <c r="O266" t="s">
        <v>74</v>
      </c>
      <c r="P266" t="s">
        <v>74</v>
      </c>
      <c r="Q266" t="s">
        <v>74</v>
      </c>
      <c r="R266" t="s">
        <v>74</v>
      </c>
      <c r="S266" t="s">
        <v>74</v>
      </c>
      <c r="T266" t="s">
        <v>74</v>
      </c>
      <c r="U266" t="s">
        <v>74</v>
      </c>
      <c r="V266" t="s">
        <v>5183</v>
      </c>
      <c r="W266" t="s">
        <v>5184</v>
      </c>
      <c r="X266" t="s">
        <v>5185</v>
      </c>
      <c r="Y266" t="s">
        <v>5186</v>
      </c>
      <c r="Z266" t="s">
        <v>5187</v>
      </c>
      <c r="AA266" t="s">
        <v>5188</v>
      </c>
      <c r="AB266" t="s">
        <v>74</v>
      </c>
      <c r="AC266" t="s">
        <v>74</v>
      </c>
      <c r="AD266" t="s">
        <v>74</v>
      </c>
      <c r="AE266" t="s">
        <v>74</v>
      </c>
      <c r="AF266" t="s">
        <v>74</v>
      </c>
      <c r="AG266">
        <v>1</v>
      </c>
      <c r="AH266">
        <v>21</v>
      </c>
      <c r="AI266">
        <v>25</v>
      </c>
      <c r="AJ266">
        <v>8</v>
      </c>
      <c r="AK266">
        <v>45</v>
      </c>
      <c r="AL266" t="s">
        <v>5189</v>
      </c>
      <c r="AM266" t="s">
        <v>5190</v>
      </c>
      <c r="AN266" t="s">
        <v>5191</v>
      </c>
      <c r="AO266" t="s">
        <v>5192</v>
      </c>
      <c r="AP266" t="s">
        <v>5193</v>
      </c>
      <c r="AQ266" t="s">
        <v>74</v>
      </c>
      <c r="AR266" t="s">
        <v>5194</v>
      </c>
      <c r="AS266" t="s">
        <v>5195</v>
      </c>
      <c r="AT266" t="s">
        <v>523</v>
      </c>
      <c r="AU266">
        <v>2021</v>
      </c>
      <c r="AV266">
        <v>1</v>
      </c>
      <c r="AW266">
        <v>6</v>
      </c>
      <c r="AX266" t="s">
        <v>74</v>
      </c>
      <c r="AY266" t="s">
        <v>74</v>
      </c>
      <c r="AZ266" t="s">
        <v>74</v>
      </c>
      <c r="BA266" t="s">
        <v>74</v>
      </c>
      <c r="BB266">
        <v>846</v>
      </c>
      <c r="BC266">
        <v>847</v>
      </c>
      <c r="BD266" t="s">
        <v>74</v>
      </c>
      <c r="BE266" t="s">
        <v>5196</v>
      </c>
      <c r="BF266" t="str">
        <f>HYPERLINK("http://dx.doi.org/10.1016/j.fmre.2021.11.015","http://dx.doi.org/10.1016/j.fmre.2021.11.015")</f>
        <v>http://dx.doi.org/10.1016/j.fmre.2021.11.015</v>
      </c>
      <c r="BG266" t="s">
        <v>74</v>
      </c>
      <c r="BH266" t="s">
        <v>74</v>
      </c>
      <c r="BI266">
        <v>2</v>
      </c>
      <c r="BJ266" t="s">
        <v>1301</v>
      </c>
      <c r="BK266" t="s">
        <v>125</v>
      </c>
      <c r="BL266" t="s">
        <v>1302</v>
      </c>
      <c r="BM266" t="s">
        <v>5197</v>
      </c>
      <c r="BN266" t="s">
        <v>74</v>
      </c>
      <c r="BO266" t="s">
        <v>235</v>
      </c>
      <c r="BP266" t="s">
        <v>74</v>
      </c>
      <c r="BQ266" t="s">
        <v>74</v>
      </c>
      <c r="BR266" t="s">
        <v>102</v>
      </c>
      <c r="BS266" t="s">
        <v>5198</v>
      </c>
      <c r="BT266" t="str">
        <f>HYPERLINK("https%3A%2F%2Fwww.webofscience.com%2Fwos%2Fwoscc%2Ffull-record%2FWOS:000854173100001","View Full Record in Web of Science")</f>
        <v>View Full Record in Web of Science</v>
      </c>
    </row>
    <row r="267" spans="1:72" x14ac:dyDescent="0.35">
      <c r="A267" t="s">
        <v>72</v>
      </c>
      <c r="B267" t="s">
        <v>5199</v>
      </c>
      <c r="C267" t="s">
        <v>74</v>
      </c>
      <c r="D267" t="s">
        <v>74</v>
      </c>
      <c r="E267" t="s">
        <v>74</v>
      </c>
      <c r="F267" t="s">
        <v>5200</v>
      </c>
      <c r="G267" t="s">
        <v>74</v>
      </c>
      <c r="H267" t="s">
        <v>74</v>
      </c>
      <c r="I267" t="s">
        <v>5201</v>
      </c>
      <c r="J267" t="s">
        <v>5202</v>
      </c>
      <c r="K267" t="s">
        <v>74</v>
      </c>
      <c r="L267" t="s">
        <v>74</v>
      </c>
      <c r="M267" t="s">
        <v>78</v>
      </c>
      <c r="N267" t="s">
        <v>108</v>
      </c>
      <c r="O267" t="s">
        <v>74</v>
      </c>
      <c r="P267" t="s">
        <v>74</v>
      </c>
      <c r="Q267" t="s">
        <v>74</v>
      </c>
      <c r="R267" t="s">
        <v>74</v>
      </c>
      <c r="S267" t="s">
        <v>74</v>
      </c>
      <c r="T267" t="s">
        <v>5203</v>
      </c>
      <c r="U267" t="s">
        <v>218</v>
      </c>
      <c r="V267" t="s">
        <v>5204</v>
      </c>
      <c r="W267" t="s">
        <v>5205</v>
      </c>
      <c r="X267" t="s">
        <v>5206</v>
      </c>
      <c r="Y267" t="s">
        <v>5207</v>
      </c>
      <c r="Z267" t="s">
        <v>5208</v>
      </c>
      <c r="AA267" t="s">
        <v>74</v>
      </c>
      <c r="AB267" t="s">
        <v>5209</v>
      </c>
      <c r="AC267" t="s">
        <v>74</v>
      </c>
      <c r="AD267" t="s">
        <v>74</v>
      </c>
      <c r="AE267" t="s">
        <v>74</v>
      </c>
      <c r="AF267" t="s">
        <v>74</v>
      </c>
      <c r="AG267">
        <v>17</v>
      </c>
      <c r="AH267">
        <v>38</v>
      </c>
      <c r="AI267">
        <v>39</v>
      </c>
      <c r="AJ267">
        <v>2</v>
      </c>
      <c r="AK267">
        <v>19</v>
      </c>
      <c r="AL267" t="s">
        <v>3632</v>
      </c>
      <c r="AM267" t="s">
        <v>291</v>
      </c>
      <c r="AN267" t="s">
        <v>3633</v>
      </c>
      <c r="AO267" t="s">
        <v>5210</v>
      </c>
      <c r="AP267" t="s">
        <v>5211</v>
      </c>
      <c r="AQ267" t="s">
        <v>74</v>
      </c>
      <c r="AR267" t="s">
        <v>5212</v>
      </c>
      <c r="AS267" t="s">
        <v>5213</v>
      </c>
      <c r="AT267" t="s">
        <v>257</v>
      </c>
      <c r="AU267">
        <v>2022</v>
      </c>
      <c r="AV267">
        <v>18</v>
      </c>
      <c r="AW267">
        <v>3</v>
      </c>
      <c r="AX267" t="s">
        <v>74</v>
      </c>
      <c r="AY267" t="s">
        <v>74</v>
      </c>
      <c r="AZ267" t="s">
        <v>74</v>
      </c>
      <c r="BA267" t="s">
        <v>74</v>
      </c>
      <c r="BB267" t="s">
        <v>74</v>
      </c>
      <c r="BC267" t="s">
        <v>74</v>
      </c>
      <c r="BD267" t="s">
        <v>74</v>
      </c>
      <c r="BE267" t="s">
        <v>5214</v>
      </c>
      <c r="BF267" t="str">
        <f>HYPERLINK("http://dx.doi.org/10.1016/j.jpurol.2022.03.001","http://dx.doi.org/10.1016/j.jpurol.2022.03.001")</f>
        <v>http://dx.doi.org/10.1016/j.jpurol.2022.03.001</v>
      </c>
      <c r="BG267" t="s">
        <v>74</v>
      </c>
      <c r="BH267" t="s">
        <v>74</v>
      </c>
      <c r="BI267">
        <v>5</v>
      </c>
      <c r="BJ267" t="s">
        <v>5215</v>
      </c>
      <c r="BK267" t="s">
        <v>209</v>
      </c>
      <c r="BL267" t="s">
        <v>5215</v>
      </c>
      <c r="BM267" t="s">
        <v>5216</v>
      </c>
      <c r="BN267">
        <v>35331640</v>
      </c>
      <c r="BO267" t="s">
        <v>74</v>
      </c>
      <c r="BP267" t="s">
        <v>74</v>
      </c>
      <c r="BQ267" t="s">
        <v>74</v>
      </c>
      <c r="BR267" t="s">
        <v>102</v>
      </c>
      <c r="BS267" t="s">
        <v>5217</v>
      </c>
      <c r="BT267" t="str">
        <f>HYPERLINK("https%3A%2F%2Fwww.webofscience.com%2Fwos%2Fwoscc%2Ffull-record%2FWOS:000911711000011","View Full Record in Web of Science")</f>
        <v>View Full Record in Web of Science</v>
      </c>
    </row>
    <row r="268" spans="1:72" x14ac:dyDescent="0.35">
      <c r="A268" t="s">
        <v>72</v>
      </c>
      <c r="B268" t="s">
        <v>5218</v>
      </c>
      <c r="C268" t="s">
        <v>74</v>
      </c>
      <c r="D268" t="s">
        <v>74</v>
      </c>
      <c r="E268" t="s">
        <v>74</v>
      </c>
      <c r="F268" t="s">
        <v>5219</v>
      </c>
      <c r="G268" t="s">
        <v>74</v>
      </c>
      <c r="H268" t="s">
        <v>74</v>
      </c>
      <c r="I268" t="s">
        <v>5220</v>
      </c>
      <c r="J268" t="s">
        <v>5221</v>
      </c>
      <c r="K268" t="s">
        <v>74</v>
      </c>
      <c r="L268" t="s">
        <v>74</v>
      </c>
      <c r="M268" t="s">
        <v>78</v>
      </c>
      <c r="N268" t="s">
        <v>108</v>
      </c>
      <c r="O268" t="s">
        <v>74</v>
      </c>
      <c r="P268" t="s">
        <v>74</v>
      </c>
      <c r="Q268" t="s">
        <v>74</v>
      </c>
      <c r="R268" t="s">
        <v>74</v>
      </c>
      <c r="S268" t="s">
        <v>74</v>
      </c>
      <c r="T268" t="s">
        <v>5222</v>
      </c>
      <c r="U268" t="s">
        <v>74</v>
      </c>
      <c r="V268" t="s">
        <v>5223</v>
      </c>
      <c r="W268" t="s">
        <v>5224</v>
      </c>
      <c r="X268" t="s">
        <v>74</v>
      </c>
      <c r="Y268" t="s">
        <v>5225</v>
      </c>
      <c r="Z268" t="s">
        <v>5226</v>
      </c>
      <c r="AA268" t="s">
        <v>74</v>
      </c>
      <c r="AB268" t="s">
        <v>5227</v>
      </c>
      <c r="AC268" t="s">
        <v>5228</v>
      </c>
      <c r="AD268" t="s">
        <v>5229</v>
      </c>
      <c r="AE268" t="s">
        <v>5230</v>
      </c>
      <c r="AF268" t="s">
        <v>74</v>
      </c>
      <c r="AG268">
        <v>47</v>
      </c>
      <c r="AH268">
        <v>7</v>
      </c>
      <c r="AI268">
        <v>7</v>
      </c>
      <c r="AJ268">
        <v>51</v>
      </c>
      <c r="AK268">
        <v>114</v>
      </c>
      <c r="AL268" t="s">
        <v>5231</v>
      </c>
      <c r="AM268" t="s">
        <v>5232</v>
      </c>
      <c r="AN268" t="s">
        <v>5233</v>
      </c>
      <c r="AO268" t="s">
        <v>5234</v>
      </c>
      <c r="AP268" t="s">
        <v>5235</v>
      </c>
      <c r="AQ268" t="s">
        <v>74</v>
      </c>
      <c r="AR268" t="s">
        <v>5236</v>
      </c>
      <c r="AS268" t="s">
        <v>5237</v>
      </c>
      <c r="AT268" t="s">
        <v>74</v>
      </c>
      <c r="AU268">
        <v>2023</v>
      </c>
      <c r="AV268">
        <v>32</v>
      </c>
      <c r="AW268">
        <v>4</v>
      </c>
      <c r="AX268" t="s">
        <v>74</v>
      </c>
      <c r="AY268" t="s">
        <v>74</v>
      </c>
      <c r="AZ268" t="s">
        <v>74</v>
      </c>
      <c r="BA268" t="s">
        <v>74</v>
      </c>
      <c r="BB268" t="s">
        <v>74</v>
      </c>
      <c r="BC268" t="s">
        <v>74</v>
      </c>
      <c r="BD268" t="s">
        <v>5238</v>
      </c>
      <c r="BE268" t="s">
        <v>5239</v>
      </c>
      <c r="BF268" t="str">
        <f>HYPERLINK("http://dx.doi.org/10.3145/epi.2023.jul.11","http://dx.doi.org/10.3145/epi.2023.jul.11")</f>
        <v>http://dx.doi.org/10.3145/epi.2023.jul.11</v>
      </c>
      <c r="BG268" t="s">
        <v>74</v>
      </c>
      <c r="BH268" t="s">
        <v>74</v>
      </c>
      <c r="BI268">
        <v>10</v>
      </c>
      <c r="BJ268" t="s">
        <v>5240</v>
      </c>
      <c r="BK268" t="s">
        <v>99</v>
      </c>
      <c r="BL268" t="s">
        <v>5240</v>
      </c>
      <c r="BM268" t="s">
        <v>5241</v>
      </c>
      <c r="BN268" t="s">
        <v>74</v>
      </c>
      <c r="BO268" t="s">
        <v>156</v>
      </c>
      <c r="BP268" t="s">
        <v>74</v>
      </c>
      <c r="BQ268" t="s">
        <v>74</v>
      </c>
      <c r="BR268" t="s">
        <v>102</v>
      </c>
      <c r="BS268" t="s">
        <v>5242</v>
      </c>
      <c r="BT268" t="str">
        <f>HYPERLINK("https%3A%2F%2Fwww.webofscience.com%2Fwos%2Fwoscc%2Ffull-record%2FWOS:001097561400013","View Full Record in Web of Science")</f>
        <v>View Full Record in Web of Science</v>
      </c>
    </row>
    <row r="269" spans="1:72" x14ac:dyDescent="0.35">
      <c r="A269" t="s">
        <v>72</v>
      </c>
      <c r="B269" t="s">
        <v>5243</v>
      </c>
      <c r="C269" t="s">
        <v>74</v>
      </c>
      <c r="D269" t="s">
        <v>74</v>
      </c>
      <c r="E269" t="s">
        <v>74</v>
      </c>
      <c r="F269" t="s">
        <v>5244</v>
      </c>
      <c r="G269" t="s">
        <v>74</v>
      </c>
      <c r="H269" t="s">
        <v>74</v>
      </c>
      <c r="I269" t="s">
        <v>5245</v>
      </c>
      <c r="J269" t="s">
        <v>793</v>
      </c>
      <c r="K269" t="s">
        <v>74</v>
      </c>
      <c r="L269" t="s">
        <v>74</v>
      </c>
      <c r="M269" t="s">
        <v>78</v>
      </c>
      <c r="N269" t="s">
        <v>108</v>
      </c>
      <c r="O269" t="s">
        <v>74</v>
      </c>
      <c r="P269" t="s">
        <v>74</v>
      </c>
      <c r="Q269" t="s">
        <v>74</v>
      </c>
      <c r="R269" t="s">
        <v>74</v>
      </c>
      <c r="S269" t="s">
        <v>74</v>
      </c>
      <c r="T269" t="s">
        <v>5246</v>
      </c>
      <c r="U269" t="s">
        <v>5247</v>
      </c>
      <c r="V269" t="s">
        <v>5248</v>
      </c>
      <c r="W269" t="s">
        <v>5249</v>
      </c>
      <c r="X269" t="s">
        <v>5250</v>
      </c>
      <c r="Y269" t="s">
        <v>5251</v>
      </c>
      <c r="Z269" t="s">
        <v>5252</v>
      </c>
      <c r="AA269" t="s">
        <v>5253</v>
      </c>
      <c r="AB269" t="s">
        <v>5254</v>
      </c>
      <c r="AC269" t="s">
        <v>74</v>
      </c>
      <c r="AD269" t="s">
        <v>74</v>
      </c>
      <c r="AE269" t="s">
        <v>74</v>
      </c>
      <c r="AF269" t="s">
        <v>74</v>
      </c>
      <c r="AG269">
        <v>27</v>
      </c>
      <c r="AH269">
        <v>5</v>
      </c>
      <c r="AI269">
        <v>5</v>
      </c>
      <c r="AJ269">
        <v>3</v>
      </c>
      <c r="AK269">
        <v>6</v>
      </c>
      <c r="AL269" t="s">
        <v>803</v>
      </c>
      <c r="AM269" t="s">
        <v>227</v>
      </c>
      <c r="AN269" t="s">
        <v>804</v>
      </c>
      <c r="AO269" t="s">
        <v>74</v>
      </c>
      <c r="AP269" t="s">
        <v>805</v>
      </c>
      <c r="AQ269" t="s">
        <v>74</v>
      </c>
      <c r="AR269" t="s">
        <v>806</v>
      </c>
      <c r="AS269" t="s">
        <v>807</v>
      </c>
      <c r="AT269" t="s">
        <v>2599</v>
      </c>
      <c r="AU269">
        <v>2023</v>
      </c>
      <c r="AV269">
        <v>15</v>
      </c>
      <c r="AW269">
        <v>9</v>
      </c>
      <c r="AX269" t="s">
        <v>74</v>
      </c>
      <c r="AY269" t="s">
        <v>74</v>
      </c>
      <c r="AZ269" t="s">
        <v>74</v>
      </c>
      <c r="BA269" t="s">
        <v>74</v>
      </c>
      <c r="BB269" t="s">
        <v>74</v>
      </c>
      <c r="BC269" t="s">
        <v>74</v>
      </c>
      <c r="BD269" t="s">
        <v>5255</v>
      </c>
      <c r="BE269" t="s">
        <v>5256</v>
      </c>
      <c r="BF269" t="str">
        <f>HYPERLINK("http://dx.doi.org/10.7759/cureus.45226","http://dx.doi.org/10.7759/cureus.45226")</f>
        <v>http://dx.doi.org/10.7759/cureus.45226</v>
      </c>
      <c r="BG269" t="s">
        <v>74</v>
      </c>
      <c r="BH269" t="s">
        <v>74</v>
      </c>
      <c r="BI269">
        <v>6</v>
      </c>
      <c r="BJ269" t="s">
        <v>811</v>
      </c>
      <c r="BK269" t="s">
        <v>125</v>
      </c>
      <c r="BL269" t="s">
        <v>812</v>
      </c>
      <c r="BM269" t="s">
        <v>5257</v>
      </c>
      <c r="BN269">
        <v>37842481</v>
      </c>
      <c r="BO269" t="s">
        <v>552</v>
      </c>
      <c r="BP269" t="s">
        <v>74</v>
      </c>
      <c r="BQ269" t="s">
        <v>74</v>
      </c>
      <c r="BR269" t="s">
        <v>102</v>
      </c>
      <c r="BS269" t="s">
        <v>5258</v>
      </c>
      <c r="BT269" t="str">
        <f>HYPERLINK("https%3A%2F%2Fwww.webofscience.com%2Fwos%2Fwoscc%2Ffull-record%2FWOS:001106809700023","View Full Record in Web of Science")</f>
        <v>View Full Record in Web of Science</v>
      </c>
    </row>
    <row r="270" spans="1:72" x14ac:dyDescent="0.35">
      <c r="A270" t="s">
        <v>72</v>
      </c>
      <c r="B270" t="s">
        <v>5259</v>
      </c>
      <c r="C270" t="s">
        <v>74</v>
      </c>
      <c r="D270" t="s">
        <v>74</v>
      </c>
      <c r="E270" t="s">
        <v>74</v>
      </c>
      <c r="F270" t="s">
        <v>5260</v>
      </c>
      <c r="G270" t="s">
        <v>74</v>
      </c>
      <c r="H270" t="s">
        <v>74</v>
      </c>
      <c r="I270" t="s">
        <v>5261</v>
      </c>
      <c r="J270" t="s">
        <v>4384</v>
      </c>
      <c r="K270" t="s">
        <v>74</v>
      </c>
      <c r="L270" t="s">
        <v>74</v>
      </c>
      <c r="M270" t="s">
        <v>78</v>
      </c>
      <c r="N270" t="s">
        <v>108</v>
      </c>
      <c r="O270" t="s">
        <v>74</v>
      </c>
      <c r="P270" t="s">
        <v>74</v>
      </c>
      <c r="Q270" t="s">
        <v>74</v>
      </c>
      <c r="R270" t="s">
        <v>74</v>
      </c>
      <c r="S270" t="s">
        <v>74</v>
      </c>
      <c r="T270" t="s">
        <v>74</v>
      </c>
      <c r="U270" t="s">
        <v>218</v>
      </c>
      <c r="V270" t="s">
        <v>5262</v>
      </c>
      <c r="W270" t="s">
        <v>5263</v>
      </c>
      <c r="X270" t="s">
        <v>5264</v>
      </c>
      <c r="Y270" t="s">
        <v>5265</v>
      </c>
      <c r="Z270" t="s">
        <v>74</v>
      </c>
      <c r="AA270" t="s">
        <v>5266</v>
      </c>
      <c r="AB270" t="s">
        <v>5267</v>
      </c>
      <c r="AC270" t="s">
        <v>5268</v>
      </c>
      <c r="AD270" t="s">
        <v>5269</v>
      </c>
      <c r="AE270" t="s">
        <v>5270</v>
      </c>
      <c r="AF270" t="s">
        <v>74</v>
      </c>
      <c r="AG270">
        <v>74</v>
      </c>
      <c r="AH270">
        <v>0</v>
      </c>
      <c r="AI270">
        <v>0</v>
      </c>
      <c r="AJ270">
        <v>5</v>
      </c>
      <c r="AK270">
        <v>5</v>
      </c>
      <c r="AL270" t="s">
        <v>803</v>
      </c>
      <c r="AM270" t="s">
        <v>227</v>
      </c>
      <c r="AN270" t="s">
        <v>804</v>
      </c>
      <c r="AO270" t="s">
        <v>74</v>
      </c>
      <c r="AP270" t="s">
        <v>4395</v>
      </c>
      <c r="AQ270" t="s">
        <v>74</v>
      </c>
      <c r="AR270" t="s">
        <v>4396</v>
      </c>
      <c r="AS270" t="s">
        <v>4397</v>
      </c>
      <c r="AT270" t="s">
        <v>5271</v>
      </c>
      <c r="AU270">
        <v>2024</v>
      </c>
      <c r="AV270">
        <v>11</v>
      </c>
      <c r="AW270">
        <v>1</v>
      </c>
      <c r="AX270" t="s">
        <v>74</v>
      </c>
      <c r="AY270" t="s">
        <v>74</v>
      </c>
      <c r="AZ270" t="s">
        <v>74</v>
      </c>
      <c r="BA270" t="s">
        <v>74</v>
      </c>
      <c r="BB270" t="s">
        <v>74</v>
      </c>
      <c r="BC270" t="s">
        <v>74</v>
      </c>
      <c r="BD270">
        <v>1444</v>
      </c>
      <c r="BE270" t="s">
        <v>5272</v>
      </c>
      <c r="BF270" t="str">
        <f>HYPERLINK("http://dx.doi.org/10.1057/s41599-024-03984-5","http://dx.doi.org/10.1057/s41599-024-03984-5")</f>
        <v>http://dx.doi.org/10.1057/s41599-024-03984-5</v>
      </c>
      <c r="BG270" t="s">
        <v>74</v>
      </c>
      <c r="BH270" t="s">
        <v>74</v>
      </c>
      <c r="BI270">
        <v>11</v>
      </c>
      <c r="BJ270" t="s">
        <v>4400</v>
      </c>
      <c r="BK270" t="s">
        <v>2125</v>
      </c>
      <c r="BL270" t="s">
        <v>4401</v>
      </c>
      <c r="BM270" t="s">
        <v>5273</v>
      </c>
      <c r="BN270" t="s">
        <v>74</v>
      </c>
      <c r="BO270" t="s">
        <v>235</v>
      </c>
      <c r="BP270" t="s">
        <v>74</v>
      </c>
      <c r="BQ270" t="s">
        <v>74</v>
      </c>
      <c r="BR270" t="s">
        <v>102</v>
      </c>
      <c r="BS270" t="s">
        <v>5274</v>
      </c>
      <c r="BT270" t="str">
        <f>HYPERLINK("https%3A%2F%2Fwww.webofscience.com%2Fwos%2Fwoscc%2Ffull-record%2FWOS:001345098200003","View Full Record in Web of Science")</f>
        <v>View Full Record in Web of Science</v>
      </c>
    </row>
    <row r="271" spans="1:72" x14ac:dyDescent="0.35">
      <c r="A271" t="s">
        <v>72</v>
      </c>
      <c r="B271" t="s">
        <v>5275</v>
      </c>
      <c r="C271" t="s">
        <v>74</v>
      </c>
      <c r="D271" t="s">
        <v>74</v>
      </c>
      <c r="E271" t="s">
        <v>74</v>
      </c>
      <c r="F271" t="s">
        <v>5276</v>
      </c>
      <c r="G271" t="s">
        <v>74</v>
      </c>
      <c r="H271" t="s">
        <v>74</v>
      </c>
      <c r="I271" t="s">
        <v>5277</v>
      </c>
      <c r="J271" t="s">
        <v>5278</v>
      </c>
      <c r="K271" t="s">
        <v>74</v>
      </c>
      <c r="L271" t="s">
        <v>74</v>
      </c>
      <c r="M271" t="s">
        <v>78</v>
      </c>
      <c r="N271" t="s">
        <v>108</v>
      </c>
      <c r="O271" t="s">
        <v>74</v>
      </c>
      <c r="P271" t="s">
        <v>74</v>
      </c>
      <c r="Q271" t="s">
        <v>74</v>
      </c>
      <c r="R271" t="s">
        <v>74</v>
      </c>
      <c r="S271" t="s">
        <v>74</v>
      </c>
      <c r="T271" t="s">
        <v>5279</v>
      </c>
      <c r="U271" t="s">
        <v>5280</v>
      </c>
      <c r="V271" t="s">
        <v>5281</v>
      </c>
      <c r="W271" t="s">
        <v>5282</v>
      </c>
      <c r="X271" t="s">
        <v>5283</v>
      </c>
      <c r="Y271" t="s">
        <v>5284</v>
      </c>
      <c r="Z271" t="s">
        <v>5285</v>
      </c>
      <c r="AA271" t="s">
        <v>74</v>
      </c>
      <c r="AB271" t="s">
        <v>5286</v>
      </c>
      <c r="AC271" t="s">
        <v>5287</v>
      </c>
      <c r="AD271" t="s">
        <v>5288</v>
      </c>
      <c r="AE271" t="s">
        <v>5289</v>
      </c>
      <c r="AF271" t="s">
        <v>74</v>
      </c>
      <c r="AG271">
        <v>39</v>
      </c>
      <c r="AH271">
        <v>0</v>
      </c>
      <c r="AI271">
        <v>0</v>
      </c>
      <c r="AJ271">
        <v>5</v>
      </c>
      <c r="AK271">
        <v>5</v>
      </c>
      <c r="AL271" t="s">
        <v>1901</v>
      </c>
      <c r="AM271" t="s">
        <v>995</v>
      </c>
      <c r="AN271" t="s">
        <v>1902</v>
      </c>
      <c r="AO271" t="s">
        <v>5290</v>
      </c>
      <c r="AP271" t="s">
        <v>5291</v>
      </c>
      <c r="AQ271" t="s">
        <v>74</v>
      </c>
      <c r="AR271" t="s">
        <v>5278</v>
      </c>
      <c r="AS271" t="s">
        <v>5292</v>
      </c>
      <c r="AT271" t="s">
        <v>5293</v>
      </c>
      <c r="AU271">
        <v>2024</v>
      </c>
      <c r="AV271">
        <v>103</v>
      </c>
      <c r="AW271">
        <v>34</v>
      </c>
      <c r="AX271" t="s">
        <v>74</v>
      </c>
      <c r="AY271" t="s">
        <v>74</v>
      </c>
      <c r="AZ271" t="s">
        <v>74</v>
      </c>
      <c r="BA271" t="s">
        <v>74</v>
      </c>
      <c r="BB271" t="s">
        <v>74</v>
      </c>
      <c r="BC271" t="s">
        <v>74</v>
      </c>
      <c r="BD271" t="s">
        <v>5294</v>
      </c>
      <c r="BE271" t="s">
        <v>5295</v>
      </c>
      <c r="BF271" t="str">
        <f>HYPERLINK("http://dx.doi.org/10.1097/MD.0000000000039330","http://dx.doi.org/10.1097/MD.0000000000039330")</f>
        <v>http://dx.doi.org/10.1097/MD.0000000000039330</v>
      </c>
      <c r="BG271" t="s">
        <v>74</v>
      </c>
      <c r="BH271" t="s">
        <v>74</v>
      </c>
      <c r="BI271">
        <v>8</v>
      </c>
      <c r="BJ271" t="s">
        <v>811</v>
      </c>
      <c r="BK271" t="s">
        <v>209</v>
      </c>
      <c r="BL271" t="s">
        <v>812</v>
      </c>
      <c r="BM271" t="s">
        <v>5296</v>
      </c>
      <c r="BN271">
        <v>39183399</v>
      </c>
      <c r="BO271" t="s">
        <v>235</v>
      </c>
      <c r="BP271" t="s">
        <v>74</v>
      </c>
      <c r="BQ271" t="s">
        <v>74</v>
      </c>
      <c r="BR271" t="s">
        <v>102</v>
      </c>
      <c r="BS271" t="s">
        <v>5297</v>
      </c>
      <c r="BT271" t="str">
        <f>HYPERLINK("https%3A%2F%2Fwww.webofscience.com%2Fwos%2Fwoscc%2Ffull-record%2FWOS:001298069900053","View Full Record in Web of Science")</f>
        <v>View Full Record in Web of Science</v>
      </c>
    </row>
    <row r="272" spans="1:72" x14ac:dyDescent="0.35">
      <c r="A272" t="s">
        <v>72</v>
      </c>
      <c r="B272" t="s">
        <v>5298</v>
      </c>
      <c r="C272" t="s">
        <v>74</v>
      </c>
      <c r="D272" t="s">
        <v>74</v>
      </c>
      <c r="E272" t="s">
        <v>74</v>
      </c>
      <c r="F272" t="s">
        <v>5299</v>
      </c>
      <c r="G272" t="s">
        <v>74</v>
      </c>
      <c r="H272" t="s">
        <v>74</v>
      </c>
      <c r="I272" t="s">
        <v>5300</v>
      </c>
      <c r="J272" t="s">
        <v>5301</v>
      </c>
      <c r="K272" t="s">
        <v>74</v>
      </c>
      <c r="L272" t="s">
        <v>74</v>
      </c>
      <c r="M272" t="s">
        <v>78</v>
      </c>
      <c r="N272" t="s">
        <v>108</v>
      </c>
      <c r="O272" t="s">
        <v>74</v>
      </c>
      <c r="P272" t="s">
        <v>74</v>
      </c>
      <c r="Q272" t="s">
        <v>74</v>
      </c>
      <c r="R272" t="s">
        <v>74</v>
      </c>
      <c r="S272" t="s">
        <v>74</v>
      </c>
      <c r="T272" t="s">
        <v>5302</v>
      </c>
      <c r="U272" t="s">
        <v>5303</v>
      </c>
      <c r="V272" t="s">
        <v>5304</v>
      </c>
      <c r="W272" t="s">
        <v>5305</v>
      </c>
      <c r="X272" t="s">
        <v>5306</v>
      </c>
      <c r="Y272" t="s">
        <v>5307</v>
      </c>
      <c r="Z272" t="s">
        <v>5308</v>
      </c>
      <c r="AA272" t="s">
        <v>5309</v>
      </c>
      <c r="AB272" t="s">
        <v>5310</v>
      </c>
      <c r="AC272" t="s">
        <v>74</v>
      </c>
      <c r="AD272" t="s">
        <v>74</v>
      </c>
      <c r="AE272" t="s">
        <v>74</v>
      </c>
      <c r="AF272" t="s">
        <v>74</v>
      </c>
      <c r="AG272">
        <v>64</v>
      </c>
      <c r="AH272">
        <v>48</v>
      </c>
      <c r="AI272">
        <v>52</v>
      </c>
      <c r="AJ272">
        <v>8</v>
      </c>
      <c r="AK272">
        <v>53</v>
      </c>
      <c r="AL272" t="s">
        <v>171</v>
      </c>
      <c r="AM272" t="s">
        <v>172</v>
      </c>
      <c r="AN272" t="s">
        <v>173</v>
      </c>
      <c r="AO272" t="s">
        <v>5311</v>
      </c>
      <c r="AP272" t="s">
        <v>5312</v>
      </c>
      <c r="AQ272" t="s">
        <v>74</v>
      </c>
      <c r="AR272" t="s">
        <v>5313</v>
      </c>
      <c r="AS272" t="s">
        <v>5314</v>
      </c>
      <c r="AT272" t="s">
        <v>745</v>
      </c>
      <c r="AU272">
        <v>2021</v>
      </c>
      <c r="AV272">
        <v>65</v>
      </c>
      <c r="AW272">
        <v>5</v>
      </c>
      <c r="AX272" t="s">
        <v>74</v>
      </c>
      <c r="AY272" t="s">
        <v>74</v>
      </c>
      <c r="AZ272" t="s">
        <v>456</v>
      </c>
      <c r="BA272" t="s">
        <v>74</v>
      </c>
      <c r="BB272">
        <v>712</v>
      </c>
      <c r="BC272">
        <v>734</v>
      </c>
      <c r="BD272">
        <v>2764221989769</v>
      </c>
      <c r="BE272" t="s">
        <v>5315</v>
      </c>
      <c r="BF272" t="str">
        <f>HYPERLINK("http://dx.doi.org/10.1177/0002764221989769","http://dx.doi.org/10.1177/0002764221989769")</f>
        <v>http://dx.doi.org/10.1177/0002764221989769</v>
      </c>
      <c r="BG272" t="s">
        <v>74</v>
      </c>
      <c r="BH272" t="s">
        <v>5316</v>
      </c>
      <c r="BI272">
        <v>23</v>
      </c>
      <c r="BJ272" t="s">
        <v>1029</v>
      </c>
      <c r="BK272" t="s">
        <v>99</v>
      </c>
      <c r="BL272" t="s">
        <v>1030</v>
      </c>
      <c r="BM272" t="s">
        <v>5317</v>
      </c>
      <c r="BN272" t="s">
        <v>74</v>
      </c>
      <c r="BO272" t="s">
        <v>2194</v>
      </c>
      <c r="BP272" t="s">
        <v>74</v>
      </c>
      <c r="BQ272" t="s">
        <v>74</v>
      </c>
      <c r="BR272" t="s">
        <v>102</v>
      </c>
      <c r="BS272" t="s">
        <v>5318</v>
      </c>
      <c r="BT272" t="str">
        <f>HYPERLINK("https%3A%2F%2Fwww.webofscience.com%2Fwos%2Fwoscc%2Ffull-record%2FWOS:000631210500001","View Full Record in Web of Science")</f>
        <v>View Full Record in Web of Science</v>
      </c>
    </row>
    <row r="273" spans="1:72" x14ac:dyDescent="0.35">
      <c r="A273" t="s">
        <v>72</v>
      </c>
      <c r="B273" t="s">
        <v>5319</v>
      </c>
      <c r="C273" t="s">
        <v>74</v>
      </c>
      <c r="D273" t="s">
        <v>74</v>
      </c>
      <c r="E273" t="s">
        <v>74</v>
      </c>
      <c r="F273" t="s">
        <v>5320</v>
      </c>
      <c r="G273" t="s">
        <v>74</v>
      </c>
      <c r="H273" t="s">
        <v>74</v>
      </c>
      <c r="I273" t="s">
        <v>5321</v>
      </c>
      <c r="J273" t="s">
        <v>5322</v>
      </c>
      <c r="K273" t="s">
        <v>74</v>
      </c>
      <c r="L273" t="s">
        <v>74</v>
      </c>
      <c r="M273" t="s">
        <v>78</v>
      </c>
      <c r="N273" t="s">
        <v>108</v>
      </c>
      <c r="O273" t="s">
        <v>74</v>
      </c>
      <c r="P273" t="s">
        <v>74</v>
      </c>
      <c r="Q273" t="s">
        <v>74</v>
      </c>
      <c r="R273" t="s">
        <v>74</v>
      </c>
      <c r="S273" t="s">
        <v>74</v>
      </c>
      <c r="T273" t="s">
        <v>74</v>
      </c>
      <c r="U273" t="s">
        <v>5323</v>
      </c>
      <c r="V273" t="s">
        <v>5324</v>
      </c>
      <c r="W273" t="s">
        <v>5325</v>
      </c>
      <c r="X273" t="s">
        <v>5326</v>
      </c>
      <c r="Y273" t="s">
        <v>5327</v>
      </c>
      <c r="Z273" t="s">
        <v>5328</v>
      </c>
      <c r="AA273" t="s">
        <v>74</v>
      </c>
      <c r="AB273" t="s">
        <v>74</v>
      </c>
      <c r="AC273" t="s">
        <v>74</v>
      </c>
      <c r="AD273" t="s">
        <v>74</v>
      </c>
      <c r="AE273" t="s">
        <v>74</v>
      </c>
      <c r="AF273" t="s">
        <v>74</v>
      </c>
      <c r="AG273">
        <v>9</v>
      </c>
      <c r="AH273">
        <v>1</v>
      </c>
      <c r="AI273">
        <v>1</v>
      </c>
      <c r="AJ273">
        <v>0</v>
      </c>
      <c r="AK273">
        <v>4</v>
      </c>
      <c r="AL273" t="s">
        <v>5322</v>
      </c>
      <c r="AM273" t="s">
        <v>666</v>
      </c>
      <c r="AN273" t="s">
        <v>5329</v>
      </c>
      <c r="AO273" t="s">
        <v>5330</v>
      </c>
      <c r="AP273" t="s">
        <v>74</v>
      </c>
      <c r="AQ273" t="s">
        <v>74</v>
      </c>
      <c r="AR273" t="s">
        <v>5331</v>
      </c>
      <c r="AS273" t="s">
        <v>5332</v>
      </c>
      <c r="AT273" t="s">
        <v>273</v>
      </c>
      <c r="AU273">
        <v>2022</v>
      </c>
      <c r="AV273">
        <v>21</v>
      </c>
      <c r="AW273">
        <v>7</v>
      </c>
      <c r="AX273" t="s">
        <v>74</v>
      </c>
      <c r="AY273" t="s">
        <v>74</v>
      </c>
      <c r="AZ273" t="s">
        <v>74</v>
      </c>
      <c r="BA273" t="s">
        <v>74</v>
      </c>
      <c r="BB273">
        <v>718</v>
      </c>
      <c r="BC273">
        <v>722</v>
      </c>
      <c r="BD273" t="s">
        <v>74</v>
      </c>
      <c r="BE273" t="s">
        <v>5333</v>
      </c>
      <c r="BF273" t="str">
        <f>HYPERLINK("http://dx.doi.org/10.36849/100.6784","http://dx.doi.org/10.36849/100.6784")</f>
        <v>http://dx.doi.org/10.36849/100.6784</v>
      </c>
      <c r="BG273" t="s">
        <v>74</v>
      </c>
      <c r="BH273" t="s">
        <v>74</v>
      </c>
      <c r="BI273">
        <v>5</v>
      </c>
      <c r="BJ273" t="s">
        <v>1341</v>
      </c>
      <c r="BK273" t="s">
        <v>209</v>
      </c>
      <c r="BL273" t="s">
        <v>1341</v>
      </c>
      <c r="BM273" t="s">
        <v>5334</v>
      </c>
      <c r="BN273">
        <v>35816063</v>
      </c>
      <c r="BO273" t="s">
        <v>74</v>
      </c>
      <c r="BP273" t="s">
        <v>74</v>
      </c>
      <c r="BQ273" t="s">
        <v>74</v>
      </c>
      <c r="BR273" t="s">
        <v>102</v>
      </c>
      <c r="BS273" t="s">
        <v>5335</v>
      </c>
      <c r="BT273" t="str">
        <f>HYPERLINK("https%3A%2F%2Fwww.webofscience.com%2Fwos%2Fwoscc%2Ffull-record%2FWOS:000827133500003","View Full Record in Web of Science")</f>
        <v>View Full Record in Web of Science</v>
      </c>
    </row>
    <row r="274" spans="1:72" x14ac:dyDescent="0.35">
      <c r="A274" t="s">
        <v>72</v>
      </c>
      <c r="B274" t="s">
        <v>5336</v>
      </c>
      <c r="C274" t="s">
        <v>74</v>
      </c>
      <c r="D274" t="s">
        <v>74</v>
      </c>
      <c r="E274" t="s">
        <v>74</v>
      </c>
      <c r="F274" t="s">
        <v>5337</v>
      </c>
      <c r="G274" t="s">
        <v>74</v>
      </c>
      <c r="H274" t="s">
        <v>74</v>
      </c>
      <c r="I274" t="s">
        <v>5338</v>
      </c>
      <c r="J274" t="s">
        <v>5339</v>
      </c>
      <c r="K274" t="s">
        <v>74</v>
      </c>
      <c r="L274" t="s">
        <v>74</v>
      </c>
      <c r="M274" t="s">
        <v>78</v>
      </c>
      <c r="N274" t="s">
        <v>108</v>
      </c>
      <c r="O274" t="s">
        <v>74</v>
      </c>
      <c r="P274" t="s">
        <v>74</v>
      </c>
      <c r="Q274" t="s">
        <v>74</v>
      </c>
      <c r="R274" t="s">
        <v>74</v>
      </c>
      <c r="S274" t="s">
        <v>74</v>
      </c>
      <c r="T274" t="s">
        <v>5340</v>
      </c>
      <c r="U274" t="s">
        <v>5341</v>
      </c>
      <c r="V274" t="s">
        <v>5342</v>
      </c>
      <c r="W274" t="s">
        <v>5343</v>
      </c>
      <c r="X274" t="s">
        <v>5344</v>
      </c>
      <c r="Y274" t="s">
        <v>5345</v>
      </c>
      <c r="Z274" t="s">
        <v>5346</v>
      </c>
      <c r="AA274" t="s">
        <v>5347</v>
      </c>
      <c r="AB274" t="s">
        <v>5348</v>
      </c>
      <c r="AC274" t="s">
        <v>74</v>
      </c>
      <c r="AD274" t="s">
        <v>74</v>
      </c>
      <c r="AE274" t="s">
        <v>74</v>
      </c>
      <c r="AF274" t="s">
        <v>74</v>
      </c>
      <c r="AG274">
        <v>67</v>
      </c>
      <c r="AH274">
        <v>0</v>
      </c>
      <c r="AI274">
        <v>0</v>
      </c>
      <c r="AJ274">
        <v>26</v>
      </c>
      <c r="AK274">
        <v>26</v>
      </c>
      <c r="AL274" t="s">
        <v>5349</v>
      </c>
      <c r="AM274" t="s">
        <v>5350</v>
      </c>
      <c r="AN274" t="s">
        <v>5351</v>
      </c>
      <c r="AO274" t="s">
        <v>74</v>
      </c>
      <c r="AP274" t="s">
        <v>5352</v>
      </c>
      <c r="AQ274" t="s">
        <v>74</v>
      </c>
      <c r="AR274" t="s">
        <v>5353</v>
      </c>
      <c r="AS274" t="s">
        <v>5354</v>
      </c>
      <c r="AT274" t="s">
        <v>74</v>
      </c>
      <c r="AU274">
        <v>2024</v>
      </c>
      <c r="AV274">
        <v>6</v>
      </c>
      <c r="AW274">
        <v>2</v>
      </c>
      <c r="AX274" t="s">
        <v>74</v>
      </c>
      <c r="AY274" t="s">
        <v>74</v>
      </c>
      <c r="AZ274" t="s">
        <v>74</v>
      </c>
      <c r="BA274" t="s">
        <v>74</v>
      </c>
      <c r="BB274">
        <v>121</v>
      </c>
      <c r="BC274">
        <v>137</v>
      </c>
      <c r="BD274" t="s">
        <v>74</v>
      </c>
      <c r="BE274" t="s">
        <v>5355</v>
      </c>
      <c r="BF274" t="str">
        <f>HYPERLINK("http://dx.doi.org/10.46539/gmd.v6i2.467","http://dx.doi.org/10.46539/gmd.v6i2.467")</f>
        <v>http://dx.doi.org/10.46539/gmd.v6i2.467</v>
      </c>
      <c r="BG274" t="s">
        <v>74</v>
      </c>
      <c r="BH274" t="s">
        <v>74</v>
      </c>
      <c r="BI274">
        <v>17</v>
      </c>
      <c r="BJ274" t="s">
        <v>124</v>
      </c>
      <c r="BK274" t="s">
        <v>125</v>
      </c>
      <c r="BL274" t="s">
        <v>124</v>
      </c>
      <c r="BM274" t="s">
        <v>5356</v>
      </c>
      <c r="BN274" t="s">
        <v>74</v>
      </c>
      <c r="BO274" t="s">
        <v>235</v>
      </c>
      <c r="BP274" t="s">
        <v>74</v>
      </c>
      <c r="BQ274" t="s">
        <v>74</v>
      </c>
      <c r="BR274" t="s">
        <v>102</v>
      </c>
      <c r="BS274" t="s">
        <v>5357</v>
      </c>
      <c r="BT274" t="str">
        <f>HYPERLINK("https%3A%2F%2Fwww.webofscience.com%2Fwos%2Fwoscc%2Ffull-record%2FWOS:001239311400001","View Full Record in Web of Science")</f>
        <v>View Full Record in Web of Science</v>
      </c>
    </row>
    <row r="275" spans="1:72" x14ac:dyDescent="0.35">
      <c r="A275" t="s">
        <v>72</v>
      </c>
      <c r="B275" t="s">
        <v>5358</v>
      </c>
      <c r="C275" t="s">
        <v>74</v>
      </c>
      <c r="D275" t="s">
        <v>74</v>
      </c>
      <c r="E275" t="s">
        <v>74</v>
      </c>
      <c r="F275" t="s">
        <v>5359</v>
      </c>
      <c r="G275" t="s">
        <v>74</v>
      </c>
      <c r="H275" t="s">
        <v>74</v>
      </c>
      <c r="I275" t="s">
        <v>5360</v>
      </c>
      <c r="J275" t="s">
        <v>5361</v>
      </c>
      <c r="K275" t="s">
        <v>74</v>
      </c>
      <c r="L275" t="s">
        <v>74</v>
      </c>
      <c r="M275" t="s">
        <v>78</v>
      </c>
      <c r="N275" t="s">
        <v>108</v>
      </c>
      <c r="O275" t="s">
        <v>74</v>
      </c>
      <c r="P275" t="s">
        <v>74</v>
      </c>
      <c r="Q275" t="s">
        <v>74</v>
      </c>
      <c r="R275" t="s">
        <v>74</v>
      </c>
      <c r="S275" t="s">
        <v>74</v>
      </c>
      <c r="T275" t="s">
        <v>5362</v>
      </c>
      <c r="U275" t="s">
        <v>5363</v>
      </c>
      <c r="V275" t="s">
        <v>5364</v>
      </c>
      <c r="W275" t="s">
        <v>5365</v>
      </c>
      <c r="X275" t="s">
        <v>5366</v>
      </c>
      <c r="Y275" t="s">
        <v>5367</v>
      </c>
      <c r="Z275" t="s">
        <v>5368</v>
      </c>
      <c r="AA275" t="s">
        <v>5369</v>
      </c>
      <c r="AB275" t="s">
        <v>74</v>
      </c>
      <c r="AC275" t="s">
        <v>74</v>
      </c>
      <c r="AD275" t="s">
        <v>74</v>
      </c>
      <c r="AE275" t="s">
        <v>74</v>
      </c>
      <c r="AF275" t="s">
        <v>74</v>
      </c>
      <c r="AG275">
        <v>63</v>
      </c>
      <c r="AH275">
        <v>37</v>
      </c>
      <c r="AI275">
        <v>38</v>
      </c>
      <c r="AJ275">
        <v>106</v>
      </c>
      <c r="AK275">
        <v>139</v>
      </c>
      <c r="AL275" t="s">
        <v>1965</v>
      </c>
      <c r="AM275" t="s">
        <v>666</v>
      </c>
      <c r="AN275" t="s">
        <v>1966</v>
      </c>
      <c r="AO275" t="s">
        <v>5370</v>
      </c>
      <c r="AP275" t="s">
        <v>5371</v>
      </c>
      <c r="AQ275" t="s">
        <v>74</v>
      </c>
      <c r="AR275" t="s">
        <v>5372</v>
      </c>
      <c r="AS275" t="s">
        <v>5373</v>
      </c>
      <c r="AT275" t="s">
        <v>1484</v>
      </c>
      <c r="AU275">
        <v>2024</v>
      </c>
      <c r="AV275">
        <v>200</v>
      </c>
      <c r="AW275" t="s">
        <v>74</v>
      </c>
      <c r="AX275" t="s">
        <v>74</v>
      </c>
      <c r="AY275" t="s">
        <v>74</v>
      </c>
      <c r="AZ275" t="s">
        <v>74</v>
      </c>
      <c r="BA275" t="s">
        <v>74</v>
      </c>
      <c r="BB275" t="s">
        <v>74</v>
      </c>
      <c r="BC275" t="s">
        <v>74</v>
      </c>
      <c r="BD275">
        <v>123197</v>
      </c>
      <c r="BE275" t="s">
        <v>5374</v>
      </c>
      <c r="BF275" t="str">
        <f>HYPERLINK("http://dx.doi.org/10.1016/j.techfore.2023.123197","http://dx.doi.org/10.1016/j.techfore.2023.123197")</f>
        <v>http://dx.doi.org/10.1016/j.techfore.2023.123197</v>
      </c>
      <c r="BG275" t="s">
        <v>74</v>
      </c>
      <c r="BH275" t="s">
        <v>1377</v>
      </c>
      <c r="BI275">
        <v>25</v>
      </c>
      <c r="BJ275" t="s">
        <v>5375</v>
      </c>
      <c r="BK275" t="s">
        <v>99</v>
      </c>
      <c r="BL275" t="s">
        <v>5376</v>
      </c>
      <c r="BM275" t="s">
        <v>5377</v>
      </c>
      <c r="BN275" t="s">
        <v>74</v>
      </c>
      <c r="BO275" t="s">
        <v>74</v>
      </c>
      <c r="BP275" t="s">
        <v>395</v>
      </c>
      <c r="BQ275" t="s">
        <v>396</v>
      </c>
      <c r="BR275" t="s">
        <v>102</v>
      </c>
      <c r="BS275" t="s">
        <v>5378</v>
      </c>
      <c r="BT275" t="str">
        <f>HYPERLINK("https%3A%2F%2Fwww.webofscience.com%2Fwos%2Fwoscc%2Ffull-record%2FWOS:001158158900001","View Full Record in Web of Science")</f>
        <v>View Full Record in Web of Science</v>
      </c>
    </row>
    <row r="276" spans="1:72" x14ac:dyDescent="0.35">
      <c r="A276" t="s">
        <v>128</v>
      </c>
      <c r="B276" t="s">
        <v>5379</v>
      </c>
      <c r="C276" t="s">
        <v>74</v>
      </c>
      <c r="D276" t="s">
        <v>74</v>
      </c>
      <c r="E276" t="s">
        <v>5380</v>
      </c>
      <c r="F276" t="s">
        <v>5381</v>
      </c>
      <c r="G276" t="s">
        <v>74</v>
      </c>
      <c r="H276" t="s">
        <v>74</v>
      </c>
      <c r="I276" t="s">
        <v>5382</v>
      </c>
      <c r="J276" t="s">
        <v>5383</v>
      </c>
      <c r="K276" t="s">
        <v>74</v>
      </c>
      <c r="L276" t="s">
        <v>74</v>
      </c>
      <c r="M276" t="s">
        <v>78</v>
      </c>
      <c r="N276" t="s">
        <v>135</v>
      </c>
      <c r="O276" t="s">
        <v>5384</v>
      </c>
      <c r="P276" t="s">
        <v>5385</v>
      </c>
      <c r="Q276" t="s">
        <v>5386</v>
      </c>
      <c r="R276" t="s">
        <v>5387</v>
      </c>
      <c r="S276" t="s">
        <v>74</v>
      </c>
      <c r="T276" t="s">
        <v>74</v>
      </c>
      <c r="U276" t="s">
        <v>795</v>
      </c>
      <c r="V276" t="s">
        <v>5388</v>
      </c>
      <c r="W276" t="s">
        <v>5389</v>
      </c>
      <c r="X276" t="s">
        <v>5390</v>
      </c>
      <c r="Y276" t="s">
        <v>5391</v>
      </c>
      <c r="Z276" t="s">
        <v>5392</v>
      </c>
      <c r="AA276" t="s">
        <v>74</v>
      </c>
      <c r="AB276" t="s">
        <v>74</v>
      </c>
      <c r="AC276" t="s">
        <v>5393</v>
      </c>
      <c r="AD276" t="s">
        <v>5394</v>
      </c>
      <c r="AE276" t="s">
        <v>5395</v>
      </c>
      <c r="AF276" t="s">
        <v>74</v>
      </c>
      <c r="AG276">
        <v>68</v>
      </c>
      <c r="AH276">
        <v>6</v>
      </c>
      <c r="AI276">
        <v>8</v>
      </c>
      <c r="AJ276">
        <v>0</v>
      </c>
      <c r="AK276">
        <v>0</v>
      </c>
      <c r="AL276" t="s">
        <v>5380</v>
      </c>
      <c r="AM276" t="s">
        <v>5396</v>
      </c>
      <c r="AN276" t="s">
        <v>5397</v>
      </c>
      <c r="AO276" t="s">
        <v>74</v>
      </c>
      <c r="AP276" t="s">
        <v>74</v>
      </c>
      <c r="AQ276" t="s">
        <v>5398</v>
      </c>
      <c r="AR276" t="s">
        <v>74</v>
      </c>
      <c r="AS276" t="s">
        <v>74</v>
      </c>
      <c r="AT276" t="s">
        <v>74</v>
      </c>
      <c r="AU276">
        <v>2022</v>
      </c>
      <c r="AV276" t="s">
        <v>74</v>
      </c>
      <c r="AW276" t="s">
        <v>74</v>
      </c>
      <c r="AX276" t="s">
        <v>74</v>
      </c>
      <c r="AY276" t="s">
        <v>74</v>
      </c>
      <c r="AZ276" t="s">
        <v>74</v>
      </c>
      <c r="BA276" t="s">
        <v>74</v>
      </c>
      <c r="BB276">
        <v>447</v>
      </c>
      <c r="BC276">
        <v>462</v>
      </c>
      <c r="BD276" t="s">
        <v>74</v>
      </c>
      <c r="BE276" t="s">
        <v>74</v>
      </c>
      <c r="BF276" t="s">
        <v>74</v>
      </c>
      <c r="BG276" t="s">
        <v>74</v>
      </c>
      <c r="BH276" t="s">
        <v>74</v>
      </c>
      <c r="BI276">
        <v>16</v>
      </c>
      <c r="BJ276" t="s">
        <v>5399</v>
      </c>
      <c r="BK276" t="s">
        <v>723</v>
      </c>
      <c r="BL276" t="s">
        <v>210</v>
      </c>
      <c r="BM276" t="s">
        <v>5400</v>
      </c>
      <c r="BN276" t="s">
        <v>74</v>
      </c>
      <c r="BO276" t="s">
        <v>74</v>
      </c>
      <c r="BP276" t="s">
        <v>74</v>
      </c>
      <c r="BQ276" t="s">
        <v>74</v>
      </c>
      <c r="BR276" t="s">
        <v>102</v>
      </c>
      <c r="BS276" t="s">
        <v>5401</v>
      </c>
      <c r="BT276" t="str">
        <f>HYPERLINK("https%3A%2F%2Fwww.webofscience.com%2Fwos%2Fwoscc%2Ffull-record%2FWOS:001307755600024","View Full Record in Web of Science")</f>
        <v>View Full Record in Web of Science</v>
      </c>
    </row>
    <row r="277" spans="1:72" x14ac:dyDescent="0.35">
      <c r="A277" t="s">
        <v>72</v>
      </c>
      <c r="B277" t="s">
        <v>5402</v>
      </c>
      <c r="C277" t="s">
        <v>74</v>
      </c>
      <c r="D277" t="s">
        <v>74</v>
      </c>
      <c r="E277" t="s">
        <v>74</v>
      </c>
      <c r="F277" t="s">
        <v>5403</v>
      </c>
      <c r="G277" t="s">
        <v>74</v>
      </c>
      <c r="H277" t="s">
        <v>74</v>
      </c>
      <c r="I277" t="s">
        <v>5404</v>
      </c>
      <c r="J277" t="s">
        <v>5405</v>
      </c>
      <c r="K277" t="s">
        <v>74</v>
      </c>
      <c r="L277" t="s">
        <v>74</v>
      </c>
      <c r="M277" t="s">
        <v>78</v>
      </c>
      <c r="N277" t="s">
        <v>108</v>
      </c>
      <c r="O277" t="s">
        <v>74</v>
      </c>
      <c r="P277" t="s">
        <v>74</v>
      </c>
      <c r="Q277" t="s">
        <v>74</v>
      </c>
      <c r="R277" t="s">
        <v>74</v>
      </c>
      <c r="S277" t="s">
        <v>74</v>
      </c>
      <c r="T277" t="s">
        <v>5406</v>
      </c>
      <c r="U277" t="s">
        <v>5407</v>
      </c>
      <c r="V277" t="s">
        <v>5408</v>
      </c>
      <c r="W277" t="s">
        <v>5409</v>
      </c>
      <c r="X277" t="s">
        <v>5410</v>
      </c>
      <c r="Y277" t="s">
        <v>5411</v>
      </c>
      <c r="Z277" t="s">
        <v>5412</v>
      </c>
      <c r="AA277" t="s">
        <v>5413</v>
      </c>
      <c r="AB277" t="s">
        <v>5414</v>
      </c>
      <c r="AC277" t="s">
        <v>74</v>
      </c>
      <c r="AD277" t="s">
        <v>74</v>
      </c>
      <c r="AE277" t="s">
        <v>74</v>
      </c>
      <c r="AF277" t="s">
        <v>74</v>
      </c>
      <c r="AG277">
        <v>54</v>
      </c>
      <c r="AH277">
        <v>0</v>
      </c>
      <c r="AI277">
        <v>0</v>
      </c>
      <c r="AJ277">
        <v>8</v>
      </c>
      <c r="AK277">
        <v>8</v>
      </c>
      <c r="AL277" t="s">
        <v>171</v>
      </c>
      <c r="AM277" t="s">
        <v>172</v>
      </c>
      <c r="AN277" t="s">
        <v>173</v>
      </c>
      <c r="AO277" t="s">
        <v>5415</v>
      </c>
      <c r="AP277" t="s">
        <v>5416</v>
      </c>
      <c r="AQ277" t="s">
        <v>74</v>
      </c>
      <c r="AR277" t="s">
        <v>5417</v>
      </c>
      <c r="AS277" t="s">
        <v>5418</v>
      </c>
      <c r="AT277" t="s">
        <v>297</v>
      </c>
      <c r="AU277">
        <v>2024</v>
      </c>
      <c r="AV277">
        <v>59</v>
      </c>
      <c r="AW277">
        <v>2</v>
      </c>
      <c r="AX277" t="s">
        <v>74</v>
      </c>
      <c r="AY277" t="s">
        <v>74</v>
      </c>
      <c r="AZ277" t="s">
        <v>74</v>
      </c>
      <c r="BA277" t="s">
        <v>74</v>
      </c>
      <c r="BB277">
        <v>254</v>
      </c>
      <c r="BC277">
        <v>278</v>
      </c>
      <c r="BD277" t="s">
        <v>74</v>
      </c>
      <c r="BE277" t="s">
        <v>5419</v>
      </c>
      <c r="BF277" t="str">
        <f>HYPERLINK("http://dx.doi.org/10.1177/00020397241241335","http://dx.doi.org/10.1177/00020397241241335")</f>
        <v>http://dx.doi.org/10.1177/00020397241241335</v>
      </c>
      <c r="BG277" t="s">
        <v>74</v>
      </c>
      <c r="BH277" t="s">
        <v>74</v>
      </c>
      <c r="BI277">
        <v>25</v>
      </c>
      <c r="BJ277" t="s">
        <v>5420</v>
      </c>
      <c r="BK277" t="s">
        <v>99</v>
      </c>
      <c r="BL277" t="s">
        <v>5420</v>
      </c>
      <c r="BM277" t="s">
        <v>5421</v>
      </c>
      <c r="BN277" t="s">
        <v>74</v>
      </c>
      <c r="BO277" t="s">
        <v>235</v>
      </c>
      <c r="BP277" t="s">
        <v>74</v>
      </c>
      <c r="BQ277" t="s">
        <v>74</v>
      </c>
      <c r="BR277" t="s">
        <v>102</v>
      </c>
      <c r="BS277" t="s">
        <v>5422</v>
      </c>
      <c r="BT277" t="str">
        <f>HYPERLINK("https%3A%2F%2Fwww.webofscience.com%2Fwos%2Fwoscc%2Ffull-record%2FWOS:001291780000010","View Full Record in Web of Science")</f>
        <v>View Full Record in Web of Science</v>
      </c>
    </row>
    <row r="278" spans="1:72" x14ac:dyDescent="0.35">
      <c r="A278" t="s">
        <v>72</v>
      </c>
      <c r="B278" t="s">
        <v>5423</v>
      </c>
      <c r="C278" t="s">
        <v>74</v>
      </c>
      <c r="D278" t="s">
        <v>74</v>
      </c>
      <c r="E278" t="s">
        <v>74</v>
      </c>
      <c r="F278" t="s">
        <v>5424</v>
      </c>
      <c r="G278" t="s">
        <v>74</v>
      </c>
      <c r="H278" t="s">
        <v>74</v>
      </c>
      <c r="I278" t="s">
        <v>5425</v>
      </c>
      <c r="J278" t="s">
        <v>5426</v>
      </c>
      <c r="K278" t="s">
        <v>74</v>
      </c>
      <c r="L278" t="s">
        <v>74</v>
      </c>
      <c r="M278" t="s">
        <v>78</v>
      </c>
      <c r="N278" t="s">
        <v>108</v>
      </c>
      <c r="O278" t="s">
        <v>74</v>
      </c>
      <c r="P278" t="s">
        <v>74</v>
      </c>
      <c r="Q278" t="s">
        <v>74</v>
      </c>
      <c r="R278" t="s">
        <v>74</v>
      </c>
      <c r="S278" t="s">
        <v>74</v>
      </c>
      <c r="T278" t="s">
        <v>5427</v>
      </c>
      <c r="U278" t="s">
        <v>5428</v>
      </c>
      <c r="V278" t="s">
        <v>5429</v>
      </c>
      <c r="W278" t="s">
        <v>5430</v>
      </c>
      <c r="X278" t="s">
        <v>3779</v>
      </c>
      <c r="Y278" t="s">
        <v>5431</v>
      </c>
      <c r="Z278" t="s">
        <v>5432</v>
      </c>
      <c r="AA278" t="s">
        <v>5433</v>
      </c>
      <c r="AB278" t="s">
        <v>5434</v>
      </c>
      <c r="AC278" t="s">
        <v>74</v>
      </c>
      <c r="AD278" t="s">
        <v>74</v>
      </c>
      <c r="AE278" t="s">
        <v>74</v>
      </c>
      <c r="AF278" t="s">
        <v>74</v>
      </c>
      <c r="AG278">
        <v>74</v>
      </c>
      <c r="AH278">
        <v>0</v>
      </c>
      <c r="AI278">
        <v>0</v>
      </c>
      <c r="AJ278">
        <v>8</v>
      </c>
      <c r="AK278">
        <v>8</v>
      </c>
      <c r="AL278" t="s">
        <v>516</v>
      </c>
      <c r="AM278" t="s">
        <v>517</v>
      </c>
      <c r="AN278" t="s">
        <v>518</v>
      </c>
      <c r="AO278" t="s">
        <v>5435</v>
      </c>
      <c r="AP278" t="s">
        <v>74</v>
      </c>
      <c r="AQ278" t="s">
        <v>74</v>
      </c>
      <c r="AR278" t="s">
        <v>5436</v>
      </c>
      <c r="AS278" t="s">
        <v>5437</v>
      </c>
      <c r="AT278" t="s">
        <v>74</v>
      </c>
      <c r="AU278">
        <v>2024</v>
      </c>
      <c r="AV278">
        <v>7</v>
      </c>
      <c r="AW278" t="s">
        <v>74</v>
      </c>
      <c r="AX278" t="s">
        <v>74</v>
      </c>
      <c r="AY278" t="s">
        <v>74</v>
      </c>
      <c r="AZ278" t="s">
        <v>74</v>
      </c>
      <c r="BA278" t="s">
        <v>74</v>
      </c>
      <c r="BB278" t="s">
        <v>74</v>
      </c>
      <c r="BC278" t="s">
        <v>74</v>
      </c>
      <c r="BD278">
        <v>100156</v>
      </c>
      <c r="BE278" t="s">
        <v>5438</v>
      </c>
      <c r="BF278" t="str">
        <f>HYPERLINK("http://dx.doi.org/10.1016/j.crbeha.2024.100156","http://dx.doi.org/10.1016/j.crbeha.2024.100156")</f>
        <v>http://dx.doi.org/10.1016/j.crbeha.2024.100156</v>
      </c>
      <c r="BG278" t="s">
        <v>74</v>
      </c>
      <c r="BH278" t="s">
        <v>500</v>
      </c>
      <c r="BI278">
        <v>8</v>
      </c>
      <c r="BJ278" t="s">
        <v>5439</v>
      </c>
      <c r="BK278" t="s">
        <v>125</v>
      </c>
      <c r="BL278" t="s">
        <v>5439</v>
      </c>
      <c r="BM278" t="s">
        <v>5440</v>
      </c>
      <c r="BN278" t="s">
        <v>74</v>
      </c>
      <c r="BO278" t="s">
        <v>235</v>
      </c>
      <c r="BP278" t="s">
        <v>74</v>
      </c>
      <c r="BQ278" t="s">
        <v>74</v>
      </c>
      <c r="BR278" t="s">
        <v>102</v>
      </c>
      <c r="BS278" t="s">
        <v>5441</v>
      </c>
      <c r="BT278" t="str">
        <f>HYPERLINK("https%3A%2F%2Fwww.webofscience.com%2Fwos%2Fwoscc%2Ffull-record%2FWOS:001259464200001","View Full Record in Web of Science")</f>
        <v>View Full Record in Web of Science</v>
      </c>
    </row>
    <row r="279" spans="1:72" x14ac:dyDescent="0.35">
      <c r="A279" t="s">
        <v>72</v>
      </c>
      <c r="B279" t="s">
        <v>5442</v>
      </c>
      <c r="C279" t="s">
        <v>74</v>
      </c>
      <c r="D279" t="s">
        <v>74</v>
      </c>
      <c r="E279" t="s">
        <v>74</v>
      </c>
      <c r="F279" t="s">
        <v>5443</v>
      </c>
      <c r="G279" t="s">
        <v>74</v>
      </c>
      <c r="H279" t="s">
        <v>74</v>
      </c>
      <c r="I279" t="s">
        <v>5444</v>
      </c>
      <c r="J279" t="s">
        <v>5445</v>
      </c>
      <c r="K279" t="s">
        <v>74</v>
      </c>
      <c r="L279" t="s">
        <v>74</v>
      </c>
      <c r="M279" t="s">
        <v>78</v>
      </c>
      <c r="N279" t="s">
        <v>108</v>
      </c>
      <c r="O279" t="s">
        <v>74</v>
      </c>
      <c r="P279" t="s">
        <v>74</v>
      </c>
      <c r="Q279" t="s">
        <v>74</v>
      </c>
      <c r="R279" t="s">
        <v>74</v>
      </c>
      <c r="S279" t="s">
        <v>74</v>
      </c>
      <c r="T279" t="s">
        <v>5446</v>
      </c>
      <c r="U279" t="s">
        <v>5447</v>
      </c>
      <c r="V279" t="s">
        <v>5448</v>
      </c>
      <c r="W279" t="s">
        <v>5449</v>
      </c>
      <c r="X279" t="s">
        <v>5450</v>
      </c>
      <c r="Y279" t="s">
        <v>5451</v>
      </c>
      <c r="Z279" t="s">
        <v>5452</v>
      </c>
      <c r="AA279" t="s">
        <v>5453</v>
      </c>
      <c r="AB279" t="s">
        <v>74</v>
      </c>
      <c r="AC279" t="s">
        <v>74</v>
      </c>
      <c r="AD279" t="s">
        <v>74</v>
      </c>
      <c r="AE279" t="s">
        <v>74</v>
      </c>
      <c r="AF279" t="s">
        <v>74</v>
      </c>
      <c r="AG279">
        <v>32</v>
      </c>
      <c r="AH279">
        <v>0</v>
      </c>
      <c r="AI279">
        <v>0</v>
      </c>
      <c r="AJ279">
        <v>3</v>
      </c>
      <c r="AK279">
        <v>8</v>
      </c>
      <c r="AL279" t="s">
        <v>5454</v>
      </c>
      <c r="AM279" t="s">
        <v>5455</v>
      </c>
      <c r="AN279" t="s">
        <v>5456</v>
      </c>
      <c r="AO279" t="s">
        <v>5457</v>
      </c>
      <c r="AP279" t="s">
        <v>5458</v>
      </c>
      <c r="AQ279" t="s">
        <v>74</v>
      </c>
      <c r="AR279" t="s">
        <v>5459</v>
      </c>
      <c r="AS279" t="s">
        <v>5460</v>
      </c>
      <c r="AT279" t="s">
        <v>74</v>
      </c>
      <c r="AU279">
        <v>2023</v>
      </c>
      <c r="AV279" t="s">
        <v>74</v>
      </c>
      <c r="AW279">
        <v>3</v>
      </c>
      <c r="AX279" t="s">
        <v>74</v>
      </c>
      <c r="AY279" t="s">
        <v>74</v>
      </c>
      <c r="AZ279" t="s">
        <v>74</v>
      </c>
      <c r="BA279" t="s">
        <v>74</v>
      </c>
      <c r="BB279">
        <v>504</v>
      </c>
      <c r="BC279">
        <v>510</v>
      </c>
      <c r="BD279" t="s">
        <v>74</v>
      </c>
      <c r="BE279" t="s">
        <v>5461</v>
      </c>
      <c r="BF279" t="str">
        <f>HYPERLINK("http://dx.doi.org/10.13187/me.2023.3.504","http://dx.doi.org/10.13187/me.2023.3.504")</f>
        <v>http://dx.doi.org/10.13187/me.2023.3.504</v>
      </c>
      <c r="BG279" t="s">
        <v>74</v>
      </c>
      <c r="BH279" t="s">
        <v>74</v>
      </c>
      <c r="BI279">
        <v>7</v>
      </c>
      <c r="BJ279" t="s">
        <v>124</v>
      </c>
      <c r="BK279" t="s">
        <v>125</v>
      </c>
      <c r="BL279" t="s">
        <v>124</v>
      </c>
      <c r="BM279" t="s">
        <v>5462</v>
      </c>
      <c r="BN279" t="s">
        <v>74</v>
      </c>
      <c r="BO279" t="s">
        <v>767</v>
      </c>
      <c r="BP279" t="s">
        <v>74</v>
      </c>
      <c r="BQ279" t="s">
        <v>74</v>
      </c>
      <c r="BR279" t="s">
        <v>102</v>
      </c>
      <c r="BS279" t="s">
        <v>5463</v>
      </c>
      <c r="BT279" t="str">
        <f>HYPERLINK("https%3A%2F%2Fwww.webofscience.com%2Fwos%2Fwoscc%2Ffull-record%2FWOS:001096604000016","View Full Record in Web of Science")</f>
        <v>View Full Record in Web of Science</v>
      </c>
    </row>
    <row r="280" spans="1:72" x14ac:dyDescent="0.35">
      <c r="A280" t="s">
        <v>128</v>
      </c>
      <c r="B280" t="s">
        <v>5464</v>
      </c>
      <c r="C280" t="s">
        <v>74</v>
      </c>
      <c r="D280" t="s">
        <v>74</v>
      </c>
      <c r="E280" t="s">
        <v>702</v>
      </c>
      <c r="F280" t="s">
        <v>5465</v>
      </c>
      <c r="G280" t="s">
        <v>74</v>
      </c>
      <c r="H280" t="s">
        <v>74</v>
      </c>
      <c r="I280" t="s">
        <v>5466</v>
      </c>
      <c r="J280" t="s">
        <v>5467</v>
      </c>
      <c r="K280" t="s">
        <v>74</v>
      </c>
      <c r="L280" t="s">
        <v>74</v>
      </c>
      <c r="M280" t="s">
        <v>78</v>
      </c>
      <c r="N280" t="s">
        <v>135</v>
      </c>
      <c r="O280" t="s">
        <v>5468</v>
      </c>
      <c r="P280" t="s">
        <v>5469</v>
      </c>
      <c r="Q280" t="s">
        <v>5470</v>
      </c>
      <c r="R280" t="s">
        <v>5471</v>
      </c>
      <c r="S280" t="s">
        <v>74</v>
      </c>
      <c r="T280" t="s">
        <v>5472</v>
      </c>
      <c r="U280" t="s">
        <v>5473</v>
      </c>
      <c r="V280" t="s">
        <v>5474</v>
      </c>
      <c r="W280" t="s">
        <v>5475</v>
      </c>
      <c r="X280" t="s">
        <v>5476</v>
      </c>
      <c r="Y280" t="s">
        <v>5477</v>
      </c>
      <c r="Z280" t="s">
        <v>5478</v>
      </c>
      <c r="AA280" t="s">
        <v>74</v>
      </c>
      <c r="AB280" t="s">
        <v>5479</v>
      </c>
      <c r="AC280" t="s">
        <v>74</v>
      </c>
      <c r="AD280" t="s">
        <v>74</v>
      </c>
      <c r="AE280" t="s">
        <v>74</v>
      </c>
      <c r="AF280" t="s">
        <v>74</v>
      </c>
      <c r="AG280">
        <v>82</v>
      </c>
      <c r="AH280">
        <v>21</v>
      </c>
      <c r="AI280">
        <v>22</v>
      </c>
      <c r="AJ280">
        <v>6</v>
      </c>
      <c r="AK280">
        <v>25</v>
      </c>
      <c r="AL280" t="s">
        <v>718</v>
      </c>
      <c r="AM280" t="s">
        <v>666</v>
      </c>
      <c r="AN280" t="s">
        <v>719</v>
      </c>
      <c r="AO280" t="s">
        <v>74</v>
      </c>
      <c r="AP280" t="s">
        <v>74</v>
      </c>
      <c r="AQ280" t="s">
        <v>5480</v>
      </c>
      <c r="AR280" t="s">
        <v>74</v>
      </c>
      <c r="AS280" t="s">
        <v>74</v>
      </c>
      <c r="AT280" t="s">
        <v>74</v>
      </c>
      <c r="AU280">
        <v>2023</v>
      </c>
      <c r="AV280" t="s">
        <v>74</v>
      </c>
      <c r="AW280" t="s">
        <v>74</v>
      </c>
      <c r="AX280" t="s">
        <v>74</v>
      </c>
      <c r="AY280" t="s">
        <v>74</v>
      </c>
      <c r="AZ280" t="s">
        <v>74</v>
      </c>
      <c r="BA280" t="s">
        <v>74</v>
      </c>
      <c r="BB280" t="s">
        <v>74</v>
      </c>
      <c r="BC280" t="s">
        <v>74</v>
      </c>
      <c r="BD280" t="s">
        <v>74</v>
      </c>
      <c r="BE280" t="s">
        <v>5481</v>
      </c>
      <c r="BF280" t="str">
        <f>HYPERLINK("http://dx.doi.org/10.1145/3544548.3581489","http://dx.doi.org/10.1145/3544548.3581489")</f>
        <v>http://dx.doi.org/10.1145/3544548.3581489</v>
      </c>
      <c r="BG280" t="s">
        <v>74</v>
      </c>
      <c r="BH280" t="s">
        <v>74</v>
      </c>
      <c r="BI280">
        <v>17</v>
      </c>
      <c r="BJ280" t="s">
        <v>5482</v>
      </c>
      <c r="BK280" t="s">
        <v>723</v>
      </c>
      <c r="BL280" t="s">
        <v>5483</v>
      </c>
      <c r="BM280" t="s">
        <v>5484</v>
      </c>
      <c r="BN280" t="s">
        <v>74</v>
      </c>
      <c r="BO280" t="s">
        <v>74</v>
      </c>
      <c r="BP280" t="s">
        <v>74</v>
      </c>
      <c r="BQ280" t="s">
        <v>74</v>
      </c>
      <c r="BR280" t="s">
        <v>102</v>
      </c>
      <c r="BS280" t="s">
        <v>5485</v>
      </c>
      <c r="BT280" t="str">
        <f>HYPERLINK("https%3A%2F%2Fwww.webofscience.com%2Fwos%2Fwoscc%2Ffull-record%2FWOS:001048393806018","View Full Record in Web of Science")</f>
        <v>View Full Record in Web of Science</v>
      </c>
    </row>
    <row r="281" spans="1:72" x14ac:dyDescent="0.35">
      <c r="A281" t="s">
        <v>128</v>
      </c>
      <c r="B281" t="s">
        <v>5486</v>
      </c>
      <c r="C281" t="s">
        <v>74</v>
      </c>
      <c r="D281" t="s">
        <v>5487</v>
      </c>
      <c r="E281" t="s">
        <v>74</v>
      </c>
      <c r="F281" t="s">
        <v>5488</v>
      </c>
      <c r="G281" t="s">
        <v>74</v>
      </c>
      <c r="H281" t="s">
        <v>74</v>
      </c>
      <c r="I281" t="s">
        <v>5489</v>
      </c>
      <c r="J281" t="s">
        <v>5490</v>
      </c>
      <c r="K281" t="s">
        <v>74</v>
      </c>
      <c r="L281" t="s">
        <v>74</v>
      </c>
      <c r="M281" t="s">
        <v>78</v>
      </c>
      <c r="N281" t="s">
        <v>135</v>
      </c>
      <c r="O281" t="s">
        <v>5491</v>
      </c>
      <c r="P281" t="s">
        <v>5492</v>
      </c>
      <c r="Q281" t="s">
        <v>5493</v>
      </c>
      <c r="R281" t="s">
        <v>5494</v>
      </c>
      <c r="S281" t="s">
        <v>74</v>
      </c>
      <c r="T281" t="s">
        <v>5495</v>
      </c>
      <c r="U281" t="s">
        <v>5496</v>
      </c>
      <c r="V281" t="s">
        <v>5497</v>
      </c>
      <c r="W281" t="s">
        <v>5498</v>
      </c>
      <c r="X281" t="s">
        <v>5499</v>
      </c>
      <c r="Y281" t="s">
        <v>5500</v>
      </c>
      <c r="Z281" t="s">
        <v>5501</v>
      </c>
      <c r="AA281" t="s">
        <v>74</v>
      </c>
      <c r="AB281" t="s">
        <v>74</v>
      </c>
      <c r="AC281" t="s">
        <v>74</v>
      </c>
      <c r="AD281" t="s">
        <v>74</v>
      </c>
      <c r="AE281" t="s">
        <v>74</v>
      </c>
      <c r="AF281" t="s">
        <v>74</v>
      </c>
      <c r="AG281">
        <v>41</v>
      </c>
      <c r="AH281">
        <v>1</v>
      </c>
      <c r="AI281">
        <v>1</v>
      </c>
      <c r="AJ281">
        <v>2</v>
      </c>
      <c r="AK281">
        <v>7</v>
      </c>
      <c r="AL281" t="s">
        <v>5502</v>
      </c>
      <c r="AM281" t="s">
        <v>5503</v>
      </c>
      <c r="AN281" t="s">
        <v>5504</v>
      </c>
      <c r="AO281" t="s">
        <v>74</v>
      </c>
      <c r="AP281" t="s">
        <v>74</v>
      </c>
      <c r="AQ281" t="s">
        <v>5505</v>
      </c>
      <c r="AR281" t="s">
        <v>74</v>
      </c>
      <c r="AS281" t="s">
        <v>74</v>
      </c>
      <c r="AT281" t="s">
        <v>74</v>
      </c>
      <c r="AU281">
        <v>2022</v>
      </c>
      <c r="AV281" t="s">
        <v>74</v>
      </c>
      <c r="AW281" t="s">
        <v>74</v>
      </c>
      <c r="AX281" t="s">
        <v>74</v>
      </c>
      <c r="AY281" t="s">
        <v>74</v>
      </c>
      <c r="AZ281" t="s">
        <v>74</v>
      </c>
      <c r="BA281" t="s">
        <v>74</v>
      </c>
      <c r="BB281">
        <v>73</v>
      </c>
      <c r="BC281">
        <v>84</v>
      </c>
      <c r="BD281" t="s">
        <v>74</v>
      </c>
      <c r="BE281" t="s">
        <v>74</v>
      </c>
      <c r="BF281" t="s">
        <v>74</v>
      </c>
      <c r="BG281" t="s">
        <v>74</v>
      </c>
      <c r="BH281" t="s">
        <v>74</v>
      </c>
      <c r="BI281">
        <v>12</v>
      </c>
      <c r="BJ281" t="s">
        <v>5506</v>
      </c>
      <c r="BK281" t="s">
        <v>154</v>
      </c>
      <c r="BL281" t="s">
        <v>5507</v>
      </c>
      <c r="BM281" t="s">
        <v>5508</v>
      </c>
      <c r="BN281" t="s">
        <v>74</v>
      </c>
      <c r="BO281" t="s">
        <v>74</v>
      </c>
      <c r="BP281" t="s">
        <v>74</v>
      </c>
      <c r="BQ281" t="s">
        <v>74</v>
      </c>
      <c r="BR281" t="s">
        <v>102</v>
      </c>
      <c r="BS281" t="s">
        <v>5509</v>
      </c>
      <c r="BT281" t="str">
        <f>HYPERLINK("https%3A%2F%2Fwww.webofscience.com%2Fwos%2Fwoscc%2Ffull-record%2FWOS:000946126600005","View Full Record in Web of Science")</f>
        <v>View Full Record in Web of Science</v>
      </c>
    </row>
    <row r="282" spans="1:72" x14ac:dyDescent="0.35">
      <c r="A282" t="s">
        <v>72</v>
      </c>
      <c r="B282" t="s">
        <v>5510</v>
      </c>
      <c r="C282" t="s">
        <v>74</v>
      </c>
      <c r="D282" t="s">
        <v>74</v>
      </c>
      <c r="E282" t="s">
        <v>74</v>
      </c>
      <c r="F282" t="s">
        <v>5511</v>
      </c>
      <c r="G282" t="s">
        <v>74</v>
      </c>
      <c r="H282" t="s">
        <v>74</v>
      </c>
      <c r="I282" t="s">
        <v>5512</v>
      </c>
      <c r="J282" t="s">
        <v>3109</v>
      </c>
      <c r="K282" t="s">
        <v>74</v>
      </c>
      <c r="L282" t="s">
        <v>74</v>
      </c>
      <c r="M282" t="s">
        <v>78</v>
      </c>
      <c r="N282" t="s">
        <v>108</v>
      </c>
      <c r="O282" t="s">
        <v>74</v>
      </c>
      <c r="P282" t="s">
        <v>74</v>
      </c>
      <c r="Q282" t="s">
        <v>74</v>
      </c>
      <c r="R282" t="s">
        <v>74</v>
      </c>
      <c r="S282" t="s">
        <v>74</v>
      </c>
      <c r="T282" t="s">
        <v>5513</v>
      </c>
      <c r="U282" t="s">
        <v>5514</v>
      </c>
      <c r="V282" t="s">
        <v>5515</v>
      </c>
      <c r="W282" t="s">
        <v>5516</v>
      </c>
      <c r="X282" t="s">
        <v>5517</v>
      </c>
      <c r="Y282" t="s">
        <v>5518</v>
      </c>
      <c r="Z282" t="s">
        <v>5519</v>
      </c>
      <c r="AA282" t="s">
        <v>74</v>
      </c>
      <c r="AB282" t="s">
        <v>5520</v>
      </c>
      <c r="AC282" t="s">
        <v>74</v>
      </c>
      <c r="AD282" t="s">
        <v>74</v>
      </c>
      <c r="AE282" t="s">
        <v>74</v>
      </c>
      <c r="AF282" t="s">
        <v>74</v>
      </c>
      <c r="AG282">
        <v>59</v>
      </c>
      <c r="AH282">
        <v>1</v>
      </c>
      <c r="AI282">
        <v>1</v>
      </c>
      <c r="AJ282">
        <v>2</v>
      </c>
      <c r="AK282">
        <v>27</v>
      </c>
      <c r="AL282" t="s">
        <v>226</v>
      </c>
      <c r="AM282" t="s">
        <v>227</v>
      </c>
      <c r="AN282" t="s">
        <v>228</v>
      </c>
      <c r="AO282" t="s">
        <v>3118</v>
      </c>
      <c r="AP282" t="s">
        <v>3119</v>
      </c>
      <c r="AQ282" t="s">
        <v>74</v>
      </c>
      <c r="AR282" t="s">
        <v>3120</v>
      </c>
      <c r="AS282" t="s">
        <v>3121</v>
      </c>
      <c r="AT282" t="s">
        <v>455</v>
      </c>
      <c r="AU282">
        <v>2022</v>
      </c>
      <c r="AV282">
        <v>7</v>
      </c>
      <c r="AW282">
        <v>3</v>
      </c>
      <c r="AX282" t="s">
        <v>74</v>
      </c>
      <c r="AY282" t="s">
        <v>74</v>
      </c>
      <c r="AZ282" t="s">
        <v>456</v>
      </c>
      <c r="BA282" t="s">
        <v>74</v>
      </c>
      <c r="BB282">
        <v>340</v>
      </c>
      <c r="BC282">
        <v>356</v>
      </c>
      <c r="BD282" t="s">
        <v>74</v>
      </c>
      <c r="BE282" t="s">
        <v>5521</v>
      </c>
      <c r="BF282" t="str">
        <f>HYPERLINK("http://dx.doi.org/10.1177/20594364221116018","http://dx.doi.org/10.1177/20594364221116018")</f>
        <v>http://dx.doi.org/10.1177/20594364221116018</v>
      </c>
      <c r="BG282" t="s">
        <v>74</v>
      </c>
      <c r="BH282" t="s">
        <v>74</v>
      </c>
      <c r="BI282">
        <v>17</v>
      </c>
      <c r="BJ282" t="s">
        <v>124</v>
      </c>
      <c r="BK282" t="s">
        <v>125</v>
      </c>
      <c r="BL282" t="s">
        <v>124</v>
      </c>
      <c r="BM282" t="s">
        <v>5522</v>
      </c>
      <c r="BN282" t="s">
        <v>74</v>
      </c>
      <c r="BO282" t="s">
        <v>235</v>
      </c>
      <c r="BP282" t="s">
        <v>74</v>
      </c>
      <c r="BQ282" t="s">
        <v>74</v>
      </c>
      <c r="BR282" t="s">
        <v>102</v>
      </c>
      <c r="BS282" t="s">
        <v>5523</v>
      </c>
      <c r="BT282" t="str">
        <f>HYPERLINK("https%3A%2F%2Fwww.webofscience.com%2Fwos%2Fwoscc%2Ffull-record%2FWOS:000851580400006","View Full Record in Web of Science")</f>
        <v>View Full Record in Web of Science</v>
      </c>
    </row>
    <row r="283" spans="1:72" x14ac:dyDescent="0.35">
      <c r="A283" t="s">
        <v>72</v>
      </c>
      <c r="B283" t="s">
        <v>5524</v>
      </c>
      <c r="C283" t="s">
        <v>74</v>
      </c>
      <c r="D283" t="s">
        <v>74</v>
      </c>
      <c r="E283" t="s">
        <v>74</v>
      </c>
      <c r="F283" t="s">
        <v>5525</v>
      </c>
      <c r="G283" t="s">
        <v>74</v>
      </c>
      <c r="H283" t="s">
        <v>74</v>
      </c>
      <c r="I283" t="s">
        <v>5526</v>
      </c>
      <c r="J283" t="s">
        <v>5527</v>
      </c>
      <c r="K283" t="s">
        <v>74</v>
      </c>
      <c r="L283" t="s">
        <v>74</v>
      </c>
      <c r="M283" t="s">
        <v>78</v>
      </c>
      <c r="N283" t="s">
        <v>108</v>
      </c>
      <c r="O283" t="s">
        <v>74</v>
      </c>
      <c r="P283" t="s">
        <v>74</v>
      </c>
      <c r="Q283" t="s">
        <v>74</v>
      </c>
      <c r="R283" t="s">
        <v>74</v>
      </c>
      <c r="S283" t="s">
        <v>74</v>
      </c>
      <c r="T283" t="s">
        <v>74</v>
      </c>
      <c r="U283" t="s">
        <v>74</v>
      </c>
      <c r="V283" t="s">
        <v>5528</v>
      </c>
      <c r="W283" t="s">
        <v>5529</v>
      </c>
      <c r="X283" t="s">
        <v>5530</v>
      </c>
      <c r="Y283" t="s">
        <v>5531</v>
      </c>
      <c r="Z283" t="s">
        <v>5532</v>
      </c>
      <c r="AA283" t="s">
        <v>74</v>
      </c>
      <c r="AB283" t="s">
        <v>74</v>
      </c>
      <c r="AC283" t="s">
        <v>74</v>
      </c>
      <c r="AD283" t="s">
        <v>74</v>
      </c>
      <c r="AE283" t="s">
        <v>74</v>
      </c>
      <c r="AF283" t="s">
        <v>74</v>
      </c>
      <c r="AG283">
        <v>17</v>
      </c>
      <c r="AH283">
        <v>0</v>
      </c>
      <c r="AI283">
        <v>0</v>
      </c>
      <c r="AJ283">
        <v>0</v>
      </c>
      <c r="AK283">
        <v>4</v>
      </c>
      <c r="AL283" t="s">
        <v>5533</v>
      </c>
      <c r="AM283" t="s">
        <v>5534</v>
      </c>
      <c r="AN283" t="s">
        <v>5535</v>
      </c>
      <c r="AO283" t="s">
        <v>5536</v>
      </c>
      <c r="AP283" t="s">
        <v>5537</v>
      </c>
      <c r="AQ283" t="s">
        <v>74</v>
      </c>
      <c r="AR283" t="s">
        <v>5538</v>
      </c>
      <c r="AS283" t="s">
        <v>5539</v>
      </c>
      <c r="AT283" t="s">
        <v>2032</v>
      </c>
      <c r="AU283">
        <v>2023</v>
      </c>
      <c r="AV283">
        <v>60</v>
      </c>
      <c r="AW283">
        <v>6</v>
      </c>
      <c r="AX283" t="s">
        <v>74</v>
      </c>
      <c r="AY283" t="s">
        <v>74</v>
      </c>
      <c r="AZ283" t="s">
        <v>74</v>
      </c>
      <c r="BA283" t="s">
        <v>74</v>
      </c>
      <c r="BB283">
        <v>402</v>
      </c>
      <c r="BC283">
        <v>405</v>
      </c>
      <c r="BD283" t="s">
        <v>74</v>
      </c>
      <c r="BE283" t="s">
        <v>5540</v>
      </c>
      <c r="BF283" t="str">
        <f>HYPERLINK("http://dx.doi.org/10.3928/01913913-20230323-02","http://dx.doi.org/10.3928/01913913-20230323-02")</f>
        <v>http://dx.doi.org/10.3928/01913913-20230323-02</v>
      </c>
      <c r="BG283" t="s">
        <v>74</v>
      </c>
      <c r="BH283" t="s">
        <v>299</v>
      </c>
      <c r="BI283">
        <v>4</v>
      </c>
      <c r="BJ283" t="s">
        <v>5541</v>
      </c>
      <c r="BK283" t="s">
        <v>209</v>
      </c>
      <c r="BL283" t="s">
        <v>5541</v>
      </c>
      <c r="BM283" t="s">
        <v>5542</v>
      </c>
      <c r="BN283">
        <v>37092665</v>
      </c>
      <c r="BO283" t="s">
        <v>74</v>
      </c>
      <c r="BP283" t="s">
        <v>74</v>
      </c>
      <c r="BQ283" t="s">
        <v>74</v>
      </c>
      <c r="BR283" t="s">
        <v>102</v>
      </c>
      <c r="BS283" t="s">
        <v>5543</v>
      </c>
      <c r="BT283" t="str">
        <f>HYPERLINK("https%3A%2F%2Fwww.webofscience.com%2Fwos%2Fwoscc%2Ffull-record%2FWOS:000980737100001","View Full Record in Web of Science")</f>
        <v>View Full Record in Web of Science</v>
      </c>
    </row>
    <row r="284" spans="1:72" x14ac:dyDescent="0.35">
      <c r="A284" t="s">
        <v>72</v>
      </c>
      <c r="B284" t="s">
        <v>5544</v>
      </c>
      <c r="C284" t="s">
        <v>74</v>
      </c>
      <c r="D284" t="s">
        <v>74</v>
      </c>
      <c r="E284" t="s">
        <v>74</v>
      </c>
      <c r="F284" t="s">
        <v>5545</v>
      </c>
      <c r="G284" t="s">
        <v>74</v>
      </c>
      <c r="H284" t="s">
        <v>74</v>
      </c>
      <c r="I284" t="s">
        <v>5546</v>
      </c>
      <c r="J284" t="s">
        <v>3687</v>
      </c>
      <c r="K284" t="s">
        <v>74</v>
      </c>
      <c r="L284" t="s">
        <v>74</v>
      </c>
      <c r="M284" t="s">
        <v>78</v>
      </c>
      <c r="N284" t="s">
        <v>79</v>
      </c>
      <c r="O284" t="s">
        <v>74</v>
      </c>
      <c r="P284" t="s">
        <v>74</v>
      </c>
      <c r="Q284" t="s">
        <v>74</v>
      </c>
      <c r="R284" t="s">
        <v>74</v>
      </c>
      <c r="S284" t="s">
        <v>74</v>
      </c>
      <c r="T284" t="s">
        <v>74</v>
      </c>
      <c r="U284" t="s">
        <v>74</v>
      </c>
      <c r="V284" t="s">
        <v>5547</v>
      </c>
      <c r="W284" t="s">
        <v>5548</v>
      </c>
      <c r="X284" t="s">
        <v>5549</v>
      </c>
      <c r="Y284" t="s">
        <v>5550</v>
      </c>
      <c r="Z284" t="s">
        <v>5551</v>
      </c>
      <c r="AA284" t="s">
        <v>5552</v>
      </c>
      <c r="AB284" t="s">
        <v>5553</v>
      </c>
      <c r="AC284" t="s">
        <v>5554</v>
      </c>
      <c r="AD284" t="s">
        <v>5554</v>
      </c>
      <c r="AE284" t="s">
        <v>5555</v>
      </c>
      <c r="AF284" t="s">
        <v>74</v>
      </c>
      <c r="AG284">
        <v>75</v>
      </c>
      <c r="AH284">
        <v>0</v>
      </c>
      <c r="AI284">
        <v>0</v>
      </c>
      <c r="AJ284">
        <v>9</v>
      </c>
      <c r="AK284">
        <v>9</v>
      </c>
      <c r="AL284" t="s">
        <v>88</v>
      </c>
      <c r="AM284" t="s">
        <v>89</v>
      </c>
      <c r="AN284" t="s">
        <v>90</v>
      </c>
      <c r="AO284" t="s">
        <v>3695</v>
      </c>
      <c r="AP284" t="s">
        <v>3696</v>
      </c>
      <c r="AQ284" t="s">
        <v>74</v>
      </c>
      <c r="AR284" t="s">
        <v>3697</v>
      </c>
      <c r="AS284" t="s">
        <v>3698</v>
      </c>
      <c r="AT284" t="s">
        <v>5556</v>
      </c>
      <c r="AU284">
        <v>2024</v>
      </c>
      <c r="AV284" t="s">
        <v>74</v>
      </c>
      <c r="AW284" t="s">
        <v>74</v>
      </c>
      <c r="AX284" t="s">
        <v>74</v>
      </c>
      <c r="AY284" t="s">
        <v>74</v>
      </c>
      <c r="AZ284" t="s">
        <v>74</v>
      </c>
      <c r="BA284" t="s">
        <v>74</v>
      </c>
      <c r="BB284" t="s">
        <v>74</v>
      </c>
      <c r="BC284" t="s">
        <v>74</v>
      </c>
      <c r="BD284" t="s">
        <v>74</v>
      </c>
      <c r="BE284" t="s">
        <v>5557</v>
      </c>
      <c r="BF284" t="str">
        <f>HYPERLINK("http://dx.doi.org/10.1080/10410236.2024.2366709","http://dx.doi.org/10.1080/10410236.2024.2366709")</f>
        <v>http://dx.doi.org/10.1080/10410236.2024.2366709</v>
      </c>
      <c r="BG284" t="s">
        <v>74</v>
      </c>
      <c r="BH284" t="s">
        <v>500</v>
      </c>
      <c r="BI284">
        <v>11</v>
      </c>
      <c r="BJ284" t="s">
        <v>3701</v>
      </c>
      <c r="BK284" t="s">
        <v>99</v>
      </c>
      <c r="BL284" t="s">
        <v>3702</v>
      </c>
      <c r="BM284" t="s">
        <v>5558</v>
      </c>
      <c r="BN284">
        <v>38862396</v>
      </c>
      <c r="BO284" t="s">
        <v>74</v>
      </c>
      <c r="BP284" t="s">
        <v>74</v>
      </c>
      <c r="BQ284" t="s">
        <v>74</v>
      </c>
      <c r="BR284" t="s">
        <v>102</v>
      </c>
      <c r="BS284" t="s">
        <v>5559</v>
      </c>
      <c r="BT284" t="str">
        <f>HYPERLINK("https%3A%2F%2Fwww.webofscience.com%2Fwos%2Fwoscc%2Ffull-record%2FWOS:001243828700001","View Full Record in Web of Science")</f>
        <v>View Full Record in Web of Science</v>
      </c>
    </row>
    <row r="285" spans="1:72" x14ac:dyDescent="0.35">
      <c r="A285" t="s">
        <v>72</v>
      </c>
      <c r="B285" t="s">
        <v>5560</v>
      </c>
      <c r="C285" t="s">
        <v>74</v>
      </c>
      <c r="D285" t="s">
        <v>74</v>
      </c>
      <c r="E285" t="s">
        <v>74</v>
      </c>
      <c r="F285" t="s">
        <v>5561</v>
      </c>
      <c r="G285" t="s">
        <v>74</v>
      </c>
      <c r="H285" t="s">
        <v>74</v>
      </c>
      <c r="I285" t="s">
        <v>5562</v>
      </c>
      <c r="J285" t="s">
        <v>3502</v>
      </c>
      <c r="K285" t="s">
        <v>74</v>
      </c>
      <c r="L285" t="s">
        <v>74</v>
      </c>
      <c r="M285" t="s">
        <v>3503</v>
      </c>
      <c r="N285" t="s">
        <v>108</v>
      </c>
      <c r="O285" t="s">
        <v>74</v>
      </c>
      <c r="P285" t="s">
        <v>74</v>
      </c>
      <c r="Q285" t="s">
        <v>74</v>
      </c>
      <c r="R285" t="s">
        <v>74</v>
      </c>
      <c r="S285" t="s">
        <v>74</v>
      </c>
      <c r="T285" t="s">
        <v>5563</v>
      </c>
      <c r="U285" t="s">
        <v>5564</v>
      </c>
      <c r="V285" t="s">
        <v>5565</v>
      </c>
      <c r="W285" t="s">
        <v>5566</v>
      </c>
      <c r="X285" t="s">
        <v>5567</v>
      </c>
      <c r="Y285" t="s">
        <v>5568</v>
      </c>
      <c r="Z285" t="s">
        <v>5569</v>
      </c>
      <c r="AA285" t="s">
        <v>5570</v>
      </c>
      <c r="AB285" t="s">
        <v>5571</v>
      </c>
      <c r="AC285" t="s">
        <v>74</v>
      </c>
      <c r="AD285" t="s">
        <v>74</v>
      </c>
      <c r="AE285" t="s">
        <v>74</v>
      </c>
      <c r="AF285" t="s">
        <v>74</v>
      </c>
      <c r="AG285">
        <v>51</v>
      </c>
      <c r="AH285">
        <v>0</v>
      </c>
      <c r="AI285">
        <v>0</v>
      </c>
      <c r="AJ285">
        <v>4</v>
      </c>
      <c r="AK285">
        <v>4</v>
      </c>
      <c r="AL285" t="s">
        <v>3511</v>
      </c>
      <c r="AM285" t="s">
        <v>3512</v>
      </c>
      <c r="AN285" t="s">
        <v>3513</v>
      </c>
      <c r="AO285" t="s">
        <v>3514</v>
      </c>
      <c r="AP285" t="s">
        <v>74</v>
      </c>
      <c r="AQ285" t="s">
        <v>74</v>
      </c>
      <c r="AR285" t="s">
        <v>3515</v>
      </c>
      <c r="AS285" t="s">
        <v>3516</v>
      </c>
      <c r="AT285" t="s">
        <v>3517</v>
      </c>
      <c r="AU285">
        <v>2024</v>
      </c>
      <c r="AV285">
        <v>15</v>
      </c>
      <c r="AW285">
        <v>1</v>
      </c>
      <c r="AX285" t="s">
        <v>74</v>
      </c>
      <c r="AY285" t="s">
        <v>74</v>
      </c>
      <c r="AZ285" t="s">
        <v>456</v>
      </c>
      <c r="BA285" t="s">
        <v>74</v>
      </c>
      <c r="BB285">
        <v>341</v>
      </c>
      <c r="BC285">
        <v>355</v>
      </c>
      <c r="BD285" t="s">
        <v>74</v>
      </c>
      <c r="BE285" t="s">
        <v>5572</v>
      </c>
      <c r="BF285" t="str">
        <f>HYPERLINK("http://dx.doi.org/10.14198/MEDCOM.24949","http://dx.doi.org/10.14198/MEDCOM.24949")</f>
        <v>http://dx.doi.org/10.14198/MEDCOM.24949</v>
      </c>
      <c r="BG285" t="s">
        <v>74</v>
      </c>
      <c r="BH285" t="s">
        <v>74</v>
      </c>
      <c r="BI285">
        <v>15</v>
      </c>
      <c r="BJ285" t="s">
        <v>124</v>
      </c>
      <c r="BK285" t="s">
        <v>125</v>
      </c>
      <c r="BL285" t="s">
        <v>124</v>
      </c>
      <c r="BM285" t="s">
        <v>3519</v>
      </c>
      <c r="BN285" t="s">
        <v>74</v>
      </c>
      <c r="BO285" t="s">
        <v>552</v>
      </c>
      <c r="BP285" t="s">
        <v>74</v>
      </c>
      <c r="BQ285" t="s">
        <v>74</v>
      </c>
      <c r="BR285" t="s">
        <v>102</v>
      </c>
      <c r="BS285" t="s">
        <v>5573</v>
      </c>
      <c r="BT285" t="str">
        <f>HYPERLINK("https%3A%2F%2Fwww.webofscience.com%2Fwos%2Fwoscc%2Ffull-record%2FWOS:001248434900020","View Full Record in Web of Science")</f>
        <v>View Full Record in Web of Science</v>
      </c>
    </row>
    <row r="286" spans="1:72" x14ac:dyDescent="0.35">
      <c r="A286" t="s">
        <v>72</v>
      </c>
      <c r="B286" t="s">
        <v>5574</v>
      </c>
      <c r="C286" t="s">
        <v>74</v>
      </c>
      <c r="D286" t="s">
        <v>74</v>
      </c>
      <c r="E286" t="s">
        <v>74</v>
      </c>
      <c r="F286" t="s">
        <v>5575</v>
      </c>
      <c r="G286" t="s">
        <v>74</v>
      </c>
      <c r="H286" t="s">
        <v>74</v>
      </c>
      <c r="I286" t="s">
        <v>5576</v>
      </c>
      <c r="J286" t="s">
        <v>216</v>
      </c>
      <c r="K286" t="s">
        <v>74</v>
      </c>
      <c r="L286" t="s">
        <v>74</v>
      </c>
      <c r="M286" t="s">
        <v>78</v>
      </c>
      <c r="N286" t="s">
        <v>108</v>
      </c>
      <c r="O286" t="s">
        <v>74</v>
      </c>
      <c r="P286" t="s">
        <v>74</v>
      </c>
      <c r="Q286" t="s">
        <v>74</v>
      </c>
      <c r="R286" t="s">
        <v>74</v>
      </c>
      <c r="S286" t="s">
        <v>74</v>
      </c>
      <c r="T286" t="s">
        <v>5577</v>
      </c>
      <c r="U286" t="s">
        <v>5578</v>
      </c>
      <c r="V286" t="s">
        <v>5579</v>
      </c>
      <c r="W286" t="s">
        <v>5580</v>
      </c>
      <c r="X286" t="s">
        <v>5581</v>
      </c>
      <c r="Y286" t="s">
        <v>5582</v>
      </c>
      <c r="Z286" t="s">
        <v>5583</v>
      </c>
      <c r="AA286" t="s">
        <v>74</v>
      </c>
      <c r="AB286" t="s">
        <v>5584</v>
      </c>
      <c r="AC286" t="s">
        <v>74</v>
      </c>
      <c r="AD286" t="s">
        <v>74</v>
      </c>
      <c r="AE286" t="s">
        <v>74</v>
      </c>
      <c r="AF286" t="s">
        <v>74</v>
      </c>
      <c r="AG286">
        <v>30</v>
      </c>
      <c r="AH286">
        <v>98</v>
      </c>
      <c r="AI286">
        <v>111</v>
      </c>
      <c r="AJ286">
        <v>94</v>
      </c>
      <c r="AK286">
        <v>451</v>
      </c>
      <c r="AL286" t="s">
        <v>226</v>
      </c>
      <c r="AM286" t="s">
        <v>227</v>
      </c>
      <c r="AN286" t="s">
        <v>228</v>
      </c>
      <c r="AO286" t="s">
        <v>229</v>
      </c>
      <c r="AP286" t="s">
        <v>74</v>
      </c>
      <c r="AQ286" t="s">
        <v>74</v>
      </c>
      <c r="AR286" t="s">
        <v>230</v>
      </c>
      <c r="AS286" t="s">
        <v>231</v>
      </c>
      <c r="AT286" t="s">
        <v>232</v>
      </c>
      <c r="AU286">
        <v>2022</v>
      </c>
      <c r="AV286">
        <v>8</v>
      </c>
      <c r="AW286">
        <v>1</v>
      </c>
      <c r="AX286" t="s">
        <v>74</v>
      </c>
      <c r="AY286" t="s">
        <v>74</v>
      </c>
      <c r="AZ286" t="s">
        <v>74</v>
      </c>
      <c r="BA286" t="s">
        <v>74</v>
      </c>
      <c r="BB286" t="s">
        <v>74</v>
      </c>
      <c r="BC286" t="s">
        <v>74</v>
      </c>
      <c r="BD286">
        <v>86241</v>
      </c>
      <c r="BE286" t="s">
        <v>5585</v>
      </c>
      <c r="BF286" t="str">
        <f>HYPERLINK("http://dx.doi.org/10.1177/20563051221086241","http://dx.doi.org/10.1177/20563051221086241")</f>
        <v>http://dx.doi.org/10.1177/20563051221086241</v>
      </c>
      <c r="BG286" t="s">
        <v>74</v>
      </c>
      <c r="BH286" t="s">
        <v>74</v>
      </c>
      <c r="BI286">
        <v>11</v>
      </c>
      <c r="BJ286" t="s">
        <v>124</v>
      </c>
      <c r="BK286" t="s">
        <v>99</v>
      </c>
      <c r="BL286" t="s">
        <v>124</v>
      </c>
      <c r="BM286" t="s">
        <v>5586</v>
      </c>
      <c r="BN286" t="s">
        <v>74</v>
      </c>
      <c r="BO286" t="s">
        <v>235</v>
      </c>
      <c r="BP286" t="s">
        <v>395</v>
      </c>
      <c r="BQ286" t="s">
        <v>396</v>
      </c>
      <c r="BR286" t="s">
        <v>102</v>
      </c>
      <c r="BS286" t="s">
        <v>5587</v>
      </c>
      <c r="BT286" t="str">
        <f>HYPERLINK("https%3A%2F%2Fwww.webofscience.com%2Fwos%2Fwoscc%2Ffull-record%2FWOS:000773784400001","View Full Record in Web of Science")</f>
        <v>View Full Record in Web of Science</v>
      </c>
    </row>
    <row r="287" spans="1:72" x14ac:dyDescent="0.35">
      <c r="A287" t="s">
        <v>72</v>
      </c>
      <c r="B287" t="s">
        <v>5588</v>
      </c>
      <c r="C287" t="s">
        <v>74</v>
      </c>
      <c r="D287" t="s">
        <v>74</v>
      </c>
      <c r="E287" t="s">
        <v>74</v>
      </c>
      <c r="F287" t="s">
        <v>5589</v>
      </c>
      <c r="G287" t="s">
        <v>74</v>
      </c>
      <c r="H287" t="s">
        <v>74</v>
      </c>
      <c r="I287" t="s">
        <v>5590</v>
      </c>
      <c r="J287" t="s">
        <v>5591</v>
      </c>
      <c r="K287" t="s">
        <v>74</v>
      </c>
      <c r="L287" t="s">
        <v>74</v>
      </c>
      <c r="M287" t="s">
        <v>78</v>
      </c>
      <c r="N287" t="s">
        <v>5592</v>
      </c>
      <c r="O287" t="s">
        <v>5593</v>
      </c>
      <c r="P287" t="s">
        <v>5594</v>
      </c>
      <c r="Q287" t="s">
        <v>138</v>
      </c>
      <c r="R287" t="s">
        <v>5595</v>
      </c>
      <c r="S287" t="s">
        <v>74</v>
      </c>
      <c r="T287" t="s">
        <v>74</v>
      </c>
      <c r="U287" t="s">
        <v>218</v>
      </c>
      <c r="V287" t="s">
        <v>5596</v>
      </c>
      <c r="W287" t="s">
        <v>5597</v>
      </c>
      <c r="X287" t="s">
        <v>74</v>
      </c>
      <c r="Y287" t="s">
        <v>5598</v>
      </c>
      <c r="Z287" t="s">
        <v>5599</v>
      </c>
      <c r="AA287" t="s">
        <v>74</v>
      </c>
      <c r="AB287" t="s">
        <v>5600</v>
      </c>
      <c r="AC287" t="s">
        <v>74</v>
      </c>
      <c r="AD287" t="s">
        <v>74</v>
      </c>
      <c r="AE287" t="s">
        <v>74</v>
      </c>
      <c r="AF287" t="s">
        <v>74</v>
      </c>
      <c r="AG287">
        <v>18</v>
      </c>
      <c r="AH287">
        <v>24</v>
      </c>
      <c r="AI287">
        <v>25</v>
      </c>
      <c r="AJ287">
        <v>2</v>
      </c>
      <c r="AK287">
        <v>13</v>
      </c>
      <c r="AL287" t="s">
        <v>1965</v>
      </c>
      <c r="AM287" t="s">
        <v>666</v>
      </c>
      <c r="AN287" t="s">
        <v>1966</v>
      </c>
      <c r="AO287" t="s">
        <v>5601</v>
      </c>
      <c r="AP287" t="s">
        <v>5602</v>
      </c>
      <c r="AQ287" t="s">
        <v>74</v>
      </c>
      <c r="AR287" t="s">
        <v>5591</v>
      </c>
      <c r="AS287" t="s">
        <v>5603</v>
      </c>
      <c r="AT287" t="s">
        <v>594</v>
      </c>
      <c r="AU287">
        <v>2022</v>
      </c>
      <c r="AV287">
        <v>168</v>
      </c>
      <c r="AW287" t="s">
        <v>74</v>
      </c>
      <c r="AX287" t="s">
        <v>74</v>
      </c>
      <c r="AY287" t="s">
        <v>74</v>
      </c>
      <c r="AZ287" t="s">
        <v>74</v>
      </c>
      <c r="BA287" t="s">
        <v>74</v>
      </c>
      <c r="BB287">
        <v>35</v>
      </c>
      <c r="BC287">
        <v>40</v>
      </c>
      <c r="BD287" t="s">
        <v>74</v>
      </c>
      <c r="BE287" t="s">
        <v>5604</v>
      </c>
      <c r="BF287" t="str">
        <f>HYPERLINK("http://dx.doi.org/10.1016/j.urology.2022.06.030","http://dx.doi.org/10.1016/j.urology.2022.06.030")</f>
        <v>http://dx.doi.org/10.1016/j.urology.2022.06.030</v>
      </c>
      <c r="BG287" t="s">
        <v>74</v>
      </c>
      <c r="BH287" t="s">
        <v>2034</v>
      </c>
      <c r="BI287">
        <v>6</v>
      </c>
      <c r="BJ287" t="s">
        <v>1908</v>
      </c>
      <c r="BK287" t="s">
        <v>2257</v>
      </c>
      <c r="BL287" t="s">
        <v>1908</v>
      </c>
      <c r="BM287" t="s">
        <v>5605</v>
      </c>
      <c r="BN287">
        <v>35809700</v>
      </c>
      <c r="BO287" t="s">
        <v>74</v>
      </c>
      <c r="BP287" t="s">
        <v>74</v>
      </c>
      <c r="BQ287" t="s">
        <v>74</v>
      </c>
      <c r="BR287" t="s">
        <v>102</v>
      </c>
      <c r="BS287" t="s">
        <v>5606</v>
      </c>
      <c r="BT287" t="str">
        <f>HYPERLINK("https%3A%2F%2Fwww.webofscience.com%2Fwos%2Fwoscc%2Ffull-record%2FWOS:000888147000008","View Full Record in Web of Science")</f>
        <v>View Full Record in Web of Science</v>
      </c>
    </row>
    <row r="288" spans="1:72" x14ac:dyDescent="0.35">
      <c r="A288" t="s">
        <v>72</v>
      </c>
      <c r="B288" t="s">
        <v>5607</v>
      </c>
      <c r="C288" t="s">
        <v>74</v>
      </c>
      <c r="D288" t="s">
        <v>74</v>
      </c>
      <c r="E288" t="s">
        <v>74</v>
      </c>
      <c r="F288" t="s">
        <v>5608</v>
      </c>
      <c r="G288" t="s">
        <v>74</v>
      </c>
      <c r="H288" t="s">
        <v>74</v>
      </c>
      <c r="I288" t="s">
        <v>5609</v>
      </c>
      <c r="J288" t="s">
        <v>5610</v>
      </c>
      <c r="K288" t="s">
        <v>74</v>
      </c>
      <c r="L288" t="s">
        <v>74</v>
      </c>
      <c r="M288" t="s">
        <v>78</v>
      </c>
      <c r="N288" t="s">
        <v>108</v>
      </c>
      <c r="O288" t="s">
        <v>74</v>
      </c>
      <c r="P288" t="s">
        <v>74</v>
      </c>
      <c r="Q288" t="s">
        <v>74</v>
      </c>
      <c r="R288" t="s">
        <v>74</v>
      </c>
      <c r="S288" t="s">
        <v>74</v>
      </c>
      <c r="T288" t="s">
        <v>5611</v>
      </c>
      <c r="U288" t="s">
        <v>5612</v>
      </c>
      <c r="V288" t="s">
        <v>5613</v>
      </c>
      <c r="W288" t="s">
        <v>5614</v>
      </c>
      <c r="X288" t="s">
        <v>4412</v>
      </c>
      <c r="Y288" t="s">
        <v>5615</v>
      </c>
      <c r="Z288" t="s">
        <v>5616</v>
      </c>
      <c r="AA288" t="s">
        <v>74</v>
      </c>
      <c r="AB288" t="s">
        <v>74</v>
      </c>
      <c r="AC288" t="s">
        <v>74</v>
      </c>
      <c r="AD288" t="s">
        <v>74</v>
      </c>
      <c r="AE288" t="s">
        <v>74</v>
      </c>
      <c r="AF288" t="s">
        <v>74</v>
      </c>
      <c r="AG288">
        <v>90</v>
      </c>
      <c r="AH288">
        <v>0</v>
      </c>
      <c r="AI288">
        <v>0</v>
      </c>
      <c r="AJ288">
        <v>19</v>
      </c>
      <c r="AK288">
        <v>69</v>
      </c>
      <c r="AL288" t="s">
        <v>5617</v>
      </c>
      <c r="AM288" t="s">
        <v>5618</v>
      </c>
      <c r="AN288" t="s">
        <v>5619</v>
      </c>
      <c r="AO288" t="s">
        <v>5620</v>
      </c>
      <c r="AP288" t="s">
        <v>5621</v>
      </c>
      <c r="AQ288" t="s">
        <v>74</v>
      </c>
      <c r="AR288" t="s">
        <v>5622</v>
      </c>
      <c r="AS288" t="s">
        <v>5623</v>
      </c>
      <c r="AT288" t="s">
        <v>74</v>
      </c>
      <c r="AU288">
        <v>2023</v>
      </c>
      <c r="AV288">
        <v>35</v>
      </c>
      <c r="AW288">
        <v>1</v>
      </c>
      <c r="AX288" t="s">
        <v>74</v>
      </c>
      <c r="AY288" t="s">
        <v>74</v>
      </c>
      <c r="AZ288" t="s">
        <v>74</v>
      </c>
      <c r="BA288" t="s">
        <v>74</v>
      </c>
      <c r="BB288">
        <v>93</v>
      </c>
      <c r="BC288">
        <v>110</v>
      </c>
      <c r="BD288" t="s">
        <v>74</v>
      </c>
      <c r="BE288" t="s">
        <v>5624</v>
      </c>
      <c r="BF288" t="str">
        <f>HYPERLINK("http://dx.doi.org/10.22598/mt/2023.35.1.93","http://dx.doi.org/10.22598/mt/2023.35.1.93")</f>
        <v>http://dx.doi.org/10.22598/mt/2023.35.1.93</v>
      </c>
      <c r="BG288" t="s">
        <v>74</v>
      </c>
      <c r="BH288" t="s">
        <v>74</v>
      </c>
      <c r="BI288">
        <v>18</v>
      </c>
      <c r="BJ288" t="s">
        <v>1597</v>
      </c>
      <c r="BK288" t="s">
        <v>125</v>
      </c>
      <c r="BL288" t="s">
        <v>480</v>
      </c>
      <c r="BM288" t="s">
        <v>5625</v>
      </c>
      <c r="BN288" t="s">
        <v>74</v>
      </c>
      <c r="BO288" t="s">
        <v>235</v>
      </c>
      <c r="BP288" t="s">
        <v>74</v>
      </c>
      <c r="BQ288" t="s">
        <v>74</v>
      </c>
      <c r="BR288" t="s">
        <v>102</v>
      </c>
      <c r="BS288" t="s">
        <v>5626</v>
      </c>
      <c r="BT288" t="str">
        <f>HYPERLINK("https%3A%2F%2Fwww.webofscience.com%2Fwos%2Fwoscc%2Ffull-record%2FWOS:001015239500007","View Full Record in Web of Science")</f>
        <v>View Full Record in Web of Science</v>
      </c>
    </row>
    <row r="289" spans="1:72" x14ac:dyDescent="0.35">
      <c r="A289" t="s">
        <v>72</v>
      </c>
      <c r="B289" t="s">
        <v>5627</v>
      </c>
      <c r="C289" t="s">
        <v>74</v>
      </c>
      <c r="D289" t="s">
        <v>74</v>
      </c>
      <c r="E289" t="s">
        <v>74</v>
      </c>
      <c r="F289" t="s">
        <v>5628</v>
      </c>
      <c r="G289" t="s">
        <v>74</v>
      </c>
      <c r="H289" t="s">
        <v>74</v>
      </c>
      <c r="I289" t="s">
        <v>5629</v>
      </c>
      <c r="J289" t="s">
        <v>345</v>
      </c>
      <c r="K289" t="s">
        <v>74</v>
      </c>
      <c r="L289" t="s">
        <v>74</v>
      </c>
      <c r="M289" t="s">
        <v>78</v>
      </c>
      <c r="N289" t="s">
        <v>108</v>
      </c>
      <c r="O289" t="s">
        <v>74</v>
      </c>
      <c r="P289" t="s">
        <v>74</v>
      </c>
      <c r="Q289" t="s">
        <v>74</v>
      </c>
      <c r="R289" t="s">
        <v>74</v>
      </c>
      <c r="S289" t="s">
        <v>74</v>
      </c>
      <c r="T289" t="s">
        <v>5630</v>
      </c>
      <c r="U289" t="s">
        <v>5631</v>
      </c>
      <c r="V289" t="s">
        <v>5632</v>
      </c>
      <c r="W289" t="s">
        <v>5633</v>
      </c>
      <c r="X289" t="s">
        <v>5634</v>
      </c>
      <c r="Y289" t="s">
        <v>5635</v>
      </c>
      <c r="Z289" t="s">
        <v>5636</v>
      </c>
      <c r="AA289" t="s">
        <v>74</v>
      </c>
      <c r="AB289" t="s">
        <v>5637</v>
      </c>
      <c r="AC289" t="s">
        <v>74</v>
      </c>
      <c r="AD289" t="s">
        <v>74</v>
      </c>
      <c r="AE289" t="s">
        <v>74</v>
      </c>
      <c r="AF289" t="s">
        <v>74</v>
      </c>
      <c r="AG289">
        <v>49</v>
      </c>
      <c r="AH289">
        <v>16</v>
      </c>
      <c r="AI289">
        <v>21</v>
      </c>
      <c r="AJ289">
        <v>23</v>
      </c>
      <c r="AK289">
        <v>112</v>
      </c>
      <c r="AL289" t="s">
        <v>357</v>
      </c>
      <c r="AM289" t="s">
        <v>358</v>
      </c>
      <c r="AN289" t="s">
        <v>359</v>
      </c>
      <c r="AO289" t="s">
        <v>360</v>
      </c>
      <c r="AP289" t="s">
        <v>361</v>
      </c>
      <c r="AQ289" t="s">
        <v>74</v>
      </c>
      <c r="AR289" t="s">
        <v>362</v>
      </c>
      <c r="AS289" t="s">
        <v>363</v>
      </c>
      <c r="AT289" t="s">
        <v>5638</v>
      </c>
      <c r="AU289">
        <v>2023</v>
      </c>
      <c r="AV289">
        <v>26</v>
      </c>
      <c r="AW289">
        <v>2</v>
      </c>
      <c r="AX289" t="s">
        <v>74</v>
      </c>
      <c r="AY289" t="s">
        <v>74</v>
      </c>
      <c r="AZ289" t="s">
        <v>74</v>
      </c>
      <c r="BA289" t="s">
        <v>74</v>
      </c>
      <c r="BB289">
        <v>80</v>
      </c>
      <c r="BC289">
        <v>89</v>
      </c>
      <c r="BD289" t="s">
        <v>74</v>
      </c>
      <c r="BE289" t="s">
        <v>5639</v>
      </c>
      <c r="BF289" t="str">
        <f>HYPERLINK("http://dx.doi.org/10.1089/cyber.2022.0117","http://dx.doi.org/10.1089/cyber.2022.0117")</f>
        <v>http://dx.doi.org/10.1089/cyber.2022.0117</v>
      </c>
      <c r="BG289" t="s">
        <v>74</v>
      </c>
      <c r="BH289" t="s">
        <v>3638</v>
      </c>
      <c r="BI289">
        <v>10</v>
      </c>
      <c r="BJ289" t="s">
        <v>367</v>
      </c>
      <c r="BK289" t="s">
        <v>99</v>
      </c>
      <c r="BL289" t="s">
        <v>301</v>
      </c>
      <c r="BM289" t="s">
        <v>5640</v>
      </c>
      <c r="BN289">
        <v>36716180</v>
      </c>
      <c r="BO289" t="s">
        <v>74</v>
      </c>
      <c r="BP289" t="s">
        <v>74</v>
      </c>
      <c r="BQ289" t="s">
        <v>74</v>
      </c>
      <c r="BR289" t="s">
        <v>102</v>
      </c>
      <c r="BS289" t="s">
        <v>5641</v>
      </c>
      <c r="BT289" t="str">
        <f>HYPERLINK("https%3A%2F%2Fwww.webofscience.com%2Fwos%2Fwoscc%2Ffull-record%2FWOS:000921679200001","View Full Record in Web of Science")</f>
        <v>View Full Record in Web of Science</v>
      </c>
    </row>
    <row r="290" spans="1:72" x14ac:dyDescent="0.35">
      <c r="A290" t="s">
        <v>72</v>
      </c>
      <c r="B290" t="s">
        <v>5642</v>
      </c>
      <c r="C290" t="s">
        <v>74</v>
      </c>
      <c r="D290" t="s">
        <v>74</v>
      </c>
      <c r="E290" t="s">
        <v>74</v>
      </c>
      <c r="F290" t="s">
        <v>5643</v>
      </c>
      <c r="G290" t="s">
        <v>74</v>
      </c>
      <c r="H290" t="s">
        <v>74</v>
      </c>
      <c r="I290" t="s">
        <v>5644</v>
      </c>
      <c r="J290" t="s">
        <v>5645</v>
      </c>
      <c r="K290" t="s">
        <v>74</v>
      </c>
      <c r="L290" t="s">
        <v>74</v>
      </c>
      <c r="M290" t="s">
        <v>78</v>
      </c>
      <c r="N290" t="s">
        <v>108</v>
      </c>
      <c r="O290" t="s">
        <v>74</v>
      </c>
      <c r="P290" t="s">
        <v>74</v>
      </c>
      <c r="Q290" t="s">
        <v>74</v>
      </c>
      <c r="R290" t="s">
        <v>74</v>
      </c>
      <c r="S290" t="s">
        <v>74</v>
      </c>
      <c r="T290" t="s">
        <v>5646</v>
      </c>
      <c r="U290" t="s">
        <v>5647</v>
      </c>
      <c r="V290" t="s">
        <v>5648</v>
      </c>
      <c r="W290" t="s">
        <v>5649</v>
      </c>
      <c r="X290" t="s">
        <v>5650</v>
      </c>
      <c r="Y290" t="s">
        <v>5651</v>
      </c>
      <c r="Z290" t="s">
        <v>5652</v>
      </c>
      <c r="AA290" t="s">
        <v>5653</v>
      </c>
      <c r="AB290" t="s">
        <v>5654</v>
      </c>
      <c r="AC290" t="s">
        <v>74</v>
      </c>
      <c r="AD290" t="s">
        <v>74</v>
      </c>
      <c r="AE290" t="s">
        <v>74</v>
      </c>
      <c r="AF290" t="s">
        <v>74</v>
      </c>
      <c r="AG290">
        <v>120</v>
      </c>
      <c r="AH290">
        <v>6</v>
      </c>
      <c r="AI290">
        <v>6</v>
      </c>
      <c r="AJ290">
        <v>23</v>
      </c>
      <c r="AK290">
        <v>49</v>
      </c>
      <c r="AL290" t="s">
        <v>171</v>
      </c>
      <c r="AM290" t="s">
        <v>172</v>
      </c>
      <c r="AN290" t="s">
        <v>173</v>
      </c>
      <c r="AO290" t="s">
        <v>5655</v>
      </c>
      <c r="AP290" t="s">
        <v>5656</v>
      </c>
      <c r="AQ290" t="s">
        <v>74</v>
      </c>
      <c r="AR290" t="s">
        <v>5657</v>
      </c>
      <c r="AS290" t="s">
        <v>5658</v>
      </c>
      <c r="AT290" t="s">
        <v>1484</v>
      </c>
      <c r="AU290">
        <v>2024</v>
      </c>
      <c r="AV290">
        <v>24</v>
      </c>
      <c r="AW290">
        <v>1</v>
      </c>
      <c r="AX290" t="s">
        <v>74</v>
      </c>
      <c r="AY290" t="s">
        <v>74</v>
      </c>
      <c r="AZ290" t="s">
        <v>74</v>
      </c>
      <c r="BA290" t="s">
        <v>74</v>
      </c>
      <c r="BB290">
        <v>75</v>
      </c>
      <c r="BC290">
        <v>103</v>
      </c>
      <c r="BD290" t="s">
        <v>74</v>
      </c>
      <c r="BE290" t="s">
        <v>5659</v>
      </c>
      <c r="BF290" t="str">
        <f>HYPERLINK("http://dx.doi.org/10.1177/14687976231218483","http://dx.doi.org/10.1177/14687976231218483")</f>
        <v>http://dx.doi.org/10.1177/14687976231218483</v>
      </c>
      <c r="BG290" t="s">
        <v>74</v>
      </c>
      <c r="BH290" t="s">
        <v>1449</v>
      </c>
      <c r="BI290">
        <v>29</v>
      </c>
      <c r="BJ290" t="s">
        <v>574</v>
      </c>
      <c r="BK290" t="s">
        <v>99</v>
      </c>
      <c r="BL290" t="s">
        <v>100</v>
      </c>
      <c r="BM290" t="s">
        <v>5660</v>
      </c>
      <c r="BN290" t="s">
        <v>74</v>
      </c>
      <c r="BO290" t="s">
        <v>156</v>
      </c>
      <c r="BP290" t="s">
        <v>74</v>
      </c>
      <c r="BQ290" t="s">
        <v>74</v>
      </c>
      <c r="BR290" t="s">
        <v>102</v>
      </c>
      <c r="BS290" t="s">
        <v>5661</v>
      </c>
      <c r="BT290" t="str">
        <f>HYPERLINK("https%3A%2F%2Fwww.webofscience.com%2Fwos%2Fwoscc%2Ffull-record%2FWOS:001125890400001","View Full Record in Web of Science")</f>
        <v>View Full Record in Web of Science</v>
      </c>
    </row>
    <row r="291" spans="1:72" x14ac:dyDescent="0.35">
      <c r="A291" t="s">
        <v>72</v>
      </c>
      <c r="B291" t="s">
        <v>5662</v>
      </c>
      <c r="C291" t="s">
        <v>74</v>
      </c>
      <c r="D291" t="s">
        <v>74</v>
      </c>
      <c r="E291" t="s">
        <v>74</v>
      </c>
      <c r="F291" t="s">
        <v>5663</v>
      </c>
      <c r="G291" t="s">
        <v>74</v>
      </c>
      <c r="H291" t="s">
        <v>74</v>
      </c>
      <c r="I291" t="s">
        <v>5664</v>
      </c>
      <c r="J291" t="s">
        <v>4192</v>
      </c>
      <c r="K291" t="s">
        <v>74</v>
      </c>
      <c r="L291" t="s">
        <v>74</v>
      </c>
      <c r="M291" t="s">
        <v>78</v>
      </c>
      <c r="N291" t="s">
        <v>108</v>
      </c>
      <c r="O291" t="s">
        <v>74</v>
      </c>
      <c r="P291" t="s">
        <v>74</v>
      </c>
      <c r="Q291" t="s">
        <v>74</v>
      </c>
      <c r="R291" t="s">
        <v>74</v>
      </c>
      <c r="S291" t="s">
        <v>74</v>
      </c>
      <c r="T291" t="s">
        <v>5665</v>
      </c>
      <c r="U291" t="s">
        <v>5666</v>
      </c>
      <c r="V291" t="s">
        <v>5667</v>
      </c>
      <c r="W291" t="s">
        <v>5668</v>
      </c>
      <c r="X291" t="s">
        <v>5669</v>
      </c>
      <c r="Y291" t="s">
        <v>5670</v>
      </c>
      <c r="Z291" t="s">
        <v>5671</v>
      </c>
      <c r="AA291" t="s">
        <v>5672</v>
      </c>
      <c r="AB291" t="s">
        <v>5673</v>
      </c>
      <c r="AC291" t="s">
        <v>74</v>
      </c>
      <c r="AD291" t="s">
        <v>74</v>
      </c>
      <c r="AE291" t="s">
        <v>74</v>
      </c>
      <c r="AF291" t="s">
        <v>74</v>
      </c>
      <c r="AG291">
        <v>41</v>
      </c>
      <c r="AH291">
        <v>25</v>
      </c>
      <c r="AI291">
        <v>28</v>
      </c>
      <c r="AJ291">
        <v>10</v>
      </c>
      <c r="AK291">
        <v>66</v>
      </c>
      <c r="AL291" t="s">
        <v>4200</v>
      </c>
      <c r="AM291" t="s">
        <v>5674</v>
      </c>
      <c r="AN291" t="s">
        <v>5675</v>
      </c>
      <c r="AO291" t="s">
        <v>4203</v>
      </c>
      <c r="AP291" t="s">
        <v>4204</v>
      </c>
      <c r="AQ291" t="s">
        <v>74</v>
      </c>
      <c r="AR291" t="s">
        <v>4205</v>
      </c>
      <c r="AS291" t="s">
        <v>4206</v>
      </c>
      <c r="AT291" t="s">
        <v>257</v>
      </c>
      <c r="AU291">
        <v>2021</v>
      </c>
      <c r="AV291" t="s">
        <v>74</v>
      </c>
      <c r="AW291">
        <v>64</v>
      </c>
      <c r="AX291" t="s">
        <v>74</v>
      </c>
      <c r="AY291" t="s">
        <v>74</v>
      </c>
      <c r="AZ291" t="s">
        <v>74</v>
      </c>
      <c r="BA291" t="s">
        <v>74</v>
      </c>
      <c r="BB291">
        <v>65</v>
      </c>
      <c r="BC291">
        <v>84</v>
      </c>
      <c r="BD291" t="s">
        <v>74</v>
      </c>
      <c r="BE291" t="s">
        <v>5676</v>
      </c>
      <c r="BF291" t="str">
        <f>HYPERLINK("http://dx.doi.org/10.5565/rev/analisi.3411","http://dx.doi.org/10.5565/rev/analisi.3411")</f>
        <v>http://dx.doi.org/10.5565/rev/analisi.3411</v>
      </c>
      <c r="BG291" t="s">
        <v>74</v>
      </c>
      <c r="BH291" t="s">
        <v>74</v>
      </c>
      <c r="BI291">
        <v>20</v>
      </c>
      <c r="BJ291" t="s">
        <v>124</v>
      </c>
      <c r="BK291" t="s">
        <v>125</v>
      </c>
      <c r="BL291" t="s">
        <v>124</v>
      </c>
      <c r="BM291" t="s">
        <v>5677</v>
      </c>
      <c r="BN291" t="s">
        <v>74</v>
      </c>
      <c r="BO291" t="s">
        <v>5678</v>
      </c>
      <c r="BP291" t="s">
        <v>74</v>
      </c>
      <c r="BQ291" t="s">
        <v>74</v>
      </c>
      <c r="BR291" t="s">
        <v>102</v>
      </c>
      <c r="BS291" t="s">
        <v>5679</v>
      </c>
      <c r="BT291" t="str">
        <f>HYPERLINK("https%3A%2F%2Fwww.webofscience.com%2Fwos%2Fwoscc%2Ffull-record%2FWOS:000732622000005","View Full Record in Web of Science")</f>
        <v>View Full Record in Web of Science</v>
      </c>
    </row>
    <row r="292" spans="1:72" x14ac:dyDescent="0.35">
      <c r="A292" t="s">
        <v>72</v>
      </c>
      <c r="B292" t="s">
        <v>5680</v>
      </c>
      <c r="C292" t="s">
        <v>74</v>
      </c>
      <c r="D292" t="s">
        <v>74</v>
      </c>
      <c r="E292" t="s">
        <v>74</v>
      </c>
      <c r="F292" t="s">
        <v>5681</v>
      </c>
      <c r="G292" t="s">
        <v>74</v>
      </c>
      <c r="H292" t="s">
        <v>74</v>
      </c>
      <c r="I292" t="s">
        <v>5682</v>
      </c>
      <c r="J292" t="s">
        <v>793</v>
      </c>
      <c r="K292" t="s">
        <v>74</v>
      </c>
      <c r="L292" t="s">
        <v>74</v>
      </c>
      <c r="M292" t="s">
        <v>78</v>
      </c>
      <c r="N292" t="s">
        <v>108</v>
      </c>
      <c r="O292" t="s">
        <v>74</v>
      </c>
      <c r="P292" t="s">
        <v>74</v>
      </c>
      <c r="Q292" t="s">
        <v>74</v>
      </c>
      <c r="R292" t="s">
        <v>74</v>
      </c>
      <c r="S292" t="s">
        <v>74</v>
      </c>
      <c r="T292" t="s">
        <v>5683</v>
      </c>
      <c r="U292" t="s">
        <v>74</v>
      </c>
      <c r="V292" t="s">
        <v>5684</v>
      </c>
      <c r="W292" t="s">
        <v>5685</v>
      </c>
      <c r="X292" t="s">
        <v>5686</v>
      </c>
      <c r="Y292" t="s">
        <v>5687</v>
      </c>
      <c r="Z292" t="s">
        <v>5688</v>
      </c>
      <c r="AA292" t="s">
        <v>5689</v>
      </c>
      <c r="AB292" t="s">
        <v>74</v>
      </c>
      <c r="AC292" t="s">
        <v>74</v>
      </c>
      <c r="AD292" t="s">
        <v>74</v>
      </c>
      <c r="AE292" t="s">
        <v>74</v>
      </c>
      <c r="AF292" t="s">
        <v>74</v>
      </c>
      <c r="AG292">
        <v>16</v>
      </c>
      <c r="AH292">
        <v>0</v>
      </c>
      <c r="AI292">
        <v>0</v>
      </c>
      <c r="AJ292">
        <v>2</v>
      </c>
      <c r="AK292">
        <v>2</v>
      </c>
      <c r="AL292" t="s">
        <v>803</v>
      </c>
      <c r="AM292" t="s">
        <v>227</v>
      </c>
      <c r="AN292" t="s">
        <v>804</v>
      </c>
      <c r="AO292" t="s">
        <v>74</v>
      </c>
      <c r="AP292" t="s">
        <v>805</v>
      </c>
      <c r="AQ292" t="s">
        <v>74</v>
      </c>
      <c r="AR292" t="s">
        <v>806</v>
      </c>
      <c r="AS292" t="s">
        <v>807</v>
      </c>
      <c r="AT292" t="s">
        <v>5690</v>
      </c>
      <c r="AU292">
        <v>2024</v>
      </c>
      <c r="AV292">
        <v>16</v>
      </c>
      <c r="AW292">
        <v>4</v>
      </c>
      <c r="AX292" t="s">
        <v>74</v>
      </c>
      <c r="AY292" t="s">
        <v>74</v>
      </c>
      <c r="AZ292" t="s">
        <v>74</v>
      </c>
      <c r="BA292" t="s">
        <v>74</v>
      </c>
      <c r="BB292" t="s">
        <v>74</v>
      </c>
      <c r="BC292" t="s">
        <v>74</v>
      </c>
      <c r="BD292" t="s">
        <v>5691</v>
      </c>
      <c r="BE292" t="s">
        <v>5692</v>
      </c>
      <c r="BF292" t="str">
        <f>HYPERLINK("http://dx.doi.org/10.7759/cureus.57401","http://dx.doi.org/10.7759/cureus.57401")</f>
        <v>http://dx.doi.org/10.7759/cureus.57401</v>
      </c>
      <c r="BG292" t="s">
        <v>74</v>
      </c>
      <c r="BH292" t="s">
        <v>74</v>
      </c>
      <c r="BI292">
        <v>6</v>
      </c>
      <c r="BJ292" t="s">
        <v>811</v>
      </c>
      <c r="BK292" t="s">
        <v>125</v>
      </c>
      <c r="BL292" t="s">
        <v>812</v>
      </c>
      <c r="BM292" t="s">
        <v>5693</v>
      </c>
      <c r="BN292">
        <v>38694685</v>
      </c>
      <c r="BO292" t="s">
        <v>552</v>
      </c>
      <c r="BP292" t="s">
        <v>74</v>
      </c>
      <c r="BQ292" t="s">
        <v>74</v>
      </c>
      <c r="BR292" t="s">
        <v>102</v>
      </c>
      <c r="BS292" t="s">
        <v>5694</v>
      </c>
      <c r="BT292" t="str">
        <f>HYPERLINK("https%3A%2F%2Fwww.webofscience.com%2Fwos%2Fwoscc%2Ffull-record%2FWOS:001207029100030","View Full Record in Web of Science")</f>
        <v>View Full Record in Web of Science</v>
      </c>
    </row>
    <row r="293" spans="1:72" x14ac:dyDescent="0.35">
      <c r="A293" t="s">
        <v>72</v>
      </c>
      <c r="B293" t="s">
        <v>5695</v>
      </c>
      <c r="C293" t="s">
        <v>74</v>
      </c>
      <c r="D293" t="s">
        <v>74</v>
      </c>
      <c r="E293" t="s">
        <v>74</v>
      </c>
      <c r="F293" t="s">
        <v>5696</v>
      </c>
      <c r="G293" t="s">
        <v>74</v>
      </c>
      <c r="H293" t="s">
        <v>74</v>
      </c>
      <c r="I293" t="s">
        <v>5697</v>
      </c>
      <c r="J293" t="s">
        <v>1034</v>
      </c>
      <c r="K293" t="s">
        <v>74</v>
      </c>
      <c r="L293" t="s">
        <v>74</v>
      </c>
      <c r="M293" t="s">
        <v>78</v>
      </c>
      <c r="N293" t="s">
        <v>108</v>
      </c>
      <c r="O293" t="s">
        <v>74</v>
      </c>
      <c r="P293" t="s">
        <v>74</v>
      </c>
      <c r="Q293" t="s">
        <v>74</v>
      </c>
      <c r="R293" t="s">
        <v>74</v>
      </c>
      <c r="S293" t="s">
        <v>74</v>
      </c>
      <c r="T293" t="s">
        <v>5698</v>
      </c>
      <c r="U293" t="s">
        <v>74</v>
      </c>
      <c r="V293" t="s">
        <v>5699</v>
      </c>
      <c r="W293" t="s">
        <v>5700</v>
      </c>
      <c r="X293" t="s">
        <v>5701</v>
      </c>
      <c r="Y293" t="s">
        <v>5702</v>
      </c>
      <c r="Z293" t="s">
        <v>5703</v>
      </c>
      <c r="AA293" t="s">
        <v>74</v>
      </c>
      <c r="AB293" t="s">
        <v>74</v>
      </c>
      <c r="AC293" t="s">
        <v>74</v>
      </c>
      <c r="AD293" t="s">
        <v>74</v>
      </c>
      <c r="AE293" t="s">
        <v>74</v>
      </c>
      <c r="AF293" t="s">
        <v>74</v>
      </c>
      <c r="AG293">
        <v>36</v>
      </c>
      <c r="AH293">
        <v>3</v>
      </c>
      <c r="AI293">
        <v>3</v>
      </c>
      <c r="AJ293">
        <v>15</v>
      </c>
      <c r="AK293">
        <v>63</v>
      </c>
      <c r="AL293" t="s">
        <v>226</v>
      </c>
      <c r="AM293" t="s">
        <v>227</v>
      </c>
      <c r="AN293" t="s">
        <v>228</v>
      </c>
      <c r="AO293" t="s">
        <v>1041</v>
      </c>
      <c r="AP293" t="s">
        <v>1042</v>
      </c>
      <c r="AQ293" t="s">
        <v>74</v>
      </c>
      <c r="AR293" t="s">
        <v>1043</v>
      </c>
      <c r="AS293" t="s">
        <v>1044</v>
      </c>
      <c r="AT293" t="s">
        <v>1484</v>
      </c>
      <c r="AU293">
        <v>2023</v>
      </c>
      <c r="AV293">
        <v>45</v>
      </c>
      <c r="AW293">
        <v>2</v>
      </c>
      <c r="AX293" t="s">
        <v>74</v>
      </c>
      <c r="AY293" t="s">
        <v>74</v>
      </c>
      <c r="AZ293" t="s">
        <v>74</v>
      </c>
      <c r="BA293" t="s">
        <v>74</v>
      </c>
      <c r="BB293">
        <v>323</v>
      </c>
      <c r="BC293">
        <v>337</v>
      </c>
      <c r="BD293" t="s">
        <v>74</v>
      </c>
      <c r="BE293" t="s">
        <v>5704</v>
      </c>
      <c r="BF293" t="str">
        <f>HYPERLINK("http://dx.doi.org/10.1177/01634437221136006","http://dx.doi.org/10.1177/01634437221136006")</f>
        <v>http://dx.doi.org/10.1177/01634437221136006</v>
      </c>
      <c r="BG293" t="s">
        <v>74</v>
      </c>
      <c r="BH293" t="s">
        <v>3970</v>
      </c>
      <c r="BI293">
        <v>15</v>
      </c>
      <c r="BJ293" t="s">
        <v>1047</v>
      </c>
      <c r="BK293" t="s">
        <v>99</v>
      </c>
      <c r="BL293" t="s">
        <v>1047</v>
      </c>
      <c r="BM293" t="s">
        <v>5705</v>
      </c>
      <c r="BN293" t="s">
        <v>74</v>
      </c>
      <c r="BO293" t="s">
        <v>74</v>
      </c>
      <c r="BP293" t="s">
        <v>74</v>
      </c>
      <c r="BQ293" t="s">
        <v>74</v>
      </c>
      <c r="BR293" t="s">
        <v>102</v>
      </c>
      <c r="BS293" t="s">
        <v>5706</v>
      </c>
      <c r="BT293" t="str">
        <f>HYPERLINK("https%3A%2F%2Fwww.webofscience.com%2Fwos%2Fwoscc%2Ffull-record%2FWOS:000903963600001","View Full Record in Web of Science")</f>
        <v>View Full Record in Web of Science</v>
      </c>
    </row>
    <row r="294" spans="1:72" x14ac:dyDescent="0.35">
      <c r="A294" t="s">
        <v>72</v>
      </c>
      <c r="B294" t="s">
        <v>5707</v>
      </c>
      <c r="C294" t="s">
        <v>74</v>
      </c>
      <c r="D294" t="s">
        <v>74</v>
      </c>
      <c r="E294" t="s">
        <v>74</v>
      </c>
      <c r="F294" t="s">
        <v>5708</v>
      </c>
      <c r="G294" t="s">
        <v>74</v>
      </c>
      <c r="H294" t="s">
        <v>74</v>
      </c>
      <c r="I294" t="s">
        <v>5709</v>
      </c>
      <c r="J294" t="s">
        <v>4112</v>
      </c>
      <c r="K294" t="s">
        <v>74</v>
      </c>
      <c r="L294" t="s">
        <v>74</v>
      </c>
      <c r="M294" t="s">
        <v>78</v>
      </c>
      <c r="N294" t="s">
        <v>108</v>
      </c>
      <c r="O294" t="s">
        <v>74</v>
      </c>
      <c r="P294" t="s">
        <v>74</v>
      </c>
      <c r="Q294" t="s">
        <v>74</v>
      </c>
      <c r="R294" t="s">
        <v>74</v>
      </c>
      <c r="S294" t="s">
        <v>74</v>
      </c>
      <c r="T294" t="s">
        <v>5710</v>
      </c>
      <c r="U294" t="s">
        <v>5711</v>
      </c>
      <c r="V294" t="s">
        <v>5712</v>
      </c>
      <c r="W294" t="s">
        <v>5713</v>
      </c>
      <c r="X294" t="s">
        <v>5714</v>
      </c>
      <c r="Y294" t="s">
        <v>5715</v>
      </c>
      <c r="Z294" t="s">
        <v>5716</v>
      </c>
      <c r="AA294" t="s">
        <v>74</v>
      </c>
      <c r="AB294" t="s">
        <v>5717</v>
      </c>
      <c r="AC294" t="s">
        <v>74</v>
      </c>
      <c r="AD294" t="s">
        <v>74</v>
      </c>
      <c r="AE294" t="s">
        <v>74</v>
      </c>
      <c r="AF294" t="s">
        <v>74</v>
      </c>
      <c r="AG294">
        <v>50</v>
      </c>
      <c r="AH294">
        <v>1</v>
      </c>
      <c r="AI294">
        <v>1</v>
      </c>
      <c r="AJ294">
        <v>4</v>
      </c>
      <c r="AK294">
        <v>4</v>
      </c>
      <c r="AL294" t="s">
        <v>543</v>
      </c>
      <c r="AM294" t="s">
        <v>544</v>
      </c>
      <c r="AN294" t="s">
        <v>545</v>
      </c>
      <c r="AO294" t="s">
        <v>74</v>
      </c>
      <c r="AP294" t="s">
        <v>4124</v>
      </c>
      <c r="AQ294" t="s">
        <v>74</v>
      </c>
      <c r="AR294" t="s">
        <v>4125</v>
      </c>
      <c r="AS294" t="s">
        <v>4126</v>
      </c>
      <c r="AT294" t="s">
        <v>74</v>
      </c>
      <c r="AU294">
        <v>2024</v>
      </c>
      <c r="AV294">
        <v>4</v>
      </c>
      <c r="AW294">
        <v>1</v>
      </c>
      <c r="AX294" t="s">
        <v>74</v>
      </c>
      <c r="AY294" t="s">
        <v>74</v>
      </c>
      <c r="AZ294" t="s">
        <v>74</v>
      </c>
      <c r="BA294" t="s">
        <v>74</v>
      </c>
      <c r="BB294" t="s">
        <v>74</v>
      </c>
      <c r="BC294" t="s">
        <v>74</v>
      </c>
      <c r="BD294" t="s">
        <v>5718</v>
      </c>
      <c r="BE294" t="s">
        <v>5719</v>
      </c>
      <c r="BF294" t="str">
        <f>HYPERLINK("http://dx.doi.org/10.2196/51211","http://dx.doi.org/10.2196/51211")</f>
        <v>http://dx.doi.org/10.2196/51211</v>
      </c>
      <c r="BG294" t="s">
        <v>74</v>
      </c>
      <c r="BH294" t="s">
        <v>74</v>
      </c>
      <c r="BI294">
        <v>12</v>
      </c>
      <c r="BJ294" t="s">
        <v>4129</v>
      </c>
      <c r="BK294" t="s">
        <v>125</v>
      </c>
      <c r="BL294" t="s">
        <v>4129</v>
      </c>
      <c r="BM294" t="s">
        <v>5720</v>
      </c>
      <c r="BN294">
        <v>38631030</v>
      </c>
      <c r="BO294" t="s">
        <v>394</v>
      </c>
      <c r="BP294" t="s">
        <v>74</v>
      </c>
      <c r="BQ294" t="s">
        <v>74</v>
      </c>
      <c r="BR294" t="s">
        <v>102</v>
      </c>
      <c r="BS294" t="s">
        <v>5721</v>
      </c>
      <c r="BT294" t="str">
        <f>HYPERLINK("https%3A%2F%2Fwww.webofscience.com%2Fwos%2Fwoscc%2Ffull-record%2FWOS:001216176900001","View Full Record in Web of Science")</f>
        <v>View Full Record in Web of Science</v>
      </c>
    </row>
    <row r="295" spans="1:72" x14ac:dyDescent="0.35">
      <c r="A295" t="s">
        <v>72</v>
      </c>
      <c r="B295" t="s">
        <v>5722</v>
      </c>
      <c r="C295" t="s">
        <v>74</v>
      </c>
      <c r="D295" t="s">
        <v>74</v>
      </c>
      <c r="E295" t="s">
        <v>74</v>
      </c>
      <c r="F295" t="s">
        <v>5723</v>
      </c>
      <c r="G295" t="s">
        <v>74</v>
      </c>
      <c r="H295" t="s">
        <v>74</v>
      </c>
      <c r="I295" t="s">
        <v>5724</v>
      </c>
      <c r="J295" t="s">
        <v>5725</v>
      </c>
      <c r="K295" t="s">
        <v>74</v>
      </c>
      <c r="L295" t="s">
        <v>74</v>
      </c>
      <c r="M295" t="s">
        <v>78</v>
      </c>
      <c r="N295" t="s">
        <v>108</v>
      </c>
      <c r="O295" t="s">
        <v>74</v>
      </c>
      <c r="P295" t="s">
        <v>74</v>
      </c>
      <c r="Q295" t="s">
        <v>74</v>
      </c>
      <c r="R295" t="s">
        <v>74</v>
      </c>
      <c r="S295" t="s">
        <v>74</v>
      </c>
      <c r="T295" t="s">
        <v>5726</v>
      </c>
      <c r="U295" t="s">
        <v>74</v>
      </c>
      <c r="V295" t="s">
        <v>5727</v>
      </c>
      <c r="W295" t="s">
        <v>5728</v>
      </c>
      <c r="X295" t="s">
        <v>5729</v>
      </c>
      <c r="Y295" t="s">
        <v>5730</v>
      </c>
      <c r="Z295" t="s">
        <v>5731</v>
      </c>
      <c r="AA295" t="s">
        <v>5732</v>
      </c>
      <c r="AB295" t="s">
        <v>5733</v>
      </c>
      <c r="AC295" t="s">
        <v>5734</v>
      </c>
      <c r="AD295" t="s">
        <v>5735</v>
      </c>
      <c r="AE295" t="s">
        <v>2921</v>
      </c>
      <c r="AF295" t="s">
        <v>74</v>
      </c>
      <c r="AG295">
        <v>48</v>
      </c>
      <c r="AH295">
        <v>1</v>
      </c>
      <c r="AI295">
        <v>1</v>
      </c>
      <c r="AJ295">
        <v>11</v>
      </c>
      <c r="AK295">
        <v>22</v>
      </c>
      <c r="AL295" t="s">
        <v>1195</v>
      </c>
      <c r="AM295" t="s">
        <v>1196</v>
      </c>
      <c r="AN295" t="s">
        <v>1197</v>
      </c>
      <c r="AO295" t="s">
        <v>74</v>
      </c>
      <c r="AP295" t="s">
        <v>5736</v>
      </c>
      <c r="AQ295" t="s">
        <v>74</v>
      </c>
      <c r="AR295" t="s">
        <v>5737</v>
      </c>
      <c r="AS295" t="s">
        <v>5738</v>
      </c>
      <c r="AT295" t="s">
        <v>232</v>
      </c>
      <c r="AU295">
        <v>2024</v>
      </c>
      <c r="AV295">
        <v>13</v>
      </c>
      <c r="AW295">
        <v>1</v>
      </c>
      <c r="AX295" t="s">
        <v>74</v>
      </c>
      <c r="AY295" t="s">
        <v>74</v>
      </c>
      <c r="AZ295" t="s">
        <v>74</v>
      </c>
      <c r="BA295" t="s">
        <v>74</v>
      </c>
      <c r="BB295" t="s">
        <v>74</v>
      </c>
      <c r="BC295" t="s">
        <v>74</v>
      </c>
      <c r="BD295">
        <v>49</v>
      </c>
      <c r="BE295" t="s">
        <v>5739</v>
      </c>
      <c r="BF295" t="str">
        <f>HYPERLINK("http://dx.doi.org/10.3390/socsci13010049","http://dx.doi.org/10.3390/socsci13010049")</f>
        <v>http://dx.doi.org/10.3390/socsci13010049</v>
      </c>
      <c r="BG295" t="s">
        <v>74</v>
      </c>
      <c r="BH295" t="s">
        <v>74</v>
      </c>
      <c r="BI295">
        <v>16</v>
      </c>
      <c r="BJ295" t="s">
        <v>98</v>
      </c>
      <c r="BK295" t="s">
        <v>125</v>
      </c>
      <c r="BL295" t="s">
        <v>100</v>
      </c>
      <c r="BM295" t="s">
        <v>5740</v>
      </c>
      <c r="BN295" t="s">
        <v>74</v>
      </c>
      <c r="BO295" t="s">
        <v>235</v>
      </c>
      <c r="BP295" t="s">
        <v>74</v>
      </c>
      <c r="BQ295" t="s">
        <v>74</v>
      </c>
      <c r="BR295" t="s">
        <v>102</v>
      </c>
      <c r="BS295" t="s">
        <v>5741</v>
      </c>
      <c r="BT295" t="str">
        <f>HYPERLINK("https%3A%2F%2Fwww.webofscience.com%2Fwos%2Fwoscc%2Ffull-record%2FWOS:001151069800001","View Full Record in Web of Science")</f>
        <v>View Full Record in Web of Science</v>
      </c>
    </row>
    <row r="296" spans="1:72" x14ac:dyDescent="0.35">
      <c r="A296" t="s">
        <v>72</v>
      </c>
      <c r="B296" t="s">
        <v>5742</v>
      </c>
      <c r="C296" t="s">
        <v>74</v>
      </c>
      <c r="D296" t="s">
        <v>74</v>
      </c>
      <c r="E296" t="s">
        <v>74</v>
      </c>
      <c r="F296" t="s">
        <v>5743</v>
      </c>
      <c r="G296" t="s">
        <v>74</v>
      </c>
      <c r="H296" t="s">
        <v>74</v>
      </c>
      <c r="I296" t="s">
        <v>5744</v>
      </c>
      <c r="J296" t="s">
        <v>5745</v>
      </c>
      <c r="K296" t="s">
        <v>74</v>
      </c>
      <c r="L296" t="s">
        <v>74</v>
      </c>
      <c r="M296" t="s">
        <v>78</v>
      </c>
      <c r="N296" t="s">
        <v>108</v>
      </c>
      <c r="O296" t="s">
        <v>74</v>
      </c>
      <c r="P296" t="s">
        <v>74</v>
      </c>
      <c r="Q296" t="s">
        <v>74</v>
      </c>
      <c r="R296" t="s">
        <v>74</v>
      </c>
      <c r="S296" t="s">
        <v>74</v>
      </c>
      <c r="T296" t="s">
        <v>74</v>
      </c>
      <c r="U296" t="s">
        <v>5746</v>
      </c>
      <c r="V296" t="s">
        <v>5747</v>
      </c>
      <c r="W296" t="s">
        <v>5748</v>
      </c>
      <c r="X296" t="s">
        <v>5749</v>
      </c>
      <c r="Y296" t="s">
        <v>5750</v>
      </c>
      <c r="Z296" t="s">
        <v>5751</v>
      </c>
      <c r="AA296" t="s">
        <v>5752</v>
      </c>
      <c r="AB296" t="s">
        <v>5753</v>
      </c>
      <c r="AC296" t="s">
        <v>5754</v>
      </c>
      <c r="AD296" t="s">
        <v>5754</v>
      </c>
      <c r="AE296" t="s">
        <v>5755</v>
      </c>
      <c r="AF296" t="s">
        <v>74</v>
      </c>
      <c r="AG296">
        <v>67</v>
      </c>
      <c r="AH296">
        <v>1</v>
      </c>
      <c r="AI296">
        <v>1</v>
      </c>
      <c r="AJ296">
        <v>0</v>
      </c>
      <c r="AK296">
        <v>29</v>
      </c>
      <c r="AL296" t="s">
        <v>994</v>
      </c>
      <c r="AM296" t="s">
        <v>995</v>
      </c>
      <c r="AN296" t="s">
        <v>996</v>
      </c>
      <c r="AO296" t="s">
        <v>5756</v>
      </c>
      <c r="AP296" t="s">
        <v>5757</v>
      </c>
      <c r="AQ296" t="s">
        <v>74</v>
      </c>
      <c r="AR296" t="s">
        <v>5758</v>
      </c>
      <c r="AS296" t="s">
        <v>5759</v>
      </c>
      <c r="AT296" t="s">
        <v>5760</v>
      </c>
      <c r="AU296">
        <v>2022</v>
      </c>
      <c r="AV296">
        <v>48</v>
      </c>
      <c r="AW296">
        <v>10</v>
      </c>
      <c r="AX296" t="s">
        <v>74</v>
      </c>
      <c r="AY296" t="s">
        <v>74</v>
      </c>
      <c r="AZ296" t="s">
        <v>74</v>
      </c>
      <c r="BA296" t="s">
        <v>74</v>
      </c>
      <c r="BB296">
        <v>458</v>
      </c>
      <c r="BC296">
        <v>471</v>
      </c>
      <c r="BD296" t="s">
        <v>74</v>
      </c>
      <c r="BE296" t="s">
        <v>5761</v>
      </c>
      <c r="BF296" t="str">
        <f>HYPERLINK("http://dx.doi.org/10.1080/03601277.2022.2046372","http://dx.doi.org/10.1080/03601277.2022.2046372")</f>
        <v>http://dx.doi.org/10.1080/03601277.2022.2046372</v>
      </c>
      <c r="BG296" t="s">
        <v>74</v>
      </c>
      <c r="BH296" t="s">
        <v>4460</v>
      </c>
      <c r="BI296">
        <v>14</v>
      </c>
      <c r="BJ296" t="s">
        <v>5762</v>
      </c>
      <c r="BK296" t="s">
        <v>99</v>
      </c>
      <c r="BL296" t="s">
        <v>5763</v>
      </c>
      <c r="BM296" t="s">
        <v>5764</v>
      </c>
      <c r="BN296" t="s">
        <v>74</v>
      </c>
      <c r="BO296" t="s">
        <v>74</v>
      </c>
      <c r="BP296" t="s">
        <v>74</v>
      </c>
      <c r="BQ296" t="s">
        <v>74</v>
      </c>
      <c r="BR296" t="s">
        <v>102</v>
      </c>
      <c r="BS296" t="s">
        <v>5765</v>
      </c>
      <c r="BT296" t="str">
        <f>HYPERLINK("https%3A%2F%2Fwww.webofscience.com%2Fwos%2Fwoscc%2Ffull-record%2FWOS:000763137600001","View Full Record in Web of Science")</f>
        <v>View Full Record in Web of Science</v>
      </c>
    </row>
    <row r="297" spans="1:72" x14ac:dyDescent="0.35">
      <c r="A297" t="s">
        <v>72</v>
      </c>
      <c r="B297" t="s">
        <v>5766</v>
      </c>
      <c r="C297" t="s">
        <v>74</v>
      </c>
      <c r="D297" t="s">
        <v>74</v>
      </c>
      <c r="E297" t="s">
        <v>74</v>
      </c>
      <c r="F297" t="s">
        <v>5767</v>
      </c>
      <c r="G297" t="s">
        <v>74</v>
      </c>
      <c r="H297" t="s">
        <v>74</v>
      </c>
      <c r="I297" t="s">
        <v>5768</v>
      </c>
      <c r="J297" t="s">
        <v>5769</v>
      </c>
      <c r="K297" t="s">
        <v>74</v>
      </c>
      <c r="L297" t="s">
        <v>74</v>
      </c>
      <c r="M297" t="s">
        <v>78</v>
      </c>
      <c r="N297" t="s">
        <v>108</v>
      </c>
      <c r="O297" t="s">
        <v>74</v>
      </c>
      <c r="P297" t="s">
        <v>74</v>
      </c>
      <c r="Q297" t="s">
        <v>74</v>
      </c>
      <c r="R297" t="s">
        <v>74</v>
      </c>
      <c r="S297" t="s">
        <v>74</v>
      </c>
      <c r="T297" t="s">
        <v>5770</v>
      </c>
      <c r="U297" t="s">
        <v>5771</v>
      </c>
      <c r="V297" t="s">
        <v>5772</v>
      </c>
      <c r="W297" t="s">
        <v>5773</v>
      </c>
      <c r="X297" t="s">
        <v>5774</v>
      </c>
      <c r="Y297" t="s">
        <v>5775</v>
      </c>
      <c r="Z297" t="s">
        <v>5776</v>
      </c>
      <c r="AA297" t="s">
        <v>5777</v>
      </c>
      <c r="AB297" t="s">
        <v>5778</v>
      </c>
      <c r="AC297" t="s">
        <v>5779</v>
      </c>
      <c r="AD297" t="s">
        <v>5779</v>
      </c>
      <c r="AE297" t="s">
        <v>5780</v>
      </c>
      <c r="AF297" t="s">
        <v>74</v>
      </c>
      <c r="AG297">
        <v>77</v>
      </c>
      <c r="AH297">
        <v>5</v>
      </c>
      <c r="AI297">
        <v>6</v>
      </c>
      <c r="AJ297">
        <v>1</v>
      </c>
      <c r="AK297">
        <v>20</v>
      </c>
      <c r="AL297" t="s">
        <v>5781</v>
      </c>
      <c r="AM297" t="s">
        <v>5782</v>
      </c>
      <c r="AN297" t="s">
        <v>5783</v>
      </c>
      <c r="AO297" t="s">
        <v>5784</v>
      </c>
      <c r="AP297" t="s">
        <v>5785</v>
      </c>
      <c r="AQ297" t="s">
        <v>74</v>
      </c>
      <c r="AR297" t="s">
        <v>5786</v>
      </c>
      <c r="AS297" t="s">
        <v>5787</v>
      </c>
      <c r="AT297" t="s">
        <v>1275</v>
      </c>
      <c r="AU297">
        <v>2022</v>
      </c>
      <c r="AV297">
        <v>12</v>
      </c>
      <c r="AW297">
        <v>1</v>
      </c>
      <c r="AX297" t="s">
        <v>74</v>
      </c>
      <c r="AY297" t="s">
        <v>74</v>
      </c>
      <c r="AZ297" t="s">
        <v>74</v>
      </c>
      <c r="BA297" t="s">
        <v>74</v>
      </c>
      <c r="BB297" t="s">
        <v>74</v>
      </c>
      <c r="BC297" t="s">
        <v>74</v>
      </c>
      <c r="BD297">
        <v>62</v>
      </c>
      <c r="BE297" t="s">
        <v>5788</v>
      </c>
      <c r="BF297" t="str">
        <f>HYPERLINK("http://dx.doi.org/10.1007/s13278-022-00893-w","http://dx.doi.org/10.1007/s13278-022-00893-w")</f>
        <v>http://dx.doi.org/10.1007/s13278-022-00893-w</v>
      </c>
      <c r="BG297" t="s">
        <v>74</v>
      </c>
      <c r="BH297" t="s">
        <v>74</v>
      </c>
      <c r="BI297">
        <v>22</v>
      </c>
      <c r="BJ297" t="s">
        <v>5789</v>
      </c>
      <c r="BK297" t="s">
        <v>125</v>
      </c>
      <c r="BL297" t="s">
        <v>210</v>
      </c>
      <c r="BM297" t="s">
        <v>5790</v>
      </c>
      <c r="BN297" t="s">
        <v>74</v>
      </c>
      <c r="BO297" t="s">
        <v>156</v>
      </c>
      <c r="BP297" t="s">
        <v>74</v>
      </c>
      <c r="BQ297" t="s">
        <v>74</v>
      </c>
      <c r="BR297" t="s">
        <v>102</v>
      </c>
      <c r="BS297" t="s">
        <v>5791</v>
      </c>
      <c r="BT297" t="str">
        <f>HYPERLINK("https%3A%2F%2Fwww.webofscience.com%2Fwos%2Fwoscc%2Ffull-record%2FWOS:000812236800002","View Full Record in Web of Science")</f>
        <v>View Full Record in Web of Science</v>
      </c>
    </row>
    <row r="298" spans="1:72" x14ac:dyDescent="0.35">
      <c r="A298" t="s">
        <v>72</v>
      </c>
      <c r="B298" t="s">
        <v>5792</v>
      </c>
      <c r="C298" t="s">
        <v>74</v>
      </c>
      <c r="D298" t="s">
        <v>74</v>
      </c>
      <c r="E298" t="s">
        <v>74</v>
      </c>
      <c r="F298" t="s">
        <v>5793</v>
      </c>
      <c r="G298" t="s">
        <v>74</v>
      </c>
      <c r="H298" t="s">
        <v>74</v>
      </c>
      <c r="I298" t="s">
        <v>5794</v>
      </c>
      <c r="J298" t="s">
        <v>5795</v>
      </c>
      <c r="K298" t="s">
        <v>74</v>
      </c>
      <c r="L298" t="s">
        <v>74</v>
      </c>
      <c r="M298" t="s">
        <v>78</v>
      </c>
      <c r="N298" t="s">
        <v>108</v>
      </c>
      <c r="O298" t="s">
        <v>74</v>
      </c>
      <c r="P298" t="s">
        <v>74</v>
      </c>
      <c r="Q298" t="s">
        <v>74</v>
      </c>
      <c r="R298" t="s">
        <v>74</v>
      </c>
      <c r="S298" t="s">
        <v>74</v>
      </c>
      <c r="T298" t="s">
        <v>5796</v>
      </c>
      <c r="U298" t="s">
        <v>5797</v>
      </c>
      <c r="V298" t="s">
        <v>5798</v>
      </c>
      <c r="W298" t="s">
        <v>5799</v>
      </c>
      <c r="X298" t="s">
        <v>5800</v>
      </c>
      <c r="Y298" t="s">
        <v>5801</v>
      </c>
      <c r="Z298" t="s">
        <v>5802</v>
      </c>
      <c r="AA298" t="s">
        <v>5803</v>
      </c>
      <c r="AB298" t="s">
        <v>5804</v>
      </c>
      <c r="AC298" t="s">
        <v>74</v>
      </c>
      <c r="AD298" t="s">
        <v>74</v>
      </c>
      <c r="AE298" t="s">
        <v>74</v>
      </c>
      <c r="AF298" t="s">
        <v>74</v>
      </c>
      <c r="AG298">
        <v>43</v>
      </c>
      <c r="AH298">
        <v>4</v>
      </c>
      <c r="AI298">
        <v>4</v>
      </c>
      <c r="AJ298">
        <v>7</v>
      </c>
      <c r="AK298">
        <v>51</v>
      </c>
      <c r="AL298" t="s">
        <v>5805</v>
      </c>
      <c r="AM298" t="s">
        <v>5806</v>
      </c>
      <c r="AN298" t="s">
        <v>5807</v>
      </c>
      <c r="AO298" t="s">
        <v>5808</v>
      </c>
      <c r="AP298" t="s">
        <v>5809</v>
      </c>
      <c r="AQ298" t="s">
        <v>74</v>
      </c>
      <c r="AR298" t="s">
        <v>5810</v>
      </c>
      <c r="AS298" t="s">
        <v>5811</v>
      </c>
      <c r="AT298" t="s">
        <v>745</v>
      </c>
      <c r="AU298">
        <v>2022</v>
      </c>
      <c r="AV298">
        <v>9</v>
      </c>
      <c r="AW298">
        <v>5</v>
      </c>
      <c r="AX298" t="s">
        <v>74</v>
      </c>
      <c r="AY298" t="s">
        <v>74</v>
      </c>
      <c r="AZ298" t="s">
        <v>74</v>
      </c>
      <c r="BA298" t="s">
        <v>74</v>
      </c>
      <c r="BB298">
        <v>497</v>
      </c>
      <c r="BC298">
        <v>506</v>
      </c>
      <c r="BD298" t="s">
        <v>74</v>
      </c>
      <c r="BE298" t="s">
        <v>5812</v>
      </c>
      <c r="BF298" t="str">
        <f>HYPERLINK("http://dx.doi.org/10.13106/jafeb.2022.vol9.no5.0497","http://dx.doi.org/10.13106/jafeb.2022.vol9.no5.0497")</f>
        <v>http://dx.doi.org/10.13106/jafeb.2022.vol9.no5.0497</v>
      </c>
      <c r="BG298" t="s">
        <v>74</v>
      </c>
      <c r="BH298" t="s">
        <v>74</v>
      </c>
      <c r="BI298">
        <v>10</v>
      </c>
      <c r="BJ298" t="s">
        <v>1597</v>
      </c>
      <c r="BK298" t="s">
        <v>125</v>
      </c>
      <c r="BL298" t="s">
        <v>480</v>
      </c>
      <c r="BM298" t="s">
        <v>5813</v>
      </c>
      <c r="BN298" t="s">
        <v>74</v>
      </c>
      <c r="BO298" t="s">
        <v>74</v>
      </c>
      <c r="BP298" t="s">
        <v>74</v>
      </c>
      <c r="BQ298" t="s">
        <v>74</v>
      </c>
      <c r="BR298" t="s">
        <v>102</v>
      </c>
      <c r="BS298" t="s">
        <v>5814</v>
      </c>
      <c r="BT298" t="str">
        <f>HYPERLINK("https%3A%2F%2Fwww.webofscience.com%2Fwos%2Fwoscc%2Ffull-record%2FWOS:000817788400021","View Full Record in Web of Science")</f>
        <v>View Full Record in Web of Science</v>
      </c>
    </row>
    <row r="299" spans="1:72" x14ac:dyDescent="0.35">
      <c r="A299" t="s">
        <v>72</v>
      </c>
      <c r="B299" t="s">
        <v>5815</v>
      </c>
      <c r="C299" t="s">
        <v>74</v>
      </c>
      <c r="D299" t="s">
        <v>74</v>
      </c>
      <c r="E299" t="s">
        <v>74</v>
      </c>
      <c r="F299" t="s">
        <v>5816</v>
      </c>
      <c r="G299" t="s">
        <v>74</v>
      </c>
      <c r="H299" t="s">
        <v>74</v>
      </c>
      <c r="I299" t="s">
        <v>5817</v>
      </c>
      <c r="J299" t="s">
        <v>216</v>
      </c>
      <c r="K299" t="s">
        <v>74</v>
      </c>
      <c r="L299" t="s">
        <v>74</v>
      </c>
      <c r="M299" t="s">
        <v>78</v>
      </c>
      <c r="N299" t="s">
        <v>108</v>
      </c>
      <c r="O299" t="s">
        <v>74</v>
      </c>
      <c r="P299" t="s">
        <v>74</v>
      </c>
      <c r="Q299" t="s">
        <v>74</v>
      </c>
      <c r="R299" t="s">
        <v>74</v>
      </c>
      <c r="S299" t="s">
        <v>74</v>
      </c>
      <c r="T299" t="s">
        <v>5818</v>
      </c>
      <c r="U299" t="s">
        <v>74</v>
      </c>
      <c r="V299" t="s">
        <v>5819</v>
      </c>
      <c r="W299" t="s">
        <v>5820</v>
      </c>
      <c r="X299" t="s">
        <v>5821</v>
      </c>
      <c r="Y299" t="s">
        <v>5822</v>
      </c>
      <c r="Z299" t="s">
        <v>5823</v>
      </c>
      <c r="AA299" t="s">
        <v>1084</v>
      </c>
      <c r="AB299" t="s">
        <v>5824</v>
      </c>
      <c r="AC299" t="s">
        <v>74</v>
      </c>
      <c r="AD299" t="s">
        <v>74</v>
      </c>
      <c r="AE299" t="s">
        <v>74</v>
      </c>
      <c r="AF299" t="s">
        <v>74</v>
      </c>
      <c r="AG299">
        <v>46</v>
      </c>
      <c r="AH299">
        <v>12</v>
      </c>
      <c r="AI299">
        <v>18</v>
      </c>
      <c r="AJ299">
        <v>12</v>
      </c>
      <c r="AK299">
        <v>30</v>
      </c>
      <c r="AL299" t="s">
        <v>226</v>
      </c>
      <c r="AM299" t="s">
        <v>227</v>
      </c>
      <c r="AN299" t="s">
        <v>228</v>
      </c>
      <c r="AO299" t="s">
        <v>229</v>
      </c>
      <c r="AP299" t="s">
        <v>74</v>
      </c>
      <c r="AQ299" t="s">
        <v>74</v>
      </c>
      <c r="AR299" t="s">
        <v>230</v>
      </c>
      <c r="AS299" t="s">
        <v>231</v>
      </c>
      <c r="AT299" t="s">
        <v>232</v>
      </c>
      <c r="AU299">
        <v>2023</v>
      </c>
      <c r="AV299">
        <v>9</v>
      </c>
      <c r="AW299">
        <v>1</v>
      </c>
      <c r="AX299" t="s">
        <v>74</v>
      </c>
      <c r="AY299" t="s">
        <v>74</v>
      </c>
      <c r="AZ299" t="s">
        <v>74</v>
      </c>
      <c r="BA299" t="s">
        <v>74</v>
      </c>
      <c r="BB299" t="s">
        <v>74</v>
      </c>
      <c r="BC299" t="s">
        <v>74</v>
      </c>
      <c r="BD299">
        <v>2.05630512311576E+16</v>
      </c>
      <c r="BE299" t="s">
        <v>5825</v>
      </c>
      <c r="BF299" t="str">
        <f>HYPERLINK("http://dx.doi.org/10.1177/20563051231157598","http://dx.doi.org/10.1177/20563051231157598")</f>
        <v>http://dx.doi.org/10.1177/20563051231157598</v>
      </c>
      <c r="BG299" t="s">
        <v>74</v>
      </c>
      <c r="BH299" t="s">
        <v>74</v>
      </c>
      <c r="BI299">
        <v>11</v>
      </c>
      <c r="BJ299" t="s">
        <v>124</v>
      </c>
      <c r="BK299" t="s">
        <v>99</v>
      </c>
      <c r="BL299" t="s">
        <v>124</v>
      </c>
      <c r="BM299" t="s">
        <v>5826</v>
      </c>
      <c r="BN299" t="s">
        <v>74</v>
      </c>
      <c r="BO299" t="s">
        <v>235</v>
      </c>
      <c r="BP299" t="s">
        <v>74</v>
      </c>
      <c r="BQ299" t="s">
        <v>74</v>
      </c>
      <c r="BR299" t="s">
        <v>102</v>
      </c>
      <c r="BS299" t="s">
        <v>5827</v>
      </c>
      <c r="BT299" t="str">
        <f>HYPERLINK("https%3A%2F%2Fwww.webofscience.com%2Fwos%2Fwoscc%2Ffull-record%2FWOS:000939692700001","View Full Record in Web of Science")</f>
        <v>View Full Record in Web of Science</v>
      </c>
    </row>
    <row r="300" spans="1:72" x14ac:dyDescent="0.35">
      <c r="A300" t="s">
        <v>72</v>
      </c>
      <c r="B300" t="s">
        <v>5828</v>
      </c>
      <c r="C300" t="s">
        <v>74</v>
      </c>
      <c r="D300" t="s">
        <v>74</v>
      </c>
      <c r="E300" t="s">
        <v>74</v>
      </c>
      <c r="F300" t="s">
        <v>5829</v>
      </c>
      <c r="G300" t="s">
        <v>74</v>
      </c>
      <c r="H300" t="s">
        <v>74</v>
      </c>
      <c r="I300" t="s">
        <v>5830</v>
      </c>
      <c r="J300" t="s">
        <v>5831</v>
      </c>
      <c r="K300" t="s">
        <v>74</v>
      </c>
      <c r="L300" t="s">
        <v>74</v>
      </c>
      <c r="M300" t="s">
        <v>78</v>
      </c>
      <c r="N300" t="s">
        <v>108</v>
      </c>
      <c r="O300" t="s">
        <v>74</v>
      </c>
      <c r="P300" t="s">
        <v>74</v>
      </c>
      <c r="Q300" t="s">
        <v>74</v>
      </c>
      <c r="R300" t="s">
        <v>74</v>
      </c>
      <c r="S300" t="s">
        <v>74</v>
      </c>
      <c r="T300" t="s">
        <v>5832</v>
      </c>
      <c r="U300" t="s">
        <v>5833</v>
      </c>
      <c r="V300" t="s">
        <v>5834</v>
      </c>
      <c r="W300" t="s">
        <v>5835</v>
      </c>
      <c r="X300" t="s">
        <v>5836</v>
      </c>
      <c r="Y300" t="s">
        <v>5837</v>
      </c>
      <c r="Z300" t="s">
        <v>5838</v>
      </c>
      <c r="AA300" t="s">
        <v>74</v>
      </c>
      <c r="AB300" t="s">
        <v>74</v>
      </c>
      <c r="AC300" t="s">
        <v>74</v>
      </c>
      <c r="AD300" t="s">
        <v>74</v>
      </c>
      <c r="AE300" t="s">
        <v>74</v>
      </c>
      <c r="AF300" t="s">
        <v>74</v>
      </c>
      <c r="AG300">
        <v>30</v>
      </c>
      <c r="AH300">
        <v>0</v>
      </c>
      <c r="AI300">
        <v>0</v>
      </c>
      <c r="AJ300">
        <v>4</v>
      </c>
      <c r="AK300">
        <v>4</v>
      </c>
      <c r="AL300" t="s">
        <v>870</v>
      </c>
      <c r="AM300" t="s">
        <v>871</v>
      </c>
      <c r="AN300" t="s">
        <v>872</v>
      </c>
      <c r="AO300" t="s">
        <v>5839</v>
      </c>
      <c r="AP300" t="s">
        <v>5840</v>
      </c>
      <c r="AQ300" t="s">
        <v>74</v>
      </c>
      <c r="AR300" t="s">
        <v>5841</v>
      </c>
      <c r="AS300" t="s">
        <v>5842</v>
      </c>
      <c r="AT300" t="s">
        <v>74</v>
      </c>
      <c r="AU300">
        <v>2024</v>
      </c>
      <c r="AV300">
        <v>17</v>
      </c>
      <c r="AW300">
        <v>1</v>
      </c>
      <c r="AX300" t="s">
        <v>74</v>
      </c>
      <c r="AY300" t="s">
        <v>74</v>
      </c>
      <c r="AZ300" t="s">
        <v>74</v>
      </c>
      <c r="BA300" t="s">
        <v>74</v>
      </c>
      <c r="BB300">
        <v>113</v>
      </c>
      <c r="BC300">
        <v>128</v>
      </c>
      <c r="BD300" t="s">
        <v>74</v>
      </c>
      <c r="BE300" t="s">
        <v>5843</v>
      </c>
      <c r="BF300" t="str">
        <f>HYPERLINK("http://dx.doi.org/10.1386/jammr_00066_1","http://dx.doi.org/10.1386/jammr_00066_1")</f>
        <v>http://dx.doi.org/10.1386/jammr_00066_1</v>
      </c>
      <c r="BG300" t="s">
        <v>74</v>
      </c>
      <c r="BH300" t="s">
        <v>74</v>
      </c>
      <c r="BI300">
        <v>16</v>
      </c>
      <c r="BJ300" t="s">
        <v>124</v>
      </c>
      <c r="BK300" t="s">
        <v>125</v>
      </c>
      <c r="BL300" t="s">
        <v>124</v>
      </c>
      <c r="BM300" t="s">
        <v>5844</v>
      </c>
      <c r="BN300" t="s">
        <v>74</v>
      </c>
      <c r="BO300" t="s">
        <v>74</v>
      </c>
      <c r="BP300" t="s">
        <v>74</v>
      </c>
      <c r="BQ300" t="s">
        <v>74</v>
      </c>
      <c r="BR300" t="s">
        <v>102</v>
      </c>
      <c r="BS300" t="s">
        <v>5845</v>
      </c>
      <c r="BT300" t="str">
        <f>HYPERLINK("https%3A%2F%2Fwww.webofscience.com%2Fwos%2Fwoscc%2Ffull-record%2FWOS:001235335700007","View Full Record in Web of Science")</f>
        <v>View Full Record in Web of Science</v>
      </c>
    </row>
    <row r="301" spans="1:72" x14ac:dyDescent="0.35">
      <c r="A301" t="s">
        <v>72</v>
      </c>
      <c r="B301" t="s">
        <v>5846</v>
      </c>
      <c r="C301" t="s">
        <v>74</v>
      </c>
      <c r="D301" t="s">
        <v>74</v>
      </c>
      <c r="E301" t="s">
        <v>74</v>
      </c>
      <c r="F301" t="s">
        <v>5847</v>
      </c>
      <c r="G301" t="s">
        <v>74</v>
      </c>
      <c r="H301" t="s">
        <v>74</v>
      </c>
      <c r="I301" t="s">
        <v>5848</v>
      </c>
      <c r="J301" t="s">
        <v>5849</v>
      </c>
      <c r="K301" t="s">
        <v>74</v>
      </c>
      <c r="L301" t="s">
        <v>74</v>
      </c>
      <c r="M301" t="s">
        <v>3229</v>
      </c>
      <c r="N301" t="s">
        <v>108</v>
      </c>
      <c r="O301" t="s">
        <v>74</v>
      </c>
      <c r="P301" t="s">
        <v>74</v>
      </c>
      <c r="Q301" t="s">
        <v>74</v>
      </c>
      <c r="R301" t="s">
        <v>74</v>
      </c>
      <c r="S301" t="s">
        <v>74</v>
      </c>
      <c r="T301" t="s">
        <v>5850</v>
      </c>
      <c r="U301" t="s">
        <v>5851</v>
      </c>
      <c r="V301" t="s">
        <v>5852</v>
      </c>
      <c r="W301" t="s">
        <v>5853</v>
      </c>
      <c r="X301" t="s">
        <v>5854</v>
      </c>
      <c r="Y301" t="s">
        <v>5855</v>
      </c>
      <c r="Z301" t="s">
        <v>5856</v>
      </c>
      <c r="AA301" t="s">
        <v>5857</v>
      </c>
      <c r="AB301" t="s">
        <v>74</v>
      </c>
      <c r="AC301" t="s">
        <v>74</v>
      </c>
      <c r="AD301" t="s">
        <v>74</v>
      </c>
      <c r="AE301" t="s">
        <v>74</v>
      </c>
      <c r="AF301" t="s">
        <v>74</v>
      </c>
      <c r="AG301">
        <v>66</v>
      </c>
      <c r="AH301">
        <v>0</v>
      </c>
      <c r="AI301">
        <v>0</v>
      </c>
      <c r="AJ301">
        <v>5</v>
      </c>
      <c r="AK301">
        <v>57</v>
      </c>
      <c r="AL301" t="s">
        <v>5858</v>
      </c>
      <c r="AM301" t="s">
        <v>5859</v>
      </c>
      <c r="AN301" t="s">
        <v>5860</v>
      </c>
      <c r="AO301" t="s">
        <v>5861</v>
      </c>
      <c r="AP301" t="s">
        <v>5862</v>
      </c>
      <c r="AQ301" t="s">
        <v>74</v>
      </c>
      <c r="AR301" t="s">
        <v>5863</v>
      </c>
      <c r="AS301" t="s">
        <v>5864</v>
      </c>
      <c r="AT301" t="s">
        <v>1275</v>
      </c>
      <c r="AU301">
        <v>2021</v>
      </c>
      <c r="AV301">
        <v>8</v>
      </c>
      <c r="AW301" t="s">
        <v>74</v>
      </c>
      <c r="AX301" t="s">
        <v>74</v>
      </c>
      <c r="AY301" t="s">
        <v>74</v>
      </c>
      <c r="AZ301" t="s">
        <v>456</v>
      </c>
      <c r="BA301" t="s">
        <v>74</v>
      </c>
      <c r="BB301">
        <v>69</v>
      </c>
      <c r="BC301">
        <v>98</v>
      </c>
      <c r="BD301" t="s">
        <v>74</v>
      </c>
      <c r="BE301" t="s">
        <v>5865</v>
      </c>
      <c r="BF301" t="str">
        <f>HYPERLINK("http://dx.doi.org/10.24955/ilef.1037967","http://dx.doi.org/10.24955/ilef.1037967")</f>
        <v>http://dx.doi.org/10.24955/ilef.1037967</v>
      </c>
      <c r="BG301" t="s">
        <v>74</v>
      </c>
      <c r="BH301" t="s">
        <v>74</v>
      </c>
      <c r="BI301">
        <v>30</v>
      </c>
      <c r="BJ301" t="s">
        <v>124</v>
      </c>
      <c r="BK301" t="s">
        <v>125</v>
      </c>
      <c r="BL301" t="s">
        <v>124</v>
      </c>
      <c r="BM301" t="s">
        <v>5866</v>
      </c>
      <c r="BN301" t="s">
        <v>74</v>
      </c>
      <c r="BO301" t="s">
        <v>552</v>
      </c>
      <c r="BP301" t="s">
        <v>74</v>
      </c>
      <c r="BQ301" t="s">
        <v>74</v>
      </c>
      <c r="BR301" t="s">
        <v>102</v>
      </c>
      <c r="BS301" t="s">
        <v>5867</v>
      </c>
      <c r="BT301" t="str">
        <f>HYPERLINK("https%3A%2F%2Fwww.webofscience.com%2Fwos%2Fwoscc%2Ffull-record%2FWOS:000757110400003","View Full Record in Web of Science")</f>
        <v>View Full Record in Web of Science</v>
      </c>
    </row>
    <row r="302" spans="1:72" x14ac:dyDescent="0.35">
      <c r="A302" t="s">
        <v>72</v>
      </c>
      <c r="B302" t="s">
        <v>5868</v>
      </c>
      <c r="C302" t="s">
        <v>74</v>
      </c>
      <c r="D302" t="s">
        <v>74</v>
      </c>
      <c r="E302" t="s">
        <v>74</v>
      </c>
      <c r="F302" t="s">
        <v>5869</v>
      </c>
      <c r="G302" t="s">
        <v>74</v>
      </c>
      <c r="H302" t="s">
        <v>74</v>
      </c>
      <c r="I302" t="s">
        <v>5870</v>
      </c>
      <c r="J302" t="s">
        <v>5871</v>
      </c>
      <c r="K302" t="s">
        <v>74</v>
      </c>
      <c r="L302" t="s">
        <v>74</v>
      </c>
      <c r="M302" t="s">
        <v>78</v>
      </c>
      <c r="N302" t="s">
        <v>79</v>
      </c>
      <c r="O302" t="s">
        <v>74</v>
      </c>
      <c r="P302" t="s">
        <v>74</v>
      </c>
      <c r="Q302" t="s">
        <v>74</v>
      </c>
      <c r="R302" t="s">
        <v>74</v>
      </c>
      <c r="S302" t="s">
        <v>74</v>
      </c>
      <c r="T302" t="s">
        <v>5872</v>
      </c>
      <c r="U302" t="s">
        <v>5873</v>
      </c>
      <c r="V302" t="s">
        <v>5874</v>
      </c>
      <c r="W302" t="s">
        <v>5875</v>
      </c>
      <c r="X302" t="s">
        <v>5876</v>
      </c>
      <c r="Y302" t="s">
        <v>5877</v>
      </c>
      <c r="Z302" t="s">
        <v>5878</v>
      </c>
      <c r="AA302" t="s">
        <v>74</v>
      </c>
      <c r="AB302" t="s">
        <v>74</v>
      </c>
      <c r="AC302" t="s">
        <v>74</v>
      </c>
      <c r="AD302" t="s">
        <v>74</v>
      </c>
      <c r="AE302" t="s">
        <v>74</v>
      </c>
      <c r="AF302" t="s">
        <v>74</v>
      </c>
      <c r="AG302">
        <v>38</v>
      </c>
      <c r="AH302">
        <v>1</v>
      </c>
      <c r="AI302">
        <v>1</v>
      </c>
      <c r="AJ302">
        <v>3</v>
      </c>
      <c r="AK302">
        <v>8</v>
      </c>
      <c r="AL302" t="s">
        <v>1129</v>
      </c>
      <c r="AM302" t="s">
        <v>89</v>
      </c>
      <c r="AN302" t="s">
        <v>1130</v>
      </c>
      <c r="AO302" t="s">
        <v>5879</v>
      </c>
      <c r="AP302" t="s">
        <v>5880</v>
      </c>
      <c r="AQ302" t="s">
        <v>74</v>
      </c>
      <c r="AR302" t="s">
        <v>5881</v>
      </c>
      <c r="AS302" t="s">
        <v>5882</v>
      </c>
      <c r="AT302" t="s">
        <v>5883</v>
      </c>
      <c r="AU302">
        <v>2023</v>
      </c>
      <c r="AV302" t="s">
        <v>74</v>
      </c>
      <c r="AW302" t="s">
        <v>74</v>
      </c>
      <c r="AX302" t="s">
        <v>74</v>
      </c>
      <c r="AY302" t="s">
        <v>74</v>
      </c>
      <c r="AZ302" t="s">
        <v>74</v>
      </c>
      <c r="BA302" t="s">
        <v>74</v>
      </c>
      <c r="BB302" t="s">
        <v>74</v>
      </c>
      <c r="BC302" t="s">
        <v>74</v>
      </c>
      <c r="BD302" t="s">
        <v>74</v>
      </c>
      <c r="BE302" t="s">
        <v>5884</v>
      </c>
      <c r="BF302" t="str">
        <f>HYPERLINK("http://dx.doi.org/10.1080/08824096.2023.2269080","http://dx.doi.org/10.1080/08824096.2023.2269080")</f>
        <v>http://dx.doi.org/10.1080/08824096.2023.2269080</v>
      </c>
      <c r="BG302" t="s">
        <v>74</v>
      </c>
      <c r="BH302" t="s">
        <v>207</v>
      </c>
      <c r="BI302">
        <v>11</v>
      </c>
      <c r="BJ302" t="s">
        <v>124</v>
      </c>
      <c r="BK302" t="s">
        <v>125</v>
      </c>
      <c r="BL302" t="s">
        <v>124</v>
      </c>
      <c r="BM302" t="s">
        <v>5885</v>
      </c>
      <c r="BN302" t="s">
        <v>74</v>
      </c>
      <c r="BO302" t="s">
        <v>2738</v>
      </c>
      <c r="BP302" t="s">
        <v>74</v>
      </c>
      <c r="BQ302" t="s">
        <v>74</v>
      </c>
      <c r="BR302" t="s">
        <v>102</v>
      </c>
      <c r="BS302" t="s">
        <v>5886</v>
      </c>
      <c r="BT302" t="str">
        <f>HYPERLINK("https%3A%2F%2Fwww.webofscience.com%2Fwos%2Fwoscc%2Ffull-record%2FWOS:001087364600001","View Full Record in Web of Science")</f>
        <v>View Full Record in Web of Science</v>
      </c>
    </row>
    <row r="303" spans="1:72" x14ac:dyDescent="0.35">
      <c r="A303" t="s">
        <v>72</v>
      </c>
      <c r="B303" t="s">
        <v>5887</v>
      </c>
      <c r="C303" t="s">
        <v>74</v>
      </c>
      <c r="D303" t="s">
        <v>74</v>
      </c>
      <c r="E303" t="s">
        <v>74</v>
      </c>
      <c r="F303" t="s">
        <v>5888</v>
      </c>
      <c r="G303" t="s">
        <v>74</v>
      </c>
      <c r="H303" t="s">
        <v>74</v>
      </c>
      <c r="I303" t="s">
        <v>5889</v>
      </c>
      <c r="J303" t="s">
        <v>5890</v>
      </c>
      <c r="K303" t="s">
        <v>74</v>
      </c>
      <c r="L303" t="s">
        <v>74</v>
      </c>
      <c r="M303" t="s">
        <v>78</v>
      </c>
      <c r="N303" t="s">
        <v>79</v>
      </c>
      <c r="O303" t="s">
        <v>74</v>
      </c>
      <c r="P303" t="s">
        <v>74</v>
      </c>
      <c r="Q303" t="s">
        <v>74</v>
      </c>
      <c r="R303" t="s">
        <v>74</v>
      </c>
      <c r="S303" t="s">
        <v>74</v>
      </c>
      <c r="T303" t="s">
        <v>5891</v>
      </c>
      <c r="U303" t="s">
        <v>74</v>
      </c>
      <c r="V303" t="s">
        <v>5892</v>
      </c>
      <c r="W303" t="s">
        <v>5893</v>
      </c>
      <c r="X303" t="s">
        <v>3374</v>
      </c>
      <c r="Y303" t="s">
        <v>5894</v>
      </c>
      <c r="Z303" t="s">
        <v>5895</v>
      </c>
      <c r="AA303" t="s">
        <v>5896</v>
      </c>
      <c r="AB303" t="s">
        <v>5897</v>
      </c>
      <c r="AC303" t="s">
        <v>74</v>
      </c>
      <c r="AD303" t="s">
        <v>74</v>
      </c>
      <c r="AE303" t="s">
        <v>74</v>
      </c>
      <c r="AF303" t="s">
        <v>74</v>
      </c>
      <c r="AG303">
        <v>39</v>
      </c>
      <c r="AH303">
        <v>0</v>
      </c>
      <c r="AI303">
        <v>0</v>
      </c>
      <c r="AJ303">
        <v>14</v>
      </c>
      <c r="AK303">
        <v>14</v>
      </c>
      <c r="AL303" t="s">
        <v>88</v>
      </c>
      <c r="AM303" t="s">
        <v>89</v>
      </c>
      <c r="AN303" t="s">
        <v>90</v>
      </c>
      <c r="AO303" t="s">
        <v>5898</v>
      </c>
      <c r="AP303" t="s">
        <v>5899</v>
      </c>
      <c r="AQ303" t="s">
        <v>74</v>
      </c>
      <c r="AR303" t="s">
        <v>5900</v>
      </c>
      <c r="AS303" t="s">
        <v>5901</v>
      </c>
      <c r="AT303" t="s">
        <v>5902</v>
      </c>
      <c r="AU303">
        <v>2024</v>
      </c>
      <c r="AV303" t="s">
        <v>74</v>
      </c>
      <c r="AW303" t="s">
        <v>74</v>
      </c>
      <c r="AX303" t="s">
        <v>74</v>
      </c>
      <c r="AY303" t="s">
        <v>74</v>
      </c>
      <c r="AZ303" t="s">
        <v>74</v>
      </c>
      <c r="BA303" t="s">
        <v>74</v>
      </c>
      <c r="BB303" t="s">
        <v>74</v>
      </c>
      <c r="BC303" t="s">
        <v>74</v>
      </c>
      <c r="BD303" t="s">
        <v>74</v>
      </c>
      <c r="BE303" t="s">
        <v>5903</v>
      </c>
      <c r="BF303" t="str">
        <f>HYPERLINK("http://dx.doi.org/10.1080/10350330.2024.2389520","http://dx.doi.org/10.1080/10350330.2024.2389520")</f>
        <v>http://dx.doi.org/10.1080/10350330.2024.2389520</v>
      </c>
      <c r="BG303" t="s">
        <v>74</v>
      </c>
      <c r="BH303" t="s">
        <v>2444</v>
      </c>
      <c r="BI303">
        <v>21</v>
      </c>
      <c r="BJ303" t="s">
        <v>5904</v>
      </c>
      <c r="BK303" t="s">
        <v>2125</v>
      </c>
      <c r="BL303" t="s">
        <v>5905</v>
      </c>
      <c r="BM303" t="s">
        <v>5906</v>
      </c>
      <c r="BN303" t="s">
        <v>74</v>
      </c>
      <c r="BO303" t="s">
        <v>156</v>
      </c>
      <c r="BP303" t="s">
        <v>74</v>
      </c>
      <c r="BQ303" t="s">
        <v>74</v>
      </c>
      <c r="BR303" t="s">
        <v>102</v>
      </c>
      <c r="BS303" t="s">
        <v>5907</v>
      </c>
      <c r="BT303" t="str">
        <f>HYPERLINK("https%3A%2F%2Fwww.webofscience.com%2Fwos%2Fwoscc%2Ffull-record%2FWOS:001302370600001","View Full Record in Web of Science")</f>
        <v>View Full Record in Web of Science</v>
      </c>
    </row>
    <row r="304" spans="1:72" x14ac:dyDescent="0.35">
      <c r="A304" t="s">
        <v>72</v>
      </c>
      <c r="B304" t="s">
        <v>5908</v>
      </c>
      <c r="C304" t="s">
        <v>74</v>
      </c>
      <c r="D304" t="s">
        <v>74</v>
      </c>
      <c r="E304" t="s">
        <v>74</v>
      </c>
      <c r="F304" t="s">
        <v>5909</v>
      </c>
      <c r="G304" t="s">
        <v>74</v>
      </c>
      <c r="H304" t="s">
        <v>74</v>
      </c>
      <c r="I304" t="s">
        <v>5910</v>
      </c>
      <c r="J304" t="s">
        <v>5911</v>
      </c>
      <c r="K304" t="s">
        <v>74</v>
      </c>
      <c r="L304" t="s">
        <v>74</v>
      </c>
      <c r="M304" t="s">
        <v>78</v>
      </c>
      <c r="N304" t="s">
        <v>108</v>
      </c>
      <c r="O304" t="s">
        <v>74</v>
      </c>
      <c r="P304" t="s">
        <v>74</v>
      </c>
      <c r="Q304" t="s">
        <v>74</v>
      </c>
      <c r="R304" t="s">
        <v>74</v>
      </c>
      <c r="S304" t="s">
        <v>74</v>
      </c>
      <c r="T304" t="s">
        <v>5912</v>
      </c>
      <c r="U304" t="s">
        <v>74</v>
      </c>
      <c r="V304" t="s">
        <v>5913</v>
      </c>
      <c r="W304" t="s">
        <v>5914</v>
      </c>
      <c r="X304" t="s">
        <v>5915</v>
      </c>
      <c r="Y304" t="s">
        <v>5916</v>
      </c>
      <c r="Z304" t="s">
        <v>5917</v>
      </c>
      <c r="AA304" t="s">
        <v>74</v>
      </c>
      <c r="AB304" t="s">
        <v>5918</v>
      </c>
      <c r="AC304" t="s">
        <v>74</v>
      </c>
      <c r="AD304" t="s">
        <v>74</v>
      </c>
      <c r="AE304" t="s">
        <v>74</v>
      </c>
      <c r="AF304" t="s">
        <v>74</v>
      </c>
      <c r="AG304">
        <v>51</v>
      </c>
      <c r="AH304">
        <v>1</v>
      </c>
      <c r="AI304">
        <v>1</v>
      </c>
      <c r="AJ304">
        <v>13</v>
      </c>
      <c r="AK304">
        <v>15</v>
      </c>
      <c r="AL304" t="s">
        <v>226</v>
      </c>
      <c r="AM304" t="s">
        <v>227</v>
      </c>
      <c r="AN304" t="s">
        <v>228</v>
      </c>
      <c r="AO304" t="s">
        <v>5919</v>
      </c>
      <c r="AP304" t="s">
        <v>5920</v>
      </c>
      <c r="AQ304" t="s">
        <v>74</v>
      </c>
      <c r="AR304" t="s">
        <v>5921</v>
      </c>
      <c r="AS304" t="s">
        <v>5922</v>
      </c>
      <c r="AT304" t="s">
        <v>455</v>
      </c>
      <c r="AU304">
        <v>2024</v>
      </c>
      <c r="AV304">
        <v>35</v>
      </c>
      <c r="AW304">
        <v>5</v>
      </c>
      <c r="AX304" t="s">
        <v>74</v>
      </c>
      <c r="AY304" t="s">
        <v>74</v>
      </c>
      <c r="AZ304" t="s">
        <v>74</v>
      </c>
      <c r="BA304" t="s">
        <v>74</v>
      </c>
      <c r="BB304">
        <v>625</v>
      </c>
      <c r="BC304">
        <v>650</v>
      </c>
      <c r="BD304" t="s">
        <v>74</v>
      </c>
      <c r="BE304" t="s">
        <v>5923</v>
      </c>
      <c r="BF304" t="str">
        <f>HYPERLINK("http://dx.doi.org/10.1177/09579265241234351","http://dx.doi.org/10.1177/09579265241234351")</f>
        <v>http://dx.doi.org/10.1177/09579265241234351</v>
      </c>
      <c r="BG304" t="s">
        <v>74</v>
      </c>
      <c r="BH304" t="s">
        <v>123</v>
      </c>
      <c r="BI304">
        <v>26</v>
      </c>
      <c r="BJ304" t="s">
        <v>5924</v>
      </c>
      <c r="BK304" t="s">
        <v>99</v>
      </c>
      <c r="BL304" t="s">
        <v>5925</v>
      </c>
      <c r="BM304" t="s">
        <v>5926</v>
      </c>
      <c r="BN304" t="s">
        <v>74</v>
      </c>
      <c r="BO304" t="s">
        <v>5927</v>
      </c>
      <c r="BP304" t="s">
        <v>74</v>
      </c>
      <c r="BQ304" t="s">
        <v>74</v>
      </c>
      <c r="BR304" t="s">
        <v>102</v>
      </c>
      <c r="BS304" t="s">
        <v>5928</v>
      </c>
      <c r="BT304" t="str">
        <f>HYPERLINK("https%3A%2F%2Fwww.webofscience.com%2Fwos%2Fwoscc%2Ffull-record%2FWOS:001186541000001","View Full Record in Web of Science")</f>
        <v>View Full Record in Web of Science</v>
      </c>
    </row>
    <row r="305" spans="1:72" x14ac:dyDescent="0.35">
      <c r="A305" t="s">
        <v>72</v>
      </c>
      <c r="B305" t="s">
        <v>5929</v>
      </c>
      <c r="C305" t="s">
        <v>74</v>
      </c>
      <c r="D305" t="s">
        <v>74</v>
      </c>
      <c r="E305" t="s">
        <v>74</v>
      </c>
      <c r="F305" t="s">
        <v>5930</v>
      </c>
      <c r="G305" t="s">
        <v>74</v>
      </c>
      <c r="H305" t="s">
        <v>74</v>
      </c>
      <c r="I305" t="s">
        <v>5931</v>
      </c>
      <c r="J305" t="s">
        <v>1011</v>
      </c>
      <c r="K305" t="s">
        <v>74</v>
      </c>
      <c r="L305" t="s">
        <v>74</v>
      </c>
      <c r="M305" t="s">
        <v>78</v>
      </c>
      <c r="N305" t="s">
        <v>108</v>
      </c>
      <c r="O305" t="s">
        <v>74</v>
      </c>
      <c r="P305" t="s">
        <v>74</v>
      </c>
      <c r="Q305" t="s">
        <v>74</v>
      </c>
      <c r="R305" t="s">
        <v>74</v>
      </c>
      <c r="S305" t="s">
        <v>74</v>
      </c>
      <c r="T305" t="s">
        <v>5932</v>
      </c>
      <c r="U305" t="s">
        <v>74</v>
      </c>
      <c r="V305" t="s">
        <v>5933</v>
      </c>
      <c r="W305" t="s">
        <v>5934</v>
      </c>
      <c r="X305" t="s">
        <v>74</v>
      </c>
      <c r="Y305" t="s">
        <v>5935</v>
      </c>
      <c r="Z305" t="s">
        <v>5936</v>
      </c>
      <c r="AA305" t="s">
        <v>74</v>
      </c>
      <c r="AB305" t="s">
        <v>74</v>
      </c>
      <c r="AC305" t="s">
        <v>74</v>
      </c>
      <c r="AD305" t="s">
        <v>74</v>
      </c>
      <c r="AE305" t="s">
        <v>74</v>
      </c>
      <c r="AF305" t="s">
        <v>74</v>
      </c>
      <c r="AG305">
        <v>5</v>
      </c>
      <c r="AH305">
        <v>1</v>
      </c>
      <c r="AI305">
        <v>1</v>
      </c>
      <c r="AJ305">
        <v>3</v>
      </c>
      <c r="AK305">
        <v>11</v>
      </c>
      <c r="AL305" t="s">
        <v>1021</v>
      </c>
      <c r="AM305" t="s">
        <v>1022</v>
      </c>
      <c r="AN305" t="s">
        <v>1023</v>
      </c>
      <c r="AO305" t="s">
        <v>1024</v>
      </c>
      <c r="AP305" t="s">
        <v>1025</v>
      </c>
      <c r="AQ305" t="s">
        <v>74</v>
      </c>
      <c r="AR305" t="s">
        <v>1026</v>
      </c>
      <c r="AS305" t="s">
        <v>1027</v>
      </c>
      <c r="AT305" t="s">
        <v>1275</v>
      </c>
      <c r="AU305">
        <v>2022</v>
      </c>
      <c r="AV305">
        <v>35</v>
      </c>
      <c r="AW305">
        <v>4</v>
      </c>
      <c r="AX305" t="s">
        <v>74</v>
      </c>
      <c r="AY305" t="s">
        <v>74</v>
      </c>
      <c r="AZ305" t="s">
        <v>74</v>
      </c>
      <c r="BA305" t="s">
        <v>74</v>
      </c>
      <c r="BB305">
        <v>229</v>
      </c>
      <c r="BC305">
        <v>232</v>
      </c>
      <c r="BD305" t="s">
        <v>74</v>
      </c>
      <c r="BE305" t="s">
        <v>5937</v>
      </c>
      <c r="BF305" t="str">
        <f>HYPERLINK("http://dx.doi.org/10.1055/a-1964-1107","http://dx.doi.org/10.1055/a-1964-1107")</f>
        <v>http://dx.doi.org/10.1055/a-1964-1107</v>
      </c>
      <c r="BG305" t="s">
        <v>74</v>
      </c>
      <c r="BH305" t="s">
        <v>74</v>
      </c>
      <c r="BI305">
        <v>4</v>
      </c>
      <c r="BJ305" t="s">
        <v>1029</v>
      </c>
      <c r="BK305" t="s">
        <v>99</v>
      </c>
      <c r="BL305" t="s">
        <v>1030</v>
      </c>
      <c r="BM305" t="s">
        <v>5938</v>
      </c>
      <c r="BN305" t="s">
        <v>74</v>
      </c>
      <c r="BO305" t="s">
        <v>74</v>
      </c>
      <c r="BP305" t="s">
        <v>74</v>
      </c>
      <c r="BQ305" t="s">
        <v>74</v>
      </c>
      <c r="BR305" t="s">
        <v>102</v>
      </c>
      <c r="BS305" t="s">
        <v>5939</v>
      </c>
      <c r="BT305" t="str">
        <f>HYPERLINK("https%3A%2F%2Fwww.webofscience.com%2Fwos%2Fwoscc%2Ffull-record%2FWOS:000901534900003","View Full Record in Web of Science")</f>
        <v>View Full Record in Web of Science</v>
      </c>
    </row>
    <row r="306" spans="1:72" x14ac:dyDescent="0.35">
      <c r="A306" t="s">
        <v>72</v>
      </c>
      <c r="B306" t="s">
        <v>5940</v>
      </c>
      <c r="C306" t="s">
        <v>74</v>
      </c>
      <c r="D306" t="s">
        <v>74</v>
      </c>
      <c r="E306" t="s">
        <v>74</v>
      </c>
      <c r="F306" t="s">
        <v>5941</v>
      </c>
      <c r="G306" t="s">
        <v>74</v>
      </c>
      <c r="H306" t="s">
        <v>74</v>
      </c>
      <c r="I306" t="s">
        <v>5942</v>
      </c>
      <c r="J306" t="s">
        <v>3329</v>
      </c>
      <c r="K306" t="s">
        <v>74</v>
      </c>
      <c r="L306" t="s">
        <v>74</v>
      </c>
      <c r="M306" t="s">
        <v>78</v>
      </c>
      <c r="N306" t="s">
        <v>79</v>
      </c>
      <c r="O306" t="s">
        <v>74</v>
      </c>
      <c r="P306" t="s">
        <v>74</v>
      </c>
      <c r="Q306" t="s">
        <v>74</v>
      </c>
      <c r="R306" t="s">
        <v>74</v>
      </c>
      <c r="S306" t="s">
        <v>74</v>
      </c>
      <c r="T306" t="s">
        <v>5943</v>
      </c>
      <c r="U306" t="s">
        <v>218</v>
      </c>
      <c r="V306" t="s">
        <v>5944</v>
      </c>
      <c r="W306" t="s">
        <v>5945</v>
      </c>
      <c r="X306" t="s">
        <v>5946</v>
      </c>
      <c r="Y306" t="s">
        <v>5947</v>
      </c>
      <c r="Z306" t="s">
        <v>5948</v>
      </c>
      <c r="AA306" t="s">
        <v>74</v>
      </c>
      <c r="AB306" t="s">
        <v>5949</v>
      </c>
      <c r="AC306" t="s">
        <v>74</v>
      </c>
      <c r="AD306" t="s">
        <v>74</v>
      </c>
      <c r="AE306" t="s">
        <v>74</v>
      </c>
      <c r="AF306" t="s">
        <v>74</v>
      </c>
      <c r="AG306">
        <v>79</v>
      </c>
      <c r="AH306">
        <v>0</v>
      </c>
      <c r="AI306">
        <v>0</v>
      </c>
      <c r="AJ306">
        <v>2</v>
      </c>
      <c r="AK306">
        <v>2</v>
      </c>
      <c r="AL306" t="s">
        <v>171</v>
      </c>
      <c r="AM306" t="s">
        <v>172</v>
      </c>
      <c r="AN306" t="s">
        <v>173</v>
      </c>
      <c r="AO306" t="s">
        <v>3336</v>
      </c>
      <c r="AP306" t="s">
        <v>3337</v>
      </c>
      <c r="AQ306" t="s">
        <v>74</v>
      </c>
      <c r="AR306" t="s">
        <v>3338</v>
      </c>
      <c r="AS306" t="s">
        <v>3339</v>
      </c>
      <c r="AT306" t="s">
        <v>5950</v>
      </c>
      <c r="AU306">
        <v>2024</v>
      </c>
      <c r="AV306" t="s">
        <v>74</v>
      </c>
      <c r="AW306" t="s">
        <v>74</v>
      </c>
      <c r="AX306" t="s">
        <v>74</v>
      </c>
      <c r="AY306" t="s">
        <v>74</v>
      </c>
      <c r="AZ306" t="s">
        <v>74</v>
      </c>
      <c r="BA306" t="s">
        <v>74</v>
      </c>
      <c r="BB306" t="s">
        <v>74</v>
      </c>
      <c r="BC306" t="s">
        <v>74</v>
      </c>
      <c r="BD306" t="s">
        <v>74</v>
      </c>
      <c r="BE306" t="s">
        <v>5951</v>
      </c>
      <c r="BF306" t="str">
        <f>HYPERLINK("http://dx.doi.org/10.1177/13678779241276884","http://dx.doi.org/10.1177/13678779241276884")</f>
        <v>http://dx.doi.org/10.1177/13678779241276884</v>
      </c>
      <c r="BG306" t="s">
        <v>74</v>
      </c>
      <c r="BH306" t="s">
        <v>337</v>
      </c>
      <c r="BI306">
        <v>27</v>
      </c>
      <c r="BJ306" t="s">
        <v>2124</v>
      </c>
      <c r="BK306" t="s">
        <v>2125</v>
      </c>
      <c r="BL306" t="s">
        <v>2124</v>
      </c>
      <c r="BM306" t="s">
        <v>5952</v>
      </c>
      <c r="BN306" t="s">
        <v>74</v>
      </c>
      <c r="BO306" t="s">
        <v>74</v>
      </c>
      <c r="BP306" t="s">
        <v>74</v>
      </c>
      <c r="BQ306" t="s">
        <v>74</v>
      </c>
      <c r="BR306" t="s">
        <v>102</v>
      </c>
      <c r="BS306" t="s">
        <v>5953</v>
      </c>
      <c r="BT306" t="str">
        <f>HYPERLINK("https%3A%2F%2Fwww.webofscience.com%2Fwos%2Fwoscc%2Ffull-record%2FWOS:001324289700001","View Full Record in Web of Science")</f>
        <v>View Full Record in Web of Science</v>
      </c>
    </row>
    <row r="307" spans="1:72" x14ac:dyDescent="0.35">
      <c r="A307" t="s">
        <v>72</v>
      </c>
      <c r="B307" t="s">
        <v>5954</v>
      </c>
      <c r="C307" t="s">
        <v>74</v>
      </c>
      <c r="D307" t="s">
        <v>74</v>
      </c>
      <c r="E307" t="s">
        <v>74</v>
      </c>
      <c r="F307" t="s">
        <v>5955</v>
      </c>
      <c r="G307" t="s">
        <v>74</v>
      </c>
      <c r="H307" t="s">
        <v>74</v>
      </c>
      <c r="I307" t="s">
        <v>5956</v>
      </c>
      <c r="J307" t="s">
        <v>5957</v>
      </c>
      <c r="K307" t="s">
        <v>74</v>
      </c>
      <c r="L307" t="s">
        <v>74</v>
      </c>
      <c r="M307" t="s">
        <v>78</v>
      </c>
      <c r="N307" t="s">
        <v>108</v>
      </c>
      <c r="O307" t="s">
        <v>74</v>
      </c>
      <c r="P307" t="s">
        <v>74</v>
      </c>
      <c r="Q307" t="s">
        <v>74</v>
      </c>
      <c r="R307" t="s">
        <v>74</v>
      </c>
      <c r="S307" t="s">
        <v>74</v>
      </c>
      <c r="T307" t="s">
        <v>5958</v>
      </c>
      <c r="U307" t="s">
        <v>5959</v>
      </c>
      <c r="V307" t="s">
        <v>5960</v>
      </c>
      <c r="W307" t="s">
        <v>5961</v>
      </c>
      <c r="X307" t="s">
        <v>5962</v>
      </c>
      <c r="Y307" t="s">
        <v>5963</v>
      </c>
      <c r="Z307" t="s">
        <v>5964</v>
      </c>
      <c r="AA307" t="s">
        <v>74</v>
      </c>
      <c r="AB307" t="s">
        <v>5965</v>
      </c>
      <c r="AC307" t="s">
        <v>74</v>
      </c>
      <c r="AD307" t="s">
        <v>74</v>
      </c>
      <c r="AE307" t="s">
        <v>5966</v>
      </c>
      <c r="AF307" t="s">
        <v>74</v>
      </c>
      <c r="AG307">
        <v>39</v>
      </c>
      <c r="AH307">
        <v>0</v>
      </c>
      <c r="AI307">
        <v>0</v>
      </c>
      <c r="AJ307">
        <v>14</v>
      </c>
      <c r="AK307">
        <v>14</v>
      </c>
      <c r="AL307" t="s">
        <v>251</v>
      </c>
      <c r="AM307" t="s">
        <v>252</v>
      </c>
      <c r="AN307" t="s">
        <v>253</v>
      </c>
      <c r="AO307" t="s">
        <v>5967</v>
      </c>
      <c r="AP307" t="s">
        <v>5968</v>
      </c>
      <c r="AQ307" t="s">
        <v>74</v>
      </c>
      <c r="AR307" t="s">
        <v>5969</v>
      </c>
      <c r="AS307" t="s">
        <v>5970</v>
      </c>
      <c r="AT307" t="s">
        <v>523</v>
      </c>
      <c r="AU307">
        <v>2024</v>
      </c>
      <c r="AV307">
        <v>57</v>
      </c>
      <c r="AW307">
        <v>11</v>
      </c>
      <c r="AX307" t="s">
        <v>74</v>
      </c>
      <c r="AY307" t="s">
        <v>74</v>
      </c>
      <c r="AZ307" t="s">
        <v>74</v>
      </c>
      <c r="BA307" t="s">
        <v>74</v>
      </c>
      <c r="BB307">
        <v>2217</v>
      </c>
      <c r="BC307">
        <v>2227</v>
      </c>
      <c r="BD307" t="s">
        <v>74</v>
      </c>
      <c r="BE307" t="s">
        <v>5971</v>
      </c>
      <c r="BF307" t="str">
        <f>HYPERLINK("http://dx.doi.org/10.1002/eat.24265","http://dx.doi.org/10.1002/eat.24265")</f>
        <v>http://dx.doi.org/10.1002/eat.24265</v>
      </c>
      <c r="BG307" t="s">
        <v>74</v>
      </c>
      <c r="BH307" t="s">
        <v>2444</v>
      </c>
      <c r="BI307">
        <v>11</v>
      </c>
      <c r="BJ307" t="s">
        <v>5972</v>
      </c>
      <c r="BK307" t="s">
        <v>182</v>
      </c>
      <c r="BL307" t="s">
        <v>5973</v>
      </c>
      <c r="BM307" t="s">
        <v>5974</v>
      </c>
      <c r="BN307">
        <v>39119884</v>
      </c>
      <c r="BO307" t="s">
        <v>156</v>
      </c>
      <c r="BP307" t="s">
        <v>74</v>
      </c>
      <c r="BQ307" t="s">
        <v>74</v>
      </c>
      <c r="BR307" t="s">
        <v>102</v>
      </c>
      <c r="BS307" t="s">
        <v>5975</v>
      </c>
      <c r="BT307" t="str">
        <f>HYPERLINK("https%3A%2F%2Fwww.webofscience.com%2Fwos%2Fwoscc%2Ffull-record%2FWOS:001287559700001","View Full Record in Web of Science")</f>
        <v>View Full Record in Web of Science</v>
      </c>
    </row>
    <row r="308" spans="1:72" x14ac:dyDescent="0.35">
      <c r="A308" t="s">
        <v>72</v>
      </c>
      <c r="B308" t="s">
        <v>5976</v>
      </c>
      <c r="C308" t="s">
        <v>74</v>
      </c>
      <c r="D308" t="s">
        <v>74</v>
      </c>
      <c r="E308" t="s">
        <v>74</v>
      </c>
      <c r="F308" t="s">
        <v>5977</v>
      </c>
      <c r="G308" t="s">
        <v>74</v>
      </c>
      <c r="H308" t="s">
        <v>74</v>
      </c>
      <c r="I308" t="s">
        <v>5978</v>
      </c>
      <c r="J308" t="s">
        <v>5979</v>
      </c>
      <c r="K308" t="s">
        <v>74</v>
      </c>
      <c r="L308" t="s">
        <v>74</v>
      </c>
      <c r="M308" t="s">
        <v>78</v>
      </c>
      <c r="N308" t="s">
        <v>108</v>
      </c>
      <c r="O308" t="s">
        <v>74</v>
      </c>
      <c r="P308" t="s">
        <v>74</v>
      </c>
      <c r="Q308" t="s">
        <v>74</v>
      </c>
      <c r="R308" t="s">
        <v>74</v>
      </c>
      <c r="S308" t="s">
        <v>74</v>
      </c>
      <c r="T308" t="s">
        <v>5980</v>
      </c>
      <c r="U308" t="s">
        <v>5981</v>
      </c>
      <c r="V308" t="s">
        <v>5982</v>
      </c>
      <c r="W308" t="s">
        <v>5983</v>
      </c>
      <c r="X308" t="s">
        <v>5984</v>
      </c>
      <c r="Y308" t="s">
        <v>5985</v>
      </c>
      <c r="Z308" t="s">
        <v>5986</v>
      </c>
      <c r="AA308" t="s">
        <v>5987</v>
      </c>
      <c r="AB308" t="s">
        <v>5988</v>
      </c>
      <c r="AC308" t="s">
        <v>74</v>
      </c>
      <c r="AD308" t="s">
        <v>74</v>
      </c>
      <c r="AE308" t="s">
        <v>74</v>
      </c>
      <c r="AF308" t="s">
        <v>74</v>
      </c>
      <c r="AG308">
        <v>93</v>
      </c>
      <c r="AH308">
        <v>6</v>
      </c>
      <c r="AI308">
        <v>6</v>
      </c>
      <c r="AJ308">
        <v>22</v>
      </c>
      <c r="AK308">
        <v>87</v>
      </c>
      <c r="AL308" t="s">
        <v>199</v>
      </c>
      <c r="AM308" t="s">
        <v>200</v>
      </c>
      <c r="AN308" t="s">
        <v>471</v>
      </c>
      <c r="AO308" t="s">
        <v>5989</v>
      </c>
      <c r="AP308" t="s">
        <v>5990</v>
      </c>
      <c r="AQ308" t="s">
        <v>74</v>
      </c>
      <c r="AR308" t="s">
        <v>5991</v>
      </c>
      <c r="AS308" t="s">
        <v>5992</v>
      </c>
      <c r="AT308" t="s">
        <v>5993</v>
      </c>
      <c r="AU308">
        <v>2023</v>
      </c>
      <c r="AV308">
        <v>57</v>
      </c>
      <c r="AW308">
        <v>3</v>
      </c>
      <c r="AX308" t="s">
        <v>74</v>
      </c>
      <c r="AY308" t="s">
        <v>74</v>
      </c>
      <c r="AZ308" t="s">
        <v>74</v>
      </c>
      <c r="BA308" t="s">
        <v>74</v>
      </c>
      <c r="BB308">
        <v>344</v>
      </c>
      <c r="BC308">
        <v>365</v>
      </c>
      <c r="BD308" t="s">
        <v>74</v>
      </c>
      <c r="BE308" t="s">
        <v>5994</v>
      </c>
      <c r="BF308" t="str">
        <f>HYPERLINK("http://dx.doi.org/10.1108/DTA-03-2022-0107","http://dx.doi.org/10.1108/DTA-03-2022-0107")</f>
        <v>http://dx.doi.org/10.1108/DTA-03-2022-0107</v>
      </c>
      <c r="BG308" t="s">
        <v>74</v>
      </c>
      <c r="BH308" t="s">
        <v>74</v>
      </c>
      <c r="BI308">
        <v>22</v>
      </c>
      <c r="BJ308" t="s">
        <v>5995</v>
      </c>
      <c r="BK308" t="s">
        <v>182</v>
      </c>
      <c r="BL308" t="s">
        <v>5996</v>
      </c>
      <c r="BM308" t="s">
        <v>5997</v>
      </c>
      <c r="BN308" t="s">
        <v>74</v>
      </c>
      <c r="BO308" t="s">
        <v>74</v>
      </c>
      <c r="BP308" t="s">
        <v>74</v>
      </c>
      <c r="BQ308" t="s">
        <v>74</v>
      </c>
      <c r="BR308" t="s">
        <v>102</v>
      </c>
      <c r="BS308" t="s">
        <v>5998</v>
      </c>
      <c r="BT308" t="str">
        <f>HYPERLINK("https%3A%2F%2Fwww.webofscience.com%2Fwos%2Fwoscc%2Ffull-record%2FWOS:001006775400002","View Full Record in Web of Science")</f>
        <v>View Full Record in Web of Science</v>
      </c>
    </row>
    <row r="309" spans="1:72" x14ac:dyDescent="0.35">
      <c r="A309" t="s">
        <v>72</v>
      </c>
      <c r="B309" t="s">
        <v>5999</v>
      </c>
      <c r="C309" t="s">
        <v>74</v>
      </c>
      <c r="D309" t="s">
        <v>74</v>
      </c>
      <c r="E309" t="s">
        <v>74</v>
      </c>
      <c r="F309" t="s">
        <v>6000</v>
      </c>
      <c r="G309" t="s">
        <v>74</v>
      </c>
      <c r="H309" t="s">
        <v>74</v>
      </c>
      <c r="I309" t="s">
        <v>6001</v>
      </c>
      <c r="J309" t="s">
        <v>1740</v>
      </c>
      <c r="K309" t="s">
        <v>74</v>
      </c>
      <c r="L309" t="s">
        <v>74</v>
      </c>
      <c r="M309" t="s">
        <v>78</v>
      </c>
      <c r="N309" t="s">
        <v>108</v>
      </c>
      <c r="O309" t="s">
        <v>74</v>
      </c>
      <c r="P309" t="s">
        <v>74</v>
      </c>
      <c r="Q309" t="s">
        <v>74</v>
      </c>
      <c r="R309" t="s">
        <v>74</v>
      </c>
      <c r="S309" t="s">
        <v>74</v>
      </c>
      <c r="T309" t="s">
        <v>6002</v>
      </c>
      <c r="U309" t="s">
        <v>74</v>
      </c>
      <c r="V309" t="s">
        <v>6003</v>
      </c>
      <c r="W309" t="s">
        <v>6004</v>
      </c>
      <c r="X309" t="s">
        <v>6005</v>
      </c>
      <c r="Y309" t="s">
        <v>6006</v>
      </c>
      <c r="Z309" t="s">
        <v>6007</v>
      </c>
      <c r="AA309" t="s">
        <v>6008</v>
      </c>
      <c r="AB309" t="s">
        <v>6009</v>
      </c>
      <c r="AC309" t="s">
        <v>74</v>
      </c>
      <c r="AD309" t="s">
        <v>74</v>
      </c>
      <c r="AE309" t="s">
        <v>74</v>
      </c>
      <c r="AF309" t="s">
        <v>74</v>
      </c>
      <c r="AG309">
        <v>38</v>
      </c>
      <c r="AH309">
        <v>6</v>
      </c>
      <c r="AI309">
        <v>10</v>
      </c>
      <c r="AJ309">
        <v>6</v>
      </c>
      <c r="AK309">
        <v>18</v>
      </c>
      <c r="AL309" t="s">
        <v>1195</v>
      </c>
      <c r="AM309" t="s">
        <v>1196</v>
      </c>
      <c r="AN309" t="s">
        <v>1197</v>
      </c>
      <c r="AO309" t="s">
        <v>74</v>
      </c>
      <c r="AP309" t="s">
        <v>1748</v>
      </c>
      <c r="AQ309" t="s">
        <v>74</v>
      </c>
      <c r="AR309" t="s">
        <v>1749</v>
      </c>
      <c r="AS309" t="s">
        <v>1750</v>
      </c>
      <c r="AT309" t="s">
        <v>1275</v>
      </c>
      <c r="AU309">
        <v>2022</v>
      </c>
      <c r="AV309">
        <v>3</v>
      </c>
      <c r="AW309">
        <v>4</v>
      </c>
      <c r="AX309" t="s">
        <v>74</v>
      </c>
      <c r="AY309" t="s">
        <v>74</v>
      </c>
      <c r="AZ309" t="s">
        <v>74</v>
      </c>
      <c r="BA309" t="s">
        <v>74</v>
      </c>
      <c r="BB309">
        <v>615</v>
      </c>
      <c r="BC309">
        <v>632</v>
      </c>
      <c r="BD309" t="s">
        <v>74</v>
      </c>
      <c r="BE309" t="s">
        <v>6010</v>
      </c>
      <c r="BF309" t="str">
        <f>HYPERLINK("http://dx.doi.org/10.3390/journalmedia3040041","http://dx.doi.org/10.3390/journalmedia3040041")</f>
        <v>http://dx.doi.org/10.3390/journalmedia3040041</v>
      </c>
      <c r="BG309" t="s">
        <v>74</v>
      </c>
      <c r="BH309" t="s">
        <v>74</v>
      </c>
      <c r="BI309">
        <v>18</v>
      </c>
      <c r="BJ309" t="s">
        <v>124</v>
      </c>
      <c r="BK309" t="s">
        <v>125</v>
      </c>
      <c r="BL309" t="s">
        <v>124</v>
      </c>
      <c r="BM309" t="s">
        <v>6011</v>
      </c>
      <c r="BN309" t="s">
        <v>74</v>
      </c>
      <c r="BO309" t="s">
        <v>552</v>
      </c>
      <c r="BP309" t="s">
        <v>74</v>
      </c>
      <c r="BQ309" t="s">
        <v>74</v>
      </c>
      <c r="BR309" t="s">
        <v>102</v>
      </c>
      <c r="BS309" t="s">
        <v>6012</v>
      </c>
      <c r="BT309" t="str">
        <f>HYPERLINK("https%3A%2F%2Fwww.webofscience.com%2Fwos%2Fwoscc%2Ffull-record%2FWOS:001121466700001","View Full Record in Web of Science")</f>
        <v>View Full Record in Web of Science</v>
      </c>
    </row>
    <row r="310" spans="1:72" x14ac:dyDescent="0.35">
      <c r="A310" t="s">
        <v>72</v>
      </c>
      <c r="B310" t="s">
        <v>6013</v>
      </c>
      <c r="C310" t="s">
        <v>74</v>
      </c>
      <c r="D310" t="s">
        <v>74</v>
      </c>
      <c r="E310" t="s">
        <v>74</v>
      </c>
      <c r="F310" t="s">
        <v>6014</v>
      </c>
      <c r="G310" t="s">
        <v>74</v>
      </c>
      <c r="H310" t="s">
        <v>74</v>
      </c>
      <c r="I310" t="s">
        <v>6015</v>
      </c>
      <c r="J310" t="s">
        <v>6016</v>
      </c>
      <c r="K310" t="s">
        <v>74</v>
      </c>
      <c r="L310" t="s">
        <v>74</v>
      </c>
      <c r="M310" t="s">
        <v>78</v>
      </c>
      <c r="N310" t="s">
        <v>108</v>
      </c>
      <c r="O310" t="s">
        <v>74</v>
      </c>
      <c r="P310" t="s">
        <v>74</v>
      </c>
      <c r="Q310" t="s">
        <v>74</v>
      </c>
      <c r="R310" t="s">
        <v>74</v>
      </c>
      <c r="S310" t="s">
        <v>74</v>
      </c>
      <c r="T310" t="s">
        <v>6017</v>
      </c>
      <c r="U310" t="s">
        <v>6018</v>
      </c>
      <c r="V310" t="s">
        <v>6019</v>
      </c>
      <c r="W310" t="s">
        <v>6020</v>
      </c>
      <c r="X310" t="s">
        <v>6021</v>
      </c>
      <c r="Y310" t="s">
        <v>6022</v>
      </c>
      <c r="Z310" t="s">
        <v>381</v>
      </c>
      <c r="AA310" t="s">
        <v>6023</v>
      </c>
      <c r="AB310" t="s">
        <v>6024</v>
      </c>
      <c r="AC310" t="s">
        <v>6025</v>
      </c>
      <c r="AD310" t="s">
        <v>6025</v>
      </c>
      <c r="AE310" t="s">
        <v>2921</v>
      </c>
      <c r="AF310" t="s">
        <v>74</v>
      </c>
      <c r="AG310">
        <v>30</v>
      </c>
      <c r="AH310">
        <v>1</v>
      </c>
      <c r="AI310">
        <v>1</v>
      </c>
      <c r="AJ310">
        <v>5</v>
      </c>
      <c r="AK310">
        <v>8</v>
      </c>
      <c r="AL310" t="s">
        <v>803</v>
      </c>
      <c r="AM310" t="s">
        <v>227</v>
      </c>
      <c r="AN310" t="s">
        <v>804</v>
      </c>
      <c r="AO310" t="s">
        <v>74</v>
      </c>
      <c r="AP310" t="s">
        <v>6026</v>
      </c>
      <c r="AQ310" t="s">
        <v>74</v>
      </c>
      <c r="AR310" t="s">
        <v>6027</v>
      </c>
      <c r="AS310" t="s">
        <v>6028</v>
      </c>
      <c r="AT310" t="s">
        <v>6029</v>
      </c>
      <c r="AU310">
        <v>2024</v>
      </c>
      <c r="AV310">
        <v>12</v>
      </c>
      <c r="AW310">
        <v>1</v>
      </c>
      <c r="AX310" t="s">
        <v>74</v>
      </c>
      <c r="AY310" t="s">
        <v>74</v>
      </c>
      <c r="AZ310" t="s">
        <v>74</v>
      </c>
      <c r="BA310" t="s">
        <v>74</v>
      </c>
      <c r="BB310" t="s">
        <v>74</v>
      </c>
      <c r="BC310" t="s">
        <v>74</v>
      </c>
      <c r="BD310">
        <v>81</v>
      </c>
      <c r="BE310" t="s">
        <v>6030</v>
      </c>
      <c r="BF310" t="str">
        <f>HYPERLINK("http://dx.doi.org/10.1186/s40359-024-01541-y","http://dx.doi.org/10.1186/s40359-024-01541-y")</f>
        <v>http://dx.doi.org/10.1186/s40359-024-01541-y</v>
      </c>
      <c r="BG310" t="s">
        <v>74</v>
      </c>
      <c r="BH310" t="s">
        <v>74</v>
      </c>
      <c r="BI310">
        <v>9</v>
      </c>
      <c r="BJ310" t="s">
        <v>698</v>
      </c>
      <c r="BK310" t="s">
        <v>99</v>
      </c>
      <c r="BL310" t="s">
        <v>301</v>
      </c>
      <c r="BM310" t="s">
        <v>6031</v>
      </c>
      <c r="BN310">
        <v>38368362</v>
      </c>
      <c r="BO310" t="s">
        <v>552</v>
      </c>
      <c r="BP310" t="s">
        <v>74</v>
      </c>
      <c r="BQ310" t="s">
        <v>74</v>
      </c>
      <c r="BR310" t="s">
        <v>102</v>
      </c>
      <c r="BS310" t="s">
        <v>6032</v>
      </c>
      <c r="BT310" t="str">
        <f>HYPERLINK("https%3A%2F%2Fwww.webofscience.com%2Fwos%2Fwoscc%2Ffull-record%2FWOS:001163762600001","View Full Record in Web of Science")</f>
        <v>View Full Record in Web of Science</v>
      </c>
    </row>
    <row r="311" spans="1:72" x14ac:dyDescent="0.35">
      <c r="A311" t="s">
        <v>128</v>
      </c>
      <c r="B311" t="s">
        <v>6033</v>
      </c>
      <c r="C311" t="s">
        <v>74</v>
      </c>
      <c r="D311" t="s">
        <v>6034</v>
      </c>
      <c r="E311" t="s">
        <v>74</v>
      </c>
      <c r="F311" t="s">
        <v>6035</v>
      </c>
      <c r="G311" t="s">
        <v>74</v>
      </c>
      <c r="H311" t="s">
        <v>74</v>
      </c>
      <c r="I311" t="s">
        <v>6036</v>
      </c>
      <c r="J311" t="s">
        <v>6037</v>
      </c>
      <c r="K311" t="s">
        <v>6038</v>
      </c>
      <c r="L311" t="s">
        <v>74</v>
      </c>
      <c r="M311" t="s">
        <v>78</v>
      </c>
      <c r="N311" t="s">
        <v>135</v>
      </c>
      <c r="O311" t="s">
        <v>6039</v>
      </c>
      <c r="P311" t="s">
        <v>6040</v>
      </c>
      <c r="Q311" t="s">
        <v>6041</v>
      </c>
      <c r="R311" t="s">
        <v>6042</v>
      </c>
      <c r="S311" t="s">
        <v>74</v>
      </c>
      <c r="T311" t="s">
        <v>6043</v>
      </c>
      <c r="U311" t="s">
        <v>74</v>
      </c>
      <c r="V311" t="s">
        <v>6044</v>
      </c>
      <c r="W311" t="s">
        <v>6045</v>
      </c>
      <c r="X311" t="s">
        <v>74</v>
      </c>
      <c r="Y311" t="s">
        <v>6046</v>
      </c>
      <c r="Z311" t="s">
        <v>74</v>
      </c>
      <c r="AA311" t="s">
        <v>74</v>
      </c>
      <c r="AB311" t="s">
        <v>74</v>
      </c>
      <c r="AC311" t="s">
        <v>74</v>
      </c>
      <c r="AD311" t="s">
        <v>74</v>
      </c>
      <c r="AE311" t="s">
        <v>74</v>
      </c>
      <c r="AF311" t="s">
        <v>74</v>
      </c>
      <c r="AG311">
        <v>3</v>
      </c>
      <c r="AH311">
        <v>2</v>
      </c>
      <c r="AI311">
        <v>2</v>
      </c>
      <c r="AJ311">
        <v>2</v>
      </c>
      <c r="AK311">
        <v>5</v>
      </c>
      <c r="AL311" t="s">
        <v>6047</v>
      </c>
      <c r="AM311" t="s">
        <v>6048</v>
      </c>
      <c r="AN311" t="s">
        <v>6049</v>
      </c>
      <c r="AO311" t="s">
        <v>6050</v>
      </c>
      <c r="AP311" t="s">
        <v>6051</v>
      </c>
      <c r="AQ311" t="s">
        <v>6052</v>
      </c>
      <c r="AR311" t="s">
        <v>6053</v>
      </c>
      <c r="AS311" t="s">
        <v>74</v>
      </c>
      <c r="AT311" t="s">
        <v>74</v>
      </c>
      <c r="AU311">
        <v>2022</v>
      </c>
      <c r="AV311">
        <v>12213</v>
      </c>
      <c r="AW311" t="s">
        <v>74</v>
      </c>
      <c r="AX311" t="s">
        <v>74</v>
      </c>
      <c r="AY311" t="s">
        <v>74</v>
      </c>
      <c r="AZ311" t="s">
        <v>74</v>
      </c>
      <c r="BA311" t="s">
        <v>74</v>
      </c>
      <c r="BB311" t="s">
        <v>74</v>
      </c>
      <c r="BC311" t="s">
        <v>74</v>
      </c>
      <c r="BD311" t="s">
        <v>6054</v>
      </c>
      <c r="BE311" t="s">
        <v>6055</v>
      </c>
      <c r="BF311" t="str">
        <f>HYPERLINK("http://dx.doi.org/10.1117/12.2646001","http://dx.doi.org/10.1117/12.2646001")</f>
        <v>http://dx.doi.org/10.1117/12.2646001</v>
      </c>
      <c r="BG311" t="s">
        <v>74</v>
      </c>
      <c r="BH311" t="s">
        <v>74</v>
      </c>
      <c r="BI311">
        <v>6</v>
      </c>
      <c r="BJ311" t="s">
        <v>6056</v>
      </c>
      <c r="BK311" t="s">
        <v>723</v>
      </c>
      <c r="BL311" t="s">
        <v>6057</v>
      </c>
      <c r="BM311" t="s">
        <v>6058</v>
      </c>
      <c r="BN311" t="s">
        <v>74</v>
      </c>
      <c r="BO311" t="s">
        <v>767</v>
      </c>
      <c r="BP311" t="s">
        <v>74</v>
      </c>
      <c r="BQ311" t="s">
        <v>74</v>
      </c>
      <c r="BR311" t="s">
        <v>102</v>
      </c>
      <c r="BS311" t="s">
        <v>6059</v>
      </c>
      <c r="BT311" t="str">
        <f>HYPERLINK("https%3A%2F%2Fwww.webofscience.com%2Fwos%2Fwoscc%2Ffull-record%2FWOS:000869639100020","View Full Record in Web of Science")</f>
        <v>View Full Record in Web of Science</v>
      </c>
    </row>
    <row r="312" spans="1:72" x14ac:dyDescent="0.35">
      <c r="A312" t="s">
        <v>72</v>
      </c>
      <c r="B312" t="s">
        <v>6060</v>
      </c>
      <c r="C312" t="s">
        <v>74</v>
      </c>
      <c r="D312" t="s">
        <v>74</v>
      </c>
      <c r="E312" t="s">
        <v>74</v>
      </c>
      <c r="F312" t="s">
        <v>6061</v>
      </c>
      <c r="G312" t="s">
        <v>74</v>
      </c>
      <c r="H312" t="s">
        <v>74</v>
      </c>
      <c r="I312" t="s">
        <v>6062</v>
      </c>
      <c r="J312" t="s">
        <v>6063</v>
      </c>
      <c r="K312" t="s">
        <v>74</v>
      </c>
      <c r="L312" t="s">
        <v>74</v>
      </c>
      <c r="M312" t="s">
        <v>78</v>
      </c>
      <c r="N312" t="s">
        <v>108</v>
      </c>
      <c r="O312" t="s">
        <v>74</v>
      </c>
      <c r="P312" t="s">
        <v>74</v>
      </c>
      <c r="Q312" t="s">
        <v>74</v>
      </c>
      <c r="R312" t="s">
        <v>74</v>
      </c>
      <c r="S312" t="s">
        <v>74</v>
      </c>
      <c r="T312" t="s">
        <v>74</v>
      </c>
      <c r="U312" t="s">
        <v>6064</v>
      </c>
      <c r="V312" t="s">
        <v>6065</v>
      </c>
      <c r="W312" t="s">
        <v>6066</v>
      </c>
      <c r="X312" t="s">
        <v>6067</v>
      </c>
      <c r="Y312" t="s">
        <v>6068</v>
      </c>
      <c r="Z312" t="s">
        <v>6069</v>
      </c>
      <c r="AA312" t="s">
        <v>74</v>
      </c>
      <c r="AB312" t="s">
        <v>6070</v>
      </c>
      <c r="AC312" t="s">
        <v>74</v>
      </c>
      <c r="AD312" t="s">
        <v>74</v>
      </c>
      <c r="AE312" t="s">
        <v>74</v>
      </c>
      <c r="AF312" t="s">
        <v>74</v>
      </c>
      <c r="AG312">
        <v>21</v>
      </c>
      <c r="AH312">
        <v>29</v>
      </c>
      <c r="AI312">
        <v>29</v>
      </c>
      <c r="AJ312">
        <v>3</v>
      </c>
      <c r="AK312">
        <v>16</v>
      </c>
      <c r="AL312" t="s">
        <v>803</v>
      </c>
      <c r="AM312" t="s">
        <v>227</v>
      </c>
      <c r="AN312" t="s">
        <v>804</v>
      </c>
      <c r="AO312" t="s">
        <v>6071</v>
      </c>
      <c r="AP312" t="s">
        <v>6072</v>
      </c>
      <c r="AQ312" t="s">
        <v>74</v>
      </c>
      <c r="AR312" t="s">
        <v>6073</v>
      </c>
      <c r="AS312" t="s">
        <v>6074</v>
      </c>
      <c r="AT312" t="s">
        <v>745</v>
      </c>
      <c r="AU312">
        <v>2024</v>
      </c>
      <c r="AV312">
        <v>36</v>
      </c>
      <c r="AW312">
        <v>3</v>
      </c>
      <c r="AX312" t="s">
        <v>74</v>
      </c>
      <c r="AY312" t="s">
        <v>74</v>
      </c>
      <c r="AZ312" t="s">
        <v>74</v>
      </c>
      <c r="BA312" t="s">
        <v>74</v>
      </c>
      <c r="BB312">
        <v>256</v>
      </c>
      <c r="BC312">
        <v>260</v>
      </c>
      <c r="BD312" t="s">
        <v>74</v>
      </c>
      <c r="BE312" t="s">
        <v>6075</v>
      </c>
      <c r="BF312" t="str">
        <f>HYPERLINK("http://dx.doi.org/10.1038/s41443-022-00645-6","http://dx.doi.org/10.1038/s41443-022-00645-6")</f>
        <v>http://dx.doi.org/10.1038/s41443-022-00645-6</v>
      </c>
      <c r="BG312" t="s">
        <v>74</v>
      </c>
      <c r="BH312" t="s">
        <v>366</v>
      </c>
      <c r="BI312">
        <v>5</v>
      </c>
      <c r="BJ312" t="s">
        <v>1908</v>
      </c>
      <c r="BK312" t="s">
        <v>209</v>
      </c>
      <c r="BL312" t="s">
        <v>1908</v>
      </c>
      <c r="BM312" t="s">
        <v>6076</v>
      </c>
      <c r="BN312">
        <v>36402921</v>
      </c>
      <c r="BO312" t="s">
        <v>6077</v>
      </c>
      <c r="BP312" t="s">
        <v>74</v>
      </c>
      <c r="BQ312" t="s">
        <v>74</v>
      </c>
      <c r="BR312" t="s">
        <v>102</v>
      </c>
      <c r="BS312" t="s">
        <v>6078</v>
      </c>
      <c r="BT312" t="str">
        <f>HYPERLINK("https%3A%2F%2Fwww.webofscience.com%2Fwos%2Fwoscc%2Ffull-record%2FWOS:000885414300001","View Full Record in Web of Science")</f>
        <v>View Full Record in Web of Science</v>
      </c>
    </row>
    <row r="313" spans="1:72" x14ac:dyDescent="0.35">
      <c r="A313" t="s">
        <v>72</v>
      </c>
      <c r="B313" t="s">
        <v>6079</v>
      </c>
      <c r="C313" t="s">
        <v>74</v>
      </c>
      <c r="D313" t="s">
        <v>74</v>
      </c>
      <c r="E313" t="s">
        <v>74</v>
      </c>
      <c r="F313" t="s">
        <v>6080</v>
      </c>
      <c r="G313" t="s">
        <v>74</v>
      </c>
      <c r="H313" t="s">
        <v>74</v>
      </c>
      <c r="I313" t="s">
        <v>6081</v>
      </c>
      <c r="J313" t="s">
        <v>6082</v>
      </c>
      <c r="K313" t="s">
        <v>74</v>
      </c>
      <c r="L313" t="s">
        <v>74</v>
      </c>
      <c r="M313" t="s">
        <v>78</v>
      </c>
      <c r="N313" t="s">
        <v>108</v>
      </c>
      <c r="O313" t="s">
        <v>74</v>
      </c>
      <c r="P313" t="s">
        <v>74</v>
      </c>
      <c r="Q313" t="s">
        <v>74</v>
      </c>
      <c r="R313" t="s">
        <v>74</v>
      </c>
      <c r="S313" t="s">
        <v>74</v>
      </c>
      <c r="T313" t="s">
        <v>6083</v>
      </c>
      <c r="U313" t="s">
        <v>6084</v>
      </c>
      <c r="V313" t="s">
        <v>6085</v>
      </c>
      <c r="W313" t="s">
        <v>6086</v>
      </c>
      <c r="X313" t="s">
        <v>6087</v>
      </c>
      <c r="Y313" t="s">
        <v>6088</v>
      </c>
      <c r="Z313" t="s">
        <v>6089</v>
      </c>
      <c r="AA313" t="s">
        <v>74</v>
      </c>
      <c r="AB313" t="s">
        <v>74</v>
      </c>
      <c r="AC313" t="s">
        <v>6090</v>
      </c>
      <c r="AD313" t="s">
        <v>6090</v>
      </c>
      <c r="AE313" t="s">
        <v>6091</v>
      </c>
      <c r="AF313" t="s">
        <v>74</v>
      </c>
      <c r="AG313">
        <v>45</v>
      </c>
      <c r="AH313">
        <v>0</v>
      </c>
      <c r="AI313">
        <v>0</v>
      </c>
      <c r="AJ313">
        <v>5</v>
      </c>
      <c r="AK313">
        <v>5</v>
      </c>
      <c r="AL313" t="s">
        <v>226</v>
      </c>
      <c r="AM313" t="s">
        <v>227</v>
      </c>
      <c r="AN313" t="s">
        <v>228</v>
      </c>
      <c r="AO313" t="s">
        <v>6092</v>
      </c>
      <c r="AP313" t="s">
        <v>74</v>
      </c>
      <c r="AQ313" t="s">
        <v>74</v>
      </c>
      <c r="AR313" t="s">
        <v>6093</v>
      </c>
      <c r="AS313" t="s">
        <v>6094</v>
      </c>
      <c r="AT313" t="s">
        <v>74</v>
      </c>
      <c r="AU313">
        <v>2024</v>
      </c>
      <c r="AV313">
        <v>10</v>
      </c>
      <c r="AW313" t="s">
        <v>74</v>
      </c>
      <c r="AX313" t="s">
        <v>74</v>
      </c>
      <c r="AY313" t="s">
        <v>74</v>
      </c>
      <c r="AZ313" t="s">
        <v>74</v>
      </c>
      <c r="BA313" t="s">
        <v>74</v>
      </c>
      <c r="BB313" t="s">
        <v>74</v>
      </c>
      <c r="BC313" t="s">
        <v>74</v>
      </c>
      <c r="BD313">
        <v>2.0552076241288832E+16</v>
      </c>
      <c r="BE313" t="s">
        <v>6095</v>
      </c>
      <c r="BF313" t="str">
        <f>HYPERLINK("http://dx.doi.org/10.1177/20552076241288831","http://dx.doi.org/10.1177/20552076241288831")</f>
        <v>http://dx.doi.org/10.1177/20552076241288831</v>
      </c>
      <c r="BG313" t="s">
        <v>74</v>
      </c>
      <c r="BH313" t="s">
        <v>74</v>
      </c>
      <c r="BI313">
        <v>13</v>
      </c>
      <c r="BJ313" t="s">
        <v>6096</v>
      </c>
      <c r="BK313" t="s">
        <v>182</v>
      </c>
      <c r="BL313" t="s">
        <v>6097</v>
      </c>
      <c r="BM313" t="s">
        <v>6098</v>
      </c>
      <c r="BN313">
        <v>39381823</v>
      </c>
      <c r="BO313" t="s">
        <v>3287</v>
      </c>
      <c r="BP313" t="s">
        <v>74</v>
      </c>
      <c r="BQ313" t="s">
        <v>74</v>
      </c>
      <c r="BR313" t="s">
        <v>102</v>
      </c>
      <c r="BS313" t="s">
        <v>6099</v>
      </c>
      <c r="BT313" t="str">
        <f>HYPERLINK("https%3A%2F%2Fwww.webofscience.com%2Fwos%2Fwoscc%2Ffull-record%2FWOS:001328759500001","View Full Record in Web of Science")</f>
        <v>View Full Record in Web of Science</v>
      </c>
    </row>
    <row r="314" spans="1:72" x14ac:dyDescent="0.35">
      <c r="A314" t="s">
        <v>72</v>
      </c>
      <c r="B314" t="s">
        <v>6100</v>
      </c>
      <c r="C314" t="s">
        <v>74</v>
      </c>
      <c r="D314" t="s">
        <v>74</v>
      </c>
      <c r="E314" t="s">
        <v>74</v>
      </c>
      <c r="F314" t="s">
        <v>6101</v>
      </c>
      <c r="G314" t="s">
        <v>74</v>
      </c>
      <c r="H314" t="s">
        <v>74</v>
      </c>
      <c r="I314" t="s">
        <v>6102</v>
      </c>
      <c r="J314" t="s">
        <v>6103</v>
      </c>
      <c r="K314" t="s">
        <v>74</v>
      </c>
      <c r="L314" t="s">
        <v>74</v>
      </c>
      <c r="M314" t="s">
        <v>78</v>
      </c>
      <c r="N314" t="s">
        <v>108</v>
      </c>
      <c r="O314" t="s">
        <v>74</v>
      </c>
      <c r="P314" t="s">
        <v>74</v>
      </c>
      <c r="Q314" t="s">
        <v>74</v>
      </c>
      <c r="R314" t="s">
        <v>74</v>
      </c>
      <c r="S314" t="s">
        <v>74</v>
      </c>
      <c r="T314" t="s">
        <v>6104</v>
      </c>
      <c r="U314" t="s">
        <v>6105</v>
      </c>
      <c r="V314" t="s">
        <v>6106</v>
      </c>
      <c r="W314" t="s">
        <v>6107</v>
      </c>
      <c r="X314" t="s">
        <v>6108</v>
      </c>
      <c r="Y314" t="s">
        <v>6109</v>
      </c>
      <c r="Z314" t="s">
        <v>6110</v>
      </c>
      <c r="AA314" t="s">
        <v>6111</v>
      </c>
      <c r="AB314" t="s">
        <v>6112</v>
      </c>
      <c r="AC314" t="s">
        <v>6108</v>
      </c>
      <c r="AD314" t="s">
        <v>6108</v>
      </c>
      <c r="AE314" t="s">
        <v>6113</v>
      </c>
      <c r="AF314" t="s">
        <v>74</v>
      </c>
      <c r="AG314">
        <v>70</v>
      </c>
      <c r="AH314">
        <v>12</v>
      </c>
      <c r="AI314">
        <v>13</v>
      </c>
      <c r="AJ314">
        <v>17</v>
      </c>
      <c r="AK314">
        <v>82</v>
      </c>
      <c r="AL314" t="s">
        <v>88</v>
      </c>
      <c r="AM314" t="s">
        <v>89</v>
      </c>
      <c r="AN314" t="s">
        <v>90</v>
      </c>
      <c r="AO314" t="s">
        <v>6114</v>
      </c>
      <c r="AP314" t="s">
        <v>6115</v>
      </c>
      <c r="AQ314" t="s">
        <v>74</v>
      </c>
      <c r="AR314" t="s">
        <v>6116</v>
      </c>
      <c r="AS314" t="s">
        <v>6117</v>
      </c>
      <c r="AT314" t="s">
        <v>6118</v>
      </c>
      <c r="AU314">
        <v>2022</v>
      </c>
      <c r="AV314">
        <v>16</v>
      </c>
      <c r="AW314">
        <v>6</v>
      </c>
      <c r="AX314" t="s">
        <v>74</v>
      </c>
      <c r="AY314" t="s">
        <v>74</v>
      </c>
      <c r="AZ314" t="s">
        <v>74</v>
      </c>
      <c r="BA314" t="s">
        <v>74</v>
      </c>
      <c r="BB314">
        <v>713</v>
      </c>
      <c r="BC314">
        <v>722</v>
      </c>
      <c r="BD314" t="s">
        <v>74</v>
      </c>
      <c r="BE314" t="s">
        <v>6119</v>
      </c>
      <c r="BF314" t="str">
        <f>HYPERLINK("http://dx.doi.org/10.1080/17524032.2022.2131868","http://dx.doi.org/10.1080/17524032.2022.2131868")</f>
        <v>http://dx.doi.org/10.1080/17524032.2022.2131868</v>
      </c>
      <c r="BG314" t="s">
        <v>74</v>
      </c>
      <c r="BH314" t="s">
        <v>2034</v>
      </c>
      <c r="BI314">
        <v>10</v>
      </c>
      <c r="BJ314" t="s">
        <v>6120</v>
      </c>
      <c r="BK314" t="s">
        <v>99</v>
      </c>
      <c r="BL314" t="s">
        <v>6121</v>
      </c>
      <c r="BM314" t="s">
        <v>6122</v>
      </c>
      <c r="BN314" t="s">
        <v>74</v>
      </c>
      <c r="BO314" t="s">
        <v>156</v>
      </c>
      <c r="BP314" t="s">
        <v>74</v>
      </c>
      <c r="BQ314" t="s">
        <v>74</v>
      </c>
      <c r="BR314" t="s">
        <v>102</v>
      </c>
      <c r="BS314" t="s">
        <v>6123</v>
      </c>
      <c r="BT314" t="str">
        <f>HYPERLINK("https%3A%2F%2Fwww.webofscience.com%2Fwos%2Fwoscc%2Ffull-record%2FWOS:000868227100001","View Full Record in Web of Science")</f>
        <v>View Full Record in Web of Science</v>
      </c>
    </row>
    <row r="315" spans="1:72" x14ac:dyDescent="0.35">
      <c r="A315" t="s">
        <v>72</v>
      </c>
      <c r="B315" t="s">
        <v>6124</v>
      </c>
      <c r="C315" t="s">
        <v>74</v>
      </c>
      <c r="D315" t="s">
        <v>74</v>
      </c>
      <c r="E315" t="s">
        <v>74</v>
      </c>
      <c r="F315" t="s">
        <v>6125</v>
      </c>
      <c r="G315" t="s">
        <v>74</v>
      </c>
      <c r="H315" t="s">
        <v>74</v>
      </c>
      <c r="I315" t="s">
        <v>6126</v>
      </c>
      <c r="J315" t="s">
        <v>1962</v>
      </c>
      <c r="K315" t="s">
        <v>74</v>
      </c>
      <c r="L315" t="s">
        <v>74</v>
      </c>
      <c r="M315" t="s">
        <v>78</v>
      </c>
      <c r="N315" t="s">
        <v>108</v>
      </c>
      <c r="O315" t="s">
        <v>74</v>
      </c>
      <c r="P315" t="s">
        <v>74</v>
      </c>
      <c r="Q315" t="s">
        <v>74</v>
      </c>
      <c r="R315" t="s">
        <v>74</v>
      </c>
      <c r="S315" t="s">
        <v>74</v>
      </c>
      <c r="T315" t="s">
        <v>6127</v>
      </c>
      <c r="U315" t="s">
        <v>6128</v>
      </c>
      <c r="V315" t="s">
        <v>6129</v>
      </c>
      <c r="W315" t="s">
        <v>6130</v>
      </c>
      <c r="X315" t="s">
        <v>6131</v>
      </c>
      <c r="Y315" t="s">
        <v>6132</v>
      </c>
      <c r="Z315" t="s">
        <v>6133</v>
      </c>
      <c r="AA315" t="s">
        <v>6134</v>
      </c>
      <c r="AB315" t="s">
        <v>6135</v>
      </c>
      <c r="AC315" t="s">
        <v>74</v>
      </c>
      <c r="AD315" t="s">
        <v>74</v>
      </c>
      <c r="AE315" t="s">
        <v>74</v>
      </c>
      <c r="AF315" t="s">
        <v>74</v>
      </c>
      <c r="AG315">
        <v>38</v>
      </c>
      <c r="AH315">
        <v>3</v>
      </c>
      <c r="AI315">
        <v>3</v>
      </c>
      <c r="AJ315">
        <v>3</v>
      </c>
      <c r="AK315">
        <v>6</v>
      </c>
      <c r="AL315" t="s">
        <v>1965</v>
      </c>
      <c r="AM315" t="s">
        <v>666</v>
      </c>
      <c r="AN315" t="s">
        <v>1966</v>
      </c>
      <c r="AO315" t="s">
        <v>1967</v>
      </c>
      <c r="AP315" t="s">
        <v>1968</v>
      </c>
      <c r="AQ315" t="s">
        <v>74</v>
      </c>
      <c r="AR315" t="s">
        <v>1962</v>
      </c>
      <c r="AS315" t="s">
        <v>1969</v>
      </c>
      <c r="AT315" t="s">
        <v>745</v>
      </c>
      <c r="AU315">
        <v>2024</v>
      </c>
      <c r="AV315">
        <v>133</v>
      </c>
      <c r="AW315" t="s">
        <v>74</v>
      </c>
      <c r="AX315" t="s">
        <v>74</v>
      </c>
      <c r="AY315" t="s">
        <v>74</v>
      </c>
      <c r="AZ315" t="s">
        <v>74</v>
      </c>
      <c r="BA315" t="s">
        <v>74</v>
      </c>
      <c r="BB315" t="s">
        <v>74</v>
      </c>
      <c r="BC315" t="s">
        <v>74</v>
      </c>
      <c r="BD315">
        <v>110384</v>
      </c>
      <c r="BE315" t="s">
        <v>6136</v>
      </c>
      <c r="BF315" t="str">
        <f>HYPERLINK("http://dx.doi.org/10.1016/j.contraception.2024.110384","http://dx.doi.org/10.1016/j.contraception.2024.110384")</f>
        <v>http://dx.doi.org/10.1016/j.contraception.2024.110384</v>
      </c>
      <c r="BG315" t="s">
        <v>74</v>
      </c>
      <c r="BH315" t="s">
        <v>123</v>
      </c>
      <c r="BI315">
        <v>5</v>
      </c>
      <c r="BJ315" t="s">
        <v>1971</v>
      </c>
      <c r="BK315" t="s">
        <v>209</v>
      </c>
      <c r="BL315" t="s">
        <v>1971</v>
      </c>
      <c r="BM315" t="s">
        <v>6137</v>
      </c>
      <c r="BN315">
        <v>38253250</v>
      </c>
      <c r="BO315" t="s">
        <v>2738</v>
      </c>
      <c r="BP315" t="s">
        <v>74</v>
      </c>
      <c r="BQ315" t="s">
        <v>74</v>
      </c>
      <c r="BR315" t="s">
        <v>102</v>
      </c>
      <c r="BS315" t="s">
        <v>6138</v>
      </c>
      <c r="BT315" t="str">
        <f>HYPERLINK("https%3A%2F%2Fwww.webofscience.com%2Fwos%2Fwoscc%2Ffull-record%2FWOS:001217903700001","View Full Record in Web of Science")</f>
        <v>View Full Record in Web of Science</v>
      </c>
    </row>
    <row r="316" spans="1:72" x14ac:dyDescent="0.35">
      <c r="A316" t="s">
        <v>72</v>
      </c>
      <c r="B316" t="s">
        <v>6139</v>
      </c>
      <c r="C316" t="s">
        <v>74</v>
      </c>
      <c r="D316" t="s">
        <v>74</v>
      </c>
      <c r="E316" t="s">
        <v>74</v>
      </c>
      <c r="F316" t="s">
        <v>6140</v>
      </c>
      <c r="G316" t="s">
        <v>74</v>
      </c>
      <c r="H316" t="s">
        <v>74</v>
      </c>
      <c r="I316" t="s">
        <v>6141</v>
      </c>
      <c r="J316" t="s">
        <v>6142</v>
      </c>
      <c r="K316" t="s">
        <v>74</v>
      </c>
      <c r="L316" t="s">
        <v>74</v>
      </c>
      <c r="M316" t="s">
        <v>78</v>
      </c>
      <c r="N316" t="s">
        <v>108</v>
      </c>
      <c r="O316" t="s">
        <v>74</v>
      </c>
      <c r="P316" t="s">
        <v>74</v>
      </c>
      <c r="Q316" t="s">
        <v>74</v>
      </c>
      <c r="R316" t="s">
        <v>74</v>
      </c>
      <c r="S316" t="s">
        <v>74</v>
      </c>
      <c r="T316" t="s">
        <v>6143</v>
      </c>
      <c r="U316" t="s">
        <v>6144</v>
      </c>
      <c r="V316" t="s">
        <v>6145</v>
      </c>
      <c r="W316" t="s">
        <v>6146</v>
      </c>
      <c r="X316" t="s">
        <v>6147</v>
      </c>
      <c r="Y316" t="s">
        <v>6148</v>
      </c>
      <c r="Z316" t="s">
        <v>6149</v>
      </c>
      <c r="AA316" t="s">
        <v>6150</v>
      </c>
      <c r="AB316" t="s">
        <v>6151</v>
      </c>
      <c r="AC316" t="s">
        <v>1291</v>
      </c>
      <c r="AD316" t="s">
        <v>1292</v>
      </c>
      <c r="AE316" t="s">
        <v>1293</v>
      </c>
      <c r="AF316" t="s">
        <v>74</v>
      </c>
      <c r="AG316">
        <v>36</v>
      </c>
      <c r="AH316">
        <v>2</v>
      </c>
      <c r="AI316">
        <v>2</v>
      </c>
      <c r="AJ316">
        <v>8</v>
      </c>
      <c r="AK316">
        <v>8</v>
      </c>
      <c r="AL316" t="s">
        <v>6152</v>
      </c>
      <c r="AM316" t="s">
        <v>227</v>
      </c>
      <c r="AN316" t="s">
        <v>6153</v>
      </c>
      <c r="AO316" t="s">
        <v>6154</v>
      </c>
      <c r="AP316" t="s">
        <v>74</v>
      </c>
      <c r="AQ316" t="s">
        <v>74</v>
      </c>
      <c r="AR316" t="s">
        <v>6155</v>
      </c>
      <c r="AS316" t="s">
        <v>6156</v>
      </c>
      <c r="AT316" t="s">
        <v>6157</v>
      </c>
      <c r="AU316">
        <v>2024</v>
      </c>
      <c r="AV316" t="s">
        <v>74</v>
      </c>
      <c r="AW316">
        <v>1</v>
      </c>
      <c r="AX316" t="s">
        <v>74</v>
      </c>
      <c r="AY316" t="s">
        <v>74</v>
      </c>
      <c r="AZ316" t="s">
        <v>74</v>
      </c>
      <c r="BA316" t="s">
        <v>74</v>
      </c>
      <c r="BB316" t="s">
        <v>74</v>
      </c>
      <c r="BC316" t="s">
        <v>74</v>
      </c>
      <c r="BD316">
        <v>12</v>
      </c>
      <c r="BE316" t="s">
        <v>6158</v>
      </c>
      <c r="BF316" t="str">
        <f>HYPERLINK("http://dx.doi.org/10.5334/jime.845","http://dx.doi.org/10.5334/jime.845")</f>
        <v>http://dx.doi.org/10.5334/jime.845</v>
      </c>
      <c r="BG316" t="s">
        <v>74</v>
      </c>
      <c r="BH316" t="s">
        <v>74</v>
      </c>
      <c r="BI316">
        <v>14</v>
      </c>
      <c r="BJ316" t="s">
        <v>787</v>
      </c>
      <c r="BK316" t="s">
        <v>125</v>
      </c>
      <c r="BL316" t="s">
        <v>787</v>
      </c>
      <c r="BM316" t="s">
        <v>6159</v>
      </c>
      <c r="BN316" t="s">
        <v>74</v>
      </c>
      <c r="BO316" t="s">
        <v>235</v>
      </c>
      <c r="BP316" t="s">
        <v>74</v>
      </c>
      <c r="BQ316" t="s">
        <v>74</v>
      </c>
      <c r="BR316" t="s">
        <v>102</v>
      </c>
      <c r="BS316" t="s">
        <v>6160</v>
      </c>
      <c r="BT316" t="str">
        <f>HYPERLINK("https%3A%2F%2Fwww.webofscience.com%2Fwos%2Fwoscc%2Ffull-record%2FWOS:001227558100002","View Full Record in Web of Science")</f>
        <v>View Full Record in Web of Science</v>
      </c>
    </row>
    <row r="317" spans="1:72" x14ac:dyDescent="0.35">
      <c r="A317" t="s">
        <v>128</v>
      </c>
      <c r="B317" t="s">
        <v>6161</v>
      </c>
      <c r="C317" t="s">
        <v>74</v>
      </c>
      <c r="D317" t="s">
        <v>6162</v>
      </c>
      <c r="E317" t="s">
        <v>74</v>
      </c>
      <c r="F317" t="s">
        <v>6163</v>
      </c>
      <c r="G317" t="s">
        <v>74</v>
      </c>
      <c r="H317" t="s">
        <v>74</v>
      </c>
      <c r="I317" t="s">
        <v>6164</v>
      </c>
      <c r="J317" t="s">
        <v>6165</v>
      </c>
      <c r="K317" t="s">
        <v>628</v>
      </c>
      <c r="L317" t="s">
        <v>74</v>
      </c>
      <c r="M317" t="s">
        <v>78</v>
      </c>
      <c r="N317" t="s">
        <v>135</v>
      </c>
      <c r="O317" t="s">
        <v>6166</v>
      </c>
      <c r="P317" t="s">
        <v>6167</v>
      </c>
      <c r="Q317" t="s">
        <v>6168</v>
      </c>
      <c r="R317" t="s">
        <v>6169</v>
      </c>
      <c r="S317" t="s">
        <v>74</v>
      </c>
      <c r="T317" t="s">
        <v>6170</v>
      </c>
      <c r="U317" t="s">
        <v>6171</v>
      </c>
      <c r="V317" t="s">
        <v>6172</v>
      </c>
      <c r="W317" t="s">
        <v>6173</v>
      </c>
      <c r="X317" t="s">
        <v>6174</v>
      </c>
      <c r="Y317" t="s">
        <v>6175</v>
      </c>
      <c r="Z317" t="s">
        <v>6176</v>
      </c>
      <c r="AA317" t="s">
        <v>6177</v>
      </c>
      <c r="AB317" t="s">
        <v>6178</v>
      </c>
      <c r="AC317" t="s">
        <v>74</v>
      </c>
      <c r="AD317" t="s">
        <v>74</v>
      </c>
      <c r="AE317" t="s">
        <v>74</v>
      </c>
      <c r="AF317" t="s">
        <v>74</v>
      </c>
      <c r="AG317">
        <v>17</v>
      </c>
      <c r="AH317">
        <v>1</v>
      </c>
      <c r="AI317">
        <v>1</v>
      </c>
      <c r="AJ317">
        <v>4</v>
      </c>
      <c r="AK317">
        <v>16</v>
      </c>
      <c r="AL317" t="s">
        <v>639</v>
      </c>
      <c r="AM317" t="s">
        <v>640</v>
      </c>
      <c r="AN317" t="s">
        <v>641</v>
      </c>
      <c r="AO317" t="s">
        <v>642</v>
      </c>
      <c r="AP317" t="s">
        <v>643</v>
      </c>
      <c r="AQ317" t="s">
        <v>6179</v>
      </c>
      <c r="AR317" t="s">
        <v>645</v>
      </c>
      <c r="AS317" t="s">
        <v>74</v>
      </c>
      <c r="AT317" t="s">
        <v>74</v>
      </c>
      <c r="AU317">
        <v>2023</v>
      </c>
      <c r="AV317" t="s">
        <v>74</v>
      </c>
      <c r="AW317" t="s">
        <v>74</v>
      </c>
      <c r="AX317" t="s">
        <v>74</v>
      </c>
      <c r="AY317" t="s">
        <v>74</v>
      </c>
      <c r="AZ317" t="s">
        <v>74</v>
      </c>
      <c r="BA317" t="s">
        <v>74</v>
      </c>
      <c r="BB317">
        <v>142</v>
      </c>
      <c r="BC317">
        <v>147</v>
      </c>
      <c r="BD317" t="s">
        <v>74</v>
      </c>
      <c r="BE317" t="s">
        <v>6180</v>
      </c>
      <c r="BF317" t="str">
        <f>HYPERLINK("http://dx.doi.org/10.1007/978-3-031-25752-0_15","http://dx.doi.org/10.1007/978-3-031-25752-0_15")</f>
        <v>http://dx.doi.org/10.1007/978-3-031-25752-0_15</v>
      </c>
      <c r="BG317" t="s">
        <v>74</v>
      </c>
      <c r="BH317" t="s">
        <v>74</v>
      </c>
      <c r="BI317">
        <v>6</v>
      </c>
      <c r="BJ317" t="s">
        <v>2993</v>
      </c>
      <c r="BK317" t="s">
        <v>154</v>
      </c>
      <c r="BL317" t="s">
        <v>2994</v>
      </c>
      <c r="BM317" t="s">
        <v>6181</v>
      </c>
      <c r="BN317" t="s">
        <v>74</v>
      </c>
      <c r="BO317" t="s">
        <v>4154</v>
      </c>
      <c r="BP317" t="s">
        <v>74</v>
      </c>
      <c r="BQ317" t="s">
        <v>74</v>
      </c>
      <c r="BR317" t="s">
        <v>102</v>
      </c>
      <c r="BS317" t="s">
        <v>6182</v>
      </c>
      <c r="BT317" t="str">
        <f>HYPERLINK("https%3A%2F%2Fwww.webofscience.com%2Fwos%2Fwoscc%2Ffull-record%2FWOS:001025670500015","View Full Record in Web of Science")</f>
        <v>View Full Record in Web of Science</v>
      </c>
    </row>
    <row r="318" spans="1:72" x14ac:dyDescent="0.35">
      <c r="A318" t="s">
        <v>72</v>
      </c>
      <c r="B318" t="s">
        <v>6183</v>
      </c>
      <c r="C318" t="s">
        <v>74</v>
      </c>
      <c r="D318" t="s">
        <v>74</v>
      </c>
      <c r="E318" t="s">
        <v>74</v>
      </c>
      <c r="F318" t="s">
        <v>6184</v>
      </c>
      <c r="G318" t="s">
        <v>74</v>
      </c>
      <c r="H318" t="s">
        <v>74</v>
      </c>
      <c r="I318" t="s">
        <v>6185</v>
      </c>
      <c r="J318" t="s">
        <v>2110</v>
      </c>
      <c r="K318" t="s">
        <v>74</v>
      </c>
      <c r="L318" t="s">
        <v>74</v>
      </c>
      <c r="M318" t="s">
        <v>78</v>
      </c>
      <c r="N318" t="s">
        <v>79</v>
      </c>
      <c r="O318" t="s">
        <v>74</v>
      </c>
      <c r="P318" t="s">
        <v>74</v>
      </c>
      <c r="Q318" t="s">
        <v>74</v>
      </c>
      <c r="R318" t="s">
        <v>74</v>
      </c>
      <c r="S318" t="s">
        <v>74</v>
      </c>
      <c r="T318" t="s">
        <v>6186</v>
      </c>
      <c r="U318" t="s">
        <v>6187</v>
      </c>
      <c r="V318" t="s">
        <v>6188</v>
      </c>
      <c r="W318" t="s">
        <v>6189</v>
      </c>
      <c r="X318" t="s">
        <v>6190</v>
      </c>
      <c r="Y318" t="s">
        <v>6191</v>
      </c>
      <c r="Z318" t="s">
        <v>6192</v>
      </c>
      <c r="AA318" t="s">
        <v>74</v>
      </c>
      <c r="AB318" t="s">
        <v>74</v>
      </c>
      <c r="AC318" t="s">
        <v>74</v>
      </c>
      <c r="AD318" t="s">
        <v>74</v>
      </c>
      <c r="AE318" t="s">
        <v>74</v>
      </c>
      <c r="AF318" t="s">
        <v>74</v>
      </c>
      <c r="AG318">
        <v>100</v>
      </c>
      <c r="AH318">
        <v>0</v>
      </c>
      <c r="AI318">
        <v>0</v>
      </c>
      <c r="AJ318">
        <v>4</v>
      </c>
      <c r="AK318">
        <v>4</v>
      </c>
      <c r="AL318" t="s">
        <v>226</v>
      </c>
      <c r="AM318" t="s">
        <v>227</v>
      </c>
      <c r="AN318" t="s">
        <v>228</v>
      </c>
      <c r="AO318" t="s">
        <v>2118</v>
      </c>
      <c r="AP318" t="s">
        <v>2119</v>
      </c>
      <c r="AQ318" t="s">
        <v>74</v>
      </c>
      <c r="AR318" t="s">
        <v>2120</v>
      </c>
      <c r="AS318" t="s">
        <v>2121</v>
      </c>
      <c r="AT318" t="s">
        <v>6193</v>
      </c>
      <c r="AU318">
        <v>2024</v>
      </c>
      <c r="AV318" t="s">
        <v>74</v>
      </c>
      <c r="AW318" t="s">
        <v>74</v>
      </c>
      <c r="AX318" t="s">
        <v>74</v>
      </c>
      <c r="AY318" t="s">
        <v>74</v>
      </c>
      <c r="AZ318" t="s">
        <v>74</v>
      </c>
      <c r="BA318" t="s">
        <v>74</v>
      </c>
      <c r="BB318" t="s">
        <v>74</v>
      </c>
      <c r="BC318" t="s">
        <v>74</v>
      </c>
      <c r="BD318" t="s">
        <v>74</v>
      </c>
      <c r="BE318" t="s">
        <v>6194</v>
      </c>
      <c r="BF318" t="str">
        <f>HYPERLINK("http://dx.doi.org/10.1177/13675494241258965","http://dx.doi.org/10.1177/13675494241258965")</f>
        <v>http://dx.doi.org/10.1177/13675494241258965</v>
      </c>
      <c r="BG318" t="s">
        <v>74</v>
      </c>
      <c r="BH318" t="s">
        <v>500</v>
      </c>
      <c r="BI318">
        <v>20</v>
      </c>
      <c r="BJ318" t="s">
        <v>2124</v>
      </c>
      <c r="BK318" t="s">
        <v>2125</v>
      </c>
      <c r="BL318" t="s">
        <v>2124</v>
      </c>
      <c r="BM318" t="s">
        <v>6195</v>
      </c>
      <c r="BN318" t="s">
        <v>74</v>
      </c>
      <c r="BO318" t="s">
        <v>74</v>
      </c>
      <c r="BP318" t="s">
        <v>74</v>
      </c>
      <c r="BQ318" t="s">
        <v>74</v>
      </c>
      <c r="BR318" t="s">
        <v>102</v>
      </c>
      <c r="BS318" t="s">
        <v>6196</v>
      </c>
      <c r="BT318" t="str">
        <f>HYPERLINK("https%3A%2F%2Fwww.webofscience.com%2Fwos%2Fwoscc%2Ffull-record%2FWOS:001242025000001","View Full Record in Web of Science")</f>
        <v>View Full Record in Web of Science</v>
      </c>
    </row>
    <row r="319" spans="1:72" x14ac:dyDescent="0.35">
      <c r="A319" t="s">
        <v>72</v>
      </c>
      <c r="B319" t="s">
        <v>6197</v>
      </c>
      <c r="C319" t="s">
        <v>74</v>
      </c>
      <c r="D319" t="s">
        <v>74</v>
      </c>
      <c r="E319" t="s">
        <v>74</v>
      </c>
      <c r="F319" t="s">
        <v>6198</v>
      </c>
      <c r="G319" t="s">
        <v>74</v>
      </c>
      <c r="H319" t="s">
        <v>74</v>
      </c>
      <c r="I319" t="s">
        <v>6199</v>
      </c>
      <c r="J319" t="s">
        <v>6200</v>
      </c>
      <c r="K319" t="s">
        <v>74</v>
      </c>
      <c r="L319" t="s">
        <v>74</v>
      </c>
      <c r="M319" t="s">
        <v>78</v>
      </c>
      <c r="N319" t="s">
        <v>108</v>
      </c>
      <c r="O319" t="s">
        <v>74</v>
      </c>
      <c r="P319" t="s">
        <v>74</v>
      </c>
      <c r="Q319" t="s">
        <v>74</v>
      </c>
      <c r="R319" t="s">
        <v>74</v>
      </c>
      <c r="S319" t="s">
        <v>74</v>
      </c>
      <c r="T319" t="s">
        <v>6201</v>
      </c>
      <c r="U319" t="s">
        <v>6202</v>
      </c>
      <c r="V319" t="s">
        <v>6203</v>
      </c>
      <c r="W319" t="s">
        <v>6204</v>
      </c>
      <c r="X319" t="s">
        <v>6205</v>
      </c>
      <c r="Y319" t="s">
        <v>6206</v>
      </c>
      <c r="Z319" t="s">
        <v>6207</v>
      </c>
      <c r="AA319" t="s">
        <v>6208</v>
      </c>
      <c r="AB319" t="s">
        <v>6209</v>
      </c>
      <c r="AC319" t="s">
        <v>74</v>
      </c>
      <c r="AD319" t="s">
        <v>74</v>
      </c>
      <c r="AE319" t="s">
        <v>74</v>
      </c>
      <c r="AF319" t="s">
        <v>74</v>
      </c>
      <c r="AG319">
        <v>74</v>
      </c>
      <c r="AH319">
        <v>0</v>
      </c>
      <c r="AI319">
        <v>0</v>
      </c>
      <c r="AJ319">
        <v>6</v>
      </c>
      <c r="AK319">
        <v>6</v>
      </c>
      <c r="AL319" t="s">
        <v>6210</v>
      </c>
      <c r="AM319" t="s">
        <v>6211</v>
      </c>
      <c r="AN319" t="s">
        <v>6212</v>
      </c>
      <c r="AO319" t="s">
        <v>6213</v>
      </c>
      <c r="AP319" t="s">
        <v>6214</v>
      </c>
      <c r="AQ319" t="s">
        <v>74</v>
      </c>
      <c r="AR319" t="s">
        <v>6200</v>
      </c>
      <c r="AS319" t="s">
        <v>6215</v>
      </c>
      <c r="AT319" t="s">
        <v>930</v>
      </c>
      <c r="AU319">
        <v>2024</v>
      </c>
      <c r="AV319">
        <v>27</v>
      </c>
      <c r="AW319">
        <v>2</v>
      </c>
      <c r="AX319" t="s">
        <v>74</v>
      </c>
      <c r="AY319" t="s">
        <v>74</v>
      </c>
      <c r="AZ319" t="s">
        <v>74</v>
      </c>
      <c r="BA319" t="s">
        <v>74</v>
      </c>
      <c r="BB319" t="s">
        <v>74</v>
      </c>
      <c r="BC319" t="s">
        <v>74</v>
      </c>
      <c r="BD319" t="s">
        <v>6216</v>
      </c>
      <c r="BE319" t="s">
        <v>6217</v>
      </c>
      <c r="BF319" t="str">
        <f>HYPERLINK("http://dx.doi.org/10.5294/pacla.2024.27.2.1","http://dx.doi.org/10.5294/pacla.2024.27.2.1")</f>
        <v>http://dx.doi.org/10.5294/pacla.2024.27.2.1</v>
      </c>
      <c r="BG319" t="s">
        <v>74</v>
      </c>
      <c r="BH319" t="s">
        <v>74</v>
      </c>
      <c r="BI319">
        <v>37</v>
      </c>
      <c r="BJ319" t="s">
        <v>124</v>
      </c>
      <c r="BK319" t="s">
        <v>125</v>
      </c>
      <c r="BL319" t="s">
        <v>124</v>
      </c>
      <c r="BM319" t="s">
        <v>6218</v>
      </c>
      <c r="BN319" t="s">
        <v>74</v>
      </c>
      <c r="BO319" t="s">
        <v>235</v>
      </c>
      <c r="BP319" t="s">
        <v>74</v>
      </c>
      <c r="BQ319" t="s">
        <v>74</v>
      </c>
      <c r="BR319" t="s">
        <v>102</v>
      </c>
      <c r="BS319" t="s">
        <v>6219</v>
      </c>
      <c r="BT319" t="str">
        <f>HYPERLINK("https%3A%2F%2Fwww.webofscience.com%2Fwos%2Fwoscc%2Ffull-record%2FWOS:001228406800001","View Full Record in Web of Science")</f>
        <v>View Full Record in Web of Science</v>
      </c>
    </row>
    <row r="320" spans="1:72" x14ac:dyDescent="0.35">
      <c r="A320" t="s">
        <v>72</v>
      </c>
      <c r="B320" t="s">
        <v>6220</v>
      </c>
      <c r="C320" t="s">
        <v>74</v>
      </c>
      <c r="D320" t="s">
        <v>74</v>
      </c>
      <c r="E320" t="s">
        <v>74</v>
      </c>
      <c r="F320" t="s">
        <v>6221</v>
      </c>
      <c r="G320" t="s">
        <v>74</v>
      </c>
      <c r="H320" t="s">
        <v>74</v>
      </c>
      <c r="I320" t="s">
        <v>6222</v>
      </c>
      <c r="J320" t="s">
        <v>3502</v>
      </c>
      <c r="K320" t="s">
        <v>74</v>
      </c>
      <c r="L320" t="s">
        <v>74</v>
      </c>
      <c r="M320" t="s">
        <v>3503</v>
      </c>
      <c r="N320" t="s">
        <v>108</v>
      </c>
      <c r="O320" t="s">
        <v>74</v>
      </c>
      <c r="P320" t="s">
        <v>74</v>
      </c>
      <c r="Q320" t="s">
        <v>74</v>
      </c>
      <c r="R320" t="s">
        <v>74</v>
      </c>
      <c r="S320" t="s">
        <v>74</v>
      </c>
      <c r="T320" t="s">
        <v>6223</v>
      </c>
      <c r="U320" t="s">
        <v>6224</v>
      </c>
      <c r="V320" t="s">
        <v>6225</v>
      </c>
      <c r="W320" t="s">
        <v>6226</v>
      </c>
      <c r="X320" t="s">
        <v>6227</v>
      </c>
      <c r="Y320" t="s">
        <v>6228</v>
      </c>
      <c r="Z320" t="s">
        <v>6229</v>
      </c>
      <c r="AA320" t="s">
        <v>6230</v>
      </c>
      <c r="AB320" t="s">
        <v>6231</v>
      </c>
      <c r="AC320" t="s">
        <v>74</v>
      </c>
      <c r="AD320" t="s">
        <v>74</v>
      </c>
      <c r="AE320" t="s">
        <v>74</v>
      </c>
      <c r="AF320" t="s">
        <v>74</v>
      </c>
      <c r="AG320">
        <v>79</v>
      </c>
      <c r="AH320">
        <v>12</v>
      </c>
      <c r="AI320">
        <v>12</v>
      </c>
      <c r="AJ320">
        <v>3</v>
      </c>
      <c r="AK320">
        <v>26</v>
      </c>
      <c r="AL320" t="s">
        <v>3511</v>
      </c>
      <c r="AM320" t="s">
        <v>3512</v>
      </c>
      <c r="AN320" t="s">
        <v>3513</v>
      </c>
      <c r="AO320" t="s">
        <v>3514</v>
      </c>
      <c r="AP320" t="s">
        <v>74</v>
      </c>
      <c r="AQ320" t="s">
        <v>74</v>
      </c>
      <c r="AR320" t="s">
        <v>3515</v>
      </c>
      <c r="AS320" t="s">
        <v>3516</v>
      </c>
      <c r="AT320" t="s">
        <v>3517</v>
      </c>
      <c r="AU320">
        <v>2022</v>
      </c>
      <c r="AV320">
        <v>13</v>
      </c>
      <c r="AW320">
        <v>1</v>
      </c>
      <c r="AX320" t="s">
        <v>74</v>
      </c>
      <c r="AY320" t="s">
        <v>74</v>
      </c>
      <c r="AZ320" t="s">
        <v>456</v>
      </c>
      <c r="BA320" t="s">
        <v>74</v>
      </c>
      <c r="BB320">
        <v>31</v>
      </c>
      <c r="BC320">
        <v>49</v>
      </c>
      <c r="BD320" t="s">
        <v>74</v>
      </c>
      <c r="BE320" t="s">
        <v>6232</v>
      </c>
      <c r="BF320" t="str">
        <f>HYPERLINK("http://dx.doi.org/10.14198/MEDCOM.20776","http://dx.doi.org/10.14198/MEDCOM.20776")</f>
        <v>http://dx.doi.org/10.14198/MEDCOM.20776</v>
      </c>
      <c r="BG320" t="s">
        <v>74</v>
      </c>
      <c r="BH320" t="s">
        <v>74</v>
      </c>
      <c r="BI320">
        <v>19</v>
      </c>
      <c r="BJ320" t="s">
        <v>124</v>
      </c>
      <c r="BK320" t="s">
        <v>125</v>
      </c>
      <c r="BL320" t="s">
        <v>124</v>
      </c>
      <c r="BM320" t="s">
        <v>6233</v>
      </c>
      <c r="BN320" t="s">
        <v>74</v>
      </c>
      <c r="BO320" t="s">
        <v>552</v>
      </c>
      <c r="BP320" t="s">
        <v>74</v>
      </c>
      <c r="BQ320" t="s">
        <v>74</v>
      </c>
      <c r="BR320" t="s">
        <v>102</v>
      </c>
      <c r="BS320" t="s">
        <v>6234</v>
      </c>
      <c r="BT320" t="str">
        <f>HYPERLINK("https%3A%2F%2Fwww.webofscience.com%2Fwos%2Fwoscc%2Ffull-record%2FWOS:000864460700004","View Full Record in Web of Science")</f>
        <v>View Full Record in Web of Science</v>
      </c>
    </row>
    <row r="321" spans="1:72" x14ac:dyDescent="0.35">
      <c r="A321" t="s">
        <v>72</v>
      </c>
      <c r="B321" t="s">
        <v>6235</v>
      </c>
      <c r="C321" t="s">
        <v>74</v>
      </c>
      <c r="D321" t="s">
        <v>74</v>
      </c>
      <c r="E321" t="s">
        <v>74</v>
      </c>
      <c r="F321" t="s">
        <v>6236</v>
      </c>
      <c r="G321" t="s">
        <v>74</v>
      </c>
      <c r="H321" t="s">
        <v>74</v>
      </c>
      <c r="I321" t="s">
        <v>6237</v>
      </c>
      <c r="J321" t="s">
        <v>216</v>
      </c>
      <c r="K321" t="s">
        <v>74</v>
      </c>
      <c r="L321" t="s">
        <v>74</v>
      </c>
      <c r="M321" t="s">
        <v>78</v>
      </c>
      <c r="N321" t="s">
        <v>108</v>
      </c>
      <c r="O321" t="s">
        <v>74</v>
      </c>
      <c r="P321" t="s">
        <v>74</v>
      </c>
      <c r="Q321" t="s">
        <v>74</v>
      </c>
      <c r="R321" t="s">
        <v>74</v>
      </c>
      <c r="S321" t="s">
        <v>74</v>
      </c>
      <c r="T321" t="s">
        <v>6238</v>
      </c>
      <c r="U321" t="s">
        <v>74</v>
      </c>
      <c r="V321" t="s">
        <v>6239</v>
      </c>
      <c r="W321" t="s">
        <v>6240</v>
      </c>
      <c r="X321" t="s">
        <v>6241</v>
      </c>
      <c r="Y321" t="s">
        <v>6242</v>
      </c>
      <c r="Z321" t="s">
        <v>6243</v>
      </c>
      <c r="AA321" t="s">
        <v>74</v>
      </c>
      <c r="AB321" t="s">
        <v>74</v>
      </c>
      <c r="AC321" t="s">
        <v>74</v>
      </c>
      <c r="AD321" t="s">
        <v>74</v>
      </c>
      <c r="AE321" t="s">
        <v>74</v>
      </c>
      <c r="AF321" t="s">
        <v>74</v>
      </c>
      <c r="AG321">
        <v>35</v>
      </c>
      <c r="AH321">
        <v>0</v>
      </c>
      <c r="AI321">
        <v>0</v>
      </c>
      <c r="AJ321">
        <v>10</v>
      </c>
      <c r="AK321">
        <v>10</v>
      </c>
      <c r="AL321" t="s">
        <v>226</v>
      </c>
      <c r="AM321" t="s">
        <v>227</v>
      </c>
      <c r="AN321" t="s">
        <v>228</v>
      </c>
      <c r="AO321" t="s">
        <v>229</v>
      </c>
      <c r="AP321" t="s">
        <v>74</v>
      </c>
      <c r="AQ321" t="s">
        <v>74</v>
      </c>
      <c r="AR321" t="s">
        <v>230</v>
      </c>
      <c r="AS321" t="s">
        <v>231</v>
      </c>
      <c r="AT321" t="s">
        <v>594</v>
      </c>
      <c r="AU321">
        <v>2024</v>
      </c>
      <c r="AV321">
        <v>10</v>
      </c>
      <c r="AW321">
        <v>4</v>
      </c>
      <c r="AX321" t="s">
        <v>74</v>
      </c>
      <c r="AY321" t="s">
        <v>74</v>
      </c>
      <c r="AZ321" t="s">
        <v>74</v>
      </c>
      <c r="BA321" t="s">
        <v>74</v>
      </c>
      <c r="BB321" t="s">
        <v>74</v>
      </c>
      <c r="BC321" t="s">
        <v>74</v>
      </c>
      <c r="BD321">
        <v>2.05630512412867E+16</v>
      </c>
      <c r="BE321" t="s">
        <v>6244</v>
      </c>
      <c r="BF321" t="str">
        <f>HYPERLINK("http://dx.doi.org/10.1177/20563051241286700","http://dx.doi.org/10.1177/20563051241286700")</f>
        <v>http://dx.doi.org/10.1177/20563051241286700</v>
      </c>
      <c r="BG321" t="s">
        <v>74</v>
      </c>
      <c r="BH321" t="s">
        <v>74</v>
      </c>
      <c r="BI321">
        <v>14</v>
      </c>
      <c r="BJ321" t="s">
        <v>124</v>
      </c>
      <c r="BK321" t="s">
        <v>99</v>
      </c>
      <c r="BL321" t="s">
        <v>124</v>
      </c>
      <c r="BM321" t="s">
        <v>6245</v>
      </c>
      <c r="BN321" t="s">
        <v>74</v>
      </c>
      <c r="BO321" t="s">
        <v>235</v>
      </c>
      <c r="BP321" t="s">
        <v>74</v>
      </c>
      <c r="BQ321" t="s">
        <v>74</v>
      </c>
      <c r="BR321" t="s">
        <v>102</v>
      </c>
      <c r="BS321" t="s">
        <v>6246</v>
      </c>
      <c r="BT321" t="str">
        <f>HYPERLINK("https%3A%2F%2Fwww.webofscience.com%2Fwos%2Fwoscc%2Ffull-record%2FWOS:001327922000001","View Full Record in Web of Science")</f>
        <v>View Full Record in Web of Science</v>
      </c>
    </row>
    <row r="322" spans="1:72" x14ac:dyDescent="0.35">
      <c r="A322" t="s">
        <v>72</v>
      </c>
      <c r="B322" t="s">
        <v>6247</v>
      </c>
      <c r="C322" t="s">
        <v>74</v>
      </c>
      <c r="D322" t="s">
        <v>74</v>
      </c>
      <c r="E322" t="s">
        <v>74</v>
      </c>
      <c r="F322" t="s">
        <v>6248</v>
      </c>
      <c r="G322" t="s">
        <v>74</v>
      </c>
      <c r="H322" t="s">
        <v>74</v>
      </c>
      <c r="I322" t="s">
        <v>6249</v>
      </c>
      <c r="J322" t="s">
        <v>4384</v>
      </c>
      <c r="K322" t="s">
        <v>74</v>
      </c>
      <c r="L322" t="s">
        <v>74</v>
      </c>
      <c r="M322" t="s">
        <v>78</v>
      </c>
      <c r="N322" t="s">
        <v>108</v>
      </c>
      <c r="O322" t="s">
        <v>74</v>
      </c>
      <c r="P322" t="s">
        <v>74</v>
      </c>
      <c r="Q322" t="s">
        <v>74</v>
      </c>
      <c r="R322" t="s">
        <v>74</v>
      </c>
      <c r="S322" t="s">
        <v>74</v>
      </c>
      <c r="T322" t="s">
        <v>74</v>
      </c>
      <c r="U322" t="s">
        <v>6250</v>
      </c>
      <c r="V322" t="s">
        <v>6251</v>
      </c>
      <c r="W322" t="s">
        <v>6252</v>
      </c>
      <c r="X322" t="s">
        <v>6253</v>
      </c>
      <c r="Y322" t="s">
        <v>6254</v>
      </c>
      <c r="Z322" t="s">
        <v>6255</v>
      </c>
      <c r="AA322" t="s">
        <v>6256</v>
      </c>
      <c r="AB322" t="s">
        <v>6257</v>
      </c>
      <c r="AC322" t="s">
        <v>74</v>
      </c>
      <c r="AD322" t="s">
        <v>74</v>
      </c>
      <c r="AE322" t="s">
        <v>74</v>
      </c>
      <c r="AF322" t="s">
        <v>74</v>
      </c>
      <c r="AG322">
        <v>39</v>
      </c>
      <c r="AH322">
        <v>0</v>
      </c>
      <c r="AI322">
        <v>0</v>
      </c>
      <c r="AJ322">
        <v>2</v>
      </c>
      <c r="AK322">
        <v>2</v>
      </c>
      <c r="AL322" t="s">
        <v>803</v>
      </c>
      <c r="AM322" t="s">
        <v>227</v>
      </c>
      <c r="AN322" t="s">
        <v>804</v>
      </c>
      <c r="AO322" t="s">
        <v>74</v>
      </c>
      <c r="AP322" t="s">
        <v>4395</v>
      </c>
      <c r="AQ322" t="s">
        <v>74</v>
      </c>
      <c r="AR322" t="s">
        <v>4396</v>
      </c>
      <c r="AS322" t="s">
        <v>4397</v>
      </c>
      <c r="AT322" t="s">
        <v>6258</v>
      </c>
      <c r="AU322">
        <v>2024</v>
      </c>
      <c r="AV322">
        <v>11</v>
      </c>
      <c r="AW322">
        <v>1</v>
      </c>
      <c r="AX322" t="s">
        <v>74</v>
      </c>
      <c r="AY322" t="s">
        <v>74</v>
      </c>
      <c r="AZ322" t="s">
        <v>74</v>
      </c>
      <c r="BA322" t="s">
        <v>74</v>
      </c>
      <c r="BB322" t="s">
        <v>74</v>
      </c>
      <c r="BC322" t="s">
        <v>74</v>
      </c>
      <c r="BD322">
        <v>1275</v>
      </c>
      <c r="BE322" t="s">
        <v>6259</v>
      </c>
      <c r="BF322" t="str">
        <f>HYPERLINK("http://dx.doi.org/10.1057/s41599-024-03814-8","http://dx.doi.org/10.1057/s41599-024-03814-8")</f>
        <v>http://dx.doi.org/10.1057/s41599-024-03814-8</v>
      </c>
      <c r="BG322" t="s">
        <v>74</v>
      </c>
      <c r="BH322" t="s">
        <v>74</v>
      </c>
      <c r="BI322">
        <v>9</v>
      </c>
      <c r="BJ322" t="s">
        <v>4400</v>
      </c>
      <c r="BK322" t="s">
        <v>2125</v>
      </c>
      <c r="BL322" t="s">
        <v>4401</v>
      </c>
      <c r="BM322" t="s">
        <v>6260</v>
      </c>
      <c r="BN322" t="s">
        <v>74</v>
      </c>
      <c r="BO322" t="s">
        <v>235</v>
      </c>
      <c r="BP322" t="s">
        <v>74</v>
      </c>
      <c r="BQ322" t="s">
        <v>74</v>
      </c>
      <c r="BR322" t="s">
        <v>102</v>
      </c>
      <c r="BS322" t="s">
        <v>6261</v>
      </c>
      <c r="BT322" t="str">
        <f>HYPERLINK("https%3A%2F%2Fwww.webofscience.com%2Fwos%2Fwoscc%2Ffull-record%2FWOS:001321854500035","View Full Record in Web of Science")</f>
        <v>View Full Record in Web of Science</v>
      </c>
    </row>
    <row r="323" spans="1:72" x14ac:dyDescent="0.35">
      <c r="A323" t="s">
        <v>128</v>
      </c>
      <c r="B323" t="s">
        <v>6262</v>
      </c>
      <c r="C323" t="s">
        <v>74</v>
      </c>
      <c r="D323" t="s">
        <v>702</v>
      </c>
      <c r="E323" t="s">
        <v>74</v>
      </c>
      <c r="F323" t="s">
        <v>6263</v>
      </c>
      <c r="G323" t="s">
        <v>74</v>
      </c>
      <c r="H323" t="s">
        <v>74</v>
      </c>
      <c r="I323" t="s">
        <v>6264</v>
      </c>
      <c r="J323" t="s">
        <v>6265</v>
      </c>
      <c r="K323" t="s">
        <v>74</v>
      </c>
      <c r="L323" t="s">
        <v>74</v>
      </c>
      <c r="M323" t="s">
        <v>78</v>
      </c>
      <c r="N323" t="s">
        <v>135</v>
      </c>
      <c r="O323" t="s">
        <v>6266</v>
      </c>
      <c r="P323" t="s">
        <v>6267</v>
      </c>
      <c r="Q323" t="s">
        <v>6268</v>
      </c>
      <c r="R323" t="s">
        <v>6269</v>
      </c>
      <c r="S323" t="s">
        <v>6270</v>
      </c>
      <c r="T323" t="s">
        <v>6271</v>
      </c>
      <c r="U323" t="s">
        <v>6272</v>
      </c>
      <c r="V323" t="s">
        <v>6273</v>
      </c>
      <c r="W323" t="s">
        <v>6274</v>
      </c>
      <c r="X323" t="s">
        <v>6275</v>
      </c>
      <c r="Y323" t="s">
        <v>6276</v>
      </c>
      <c r="Z323" t="s">
        <v>6277</v>
      </c>
      <c r="AA323" t="s">
        <v>6278</v>
      </c>
      <c r="AB323" t="s">
        <v>6279</v>
      </c>
      <c r="AC323" t="s">
        <v>74</v>
      </c>
      <c r="AD323" t="s">
        <v>74</v>
      </c>
      <c r="AE323" t="s">
        <v>74</v>
      </c>
      <c r="AF323" t="s">
        <v>74</v>
      </c>
      <c r="AG323">
        <v>40</v>
      </c>
      <c r="AH323">
        <v>0</v>
      </c>
      <c r="AI323">
        <v>0</v>
      </c>
      <c r="AJ323">
        <v>1</v>
      </c>
      <c r="AK323">
        <v>2</v>
      </c>
      <c r="AL323" t="s">
        <v>718</v>
      </c>
      <c r="AM323" t="s">
        <v>666</v>
      </c>
      <c r="AN323" t="s">
        <v>719</v>
      </c>
      <c r="AO323" t="s">
        <v>74</v>
      </c>
      <c r="AP323" t="s">
        <v>74</v>
      </c>
      <c r="AQ323" t="s">
        <v>6280</v>
      </c>
      <c r="AR323" t="s">
        <v>74</v>
      </c>
      <c r="AS323" t="s">
        <v>74</v>
      </c>
      <c r="AT323" t="s">
        <v>74</v>
      </c>
      <c r="AU323">
        <v>2023</v>
      </c>
      <c r="AV323" t="s">
        <v>74</v>
      </c>
      <c r="AW323" t="s">
        <v>74</v>
      </c>
      <c r="AX323" t="s">
        <v>74</v>
      </c>
      <c r="AY323" t="s">
        <v>74</v>
      </c>
      <c r="AZ323" t="s">
        <v>74</v>
      </c>
      <c r="BA323" t="s">
        <v>74</v>
      </c>
      <c r="BB323">
        <v>292</v>
      </c>
      <c r="BC323">
        <v>296</v>
      </c>
      <c r="BD323" t="s">
        <v>74</v>
      </c>
      <c r="BE323" t="s">
        <v>6281</v>
      </c>
      <c r="BF323" t="str">
        <f>HYPERLINK("http://dx.doi.org/10.1145/3573051.3596174","http://dx.doi.org/10.1145/3573051.3596174")</f>
        <v>http://dx.doi.org/10.1145/3573051.3596174</v>
      </c>
      <c r="BG323" t="s">
        <v>74</v>
      </c>
      <c r="BH323" t="s">
        <v>74</v>
      </c>
      <c r="BI323">
        <v>5</v>
      </c>
      <c r="BJ323" t="s">
        <v>6282</v>
      </c>
      <c r="BK323" t="s">
        <v>648</v>
      </c>
      <c r="BL323" t="s">
        <v>2643</v>
      </c>
      <c r="BM323" t="s">
        <v>6283</v>
      </c>
      <c r="BN323" t="s">
        <v>74</v>
      </c>
      <c r="BO323" t="s">
        <v>74</v>
      </c>
      <c r="BP323" t="s">
        <v>74</v>
      </c>
      <c r="BQ323" t="s">
        <v>74</v>
      </c>
      <c r="BR323" t="s">
        <v>102</v>
      </c>
      <c r="BS323" t="s">
        <v>6284</v>
      </c>
      <c r="BT323" t="str">
        <f>HYPERLINK("https%3A%2F%2Fwww.webofscience.com%2Fwos%2Fwoscc%2Ffull-record%2FWOS:001125787500036","View Full Record in Web of Science")</f>
        <v>View Full Record in Web of Science</v>
      </c>
    </row>
    <row r="324" spans="1:72" x14ac:dyDescent="0.35">
      <c r="A324" t="s">
        <v>72</v>
      </c>
      <c r="B324" t="s">
        <v>6285</v>
      </c>
      <c r="C324" t="s">
        <v>74</v>
      </c>
      <c r="D324" t="s">
        <v>74</v>
      </c>
      <c r="E324" t="s">
        <v>74</v>
      </c>
      <c r="F324" t="s">
        <v>6286</v>
      </c>
      <c r="G324" t="s">
        <v>74</v>
      </c>
      <c r="H324" t="s">
        <v>74</v>
      </c>
      <c r="I324" t="s">
        <v>6287</v>
      </c>
      <c r="J324" t="s">
        <v>6288</v>
      </c>
      <c r="K324" t="s">
        <v>74</v>
      </c>
      <c r="L324" t="s">
        <v>74</v>
      </c>
      <c r="M324" t="s">
        <v>78</v>
      </c>
      <c r="N324" t="s">
        <v>108</v>
      </c>
      <c r="O324" t="s">
        <v>74</v>
      </c>
      <c r="P324" t="s">
        <v>74</v>
      </c>
      <c r="Q324" t="s">
        <v>74</v>
      </c>
      <c r="R324" t="s">
        <v>74</v>
      </c>
      <c r="S324" t="s">
        <v>74</v>
      </c>
      <c r="T324" t="s">
        <v>6289</v>
      </c>
      <c r="U324" t="s">
        <v>6290</v>
      </c>
      <c r="V324" t="s">
        <v>6291</v>
      </c>
      <c r="W324" t="s">
        <v>6292</v>
      </c>
      <c r="X324" t="s">
        <v>6293</v>
      </c>
      <c r="Y324" t="s">
        <v>6294</v>
      </c>
      <c r="Z324" t="s">
        <v>6295</v>
      </c>
      <c r="AA324" t="s">
        <v>74</v>
      </c>
      <c r="AB324" t="s">
        <v>6296</v>
      </c>
      <c r="AC324" t="s">
        <v>74</v>
      </c>
      <c r="AD324" t="s">
        <v>74</v>
      </c>
      <c r="AE324" t="s">
        <v>74</v>
      </c>
      <c r="AF324" t="s">
        <v>74</v>
      </c>
      <c r="AG324">
        <v>33</v>
      </c>
      <c r="AH324">
        <v>1</v>
      </c>
      <c r="AI324">
        <v>1</v>
      </c>
      <c r="AJ324">
        <v>5</v>
      </c>
      <c r="AK324">
        <v>5</v>
      </c>
      <c r="AL324" t="s">
        <v>1965</v>
      </c>
      <c r="AM324" t="s">
        <v>666</v>
      </c>
      <c r="AN324" t="s">
        <v>1966</v>
      </c>
      <c r="AO324" t="s">
        <v>6297</v>
      </c>
      <c r="AP324" t="s">
        <v>6298</v>
      </c>
      <c r="AQ324" t="s">
        <v>74</v>
      </c>
      <c r="AR324" t="s">
        <v>6299</v>
      </c>
      <c r="AS324" t="s">
        <v>6300</v>
      </c>
      <c r="AT324" t="s">
        <v>297</v>
      </c>
      <c r="AU324">
        <v>2024</v>
      </c>
      <c r="AV324">
        <v>75</v>
      </c>
      <c r="AW324">
        <v>2</v>
      </c>
      <c r="AX324" t="s">
        <v>74</v>
      </c>
      <c r="AY324" t="s">
        <v>74</v>
      </c>
      <c r="AZ324" t="s">
        <v>74</v>
      </c>
      <c r="BA324" t="s">
        <v>74</v>
      </c>
      <c r="BB324">
        <v>353</v>
      </c>
      <c r="BC324">
        <v>357</v>
      </c>
      <c r="BD324" t="s">
        <v>74</v>
      </c>
      <c r="BE324" t="s">
        <v>6301</v>
      </c>
      <c r="BF324" t="str">
        <f>HYPERLINK("http://dx.doi.org/10.1016/j.jadohealth.2024.04.020","http://dx.doi.org/10.1016/j.jadohealth.2024.04.020")</f>
        <v>http://dx.doi.org/10.1016/j.jadohealth.2024.04.020</v>
      </c>
      <c r="BG324" t="s">
        <v>74</v>
      </c>
      <c r="BH324" t="s">
        <v>478</v>
      </c>
      <c r="BI324">
        <v>5</v>
      </c>
      <c r="BJ324" t="s">
        <v>6302</v>
      </c>
      <c r="BK324" t="s">
        <v>182</v>
      </c>
      <c r="BL324" t="s">
        <v>6303</v>
      </c>
      <c r="BM324" t="s">
        <v>6304</v>
      </c>
      <c r="BN324">
        <v>38852086</v>
      </c>
      <c r="BO324" t="s">
        <v>74</v>
      </c>
      <c r="BP324" t="s">
        <v>74</v>
      </c>
      <c r="BQ324" t="s">
        <v>74</v>
      </c>
      <c r="BR324" t="s">
        <v>102</v>
      </c>
      <c r="BS324" t="s">
        <v>6305</v>
      </c>
      <c r="BT324" t="str">
        <f>HYPERLINK("https%3A%2F%2Fwww.webofscience.com%2Fwos%2Fwoscc%2Ffull-record%2FWOS:001273237000001","View Full Record in Web of Science")</f>
        <v>View Full Record in Web of Science</v>
      </c>
    </row>
    <row r="325" spans="1:72" x14ac:dyDescent="0.35">
      <c r="A325" t="s">
        <v>72</v>
      </c>
      <c r="B325" t="s">
        <v>6306</v>
      </c>
      <c r="C325" t="s">
        <v>74</v>
      </c>
      <c r="D325" t="s">
        <v>74</v>
      </c>
      <c r="E325" t="s">
        <v>74</v>
      </c>
      <c r="F325" t="s">
        <v>6307</v>
      </c>
      <c r="G325" t="s">
        <v>74</v>
      </c>
      <c r="H325" t="s">
        <v>74</v>
      </c>
      <c r="I325" t="s">
        <v>6308</v>
      </c>
      <c r="J325" t="s">
        <v>2450</v>
      </c>
      <c r="K325" t="s">
        <v>74</v>
      </c>
      <c r="L325" t="s">
        <v>74</v>
      </c>
      <c r="M325" t="s">
        <v>78</v>
      </c>
      <c r="N325" t="s">
        <v>108</v>
      </c>
      <c r="O325" t="s">
        <v>74</v>
      </c>
      <c r="P325" t="s">
        <v>74</v>
      </c>
      <c r="Q325" t="s">
        <v>74</v>
      </c>
      <c r="R325" t="s">
        <v>74</v>
      </c>
      <c r="S325" t="s">
        <v>74</v>
      </c>
      <c r="T325" t="s">
        <v>74</v>
      </c>
      <c r="U325" t="s">
        <v>6309</v>
      </c>
      <c r="V325" t="s">
        <v>6310</v>
      </c>
      <c r="W325" t="s">
        <v>6311</v>
      </c>
      <c r="X325" t="s">
        <v>6312</v>
      </c>
      <c r="Y325" t="s">
        <v>6313</v>
      </c>
      <c r="Z325" t="s">
        <v>6314</v>
      </c>
      <c r="AA325" t="s">
        <v>74</v>
      </c>
      <c r="AB325" t="s">
        <v>74</v>
      </c>
      <c r="AC325" t="s">
        <v>74</v>
      </c>
      <c r="AD325" t="s">
        <v>74</v>
      </c>
      <c r="AE325" t="s">
        <v>74</v>
      </c>
      <c r="AF325" t="s">
        <v>74</v>
      </c>
      <c r="AG325">
        <v>49</v>
      </c>
      <c r="AH325">
        <v>18</v>
      </c>
      <c r="AI325">
        <v>21</v>
      </c>
      <c r="AJ325">
        <v>5</v>
      </c>
      <c r="AK325">
        <v>35</v>
      </c>
      <c r="AL325" t="s">
        <v>2458</v>
      </c>
      <c r="AM325" t="s">
        <v>2459</v>
      </c>
      <c r="AN325" t="s">
        <v>2460</v>
      </c>
      <c r="AO325" t="s">
        <v>2461</v>
      </c>
      <c r="AP325" t="s">
        <v>74</v>
      </c>
      <c r="AQ325" t="s">
        <v>74</v>
      </c>
      <c r="AR325" t="s">
        <v>2450</v>
      </c>
      <c r="AS325" t="s">
        <v>2462</v>
      </c>
      <c r="AT325" t="s">
        <v>6315</v>
      </c>
      <c r="AU325">
        <v>2022</v>
      </c>
      <c r="AV325">
        <v>17</v>
      </c>
      <c r="AW325">
        <v>11</v>
      </c>
      <c r="AX325" t="s">
        <v>74</v>
      </c>
      <c r="AY325" t="s">
        <v>74</v>
      </c>
      <c r="AZ325" t="s">
        <v>74</v>
      </c>
      <c r="BA325" t="s">
        <v>74</v>
      </c>
      <c r="BB325" t="s">
        <v>74</v>
      </c>
      <c r="BC325" t="s">
        <v>74</v>
      </c>
      <c r="BD325" t="s">
        <v>6316</v>
      </c>
      <c r="BE325" t="s">
        <v>6317</v>
      </c>
      <c r="BF325" t="str">
        <f>HYPERLINK("http://dx.doi.org/10.1371/journal.pone.0267997","http://dx.doi.org/10.1371/journal.pone.0267997")</f>
        <v>http://dx.doi.org/10.1371/journal.pone.0267997</v>
      </c>
      <c r="BG325" t="s">
        <v>74</v>
      </c>
      <c r="BH325" t="s">
        <v>74</v>
      </c>
      <c r="BI325">
        <v>12</v>
      </c>
      <c r="BJ325" t="s">
        <v>1301</v>
      </c>
      <c r="BK325" t="s">
        <v>209</v>
      </c>
      <c r="BL325" t="s">
        <v>1302</v>
      </c>
      <c r="BM325" t="s">
        <v>6318</v>
      </c>
      <c r="BN325">
        <v>36318532</v>
      </c>
      <c r="BO325" t="s">
        <v>6319</v>
      </c>
      <c r="BP325" t="s">
        <v>74</v>
      </c>
      <c r="BQ325" t="s">
        <v>74</v>
      </c>
      <c r="BR325" t="s">
        <v>102</v>
      </c>
      <c r="BS325" t="s">
        <v>6320</v>
      </c>
      <c r="BT325" t="str">
        <f>HYPERLINK("https%3A%2F%2Fwww.webofscience.com%2Fwos%2Fwoscc%2Ffull-record%2FWOS:000924698600003","View Full Record in Web of Science")</f>
        <v>View Full Record in Web of Science</v>
      </c>
    </row>
    <row r="326" spans="1:72" x14ac:dyDescent="0.35">
      <c r="A326" t="s">
        <v>72</v>
      </c>
      <c r="B326" t="s">
        <v>6321</v>
      </c>
      <c r="C326" t="s">
        <v>74</v>
      </c>
      <c r="D326" t="s">
        <v>74</v>
      </c>
      <c r="E326" t="s">
        <v>74</v>
      </c>
      <c r="F326" t="s">
        <v>6322</v>
      </c>
      <c r="G326" t="s">
        <v>74</v>
      </c>
      <c r="H326" t="s">
        <v>74</v>
      </c>
      <c r="I326" t="s">
        <v>6323</v>
      </c>
      <c r="J326" t="s">
        <v>6324</v>
      </c>
      <c r="K326" t="s">
        <v>74</v>
      </c>
      <c r="L326" t="s">
        <v>74</v>
      </c>
      <c r="M326" t="s">
        <v>78</v>
      </c>
      <c r="N326" t="s">
        <v>108</v>
      </c>
      <c r="O326" t="s">
        <v>74</v>
      </c>
      <c r="P326" t="s">
        <v>74</v>
      </c>
      <c r="Q326" t="s">
        <v>74</v>
      </c>
      <c r="R326" t="s">
        <v>74</v>
      </c>
      <c r="S326" t="s">
        <v>74</v>
      </c>
      <c r="T326" t="s">
        <v>74</v>
      </c>
      <c r="U326" t="s">
        <v>6325</v>
      </c>
      <c r="V326" t="s">
        <v>6326</v>
      </c>
      <c r="W326" t="s">
        <v>6327</v>
      </c>
      <c r="X326" t="s">
        <v>6328</v>
      </c>
      <c r="Y326" t="s">
        <v>6329</v>
      </c>
      <c r="Z326" t="s">
        <v>6330</v>
      </c>
      <c r="AA326" t="s">
        <v>74</v>
      </c>
      <c r="AB326" t="s">
        <v>74</v>
      </c>
      <c r="AC326" t="s">
        <v>74</v>
      </c>
      <c r="AD326" t="s">
        <v>74</v>
      </c>
      <c r="AE326" t="s">
        <v>74</v>
      </c>
      <c r="AF326" t="s">
        <v>74</v>
      </c>
      <c r="AG326">
        <v>127</v>
      </c>
      <c r="AH326">
        <v>7</v>
      </c>
      <c r="AI326">
        <v>7</v>
      </c>
      <c r="AJ326">
        <v>16</v>
      </c>
      <c r="AK326">
        <v>65</v>
      </c>
      <c r="AL326" t="s">
        <v>88</v>
      </c>
      <c r="AM326" t="s">
        <v>89</v>
      </c>
      <c r="AN326" t="s">
        <v>90</v>
      </c>
      <c r="AO326" t="s">
        <v>6331</v>
      </c>
      <c r="AP326" t="s">
        <v>6332</v>
      </c>
      <c r="AQ326" t="s">
        <v>74</v>
      </c>
      <c r="AR326" t="s">
        <v>6333</v>
      </c>
      <c r="AS326" t="s">
        <v>6334</v>
      </c>
      <c r="AT326" t="s">
        <v>498</v>
      </c>
      <c r="AU326">
        <v>2024</v>
      </c>
      <c r="AV326">
        <v>32</v>
      </c>
      <c r="AW326">
        <v>3</v>
      </c>
      <c r="AX326" t="s">
        <v>74</v>
      </c>
      <c r="AY326" t="s">
        <v>74</v>
      </c>
      <c r="AZ326" t="s">
        <v>74</v>
      </c>
      <c r="BA326" t="s">
        <v>74</v>
      </c>
      <c r="BB326">
        <v>271</v>
      </c>
      <c r="BC326">
        <v>289</v>
      </c>
      <c r="BD326" t="s">
        <v>74</v>
      </c>
      <c r="BE326" t="s">
        <v>6335</v>
      </c>
      <c r="BF326" t="str">
        <f>HYPERLINK("http://dx.doi.org/10.1080/10696679.2023.2217488","http://dx.doi.org/10.1080/10696679.2023.2217488")</f>
        <v>http://dx.doi.org/10.1080/10696679.2023.2217488</v>
      </c>
      <c r="BG326" t="s">
        <v>74</v>
      </c>
      <c r="BH326" t="s">
        <v>180</v>
      </c>
      <c r="BI326">
        <v>19</v>
      </c>
      <c r="BJ326" t="s">
        <v>1597</v>
      </c>
      <c r="BK326" t="s">
        <v>125</v>
      </c>
      <c r="BL326" t="s">
        <v>480</v>
      </c>
      <c r="BM326" t="s">
        <v>6336</v>
      </c>
      <c r="BN326" t="s">
        <v>74</v>
      </c>
      <c r="BO326" t="s">
        <v>74</v>
      </c>
      <c r="BP326" t="s">
        <v>74</v>
      </c>
      <c r="BQ326" t="s">
        <v>74</v>
      </c>
      <c r="BR326" t="s">
        <v>102</v>
      </c>
      <c r="BS326" t="s">
        <v>6337</v>
      </c>
      <c r="BT326" t="str">
        <f>HYPERLINK("https%3A%2F%2Fwww.webofscience.com%2Fwos%2Fwoscc%2Ffull-record%2FWOS:001004377600001","View Full Record in Web of Science")</f>
        <v>View Full Record in Web of Science</v>
      </c>
    </row>
    <row r="327" spans="1:72" x14ac:dyDescent="0.35">
      <c r="A327" t="s">
        <v>72</v>
      </c>
      <c r="B327" t="s">
        <v>6338</v>
      </c>
      <c r="C327" t="s">
        <v>74</v>
      </c>
      <c r="D327" t="s">
        <v>74</v>
      </c>
      <c r="E327" t="s">
        <v>74</v>
      </c>
      <c r="F327" t="s">
        <v>6339</v>
      </c>
      <c r="G327" t="s">
        <v>74</v>
      </c>
      <c r="H327" t="s">
        <v>74</v>
      </c>
      <c r="I327" t="s">
        <v>6340</v>
      </c>
      <c r="J327" t="s">
        <v>6288</v>
      </c>
      <c r="K327" t="s">
        <v>74</v>
      </c>
      <c r="L327" t="s">
        <v>74</v>
      </c>
      <c r="M327" t="s">
        <v>78</v>
      </c>
      <c r="N327" t="s">
        <v>108</v>
      </c>
      <c r="O327" t="s">
        <v>74</v>
      </c>
      <c r="P327" t="s">
        <v>74</v>
      </c>
      <c r="Q327" t="s">
        <v>74</v>
      </c>
      <c r="R327" t="s">
        <v>74</v>
      </c>
      <c r="S327" t="s">
        <v>74</v>
      </c>
      <c r="T327" t="s">
        <v>6341</v>
      </c>
      <c r="U327" t="s">
        <v>74</v>
      </c>
      <c r="V327" t="s">
        <v>6342</v>
      </c>
      <c r="W327" t="s">
        <v>6343</v>
      </c>
      <c r="X327" t="s">
        <v>6344</v>
      </c>
      <c r="Y327" t="s">
        <v>6345</v>
      </c>
      <c r="Z327" t="s">
        <v>6346</v>
      </c>
      <c r="AA327" t="s">
        <v>6347</v>
      </c>
      <c r="AB327" t="s">
        <v>6348</v>
      </c>
      <c r="AC327" t="s">
        <v>74</v>
      </c>
      <c r="AD327" t="s">
        <v>74</v>
      </c>
      <c r="AE327" t="s">
        <v>74</v>
      </c>
      <c r="AF327" t="s">
        <v>74</v>
      </c>
      <c r="AG327">
        <v>29</v>
      </c>
      <c r="AH327">
        <v>46</v>
      </c>
      <c r="AI327">
        <v>50</v>
      </c>
      <c r="AJ327">
        <v>4</v>
      </c>
      <c r="AK327">
        <v>97</v>
      </c>
      <c r="AL327" t="s">
        <v>1965</v>
      </c>
      <c r="AM327" t="s">
        <v>666</v>
      </c>
      <c r="AN327" t="s">
        <v>1966</v>
      </c>
      <c r="AO327" t="s">
        <v>6297</v>
      </c>
      <c r="AP327" t="s">
        <v>6298</v>
      </c>
      <c r="AQ327" t="s">
        <v>74</v>
      </c>
      <c r="AR327" t="s">
        <v>6299</v>
      </c>
      <c r="AS327" t="s">
        <v>6300</v>
      </c>
      <c r="AT327" t="s">
        <v>297</v>
      </c>
      <c r="AU327">
        <v>2021</v>
      </c>
      <c r="AV327">
        <v>69</v>
      </c>
      <c r="AW327">
        <v>2</v>
      </c>
      <c r="AX327" t="s">
        <v>74</v>
      </c>
      <c r="AY327" t="s">
        <v>74</v>
      </c>
      <c r="AZ327" t="s">
        <v>74</v>
      </c>
      <c r="BA327" t="s">
        <v>74</v>
      </c>
      <c r="BB327">
        <v>234</v>
      </c>
      <c r="BC327">
        <v>241</v>
      </c>
      <c r="BD327" t="s">
        <v>74</v>
      </c>
      <c r="BE327" t="s">
        <v>6349</v>
      </c>
      <c r="BF327" t="str">
        <f>HYPERLINK("http://dx.doi.org/10.1016/j.jadohealth.2021.05.010","http://dx.doi.org/10.1016/j.jadohealth.2021.05.010")</f>
        <v>http://dx.doi.org/10.1016/j.jadohealth.2021.05.010</v>
      </c>
      <c r="BG327" t="s">
        <v>74</v>
      </c>
      <c r="BH327" t="s">
        <v>6350</v>
      </c>
      <c r="BI327">
        <v>8</v>
      </c>
      <c r="BJ327" t="s">
        <v>6302</v>
      </c>
      <c r="BK327" t="s">
        <v>182</v>
      </c>
      <c r="BL327" t="s">
        <v>6303</v>
      </c>
      <c r="BM327" t="s">
        <v>6351</v>
      </c>
      <c r="BN327">
        <v>34167883</v>
      </c>
      <c r="BO327" t="s">
        <v>2194</v>
      </c>
      <c r="BP327" t="s">
        <v>74</v>
      </c>
      <c r="BQ327" t="s">
        <v>74</v>
      </c>
      <c r="BR327" t="s">
        <v>102</v>
      </c>
      <c r="BS327" t="s">
        <v>6352</v>
      </c>
      <c r="BT327" t="str">
        <f>HYPERLINK("https%3A%2F%2Fwww.webofscience.com%2Fwos%2Fwoscc%2Ffull-record%2FWOS:000679426100013","View Full Record in Web of Science")</f>
        <v>View Full Record in Web of Science</v>
      </c>
    </row>
    <row r="328" spans="1:72" x14ac:dyDescent="0.35">
      <c r="A328" t="s">
        <v>72</v>
      </c>
      <c r="B328" t="s">
        <v>6353</v>
      </c>
      <c r="C328" t="s">
        <v>74</v>
      </c>
      <c r="D328" t="s">
        <v>74</v>
      </c>
      <c r="E328" t="s">
        <v>74</v>
      </c>
      <c r="F328" t="s">
        <v>6354</v>
      </c>
      <c r="G328" t="s">
        <v>74</v>
      </c>
      <c r="H328" t="s">
        <v>74</v>
      </c>
      <c r="I328" t="s">
        <v>6355</v>
      </c>
      <c r="J328" t="s">
        <v>6356</v>
      </c>
      <c r="K328" t="s">
        <v>74</v>
      </c>
      <c r="L328" t="s">
        <v>74</v>
      </c>
      <c r="M328" t="s">
        <v>78</v>
      </c>
      <c r="N328" t="s">
        <v>79</v>
      </c>
      <c r="O328" t="s">
        <v>74</v>
      </c>
      <c r="P328" t="s">
        <v>74</v>
      </c>
      <c r="Q328" t="s">
        <v>74</v>
      </c>
      <c r="R328" t="s">
        <v>74</v>
      </c>
      <c r="S328" t="s">
        <v>74</v>
      </c>
      <c r="T328" t="s">
        <v>6357</v>
      </c>
      <c r="U328" t="s">
        <v>6358</v>
      </c>
      <c r="V328" t="s">
        <v>6359</v>
      </c>
      <c r="W328" t="s">
        <v>6360</v>
      </c>
      <c r="X328" t="s">
        <v>6361</v>
      </c>
      <c r="Y328" t="s">
        <v>6362</v>
      </c>
      <c r="Z328" t="s">
        <v>6363</v>
      </c>
      <c r="AA328" t="s">
        <v>74</v>
      </c>
      <c r="AB328" t="s">
        <v>6364</v>
      </c>
      <c r="AC328" t="s">
        <v>74</v>
      </c>
      <c r="AD328" t="s">
        <v>74</v>
      </c>
      <c r="AE328" t="s">
        <v>74</v>
      </c>
      <c r="AF328" t="s">
        <v>74</v>
      </c>
      <c r="AG328">
        <v>48</v>
      </c>
      <c r="AH328">
        <v>0</v>
      </c>
      <c r="AI328">
        <v>0</v>
      </c>
      <c r="AJ328">
        <v>2</v>
      </c>
      <c r="AK328">
        <v>2</v>
      </c>
      <c r="AL328" t="s">
        <v>226</v>
      </c>
      <c r="AM328" t="s">
        <v>227</v>
      </c>
      <c r="AN328" t="s">
        <v>228</v>
      </c>
      <c r="AO328" t="s">
        <v>6365</v>
      </c>
      <c r="AP328" t="s">
        <v>6366</v>
      </c>
      <c r="AQ328" t="s">
        <v>74</v>
      </c>
      <c r="AR328" t="s">
        <v>6367</v>
      </c>
      <c r="AS328" t="s">
        <v>6368</v>
      </c>
      <c r="AT328" t="s">
        <v>5902</v>
      </c>
      <c r="AU328">
        <v>2024</v>
      </c>
      <c r="AV328" t="s">
        <v>74</v>
      </c>
      <c r="AW328" t="s">
        <v>74</v>
      </c>
      <c r="AX328" t="s">
        <v>74</v>
      </c>
      <c r="AY328" t="s">
        <v>74</v>
      </c>
      <c r="AZ328" t="s">
        <v>74</v>
      </c>
      <c r="BA328" t="s">
        <v>74</v>
      </c>
      <c r="BB328" t="s">
        <v>74</v>
      </c>
      <c r="BC328" t="s">
        <v>74</v>
      </c>
      <c r="BD328" t="s">
        <v>74</v>
      </c>
      <c r="BE328" t="s">
        <v>6369</v>
      </c>
      <c r="BF328" t="str">
        <f>HYPERLINK("http://dx.doi.org/10.1177/13591053241272205","http://dx.doi.org/10.1177/13591053241272205")</f>
        <v>http://dx.doi.org/10.1177/13591053241272205</v>
      </c>
      <c r="BG328" t="s">
        <v>74</v>
      </c>
      <c r="BH328" t="s">
        <v>2444</v>
      </c>
      <c r="BI328">
        <v>15</v>
      </c>
      <c r="BJ328" t="s">
        <v>6370</v>
      </c>
      <c r="BK328" t="s">
        <v>99</v>
      </c>
      <c r="BL328" t="s">
        <v>301</v>
      </c>
      <c r="BM328" t="s">
        <v>6371</v>
      </c>
      <c r="BN328">
        <v>39215510</v>
      </c>
      <c r="BO328" t="s">
        <v>156</v>
      </c>
      <c r="BP328" t="s">
        <v>74</v>
      </c>
      <c r="BQ328" t="s">
        <v>74</v>
      </c>
      <c r="BR328" t="s">
        <v>102</v>
      </c>
      <c r="BS328" t="s">
        <v>6372</v>
      </c>
      <c r="BT328" t="str">
        <f>HYPERLINK("https%3A%2F%2Fwww.webofscience.com%2Fwos%2Fwoscc%2Ffull-record%2FWOS:001302441300001","View Full Record in Web of Science")</f>
        <v>View Full Record in Web of Science</v>
      </c>
    </row>
    <row r="329" spans="1:72" x14ac:dyDescent="0.35">
      <c r="A329" t="s">
        <v>72</v>
      </c>
      <c r="B329" t="s">
        <v>6373</v>
      </c>
      <c r="C329" t="s">
        <v>74</v>
      </c>
      <c r="D329" t="s">
        <v>74</v>
      </c>
      <c r="E329" t="s">
        <v>74</v>
      </c>
      <c r="F329" t="s">
        <v>6374</v>
      </c>
      <c r="G329" t="s">
        <v>74</v>
      </c>
      <c r="H329" t="s">
        <v>74</v>
      </c>
      <c r="I329" t="s">
        <v>6375</v>
      </c>
      <c r="J329" t="s">
        <v>216</v>
      </c>
      <c r="K329" t="s">
        <v>74</v>
      </c>
      <c r="L329" t="s">
        <v>74</v>
      </c>
      <c r="M329" t="s">
        <v>78</v>
      </c>
      <c r="N329" t="s">
        <v>108</v>
      </c>
      <c r="O329" t="s">
        <v>74</v>
      </c>
      <c r="P329" t="s">
        <v>74</v>
      </c>
      <c r="Q329" t="s">
        <v>74</v>
      </c>
      <c r="R329" t="s">
        <v>74</v>
      </c>
      <c r="S329" t="s">
        <v>74</v>
      </c>
      <c r="T329" t="s">
        <v>6376</v>
      </c>
      <c r="U329" t="s">
        <v>74</v>
      </c>
      <c r="V329" t="s">
        <v>6377</v>
      </c>
      <c r="W329" t="s">
        <v>6378</v>
      </c>
      <c r="X329" t="s">
        <v>6379</v>
      </c>
      <c r="Y329" t="s">
        <v>6380</v>
      </c>
      <c r="Z329" t="s">
        <v>6381</v>
      </c>
      <c r="AA329" t="s">
        <v>6382</v>
      </c>
      <c r="AB329" t="s">
        <v>6383</v>
      </c>
      <c r="AC329" t="s">
        <v>74</v>
      </c>
      <c r="AD329" t="s">
        <v>74</v>
      </c>
      <c r="AE329" t="s">
        <v>74</v>
      </c>
      <c r="AF329" t="s">
        <v>74</v>
      </c>
      <c r="AG329">
        <v>50</v>
      </c>
      <c r="AH329">
        <v>0</v>
      </c>
      <c r="AI329">
        <v>0</v>
      </c>
      <c r="AJ329">
        <v>9</v>
      </c>
      <c r="AK329">
        <v>18</v>
      </c>
      <c r="AL329" t="s">
        <v>226</v>
      </c>
      <c r="AM329" t="s">
        <v>227</v>
      </c>
      <c r="AN329" t="s">
        <v>228</v>
      </c>
      <c r="AO329" t="s">
        <v>229</v>
      </c>
      <c r="AP329" t="s">
        <v>74</v>
      </c>
      <c r="AQ329" t="s">
        <v>74</v>
      </c>
      <c r="AR329" t="s">
        <v>230</v>
      </c>
      <c r="AS329" t="s">
        <v>231</v>
      </c>
      <c r="AT329" t="s">
        <v>232</v>
      </c>
      <c r="AU329">
        <v>2024</v>
      </c>
      <c r="AV329">
        <v>10</v>
      </c>
      <c r="AW329">
        <v>1</v>
      </c>
      <c r="AX329" t="s">
        <v>74</v>
      </c>
      <c r="AY329" t="s">
        <v>74</v>
      </c>
      <c r="AZ329" t="s">
        <v>74</v>
      </c>
      <c r="BA329" t="s">
        <v>74</v>
      </c>
      <c r="BB329" t="s">
        <v>74</v>
      </c>
      <c r="BC329" t="s">
        <v>74</v>
      </c>
      <c r="BD329">
        <v>2.0563051231224112E+16</v>
      </c>
      <c r="BE329" t="s">
        <v>6384</v>
      </c>
      <c r="BF329" t="str">
        <f>HYPERLINK("http://dx.doi.org/10.1177/20563051231224114","http://dx.doi.org/10.1177/20563051231224114")</f>
        <v>http://dx.doi.org/10.1177/20563051231224114</v>
      </c>
      <c r="BG329" t="s">
        <v>74</v>
      </c>
      <c r="BH329" t="s">
        <v>74</v>
      </c>
      <c r="BI329">
        <v>11</v>
      </c>
      <c r="BJ329" t="s">
        <v>124</v>
      </c>
      <c r="BK329" t="s">
        <v>99</v>
      </c>
      <c r="BL329" t="s">
        <v>124</v>
      </c>
      <c r="BM329" t="s">
        <v>6385</v>
      </c>
      <c r="BN329" t="s">
        <v>74</v>
      </c>
      <c r="BO329" t="s">
        <v>235</v>
      </c>
      <c r="BP329" t="s">
        <v>74</v>
      </c>
      <c r="BQ329" t="s">
        <v>74</v>
      </c>
      <c r="BR329" t="s">
        <v>102</v>
      </c>
      <c r="BS329" t="s">
        <v>6386</v>
      </c>
      <c r="BT329" t="str">
        <f>HYPERLINK("https%3A%2F%2Fwww.webofscience.com%2Fwos%2Fwoscc%2Ffull-record%2FWOS:001151789500001","View Full Record in Web of Science")</f>
        <v>View Full Record in Web of Science</v>
      </c>
    </row>
    <row r="330" spans="1:72" x14ac:dyDescent="0.35">
      <c r="A330" t="s">
        <v>128</v>
      </c>
      <c r="B330" t="s">
        <v>6387</v>
      </c>
      <c r="C330" t="s">
        <v>74</v>
      </c>
      <c r="D330" t="s">
        <v>74</v>
      </c>
      <c r="E330" t="s">
        <v>1677</v>
      </c>
      <c r="F330" t="s">
        <v>6388</v>
      </c>
      <c r="G330" t="s">
        <v>74</v>
      </c>
      <c r="H330" t="s">
        <v>74</v>
      </c>
      <c r="I330" t="s">
        <v>6389</v>
      </c>
      <c r="J330" t="s">
        <v>6390</v>
      </c>
      <c r="K330" t="s">
        <v>74</v>
      </c>
      <c r="L330" t="s">
        <v>74</v>
      </c>
      <c r="M330" t="s">
        <v>78</v>
      </c>
      <c r="N330" t="s">
        <v>135</v>
      </c>
      <c r="O330" t="s">
        <v>6391</v>
      </c>
      <c r="P330" t="s">
        <v>6392</v>
      </c>
      <c r="Q330" t="s">
        <v>6393</v>
      </c>
      <c r="R330" t="s">
        <v>6394</v>
      </c>
      <c r="S330" t="s">
        <v>74</v>
      </c>
      <c r="T330" t="s">
        <v>6395</v>
      </c>
      <c r="U330" t="s">
        <v>74</v>
      </c>
      <c r="V330" t="s">
        <v>6396</v>
      </c>
      <c r="W330" t="s">
        <v>6397</v>
      </c>
      <c r="X330" t="s">
        <v>6398</v>
      </c>
      <c r="Y330" t="s">
        <v>6399</v>
      </c>
      <c r="Z330" t="s">
        <v>6400</v>
      </c>
      <c r="AA330" t="s">
        <v>6401</v>
      </c>
      <c r="AB330" t="s">
        <v>6402</v>
      </c>
      <c r="AC330" t="s">
        <v>6403</v>
      </c>
      <c r="AD330" t="s">
        <v>6403</v>
      </c>
      <c r="AE330" t="s">
        <v>6404</v>
      </c>
      <c r="AF330" t="s">
        <v>74</v>
      </c>
      <c r="AG330">
        <v>26</v>
      </c>
      <c r="AH330">
        <v>11</v>
      </c>
      <c r="AI330">
        <v>11</v>
      </c>
      <c r="AJ330">
        <v>4</v>
      </c>
      <c r="AK330">
        <v>13</v>
      </c>
      <c r="AL330" t="s">
        <v>1677</v>
      </c>
      <c r="AM330" t="s">
        <v>666</v>
      </c>
      <c r="AN330" t="s">
        <v>1692</v>
      </c>
      <c r="AO330" t="s">
        <v>74</v>
      </c>
      <c r="AP330" t="s">
        <v>74</v>
      </c>
      <c r="AQ330" t="s">
        <v>6405</v>
      </c>
      <c r="AR330" t="s">
        <v>74</v>
      </c>
      <c r="AS330" t="s">
        <v>74</v>
      </c>
      <c r="AT330" t="s">
        <v>74</v>
      </c>
      <c r="AU330">
        <v>2022</v>
      </c>
      <c r="AV330" t="s">
        <v>74</v>
      </c>
      <c r="AW330" t="s">
        <v>74</v>
      </c>
      <c r="AX330" t="s">
        <v>74</v>
      </c>
      <c r="AY330" t="s">
        <v>74</v>
      </c>
      <c r="AZ330" t="s">
        <v>74</v>
      </c>
      <c r="BA330" t="s">
        <v>74</v>
      </c>
      <c r="BB330">
        <v>219</v>
      </c>
      <c r="BC330">
        <v>223</v>
      </c>
      <c r="BD330" t="s">
        <v>74</v>
      </c>
      <c r="BE330" t="s">
        <v>6406</v>
      </c>
      <c r="BF330" t="str">
        <f>HYPERLINK("http://dx.doi.org/10.1109/ICIET55102.2022.9779004","http://dx.doi.org/10.1109/ICIET55102.2022.9779004")</f>
        <v>http://dx.doi.org/10.1109/ICIET55102.2022.9779004</v>
      </c>
      <c r="BG330" t="s">
        <v>74</v>
      </c>
      <c r="BH330" t="s">
        <v>74</v>
      </c>
      <c r="BI330">
        <v>5</v>
      </c>
      <c r="BJ330" t="s">
        <v>6407</v>
      </c>
      <c r="BK330" t="s">
        <v>723</v>
      </c>
      <c r="BL330" t="s">
        <v>210</v>
      </c>
      <c r="BM330" t="s">
        <v>6408</v>
      </c>
      <c r="BN330" t="s">
        <v>74</v>
      </c>
      <c r="BO330" t="s">
        <v>74</v>
      </c>
      <c r="BP330" t="s">
        <v>74</v>
      </c>
      <c r="BQ330" t="s">
        <v>74</v>
      </c>
      <c r="BR330" t="s">
        <v>102</v>
      </c>
      <c r="BS330" t="s">
        <v>6409</v>
      </c>
      <c r="BT330" t="str">
        <f>HYPERLINK("https%3A%2F%2Fwww.webofscience.com%2Fwos%2Fwoscc%2Ffull-record%2FWOS:000839122100042","View Full Record in Web of Science")</f>
        <v>View Full Record in Web of Science</v>
      </c>
    </row>
    <row r="331" spans="1:72" x14ac:dyDescent="0.35">
      <c r="A331" t="s">
        <v>72</v>
      </c>
      <c r="B331" t="s">
        <v>6410</v>
      </c>
      <c r="C331" t="s">
        <v>74</v>
      </c>
      <c r="D331" t="s">
        <v>74</v>
      </c>
      <c r="E331" t="s">
        <v>74</v>
      </c>
      <c r="F331" t="s">
        <v>6411</v>
      </c>
      <c r="G331" t="s">
        <v>74</v>
      </c>
      <c r="H331" t="s">
        <v>74</v>
      </c>
      <c r="I331" t="s">
        <v>6412</v>
      </c>
      <c r="J331" t="s">
        <v>3329</v>
      </c>
      <c r="K331" t="s">
        <v>74</v>
      </c>
      <c r="L331" t="s">
        <v>74</v>
      </c>
      <c r="M331" t="s">
        <v>78</v>
      </c>
      <c r="N331" t="s">
        <v>79</v>
      </c>
      <c r="O331" t="s">
        <v>74</v>
      </c>
      <c r="P331" t="s">
        <v>74</v>
      </c>
      <c r="Q331" t="s">
        <v>74</v>
      </c>
      <c r="R331" t="s">
        <v>74</v>
      </c>
      <c r="S331" t="s">
        <v>74</v>
      </c>
      <c r="T331" t="s">
        <v>6413</v>
      </c>
      <c r="U331" t="s">
        <v>6414</v>
      </c>
      <c r="V331" t="s">
        <v>6415</v>
      </c>
      <c r="W331" t="s">
        <v>6416</v>
      </c>
      <c r="X331" t="s">
        <v>6417</v>
      </c>
      <c r="Y331" t="s">
        <v>6418</v>
      </c>
      <c r="Z331" t="s">
        <v>6419</v>
      </c>
      <c r="AA331" t="s">
        <v>74</v>
      </c>
      <c r="AB331" t="s">
        <v>74</v>
      </c>
      <c r="AC331" t="s">
        <v>6420</v>
      </c>
      <c r="AD331" t="s">
        <v>6421</v>
      </c>
      <c r="AE331" t="s">
        <v>6422</v>
      </c>
      <c r="AF331" t="s">
        <v>74</v>
      </c>
      <c r="AG331">
        <v>47</v>
      </c>
      <c r="AH331">
        <v>0</v>
      </c>
      <c r="AI331">
        <v>0</v>
      </c>
      <c r="AJ331">
        <v>8</v>
      </c>
      <c r="AK331">
        <v>8</v>
      </c>
      <c r="AL331" t="s">
        <v>171</v>
      </c>
      <c r="AM331" t="s">
        <v>172</v>
      </c>
      <c r="AN331" t="s">
        <v>173</v>
      </c>
      <c r="AO331" t="s">
        <v>3336</v>
      </c>
      <c r="AP331" t="s">
        <v>3337</v>
      </c>
      <c r="AQ331" t="s">
        <v>74</v>
      </c>
      <c r="AR331" t="s">
        <v>3338</v>
      </c>
      <c r="AS331" t="s">
        <v>3339</v>
      </c>
      <c r="AT331" t="s">
        <v>3699</v>
      </c>
      <c r="AU331">
        <v>2024</v>
      </c>
      <c r="AV331" t="s">
        <v>74</v>
      </c>
      <c r="AW331" t="s">
        <v>74</v>
      </c>
      <c r="AX331" t="s">
        <v>74</v>
      </c>
      <c r="AY331" t="s">
        <v>74</v>
      </c>
      <c r="AZ331" t="s">
        <v>74</v>
      </c>
      <c r="BA331" t="s">
        <v>74</v>
      </c>
      <c r="BB331" t="s">
        <v>74</v>
      </c>
      <c r="BC331" t="s">
        <v>74</v>
      </c>
      <c r="BD331" t="s">
        <v>74</v>
      </c>
      <c r="BE331" t="s">
        <v>6423</v>
      </c>
      <c r="BF331" t="str">
        <f>HYPERLINK("http://dx.doi.org/10.1177/13678779241268115","http://dx.doi.org/10.1177/13678779241268115")</f>
        <v>http://dx.doi.org/10.1177/13678779241268115</v>
      </c>
      <c r="BG331" t="s">
        <v>74</v>
      </c>
      <c r="BH331" t="s">
        <v>2444</v>
      </c>
      <c r="BI331">
        <v>19</v>
      </c>
      <c r="BJ331" t="s">
        <v>2124</v>
      </c>
      <c r="BK331" t="s">
        <v>2125</v>
      </c>
      <c r="BL331" t="s">
        <v>2124</v>
      </c>
      <c r="BM331" t="s">
        <v>6424</v>
      </c>
      <c r="BN331" t="s">
        <v>74</v>
      </c>
      <c r="BO331" t="s">
        <v>6425</v>
      </c>
      <c r="BP331" t="s">
        <v>74</v>
      </c>
      <c r="BQ331" t="s">
        <v>74</v>
      </c>
      <c r="BR331" t="s">
        <v>102</v>
      </c>
      <c r="BS331" t="s">
        <v>6426</v>
      </c>
      <c r="BT331" t="str">
        <f>HYPERLINK("https%3A%2F%2Fwww.webofscience.com%2Fwos%2Fwoscc%2Ffull-record%2FWOS:001287933300001","View Full Record in Web of Science")</f>
        <v>View Full Record in Web of Science</v>
      </c>
    </row>
    <row r="332" spans="1:72" x14ac:dyDescent="0.35">
      <c r="A332" t="s">
        <v>72</v>
      </c>
      <c r="B332" t="s">
        <v>6427</v>
      </c>
      <c r="C332" t="s">
        <v>74</v>
      </c>
      <c r="D332" t="s">
        <v>74</v>
      </c>
      <c r="E332" t="s">
        <v>74</v>
      </c>
      <c r="F332" t="s">
        <v>6428</v>
      </c>
      <c r="G332" t="s">
        <v>74</v>
      </c>
      <c r="H332" t="s">
        <v>74</v>
      </c>
      <c r="I332" t="s">
        <v>6429</v>
      </c>
      <c r="J332" t="s">
        <v>216</v>
      </c>
      <c r="K332" t="s">
        <v>74</v>
      </c>
      <c r="L332" t="s">
        <v>74</v>
      </c>
      <c r="M332" t="s">
        <v>78</v>
      </c>
      <c r="N332" t="s">
        <v>108</v>
      </c>
      <c r="O332" t="s">
        <v>74</v>
      </c>
      <c r="P332" t="s">
        <v>74</v>
      </c>
      <c r="Q332" t="s">
        <v>74</v>
      </c>
      <c r="R332" t="s">
        <v>74</v>
      </c>
      <c r="S332" t="s">
        <v>74</v>
      </c>
      <c r="T332" t="s">
        <v>6430</v>
      </c>
      <c r="U332" t="s">
        <v>6431</v>
      </c>
      <c r="V332" t="s">
        <v>6432</v>
      </c>
      <c r="W332" t="s">
        <v>6433</v>
      </c>
      <c r="X332" t="s">
        <v>6434</v>
      </c>
      <c r="Y332" t="s">
        <v>6435</v>
      </c>
      <c r="Z332" t="s">
        <v>6436</v>
      </c>
      <c r="AA332" t="s">
        <v>6437</v>
      </c>
      <c r="AB332" t="s">
        <v>6438</v>
      </c>
      <c r="AC332" t="s">
        <v>74</v>
      </c>
      <c r="AD332" t="s">
        <v>74</v>
      </c>
      <c r="AE332" t="s">
        <v>74</v>
      </c>
      <c r="AF332" t="s">
        <v>74</v>
      </c>
      <c r="AG332">
        <v>49</v>
      </c>
      <c r="AH332">
        <v>6</v>
      </c>
      <c r="AI332">
        <v>6</v>
      </c>
      <c r="AJ332">
        <v>6</v>
      </c>
      <c r="AK332">
        <v>50</v>
      </c>
      <c r="AL332" t="s">
        <v>226</v>
      </c>
      <c r="AM332" t="s">
        <v>227</v>
      </c>
      <c r="AN332" t="s">
        <v>228</v>
      </c>
      <c r="AO332" t="s">
        <v>229</v>
      </c>
      <c r="AP332" t="s">
        <v>74</v>
      </c>
      <c r="AQ332" t="s">
        <v>74</v>
      </c>
      <c r="AR332" t="s">
        <v>230</v>
      </c>
      <c r="AS332" t="s">
        <v>231</v>
      </c>
      <c r="AT332" t="s">
        <v>273</v>
      </c>
      <c r="AU332">
        <v>2022</v>
      </c>
      <c r="AV332">
        <v>8</v>
      </c>
      <c r="AW332">
        <v>3</v>
      </c>
      <c r="AX332" t="s">
        <v>74</v>
      </c>
      <c r="AY332" t="s">
        <v>74</v>
      </c>
      <c r="AZ332" t="s">
        <v>74</v>
      </c>
      <c r="BA332" t="s">
        <v>74</v>
      </c>
      <c r="BB332" t="s">
        <v>74</v>
      </c>
      <c r="BC332" t="s">
        <v>74</v>
      </c>
      <c r="BD332">
        <v>122464</v>
      </c>
      <c r="BE332" t="s">
        <v>6439</v>
      </c>
      <c r="BF332" t="str">
        <f>HYPERLINK("http://dx.doi.org/10.1177/20563051221122464","http://dx.doi.org/10.1177/20563051221122464")</f>
        <v>http://dx.doi.org/10.1177/20563051221122464</v>
      </c>
      <c r="BG332" t="s">
        <v>74</v>
      </c>
      <c r="BH332" t="s">
        <v>74</v>
      </c>
      <c r="BI332">
        <v>14</v>
      </c>
      <c r="BJ332" t="s">
        <v>124</v>
      </c>
      <c r="BK332" t="s">
        <v>99</v>
      </c>
      <c r="BL332" t="s">
        <v>124</v>
      </c>
      <c r="BM332" t="s">
        <v>6440</v>
      </c>
      <c r="BN332" t="s">
        <v>74</v>
      </c>
      <c r="BO332" t="s">
        <v>552</v>
      </c>
      <c r="BP332" t="s">
        <v>74</v>
      </c>
      <c r="BQ332" t="s">
        <v>74</v>
      </c>
      <c r="BR332" t="s">
        <v>102</v>
      </c>
      <c r="BS332" t="s">
        <v>6441</v>
      </c>
      <c r="BT332" t="str">
        <f>HYPERLINK("https%3A%2F%2Fwww.webofscience.com%2Fwos%2Fwoscc%2Ffull-record%2FWOS:000858995200001","View Full Record in Web of Science")</f>
        <v>View Full Record in Web of Science</v>
      </c>
    </row>
    <row r="333" spans="1:72" x14ac:dyDescent="0.35">
      <c r="A333" t="s">
        <v>72</v>
      </c>
      <c r="B333" t="s">
        <v>6442</v>
      </c>
      <c r="C333" t="s">
        <v>74</v>
      </c>
      <c r="D333" t="s">
        <v>74</v>
      </c>
      <c r="E333" t="s">
        <v>74</v>
      </c>
      <c r="F333" t="s">
        <v>6443</v>
      </c>
      <c r="G333" t="s">
        <v>74</v>
      </c>
      <c r="H333" t="s">
        <v>74</v>
      </c>
      <c r="I333" t="s">
        <v>6444</v>
      </c>
      <c r="J333" t="s">
        <v>6445</v>
      </c>
      <c r="K333" t="s">
        <v>74</v>
      </c>
      <c r="L333" t="s">
        <v>74</v>
      </c>
      <c r="M333" t="s">
        <v>78</v>
      </c>
      <c r="N333" t="s">
        <v>108</v>
      </c>
      <c r="O333" t="s">
        <v>74</v>
      </c>
      <c r="P333" t="s">
        <v>74</v>
      </c>
      <c r="Q333" t="s">
        <v>74</v>
      </c>
      <c r="R333" t="s">
        <v>74</v>
      </c>
      <c r="S333" t="s">
        <v>74</v>
      </c>
      <c r="T333" t="s">
        <v>6446</v>
      </c>
      <c r="U333" t="s">
        <v>6447</v>
      </c>
      <c r="V333" t="s">
        <v>6448</v>
      </c>
      <c r="W333" t="s">
        <v>6449</v>
      </c>
      <c r="X333" t="s">
        <v>6450</v>
      </c>
      <c r="Y333" t="s">
        <v>6451</v>
      </c>
      <c r="Z333" t="s">
        <v>6452</v>
      </c>
      <c r="AA333" t="s">
        <v>6453</v>
      </c>
      <c r="AB333" t="s">
        <v>74</v>
      </c>
      <c r="AC333" t="s">
        <v>6454</v>
      </c>
      <c r="AD333" t="s">
        <v>6454</v>
      </c>
      <c r="AE333" t="s">
        <v>6454</v>
      </c>
      <c r="AF333" t="s">
        <v>74</v>
      </c>
      <c r="AG333">
        <v>30</v>
      </c>
      <c r="AH333">
        <v>4</v>
      </c>
      <c r="AI333">
        <v>5</v>
      </c>
      <c r="AJ333">
        <v>4</v>
      </c>
      <c r="AK333">
        <v>10</v>
      </c>
      <c r="AL333" t="s">
        <v>251</v>
      </c>
      <c r="AM333" t="s">
        <v>252</v>
      </c>
      <c r="AN333" t="s">
        <v>253</v>
      </c>
      <c r="AO333" t="s">
        <v>6455</v>
      </c>
      <c r="AP333" t="s">
        <v>6456</v>
      </c>
      <c r="AQ333" t="s">
        <v>74</v>
      </c>
      <c r="AR333" t="s">
        <v>6445</v>
      </c>
      <c r="AS333" t="s">
        <v>6457</v>
      </c>
      <c r="AT333" t="s">
        <v>232</v>
      </c>
      <c r="AU333">
        <v>2024</v>
      </c>
      <c r="AV333">
        <v>29</v>
      </c>
      <c r="AW333">
        <v>1</v>
      </c>
      <c r="AX333" t="s">
        <v>74</v>
      </c>
      <c r="AY333" t="s">
        <v>74</v>
      </c>
      <c r="AZ333" t="s">
        <v>74</v>
      </c>
      <c r="BA333" t="s">
        <v>74</v>
      </c>
      <c r="BB333" t="s">
        <v>74</v>
      </c>
      <c r="BC333" t="s">
        <v>74</v>
      </c>
      <c r="BD333" t="s">
        <v>6458</v>
      </c>
      <c r="BE333" t="s">
        <v>6459</v>
      </c>
      <c r="BF333" t="str">
        <f>HYPERLINK("http://dx.doi.org/10.1111/hel.13029","http://dx.doi.org/10.1111/hel.13029")</f>
        <v>http://dx.doi.org/10.1111/hel.13029</v>
      </c>
      <c r="BG333" t="s">
        <v>74</v>
      </c>
      <c r="BH333" t="s">
        <v>207</v>
      </c>
      <c r="BI333">
        <v>7</v>
      </c>
      <c r="BJ333" t="s">
        <v>6460</v>
      </c>
      <c r="BK333" t="s">
        <v>209</v>
      </c>
      <c r="BL333" t="s">
        <v>6460</v>
      </c>
      <c r="BM333" t="s">
        <v>6461</v>
      </c>
      <c r="BN333">
        <v>37823482</v>
      </c>
      <c r="BO333" t="s">
        <v>767</v>
      </c>
      <c r="BP333" t="s">
        <v>74</v>
      </c>
      <c r="BQ333" t="s">
        <v>74</v>
      </c>
      <c r="BR333" t="s">
        <v>102</v>
      </c>
      <c r="BS333" t="s">
        <v>6462</v>
      </c>
      <c r="BT333" t="str">
        <f>HYPERLINK("https%3A%2F%2Fwww.webofscience.com%2Fwos%2Fwoscc%2Ffull-record%2FWOS:001083057900001","View Full Record in Web of Science")</f>
        <v>View Full Record in Web of Science</v>
      </c>
    </row>
    <row r="334" spans="1:72" x14ac:dyDescent="0.35">
      <c r="A334" t="s">
        <v>72</v>
      </c>
      <c r="B334" t="s">
        <v>6463</v>
      </c>
      <c r="C334" t="s">
        <v>74</v>
      </c>
      <c r="D334" t="s">
        <v>74</v>
      </c>
      <c r="E334" t="s">
        <v>74</v>
      </c>
      <c r="F334" t="s">
        <v>6464</v>
      </c>
      <c r="G334" t="s">
        <v>74</v>
      </c>
      <c r="H334" t="s">
        <v>74</v>
      </c>
      <c r="I334" t="s">
        <v>6465</v>
      </c>
      <c r="J334" t="s">
        <v>1705</v>
      </c>
      <c r="K334" t="s">
        <v>74</v>
      </c>
      <c r="L334" t="s">
        <v>74</v>
      </c>
      <c r="M334" t="s">
        <v>78</v>
      </c>
      <c r="N334" t="s">
        <v>108</v>
      </c>
      <c r="O334" t="s">
        <v>74</v>
      </c>
      <c r="P334" t="s">
        <v>74</v>
      </c>
      <c r="Q334" t="s">
        <v>74</v>
      </c>
      <c r="R334" t="s">
        <v>74</v>
      </c>
      <c r="S334" t="s">
        <v>74</v>
      </c>
      <c r="T334" t="s">
        <v>6466</v>
      </c>
      <c r="U334" t="s">
        <v>6467</v>
      </c>
      <c r="V334" t="s">
        <v>6468</v>
      </c>
      <c r="W334" t="s">
        <v>6469</v>
      </c>
      <c r="X334" t="s">
        <v>6470</v>
      </c>
      <c r="Y334" t="s">
        <v>6471</v>
      </c>
      <c r="Z334" t="s">
        <v>6472</v>
      </c>
      <c r="AA334" t="s">
        <v>6473</v>
      </c>
      <c r="AB334" t="s">
        <v>6474</v>
      </c>
      <c r="AC334" t="s">
        <v>74</v>
      </c>
      <c r="AD334" t="s">
        <v>74</v>
      </c>
      <c r="AE334" t="s">
        <v>74</v>
      </c>
      <c r="AF334" t="s">
        <v>74</v>
      </c>
      <c r="AG334">
        <v>47</v>
      </c>
      <c r="AH334">
        <v>0</v>
      </c>
      <c r="AI334">
        <v>0</v>
      </c>
      <c r="AJ334">
        <v>2</v>
      </c>
      <c r="AK334">
        <v>2</v>
      </c>
      <c r="AL334" t="s">
        <v>1129</v>
      </c>
      <c r="AM334" t="s">
        <v>89</v>
      </c>
      <c r="AN334" t="s">
        <v>1130</v>
      </c>
      <c r="AO334" t="s">
        <v>1715</v>
      </c>
      <c r="AP334" t="s">
        <v>1716</v>
      </c>
      <c r="AQ334" t="s">
        <v>74</v>
      </c>
      <c r="AR334" t="s">
        <v>1717</v>
      </c>
      <c r="AS334" t="s">
        <v>1718</v>
      </c>
      <c r="AT334" t="s">
        <v>6475</v>
      </c>
      <c r="AU334">
        <v>2024</v>
      </c>
      <c r="AV334">
        <v>30</v>
      </c>
      <c r="AW334">
        <v>6</v>
      </c>
      <c r="AX334" t="s">
        <v>74</v>
      </c>
      <c r="AY334" t="s">
        <v>74</v>
      </c>
      <c r="AZ334" t="s">
        <v>74</v>
      </c>
      <c r="BA334" t="s">
        <v>74</v>
      </c>
      <c r="BB334">
        <v>702</v>
      </c>
      <c r="BC334">
        <v>716</v>
      </c>
      <c r="BD334" t="s">
        <v>74</v>
      </c>
      <c r="BE334" t="s">
        <v>6476</v>
      </c>
      <c r="BF334" t="str">
        <f>HYPERLINK("http://dx.doi.org/10.1080/13527266.2023.2166570","http://dx.doi.org/10.1080/13527266.2023.2166570")</f>
        <v>http://dx.doi.org/10.1080/13527266.2023.2166570</v>
      </c>
      <c r="BG334" t="s">
        <v>74</v>
      </c>
      <c r="BH334" t="s">
        <v>74</v>
      </c>
      <c r="BI334">
        <v>15</v>
      </c>
      <c r="BJ334" t="s">
        <v>1722</v>
      </c>
      <c r="BK334" t="s">
        <v>125</v>
      </c>
      <c r="BL334" t="s">
        <v>1723</v>
      </c>
      <c r="BM334" t="s">
        <v>6477</v>
      </c>
      <c r="BN334" t="s">
        <v>74</v>
      </c>
      <c r="BO334" t="s">
        <v>74</v>
      </c>
      <c r="BP334" t="s">
        <v>74</v>
      </c>
      <c r="BQ334" t="s">
        <v>74</v>
      </c>
      <c r="BR334" t="s">
        <v>102</v>
      </c>
      <c r="BS334" t="s">
        <v>6478</v>
      </c>
      <c r="BT334" t="str">
        <f>HYPERLINK("https%3A%2F%2Fwww.webofscience.com%2Fwos%2Fwoscc%2Ffull-record%2FWOS:001279904000001","View Full Record in Web of Science")</f>
        <v>View Full Record in Web of Science</v>
      </c>
    </row>
    <row r="335" spans="1:72" x14ac:dyDescent="0.35">
      <c r="A335" t="s">
        <v>128</v>
      </c>
      <c r="B335" t="s">
        <v>6479</v>
      </c>
      <c r="C335" t="s">
        <v>74</v>
      </c>
      <c r="D335" t="s">
        <v>74</v>
      </c>
      <c r="E335" t="s">
        <v>718</v>
      </c>
      <c r="F335" t="s">
        <v>6480</v>
      </c>
      <c r="G335" t="s">
        <v>74</v>
      </c>
      <c r="H335" t="s">
        <v>74</v>
      </c>
      <c r="I335" t="s">
        <v>6481</v>
      </c>
      <c r="J335" t="s">
        <v>827</v>
      </c>
      <c r="K335" t="s">
        <v>74</v>
      </c>
      <c r="L335" t="s">
        <v>74</v>
      </c>
      <c r="M335" t="s">
        <v>78</v>
      </c>
      <c r="N335" t="s">
        <v>135</v>
      </c>
      <c r="O335" t="s">
        <v>828</v>
      </c>
      <c r="P335" t="s">
        <v>829</v>
      </c>
      <c r="Q335" t="s">
        <v>830</v>
      </c>
      <c r="R335" t="s">
        <v>831</v>
      </c>
      <c r="S335" t="s">
        <v>74</v>
      </c>
      <c r="T335" t="s">
        <v>6482</v>
      </c>
      <c r="U335" t="s">
        <v>6483</v>
      </c>
      <c r="V335" t="s">
        <v>6484</v>
      </c>
      <c r="W335" t="s">
        <v>6485</v>
      </c>
      <c r="X335" t="s">
        <v>6486</v>
      </c>
      <c r="Y335" t="s">
        <v>6487</v>
      </c>
      <c r="Z335" t="s">
        <v>6488</v>
      </c>
      <c r="AA335" t="s">
        <v>6489</v>
      </c>
      <c r="AB335" t="s">
        <v>6490</v>
      </c>
      <c r="AC335" t="s">
        <v>74</v>
      </c>
      <c r="AD335" t="s">
        <v>74</v>
      </c>
      <c r="AE335" t="s">
        <v>74</v>
      </c>
      <c r="AF335" t="s">
        <v>74</v>
      </c>
      <c r="AG335">
        <v>57</v>
      </c>
      <c r="AH335">
        <v>0</v>
      </c>
      <c r="AI335">
        <v>0</v>
      </c>
      <c r="AJ335">
        <v>1</v>
      </c>
      <c r="AK335">
        <v>1</v>
      </c>
      <c r="AL335" t="s">
        <v>718</v>
      </c>
      <c r="AM335" t="s">
        <v>666</v>
      </c>
      <c r="AN335" t="s">
        <v>719</v>
      </c>
      <c r="AO335" t="s">
        <v>74</v>
      </c>
      <c r="AP335" t="s">
        <v>74</v>
      </c>
      <c r="AQ335" t="s">
        <v>838</v>
      </c>
      <c r="AR335" t="s">
        <v>74</v>
      </c>
      <c r="AS335" t="s">
        <v>74</v>
      </c>
      <c r="AT335" t="s">
        <v>74</v>
      </c>
      <c r="AU335">
        <v>2024</v>
      </c>
      <c r="AV335" t="s">
        <v>74</v>
      </c>
      <c r="AW335" t="s">
        <v>74</v>
      </c>
      <c r="AX335" t="s">
        <v>74</v>
      </c>
      <c r="AY335" t="s">
        <v>74</v>
      </c>
      <c r="AZ335" t="s">
        <v>74</v>
      </c>
      <c r="BA335" t="s">
        <v>74</v>
      </c>
      <c r="BB335" t="s">
        <v>74</v>
      </c>
      <c r="BC335" t="s">
        <v>74</v>
      </c>
      <c r="BD335" t="s">
        <v>74</v>
      </c>
      <c r="BE335" t="s">
        <v>6491</v>
      </c>
      <c r="BF335" t="str">
        <f>HYPERLINK("http://dx.doi.org/10.1145/3613905.3650849","http://dx.doi.org/10.1145/3613905.3650849")</f>
        <v>http://dx.doi.org/10.1145/3613905.3650849</v>
      </c>
      <c r="BG335" t="s">
        <v>74</v>
      </c>
      <c r="BH335" t="s">
        <v>74</v>
      </c>
      <c r="BI335">
        <v>8</v>
      </c>
      <c r="BJ335" t="s">
        <v>840</v>
      </c>
      <c r="BK335" t="s">
        <v>723</v>
      </c>
      <c r="BL335" t="s">
        <v>210</v>
      </c>
      <c r="BM335" t="s">
        <v>841</v>
      </c>
      <c r="BN335" t="s">
        <v>74</v>
      </c>
      <c r="BO335" t="s">
        <v>767</v>
      </c>
      <c r="BP335" t="s">
        <v>74</v>
      </c>
      <c r="BQ335" t="s">
        <v>74</v>
      </c>
      <c r="BR335" t="s">
        <v>102</v>
      </c>
      <c r="BS335" t="s">
        <v>6492</v>
      </c>
      <c r="BT335" t="str">
        <f>HYPERLINK("https%3A%2F%2Fwww.webofscience.com%2Fwos%2Fwoscc%2Ffull-record%2FWOS:001227587702076","View Full Record in Web of Science")</f>
        <v>View Full Record in Web of Science</v>
      </c>
    </row>
    <row r="336" spans="1:72" x14ac:dyDescent="0.35">
      <c r="A336" t="s">
        <v>72</v>
      </c>
      <c r="B336" t="s">
        <v>6493</v>
      </c>
      <c r="C336" t="s">
        <v>74</v>
      </c>
      <c r="D336" t="s">
        <v>74</v>
      </c>
      <c r="E336" t="s">
        <v>74</v>
      </c>
      <c r="F336" t="s">
        <v>6494</v>
      </c>
      <c r="G336" t="s">
        <v>74</v>
      </c>
      <c r="H336" t="s">
        <v>74</v>
      </c>
      <c r="I336" t="s">
        <v>6495</v>
      </c>
      <c r="J336" t="s">
        <v>6496</v>
      </c>
      <c r="K336" t="s">
        <v>74</v>
      </c>
      <c r="L336" t="s">
        <v>74</v>
      </c>
      <c r="M336" t="s">
        <v>78</v>
      </c>
      <c r="N336" t="s">
        <v>79</v>
      </c>
      <c r="O336" t="s">
        <v>74</v>
      </c>
      <c r="P336" t="s">
        <v>74</v>
      </c>
      <c r="Q336" t="s">
        <v>74</v>
      </c>
      <c r="R336" t="s">
        <v>74</v>
      </c>
      <c r="S336" t="s">
        <v>74</v>
      </c>
      <c r="T336" t="s">
        <v>6497</v>
      </c>
      <c r="U336" t="s">
        <v>6498</v>
      </c>
      <c r="V336" t="s">
        <v>6499</v>
      </c>
      <c r="W336" t="s">
        <v>6500</v>
      </c>
      <c r="X336" t="s">
        <v>6501</v>
      </c>
      <c r="Y336" t="s">
        <v>6502</v>
      </c>
      <c r="Z336" t="s">
        <v>6503</v>
      </c>
      <c r="AA336" t="s">
        <v>6504</v>
      </c>
      <c r="AB336" t="s">
        <v>6505</v>
      </c>
      <c r="AC336" t="s">
        <v>74</v>
      </c>
      <c r="AD336" t="s">
        <v>74</v>
      </c>
      <c r="AE336" t="s">
        <v>6506</v>
      </c>
      <c r="AF336" t="s">
        <v>74</v>
      </c>
      <c r="AG336">
        <v>86</v>
      </c>
      <c r="AH336">
        <v>0</v>
      </c>
      <c r="AI336">
        <v>0</v>
      </c>
      <c r="AJ336">
        <v>1</v>
      </c>
      <c r="AK336">
        <v>1</v>
      </c>
      <c r="AL336" t="s">
        <v>3761</v>
      </c>
      <c r="AM336" t="s">
        <v>3762</v>
      </c>
      <c r="AN336" t="s">
        <v>3763</v>
      </c>
      <c r="AO336" t="s">
        <v>6507</v>
      </c>
      <c r="AP336" t="s">
        <v>6508</v>
      </c>
      <c r="AQ336" t="s">
        <v>74</v>
      </c>
      <c r="AR336" t="s">
        <v>6509</v>
      </c>
      <c r="AS336" t="s">
        <v>6510</v>
      </c>
      <c r="AT336" t="s">
        <v>6511</v>
      </c>
      <c r="AU336">
        <v>2024</v>
      </c>
      <c r="AV336" t="s">
        <v>74</v>
      </c>
      <c r="AW336" t="s">
        <v>74</v>
      </c>
      <c r="AX336" t="s">
        <v>74</v>
      </c>
      <c r="AY336" t="s">
        <v>74</v>
      </c>
      <c r="AZ336" t="s">
        <v>74</v>
      </c>
      <c r="BA336" t="s">
        <v>74</v>
      </c>
      <c r="BB336" t="s">
        <v>74</v>
      </c>
      <c r="BC336" t="s">
        <v>74</v>
      </c>
      <c r="BD336" t="s">
        <v>74</v>
      </c>
      <c r="BE336" t="s">
        <v>6512</v>
      </c>
      <c r="BF336" t="str">
        <f>HYPERLINK("http://dx.doi.org/10.1123/jtpe.2024-0084","http://dx.doi.org/10.1123/jtpe.2024-0084")</f>
        <v>http://dx.doi.org/10.1123/jtpe.2024-0084</v>
      </c>
      <c r="BG336" t="s">
        <v>74</v>
      </c>
      <c r="BH336" t="s">
        <v>1721</v>
      </c>
      <c r="BI336">
        <v>14</v>
      </c>
      <c r="BJ336" t="s">
        <v>6513</v>
      </c>
      <c r="BK336" t="s">
        <v>182</v>
      </c>
      <c r="BL336" t="s">
        <v>6513</v>
      </c>
      <c r="BM336" t="s">
        <v>6514</v>
      </c>
      <c r="BN336" t="s">
        <v>74</v>
      </c>
      <c r="BO336" t="s">
        <v>74</v>
      </c>
      <c r="BP336" t="s">
        <v>74</v>
      </c>
      <c r="BQ336" t="s">
        <v>74</v>
      </c>
      <c r="BR336" t="s">
        <v>102</v>
      </c>
      <c r="BS336" t="s">
        <v>6515</v>
      </c>
      <c r="BT336" t="str">
        <f>HYPERLINK("https%3A%2F%2Fwww.webofscience.com%2Fwos%2Fwoscc%2Ffull-record%2FWOS:001346675500001","View Full Record in Web of Science")</f>
        <v>View Full Record in Web of Science</v>
      </c>
    </row>
    <row r="337" spans="1:72" x14ac:dyDescent="0.35">
      <c r="A337" t="s">
        <v>72</v>
      </c>
      <c r="B337" t="s">
        <v>6516</v>
      </c>
      <c r="C337" t="s">
        <v>74</v>
      </c>
      <c r="D337" t="s">
        <v>74</v>
      </c>
      <c r="E337" t="s">
        <v>74</v>
      </c>
      <c r="F337" t="s">
        <v>6517</v>
      </c>
      <c r="G337" t="s">
        <v>74</v>
      </c>
      <c r="H337" t="s">
        <v>74</v>
      </c>
      <c r="I337" t="s">
        <v>6518</v>
      </c>
      <c r="J337" t="s">
        <v>6519</v>
      </c>
      <c r="K337" t="s">
        <v>74</v>
      </c>
      <c r="L337" t="s">
        <v>74</v>
      </c>
      <c r="M337" t="s">
        <v>78</v>
      </c>
      <c r="N337" t="s">
        <v>108</v>
      </c>
      <c r="O337" t="s">
        <v>74</v>
      </c>
      <c r="P337" t="s">
        <v>74</v>
      </c>
      <c r="Q337" t="s">
        <v>74</v>
      </c>
      <c r="R337" t="s">
        <v>74</v>
      </c>
      <c r="S337" t="s">
        <v>74</v>
      </c>
      <c r="T337" t="s">
        <v>6520</v>
      </c>
      <c r="U337" t="s">
        <v>74</v>
      </c>
      <c r="V337" t="s">
        <v>6521</v>
      </c>
      <c r="W337" t="s">
        <v>6522</v>
      </c>
      <c r="X337" t="s">
        <v>6523</v>
      </c>
      <c r="Y337" t="s">
        <v>6524</v>
      </c>
      <c r="Z337" t="s">
        <v>6525</v>
      </c>
      <c r="AA337" t="s">
        <v>74</v>
      </c>
      <c r="AB337" t="s">
        <v>74</v>
      </c>
      <c r="AC337" t="s">
        <v>6526</v>
      </c>
      <c r="AD337" t="s">
        <v>6526</v>
      </c>
      <c r="AE337" t="s">
        <v>6527</v>
      </c>
      <c r="AF337" t="s">
        <v>74</v>
      </c>
      <c r="AG337">
        <v>26</v>
      </c>
      <c r="AH337">
        <v>1</v>
      </c>
      <c r="AI337">
        <v>1</v>
      </c>
      <c r="AJ337">
        <v>1</v>
      </c>
      <c r="AK337">
        <v>4</v>
      </c>
      <c r="AL337" t="s">
        <v>6528</v>
      </c>
      <c r="AM337" t="s">
        <v>6529</v>
      </c>
      <c r="AN337" t="s">
        <v>6530</v>
      </c>
      <c r="AO337" t="s">
        <v>6531</v>
      </c>
      <c r="AP337" t="s">
        <v>6532</v>
      </c>
      <c r="AQ337" t="s">
        <v>74</v>
      </c>
      <c r="AR337" t="s">
        <v>6533</v>
      </c>
      <c r="AS337" t="s">
        <v>6534</v>
      </c>
      <c r="AT337" t="s">
        <v>74</v>
      </c>
      <c r="AU337">
        <v>2022</v>
      </c>
      <c r="AV337" t="s">
        <v>74</v>
      </c>
      <c r="AW337">
        <v>75</v>
      </c>
      <c r="AX337" t="s">
        <v>74</v>
      </c>
      <c r="AY337" t="s">
        <v>74</v>
      </c>
      <c r="AZ337" t="s">
        <v>74</v>
      </c>
      <c r="BA337" t="s">
        <v>74</v>
      </c>
      <c r="BB337">
        <v>18</v>
      </c>
      <c r="BC337">
        <v>61</v>
      </c>
      <c r="BD337" t="s">
        <v>74</v>
      </c>
      <c r="BE337" t="s">
        <v>6535</v>
      </c>
      <c r="BF337" t="str">
        <f>HYPERLINK("http://dx.doi.org/10.3232/UBR.2022.V19.N4.01","http://dx.doi.org/10.3232/UBR.2022.V19.N4.01")</f>
        <v>http://dx.doi.org/10.3232/UBR.2022.V19.N4.01</v>
      </c>
      <c r="BG337" t="s">
        <v>74</v>
      </c>
      <c r="BH337" t="s">
        <v>74</v>
      </c>
      <c r="BI337">
        <v>44</v>
      </c>
      <c r="BJ337" t="s">
        <v>1597</v>
      </c>
      <c r="BK337" t="s">
        <v>125</v>
      </c>
      <c r="BL337" t="s">
        <v>480</v>
      </c>
      <c r="BM337" t="s">
        <v>6536</v>
      </c>
      <c r="BN337" t="s">
        <v>74</v>
      </c>
      <c r="BO337" t="s">
        <v>74</v>
      </c>
      <c r="BP337" t="s">
        <v>74</v>
      </c>
      <c r="BQ337" t="s">
        <v>74</v>
      </c>
      <c r="BR337" t="s">
        <v>102</v>
      </c>
      <c r="BS337" t="s">
        <v>6537</v>
      </c>
      <c r="BT337" t="str">
        <f>HYPERLINK("https%3A%2F%2Fwww.webofscience.com%2Fwos%2Fwoscc%2Ffull-record%2FWOS:000935605600001","View Full Record in Web of Science")</f>
        <v>View Full Record in Web of Science</v>
      </c>
    </row>
    <row r="338" spans="1:72" x14ac:dyDescent="0.35">
      <c r="A338" t="s">
        <v>72</v>
      </c>
      <c r="B338" t="s">
        <v>6538</v>
      </c>
      <c r="C338" t="s">
        <v>74</v>
      </c>
      <c r="D338" t="s">
        <v>74</v>
      </c>
      <c r="E338" t="s">
        <v>74</v>
      </c>
      <c r="F338" t="s">
        <v>6539</v>
      </c>
      <c r="G338" t="s">
        <v>74</v>
      </c>
      <c r="H338" t="s">
        <v>74</v>
      </c>
      <c r="I338" t="s">
        <v>6540</v>
      </c>
      <c r="J338" t="s">
        <v>6541</v>
      </c>
      <c r="K338" t="s">
        <v>74</v>
      </c>
      <c r="L338" t="s">
        <v>74</v>
      </c>
      <c r="M338" t="s">
        <v>78</v>
      </c>
      <c r="N338" t="s">
        <v>108</v>
      </c>
      <c r="O338" t="s">
        <v>74</v>
      </c>
      <c r="P338" t="s">
        <v>74</v>
      </c>
      <c r="Q338" t="s">
        <v>74</v>
      </c>
      <c r="R338" t="s">
        <v>74</v>
      </c>
      <c r="S338" t="s">
        <v>74</v>
      </c>
      <c r="T338" t="s">
        <v>6542</v>
      </c>
      <c r="U338" t="s">
        <v>74</v>
      </c>
      <c r="V338" t="s">
        <v>6543</v>
      </c>
      <c r="W338" t="s">
        <v>6544</v>
      </c>
      <c r="X338" t="s">
        <v>6545</v>
      </c>
      <c r="Y338" t="s">
        <v>6546</v>
      </c>
      <c r="Z338" t="s">
        <v>6547</v>
      </c>
      <c r="AA338" t="s">
        <v>6548</v>
      </c>
      <c r="AB338" t="s">
        <v>6549</v>
      </c>
      <c r="AC338" t="s">
        <v>74</v>
      </c>
      <c r="AD338" t="s">
        <v>74</v>
      </c>
      <c r="AE338" t="s">
        <v>74</v>
      </c>
      <c r="AF338" t="s">
        <v>74</v>
      </c>
      <c r="AG338">
        <v>25</v>
      </c>
      <c r="AH338">
        <v>0</v>
      </c>
      <c r="AI338">
        <v>0</v>
      </c>
      <c r="AJ338">
        <v>4</v>
      </c>
      <c r="AK338">
        <v>4</v>
      </c>
      <c r="AL338" t="s">
        <v>6550</v>
      </c>
      <c r="AM338" t="s">
        <v>5232</v>
      </c>
      <c r="AN338" t="s">
        <v>6551</v>
      </c>
      <c r="AO338" t="s">
        <v>6552</v>
      </c>
      <c r="AP338" t="s">
        <v>74</v>
      </c>
      <c r="AQ338" t="s">
        <v>74</v>
      </c>
      <c r="AR338" t="s">
        <v>6553</v>
      </c>
      <c r="AS338" t="s">
        <v>6554</v>
      </c>
      <c r="AT338" t="s">
        <v>257</v>
      </c>
      <c r="AU338">
        <v>2024</v>
      </c>
      <c r="AV338" t="s">
        <v>74</v>
      </c>
      <c r="AW338">
        <v>52</v>
      </c>
      <c r="AX338" t="s">
        <v>74</v>
      </c>
      <c r="AY338" t="s">
        <v>74</v>
      </c>
      <c r="AZ338" t="s">
        <v>74</v>
      </c>
      <c r="BA338" t="s">
        <v>74</v>
      </c>
      <c r="BB338">
        <v>1</v>
      </c>
      <c r="BC338">
        <v>15</v>
      </c>
      <c r="BD338" t="s">
        <v>74</v>
      </c>
      <c r="BE338" t="s">
        <v>6555</v>
      </c>
      <c r="BF338" t="str">
        <f>HYPERLINK("http://dx.doi.org/10.1344/bid2024.52.07","http://dx.doi.org/10.1344/bid2024.52.07")</f>
        <v>http://dx.doi.org/10.1344/bid2024.52.07</v>
      </c>
      <c r="BG338" t="s">
        <v>74</v>
      </c>
      <c r="BH338" t="s">
        <v>74</v>
      </c>
      <c r="BI338">
        <v>15</v>
      </c>
      <c r="BJ338" t="s">
        <v>1162</v>
      </c>
      <c r="BK338" t="s">
        <v>125</v>
      </c>
      <c r="BL338" t="s">
        <v>1162</v>
      </c>
      <c r="BM338" t="s">
        <v>6556</v>
      </c>
      <c r="BN338" t="s">
        <v>74</v>
      </c>
      <c r="BO338" t="s">
        <v>235</v>
      </c>
      <c r="BP338" t="s">
        <v>74</v>
      </c>
      <c r="BQ338" t="s">
        <v>74</v>
      </c>
      <c r="BR338" t="s">
        <v>102</v>
      </c>
      <c r="BS338" t="s">
        <v>6557</v>
      </c>
      <c r="BT338" t="str">
        <f>HYPERLINK("https%3A%2F%2Fwww.webofscience.com%2Fwos%2Fwoscc%2Ffull-record%2FWOS:001301801300005","View Full Record in Web of Science")</f>
        <v>View Full Record in Web of Science</v>
      </c>
    </row>
    <row r="339" spans="1:72" x14ac:dyDescent="0.35">
      <c r="A339" t="s">
        <v>72</v>
      </c>
      <c r="B339" t="s">
        <v>6558</v>
      </c>
      <c r="C339" t="s">
        <v>74</v>
      </c>
      <c r="D339" t="s">
        <v>74</v>
      </c>
      <c r="E339" t="s">
        <v>74</v>
      </c>
      <c r="F339" t="s">
        <v>6559</v>
      </c>
      <c r="G339" t="s">
        <v>74</v>
      </c>
      <c r="H339" t="s">
        <v>74</v>
      </c>
      <c r="I339" t="s">
        <v>6560</v>
      </c>
      <c r="J339" t="s">
        <v>6561</v>
      </c>
      <c r="K339" t="s">
        <v>74</v>
      </c>
      <c r="L339" t="s">
        <v>74</v>
      </c>
      <c r="M339" t="s">
        <v>78</v>
      </c>
      <c r="N339" t="s">
        <v>108</v>
      </c>
      <c r="O339" t="s">
        <v>74</v>
      </c>
      <c r="P339" t="s">
        <v>74</v>
      </c>
      <c r="Q339" t="s">
        <v>74</v>
      </c>
      <c r="R339" t="s">
        <v>74</v>
      </c>
      <c r="S339" t="s">
        <v>74</v>
      </c>
      <c r="T339" t="s">
        <v>6562</v>
      </c>
      <c r="U339" t="s">
        <v>74</v>
      </c>
      <c r="V339" t="s">
        <v>6563</v>
      </c>
      <c r="W339" t="s">
        <v>6564</v>
      </c>
      <c r="X339" t="s">
        <v>6565</v>
      </c>
      <c r="Y339" t="s">
        <v>6566</v>
      </c>
      <c r="Z339" t="s">
        <v>6567</v>
      </c>
      <c r="AA339" t="s">
        <v>6568</v>
      </c>
      <c r="AB339" t="s">
        <v>74</v>
      </c>
      <c r="AC339" t="s">
        <v>74</v>
      </c>
      <c r="AD339" t="s">
        <v>74</v>
      </c>
      <c r="AE339" t="s">
        <v>74</v>
      </c>
      <c r="AF339" t="s">
        <v>74</v>
      </c>
      <c r="AG339">
        <v>33</v>
      </c>
      <c r="AH339">
        <v>0</v>
      </c>
      <c r="AI339">
        <v>0</v>
      </c>
      <c r="AJ339">
        <v>0</v>
      </c>
      <c r="AK339">
        <v>0</v>
      </c>
      <c r="AL339" t="s">
        <v>6569</v>
      </c>
      <c r="AM339" t="s">
        <v>5806</v>
      </c>
      <c r="AN339" t="s">
        <v>5807</v>
      </c>
      <c r="AO339" t="s">
        <v>6570</v>
      </c>
      <c r="AP339" t="s">
        <v>6571</v>
      </c>
      <c r="AQ339" t="s">
        <v>74</v>
      </c>
      <c r="AR339" t="s">
        <v>6572</v>
      </c>
      <c r="AS339" t="s">
        <v>6573</v>
      </c>
      <c r="AT339" t="s">
        <v>74</v>
      </c>
      <c r="AU339">
        <v>2024</v>
      </c>
      <c r="AV339">
        <v>22</v>
      </c>
      <c r="AW339">
        <v>10</v>
      </c>
      <c r="AX339" t="s">
        <v>74</v>
      </c>
      <c r="AY339" t="s">
        <v>74</v>
      </c>
      <c r="AZ339" t="s">
        <v>74</v>
      </c>
      <c r="BA339" t="s">
        <v>74</v>
      </c>
      <c r="BB339">
        <v>79</v>
      </c>
      <c r="BC339">
        <v>90</v>
      </c>
      <c r="BD339" t="s">
        <v>74</v>
      </c>
      <c r="BE339" t="s">
        <v>6574</v>
      </c>
      <c r="BF339" t="str">
        <f>HYPERLINK("http://dx.doi.org/10.15722/jds.22.10.202410.79","http://dx.doi.org/10.15722/jds.22.10.202410.79")</f>
        <v>http://dx.doi.org/10.15722/jds.22.10.202410.79</v>
      </c>
      <c r="BG339" t="s">
        <v>74</v>
      </c>
      <c r="BH339" t="s">
        <v>74</v>
      </c>
      <c r="BI339">
        <v>12</v>
      </c>
      <c r="BJ339" t="s">
        <v>479</v>
      </c>
      <c r="BK339" t="s">
        <v>125</v>
      </c>
      <c r="BL339" t="s">
        <v>480</v>
      </c>
      <c r="BM339" t="s">
        <v>6575</v>
      </c>
      <c r="BN339" t="s">
        <v>74</v>
      </c>
      <c r="BO339" t="s">
        <v>74</v>
      </c>
      <c r="BP339" t="s">
        <v>74</v>
      </c>
      <c r="BQ339" t="s">
        <v>74</v>
      </c>
      <c r="BR339" t="s">
        <v>102</v>
      </c>
      <c r="BS339" t="s">
        <v>6576</v>
      </c>
      <c r="BT339" t="str">
        <f>HYPERLINK("https%3A%2F%2Fwww.webofscience.com%2Fwos%2Fwoscc%2Ffull-record%2FWOS:001352105000007","View Full Record in Web of Science")</f>
        <v>View Full Record in Web of Science</v>
      </c>
    </row>
    <row r="340" spans="1:72" x14ac:dyDescent="0.35">
      <c r="A340" t="s">
        <v>72</v>
      </c>
      <c r="B340" t="s">
        <v>6577</v>
      </c>
      <c r="C340" t="s">
        <v>74</v>
      </c>
      <c r="D340" t="s">
        <v>74</v>
      </c>
      <c r="E340" t="s">
        <v>74</v>
      </c>
      <c r="F340" t="s">
        <v>6578</v>
      </c>
      <c r="G340" t="s">
        <v>74</v>
      </c>
      <c r="H340" t="s">
        <v>74</v>
      </c>
      <c r="I340" t="s">
        <v>6579</v>
      </c>
      <c r="J340" t="s">
        <v>6580</v>
      </c>
      <c r="K340" t="s">
        <v>74</v>
      </c>
      <c r="L340" t="s">
        <v>74</v>
      </c>
      <c r="M340" t="s">
        <v>78</v>
      </c>
      <c r="N340" t="s">
        <v>108</v>
      </c>
      <c r="O340" t="s">
        <v>74</v>
      </c>
      <c r="P340" t="s">
        <v>74</v>
      </c>
      <c r="Q340" t="s">
        <v>74</v>
      </c>
      <c r="R340" t="s">
        <v>74</v>
      </c>
      <c r="S340" t="s">
        <v>74</v>
      </c>
      <c r="T340" t="s">
        <v>6581</v>
      </c>
      <c r="U340" t="s">
        <v>74</v>
      </c>
      <c r="V340" t="s">
        <v>6582</v>
      </c>
      <c r="W340" t="s">
        <v>6583</v>
      </c>
      <c r="X340" t="s">
        <v>6584</v>
      </c>
      <c r="Y340" t="s">
        <v>6585</v>
      </c>
      <c r="Z340" t="s">
        <v>6586</v>
      </c>
      <c r="AA340" t="s">
        <v>74</v>
      </c>
      <c r="AB340" t="s">
        <v>74</v>
      </c>
      <c r="AC340" t="s">
        <v>74</v>
      </c>
      <c r="AD340" t="s">
        <v>74</v>
      </c>
      <c r="AE340" t="s">
        <v>74</v>
      </c>
      <c r="AF340" t="s">
        <v>74</v>
      </c>
      <c r="AG340">
        <v>33</v>
      </c>
      <c r="AH340">
        <v>0</v>
      </c>
      <c r="AI340">
        <v>0</v>
      </c>
      <c r="AJ340">
        <v>0</v>
      </c>
      <c r="AK340">
        <v>3</v>
      </c>
      <c r="AL340" t="s">
        <v>6587</v>
      </c>
      <c r="AM340" t="s">
        <v>6588</v>
      </c>
      <c r="AN340" t="s">
        <v>6589</v>
      </c>
      <c r="AO340" t="s">
        <v>6590</v>
      </c>
      <c r="AP340" t="s">
        <v>74</v>
      </c>
      <c r="AQ340" t="s">
        <v>74</v>
      </c>
      <c r="AR340" t="s">
        <v>6591</v>
      </c>
      <c r="AS340" t="s">
        <v>6592</v>
      </c>
      <c r="AT340" t="s">
        <v>6593</v>
      </c>
      <c r="AU340">
        <v>2023</v>
      </c>
      <c r="AV340" t="s">
        <v>74</v>
      </c>
      <c r="AW340">
        <v>24</v>
      </c>
      <c r="AX340" t="s">
        <v>74</v>
      </c>
      <c r="AY340" t="s">
        <v>74</v>
      </c>
      <c r="AZ340" t="s">
        <v>74</v>
      </c>
      <c r="BA340" t="s">
        <v>74</v>
      </c>
      <c r="BB340">
        <v>147</v>
      </c>
      <c r="BC340">
        <v>165</v>
      </c>
      <c r="BD340" t="s">
        <v>74</v>
      </c>
      <c r="BE340" t="s">
        <v>6594</v>
      </c>
      <c r="BF340" t="str">
        <f>HYPERLINK("http://dx.doi.org/10.25029/od.2023.377.24","http://dx.doi.org/10.25029/od.2023.377.24")</f>
        <v>http://dx.doi.org/10.25029/od.2023.377.24</v>
      </c>
      <c r="BG340" t="s">
        <v>74</v>
      </c>
      <c r="BH340" t="s">
        <v>74</v>
      </c>
      <c r="BI340">
        <v>19</v>
      </c>
      <c r="BJ340" t="s">
        <v>124</v>
      </c>
      <c r="BK340" t="s">
        <v>125</v>
      </c>
      <c r="BL340" t="s">
        <v>124</v>
      </c>
      <c r="BM340" t="s">
        <v>6595</v>
      </c>
      <c r="BN340" t="s">
        <v>74</v>
      </c>
      <c r="BO340" t="s">
        <v>235</v>
      </c>
      <c r="BP340" t="s">
        <v>74</v>
      </c>
      <c r="BQ340" t="s">
        <v>74</v>
      </c>
      <c r="BR340" t="s">
        <v>102</v>
      </c>
      <c r="BS340" t="s">
        <v>6596</v>
      </c>
      <c r="BT340" t="str">
        <f>HYPERLINK("https%3A%2F%2Fwww.webofscience.com%2Fwos%2Fwoscc%2Ffull-record%2FWOS:001165584700018","View Full Record in Web of Science")</f>
        <v>View Full Record in Web of Science</v>
      </c>
    </row>
    <row r="341" spans="1:72" x14ac:dyDescent="0.35">
      <c r="A341" t="s">
        <v>72</v>
      </c>
      <c r="B341" t="s">
        <v>6597</v>
      </c>
      <c r="C341" t="s">
        <v>74</v>
      </c>
      <c r="D341" t="s">
        <v>74</v>
      </c>
      <c r="E341" t="s">
        <v>74</v>
      </c>
      <c r="F341" t="s">
        <v>6598</v>
      </c>
      <c r="G341" t="s">
        <v>74</v>
      </c>
      <c r="H341" t="s">
        <v>74</v>
      </c>
      <c r="I341" t="s">
        <v>6599</v>
      </c>
      <c r="J341" t="s">
        <v>438</v>
      </c>
      <c r="K341" t="s">
        <v>74</v>
      </c>
      <c r="L341" t="s">
        <v>74</v>
      </c>
      <c r="M341" t="s">
        <v>78</v>
      </c>
      <c r="N341" t="s">
        <v>79</v>
      </c>
      <c r="O341" t="s">
        <v>74</v>
      </c>
      <c r="P341" t="s">
        <v>74</v>
      </c>
      <c r="Q341" t="s">
        <v>74</v>
      </c>
      <c r="R341" t="s">
        <v>74</v>
      </c>
      <c r="S341" t="s">
        <v>74</v>
      </c>
      <c r="T341" t="s">
        <v>6600</v>
      </c>
      <c r="U341" t="s">
        <v>74</v>
      </c>
      <c r="V341" t="s">
        <v>6601</v>
      </c>
      <c r="W341" t="s">
        <v>6602</v>
      </c>
      <c r="X341" t="s">
        <v>6603</v>
      </c>
      <c r="Y341" t="s">
        <v>6604</v>
      </c>
      <c r="Z341" t="s">
        <v>6605</v>
      </c>
      <c r="AA341" t="s">
        <v>74</v>
      </c>
      <c r="AB341" t="s">
        <v>74</v>
      </c>
      <c r="AC341" t="s">
        <v>6606</v>
      </c>
      <c r="AD341" t="s">
        <v>449</v>
      </c>
      <c r="AE341" t="s">
        <v>6607</v>
      </c>
      <c r="AF341" t="s">
        <v>74</v>
      </c>
      <c r="AG341">
        <v>51</v>
      </c>
      <c r="AH341">
        <v>0</v>
      </c>
      <c r="AI341">
        <v>0</v>
      </c>
      <c r="AJ341">
        <v>3</v>
      </c>
      <c r="AK341">
        <v>3</v>
      </c>
      <c r="AL341" t="s">
        <v>226</v>
      </c>
      <c r="AM341" t="s">
        <v>227</v>
      </c>
      <c r="AN341" t="s">
        <v>228</v>
      </c>
      <c r="AO341" t="s">
        <v>451</v>
      </c>
      <c r="AP341" t="s">
        <v>452</v>
      </c>
      <c r="AQ341" t="s">
        <v>74</v>
      </c>
      <c r="AR341" t="s">
        <v>453</v>
      </c>
      <c r="AS341" t="s">
        <v>454</v>
      </c>
      <c r="AT341" t="s">
        <v>6608</v>
      </c>
      <c r="AU341">
        <v>2024</v>
      </c>
      <c r="AV341" t="s">
        <v>74</v>
      </c>
      <c r="AW341" t="s">
        <v>74</v>
      </c>
      <c r="AX341" t="s">
        <v>74</v>
      </c>
      <c r="AY341" t="s">
        <v>74</v>
      </c>
      <c r="AZ341" t="s">
        <v>74</v>
      </c>
      <c r="BA341" t="s">
        <v>74</v>
      </c>
      <c r="BB341" t="s">
        <v>74</v>
      </c>
      <c r="BC341" t="s">
        <v>74</v>
      </c>
      <c r="BD341" t="s">
        <v>74</v>
      </c>
      <c r="BE341" t="s">
        <v>6609</v>
      </c>
      <c r="BF341" t="str">
        <f>HYPERLINK("http://dx.doi.org/10.1177/14614448241290234","http://dx.doi.org/10.1177/14614448241290234")</f>
        <v>http://dx.doi.org/10.1177/14614448241290234</v>
      </c>
      <c r="BG341" t="s">
        <v>74</v>
      </c>
      <c r="BH341" t="s">
        <v>4092</v>
      </c>
      <c r="BI341">
        <v>21</v>
      </c>
      <c r="BJ341" t="s">
        <v>124</v>
      </c>
      <c r="BK341" t="s">
        <v>99</v>
      </c>
      <c r="BL341" t="s">
        <v>124</v>
      </c>
      <c r="BM341" t="s">
        <v>6610</v>
      </c>
      <c r="BN341" t="s">
        <v>74</v>
      </c>
      <c r="BO341" t="s">
        <v>156</v>
      </c>
      <c r="BP341" t="s">
        <v>74</v>
      </c>
      <c r="BQ341" t="s">
        <v>74</v>
      </c>
      <c r="BR341" t="s">
        <v>102</v>
      </c>
      <c r="BS341" t="s">
        <v>6611</v>
      </c>
      <c r="BT341" t="str">
        <f>HYPERLINK("https%3A%2F%2Fwww.webofscience.com%2Fwos%2Fwoscc%2Ffull-record%2FWOS:001348764400001","View Full Record in Web of Science")</f>
        <v>View Full Record in Web of Science</v>
      </c>
    </row>
    <row r="342" spans="1:72" x14ac:dyDescent="0.35">
      <c r="A342" t="s">
        <v>72</v>
      </c>
      <c r="B342" t="s">
        <v>6612</v>
      </c>
      <c r="C342" t="s">
        <v>74</v>
      </c>
      <c r="D342" t="s">
        <v>74</v>
      </c>
      <c r="E342" t="s">
        <v>74</v>
      </c>
      <c r="F342" t="s">
        <v>6613</v>
      </c>
      <c r="G342" t="s">
        <v>74</v>
      </c>
      <c r="H342" t="s">
        <v>74</v>
      </c>
      <c r="I342" t="s">
        <v>6614</v>
      </c>
      <c r="J342" t="s">
        <v>1962</v>
      </c>
      <c r="K342" t="s">
        <v>74</v>
      </c>
      <c r="L342" t="s">
        <v>74</v>
      </c>
      <c r="M342" t="s">
        <v>78</v>
      </c>
      <c r="N342" t="s">
        <v>108</v>
      </c>
      <c r="O342" t="s">
        <v>74</v>
      </c>
      <c r="P342" t="s">
        <v>74</v>
      </c>
      <c r="Q342" t="s">
        <v>74</v>
      </c>
      <c r="R342" t="s">
        <v>74</v>
      </c>
      <c r="S342" t="s">
        <v>74</v>
      </c>
      <c r="T342" t="s">
        <v>6615</v>
      </c>
      <c r="U342" t="s">
        <v>218</v>
      </c>
      <c r="V342" t="s">
        <v>6616</v>
      </c>
      <c r="W342" t="s">
        <v>6617</v>
      </c>
      <c r="X342" t="s">
        <v>6618</v>
      </c>
      <c r="Y342" t="s">
        <v>6619</v>
      </c>
      <c r="Z342" t="s">
        <v>6620</v>
      </c>
      <c r="AA342" t="s">
        <v>74</v>
      </c>
      <c r="AB342" t="s">
        <v>74</v>
      </c>
      <c r="AC342" t="s">
        <v>74</v>
      </c>
      <c r="AD342" t="s">
        <v>74</v>
      </c>
      <c r="AE342" t="s">
        <v>74</v>
      </c>
      <c r="AF342" t="s">
        <v>74</v>
      </c>
      <c r="AG342">
        <v>20</v>
      </c>
      <c r="AH342">
        <v>7</v>
      </c>
      <c r="AI342">
        <v>7</v>
      </c>
      <c r="AJ342">
        <v>4</v>
      </c>
      <c r="AK342">
        <v>11</v>
      </c>
      <c r="AL342" t="s">
        <v>1965</v>
      </c>
      <c r="AM342" t="s">
        <v>666</v>
      </c>
      <c r="AN342" t="s">
        <v>1966</v>
      </c>
      <c r="AO342" t="s">
        <v>1967</v>
      </c>
      <c r="AP342" t="s">
        <v>1968</v>
      </c>
      <c r="AQ342" t="s">
        <v>74</v>
      </c>
      <c r="AR342" t="s">
        <v>1962</v>
      </c>
      <c r="AS342" t="s">
        <v>1969</v>
      </c>
      <c r="AT342" t="s">
        <v>232</v>
      </c>
      <c r="AU342">
        <v>2024</v>
      </c>
      <c r="AV342">
        <v>129</v>
      </c>
      <c r="AW342" t="s">
        <v>74</v>
      </c>
      <c r="AX342" t="s">
        <v>74</v>
      </c>
      <c r="AY342" t="s">
        <v>74</v>
      </c>
      <c r="AZ342" t="s">
        <v>74</v>
      </c>
      <c r="BA342" t="s">
        <v>74</v>
      </c>
      <c r="BB342" t="s">
        <v>74</v>
      </c>
      <c r="BC342" t="s">
        <v>74</v>
      </c>
      <c r="BD342">
        <v>110300</v>
      </c>
      <c r="BE342" t="s">
        <v>6621</v>
      </c>
      <c r="BF342" t="str">
        <f>HYPERLINK("http://dx.doi.org/10.1016/j.contraception.2023.110300","http://dx.doi.org/10.1016/j.contraception.2023.110300")</f>
        <v>http://dx.doi.org/10.1016/j.contraception.2023.110300</v>
      </c>
      <c r="BG342" t="s">
        <v>74</v>
      </c>
      <c r="BH342" t="s">
        <v>674</v>
      </c>
      <c r="BI342">
        <v>5</v>
      </c>
      <c r="BJ342" t="s">
        <v>1971</v>
      </c>
      <c r="BK342" t="s">
        <v>209</v>
      </c>
      <c r="BL342" t="s">
        <v>1971</v>
      </c>
      <c r="BM342" t="s">
        <v>6622</v>
      </c>
      <c r="BN342">
        <v>37802460</v>
      </c>
      <c r="BO342" t="s">
        <v>74</v>
      </c>
      <c r="BP342" t="s">
        <v>74</v>
      </c>
      <c r="BQ342" t="s">
        <v>74</v>
      </c>
      <c r="BR342" t="s">
        <v>102</v>
      </c>
      <c r="BS342" t="s">
        <v>6623</v>
      </c>
      <c r="BT342" t="str">
        <f>HYPERLINK("https%3A%2F%2Fwww.webofscience.com%2Fwos%2Fwoscc%2Ffull-record%2FWOS:001130152200001","View Full Record in Web of Science")</f>
        <v>View Full Record in Web of Science</v>
      </c>
    </row>
    <row r="343" spans="1:72" x14ac:dyDescent="0.35">
      <c r="A343" t="s">
        <v>72</v>
      </c>
      <c r="B343" t="s">
        <v>6624</v>
      </c>
      <c r="C343" t="s">
        <v>74</v>
      </c>
      <c r="D343" t="s">
        <v>74</v>
      </c>
      <c r="E343" t="s">
        <v>74</v>
      </c>
      <c r="F343" t="s">
        <v>6625</v>
      </c>
      <c r="G343" t="s">
        <v>74</v>
      </c>
      <c r="H343" t="s">
        <v>74</v>
      </c>
      <c r="I343" t="s">
        <v>6626</v>
      </c>
      <c r="J343" t="s">
        <v>6627</v>
      </c>
      <c r="K343" t="s">
        <v>74</v>
      </c>
      <c r="L343" t="s">
        <v>74</v>
      </c>
      <c r="M343" t="s">
        <v>78</v>
      </c>
      <c r="N343" t="s">
        <v>108</v>
      </c>
      <c r="O343" t="s">
        <v>74</v>
      </c>
      <c r="P343" t="s">
        <v>74</v>
      </c>
      <c r="Q343" t="s">
        <v>74</v>
      </c>
      <c r="R343" t="s">
        <v>74</v>
      </c>
      <c r="S343" t="s">
        <v>74</v>
      </c>
      <c r="T343" t="s">
        <v>6628</v>
      </c>
      <c r="U343" t="s">
        <v>6629</v>
      </c>
      <c r="V343" t="s">
        <v>6630</v>
      </c>
      <c r="W343" t="s">
        <v>6631</v>
      </c>
      <c r="X343" t="s">
        <v>6632</v>
      </c>
      <c r="Y343" t="s">
        <v>6633</v>
      </c>
      <c r="Z343" t="s">
        <v>6634</v>
      </c>
      <c r="AA343" t="s">
        <v>74</v>
      </c>
      <c r="AB343" t="s">
        <v>6635</v>
      </c>
      <c r="AC343" t="s">
        <v>74</v>
      </c>
      <c r="AD343" t="s">
        <v>74</v>
      </c>
      <c r="AE343" t="s">
        <v>74</v>
      </c>
      <c r="AF343" t="s">
        <v>74</v>
      </c>
      <c r="AG343">
        <v>47</v>
      </c>
      <c r="AH343">
        <v>14</v>
      </c>
      <c r="AI343">
        <v>14</v>
      </c>
      <c r="AJ343">
        <v>11</v>
      </c>
      <c r="AK343">
        <v>67</v>
      </c>
      <c r="AL343" t="s">
        <v>2382</v>
      </c>
      <c r="AM343" t="s">
        <v>227</v>
      </c>
      <c r="AN343" t="s">
        <v>2383</v>
      </c>
      <c r="AO343" t="s">
        <v>6636</v>
      </c>
      <c r="AP343" t="s">
        <v>6637</v>
      </c>
      <c r="AQ343" t="s">
        <v>74</v>
      </c>
      <c r="AR343" t="s">
        <v>6638</v>
      </c>
      <c r="AS343" t="s">
        <v>6639</v>
      </c>
      <c r="AT343" t="s">
        <v>1298</v>
      </c>
      <c r="AU343">
        <v>2022</v>
      </c>
      <c r="AV343">
        <v>48</v>
      </c>
      <c r="AW343">
        <v>1</v>
      </c>
      <c r="AX343" t="s">
        <v>74</v>
      </c>
      <c r="AY343" t="s">
        <v>74</v>
      </c>
      <c r="AZ343" t="s">
        <v>74</v>
      </c>
      <c r="BA343" t="s">
        <v>74</v>
      </c>
      <c r="BB343" t="s">
        <v>74</v>
      </c>
      <c r="BC343" t="s">
        <v>74</v>
      </c>
      <c r="BD343">
        <v>138</v>
      </c>
      <c r="BE343" t="s">
        <v>6640</v>
      </c>
      <c r="BF343" t="str">
        <f>HYPERLINK("http://dx.doi.org/10.1186/s13052-022-01308-4","http://dx.doi.org/10.1186/s13052-022-01308-4")</f>
        <v>http://dx.doi.org/10.1186/s13052-022-01308-4</v>
      </c>
      <c r="BG343" t="s">
        <v>74</v>
      </c>
      <c r="BH343" t="s">
        <v>74</v>
      </c>
      <c r="BI343">
        <v>9</v>
      </c>
      <c r="BJ343" t="s">
        <v>6641</v>
      </c>
      <c r="BK343" t="s">
        <v>209</v>
      </c>
      <c r="BL343" t="s">
        <v>6641</v>
      </c>
      <c r="BM343" t="s">
        <v>6642</v>
      </c>
      <c r="BN343">
        <v>35907912</v>
      </c>
      <c r="BO343" t="s">
        <v>552</v>
      </c>
      <c r="BP343" t="s">
        <v>74</v>
      </c>
      <c r="BQ343" t="s">
        <v>74</v>
      </c>
      <c r="BR343" t="s">
        <v>102</v>
      </c>
      <c r="BS343" t="s">
        <v>6643</v>
      </c>
      <c r="BT343" t="str">
        <f>HYPERLINK("https%3A%2F%2Fwww.webofscience.com%2Fwos%2Fwoscc%2Ffull-record%2FWOS:000833512000002","View Full Record in Web of Science")</f>
        <v>View Full Record in Web of Science</v>
      </c>
    </row>
    <row r="344" spans="1:72" x14ac:dyDescent="0.35">
      <c r="A344" t="s">
        <v>128</v>
      </c>
      <c r="B344" t="s">
        <v>6644</v>
      </c>
      <c r="C344" t="s">
        <v>74</v>
      </c>
      <c r="D344" t="s">
        <v>74</v>
      </c>
      <c r="E344" t="s">
        <v>1677</v>
      </c>
      <c r="F344" t="s">
        <v>6645</v>
      </c>
      <c r="G344" t="s">
        <v>74</v>
      </c>
      <c r="H344" t="s">
        <v>74</v>
      </c>
      <c r="I344" t="s">
        <v>6646</v>
      </c>
      <c r="J344" t="s">
        <v>6647</v>
      </c>
      <c r="K344" t="s">
        <v>6648</v>
      </c>
      <c r="L344" t="s">
        <v>74</v>
      </c>
      <c r="M344" t="s">
        <v>78</v>
      </c>
      <c r="N344" t="s">
        <v>135</v>
      </c>
      <c r="O344" t="s">
        <v>6649</v>
      </c>
      <c r="P344" t="s">
        <v>6650</v>
      </c>
      <c r="Q344" t="s">
        <v>6651</v>
      </c>
      <c r="R344" t="s">
        <v>6652</v>
      </c>
      <c r="S344" t="s">
        <v>74</v>
      </c>
      <c r="T344" t="s">
        <v>74</v>
      </c>
      <c r="U344" t="s">
        <v>6653</v>
      </c>
      <c r="V344" t="s">
        <v>6654</v>
      </c>
      <c r="W344" t="s">
        <v>6655</v>
      </c>
      <c r="X344" t="s">
        <v>6656</v>
      </c>
      <c r="Y344" t="s">
        <v>6657</v>
      </c>
      <c r="Z344" t="s">
        <v>6658</v>
      </c>
      <c r="AA344" t="s">
        <v>6659</v>
      </c>
      <c r="AB344" t="s">
        <v>6660</v>
      </c>
      <c r="AC344" t="s">
        <v>6661</v>
      </c>
      <c r="AD344" t="s">
        <v>6662</v>
      </c>
      <c r="AE344" t="s">
        <v>6663</v>
      </c>
      <c r="AF344" t="s">
        <v>74</v>
      </c>
      <c r="AG344">
        <v>60</v>
      </c>
      <c r="AH344">
        <v>1</v>
      </c>
      <c r="AI344">
        <v>1</v>
      </c>
      <c r="AJ344">
        <v>4</v>
      </c>
      <c r="AK344">
        <v>10</v>
      </c>
      <c r="AL344" t="s">
        <v>1677</v>
      </c>
      <c r="AM344" t="s">
        <v>666</v>
      </c>
      <c r="AN344" t="s">
        <v>1692</v>
      </c>
      <c r="AO344" t="s">
        <v>6664</v>
      </c>
      <c r="AP344" t="s">
        <v>74</v>
      </c>
      <c r="AQ344" t="s">
        <v>6665</v>
      </c>
      <c r="AR344" t="s">
        <v>6666</v>
      </c>
      <c r="AS344" t="s">
        <v>74</v>
      </c>
      <c r="AT344" t="s">
        <v>74</v>
      </c>
      <c r="AU344">
        <v>2022</v>
      </c>
      <c r="AV344" t="s">
        <v>74</v>
      </c>
      <c r="AW344" t="s">
        <v>74</v>
      </c>
      <c r="AX344" t="s">
        <v>74</v>
      </c>
      <c r="AY344" t="s">
        <v>74</v>
      </c>
      <c r="AZ344" t="s">
        <v>74</v>
      </c>
      <c r="BA344" t="s">
        <v>74</v>
      </c>
      <c r="BB344">
        <v>2495</v>
      </c>
      <c r="BC344">
        <v>2505</v>
      </c>
      <c r="BD344" t="s">
        <v>74</v>
      </c>
      <c r="BE344" t="s">
        <v>6667</v>
      </c>
      <c r="BF344" t="str">
        <f>HYPERLINK("http://dx.doi.org/10.1109/CVPRW56347.2022.00279","http://dx.doi.org/10.1109/CVPRW56347.2022.00279")</f>
        <v>http://dx.doi.org/10.1109/CVPRW56347.2022.00279</v>
      </c>
      <c r="BG344" t="s">
        <v>74</v>
      </c>
      <c r="BH344" t="s">
        <v>74</v>
      </c>
      <c r="BI344">
        <v>11</v>
      </c>
      <c r="BJ344" t="s">
        <v>6668</v>
      </c>
      <c r="BK344" t="s">
        <v>723</v>
      </c>
      <c r="BL344" t="s">
        <v>210</v>
      </c>
      <c r="BM344" t="s">
        <v>6669</v>
      </c>
      <c r="BN344" t="s">
        <v>74</v>
      </c>
      <c r="BO344" t="s">
        <v>74</v>
      </c>
      <c r="BP344" t="s">
        <v>74</v>
      </c>
      <c r="BQ344" t="s">
        <v>74</v>
      </c>
      <c r="BR344" t="s">
        <v>102</v>
      </c>
      <c r="BS344" t="s">
        <v>6670</v>
      </c>
      <c r="BT344" t="str">
        <f>HYPERLINK("https%3A%2F%2Fwww.webofscience.com%2Fwos%2Fwoscc%2Ffull-record%2FWOS:000861612702072","View Full Record in Web of Science")</f>
        <v>View Full Record in Web of Science</v>
      </c>
    </row>
    <row r="345" spans="1:72" x14ac:dyDescent="0.35">
      <c r="A345" t="s">
        <v>72</v>
      </c>
      <c r="B345" t="s">
        <v>6671</v>
      </c>
      <c r="C345" t="s">
        <v>74</v>
      </c>
      <c r="D345" t="s">
        <v>74</v>
      </c>
      <c r="E345" t="s">
        <v>74</v>
      </c>
      <c r="F345" t="s">
        <v>6672</v>
      </c>
      <c r="G345" t="s">
        <v>74</v>
      </c>
      <c r="H345" t="s">
        <v>74</v>
      </c>
      <c r="I345" t="s">
        <v>6673</v>
      </c>
      <c r="J345" t="s">
        <v>6674</v>
      </c>
      <c r="K345" t="s">
        <v>74</v>
      </c>
      <c r="L345" t="s">
        <v>74</v>
      </c>
      <c r="M345" t="s">
        <v>78</v>
      </c>
      <c r="N345" t="s">
        <v>108</v>
      </c>
      <c r="O345" t="s">
        <v>74</v>
      </c>
      <c r="P345" t="s">
        <v>74</v>
      </c>
      <c r="Q345" t="s">
        <v>74</v>
      </c>
      <c r="R345" t="s">
        <v>74</v>
      </c>
      <c r="S345" t="s">
        <v>74</v>
      </c>
      <c r="T345" t="s">
        <v>6675</v>
      </c>
      <c r="U345" t="s">
        <v>74</v>
      </c>
      <c r="V345" t="s">
        <v>6676</v>
      </c>
      <c r="W345" t="s">
        <v>6677</v>
      </c>
      <c r="X345" t="s">
        <v>6678</v>
      </c>
      <c r="Y345" t="s">
        <v>6679</v>
      </c>
      <c r="Z345" t="s">
        <v>6680</v>
      </c>
      <c r="AA345" t="s">
        <v>6681</v>
      </c>
      <c r="AB345" t="s">
        <v>6682</v>
      </c>
      <c r="AC345" t="s">
        <v>6683</v>
      </c>
      <c r="AD345" t="s">
        <v>6683</v>
      </c>
      <c r="AE345" t="s">
        <v>6684</v>
      </c>
      <c r="AF345" t="s">
        <v>74</v>
      </c>
      <c r="AG345">
        <v>60</v>
      </c>
      <c r="AH345">
        <v>1</v>
      </c>
      <c r="AI345">
        <v>1</v>
      </c>
      <c r="AJ345">
        <v>3</v>
      </c>
      <c r="AK345">
        <v>13</v>
      </c>
      <c r="AL345" t="s">
        <v>665</v>
      </c>
      <c r="AM345" t="s">
        <v>666</v>
      </c>
      <c r="AN345" t="s">
        <v>667</v>
      </c>
      <c r="AO345" t="s">
        <v>6685</v>
      </c>
      <c r="AP345" t="s">
        <v>6686</v>
      </c>
      <c r="AQ345" t="s">
        <v>74</v>
      </c>
      <c r="AR345" t="s">
        <v>6687</v>
      </c>
      <c r="AS345" t="s">
        <v>6688</v>
      </c>
      <c r="AT345" t="s">
        <v>455</v>
      </c>
      <c r="AU345">
        <v>2023</v>
      </c>
      <c r="AV345">
        <v>46</v>
      </c>
      <c r="AW345">
        <v>3</v>
      </c>
      <c r="AX345" t="s">
        <v>74</v>
      </c>
      <c r="AY345" t="s">
        <v>74</v>
      </c>
      <c r="AZ345" t="s">
        <v>74</v>
      </c>
      <c r="BA345" t="s">
        <v>74</v>
      </c>
      <c r="BB345">
        <v>281</v>
      </c>
      <c r="BC345">
        <v>305</v>
      </c>
      <c r="BD345" t="s">
        <v>74</v>
      </c>
      <c r="BE345" t="s">
        <v>6689</v>
      </c>
      <c r="BF345" t="str">
        <f>HYPERLINK("http://dx.doi.org/10.1007/s10603-023-09545-8","http://dx.doi.org/10.1007/s10603-023-09545-8")</f>
        <v>http://dx.doi.org/10.1007/s10603-023-09545-8</v>
      </c>
      <c r="BG345" t="s">
        <v>74</v>
      </c>
      <c r="BH345" t="s">
        <v>1180</v>
      </c>
      <c r="BI345">
        <v>25</v>
      </c>
      <c r="BJ345" t="s">
        <v>1597</v>
      </c>
      <c r="BK345" t="s">
        <v>125</v>
      </c>
      <c r="BL345" t="s">
        <v>480</v>
      </c>
      <c r="BM345" t="s">
        <v>6690</v>
      </c>
      <c r="BN345" t="s">
        <v>74</v>
      </c>
      <c r="BO345" t="s">
        <v>156</v>
      </c>
      <c r="BP345" t="s">
        <v>74</v>
      </c>
      <c r="BQ345" t="s">
        <v>74</v>
      </c>
      <c r="BR345" t="s">
        <v>102</v>
      </c>
      <c r="BS345" t="s">
        <v>6691</v>
      </c>
      <c r="BT345" t="str">
        <f>HYPERLINK("https%3A%2F%2Fwww.webofscience.com%2Fwos%2Fwoscc%2Ffull-record%2FWOS:001031419600001","View Full Record in Web of Science")</f>
        <v>View Full Record in Web of Science</v>
      </c>
    </row>
    <row r="346" spans="1:72" x14ac:dyDescent="0.35">
      <c r="A346" t="s">
        <v>72</v>
      </c>
      <c r="B346" t="s">
        <v>6692</v>
      </c>
      <c r="C346" t="s">
        <v>74</v>
      </c>
      <c r="D346" t="s">
        <v>74</v>
      </c>
      <c r="E346" t="s">
        <v>74</v>
      </c>
      <c r="F346" t="s">
        <v>6693</v>
      </c>
      <c r="G346" t="s">
        <v>74</v>
      </c>
      <c r="H346" t="s">
        <v>74</v>
      </c>
      <c r="I346" t="s">
        <v>6694</v>
      </c>
      <c r="J346" t="s">
        <v>6695</v>
      </c>
      <c r="K346" t="s">
        <v>74</v>
      </c>
      <c r="L346" t="s">
        <v>74</v>
      </c>
      <c r="M346" t="s">
        <v>78</v>
      </c>
      <c r="N346" t="s">
        <v>108</v>
      </c>
      <c r="O346" t="s">
        <v>74</v>
      </c>
      <c r="P346" t="s">
        <v>74</v>
      </c>
      <c r="Q346" t="s">
        <v>74</v>
      </c>
      <c r="R346" t="s">
        <v>74</v>
      </c>
      <c r="S346" t="s">
        <v>74</v>
      </c>
      <c r="T346" t="s">
        <v>6696</v>
      </c>
      <c r="U346" t="s">
        <v>6697</v>
      </c>
      <c r="V346" t="s">
        <v>6698</v>
      </c>
      <c r="W346" t="s">
        <v>6699</v>
      </c>
      <c r="X346" t="s">
        <v>6700</v>
      </c>
      <c r="Y346" t="s">
        <v>6701</v>
      </c>
      <c r="Z346" t="s">
        <v>6702</v>
      </c>
      <c r="AA346" t="s">
        <v>74</v>
      </c>
      <c r="AB346" t="s">
        <v>6703</v>
      </c>
      <c r="AC346" t="s">
        <v>74</v>
      </c>
      <c r="AD346" t="s">
        <v>74</v>
      </c>
      <c r="AE346" t="s">
        <v>74</v>
      </c>
      <c r="AF346" t="s">
        <v>74</v>
      </c>
      <c r="AG346">
        <v>34</v>
      </c>
      <c r="AH346">
        <v>0</v>
      </c>
      <c r="AI346">
        <v>0</v>
      </c>
      <c r="AJ346">
        <v>33</v>
      </c>
      <c r="AK346">
        <v>33</v>
      </c>
      <c r="AL346" t="s">
        <v>6704</v>
      </c>
      <c r="AM346" t="s">
        <v>6705</v>
      </c>
      <c r="AN346" t="s">
        <v>6706</v>
      </c>
      <c r="AO346" t="s">
        <v>6707</v>
      </c>
      <c r="AP346" t="s">
        <v>74</v>
      </c>
      <c r="AQ346" t="s">
        <v>74</v>
      </c>
      <c r="AR346" t="s">
        <v>6708</v>
      </c>
      <c r="AS346" t="s">
        <v>6709</v>
      </c>
      <c r="AT346" t="s">
        <v>745</v>
      </c>
      <c r="AU346">
        <v>2024</v>
      </c>
      <c r="AV346">
        <v>71</v>
      </c>
      <c r="AW346">
        <v>2</v>
      </c>
      <c r="AX346" t="s">
        <v>74</v>
      </c>
      <c r="AY346" t="s">
        <v>74</v>
      </c>
      <c r="AZ346" t="s">
        <v>74</v>
      </c>
      <c r="BA346" t="s">
        <v>74</v>
      </c>
      <c r="BB346">
        <v>5</v>
      </c>
      <c r="BC346">
        <v>25</v>
      </c>
      <c r="BD346" t="s">
        <v>74</v>
      </c>
      <c r="BE346" t="s">
        <v>6710</v>
      </c>
      <c r="BF346" t="str">
        <f>HYPERLINK("http://dx.doi.org/10.55177/tc152088","http://dx.doi.org/10.55177/tc152088")</f>
        <v>http://dx.doi.org/10.55177/tc152088</v>
      </c>
      <c r="BG346" t="s">
        <v>74</v>
      </c>
      <c r="BH346" t="s">
        <v>74</v>
      </c>
      <c r="BI346">
        <v>21</v>
      </c>
      <c r="BJ346" t="s">
        <v>124</v>
      </c>
      <c r="BK346" t="s">
        <v>99</v>
      </c>
      <c r="BL346" t="s">
        <v>124</v>
      </c>
      <c r="BM346" t="s">
        <v>6711</v>
      </c>
      <c r="BN346" t="s">
        <v>74</v>
      </c>
      <c r="BO346" t="s">
        <v>74</v>
      </c>
      <c r="BP346" t="s">
        <v>74</v>
      </c>
      <c r="BQ346" t="s">
        <v>74</v>
      </c>
      <c r="BR346" t="s">
        <v>102</v>
      </c>
      <c r="BS346" t="s">
        <v>6712</v>
      </c>
      <c r="BT346" t="str">
        <f>HYPERLINK("https%3A%2F%2Fwww.webofscience.com%2Fwos%2Fwoscc%2Ffull-record%2FWOS:001253673400002","View Full Record in Web of Science")</f>
        <v>View Full Record in Web of Science</v>
      </c>
    </row>
    <row r="347" spans="1:72" x14ac:dyDescent="0.35">
      <c r="A347" t="s">
        <v>72</v>
      </c>
      <c r="B347" t="s">
        <v>6713</v>
      </c>
      <c r="C347" t="s">
        <v>74</v>
      </c>
      <c r="D347" t="s">
        <v>74</v>
      </c>
      <c r="E347" t="s">
        <v>74</v>
      </c>
      <c r="F347" t="s">
        <v>6714</v>
      </c>
      <c r="G347" t="s">
        <v>74</v>
      </c>
      <c r="H347" t="s">
        <v>74</v>
      </c>
      <c r="I347" t="s">
        <v>6715</v>
      </c>
      <c r="J347" t="s">
        <v>6082</v>
      </c>
      <c r="K347" t="s">
        <v>74</v>
      </c>
      <c r="L347" t="s">
        <v>74</v>
      </c>
      <c r="M347" t="s">
        <v>78</v>
      </c>
      <c r="N347" t="s">
        <v>108</v>
      </c>
      <c r="O347" t="s">
        <v>74</v>
      </c>
      <c r="P347" t="s">
        <v>74</v>
      </c>
      <c r="Q347" t="s">
        <v>74</v>
      </c>
      <c r="R347" t="s">
        <v>74</v>
      </c>
      <c r="S347" t="s">
        <v>74</v>
      </c>
      <c r="T347" t="s">
        <v>6716</v>
      </c>
      <c r="U347" t="s">
        <v>6717</v>
      </c>
      <c r="V347" t="s">
        <v>6718</v>
      </c>
      <c r="W347" t="s">
        <v>6719</v>
      </c>
      <c r="X347" t="s">
        <v>6720</v>
      </c>
      <c r="Y347" t="s">
        <v>6721</v>
      </c>
      <c r="Z347" t="s">
        <v>6722</v>
      </c>
      <c r="AA347" t="s">
        <v>74</v>
      </c>
      <c r="AB347" t="s">
        <v>74</v>
      </c>
      <c r="AC347" t="s">
        <v>6723</v>
      </c>
      <c r="AD347" t="s">
        <v>6724</v>
      </c>
      <c r="AE347" t="s">
        <v>6725</v>
      </c>
      <c r="AF347" t="s">
        <v>74</v>
      </c>
      <c r="AG347">
        <v>40</v>
      </c>
      <c r="AH347">
        <v>0</v>
      </c>
      <c r="AI347">
        <v>0</v>
      </c>
      <c r="AJ347">
        <v>5</v>
      </c>
      <c r="AK347">
        <v>5</v>
      </c>
      <c r="AL347" t="s">
        <v>226</v>
      </c>
      <c r="AM347" t="s">
        <v>227</v>
      </c>
      <c r="AN347" t="s">
        <v>228</v>
      </c>
      <c r="AO347" t="s">
        <v>6092</v>
      </c>
      <c r="AP347" t="s">
        <v>74</v>
      </c>
      <c r="AQ347" t="s">
        <v>74</v>
      </c>
      <c r="AR347" t="s">
        <v>6093</v>
      </c>
      <c r="AS347" t="s">
        <v>6094</v>
      </c>
      <c r="AT347" t="s">
        <v>74</v>
      </c>
      <c r="AU347">
        <v>2024</v>
      </c>
      <c r="AV347">
        <v>10</v>
      </c>
      <c r="AW347" t="s">
        <v>74</v>
      </c>
      <c r="AX347" t="s">
        <v>74</v>
      </c>
      <c r="AY347" t="s">
        <v>74</v>
      </c>
      <c r="AZ347" t="s">
        <v>74</v>
      </c>
      <c r="BA347" t="s">
        <v>74</v>
      </c>
      <c r="BB347" t="s">
        <v>74</v>
      </c>
      <c r="BC347" t="s">
        <v>74</v>
      </c>
      <c r="BD347">
        <v>2.0552076241277688E+16</v>
      </c>
      <c r="BE347" t="s">
        <v>6726</v>
      </c>
      <c r="BF347" t="str">
        <f>HYPERLINK("http://dx.doi.org/10.1177/20552076241277688","http://dx.doi.org/10.1177/20552076241277688")</f>
        <v>http://dx.doi.org/10.1177/20552076241277688</v>
      </c>
      <c r="BG347" t="s">
        <v>74</v>
      </c>
      <c r="BH347" t="s">
        <v>74</v>
      </c>
      <c r="BI347">
        <v>14</v>
      </c>
      <c r="BJ347" t="s">
        <v>6096</v>
      </c>
      <c r="BK347" t="s">
        <v>182</v>
      </c>
      <c r="BL347" t="s">
        <v>6097</v>
      </c>
      <c r="BM347" t="s">
        <v>6727</v>
      </c>
      <c r="BN347">
        <v>39224798</v>
      </c>
      <c r="BO347" t="s">
        <v>235</v>
      </c>
      <c r="BP347" t="s">
        <v>74</v>
      </c>
      <c r="BQ347" t="s">
        <v>74</v>
      </c>
      <c r="BR347" t="s">
        <v>102</v>
      </c>
      <c r="BS347" t="s">
        <v>6728</v>
      </c>
      <c r="BT347" t="str">
        <f>HYPERLINK("https%3A%2F%2Fwww.webofscience.com%2Fwos%2Fwoscc%2Ffull-record%2FWOS:001302923300001","View Full Record in Web of Science")</f>
        <v>View Full Record in Web of Science</v>
      </c>
    </row>
    <row r="348" spans="1:72" x14ac:dyDescent="0.35">
      <c r="A348" t="s">
        <v>128</v>
      </c>
      <c r="B348" t="s">
        <v>6729</v>
      </c>
      <c r="C348" t="s">
        <v>74</v>
      </c>
      <c r="D348" t="s">
        <v>74</v>
      </c>
      <c r="E348" t="s">
        <v>1677</v>
      </c>
      <c r="F348" t="s">
        <v>6730</v>
      </c>
      <c r="G348" t="s">
        <v>74</v>
      </c>
      <c r="H348" t="s">
        <v>74</v>
      </c>
      <c r="I348" t="s">
        <v>6731</v>
      </c>
      <c r="J348" t="s">
        <v>6732</v>
      </c>
      <c r="K348" t="s">
        <v>6733</v>
      </c>
      <c r="L348" t="s">
        <v>74</v>
      </c>
      <c r="M348" t="s">
        <v>78</v>
      </c>
      <c r="N348" t="s">
        <v>135</v>
      </c>
      <c r="O348" t="s">
        <v>6734</v>
      </c>
      <c r="P348" t="s">
        <v>6735</v>
      </c>
      <c r="Q348" t="s">
        <v>6736</v>
      </c>
      <c r="R348" t="s">
        <v>6737</v>
      </c>
      <c r="S348" t="s">
        <v>6738</v>
      </c>
      <c r="T348" t="s">
        <v>6739</v>
      </c>
      <c r="U348" t="s">
        <v>74</v>
      </c>
      <c r="V348" t="s">
        <v>6740</v>
      </c>
      <c r="W348" t="s">
        <v>6741</v>
      </c>
      <c r="X348" t="s">
        <v>6742</v>
      </c>
      <c r="Y348" t="s">
        <v>6743</v>
      </c>
      <c r="Z348" t="s">
        <v>6744</v>
      </c>
      <c r="AA348" t="s">
        <v>6745</v>
      </c>
      <c r="AB348" t="s">
        <v>6746</v>
      </c>
      <c r="AC348" t="s">
        <v>6747</v>
      </c>
      <c r="AD348" t="s">
        <v>6748</v>
      </c>
      <c r="AE348" t="s">
        <v>6749</v>
      </c>
      <c r="AF348" t="s">
        <v>74</v>
      </c>
      <c r="AG348">
        <v>6</v>
      </c>
      <c r="AH348">
        <v>6</v>
      </c>
      <c r="AI348">
        <v>6</v>
      </c>
      <c r="AJ348">
        <v>0</v>
      </c>
      <c r="AK348">
        <v>4</v>
      </c>
      <c r="AL348" t="s">
        <v>1677</v>
      </c>
      <c r="AM348" t="s">
        <v>666</v>
      </c>
      <c r="AN348" t="s">
        <v>1692</v>
      </c>
      <c r="AO348" t="s">
        <v>6750</v>
      </c>
      <c r="AP348" t="s">
        <v>74</v>
      </c>
      <c r="AQ348" t="s">
        <v>6751</v>
      </c>
      <c r="AR348" t="s">
        <v>6752</v>
      </c>
      <c r="AS348" t="s">
        <v>74</v>
      </c>
      <c r="AT348" t="s">
        <v>74</v>
      </c>
      <c r="AU348">
        <v>2020</v>
      </c>
      <c r="AV348" t="s">
        <v>74</v>
      </c>
      <c r="AW348" t="s">
        <v>74</v>
      </c>
      <c r="AX348" t="s">
        <v>74</v>
      </c>
      <c r="AY348" t="s">
        <v>74</v>
      </c>
      <c r="AZ348" t="s">
        <v>74</v>
      </c>
      <c r="BA348" t="s">
        <v>74</v>
      </c>
      <c r="BB348">
        <v>342</v>
      </c>
      <c r="BC348">
        <v>346</v>
      </c>
      <c r="BD348" t="s">
        <v>74</v>
      </c>
      <c r="BE348" t="s">
        <v>6753</v>
      </c>
      <c r="BF348" t="str">
        <f>HYPERLINK("http://dx.doi.org/10.1109/rivf48685.2020.9140739","http://dx.doi.org/10.1109/rivf48685.2020.9140739")</f>
        <v>http://dx.doi.org/10.1109/rivf48685.2020.9140739</v>
      </c>
      <c r="BG348" t="s">
        <v>74</v>
      </c>
      <c r="BH348" t="s">
        <v>74</v>
      </c>
      <c r="BI348">
        <v>5</v>
      </c>
      <c r="BJ348" t="s">
        <v>3086</v>
      </c>
      <c r="BK348" t="s">
        <v>723</v>
      </c>
      <c r="BL348" t="s">
        <v>1113</v>
      </c>
      <c r="BM348" t="s">
        <v>6754</v>
      </c>
      <c r="BN348" t="s">
        <v>74</v>
      </c>
      <c r="BO348" t="s">
        <v>74</v>
      </c>
      <c r="BP348" t="s">
        <v>74</v>
      </c>
      <c r="BQ348" t="s">
        <v>74</v>
      </c>
      <c r="BR348" t="s">
        <v>102</v>
      </c>
      <c r="BS348" t="s">
        <v>6755</v>
      </c>
      <c r="BT348" t="str">
        <f>HYPERLINK("https%3A%2F%2Fwww.webofscience.com%2Fwos%2Fwoscc%2Ffull-record%2FWOS:000648838400058","View Full Record in Web of Science")</f>
        <v>View Full Record in Web of Science</v>
      </c>
    </row>
    <row r="349" spans="1:72" x14ac:dyDescent="0.35">
      <c r="A349" t="s">
        <v>72</v>
      </c>
      <c r="B349" t="s">
        <v>6756</v>
      </c>
      <c r="C349" t="s">
        <v>74</v>
      </c>
      <c r="D349" t="s">
        <v>74</v>
      </c>
      <c r="E349" t="s">
        <v>74</v>
      </c>
      <c r="F349" t="s">
        <v>6757</v>
      </c>
      <c r="G349" t="s">
        <v>74</v>
      </c>
      <c r="H349" t="s">
        <v>74</v>
      </c>
      <c r="I349" t="s">
        <v>6758</v>
      </c>
      <c r="J349" t="s">
        <v>6759</v>
      </c>
      <c r="K349" t="s">
        <v>74</v>
      </c>
      <c r="L349" t="s">
        <v>74</v>
      </c>
      <c r="M349" t="s">
        <v>78</v>
      </c>
      <c r="N349" t="s">
        <v>108</v>
      </c>
      <c r="O349" t="s">
        <v>74</v>
      </c>
      <c r="P349" t="s">
        <v>74</v>
      </c>
      <c r="Q349" t="s">
        <v>74</v>
      </c>
      <c r="R349" t="s">
        <v>74</v>
      </c>
      <c r="S349" t="s">
        <v>74</v>
      </c>
      <c r="T349" t="s">
        <v>6760</v>
      </c>
      <c r="U349" t="s">
        <v>6202</v>
      </c>
      <c r="V349" t="s">
        <v>6761</v>
      </c>
      <c r="W349" t="s">
        <v>6762</v>
      </c>
      <c r="X349" t="s">
        <v>6763</v>
      </c>
      <c r="Y349" t="s">
        <v>6764</v>
      </c>
      <c r="Z349" t="s">
        <v>6765</v>
      </c>
      <c r="AA349" t="s">
        <v>6766</v>
      </c>
      <c r="AB349" t="s">
        <v>6767</v>
      </c>
      <c r="AC349" t="s">
        <v>6768</v>
      </c>
      <c r="AD349" t="s">
        <v>6769</v>
      </c>
      <c r="AE349" t="s">
        <v>6770</v>
      </c>
      <c r="AF349" t="s">
        <v>74</v>
      </c>
      <c r="AG349">
        <v>59</v>
      </c>
      <c r="AH349">
        <v>7</v>
      </c>
      <c r="AI349">
        <v>8</v>
      </c>
      <c r="AJ349">
        <v>0</v>
      </c>
      <c r="AK349">
        <v>40</v>
      </c>
      <c r="AL349" t="s">
        <v>88</v>
      </c>
      <c r="AM349" t="s">
        <v>89</v>
      </c>
      <c r="AN349" t="s">
        <v>90</v>
      </c>
      <c r="AO349" t="s">
        <v>6771</v>
      </c>
      <c r="AP349" t="s">
        <v>6772</v>
      </c>
      <c r="AQ349" t="s">
        <v>74</v>
      </c>
      <c r="AR349" t="s">
        <v>6773</v>
      </c>
      <c r="AS349" t="s">
        <v>6774</v>
      </c>
      <c r="AT349" t="s">
        <v>1001</v>
      </c>
      <c r="AU349">
        <v>2023</v>
      </c>
      <c r="AV349">
        <v>29</v>
      </c>
      <c r="AW349">
        <v>3</v>
      </c>
      <c r="AX349" t="s">
        <v>74</v>
      </c>
      <c r="AY349" t="s">
        <v>74</v>
      </c>
      <c r="AZ349" t="s">
        <v>74</v>
      </c>
      <c r="BA349" t="s">
        <v>74</v>
      </c>
      <c r="BB349">
        <v>1134</v>
      </c>
      <c r="BC349">
        <v>1153</v>
      </c>
      <c r="BD349" t="s">
        <v>74</v>
      </c>
      <c r="BE349" t="s">
        <v>6775</v>
      </c>
      <c r="BF349" t="str">
        <f>HYPERLINK("http://dx.doi.org/10.1080/13229400.2022.2032275","http://dx.doi.org/10.1080/13229400.2022.2032275")</f>
        <v>http://dx.doi.org/10.1080/13229400.2022.2032275</v>
      </c>
      <c r="BG349" t="s">
        <v>74</v>
      </c>
      <c r="BH349" t="s">
        <v>259</v>
      </c>
      <c r="BI349">
        <v>20</v>
      </c>
      <c r="BJ349" t="s">
        <v>6776</v>
      </c>
      <c r="BK349" t="s">
        <v>99</v>
      </c>
      <c r="BL349" t="s">
        <v>6776</v>
      </c>
      <c r="BM349" t="s">
        <v>6777</v>
      </c>
      <c r="BN349" t="s">
        <v>74</v>
      </c>
      <c r="BO349" t="s">
        <v>6778</v>
      </c>
      <c r="BP349" t="s">
        <v>74</v>
      </c>
      <c r="BQ349" t="s">
        <v>74</v>
      </c>
      <c r="BR349" t="s">
        <v>102</v>
      </c>
      <c r="BS349" t="s">
        <v>6779</v>
      </c>
      <c r="BT349" t="str">
        <f>HYPERLINK("https%3A%2F%2Fwww.webofscience.com%2Fwos%2Fwoscc%2Ffull-record%2FWOS:000750757700001","View Full Record in Web of Science")</f>
        <v>View Full Record in Web of Science</v>
      </c>
    </row>
    <row r="350" spans="1:72" x14ac:dyDescent="0.35">
      <c r="A350" t="s">
        <v>72</v>
      </c>
      <c r="B350" t="s">
        <v>6780</v>
      </c>
      <c r="C350" t="s">
        <v>74</v>
      </c>
      <c r="D350" t="s">
        <v>74</v>
      </c>
      <c r="E350" t="s">
        <v>74</v>
      </c>
      <c r="F350" t="s">
        <v>6781</v>
      </c>
      <c r="G350" t="s">
        <v>74</v>
      </c>
      <c r="H350" t="s">
        <v>74</v>
      </c>
      <c r="I350" t="s">
        <v>6782</v>
      </c>
      <c r="J350" t="s">
        <v>6783</v>
      </c>
      <c r="K350" t="s">
        <v>74</v>
      </c>
      <c r="L350" t="s">
        <v>74</v>
      </c>
      <c r="M350" t="s">
        <v>78</v>
      </c>
      <c r="N350" t="s">
        <v>108</v>
      </c>
      <c r="O350" t="s">
        <v>74</v>
      </c>
      <c r="P350" t="s">
        <v>74</v>
      </c>
      <c r="Q350" t="s">
        <v>74</v>
      </c>
      <c r="R350" t="s">
        <v>74</v>
      </c>
      <c r="S350" t="s">
        <v>74</v>
      </c>
      <c r="T350" t="s">
        <v>6784</v>
      </c>
      <c r="U350" t="s">
        <v>74</v>
      </c>
      <c r="V350" t="s">
        <v>6785</v>
      </c>
      <c r="W350" t="s">
        <v>6786</v>
      </c>
      <c r="X350" t="s">
        <v>6787</v>
      </c>
      <c r="Y350" t="s">
        <v>6788</v>
      </c>
      <c r="Z350" t="s">
        <v>3097</v>
      </c>
      <c r="AA350" t="s">
        <v>6789</v>
      </c>
      <c r="AB350" t="s">
        <v>6790</v>
      </c>
      <c r="AC350" t="s">
        <v>3100</v>
      </c>
      <c r="AD350" t="s">
        <v>3101</v>
      </c>
      <c r="AE350" t="s">
        <v>6791</v>
      </c>
      <c r="AF350" t="s">
        <v>74</v>
      </c>
      <c r="AG350">
        <v>92</v>
      </c>
      <c r="AH350">
        <v>85</v>
      </c>
      <c r="AI350">
        <v>97</v>
      </c>
      <c r="AJ350">
        <v>12</v>
      </c>
      <c r="AK350">
        <v>257</v>
      </c>
      <c r="AL350" t="s">
        <v>171</v>
      </c>
      <c r="AM350" t="s">
        <v>172</v>
      </c>
      <c r="AN350" t="s">
        <v>173</v>
      </c>
      <c r="AO350" t="s">
        <v>6792</v>
      </c>
      <c r="AP350" t="s">
        <v>6793</v>
      </c>
      <c r="AQ350" t="s">
        <v>74</v>
      </c>
      <c r="AR350" t="s">
        <v>6783</v>
      </c>
      <c r="AS350" t="s">
        <v>6794</v>
      </c>
      <c r="AT350" t="s">
        <v>297</v>
      </c>
      <c r="AU350">
        <v>2022</v>
      </c>
      <c r="AV350">
        <v>23</v>
      </c>
      <c r="AW350">
        <v>8</v>
      </c>
      <c r="AX350" t="s">
        <v>74</v>
      </c>
      <c r="AY350" t="s">
        <v>74</v>
      </c>
      <c r="AZ350" t="s">
        <v>74</v>
      </c>
      <c r="BA350" t="s">
        <v>74</v>
      </c>
      <c r="BB350">
        <v>1717</v>
      </c>
      <c r="BC350">
        <v>1735</v>
      </c>
      <c r="BD350">
        <v>1464884920969092</v>
      </c>
      <c r="BE350" t="s">
        <v>6795</v>
      </c>
      <c r="BF350" t="str">
        <f>HYPERLINK("http://dx.doi.org/10.1177/1464884920969092","http://dx.doi.org/10.1177/1464884920969092")</f>
        <v>http://dx.doi.org/10.1177/1464884920969092</v>
      </c>
      <c r="BG350" t="s">
        <v>74</v>
      </c>
      <c r="BH350" t="s">
        <v>6796</v>
      </c>
      <c r="BI350">
        <v>19</v>
      </c>
      <c r="BJ350" t="s">
        <v>124</v>
      </c>
      <c r="BK350" t="s">
        <v>99</v>
      </c>
      <c r="BL350" t="s">
        <v>124</v>
      </c>
      <c r="BM350" t="s">
        <v>6797</v>
      </c>
      <c r="BN350" t="s">
        <v>74</v>
      </c>
      <c r="BO350" t="s">
        <v>6798</v>
      </c>
      <c r="BP350" t="s">
        <v>74</v>
      </c>
      <c r="BQ350" t="s">
        <v>74</v>
      </c>
      <c r="BR350" t="s">
        <v>102</v>
      </c>
      <c r="BS350" t="s">
        <v>6799</v>
      </c>
      <c r="BT350" t="str">
        <f>HYPERLINK("https%3A%2F%2Fwww.webofscience.com%2Fwos%2Fwoscc%2Ffull-record%2FWOS:000598511500001","View Full Record in Web of Science")</f>
        <v>View Full Record in Web of Science</v>
      </c>
    </row>
    <row r="351" spans="1:72" x14ac:dyDescent="0.35">
      <c r="A351" t="s">
        <v>72</v>
      </c>
      <c r="B351" t="s">
        <v>6800</v>
      </c>
      <c r="C351" t="s">
        <v>74</v>
      </c>
      <c r="D351" t="s">
        <v>74</v>
      </c>
      <c r="E351" t="s">
        <v>74</v>
      </c>
      <c r="F351" t="s">
        <v>6801</v>
      </c>
      <c r="G351" t="s">
        <v>74</v>
      </c>
      <c r="H351" t="s">
        <v>74</v>
      </c>
      <c r="I351" t="s">
        <v>6802</v>
      </c>
      <c r="J351" t="s">
        <v>6803</v>
      </c>
      <c r="K351" t="s">
        <v>74</v>
      </c>
      <c r="L351" t="s">
        <v>74</v>
      </c>
      <c r="M351" t="s">
        <v>78</v>
      </c>
      <c r="N351" t="s">
        <v>79</v>
      </c>
      <c r="O351" t="s">
        <v>74</v>
      </c>
      <c r="P351" t="s">
        <v>74</v>
      </c>
      <c r="Q351" t="s">
        <v>74</v>
      </c>
      <c r="R351" t="s">
        <v>74</v>
      </c>
      <c r="S351" t="s">
        <v>74</v>
      </c>
      <c r="T351" t="s">
        <v>6804</v>
      </c>
      <c r="U351" t="s">
        <v>6805</v>
      </c>
      <c r="V351" t="s">
        <v>6806</v>
      </c>
      <c r="W351" t="s">
        <v>6807</v>
      </c>
      <c r="X351" t="s">
        <v>6808</v>
      </c>
      <c r="Y351" t="s">
        <v>6809</v>
      </c>
      <c r="Z351" t="s">
        <v>6810</v>
      </c>
      <c r="AA351" t="s">
        <v>74</v>
      </c>
      <c r="AB351" t="s">
        <v>74</v>
      </c>
      <c r="AC351" t="s">
        <v>6811</v>
      </c>
      <c r="AD351" t="s">
        <v>6812</v>
      </c>
      <c r="AE351" t="s">
        <v>6813</v>
      </c>
      <c r="AF351" t="s">
        <v>74</v>
      </c>
      <c r="AG351">
        <v>60</v>
      </c>
      <c r="AH351">
        <v>0</v>
      </c>
      <c r="AI351">
        <v>0</v>
      </c>
      <c r="AJ351">
        <v>40</v>
      </c>
      <c r="AK351">
        <v>40</v>
      </c>
      <c r="AL351" t="s">
        <v>665</v>
      </c>
      <c r="AM351" t="s">
        <v>2922</v>
      </c>
      <c r="AN351" t="s">
        <v>2923</v>
      </c>
      <c r="AO351" t="s">
        <v>6814</v>
      </c>
      <c r="AP351" t="s">
        <v>6815</v>
      </c>
      <c r="AQ351" t="s">
        <v>74</v>
      </c>
      <c r="AR351" t="s">
        <v>6816</v>
      </c>
      <c r="AS351" t="s">
        <v>6817</v>
      </c>
      <c r="AT351" t="s">
        <v>6818</v>
      </c>
      <c r="AU351">
        <v>2024</v>
      </c>
      <c r="AV351" t="s">
        <v>74</v>
      </c>
      <c r="AW351" t="s">
        <v>74</v>
      </c>
      <c r="AX351" t="s">
        <v>74</v>
      </c>
      <c r="AY351" t="s">
        <v>74</v>
      </c>
      <c r="AZ351" t="s">
        <v>74</v>
      </c>
      <c r="BA351" t="s">
        <v>74</v>
      </c>
      <c r="BB351" t="s">
        <v>74</v>
      </c>
      <c r="BC351" t="s">
        <v>74</v>
      </c>
      <c r="BD351" t="s">
        <v>74</v>
      </c>
      <c r="BE351" t="s">
        <v>6819</v>
      </c>
      <c r="BF351" t="str">
        <f>HYPERLINK("http://dx.doi.org/10.1007/s10660-024-09882-x","http://dx.doi.org/10.1007/s10660-024-09882-x")</f>
        <v>http://dx.doi.org/10.1007/s10660-024-09882-x</v>
      </c>
      <c r="BG351" t="s">
        <v>74</v>
      </c>
      <c r="BH351" t="s">
        <v>2444</v>
      </c>
      <c r="BI351">
        <v>36</v>
      </c>
      <c r="BJ351" t="s">
        <v>479</v>
      </c>
      <c r="BK351" t="s">
        <v>99</v>
      </c>
      <c r="BL351" t="s">
        <v>480</v>
      </c>
      <c r="BM351" t="s">
        <v>6820</v>
      </c>
      <c r="BN351" t="s">
        <v>74</v>
      </c>
      <c r="BO351" t="s">
        <v>74</v>
      </c>
      <c r="BP351" t="s">
        <v>74</v>
      </c>
      <c r="BQ351" t="s">
        <v>74</v>
      </c>
      <c r="BR351" t="s">
        <v>102</v>
      </c>
      <c r="BS351" t="s">
        <v>6821</v>
      </c>
      <c r="BT351" t="str">
        <f>HYPERLINK("https%3A%2F%2Fwww.webofscience.com%2Fwos%2Fwoscc%2Ffull-record%2FWOS:001290653500001","View Full Record in Web of Science")</f>
        <v>View Full Record in Web of Science</v>
      </c>
    </row>
    <row r="352" spans="1:72" x14ac:dyDescent="0.35">
      <c r="A352" t="s">
        <v>128</v>
      </c>
      <c r="B352" t="s">
        <v>6822</v>
      </c>
      <c r="C352" t="s">
        <v>74</v>
      </c>
      <c r="D352" t="s">
        <v>74</v>
      </c>
      <c r="E352" t="s">
        <v>702</v>
      </c>
      <c r="F352" t="s">
        <v>6823</v>
      </c>
      <c r="G352" t="s">
        <v>74</v>
      </c>
      <c r="H352" t="s">
        <v>74</v>
      </c>
      <c r="I352" t="s">
        <v>6824</v>
      </c>
      <c r="J352" t="s">
        <v>6825</v>
      </c>
      <c r="K352" t="s">
        <v>74</v>
      </c>
      <c r="L352" t="s">
        <v>74</v>
      </c>
      <c r="M352" t="s">
        <v>78</v>
      </c>
      <c r="N352" t="s">
        <v>135</v>
      </c>
      <c r="O352" t="s">
        <v>6826</v>
      </c>
      <c r="P352" t="s">
        <v>6827</v>
      </c>
      <c r="Q352" t="s">
        <v>6828</v>
      </c>
      <c r="R352" t="s">
        <v>6829</v>
      </c>
      <c r="S352" t="s">
        <v>74</v>
      </c>
      <c r="T352" t="s">
        <v>6830</v>
      </c>
      <c r="U352" t="s">
        <v>74</v>
      </c>
      <c r="V352" t="s">
        <v>6831</v>
      </c>
      <c r="W352" t="s">
        <v>6832</v>
      </c>
      <c r="X352" t="s">
        <v>3717</v>
      </c>
      <c r="Y352" t="s">
        <v>6833</v>
      </c>
      <c r="Z352" t="s">
        <v>6834</v>
      </c>
      <c r="AA352" t="s">
        <v>6835</v>
      </c>
      <c r="AB352" t="s">
        <v>74</v>
      </c>
      <c r="AC352" t="s">
        <v>6836</v>
      </c>
      <c r="AD352" t="s">
        <v>6837</v>
      </c>
      <c r="AE352" t="s">
        <v>6838</v>
      </c>
      <c r="AF352" t="s">
        <v>74</v>
      </c>
      <c r="AG352">
        <v>17</v>
      </c>
      <c r="AH352">
        <v>0</v>
      </c>
      <c r="AI352">
        <v>0</v>
      </c>
      <c r="AJ352">
        <v>2</v>
      </c>
      <c r="AK352">
        <v>4</v>
      </c>
      <c r="AL352" t="s">
        <v>718</v>
      </c>
      <c r="AM352" t="s">
        <v>666</v>
      </c>
      <c r="AN352" t="s">
        <v>719</v>
      </c>
      <c r="AO352" t="s">
        <v>74</v>
      </c>
      <c r="AP352" t="s">
        <v>74</v>
      </c>
      <c r="AQ352" t="s">
        <v>6839</v>
      </c>
      <c r="AR352" t="s">
        <v>74</v>
      </c>
      <c r="AS352" t="s">
        <v>74</v>
      </c>
      <c r="AT352" t="s">
        <v>74</v>
      </c>
      <c r="AU352">
        <v>2023</v>
      </c>
      <c r="AV352" t="s">
        <v>74</v>
      </c>
      <c r="AW352" t="s">
        <v>74</v>
      </c>
      <c r="AX352" t="s">
        <v>74</v>
      </c>
      <c r="AY352" t="s">
        <v>74</v>
      </c>
      <c r="AZ352" t="s">
        <v>74</v>
      </c>
      <c r="BA352" t="s">
        <v>74</v>
      </c>
      <c r="BB352">
        <v>540</v>
      </c>
      <c r="BC352">
        <v>544</v>
      </c>
      <c r="BD352" t="s">
        <v>74</v>
      </c>
      <c r="BE352" t="s">
        <v>6840</v>
      </c>
      <c r="BF352" t="str">
        <f>HYPERLINK("http://dx.doi.org/10.1145/3565287.3617636","http://dx.doi.org/10.1145/3565287.3617636")</f>
        <v>http://dx.doi.org/10.1145/3565287.3617636</v>
      </c>
      <c r="BG352" t="s">
        <v>74</v>
      </c>
      <c r="BH352" t="s">
        <v>74</v>
      </c>
      <c r="BI352">
        <v>5</v>
      </c>
      <c r="BJ352" t="s">
        <v>6841</v>
      </c>
      <c r="BK352" t="s">
        <v>723</v>
      </c>
      <c r="BL352" t="s">
        <v>1699</v>
      </c>
      <c r="BM352" t="s">
        <v>6842</v>
      </c>
      <c r="BN352" t="s">
        <v>74</v>
      </c>
      <c r="BO352" t="s">
        <v>74</v>
      </c>
      <c r="BP352" t="s">
        <v>74</v>
      </c>
      <c r="BQ352" t="s">
        <v>74</v>
      </c>
      <c r="BR352" t="s">
        <v>102</v>
      </c>
      <c r="BS352" t="s">
        <v>6843</v>
      </c>
      <c r="BT352" t="str">
        <f>HYPERLINK("https%3A%2F%2Fwww.webofscience.com%2Fwos%2Fwoscc%2Ffull-record%2FWOS:001125985600078","View Full Record in Web of Science")</f>
        <v>View Full Record in Web of Science</v>
      </c>
    </row>
    <row r="353" spans="1:72" x14ac:dyDescent="0.35">
      <c r="A353" t="s">
        <v>72</v>
      </c>
      <c r="B353" t="s">
        <v>6844</v>
      </c>
      <c r="C353" t="s">
        <v>74</v>
      </c>
      <c r="D353" t="s">
        <v>74</v>
      </c>
      <c r="E353" t="s">
        <v>74</v>
      </c>
      <c r="F353" t="s">
        <v>6845</v>
      </c>
      <c r="G353" t="s">
        <v>74</v>
      </c>
      <c r="H353" t="s">
        <v>74</v>
      </c>
      <c r="I353" t="s">
        <v>6846</v>
      </c>
      <c r="J353" t="s">
        <v>6847</v>
      </c>
      <c r="K353" t="s">
        <v>74</v>
      </c>
      <c r="L353" t="s">
        <v>74</v>
      </c>
      <c r="M353" t="s">
        <v>78</v>
      </c>
      <c r="N353" t="s">
        <v>108</v>
      </c>
      <c r="O353" t="s">
        <v>74</v>
      </c>
      <c r="P353" t="s">
        <v>74</v>
      </c>
      <c r="Q353" t="s">
        <v>74</v>
      </c>
      <c r="R353" t="s">
        <v>74</v>
      </c>
      <c r="S353" t="s">
        <v>74</v>
      </c>
      <c r="T353" t="s">
        <v>6848</v>
      </c>
      <c r="U353" t="s">
        <v>6849</v>
      </c>
      <c r="V353" t="s">
        <v>6850</v>
      </c>
      <c r="W353" t="s">
        <v>6851</v>
      </c>
      <c r="X353" t="s">
        <v>6852</v>
      </c>
      <c r="Y353" t="s">
        <v>6175</v>
      </c>
      <c r="Z353" t="s">
        <v>6853</v>
      </c>
      <c r="AA353" t="s">
        <v>6854</v>
      </c>
      <c r="AB353" t="s">
        <v>6855</v>
      </c>
      <c r="AC353" t="s">
        <v>74</v>
      </c>
      <c r="AD353" t="s">
        <v>74</v>
      </c>
      <c r="AE353" t="s">
        <v>74</v>
      </c>
      <c r="AF353" t="s">
        <v>74</v>
      </c>
      <c r="AG353">
        <v>60</v>
      </c>
      <c r="AH353">
        <v>15</v>
      </c>
      <c r="AI353">
        <v>19</v>
      </c>
      <c r="AJ353">
        <v>48</v>
      </c>
      <c r="AK353">
        <v>243</v>
      </c>
      <c r="AL353" t="s">
        <v>171</v>
      </c>
      <c r="AM353" t="s">
        <v>172</v>
      </c>
      <c r="AN353" t="s">
        <v>173</v>
      </c>
      <c r="AO353" t="s">
        <v>6856</v>
      </c>
      <c r="AP353" t="s">
        <v>6857</v>
      </c>
      <c r="AQ353" t="s">
        <v>74</v>
      </c>
      <c r="AR353" t="s">
        <v>6858</v>
      </c>
      <c r="AS353" t="s">
        <v>6859</v>
      </c>
      <c r="AT353" t="s">
        <v>1484</v>
      </c>
      <c r="AU353">
        <v>2023</v>
      </c>
      <c r="AV353">
        <v>31</v>
      </c>
      <c r="AW353">
        <v>1</v>
      </c>
      <c r="AX353" t="s">
        <v>74</v>
      </c>
      <c r="AY353" t="s">
        <v>74</v>
      </c>
      <c r="AZ353" t="s">
        <v>456</v>
      </c>
      <c r="BA353" t="s">
        <v>74</v>
      </c>
      <c r="BB353">
        <v>106</v>
      </c>
      <c r="BC353">
        <v>123</v>
      </c>
      <c r="BD353" t="s">
        <v>74</v>
      </c>
      <c r="BE353" t="s">
        <v>6860</v>
      </c>
      <c r="BF353" t="str">
        <f>HYPERLINK("http://dx.doi.org/10.1177/1069031X221129554","http://dx.doi.org/10.1177/1069031X221129554")</f>
        <v>http://dx.doi.org/10.1177/1069031X221129554</v>
      </c>
      <c r="BG353" t="s">
        <v>74</v>
      </c>
      <c r="BH353" t="s">
        <v>366</v>
      </c>
      <c r="BI353">
        <v>18</v>
      </c>
      <c r="BJ353" t="s">
        <v>1597</v>
      </c>
      <c r="BK353" t="s">
        <v>99</v>
      </c>
      <c r="BL353" t="s">
        <v>480</v>
      </c>
      <c r="BM353" t="s">
        <v>6861</v>
      </c>
      <c r="BN353" t="s">
        <v>74</v>
      </c>
      <c r="BO353" t="s">
        <v>1343</v>
      </c>
      <c r="BP353" t="s">
        <v>74</v>
      </c>
      <c r="BQ353" t="s">
        <v>74</v>
      </c>
      <c r="BR353" t="s">
        <v>102</v>
      </c>
      <c r="BS353" t="s">
        <v>6862</v>
      </c>
      <c r="BT353" t="str">
        <f>HYPERLINK("https%3A%2F%2Fwww.webofscience.com%2Fwos%2Fwoscc%2Ffull-record%2FWOS:000879119800001","View Full Record in Web of Science")</f>
        <v>View Full Record in Web of Science</v>
      </c>
    </row>
    <row r="354" spans="1:72" x14ac:dyDescent="0.35">
      <c r="A354" t="s">
        <v>72</v>
      </c>
      <c r="B354" t="s">
        <v>6863</v>
      </c>
      <c r="C354" t="s">
        <v>74</v>
      </c>
      <c r="D354" t="s">
        <v>74</v>
      </c>
      <c r="E354" t="s">
        <v>74</v>
      </c>
      <c r="F354" t="s">
        <v>6864</v>
      </c>
      <c r="G354" t="s">
        <v>74</v>
      </c>
      <c r="H354" t="s">
        <v>74</v>
      </c>
      <c r="I354" t="s">
        <v>6865</v>
      </c>
      <c r="J354" t="s">
        <v>216</v>
      </c>
      <c r="K354" t="s">
        <v>74</v>
      </c>
      <c r="L354" t="s">
        <v>74</v>
      </c>
      <c r="M354" t="s">
        <v>78</v>
      </c>
      <c r="N354" t="s">
        <v>108</v>
      </c>
      <c r="O354" t="s">
        <v>74</v>
      </c>
      <c r="P354" t="s">
        <v>74</v>
      </c>
      <c r="Q354" t="s">
        <v>74</v>
      </c>
      <c r="R354" t="s">
        <v>74</v>
      </c>
      <c r="S354" t="s">
        <v>74</v>
      </c>
      <c r="T354" t="s">
        <v>6866</v>
      </c>
      <c r="U354" t="s">
        <v>74</v>
      </c>
      <c r="V354" t="s">
        <v>6867</v>
      </c>
      <c r="W354" t="s">
        <v>6868</v>
      </c>
      <c r="X354" t="s">
        <v>1213</v>
      </c>
      <c r="Y354" t="s">
        <v>6869</v>
      </c>
      <c r="Z354" t="s">
        <v>6870</v>
      </c>
      <c r="AA354" t="s">
        <v>74</v>
      </c>
      <c r="AB354" t="s">
        <v>6871</v>
      </c>
      <c r="AC354" t="s">
        <v>74</v>
      </c>
      <c r="AD354" t="s">
        <v>74</v>
      </c>
      <c r="AE354" t="s">
        <v>74</v>
      </c>
      <c r="AF354" t="s">
        <v>74</v>
      </c>
      <c r="AG354">
        <v>35</v>
      </c>
      <c r="AH354">
        <v>5</v>
      </c>
      <c r="AI354">
        <v>5</v>
      </c>
      <c r="AJ354">
        <v>7</v>
      </c>
      <c r="AK354">
        <v>57</v>
      </c>
      <c r="AL354" t="s">
        <v>226</v>
      </c>
      <c r="AM354" t="s">
        <v>227</v>
      </c>
      <c r="AN354" t="s">
        <v>228</v>
      </c>
      <c r="AO354" t="s">
        <v>229</v>
      </c>
      <c r="AP354" t="s">
        <v>74</v>
      </c>
      <c r="AQ354" t="s">
        <v>74</v>
      </c>
      <c r="AR354" t="s">
        <v>230</v>
      </c>
      <c r="AS354" t="s">
        <v>231</v>
      </c>
      <c r="AT354" t="s">
        <v>232</v>
      </c>
      <c r="AU354">
        <v>2023</v>
      </c>
      <c r="AV354">
        <v>9</v>
      </c>
      <c r="AW354">
        <v>1</v>
      </c>
      <c r="AX354" t="s">
        <v>74</v>
      </c>
      <c r="AY354" t="s">
        <v>74</v>
      </c>
      <c r="AZ354" t="s">
        <v>74</v>
      </c>
      <c r="BA354" t="s">
        <v>74</v>
      </c>
      <c r="BB354" t="s">
        <v>74</v>
      </c>
      <c r="BC354" t="s">
        <v>74</v>
      </c>
      <c r="BD354">
        <v>2.0563051231157608E+16</v>
      </c>
      <c r="BE354" t="s">
        <v>6872</v>
      </c>
      <c r="BF354" t="str">
        <f>HYPERLINK("http://dx.doi.org/10.1177/20563051231157609","http://dx.doi.org/10.1177/20563051231157609")</f>
        <v>http://dx.doi.org/10.1177/20563051231157609</v>
      </c>
      <c r="BG354" t="s">
        <v>74</v>
      </c>
      <c r="BH354" t="s">
        <v>74</v>
      </c>
      <c r="BI354">
        <v>4</v>
      </c>
      <c r="BJ354" t="s">
        <v>124</v>
      </c>
      <c r="BK354" t="s">
        <v>99</v>
      </c>
      <c r="BL354" t="s">
        <v>124</v>
      </c>
      <c r="BM354" t="s">
        <v>6873</v>
      </c>
      <c r="BN354" t="s">
        <v>74</v>
      </c>
      <c r="BO354" t="s">
        <v>235</v>
      </c>
      <c r="BP354" t="s">
        <v>74</v>
      </c>
      <c r="BQ354" t="s">
        <v>74</v>
      </c>
      <c r="BR354" t="s">
        <v>102</v>
      </c>
      <c r="BS354" t="s">
        <v>6874</v>
      </c>
      <c r="BT354" t="str">
        <f>HYPERLINK("https%3A%2F%2Fwww.webofscience.com%2Fwos%2Fwoscc%2Ffull-record%2FWOS:000939698600001","View Full Record in Web of Science")</f>
        <v>View Full Record in Web of Science</v>
      </c>
    </row>
    <row r="355" spans="1:72" x14ac:dyDescent="0.35">
      <c r="A355" t="s">
        <v>72</v>
      </c>
      <c r="B355" t="s">
        <v>6875</v>
      </c>
      <c r="C355" t="s">
        <v>74</v>
      </c>
      <c r="D355" t="s">
        <v>74</v>
      </c>
      <c r="E355" t="s">
        <v>74</v>
      </c>
      <c r="F355" t="s">
        <v>6876</v>
      </c>
      <c r="G355" t="s">
        <v>74</v>
      </c>
      <c r="H355" t="s">
        <v>74</v>
      </c>
      <c r="I355" t="s">
        <v>6877</v>
      </c>
      <c r="J355" t="s">
        <v>6878</v>
      </c>
      <c r="K355" t="s">
        <v>74</v>
      </c>
      <c r="L355" t="s">
        <v>74</v>
      </c>
      <c r="M355" t="s">
        <v>78</v>
      </c>
      <c r="N355" t="s">
        <v>108</v>
      </c>
      <c r="O355" t="s">
        <v>74</v>
      </c>
      <c r="P355" t="s">
        <v>74</v>
      </c>
      <c r="Q355" t="s">
        <v>74</v>
      </c>
      <c r="R355" t="s">
        <v>74</v>
      </c>
      <c r="S355" t="s">
        <v>74</v>
      </c>
      <c r="T355" t="s">
        <v>6879</v>
      </c>
      <c r="U355" t="s">
        <v>6880</v>
      </c>
      <c r="V355" t="s">
        <v>6881</v>
      </c>
      <c r="W355" t="s">
        <v>6882</v>
      </c>
      <c r="X355" t="s">
        <v>6883</v>
      </c>
      <c r="Y355" t="s">
        <v>6884</v>
      </c>
      <c r="Z355" t="s">
        <v>6885</v>
      </c>
      <c r="AA355" t="s">
        <v>6886</v>
      </c>
      <c r="AB355" t="s">
        <v>6887</v>
      </c>
      <c r="AC355" t="s">
        <v>6888</v>
      </c>
      <c r="AD355" t="s">
        <v>6889</v>
      </c>
      <c r="AE355" t="s">
        <v>6890</v>
      </c>
      <c r="AF355" t="s">
        <v>74</v>
      </c>
      <c r="AG355">
        <v>23</v>
      </c>
      <c r="AH355">
        <v>15</v>
      </c>
      <c r="AI355">
        <v>15</v>
      </c>
      <c r="AJ355">
        <v>4</v>
      </c>
      <c r="AK355">
        <v>15</v>
      </c>
      <c r="AL355" t="s">
        <v>665</v>
      </c>
      <c r="AM355" t="s">
        <v>666</v>
      </c>
      <c r="AN355" t="s">
        <v>667</v>
      </c>
      <c r="AO355" t="s">
        <v>6891</v>
      </c>
      <c r="AP355" t="s">
        <v>6892</v>
      </c>
      <c r="AQ355" t="s">
        <v>74</v>
      </c>
      <c r="AR355" t="s">
        <v>6878</v>
      </c>
      <c r="AS355" t="s">
        <v>6893</v>
      </c>
      <c r="AT355" t="s">
        <v>297</v>
      </c>
      <c r="AU355">
        <v>2023</v>
      </c>
      <c r="AV355">
        <v>81</v>
      </c>
      <c r="AW355">
        <v>2</v>
      </c>
      <c r="AX355" t="s">
        <v>74</v>
      </c>
      <c r="AY355" t="s">
        <v>74</v>
      </c>
      <c r="AZ355" t="s">
        <v>74</v>
      </c>
      <c r="BA355" t="s">
        <v>74</v>
      </c>
      <c r="BB355">
        <v>270</v>
      </c>
      <c r="BC355">
        <v>276</v>
      </c>
      <c r="BD355" t="s">
        <v>74</v>
      </c>
      <c r="BE355" t="s">
        <v>6894</v>
      </c>
      <c r="BF355" t="str">
        <f>HYPERLINK("http://dx.doi.org/10.1007/s12020-023-03332-8","http://dx.doi.org/10.1007/s12020-023-03332-8")</f>
        <v>http://dx.doi.org/10.1007/s12020-023-03332-8</v>
      </c>
      <c r="BG355" t="s">
        <v>74</v>
      </c>
      <c r="BH355" t="s">
        <v>6895</v>
      </c>
      <c r="BI355">
        <v>7</v>
      </c>
      <c r="BJ355" t="s">
        <v>620</v>
      </c>
      <c r="BK355" t="s">
        <v>209</v>
      </c>
      <c r="BL355" t="s">
        <v>620</v>
      </c>
      <c r="BM355" t="s">
        <v>6896</v>
      </c>
      <c r="BN355">
        <v>36840912</v>
      </c>
      <c r="BO355" t="s">
        <v>74</v>
      </c>
      <c r="BP355" t="s">
        <v>74</v>
      </c>
      <c r="BQ355" t="s">
        <v>74</v>
      </c>
      <c r="BR355" t="s">
        <v>102</v>
      </c>
      <c r="BS355" t="s">
        <v>6897</v>
      </c>
      <c r="BT355" t="str">
        <f>HYPERLINK("https%3A%2F%2Fwww.webofscience.com%2Fwos%2Fwoscc%2Ffull-record%2FWOS:000939171600001","View Full Record in Web of Science")</f>
        <v>View Full Record in Web of Science</v>
      </c>
    </row>
    <row r="356" spans="1:72" x14ac:dyDescent="0.35">
      <c r="A356" t="s">
        <v>72</v>
      </c>
      <c r="B356" t="s">
        <v>6898</v>
      </c>
      <c r="C356" t="s">
        <v>74</v>
      </c>
      <c r="D356" t="s">
        <v>74</v>
      </c>
      <c r="E356" t="s">
        <v>74</v>
      </c>
      <c r="F356" t="s">
        <v>6899</v>
      </c>
      <c r="G356" t="s">
        <v>74</v>
      </c>
      <c r="H356" t="s">
        <v>74</v>
      </c>
      <c r="I356" t="s">
        <v>6900</v>
      </c>
      <c r="J356" t="s">
        <v>6901</v>
      </c>
      <c r="K356" t="s">
        <v>74</v>
      </c>
      <c r="L356" t="s">
        <v>74</v>
      </c>
      <c r="M356" t="s">
        <v>78</v>
      </c>
      <c r="N356" t="s">
        <v>108</v>
      </c>
      <c r="O356" t="s">
        <v>74</v>
      </c>
      <c r="P356" t="s">
        <v>74</v>
      </c>
      <c r="Q356" t="s">
        <v>74</v>
      </c>
      <c r="R356" t="s">
        <v>74</v>
      </c>
      <c r="S356" t="s">
        <v>74</v>
      </c>
      <c r="T356" t="s">
        <v>6902</v>
      </c>
      <c r="U356" t="s">
        <v>218</v>
      </c>
      <c r="V356" t="s">
        <v>6903</v>
      </c>
      <c r="W356" t="s">
        <v>6904</v>
      </c>
      <c r="X356" t="s">
        <v>6905</v>
      </c>
      <c r="Y356" t="s">
        <v>5670</v>
      </c>
      <c r="Z356" t="s">
        <v>6906</v>
      </c>
      <c r="AA356" t="s">
        <v>6907</v>
      </c>
      <c r="AB356" t="s">
        <v>74</v>
      </c>
      <c r="AC356" t="s">
        <v>74</v>
      </c>
      <c r="AD356" t="s">
        <v>74</v>
      </c>
      <c r="AE356" t="s">
        <v>74</v>
      </c>
      <c r="AF356" t="s">
        <v>74</v>
      </c>
      <c r="AG356">
        <v>54</v>
      </c>
      <c r="AH356">
        <v>0</v>
      </c>
      <c r="AI356">
        <v>0</v>
      </c>
      <c r="AJ356">
        <v>8</v>
      </c>
      <c r="AK356">
        <v>21</v>
      </c>
      <c r="AL356" t="s">
        <v>6908</v>
      </c>
      <c r="AM356" t="s">
        <v>3512</v>
      </c>
      <c r="AN356" t="s">
        <v>6909</v>
      </c>
      <c r="AO356" t="s">
        <v>74</v>
      </c>
      <c r="AP356" t="s">
        <v>6910</v>
      </c>
      <c r="AQ356" t="s">
        <v>74</v>
      </c>
      <c r="AR356" t="s">
        <v>6901</v>
      </c>
      <c r="AS356" t="s">
        <v>6911</v>
      </c>
      <c r="AT356" t="s">
        <v>273</v>
      </c>
      <c r="AU356">
        <v>2023</v>
      </c>
      <c r="AV356" t="s">
        <v>74</v>
      </c>
      <c r="AW356">
        <v>42</v>
      </c>
      <c r="AX356" t="s">
        <v>74</v>
      </c>
      <c r="AY356" t="s">
        <v>74</v>
      </c>
      <c r="AZ356" t="s">
        <v>74</v>
      </c>
      <c r="BA356" t="s">
        <v>74</v>
      </c>
      <c r="BB356">
        <v>61</v>
      </c>
      <c r="BC356">
        <v>91</v>
      </c>
      <c r="BD356" t="s">
        <v>74</v>
      </c>
      <c r="BE356" t="s">
        <v>6912</v>
      </c>
      <c r="BF356" t="str">
        <f>HYPERLINK("http://dx.doi.org/10.14198/fem.2023.42.03","http://dx.doi.org/10.14198/fem.2023.42.03")</f>
        <v>http://dx.doi.org/10.14198/fem.2023.42.03</v>
      </c>
      <c r="BG356" t="s">
        <v>74</v>
      </c>
      <c r="BH356" t="s">
        <v>74</v>
      </c>
      <c r="BI356">
        <v>31</v>
      </c>
      <c r="BJ356" t="s">
        <v>4550</v>
      </c>
      <c r="BK356" t="s">
        <v>125</v>
      </c>
      <c r="BL356" t="s">
        <v>4550</v>
      </c>
      <c r="BM356" t="s">
        <v>6913</v>
      </c>
      <c r="BN356" t="s">
        <v>74</v>
      </c>
      <c r="BO356" t="s">
        <v>3287</v>
      </c>
      <c r="BP356" t="s">
        <v>74</v>
      </c>
      <c r="BQ356" t="s">
        <v>74</v>
      </c>
      <c r="BR356" t="s">
        <v>102</v>
      </c>
      <c r="BS356" t="s">
        <v>6914</v>
      </c>
      <c r="BT356" t="str">
        <f>HYPERLINK("https%3A%2F%2Fwww.webofscience.com%2Fwos%2Fwoscc%2Ffull-record%2FWOS:001033978300003","View Full Record in Web of Science")</f>
        <v>View Full Record in Web of Science</v>
      </c>
    </row>
    <row r="357" spans="1:72" x14ac:dyDescent="0.35">
      <c r="A357" t="s">
        <v>72</v>
      </c>
      <c r="B357" t="s">
        <v>6915</v>
      </c>
      <c r="C357" t="s">
        <v>74</v>
      </c>
      <c r="D357" t="s">
        <v>74</v>
      </c>
      <c r="E357" t="s">
        <v>74</v>
      </c>
      <c r="F357" t="s">
        <v>6916</v>
      </c>
      <c r="G357" t="s">
        <v>74</v>
      </c>
      <c r="H357" t="s">
        <v>74</v>
      </c>
      <c r="I357" t="s">
        <v>6917</v>
      </c>
      <c r="J357" t="s">
        <v>6918</v>
      </c>
      <c r="K357" t="s">
        <v>74</v>
      </c>
      <c r="L357" t="s">
        <v>74</v>
      </c>
      <c r="M357" t="s">
        <v>78</v>
      </c>
      <c r="N357" t="s">
        <v>108</v>
      </c>
      <c r="O357" t="s">
        <v>74</v>
      </c>
      <c r="P357" t="s">
        <v>74</v>
      </c>
      <c r="Q357" t="s">
        <v>74</v>
      </c>
      <c r="R357" t="s">
        <v>74</v>
      </c>
      <c r="S357" t="s">
        <v>74</v>
      </c>
      <c r="T357" t="s">
        <v>6919</v>
      </c>
      <c r="U357" t="s">
        <v>6084</v>
      </c>
      <c r="V357" t="s">
        <v>6920</v>
      </c>
      <c r="W357" t="s">
        <v>6921</v>
      </c>
      <c r="X357" t="s">
        <v>6922</v>
      </c>
      <c r="Y357" t="s">
        <v>6923</v>
      </c>
      <c r="Z357" t="s">
        <v>6924</v>
      </c>
      <c r="AA357" t="s">
        <v>6925</v>
      </c>
      <c r="AB357" t="s">
        <v>6926</v>
      </c>
      <c r="AC357" t="s">
        <v>74</v>
      </c>
      <c r="AD357" t="s">
        <v>74</v>
      </c>
      <c r="AE357" t="s">
        <v>74</v>
      </c>
      <c r="AF357" t="s">
        <v>74</v>
      </c>
      <c r="AG357">
        <v>19</v>
      </c>
      <c r="AH357">
        <v>8</v>
      </c>
      <c r="AI357">
        <v>10</v>
      </c>
      <c r="AJ357">
        <v>2</v>
      </c>
      <c r="AK357">
        <v>12</v>
      </c>
      <c r="AL357" t="s">
        <v>6927</v>
      </c>
      <c r="AM357" t="s">
        <v>6928</v>
      </c>
      <c r="AN357" t="s">
        <v>6929</v>
      </c>
      <c r="AO357" t="s">
        <v>6930</v>
      </c>
      <c r="AP357" t="s">
        <v>6931</v>
      </c>
      <c r="AQ357" t="s">
        <v>74</v>
      </c>
      <c r="AR357" t="s">
        <v>6932</v>
      </c>
      <c r="AS357" t="s">
        <v>6933</v>
      </c>
      <c r="AT357" t="s">
        <v>6934</v>
      </c>
      <c r="AU357">
        <v>2022</v>
      </c>
      <c r="AV357">
        <v>12</v>
      </c>
      <c r="AW357">
        <v>2</v>
      </c>
      <c r="AX357" t="s">
        <v>74</v>
      </c>
      <c r="AY357" t="s">
        <v>74</v>
      </c>
      <c r="AZ357" t="s">
        <v>74</v>
      </c>
      <c r="BA357" t="s">
        <v>74</v>
      </c>
      <c r="BB357">
        <v>101</v>
      </c>
      <c r="BC357">
        <v>107</v>
      </c>
      <c r="BD357" t="s">
        <v>74</v>
      </c>
      <c r="BE357" t="s">
        <v>6935</v>
      </c>
      <c r="BF357" t="str">
        <f>HYPERLINK("http://dx.doi.org/10.25259/APOS_141_2021","http://dx.doi.org/10.25259/APOS_141_2021")</f>
        <v>http://dx.doi.org/10.25259/APOS_141_2021</v>
      </c>
      <c r="BG357" t="s">
        <v>74</v>
      </c>
      <c r="BH357" t="s">
        <v>74</v>
      </c>
      <c r="BI357">
        <v>7</v>
      </c>
      <c r="BJ357" t="s">
        <v>599</v>
      </c>
      <c r="BK357" t="s">
        <v>125</v>
      </c>
      <c r="BL357" t="s">
        <v>599</v>
      </c>
      <c r="BM357" t="s">
        <v>6936</v>
      </c>
      <c r="BN357" t="s">
        <v>74</v>
      </c>
      <c r="BO357" t="s">
        <v>235</v>
      </c>
      <c r="BP357" t="s">
        <v>74</v>
      </c>
      <c r="BQ357" t="s">
        <v>74</v>
      </c>
      <c r="BR357" t="s">
        <v>102</v>
      </c>
      <c r="BS357" t="s">
        <v>6937</v>
      </c>
      <c r="BT357" t="str">
        <f>HYPERLINK("https%3A%2F%2Fwww.webofscience.com%2Fwos%2Fwoscc%2Ffull-record%2FWOS:000863239900006","View Full Record in Web of Science")</f>
        <v>View Full Record in Web of Science</v>
      </c>
    </row>
    <row r="358" spans="1:72" x14ac:dyDescent="0.35">
      <c r="A358" t="s">
        <v>72</v>
      </c>
      <c r="B358" t="s">
        <v>6938</v>
      </c>
      <c r="C358" t="s">
        <v>74</v>
      </c>
      <c r="D358" t="s">
        <v>74</v>
      </c>
      <c r="E358" t="s">
        <v>74</v>
      </c>
      <c r="F358" t="s">
        <v>6939</v>
      </c>
      <c r="G358" t="s">
        <v>74</v>
      </c>
      <c r="H358" t="s">
        <v>74</v>
      </c>
      <c r="I358" t="s">
        <v>6940</v>
      </c>
      <c r="J358" t="s">
        <v>216</v>
      </c>
      <c r="K358" t="s">
        <v>74</v>
      </c>
      <c r="L358" t="s">
        <v>74</v>
      </c>
      <c r="M358" t="s">
        <v>78</v>
      </c>
      <c r="N358" t="s">
        <v>108</v>
      </c>
      <c r="O358" t="s">
        <v>74</v>
      </c>
      <c r="P358" t="s">
        <v>74</v>
      </c>
      <c r="Q358" t="s">
        <v>74</v>
      </c>
      <c r="R358" t="s">
        <v>74</v>
      </c>
      <c r="S358" t="s">
        <v>74</v>
      </c>
      <c r="T358" t="s">
        <v>6941</v>
      </c>
      <c r="U358" t="s">
        <v>6942</v>
      </c>
      <c r="V358" t="s">
        <v>6943</v>
      </c>
      <c r="W358" t="s">
        <v>6944</v>
      </c>
      <c r="X358" t="s">
        <v>6945</v>
      </c>
      <c r="Y358" t="s">
        <v>6946</v>
      </c>
      <c r="Z358" t="s">
        <v>6947</v>
      </c>
      <c r="AA358" t="s">
        <v>6948</v>
      </c>
      <c r="AB358" t="s">
        <v>6949</v>
      </c>
      <c r="AC358" t="s">
        <v>74</v>
      </c>
      <c r="AD358" t="s">
        <v>74</v>
      </c>
      <c r="AE358" t="s">
        <v>74</v>
      </c>
      <c r="AF358" t="s">
        <v>74</v>
      </c>
      <c r="AG358">
        <v>47</v>
      </c>
      <c r="AH358">
        <v>108</v>
      </c>
      <c r="AI358">
        <v>120</v>
      </c>
      <c r="AJ358">
        <v>55</v>
      </c>
      <c r="AK358">
        <v>263</v>
      </c>
      <c r="AL358" t="s">
        <v>226</v>
      </c>
      <c r="AM358" t="s">
        <v>227</v>
      </c>
      <c r="AN358" t="s">
        <v>228</v>
      </c>
      <c r="AO358" t="s">
        <v>229</v>
      </c>
      <c r="AP358" t="s">
        <v>74</v>
      </c>
      <c r="AQ358" t="s">
        <v>74</v>
      </c>
      <c r="AR358" t="s">
        <v>230</v>
      </c>
      <c r="AS358" t="s">
        <v>231</v>
      </c>
      <c r="AT358" t="s">
        <v>930</v>
      </c>
      <c r="AU358">
        <v>2021</v>
      </c>
      <c r="AV358">
        <v>7</v>
      </c>
      <c r="AW358">
        <v>2</v>
      </c>
      <c r="AX358" t="s">
        <v>74</v>
      </c>
      <c r="AY358" t="s">
        <v>74</v>
      </c>
      <c r="AZ358" t="s">
        <v>74</v>
      </c>
      <c r="BA358" t="s">
        <v>74</v>
      </c>
      <c r="BB358" t="s">
        <v>74</v>
      </c>
      <c r="BC358" t="s">
        <v>74</v>
      </c>
      <c r="BD358">
        <v>2.0563051211012344E+16</v>
      </c>
      <c r="BE358" t="s">
        <v>6950</v>
      </c>
      <c r="BF358" t="str">
        <f>HYPERLINK("http://dx.doi.org/10.1177/20563051211012344","http://dx.doi.org/10.1177/20563051211012344")</f>
        <v>http://dx.doi.org/10.1177/20563051211012344</v>
      </c>
      <c r="BG358" t="s">
        <v>74</v>
      </c>
      <c r="BH358" t="s">
        <v>74</v>
      </c>
      <c r="BI358">
        <v>14</v>
      </c>
      <c r="BJ358" t="s">
        <v>124</v>
      </c>
      <c r="BK358" t="s">
        <v>99</v>
      </c>
      <c r="BL358" t="s">
        <v>124</v>
      </c>
      <c r="BM358" t="s">
        <v>6951</v>
      </c>
      <c r="BN358" t="s">
        <v>74</v>
      </c>
      <c r="BO358" t="s">
        <v>394</v>
      </c>
      <c r="BP358" t="s">
        <v>395</v>
      </c>
      <c r="BQ358" t="s">
        <v>396</v>
      </c>
      <c r="BR358" t="s">
        <v>102</v>
      </c>
      <c r="BS358" t="s">
        <v>6952</v>
      </c>
      <c r="BT358" t="str">
        <f>HYPERLINK("https%3A%2F%2Fwww.webofscience.com%2Fwos%2Fwoscc%2Ffull-record%2FWOS:000642535500001","View Full Record in Web of Science")</f>
        <v>View Full Record in Web of Science</v>
      </c>
    </row>
    <row r="359" spans="1:72" x14ac:dyDescent="0.35">
      <c r="A359" t="s">
        <v>72</v>
      </c>
      <c r="B359" t="s">
        <v>6953</v>
      </c>
      <c r="C359" t="s">
        <v>74</v>
      </c>
      <c r="D359" t="s">
        <v>74</v>
      </c>
      <c r="E359" t="s">
        <v>74</v>
      </c>
      <c r="F359" t="s">
        <v>6954</v>
      </c>
      <c r="G359" t="s">
        <v>74</v>
      </c>
      <c r="H359" t="s">
        <v>74</v>
      </c>
      <c r="I359" t="s">
        <v>6955</v>
      </c>
      <c r="J359" t="s">
        <v>5221</v>
      </c>
      <c r="K359" t="s">
        <v>74</v>
      </c>
      <c r="L359" t="s">
        <v>74</v>
      </c>
      <c r="M359" t="s">
        <v>78</v>
      </c>
      <c r="N359" t="s">
        <v>108</v>
      </c>
      <c r="O359" t="s">
        <v>74</v>
      </c>
      <c r="P359" t="s">
        <v>74</v>
      </c>
      <c r="Q359" t="s">
        <v>74</v>
      </c>
      <c r="R359" t="s">
        <v>74</v>
      </c>
      <c r="S359" t="s">
        <v>74</v>
      </c>
      <c r="T359" t="s">
        <v>6956</v>
      </c>
      <c r="U359" t="s">
        <v>6957</v>
      </c>
      <c r="V359" t="s">
        <v>6958</v>
      </c>
      <c r="W359" t="s">
        <v>6959</v>
      </c>
      <c r="X359" t="s">
        <v>6960</v>
      </c>
      <c r="Y359" t="s">
        <v>6961</v>
      </c>
      <c r="Z359" t="s">
        <v>6962</v>
      </c>
      <c r="AA359" t="s">
        <v>6963</v>
      </c>
      <c r="AB359" t="s">
        <v>6964</v>
      </c>
      <c r="AC359" t="s">
        <v>74</v>
      </c>
      <c r="AD359" t="s">
        <v>74</v>
      </c>
      <c r="AE359" t="s">
        <v>74</v>
      </c>
      <c r="AF359" t="s">
        <v>74</v>
      </c>
      <c r="AG359">
        <v>85</v>
      </c>
      <c r="AH359">
        <v>43</v>
      </c>
      <c r="AI359">
        <v>45</v>
      </c>
      <c r="AJ359">
        <v>15</v>
      </c>
      <c r="AK359">
        <v>122</v>
      </c>
      <c r="AL359" t="s">
        <v>5231</v>
      </c>
      <c r="AM359" t="s">
        <v>5232</v>
      </c>
      <c r="AN359" t="s">
        <v>5233</v>
      </c>
      <c r="AO359" t="s">
        <v>5234</v>
      </c>
      <c r="AP359" t="s">
        <v>5235</v>
      </c>
      <c r="AQ359" t="s">
        <v>74</v>
      </c>
      <c r="AR359" t="s">
        <v>5236</v>
      </c>
      <c r="AS359" t="s">
        <v>5237</v>
      </c>
      <c r="AT359" t="s">
        <v>6965</v>
      </c>
      <c r="AU359">
        <v>2021</v>
      </c>
      <c r="AV359">
        <v>30</v>
      </c>
      <c r="AW359">
        <v>4</v>
      </c>
      <c r="AX359" t="s">
        <v>74</v>
      </c>
      <c r="AY359" t="s">
        <v>74</v>
      </c>
      <c r="AZ359" t="s">
        <v>74</v>
      </c>
      <c r="BA359" t="s">
        <v>74</v>
      </c>
      <c r="BB359" t="s">
        <v>74</v>
      </c>
      <c r="BC359" t="s">
        <v>74</v>
      </c>
      <c r="BD359" t="s">
        <v>6966</v>
      </c>
      <c r="BE359" t="s">
        <v>6967</v>
      </c>
      <c r="BF359" t="str">
        <f>HYPERLINK("http://dx.doi.org/10.3145/epi.2021.jul.03","http://dx.doi.org/10.3145/epi.2021.jul.03")</f>
        <v>http://dx.doi.org/10.3145/epi.2021.jul.03</v>
      </c>
      <c r="BG359" t="s">
        <v>74</v>
      </c>
      <c r="BH359" t="s">
        <v>74</v>
      </c>
      <c r="BI359">
        <v>17</v>
      </c>
      <c r="BJ359" t="s">
        <v>5240</v>
      </c>
      <c r="BK359" t="s">
        <v>99</v>
      </c>
      <c r="BL359" t="s">
        <v>5240</v>
      </c>
      <c r="BM359" t="s">
        <v>6968</v>
      </c>
      <c r="BN359" t="s">
        <v>74</v>
      </c>
      <c r="BO359" t="s">
        <v>5037</v>
      </c>
      <c r="BP359" t="s">
        <v>74</v>
      </c>
      <c r="BQ359" t="s">
        <v>74</v>
      </c>
      <c r="BR359" t="s">
        <v>102</v>
      </c>
      <c r="BS359" t="s">
        <v>6969</v>
      </c>
      <c r="BT359" t="str">
        <f>HYPERLINK("https%3A%2F%2Fwww.webofscience.com%2Fwos%2Fwoscc%2Ffull-record%2FWOS:000691799000011","View Full Record in Web of Science")</f>
        <v>View Full Record in Web of Science</v>
      </c>
    </row>
    <row r="360" spans="1:72" x14ac:dyDescent="0.35">
      <c r="A360" t="s">
        <v>72</v>
      </c>
      <c r="B360" t="s">
        <v>6970</v>
      </c>
      <c r="C360" t="s">
        <v>74</v>
      </c>
      <c r="D360" t="s">
        <v>74</v>
      </c>
      <c r="E360" t="s">
        <v>74</v>
      </c>
      <c r="F360" t="s">
        <v>6971</v>
      </c>
      <c r="G360" t="s">
        <v>74</v>
      </c>
      <c r="H360" t="s">
        <v>74</v>
      </c>
      <c r="I360" t="s">
        <v>6972</v>
      </c>
      <c r="J360" t="s">
        <v>6973</v>
      </c>
      <c r="K360" t="s">
        <v>74</v>
      </c>
      <c r="L360" t="s">
        <v>74</v>
      </c>
      <c r="M360" t="s">
        <v>78</v>
      </c>
      <c r="N360" t="s">
        <v>108</v>
      </c>
      <c r="O360" t="s">
        <v>74</v>
      </c>
      <c r="P360" t="s">
        <v>74</v>
      </c>
      <c r="Q360" t="s">
        <v>74</v>
      </c>
      <c r="R360" t="s">
        <v>74</v>
      </c>
      <c r="S360" t="s">
        <v>74</v>
      </c>
      <c r="T360" t="s">
        <v>6974</v>
      </c>
      <c r="U360" t="s">
        <v>6975</v>
      </c>
      <c r="V360" t="s">
        <v>6976</v>
      </c>
      <c r="W360" t="s">
        <v>6977</v>
      </c>
      <c r="X360" t="s">
        <v>6978</v>
      </c>
      <c r="Y360" t="s">
        <v>6979</v>
      </c>
      <c r="Z360" t="s">
        <v>6980</v>
      </c>
      <c r="AA360" t="s">
        <v>74</v>
      </c>
      <c r="AB360" t="s">
        <v>6981</v>
      </c>
      <c r="AC360" t="s">
        <v>6982</v>
      </c>
      <c r="AD360" t="s">
        <v>6983</v>
      </c>
      <c r="AE360" t="s">
        <v>6984</v>
      </c>
      <c r="AF360" t="s">
        <v>74</v>
      </c>
      <c r="AG360">
        <v>68</v>
      </c>
      <c r="AH360">
        <v>0</v>
      </c>
      <c r="AI360">
        <v>0</v>
      </c>
      <c r="AJ360">
        <v>2</v>
      </c>
      <c r="AK360">
        <v>5</v>
      </c>
      <c r="AL360" t="s">
        <v>1129</v>
      </c>
      <c r="AM360" t="s">
        <v>89</v>
      </c>
      <c r="AN360" t="s">
        <v>1130</v>
      </c>
      <c r="AO360" t="s">
        <v>6985</v>
      </c>
      <c r="AP360" t="s">
        <v>6986</v>
      </c>
      <c r="AQ360" t="s">
        <v>74</v>
      </c>
      <c r="AR360" t="s">
        <v>6987</v>
      </c>
      <c r="AS360" t="s">
        <v>6988</v>
      </c>
      <c r="AT360" t="s">
        <v>6989</v>
      </c>
      <c r="AU360">
        <v>2024</v>
      </c>
      <c r="AV360">
        <v>47</v>
      </c>
      <c r="AW360">
        <v>2</v>
      </c>
      <c r="AX360" t="s">
        <v>74</v>
      </c>
      <c r="AY360" t="s">
        <v>74</v>
      </c>
      <c r="AZ360" t="s">
        <v>456</v>
      </c>
      <c r="BA360" t="s">
        <v>74</v>
      </c>
      <c r="BB360">
        <v>231</v>
      </c>
      <c r="BC360">
        <v>247</v>
      </c>
      <c r="BD360" t="s">
        <v>74</v>
      </c>
      <c r="BE360" t="s">
        <v>6990</v>
      </c>
      <c r="BF360" t="str">
        <f>HYPERLINK("http://dx.doi.org/10.1080/03007766.2024.2320589","http://dx.doi.org/10.1080/03007766.2024.2320589")</f>
        <v>http://dx.doi.org/10.1080/03007766.2024.2320589</v>
      </c>
      <c r="BG360" t="s">
        <v>74</v>
      </c>
      <c r="BH360" t="s">
        <v>123</v>
      </c>
      <c r="BI360">
        <v>17</v>
      </c>
      <c r="BJ360" t="s">
        <v>6991</v>
      </c>
      <c r="BK360" t="s">
        <v>316</v>
      </c>
      <c r="BL360" t="s">
        <v>6991</v>
      </c>
      <c r="BM360" t="s">
        <v>6992</v>
      </c>
      <c r="BN360" t="s">
        <v>74</v>
      </c>
      <c r="BO360" t="s">
        <v>156</v>
      </c>
      <c r="BP360" t="s">
        <v>74</v>
      </c>
      <c r="BQ360" t="s">
        <v>74</v>
      </c>
      <c r="BR360" t="s">
        <v>102</v>
      </c>
      <c r="BS360" t="s">
        <v>6993</v>
      </c>
      <c r="BT360" t="str">
        <f>HYPERLINK("https%3A%2F%2Fwww.webofscience.com%2Fwos%2Fwoscc%2Ffull-record%2FWOS:001173462800001","View Full Record in Web of Science")</f>
        <v>View Full Record in Web of Science</v>
      </c>
    </row>
    <row r="361" spans="1:72" x14ac:dyDescent="0.35">
      <c r="A361" t="s">
        <v>72</v>
      </c>
      <c r="B361" t="s">
        <v>6994</v>
      </c>
      <c r="C361" t="s">
        <v>74</v>
      </c>
      <c r="D361" t="s">
        <v>74</v>
      </c>
      <c r="E361" t="s">
        <v>74</v>
      </c>
      <c r="F361" t="s">
        <v>6995</v>
      </c>
      <c r="G361" t="s">
        <v>74</v>
      </c>
      <c r="H361" t="s">
        <v>74</v>
      </c>
      <c r="I361" t="s">
        <v>6996</v>
      </c>
      <c r="J361" t="s">
        <v>1603</v>
      </c>
      <c r="K361" t="s">
        <v>74</v>
      </c>
      <c r="L361" t="s">
        <v>74</v>
      </c>
      <c r="M361" t="s">
        <v>78</v>
      </c>
      <c r="N361" t="s">
        <v>108</v>
      </c>
      <c r="O361" t="s">
        <v>74</v>
      </c>
      <c r="P361" t="s">
        <v>74</v>
      </c>
      <c r="Q361" t="s">
        <v>74</v>
      </c>
      <c r="R361" t="s">
        <v>74</v>
      </c>
      <c r="S361" t="s">
        <v>74</v>
      </c>
      <c r="T361" t="s">
        <v>6997</v>
      </c>
      <c r="U361" t="s">
        <v>6998</v>
      </c>
      <c r="V361" t="s">
        <v>6999</v>
      </c>
      <c r="W361" t="s">
        <v>7000</v>
      </c>
      <c r="X361" t="s">
        <v>113</v>
      </c>
      <c r="Y361" t="s">
        <v>7001</v>
      </c>
      <c r="Z361" t="s">
        <v>7002</v>
      </c>
      <c r="AA361" t="s">
        <v>74</v>
      </c>
      <c r="AB361" t="s">
        <v>74</v>
      </c>
      <c r="AC361" t="s">
        <v>74</v>
      </c>
      <c r="AD361" t="s">
        <v>74</v>
      </c>
      <c r="AE361" t="s">
        <v>74</v>
      </c>
      <c r="AF361" t="s">
        <v>74</v>
      </c>
      <c r="AG361">
        <v>63</v>
      </c>
      <c r="AH361">
        <v>23</v>
      </c>
      <c r="AI361">
        <v>25</v>
      </c>
      <c r="AJ361">
        <v>18</v>
      </c>
      <c r="AK361">
        <v>52</v>
      </c>
      <c r="AL361" t="s">
        <v>516</v>
      </c>
      <c r="AM361" t="s">
        <v>517</v>
      </c>
      <c r="AN361" t="s">
        <v>518</v>
      </c>
      <c r="AO361" t="s">
        <v>1612</v>
      </c>
      <c r="AP361" t="s">
        <v>1613</v>
      </c>
      <c r="AQ361" t="s">
        <v>74</v>
      </c>
      <c r="AR361" t="s">
        <v>1603</v>
      </c>
      <c r="AS361" t="s">
        <v>1614</v>
      </c>
      <c r="AT361" t="s">
        <v>1275</v>
      </c>
      <c r="AU361">
        <v>2022</v>
      </c>
      <c r="AV361">
        <v>43</v>
      </c>
      <c r="AW361" t="s">
        <v>74</v>
      </c>
      <c r="AX361" t="s">
        <v>74</v>
      </c>
      <c r="AY361" t="s">
        <v>74</v>
      </c>
      <c r="AZ361" t="s">
        <v>74</v>
      </c>
      <c r="BA361" t="s">
        <v>74</v>
      </c>
      <c r="BB361">
        <v>205</v>
      </c>
      <c r="BC361">
        <v>216</v>
      </c>
      <c r="BD361" t="s">
        <v>74</v>
      </c>
      <c r="BE361" t="s">
        <v>7003</v>
      </c>
      <c r="BF361" t="str">
        <f>HYPERLINK("http://dx.doi.org/10.1016/j.bodyim.2022.09.006","http://dx.doi.org/10.1016/j.bodyim.2022.09.006")</f>
        <v>http://dx.doi.org/10.1016/j.bodyim.2022.09.006</v>
      </c>
      <c r="BG361" t="s">
        <v>74</v>
      </c>
      <c r="BH361" t="s">
        <v>74</v>
      </c>
      <c r="BI361">
        <v>12</v>
      </c>
      <c r="BJ361" t="s">
        <v>1616</v>
      </c>
      <c r="BK361" t="s">
        <v>99</v>
      </c>
      <c r="BL361" t="s">
        <v>1617</v>
      </c>
      <c r="BM361" t="s">
        <v>1618</v>
      </c>
      <c r="BN361">
        <v>36191378</v>
      </c>
      <c r="BO361" t="s">
        <v>74</v>
      </c>
      <c r="BP361" t="s">
        <v>74</v>
      </c>
      <c r="BQ361" t="s">
        <v>74</v>
      </c>
      <c r="BR361" t="s">
        <v>102</v>
      </c>
      <c r="BS361" t="s">
        <v>7004</v>
      </c>
      <c r="BT361" t="str">
        <f>HYPERLINK("https%3A%2F%2Fwww.webofscience.com%2Fwos%2Fwoscc%2Ffull-record%2FWOS:001130437000001","View Full Record in Web of Science")</f>
        <v>View Full Record in Web of Science</v>
      </c>
    </row>
    <row r="362" spans="1:72" x14ac:dyDescent="0.35">
      <c r="A362" t="s">
        <v>72</v>
      </c>
      <c r="B362" t="s">
        <v>7005</v>
      </c>
      <c r="C362" t="s">
        <v>74</v>
      </c>
      <c r="D362" t="s">
        <v>74</v>
      </c>
      <c r="E362" t="s">
        <v>74</v>
      </c>
      <c r="F362" t="s">
        <v>7006</v>
      </c>
      <c r="G362" t="s">
        <v>74</v>
      </c>
      <c r="H362" t="s">
        <v>74</v>
      </c>
      <c r="I362" t="s">
        <v>7007</v>
      </c>
      <c r="J362" t="s">
        <v>7008</v>
      </c>
      <c r="K362" t="s">
        <v>74</v>
      </c>
      <c r="L362" t="s">
        <v>74</v>
      </c>
      <c r="M362" t="s">
        <v>78</v>
      </c>
      <c r="N362" t="s">
        <v>108</v>
      </c>
      <c r="O362" t="s">
        <v>74</v>
      </c>
      <c r="P362" t="s">
        <v>74</v>
      </c>
      <c r="Q362" t="s">
        <v>74</v>
      </c>
      <c r="R362" t="s">
        <v>74</v>
      </c>
      <c r="S362" t="s">
        <v>74</v>
      </c>
      <c r="T362" t="s">
        <v>7009</v>
      </c>
      <c r="U362" t="s">
        <v>74</v>
      </c>
      <c r="V362" t="s">
        <v>7010</v>
      </c>
      <c r="W362" t="s">
        <v>7011</v>
      </c>
      <c r="X362" t="s">
        <v>74</v>
      </c>
      <c r="Y362" t="s">
        <v>7012</v>
      </c>
      <c r="Z362" t="s">
        <v>7013</v>
      </c>
      <c r="AA362" t="s">
        <v>74</v>
      </c>
      <c r="AB362" t="s">
        <v>74</v>
      </c>
      <c r="AC362" t="s">
        <v>7014</v>
      </c>
      <c r="AD362" t="s">
        <v>7014</v>
      </c>
      <c r="AE362" t="s">
        <v>7015</v>
      </c>
      <c r="AF362" t="s">
        <v>74</v>
      </c>
      <c r="AG362">
        <v>26</v>
      </c>
      <c r="AH362">
        <v>1</v>
      </c>
      <c r="AI362">
        <v>1</v>
      </c>
      <c r="AJ362">
        <v>5</v>
      </c>
      <c r="AK362">
        <v>5</v>
      </c>
      <c r="AL362" t="s">
        <v>7016</v>
      </c>
      <c r="AM362" t="s">
        <v>7017</v>
      </c>
      <c r="AN362" t="s">
        <v>7018</v>
      </c>
      <c r="AO362" t="s">
        <v>7019</v>
      </c>
      <c r="AP362" t="s">
        <v>7020</v>
      </c>
      <c r="AQ362" t="s">
        <v>74</v>
      </c>
      <c r="AR362" t="s">
        <v>7021</v>
      </c>
      <c r="AS362" t="s">
        <v>7022</v>
      </c>
      <c r="AT362" t="s">
        <v>257</v>
      </c>
      <c r="AU362">
        <v>2024</v>
      </c>
      <c r="AV362">
        <v>31</v>
      </c>
      <c r="AW362">
        <v>2</v>
      </c>
      <c r="AX362" t="s">
        <v>74</v>
      </c>
      <c r="AY362" t="s">
        <v>74</v>
      </c>
      <c r="AZ362" t="s">
        <v>74</v>
      </c>
      <c r="BA362" t="s">
        <v>74</v>
      </c>
      <c r="BB362" t="s">
        <v>74</v>
      </c>
      <c r="BC362" t="s">
        <v>74</v>
      </c>
      <c r="BD362" t="s">
        <v>74</v>
      </c>
      <c r="BE362" t="s">
        <v>7023</v>
      </c>
      <c r="BF362" t="str">
        <f>HYPERLINK("http://dx.doi.org/10.1353/ppp.2024.a930492","http://dx.doi.org/10.1353/ppp.2024.a930492")</f>
        <v>http://dx.doi.org/10.1353/ppp.2024.a930492</v>
      </c>
      <c r="BG362" t="s">
        <v>74</v>
      </c>
      <c r="BH362" t="s">
        <v>74</v>
      </c>
      <c r="BI362">
        <v>13</v>
      </c>
      <c r="BJ362" t="s">
        <v>2686</v>
      </c>
      <c r="BK362" t="s">
        <v>125</v>
      </c>
      <c r="BL362" t="s">
        <v>2686</v>
      </c>
      <c r="BM362" t="s">
        <v>7024</v>
      </c>
      <c r="BN362" t="s">
        <v>74</v>
      </c>
      <c r="BO362" t="s">
        <v>74</v>
      </c>
      <c r="BP362" t="s">
        <v>74</v>
      </c>
      <c r="BQ362" t="s">
        <v>74</v>
      </c>
      <c r="BR362" t="s">
        <v>102</v>
      </c>
      <c r="BS362" t="s">
        <v>7025</v>
      </c>
      <c r="BT362" t="str">
        <f>HYPERLINK("https%3A%2F%2Fwww.webofscience.com%2Fwos%2Fwoscc%2Ffull-record%2FWOS:001293858100011","View Full Record in Web of Science")</f>
        <v>View Full Record in Web of Science</v>
      </c>
    </row>
    <row r="363" spans="1:72" x14ac:dyDescent="0.35">
      <c r="A363" t="s">
        <v>72</v>
      </c>
      <c r="B363" t="s">
        <v>7026</v>
      </c>
      <c r="C363" t="s">
        <v>74</v>
      </c>
      <c r="D363" t="s">
        <v>74</v>
      </c>
      <c r="E363" t="s">
        <v>74</v>
      </c>
      <c r="F363" t="s">
        <v>7027</v>
      </c>
      <c r="G363" t="s">
        <v>74</v>
      </c>
      <c r="H363" t="s">
        <v>74</v>
      </c>
      <c r="I363" t="s">
        <v>7028</v>
      </c>
      <c r="J363" t="s">
        <v>7029</v>
      </c>
      <c r="K363" t="s">
        <v>74</v>
      </c>
      <c r="L363" t="s">
        <v>74</v>
      </c>
      <c r="M363" t="s">
        <v>78</v>
      </c>
      <c r="N363" t="s">
        <v>108</v>
      </c>
      <c r="O363" t="s">
        <v>74</v>
      </c>
      <c r="P363" t="s">
        <v>74</v>
      </c>
      <c r="Q363" t="s">
        <v>74</v>
      </c>
      <c r="R363" t="s">
        <v>74</v>
      </c>
      <c r="S363" t="s">
        <v>74</v>
      </c>
      <c r="T363" t="s">
        <v>7030</v>
      </c>
      <c r="U363" t="s">
        <v>74</v>
      </c>
      <c r="V363" t="s">
        <v>7031</v>
      </c>
      <c r="W363" t="s">
        <v>7032</v>
      </c>
      <c r="X363" t="s">
        <v>7033</v>
      </c>
      <c r="Y363" t="s">
        <v>7034</v>
      </c>
      <c r="Z363" t="s">
        <v>7035</v>
      </c>
      <c r="AA363" t="s">
        <v>74</v>
      </c>
      <c r="AB363" t="s">
        <v>74</v>
      </c>
      <c r="AC363" t="s">
        <v>74</v>
      </c>
      <c r="AD363" t="s">
        <v>74</v>
      </c>
      <c r="AE363" t="s">
        <v>74</v>
      </c>
      <c r="AF363" t="s">
        <v>74</v>
      </c>
      <c r="AG363">
        <v>14</v>
      </c>
      <c r="AH363">
        <v>0</v>
      </c>
      <c r="AI363">
        <v>0</v>
      </c>
      <c r="AJ363">
        <v>2</v>
      </c>
      <c r="AK363">
        <v>4</v>
      </c>
      <c r="AL363" t="s">
        <v>665</v>
      </c>
      <c r="AM363" t="s">
        <v>666</v>
      </c>
      <c r="AN363" t="s">
        <v>667</v>
      </c>
      <c r="AO363" t="s">
        <v>7036</v>
      </c>
      <c r="AP363" t="s">
        <v>7037</v>
      </c>
      <c r="AQ363" t="s">
        <v>74</v>
      </c>
      <c r="AR363" t="s">
        <v>7038</v>
      </c>
      <c r="AS363" t="s">
        <v>7039</v>
      </c>
      <c r="AT363" t="s">
        <v>297</v>
      </c>
      <c r="AU363">
        <v>2024</v>
      </c>
      <c r="AV363">
        <v>48</v>
      </c>
      <c r="AW363">
        <v>16</v>
      </c>
      <c r="AX363" t="s">
        <v>74</v>
      </c>
      <c r="AY363" t="s">
        <v>74</v>
      </c>
      <c r="AZ363" t="s">
        <v>74</v>
      </c>
      <c r="BA363" t="s">
        <v>74</v>
      </c>
      <c r="BB363">
        <v>3091</v>
      </c>
      <c r="BC363">
        <v>3097</v>
      </c>
      <c r="BD363" t="s">
        <v>74</v>
      </c>
      <c r="BE363" t="s">
        <v>7040</v>
      </c>
      <c r="BF363" t="str">
        <f>HYPERLINK("http://dx.doi.org/10.1007/s00266-024-03940-3","http://dx.doi.org/10.1007/s00266-024-03940-3")</f>
        <v>http://dx.doi.org/10.1007/s00266-024-03940-3</v>
      </c>
      <c r="BG363" t="s">
        <v>74</v>
      </c>
      <c r="BH363" t="s">
        <v>123</v>
      </c>
      <c r="BI363">
        <v>7</v>
      </c>
      <c r="BJ363" t="s">
        <v>4994</v>
      </c>
      <c r="BK363" t="s">
        <v>209</v>
      </c>
      <c r="BL363" t="s">
        <v>4994</v>
      </c>
      <c r="BM363" t="s">
        <v>7041</v>
      </c>
      <c r="BN363">
        <v>38480654</v>
      </c>
      <c r="BO363" t="s">
        <v>74</v>
      </c>
      <c r="BP363" t="s">
        <v>74</v>
      </c>
      <c r="BQ363" t="s">
        <v>74</v>
      </c>
      <c r="BR363" t="s">
        <v>102</v>
      </c>
      <c r="BS363" t="s">
        <v>7042</v>
      </c>
      <c r="BT363" t="str">
        <f>HYPERLINK("https%3A%2F%2Fwww.webofscience.com%2Fwos%2Fwoscc%2Ffull-record%2FWOS:001182416000001","View Full Record in Web of Science")</f>
        <v>View Full Record in Web of Science</v>
      </c>
    </row>
    <row r="364" spans="1:72" x14ac:dyDescent="0.35">
      <c r="A364" t="s">
        <v>72</v>
      </c>
      <c r="B364" t="s">
        <v>7043</v>
      </c>
      <c r="C364" t="s">
        <v>74</v>
      </c>
      <c r="D364" t="s">
        <v>74</v>
      </c>
      <c r="E364" t="s">
        <v>74</v>
      </c>
      <c r="F364" t="s">
        <v>7044</v>
      </c>
      <c r="G364" t="s">
        <v>74</v>
      </c>
      <c r="H364" t="s">
        <v>74</v>
      </c>
      <c r="I364" t="s">
        <v>7045</v>
      </c>
      <c r="J364" t="s">
        <v>216</v>
      </c>
      <c r="K364" t="s">
        <v>74</v>
      </c>
      <c r="L364" t="s">
        <v>74</v>
      </c>
      <c r="M364" t="s">
        <v>78</v>
      </c>
      <c r="N364" t="s">
        <v>108</v>
      </c>
      <c r="O364" t="s">
        <v>74</v>
      </c>
      <c r="P364" t="s">
        <v>74</v>
      </c>
      <c r="Q364" t="s">
        <v>74</v>
      </c>
      <c r="R364" t="s">
        <v>74</v>
      </c>
      <c r="S364" t="s">
        <v>74</v>
      </c>
      <c r="T364" t="s">
        <v>7046</v>
      </c>
      <c r="U364" t="s">
        <v>74</v>
      </c>
      <c r="V364" t="s">
        <v>7047</v>
      </c>
      <c r="W364" t="s">
        <v>7048</v>
      </c>
      <c r="X364" t="s">
        <v>7049</v>
      </c>
      <c r="Y364" t="s">
        <v>7050</v>
      </c>
      <c r="Z364" t="s">
        <v>7051</v>
      </c>
      <c r="AA364" t="s">
        <v>74</v>
      </c>
      <c r="AB364" t="s">
        <v>74</v>
      </c>
      <c r="AC364" t="s">
        <v>74</v>
      </c>
      <c r="AD364" t="s">
        <v>74</v>
      </c>
      <c r="AE364" t="s">
        <v>74</v>
      </c>
      <c r="AF364" t="s">
        <v>74</v>
      </c>
      <c r="AG364">
        <v>54</v>
      </c>
      <c r="AH364">
        <v>0</v>
      </c>
      <c r="AI364">
        <v>0</v>
      </c>
      <c r="AJ364">
        <v>6</v>
      </c>
      <c r="AK364">
        <v>6</v>
      </c>
      <c r="AL364" t="s">
        <v>226</v>
      </c>
      <c r="AM364" t="s">
        <v>227</v>
      </c>
      <c r="AN364" t="s">
        <v>228</v>
      </c>
      <c r="AO364" t="s">
        <v>229</v>
      </c>
      <c r="AP364" t="s">
        <v>74</v>
      </c>
      <c r="AQ364" t="s">
        <v>74</v>
      </c>
      <c r="AR364" t="s">
        <v>230</v>
      </c>
      <c r="AS364" t="s">
        <v>231</v>
      </c>
      <c r="AT364" t="s">
        <v>273</v>
      </c>
      <c r="AU364">
        <v>2024</v>
      </c>
      <c r="AV364">
        <v>10</v>
      </c>
      <c r="AW364">
        <v>3</v>
      </c>
      <c r="AX364" t="s">
        <v>74</v>
      </c>
      <c r="AY364" t="s">
        <v>74</v>
      </c>
      <c r="AZ364" t="s">
        <v>74</v>
      </c>
      <c r="BA364" t="s">
        <v>74</v>
      </c>
      <c r="BB364" t="s">
        <v>74</v>
      </c>
      <c r="BC364" t="s">
        <v>74</v>
      </c>
      <c r="BD364">
        <v>2.0563051241279248E+16</v>
      </c>
      <c r="BE364" t="s">
        <v>7052</v>
      </c>
      <c r="BF364" t="str">
        <f>HYPERLINK("http://dx.doi.org/10.1177/20563051241279248","http://dx.doi.org/10.1177/20563051241279248")</f>
        <v>http://dx.doi.org/10.1177/20563051241279248</v>
      </c>
      <c r="BG364" t="s">
        <v>74</v>
      </c>
      <c r="BH364" t="s">
        <v>74</v>
      </c>
      <c r="BI364">
        <v>10</v>
      </c>
      <c r="BJ364" t="s">
        <v>124</v>
      </c>
      <c r="BK364" t="s">
        <v>99</v>
      </c>
      <c r="BL364" t="s">
        <v>124</v>
      </c>
      <c r="BM364" t="s">
        <v>7053</v>
      </c>
      <c r="BN364" t="s">
        <v>74</v>
      </c>
      <c r="BO364" t="s">
        <v>235</v>
      </c>
      <c r="BP364" t="s">
        <v>74</v>
      </c>
      <c r="BQ364" t="s">
        <v>74</v>
      </c>
      <c r="BR364" t="s">
        <v>102</v>
      </c>
      <c r="BS364" t="s">
        <v>7054</v>
      </c>
      <c r="BT364" t="str">
        <f>HYPERLINK("https%3A%2F%2Fwww.webofscience.com%2Fwos%2Fwoscc%2Ffull-record%2FWOS:001312030500001","View Full Record in Web of Science")</f>
        <v>View Full Record in Web of Science</v>
      </c>
    </row>
    <row r="365" spans="1:72" x14ac:dyDescent="0.35">
      <c r="A365" t="s">
        <v>72</v>
      </c>
      <c r="B365" t="s">
        <v>7055</v>
      </c>
      <c r="C365" t="s">
        <v>74</v>
      </c>
      <c r="D365" t="s">
        <v>74</v>
      </c>
      <c r="E365" t="s">
        <v>74</v>
      </c>
      <c r="F365" t="s">
        <v>7056</v>
      </c>
      <c r="G365" t="s">
        <v>74</v>
      </c>
      <c r="H365" t="s">
        <v>74</v>
      </c>
      <c r="I365" t="s">
        <v>7057</v>
      </c>
      <c r="J365" t="s">
        <v>7058</v>
      </c>
      <c r="K365" t="s">
        <v>74</v>
      </c>
      <c r="L365" t="s">
        <v>74</v>
      </c>
      <c r="M365" t="s">
        <v>3503</v>
      </c>
      <c r="N365" t="s">
        <v>108</v>
      </c>
      <c r="O365" t="s">
        <v>74</v>
      </c>
      <c r="P365" t="s">
        <v>74</v>
      </c>
      <c r="Q365" t="s">
        <v>74</v>
      </c>
      <c r="R365" t="s">
        <v>74</v>
      </c>
      <c r="S365" t="s">
        <v>74</v>
      </c>
      <c r="T365" t="s">
        <v>7059</v>
      </c>
      <c r="U365" t="s">
        <v>7060</v>
      </c>
      <c r="V365" t="s">
        <v>7061</v>
      </c>
      <c r="W365" t="s">
        <v>7062</v>
      </c>
      <c r="X365" t="s">
        <v>7063</v>
      </c>
      <c r="Y365" t="s">
        <v>7064</v>
      </c>
      <c r="Z365" t="s">
        <v>7065</v>
      </c>
      <c r="AA365" t="s">
        <v>7066</v>
      </c>
      <c r="AB365" t="s">
        <v>7067</v>
      </c>
      <c r="AC365" t="s">
        <v>74</v>
      </c>
      <c r="AD365" t="s">
        <v>74</v>
      </c>
      <c r="AE365" t="s">
        <v>74</v>
      </c>
      <c r="AF365" t="s">
        <v>74</v>
      </c>
      <c r="AG365">
        <v>68</v>
      </c>
      <c r="AH365">
        <v>12</v>
      </c>
      <c r="AI365">
        <v>12</v>
      </c>
      <c r="AJ365">
        <v>4</v>
      </c>
      <c r="AK365">
        <v>6</v>
      </c>
      <c r="AL365" t="s">
        <v>7068</v>
      </c>
      <c r="AM365" t="s">
        <v>7069</v>
      </c>
      <c r="AN365" t="s">
        <v>7070</v>
      </c>
      <c r="AO365" t="s">
        <v>7071</v>
      </c>
      <c r="AP365" t="s">
        <v>7072</v>
      </c>
      <c r="AQ365" t="s">
        <v>74</v>
      </c>
      <c r="AR365" t="s">
        <v>7058</v>
      </c>
      <c r="AS365" t="s">
        <v>7073</v>
      </c>
      <c r="AT365" t="s">
        <v>6934</v>
      </c>
      <c r="AU365">
        <v>2022</v>
      </c>
      <c r="AV365">
        <v>51</v>
      </c>
      <c r="AW365">
        <v>2</v>
      </c>
      <c r="AX365" t="s">
        <v>74</v>
      </c>
      <c r="AY365" t="s">
        <v>74</v>
      </c>
      <c r="AZ365" t="s">
        <v>74</v>
      </c>
      <c r="BA365" t="s">
        <v>74</v>
      </c>
      <c r="BB365">
        <v>121</v>
      </c>
      <c r="BC365">
        <v>128</v>
      </c>
      <c r="BD365" t="s">
        <v>74</v>
      </c>
      <c r="BE365" t="s">
        <v>7074</v>
      </c>
      <c r="BF365" t="str">
        <f>HYPERLINK("http://dx.doi.org/10.17811/rifie.52.2.2022.121-128","http://dx.doi.org/10.17811/rifie.52.2.2022.121-128")</f>
        <v>http://dx.doi.org/10.17811/rifie.52.2.2022.121-128</v>
      </c>
      <c r="BG365" t="s">
        <v>74</v>
      </c>
      <c r="BH365" t="s">
        <v>74</v>
      </c>
      <c r="BI365">
        <v>8</v>
      </c>
      <c r="BJ365" t="s">
        <v>787</v>
      </c>
      <c r="BK365" t="s">
        <v>125</v>
      </c>
      <c r="BL365" t="s">
        <v>787</v>
      </c>
      <c r="BM365" t="s">
        <v>7075</v>
      </c>
      <c r="BN365" t="s">
        <v>74</v>
      </c>
      <c r="BO365" t="s">
        <v>74</v>
      </c>
      <c r="BP365" t="s">
        <v>74</v>
      </c>
      <c r="BQ365" t="s">
        <v>74</v>
      </c>
      <c r="BR365" t="s">
        <v>102</v>
      </c>
      <c r="BS365" t="s">
        <v>7076</v>
      </c>
      <c r="BT365" t="str">
        <f>HYPERLINK("https%3A%2F%2Fwww.webofscience.com%2Fwos%2Fwoscc%2Ffull-record%2FWOS:001016329600002","View Full Record in Web of Science")</f>
        <v>View Full Record in Web of Science</v>
      </c>
    </row>
    <row r="366" spans="1:72" x14ac:dyDescent="0.35">
      <c r="A366" t="s">
        <v>72</v>
      </c>
      <c r="B366" t="s">
        <v>7077</v>
      </c>
      <c r="C366" t="s">
        <v>74</v>
      </c>
      <c r="D366" t="s">
        <v>74</v>
      </c>
      <c r="E366" t="s">
        <v>74</v>
      </c>
      <c r="F366" t="s">
        <v>7078</v>
      </c>
      <c r="G366" t="s">
        <v>74</v>
      </c>
      <c r="H366" t="s">
        <v>74</v>
      </c>
      <c r="I366" t="s">
        <v>7079</v>
      </c>
      <c r="J366" t="s">
        <v>7080</v>
      </c>
      <c r="K366" t="s">
        <v>74</v>
      </c>
      <c r="L366" t="s">
        <v>74</v>
      </c>
      <c r="M366" t="s">
        <v>78</v>
      </c>
      <c r="N366" t="s">
        <v>108</v>
      </c>
      <c r="O366" t="s">
        <v>74</v>
      </c>
      <c r="P366" t="s">
        <v>74</v>
      </c>
      <c r="Q366" t="s">
        <v>74</v>
      </c>
      <c r="R366" t="s">
        <v>74</v>
      </c>
      <c r="S366" t="s">
        <v>74</v>
      </c>
      <c r="T366" t="s">
        <v>7081</v>
      </c>
      <c r="U366" t="s">
        <v>74</v>
      </c>
      <c r="V366" t="s">
        <v>7082</v>
      </c>
      <c r="W366" t="s">
        <v>7083</v>
      </c>
      <c r="X366" t="s">
        <v>74</v>
      </c>
      <c r="Y366" t="s">
        <v>7084</v>
      </c>
      <c r="Z366" t="s">
        <v>7085</v>
      </c>
      <c r="AA366" t="s">
        <v>7086</v>
      </c>
      <c r="AB366" t="s">
        <v>7087</v>
      </c>
      <c r="AC366" t="s">
        <v>74</v>
      </c>
      <c r="AD366" t="s">
        <v>74</v>
      </c>
      <c r="AE366" t="s">
        <v>74</v>
      </c>
      <c r="AF366" t="s">
        <v>74</v>
      </c>
      <c r="AG366">
        <v>75</v>
      </c>
      <c r="AH366">
        <v>2</v>
      </c>
      <c r="AI366">
        <v>2</v>
      </c>
      <c r="AJ366">
        <v>4</v>
      </c>
      <c r="AK366">
        <v>25</v>
      </c>
      <c r="AL366" t="s">
        <v>7088</v>
      </c>
      <c r="AM366" t="s">
        <v>7089</v>
      </c>
      <c r="AN366" t="s">
        <v>7090</v>
      </c>
      <c r="AO366" t="s">
        <v>7091</v>
      </c>
      <c r="AP366" t="s">
        <v>7092</v>
      </c>
      <c r="AQ366" t="s">
        <v>74</v>
      </c>
      <c r="AR366" t="s">
        <v>7093</v>
      </c>
      <c r="AS366" t="s">
        <v>7094</v>
      </c>
      <c r="AT366" t="s">
        <v>1275</v>
      </c>
      <c r="AU366">
        <v>2022</v>
      </c>
      <c r="AV366">
        <v>35</v>
      </c>
      <c r="AW366">
        <v>4</v>
      </c>
      <c r="AX366" t="s">
        <v>74</v>
      </c>
      <c r="AY366" t="s">
        <v>74</v>
      </c>
      <c r="AZ366" t="s">
        <v>74</v>
      </c>
      <c r="BA366" t="s">
        <v>74</v>
      </c>
      <c r="BB366">
        <v>450</v>
      </c>
      <c r="BC366">
        <v>465</v>
      </c>
      <c r="BD366" t="s">
        <v>74</v>
      </c>
      <c r="BE366" t="s">
        <v>7095</v>
      </c>
      <c r="BF366" t="str">
        <f>HYPERLINK("http://dx.doi.org/10.20473/mkp.V35I42022.450-465","http://dx.doi.org/10.20473/mkp.V35I42022.450-465")</f>
        <v>http://dx.doi.org/10.20473/mkp.V35I42022.450-465</v>
      </c>
      <c r="BG366" t="s">
        <v>74</v>
      </c>
      <c r="BH366" t="s">
        <v>74</v>
      </c>
      <c r="BI366">
        <v>16</v>
      </c>
      <c r="BJ366" t="s">
        <v>98</v>
      </c>
      <c r="BK366" t="s">
        <v>125</v>
      </c>
      <c r="BL366" t="s">
        <v>100</v>
      </c>
      <c r="BM366" t="s">
        <v>7096</v>
      </c>
      <c r="BN366" t="s">
        <v>74</v>
      </c>
      <c r="BO366" t="s">
        <v>235</v>
      </c>
      <c r="BP366" t="s">
        <v>74</v>
      </c>
      <c r="BQ366" t="s">
        <v>74</v>
      </c>
      <c r="BR366" t="s">
        <v>102</v>
      </c>
      <c r="BS366" t="s">
        <v>7097</v>
      </c>
      <c r="BT366" t="str">
        <f>HYPERLINK("https%3A%2F%2Fwww.webofscience.com%2Fwos%2Fwoscc%2Ffull-record%2FWOS:000876407000005","View Full Record in Web of Science")</f>
        <v>View Full Record in Web of Science</v>
      </c>
    </row>
    <row r="367" spans="1:72" x14ac:dyDescent="0.35">
      <c r="A367" t="s">
        <v>72</v>
      </c>
      <c r="B367" t="s">
        <v>7098</v>
      </c>
      <c r="C367" t="s">
        <v>74</v>
      </c>
      <c r="D367" t="s">
        <v>74</v>
      </c>
      <c r="E367" t="s">
        <v>74</v>
      </c>
      <c r="F367" t="s">
        <v>7099</v>
      </c>
      <c r="G367" t="s">
        <v>74</v>
      </c>
      <c r="H367" t="s">
        <v>74</v>
      </c>
      <c r="I367" t="s">
        <v>7100</v>
      </c>
      <c r="J367" t="s">
        <v>7101</v>
      </c>
      <c r="K367" t="s">
        <v>74</v>
      </c>
      <c r="L367" t="s">
        <v>74</v>
      </c>
      <c r="M367" t="s">
        <v>78</v>
      </c>
      <c r="N367" t="s">
        <v>108</v>
      </c>
      <c r="O367" t="s">
        <v>74</v>
      </c>
      <c r="P367" t="s">
        <v>74</v>
      </c>
      <c r="Q367" t="s">
        <v>74</v>
      </c>
      <c r="R367" t="s">
        <v>74</v>
      </c>
      <c r="S367" t="s">
        <v>74</v>
      </c>
      <c r="T367" t="s">
        <v>7102</v>
      </c>
      <c r="U367" t="s">
        <v>7103</v>
      </c>
      <c r="V367" t="s">
        <v>7104</v>
      </c>
      <c r="W367" t="s">
        <v>7105</v>
      </c>
      <c r="X367" t="s">
        <v>7106</v>
      </c>
      <c r="Y367" t="s">
        <v>7107</v>
      </c>
      <c r="Z367" t="s">
        <v>7108</v>
      </c>
      <c r="AA367" t="s">
        <v>74</v>
      </c>
      <c r="AB367" t="s">
        <v>7109</v>
      </c>
      <c r="AC367" t="s">
        <v>74</v>
      </c>
      <c r="AD367" t="s">
        <v>74</v>
      </c>
      <c r="AE367" t="s">
        <v>74</v>
      </c>
      <c r="AF367" t="s">
        <v>74</v>
      </c>
      <c r="AG367">
        <v>46</v>
      </c>
      <c r="AH367">
        <v>0</v>
      </c>
      <c r="AI367">
        <v>0</v>
      </c>
      <c r="AJ367">
        <v>35</v>
      </c>
      <c r="AK367">
        <v>35</v>
      </c>
      <c r="AL367" t="s">
        <v>2248</v>
      </c>
      <c r="AM367" t="s">
        <v>2249</v>
      </c>
      <c r="AN367" t="s">
        <v>2250</v>
      </c>
      <c r="AO367" t="s">
        <v>7110</v>
      </c>
      <c r="AP367" t="s">
        <v>74</v>
      </c>
      <c r="AQ367" t="s">
        <v>74</v>
      </c>
      <c r="AR367" t="s">
        <v>7111</v>
      </c>
      <c r="AS367" t="s">
        <v>7112</v>
      </c>
      <c r="AT367" t="s">
        <v>7113</v>
      </c>
      <c r="AU367">
        <v>2024</v>
      </c>
      <c r="AV367">
        <v>29</v>
      </c>
      <c r="AW367">
        <v>5</v>
      </c>
      <c r="AX367" t="s">
        <v>74</v>
      </c>
      <c r="AY367" t="s">
        <v>74</v>
      </c>
      <c r="AZ367" t="s">
        <v>74</v>
      </c>
      <c r="BA367" t="s">
        <v>74</v>
      </c>
      <c r="BB367" t="s">
        <v>74</v>
      </c>
      <c r="BC367" t="s">
        <v>74</v>
      </c>
      <c r="BD367" t="s">
        <v>7114</v>
      </c>
      <c r="BE367" t="s">
        <v>7115</v>
      </c>
      <c r="BF367" t="str">
        <f>HYPERLINK("http://dx.doi.org/10.1093/jcmc/zmae017","http://dx.doi.org/10.1093/jcmc/zmae017")</f>
        <v>http://dx.doi.org/10.1093/jcmc/zmae017</v>
      </c>
      <c r="BG367" t="s">
        <v>74</v>
      </c>
      <c r="BH367" t="s">
        <v>74</v>
      </c>
      <c r="BI367">
        <v>14</v>
      </c>
      <c r="BJ367" t="s">
        <v>5240</v>
      </c>
      <c r="BK367" t="s">
        <v>99</v>
      </c>
      <c r="BL367" t="s">
        <v>5240</v>
      </c>
      <c r="BM367" t="s">
        <v>7116</v>
      </c>
      <c r="BN367" t="s">
        <v>74</v>
      </c>
      <c r="BO367" t="s">
        <v>235</v>
      </c>
      <c r="BP367" t="s">
        <v>74</v>
      </c>
      <c r="BQ367" t="s">
        <v>74</v>
      </c>
      <c r="BR367" t="s">
        <v>102</v>
      </c>
      <c r="BS367" t="s">
        <v>7117</v>
      </c>
      <c r="BT367" t="str">
        <f>HYPERLINK("https%3A%2F%2Fwww.webofscience.com%2Fwos%2Fwoscc%2Ffull-record%2FWOS:001305185100001","View Full Record in Web of Science")</f>
        <v>View Full Record in Web of Science</v>
      </c>
    </row>
    <row r="368" spans="1:72" x14ac:dyDescent="0.35">
      <c r="A368" t="s">
        <v>72</v>
      </c>
      <c r="B368" t="s">
        <v>2554</v>
      </c>
      <c r="C368" t="s">
        <v>74</v>
      </c>
      <c r="D368" t="s">
        <v>74</v>
      </c>
      <c r="E368" t="s">
        <v>74</v>
      </c>
      <c r="F368" t="s">
        <v>2555</v>
      </c>
      <c r="G368" t="s">
        <v>74</v>
      </c>
      <c r="H368" t="s">
        <v>74</v>
      </c>
      <c r="I368" t="s">
        <v>7118</v>
      </c>
      <c r="J368" t="s">
        <v>2557</v>
      </c>
      <c r="K368" t="s">
        <v>74</v>
      </c>
      <c r="L368" t="s">
        <v>74</v>
      </c>
      <c r="M368" t="s">
        <v>78</v>
      </c>
      <c r="N368" t="s">
        <v>108</v>
      </c>
      <c r="O368" t="s">
        <v>74</v>
      </c>
      <c r="P368" t="s">
        <v>74</v>
      </c>
      <c r="Q368" t="s">
        <v>74</v>
      </c>
      <c r="R368" t="s">
        <v>74</v>
      </c>
      <c r="S368" t="s">
        <v>74</v>
      </c>
      <c r="T368" t="s">
        <v>7119</v>
      </c>
      <c r="U368" t="s">
        <v>7120</v>
      </c>
      <c r="V368" t="s">
        <v>7121</v>
      </c>
      <c r="W368" t="s">
        <v>7122</v>
      </c>
      <c r="X368" t="s">
        <v>2562</v>
      </c>
      <c r="Y368" t="s">
        <v>2563</v>
      </c>
      <c r="Z368" t="s">
        <v>7123</v>
      </c>
      <c r="AA368" t="s">
        <v>2565</v>
      </c>
      <c r="AB368" t="s">
        <v>2566</v>
      </c>
      <c r="AC368" t="s">
        <v>7124</v>
      </c>
      <c r="AD368" t="s">
        <v>7125</v>
      </c>
      <c r="AE368" t="s">
        <v>7126</v>
      </c>
      <c r="AF368" t="s">
        <v>74</v>
      </c>
      <c r="AG368">
        <v>113</v>
      </c>
      <c r="AH368">
        <v>32</v>
      </c>
      <c r="AI368">
        <v>32</v>
      </c>
      <c r="AJ368">
        <v>74</v>
      </c>
      <c r="AK368">
        <v>401</v>
      </c>
      <c r="AL368" t="s">
        <v>199</v>
      </c>
      <c r="AM368" t="s">
        <v>200</v>
      </c>
      <c r="AN368" t="s">
        <v>471</v>
      </c>
      <c r="AO368" t="s">
        <v>2570</v>
      </c>
      <c r="AP368" t="s">
        <v>74</v>
      </c>
      <c r="AQ368" t="s">
        <v>74</v>
      </c>
      <c r="AR368" t="s">
        <v>2571</v>
      </c>
      <c r="AS368" t="s">
        <v>2572</v>
      </c>
      <c r="AT368" t="s">
        <v>7127</v>
      </c>
      <c r="AU368">
        <v>2023</v>
      </c>
      <c r="AV368">
        <v>33</v>
      </c>
      <c r="AW368">
        <v>2</v>
      </c>
      <c r="AX368" t="s">
        <v>74</v>
      </c>
      <c r="AY368" t="s">
        <v>74</v>
      </c>
      <c r="AZ368" t="s">
        <v>74</v>
      </c>
      <c r="BA368" t="s">
        <v>74</v>
      </c>
      <c r="BB368">
        <v>820</v>
      </c>
      <c r="BC368">
        <v>849</v>
      </c>
      <c r="BD368" t="s">
        <v>74</v>
      </c>
      <c r="BE368" t="s">
        <v>7128</v>
      </c>
      <c r="BF368" t="str">
        <f>HYPERLINK("http://dx.doi.org/10.1108/INTR-08-2021-0595","http://dx.doi.org/10.1108/INTR-08-2021-0595")</f>
        <v>http://dx.doi.org/10.1108/INTR-08-2021-0595</v>
      </c>
      <c r="BG368" t="s">
        <v>74</v>
      </c>
      <c r="BH368" t="s">
        <v>2175</v>
      </c>
      <c r="BI368">
        <v>30</v>
      </c>
      <c r="BJ368" t="s">
        <v>2575</v>
      </c>
      <c r="BK368" t="s">
        <v>182</v>
      </c>
      <c r="BL368" t="s">
        <v>2576</v>
      </c>
      <c r="BM368" t="s">
        <v>7129</v>
      </c>
      <c r="BN368" t="s">
        <v>74</v>
      </c>
      <c r="BO368" t="s">
        <v>74</v>
      </c>
      <c r="BP368" t="s">
        <v>74</v>
      </c>
      <c r="BQ368" t="s">
        <v>74</v>
      </c>
      <c r="BR368" t="s">
        <v>102</v>
      </c>
      <c r="BS368" t="s">
        <v>7130</v>
      </c>
      <c r="BT368" t="str">
        <f>HYPERLINK("https%3A%2F%2Fwww.webofscience.com%2Fwos%2Fwoscc%2Ffull-record%2FWOS:000820662900001","View Full Record in Web of Science")</f>
        <v>View Full Record in Web of Science</v>
      </c>
    </row>
    <row r="369" spans="1:72" x14ac:dyDescent="0.35">
      <c r="A369" t="s">
        <v>72</v>
      </c>
      <c r="B369" t="s">
        <v>7131</v>
      </c>
      <c r="C369" t="s">
        <v>74</v>
      </c>
      <c r="D369" t="s">
        <v>74</v>
      </c>
      <c r="E369" t="s">
        <v>74</v>
      </c>
      <c r="F369" t="s">
        <v>7132</v>
      </c>
      <c r="G369" t="s">
        <v>74</v>
      </c>
      <c r="H369" t="s">
        <v>74</v>
      </c>
      <c r="I369" t="s">
        <v>7133</v>
      </c>
      <c r="J369" t="s">
        <v>1143</v>
      </c>
      <c r="K369" t="s">
        <v>74</v>
      </c>
      <c r="L369" t="s">
        <v>74</v>
      </c>
      <c r="M369" t="s">
        <v>78</v>
      </c>
      <c r="N369" t="s">
        <v>108</v>
      </c>
      <c r="O369" t="s">
        <v>74</v>
      </c>
      <c r="P369" t="s">
        <v>74</v>
      </c>
      <c r="Q369" t="s">
        <v>74</v>
      </c>
      <c r="R369" t="s">
        <v>74</v>
      </c>
      <c r="S369" t="s">
        <v>74</v>
      </c>
      <c r="T369" t="s">
        <v>7134</v>
      </c>
      <c r="U369" t="s">
        <v>74</v>
      </c>
      <c r="V369" t="s">
        <v>7135</v>
      </c>
      <c r="W369" t="s">
        <v>7136</v>
      </c>
      <c r="X369" t="s">
        <v>7137</v>
      </c>
      <c r="Y369" t="s">
        <v>7138</v>
      </c>
      <c r="Z369" t="s">
        <v>7139</v>
      </c>
      <c r="AA369" t="s">
        <v>74</v>
      </c>
      <c r="AB369" t="s">
        <v>7140</v>
      </c>
      <c r="AC369" t="s">
        <v>74</v>
      </c>
      <c r="AD369" t="s">
        <v>74</v>
      </c>
      <c r="AE369" t="s">
        <v>74</v>
      </c>
      <c r="AF369" t="s">
        <v>74</v>
      </c>
      <c r="AG369">
        <v>20</v>
      </c>
      <c r="AH369">
        <v>0</v>
      </c>
      <c r="AI369">
        <v>0</v>
      </c>
      <c r="AJ369">
        <v>15</v>
      </c>
      <c r="AK369">
        <v>31</v>
      </c>
      <c r="AL369" t="s">
        <v>1153</v>
      </c>
      <c r="AM369" t="s">
        <v>1154</v>
      </c>
      <c r="AN369" t="s">
        <v>1155</v>
      </c>
      <c r="AO369" t="s">
        <v>1156</v>
      </c>
      <c r="AP369" t="s">
        <v>1157</v>
      </c>
      <c r="AQ369" t="s">
        <v>74</v>
      </c>
      <c r="AR369" t="s">
        <v>1158</v>
      </c>
      <c r="AS369" t="s">
        <v>1159</v>
      </c>
      <c r="AT369" t="s">
        <v>7141</v>
      </c>
      <c r="AU369">
        <v>2023</v>
      </c>
      <c r="AV369">
        <v>37</v>
      </c>
      <c r="AW369">
        <v>94</v>
      </c>
      <c r="AX369" t="s">
        <v>74</v>
      </c>
      <c r="AY369" t="s">
        <v>74</v>
      </c>
      <c r="AZ369" t="s">
        <v>74</v>
      </c>
      <c r="BA369" t="s">
        <v>74</v>
      </c>
      <c r="BB369">
        <v>113</v>
      </c>
      <c r="BC369">
        <v>128</v>
      </c>
      <c r="BD369" t="s">
        <v>74</v>
      </c>
      <c r="BE369" t="s">
        <v>74</v>
      </c>
      <c r="BF369" t="s">
        <v>74</v>
      </c>
      <c r="BG369" t="s">
        <v>74</v>
      </c>
      <c r="BH369" t="s">
        <v>74</v>
      </c>
      <c r="BI369">
        <v>16</v>
      </c>
      <c r="BJ369" t="s">
        <v>1162</v>
      </c>
      <c r="BK369" t="s">
        <v>99</v>
      </c>
      <c r="BL369" t="s">
        <v>1162</v>
      </c>
      <c r="BM369" t="s">
        <v>7142</v>
      </c>
      <c r="BN369" t="s">
        <v>74</v>
      </c>
      <c r="BO369" t="s">
        <v>235</v>
      </c>
      <c r="BP369" t="s">
        <v>74</v>
      </c>
      <c r="BQ369" t="s">
        <v>74</v>
      </c>
      <c r="BR369" t="s">
        <v>102</v>
      </c>
      <c r="BS369" t="s">
        <v>7143</v>
      </c>
      <c r="BT369" t="str">
        <f>HYPERLINK("https%3A%2F%2Fwww.webofscience.com%2Fwos%2Fwoscc%2Ffull-record%2FWOS:001055244500006","View Full Record in Web of Science")</f>
        <v>View Full Record in Web of Science</v>
      </c>
    </row>
    <row r="370" spans="1:72" x14ac:dyDescent="0.35">
      <c r="A370" t="s">
        <v>72</v>
      </c>
      <c r="B370" t="s">
        <v>7144</v>
      </c>
      <c r="C370" t="s">
        <v>74</v>
      </c>
      <c r="D370" t="s">
        <v>74</v>
      </c>
      <c r="E370" t="s">
        <v>74</v>
      </c>
      <c r="F370" t="s">
        <v>7145</v>
      </c>
      <c r="G370" t="s">
        <v>74</v>
      </c>
      <c r="H370" t="s">
        <v>74</v>
      </c>
      <c r="I370" t="s">
        <v>7146</v>
      </c>
      <c r="J370" t="s">
        <v>531</v>
      </c>
      <c r="K370" t="s">
        <v>74</v>
      </c>
      <c r="L370" t="s">
        <v>74</v>
      </c>
      <c r="M370" t="s">
        <v>78</v>
      </c>
      <c r="N370" t="s">
        <v>108</v>
      </c>
      <c r="O370" t="s">
        <v>74</v>
      </c>
      <c r="P370" t="s">
        <v>74</v>
      </c>
      <c r="Q370" t="s">
        <v>74</v>
      </c>
      <c r="R370" t="s">
        <v>74</v>
      </c>
      <c r="S370" t="s">
        <v>74</v>
      </c>
      <c r="T370" t="s">
        <v>7147</v>
      </c>
      <c r="U370" t="s">
        <v>7148</v>
      </c>
      <c r="V370" t="s">
        <v>7149</v>
      </c>
      <c r="W370" t="s">
        <v>7150</v>
      </c>
      <c r="X370" t="s">
        <v>7151</v>
      </c>
      <c r="Y370" t="s">
        <v>7152</v>
      </c>
      <c r="Z370" t="s">
        <v>7153</v>
      </c>
      <c r="AA370" t="s">
        <v>7154</v>
      </c>
      <c r="AB370" t="s">
        <v>7155</v>
      </c>
      <c r="AC370" t="s">
        <v>7156</v>
      </c>
      <c r="AD370" t="s">
        <v>7157</v>
      </c>
      <c r="AE370" t="s">
        <v>7158</v>
      </c>
      <c r="AF370" t="s">
        <v>74</v>
      </c>
      <c r="AG370">
        <v>39</v>
      </c>
      <c r="AH370">
        <v>2</v>
      </c>
      <c r="AI370">
        <v>2</v>
      </c>
      <c r="AJ370">
        <v>1</v>
      </c>
      <c r="AK370">
        <v>13</v>
      </c>
      <c r="AL370" t="s">
        <v>543</v>
      </c>
      <c r="AM370" t="s">
        <v>544</v>
      </c>
      <c r="AN370" t="s">
        <v>545</v>
      </c>
      <c r="AO370" t="s">
        <v>74</v>
      </c>
      <c r="AP370" t="s">
        <v>546</v>
      </c>
      <c r="AQ370" t="s">
        <v>74</v>
      </c>
      <c r="AR370" t="s">
        <v>547</v>
      </c>
      <c r="AS370" t="s">
        <v>548</v>
      </c>
      <c r="AT370" t="s">
        <v>74</v>
      </c>
      <c r="AU370">
        <v>2023</v>
      </c>
      <c r="AV370">
        <v>7</v>
      </c>
      <c r="AW370" t="s">
        <v>74</v>
      </c>
      <c r="AX370" t="s">
        <v>74</v>
      </c>
      <c r="AY370" t="s">
        <v>74</v>
      </c>
      <c r="AZ370" t="s">
        <v>74</v>
      </c>
      <c r="BA370" t="s">
        <v>74</v>
      </c>
      <c r="BB370" t="s">
        <v>74</v>
      </c>
      <c r="BC370" t="s">
        <v>74</v>
      </c>
      <c r="BD370" t="s">
        <v>74</v>
      </c>
      <c r="BE370" t="s">
        <v>7159</v>
      </c>
      <c r="BF370" t="str">
        <f>HYPERLINK("http://dx.doi.org/10.2196/45554","http://dx.doi.org/10.2196/45554")</f>
        <v>http://dx.doi.org/10.2196/45554</v>
      </c>
      <c r="BG370" t="s">
        <v>74</v>
      </c>
      <c r="BH370" t="s">
        <v>74</v>
      </c>
      <c r="BI370">
        <v>10</v>
      </c>
      <c r="BJ370" t="s">
        <v>550</v>
      </c>
      <c r="BK370" t="s">
        <v>125</v>
      </c>
      <c r="BL370" t="s">
        <v>550</v>
      </c>
      <c r="BM370" t="s">
        <v>7160</v>
      </c>
      <c r="BN370">
        <v>37204836</v>
      </c>
      <c r="BO370" t="s">
        <v>552</v>
      </c>
      <c r="BP370" t="s">
        <v>74</v>
      </c>
      <c r="BQ370" t="s">
        <v>74</v>
      </c>
      <c r="BR370" t="s">
        <v>102</v>
      </c>
      <c r="BS370" t="s">
        <v>7161</v>
      </c>
      <c r="BT370" t="str">
        <f>HYPERLINK("https%3A%2F%2Fwww.webofscience.com%2Fwos%2Fwoscc%2Ffull-record%2FWOS:000998643600032","View Full Record in Web of Science")</f>
        <v>View Full Record in Web of Science</v>
      </c>
    </row>
    <row r="371" spans="1:72" x14ac:dyDescent="0.35">
      <c r="A371" t="s">
        <v>72</v>
      </c>
      <c r="B371" t="s">
        <v>7162</v>
      </c>
      <c r="C371" t="s">
        <v>74</v>
      </c>
      <c r="D371" t="s">
        <v>74</v>
      </c>
      <c r="E371" t="s">
        <v>74</v>
      </c>
      <c r="F371" t="s">
        <v>7163</v>
      </c>
      <c r="G371" t="s">
        <v>74</v>
      </c>
      <c r="H371" t="s">
        <v>74</v>
      </c>
      <c r="I371" t="s">
        <v>7164</v>
      </c>
      <c r="J371" t="s">
        <v>5322</v>
      </c>
      <c r="K371" t="s">
        <v>74</v>
      </c>
      <c r="L371" t="s">
        <v>74</v>
      </c>
      <c r="M371" t="s">
        <v>78</v>
      </c>
      <c r="N371" t="s">
        <v>108</v>
      </c>
      <c r="O371" t="s">
        <v>74</v>
      </c>
      <c r="P371" t="s">
        <v>74</v>
      </c>
      <c r="Q371" t="s">
        <v>74</v>
      </c>
      <c r="R371" t="s">
        <v>74</v>
      </c>
      <c r="S371" t="s">
        <v>74</v>
      </c>
      <c r="T371" t="s">
        <v>74</v>
      </c>
      <c r="U371" t="s">
        <v>7165</v>
      </c>
      <c r="V371" t="s">
        <v>7166</v>
      </c>
      <c r="W371" t="s">
        <v>7167</v>
      </c>
      <c r="X371" t="s">
        <v>7168</v>
      </c>
      <c r="Y371" t="s">
        <v>7169</v>
      </c>
      <c r="Z371" t="s">
        <v>7170</v>
      </c>
      <c r="AA371" t="s">
        <v>7171</v>
      </c>
      <c r="AB371" t="s">
        <v>74</v>
      </c>
      <c r="AC371" t="s">
        <v>74</v>
      </c>
      <c r="AD371" t="s">
        <v>74</v>
      </c>
      <c r="AE371" t="s">
        <v>74</v>
      </c>
      <c r="AF371" t="s">
        <v>74</v>
      </c>
      <c r="AG371">
        <v>19</v>
      </c>
      <c r="AH371">
        <v>2</v>
      </c>
      <c r="AI371">
        <v>2</v>
      </c>
      <c r="AJ371">
        <v>3</v>
      </c>
      <c r="AK371">
        <v>10</v>
      </c>
      <c r="AL371" t="s">
        <v>5322</v>
      </c>
      <c r="AM371" t="s">
        <v>666</v>
      </c>
      <c r="AN371" t="s">
        <v>5329</v>
      </c>
      <c r="AO371" t="s">
        <v>5330</v>
      </c>
      <c r="AP371" t="s">
        <v>74</v>
      </c>
      <c r="AQ371" t="s">
        <v>74</v>
      </c>
      <c r="AR371" t="s">
        <v>5331</v>
      </c>
      <c r="AS371" t="s">
        <v>5332</v>
      </c>
      <c r="AT371" t="s">
        <v>1275</v>
      </c>
      <c r="AU371">
        <v>2022</v>
      </c>
      <c r="AV371">
        <v>21</v>
      </c>
      <c r="AW371">
        <v>12</v>
      </c>
      <c r="AX371" t="s">
        <v>74</v>
      </c>
      <c r="AY371" t="s">
        <v>74</v>
      </c>
      <c r="AZ371" t="s">
        <v>74</v>
      </c>
      <c r="BA371" t="s">
        <v>74</v>
      </c>
      <c r="BB371">
        <v>1316</v>
      </c>
      <c r="BC371">
        <v>1321</v>
      </c>
      <c r="BD371" t="s">
        <v>74</v>
      </c>
      <c r="BE371" t="s">
        <v>7172</v>
      </c>
      <c r="BF371" t="str">
        <f>HYPERLINK("http://dx.doi.org/10.36849/JDD.6707","http://dx.doi.org/10.36849/JDD.6707")</f>
        <v>http://dx.doi.org/10.36849/JDD.6707</v>
      </c>
      <c r="BG371" t="s">
        <v>74</v>
      </c>
      <c r="BH371" t="s">
        <v>74</v>
      </c>
      <c r="BI371">
        <v>6</v>
      </c>
      <c r="BJ371" t="s">
        <v>1341</v>
      </c>
      <c r="BK371" t="s">
        <v>209</v>
      </c>
      <c r="BL371" t="s">
        <v>1341</v>
      </c>
      <c r="BM371" t="s">
        <v>7173</v>
      </c>
      <c r="BN371">
        <v>36468968</v>
      </c>
      <c r="BO371" t="s">
        <v>74</v>
      </c>
      <c r="BP371" t="s">
        <v>74</v>
      </c>
      <c r="BQ371" t="s">
        <v>74</v>
      </c>
      <c r="BR371" t="s">
        <v>102</v>
      </c>
      <c r="BS371" t="s">
        <v>7174</v>
      </c>
      <c r="BT371" t="str">
        <f>HYPERLINK("https%3A%2F%2Fwww.webofscience.com%2Fwos%2Fwoscc%2Ffull-record%2FWOS:000893705700006","View Full Record in Web of Science")</f>
        <v>View Full Record in Web of Science</v>
      </c>
    </row>
    <row r="372" spans="1:72" x14ac:dyDescent="0.35">
      <c r="A372" t="s">
        <v>72</v>
      </c>
      <c r="B372" t="s">
        <v>7175</v>
      </c>
      <c r="C372" t="s">
        <v>74</v>
      </c>
      <c r="D372" t="s">
        <v>74</v>
      </c>
      <c r="E372" t="s">
        <v>74</v>
      </c>
      <c r="F372" t="s">
        <v>7176</v>
      </c>
      <c r="G372" t="s">
        <v>74</v>
      </c>
      <c r="H372" t="s">
        <v>74</v>
      </c>
      <c r="I372" t="s">
        <v>7177</v>
      </c>
      <c r="J372" t="s">
        <v>3687</v>
      </c>
      <c r="K372" t="s">
        <v>74</v>
      </c>
      <c r="L372" t="s">
        <v>74</v>
      </c>
      <c r="M372" t="s">
        <v>78</v>
      </c>
      <c r="N372" t="s">
        <v>79</v>
      </c>
      <c r="O372" t="s">
        <v>74</v>
      </c>
      <c r="P372" t="s">
        <v>74</v>
      </c>
      <c r="Q372" t="s">
        <v>74</v>
      </c>
      <c r="R372" t="s">
        <v>74</v>
      </c>
      <c r="S372" t="s">
        <v>74</v>
      </c>
      <c r="T372" t="s">
        <v>74</v>
      </c>
      <c r="U372" t="s">
        <v>7178</v>
      </c>
      <c r="V372" t="s">
        <v>7179</v>
      </c>
      <c r="W372" t="s">
        <v>7180</v>
      </c>
      <c r="X372" t="s">
        <v>7181</v>
      </c>
      <c r="Y372" t="s">
        <v>7182</v>
      </c>
      <c r="Z372" t="s">
        <v>3530</v>
      </c>
      <c r="AA372" t="s">
        <v>74</v>
      </c>
      <c r="AB372" t="s">
        <v>74</v>
      </c>
      <c r="AC372" t="s">
        <v>74</v>
      </c>
      <c r="AD372" t="s">
        <v>74</v>
      </c>
      <c r="AE372" t="s">
        <v>74</v>
      </c>
      <c r="AF372" t="s">
        <v>74</v>
      </c>
      <c r="AG372">
        <v>73</v>
      </c>
      <c r="AH372">
        <v>0</v>
      </c>
      <c r="AI372">
        <v>0</v>
      </c>
      <c r="AJ372">
        <v>29</v>
      </c>
      <c r="AK372">
        <v>29</v>
      </c>
      <c r="AL372" t="s">
        <v>88</v>
      </c>
      <c r="AM372" t="s">
        <v>89</v>
      </c>
      <c r="AN372" t="s">
        <v>90</v>
      </c>
      <c r="AO372" t="s">
        <v>3695</v>
      </c>
      <c r="AP372" t="s">
        <v>3696</v>
      </c>
      <c r="AQ372" t="s">
        <v>74</v>
      </c>
      <c r="AR372" t="s">
        <v>3697</v>
      </c>
      <c r="AS372" t="s">
        <v>3698</v>
      </c>
      <c r="AT372" t="s">
        <v>7183</v>
      </c>
      <c r="AU372">
        <v>2024</v>
      </c>
      <c r="AV372" t="s">
        <v>74</v>
      </c>
      <c r="AW372" t="s">
        <v>74</v>
      </c>
      <c r="AX372" t="s">
        <v>74</v>
      </c>
      <c r="AY372" t="s">
        <v>74</v>
      </c>
      <c r="AZ372" t="s">
        <v>74</v>
      </c>
      <c r="BA372" t="s">
        <v>74</v>
      </c>
      <c r="BB372" t="s">
        <v>74</v>
      </c>
      <c r="BC372" t="s">
        <v>74</v>
      </c>
      <c r="BD372" t="s">
        <v>74</v>
      </c>
      <c r="BE372" t="s">
        <v>7184</v>
      </c>
      <c r="BF372" t="str">
        <f>HYPERLINK("http://dx.doi.org/10.1080/10410236.2024.2411098","http://dx.doi.org/10.1080/10410236.2024.2411098")</f>
        <v>http://dx.doi.org/10.1080/10410236.2024.2411098</v>
      </c>
      <c r="BG372" t="s">
        <v>74</v>
      </c>
      <c r="BH372" t="s">
        <v>1721</v>
      </c>
      <c r="BI372">
        <v>13</v>
      </c>
      <c r="BJ372" t="s">
        <v>3701</v>
      </c>
      <c r="BK372" t="s">
        <v>99</v>
      </c>
      <c r="BL372" t="s">
        <v>3702</v>
      </c>
      <c r="BM372" t="s">
        <v>7185</v>
      </c>
      <c r="BN372">
        <v>39381940</v>
      </c>
      <c r="BO372" t="s">
        <v>74</v>
      </c>
      <c r="BP372" t="s">
        <v>74</v>
      </c>
      <c r="BQ372" t="s">
        <v>74</v>
      </c>
      <c r="BR372" t="s">
        <v>102</v>
      </c>
      <c r="BS372" t="s">
        <v>7186</v>
      </c>
      <c r="BT372" t="str">
        <f>HYPERLINK("https%3A%2F%2Fwww.webofscience.com%2Fwos%2Fwoscc%2Ffull-record%2FWOS:001329499900001","View Full Record in Web of Science")</f>
        <v>View Full Record in Web of Science</v>
      </c>
    </row>
    <row r="373" spans="1:72" x14ac:dyDescent="0.35">
      <c r="A373" t="s">
        <v>72</v>
      </c>
      <c r="B373" t="s">
        <v>7187</v>
      </c>
      <c r="C373" t="s">
        <v>74</v>
      </c>
      <c r="D373" t="s">
        <v>74</v>
      </c>
      <c r="E373" t="s">
        <v>74</v>
      </c>
      <c r="F373" t="s">
        <v>7188</v>
      </c>
      <c r="G373" t="s">
        <v>74</v>
      </c>
      <c r="H373" t="s">
        <v>74</v>
      </c>
      <c r="I373" t="s">
        <v>7189</v>
      </c>
      <c r="J373" t="s">
        <v>7190</v>
      </c>
      <c r="K373" t="s">
        <v>74</v>
      </c>
      <c r="L373" t="s">
        <v>74</v>
      </c>
      <c r="M373" t="s">
        <v>1556</v>
      </c>
      <c r="N373" t="s">
        <v>108</v>
      </c>
      <c r="O373" t="s">
        <v>74</v>
      </c>
      <c r="P373" t="s">
        <v>74</v>
      </c>
      <c r="Q373" t="s">
        <v>74</v>
      </c>
      <c r="R373" t="s">
        <v>74</v>
      </c>
      <c r="S373" t="s">
        <v>74</v>
      </c>
      <c r="T373" t="s">
        <v>7191</v>
      </c>
      <c r="U373" t="s">
        <v>74</v>
      </c>
      <c r="V373" t="s">
        <v>7192</v>
      </c>
      <c r="W373" t="s">
        <v>7193</v>
      </c>
      <c r="X373" t="s">
        <v>7194</v>
      </c>
      <c r="Y373" t="s">
        <v>7195</v>
      </c>
      <c r="Z373" t="s">
        <v>7196</v>
      </c>
      <c r="AA373" t="s">
        <v>74</v>
      </c>
      <c r="AB373" t="s">
        <v>74</v>
      </c>
      <c r="AC373" t="s">
        <v>74</v>
      </c>
      <c r="AD373" t="s">
        <v>74</v>
      </c>
      <c r="AE373" t="s">
        <v>74</v>
      </c>
      <c r="AF373" t="s">
        <v>74</v>
      </c>
      <c r="AG373">
        <v>9</v>
      </c>
      <c r="AH373">
        <v>0</v>
      </c>
      <c r="AI373">
        <v>0</v>
      </c>
      <c r="AJ373">
        <v>2</v>
      </c>
      <c r="AK373">
        <v>97</v>
      </c>
      <c r="AL373" t="s">
        <v>7197</v>
      </c>
      <c r="AM373" t="s">
        <v>1564</v>
      </c>
      <c r="AN373" t="s">
        <v>7198</v>
      </c>
      <c r="AO373" t="s">
        <v>7199</v>
      </c>
      <c r="AP373" t="s">
        <v>74</v>
      </c>
      <c r="AQ373" t="s">
        <v>74</v>
      </c>
      <c r="AR373" t="s">
        <v>7200</v>
      </c>
      <c r="AS373" t="s">
        <v>7201</v>
      </c>
      <c r="AT373" t="s">
        <v>1484</v>
      </c>
      <c r="AU373">
        <v>2022</v>
      </c>
      <c r="AV373">
        <v>63</v>
      </c>
      <c r="AW373" t="s">
        <v>74</v>
      </c>
      <c r="AX373" t="s">
        <v>74</v>
      </c>
      <c r="AY373" t="s">
        <v>74</v>
      </c>
      <c r="AZ373" t="s">
        <v>74</v>
      </c>
      <c r="BA373" t="s">
        <v>74</v>
      </c>
      <c r="BB373">
        <v>143</v>
      </c>
      <c r="BC373">
        <v>151</v>
      </c>
      <c r="BD373" t="s">
        <v>74</v>
      </c>
      <c r="BE373" t="s">
        <v>7202</v>
      </c>
      <c r="BF373" t="str">
        <f>HYPERLINK("http://dx.doi.org/10.37816/2073-9567-2022-63-143-151","http://dx.doi.org/10.37816/2073-9567-2022-63-143-151")</f>
        <v>http://dx.doi.org/10.37816/2073-9567-2022-63-143-151</v>
      </c>
      <c r="BG373" t="s">
        <v>74</v>
      </c>
      <c r="BH373" t="s">
        <v>74</v>
      </c>
      <c r="BI373">
        <v>9</v>
      </c>
      <c r="BJ373" t="s">
        <v>4461</v>
      </c>
      <c r="BK373" t="s">
        <v>125</v>
      </c>
      <c r="BL373" t="s">
        <v>4462</v>
      </c>
      <c r="BM373" t="s">
        <v>7203</v>
      </c>
      <c r="BN373" t="s">
        <v>74</v>
      </c>
      <c r="BO373" t="s">
        <v>235</v>
      </c>
      <c r="BP373" t="s">
        <v>74</v>
      </c>
      <c r="BQ373" t="s">
        <v>74</v>
      </c>
      <c r="BR373" t="s">
        <v>102</v>
      </c>
      <c r="BS373" t="s">
        <v>7204</v>
      </c>
      <c r="BT373" t="str">
        <f>HYPERLINK("https%3A%2F%2Fwww.webofscience.com%2Fwos%2Fwoscc%2Ffull-record%2FWOS:000785721400037","View Full Record in Web of Science")</f>
        <v>View Full Record in Web of Science</v>
      </c>
    </row>
    <row r="374" spans="1:72" x14ac:dyDescent="0.35">
      <c r="A374" t="s">
        <v>72</v>
      </c>
      <c r="B374" t="s">
        <v>7205</v>
      </c>
      <c r="C374" t="s">
        <v>74</v>
      </c>
      <c r="D374" t="s">
        <v>74</v>
      </c>
      <c r="E374" t="s">
        <v>74</v>
      </c>
      <c r="F374" t="s">
        <v>7206</v>
      </c>
      <c r="G374" t="s">
        <v>74</v>
      </c>
      <c r="H374" t="s">
        <v>74</v>
      </c>
      <c r="I374" t="s">
        <v>7207</v>
      </c>
      <c r="J374" t="s">
        <v>7208</v>
      </c>
      <c r="K374" t="s">
        <v>74</v>
      </c>
      <c r="L374" t="s">
        <v>74</v>
      </c>
      <c r="M374" t="s">
        <v>78</v>
      </c>
      <c r="N374" t="s">
        <v>108</v>
      </c>
      <c r="O374" t="s">
        <v>74</v>
      </c>
      <c r="P374" t="s">
        <v>74</v>
      </c>
      <c r="Q374" t="s">
        <v>74</v>
      </c>
      <c r="R374" t="s">
        <v>74</v>
      </c>
      <c r="S374" t="s">
        <v>74</v>
      </c>
      <c r="T374" t="s">
        <v>7209</v>
      </c>
      <c r="U374" t="s">
        <v>74</v>
      </c>
      <c r="V374" t="s">
        <v>7210</v>
      </c>
      <c r="W374" t="s">
        <v>7211</v>
      </c>
      <c r="X374" t="s">
        <v>7212</v>
      </c>
      <c r="Y374" t="s">
        <v>7213</v>
      </c>
      <c r="Z374" t="s">
        <v>7214</v>
      </c>
      <c r="AA374" t="s">
        <v>7215</v>
      </c>
      <c r="AB374" t="s">
        <v>7216</v>
      </c>
      <c r="AC374" t="s">
        <v>74</v>
      </c>
      <c r="AD374" t="s">
        <v>74</v>
      </c>
      <c r="AE374" t="s">
        <v>74</v>
      </c>
      <c r="AF374" t="s">
        <v>74</v>
      </c>
      <c r="AG374">
        <v>25</v>
      </c>
      <c r="AH374">
        <v>4</v>
      </c>
      <c r="AI374">
        <v>4</v>
      </c>
      <c r="AJ374">
        <v>2</v>
      </c>
      <c r="AK374">
        <v>21</v>
      </c>
      <c r="AL374" t="s">
        <v>1195</v>
      </c>
      <c r="AM374" t="s">
        <v>1196</v>
      </c>
      <c r="AN374" t="s">
        <v>1197</v>
      </c>
      <c r="AO374" t="s">
        <v>74</v>
      </c>
      <c r="AP374" t="s">
        <v>7217</v>
      </c>
      <c r="AQ374" t="s">
        <v>74</v>
      </c>
      <c r="AR374" t="s">
        <v>7218</v>
      </c>
      <c r="AS374" t="s">
        <v>7219</v>
      </c>
      <c r="AT374" t="s">
        <v>455</v>
      </c>
      <c r="AU374">
        <v>2022</v>
      </c>
      <c r="AV374">
        <v>11</v>
      </c>
      <c r="AW374">
        <v>18</v>
      </c>
      <c r="AX374" t="s">
        <v>74</v>
      </c>
      <c r="AY374" t="s">
        <v>74</v>
      </c>
      <c r="AZ374" t="s">
        <v>74</v>
      </c>
      <c r="BA374" t="s">
        <v>74</v>
      </c>
      <c r="BB374" t="s">
        <v>74</v>
      </c>
      <c r="BC374" t="s">
        <v>74</v>
      </c>
      <c r="BD374">
        <v>2972</v>
      </c>
      <c r="BE374" t="s">
        <v>7220</v>
      </c>
      <c r="BF374" t="str">
        <f>HYPERLINK("http://dx.doi.org/10.3390/electronics11182972","http://dx.doi.org/10.3390/electronics11182972")</f>
        <v>http://dx.doi.org/10.3390/electronics11182972</v>
      </c>
      <c r="BG374" t="s">
        <v>74</v>
      </c>
      <c r="BH374" t="s">
        <v>74</v>
      </c>
      <c r="BI374">
        <v>26</v>
      </c>
      <c r="BJ374" t="s">
        <v>7221</v>
      </c>
      <c r="BK374" t="s">
        <v>209</v>
      </c>
      <c r="BL374" t="s">
        <v>7222</v>
      </c>
      <c r="BM374" t="s">
        <v>7223</v>
      </c>
      <c r="BN374" t="s">
        <v>74</v>
      </c>
      <c r="BO374" t="s">
        <v>235</v>
      </c>
      <c r="BP374" t="s">
        <v>74</v>
      </c>
      <c r="BQ374" t="s">
        <v>74</v>
      </c>
      <c r="BR374" t="s">
        <v>102</v>
      </c>
      <c r="BS374" t="s">
        <v>7224</v>
      </c>
      <c r="BT374" t="str">
        <f>HYPERLINK("https%3A%2F%2Fwww.webofscience.com%2Fwos%2Fwoscc%2Ffull-record%2FWOS:000857621900001","View Full Record in Web of Science")</f>
        <v>View Full Record in Web of Science</v>
      </c>
    </row>
    <row r="375" spans="1:72" x14ac:dyDescent="0.35">
      <c r="A375" t="s">
        <v>72</v>
      </c>
      <c r="B375" t="s">
        <v>7225</v>
      </c>
      <c r="C375" t="s">
        <v>74</v>
      </c>
      <c r="D375" t="s">
        <v>74</v>
      </c>
      <c r="E375" t="s">
        <v>74</v>
      </c>
      <c r="F375" t="s">
        <v>7226</v>
      </c>
      <c r="G375" t="s">
        <v>74</v>
      </c>
      <c r="H375" t="s">
        <v>74</v>
      </c>
      <c r="I375" t="s">
        <v>7227</v>
      </c>
      <c r="J375" t="s">
        <v>7228</v>
      </c>
      <c r="K375" t="s">
        <v>74</v>
      </c>
      <c r="L375" t="s">
        <v>74</v>
      </c>
      <c r="M375" t="s">
        <v>78</v>
      </c>
      <c r="N375" t="s">
        <v>108</v>
      </c>
      <c r="O375" t="s">
        <v>74</v>
      </c>
      <c r="P375" t="s">
        <v>74</v>
      </c>
      <c r="Q375" t="s">
        <v>74</v>
      </c>
      <c r="R375" t="s">
        <v>74</v>
      </c>
      <c r="S375" t="s">
        <v>74</v>
      </c>
      <c r="T375" t="s">
        <v>7229</v>
      </c>
      <c r="U375" t="s">
        <v>7230</v>
      </c>
      <c r="V375" t="s">
        <v>7231</v>
      </c>
      <c r="W375" t="s">
        <v>7232</v>
      </c>
      <c r="X375" t="s">
        <v>7233</v>
      </c>
      <c r="Y375" t="s">
        <v>7234</v>
      </c>
      <c r="Z375" t="s">
        <v>7235</v>
      </c>
      <c r="AA375" t="s">
        <v>74</v>
      </c>
      <c r="AB375" t="s">
        <v>74</v>
      </c>
      <c r="AC375" t="s">
        <v>74</v>
      </c>
      <c r="AD375" t="s">
        <v>74</v>
      </c>
      <c r="AE375" t="s">
        <v>74</v>
      </c>
      <c r="AF375" t="s">
        <v>74</v>
      </c>
      <c r="AG375">
        <v>84</v>
      </c>
      <c r="AH375">
        <v>0</v>
      </c>
      <c r="AI375">
        <v>0</v>
      </c>
      <c r="AJ375">
        <v>0</v>
      </c>
      <c r="AK375">
        <v>0</v>
      </c>
      <c r="AL375" t="s">
        <v>7236</v>
      </c>
      <c r="AM375" t="s">
        <v>7237</v>
      </c>
      <c r="AN375" t="s">
        <v>7238</v>
      </c>
      <c r="AO375" t="s">
        <v>7239</v>
      </c>
      <c r="AP375" t="s">
        <v>7240</v>
      </c>
      <c r="AQ375" t="s">
        <v>74</v>
      </c>
      <c r="AR375" t="s">
        <v>7241</v>
      </c>
      <c r="AS375" t="s">
        <v>7242</v>
      </c>
      <c r="AT375" t="s">
        <v>74</v>
      </c>
      <c r="AU375">
        <v>2024</v>
      </c>
      <c r="AV375">
        <v>21</v>
      </c>
      <c r="AW375" t="s">
        <v>74</v>
      </c>
      <c r="AX375" t="s">
        <v>74</v>
      </c>
      <c r="AY375" t="s">
        <v>74</v>
      </c>
      <c r="AZ375" t="s">
        <v>74</v>
      </c>
      <c r="BA375" t="s">
        <v>74</v>
      </c>
      <c r="BB375" t="s">
        <v>74</v>
      </c>
      <c r="BC375" t="s">
        <v>74</v>
      </c>
      <c r="BD375" t="s">
        <v>7243</v>
      </c>
      <c r="BE375" t="s">
        <v>7244</v>
      </c>
      <c r="BF375" t="str">
        <f>HYPERLINK("http://dx.doi.org/10.32870/cys.v2024.8627","http://dx.doi.org/10.32870/cys.v2024.8627")</f>
        <v>http://dx.doi.org/10.32870/cys.v2024.8627</v>
      </c>
      <c r="BG375" t="s">
        <v>74</v>
      </c>
      <c r="BH375" t="s">
        <v>74</v>
      </c>
      <c r="BI375">
        <v>25</v>
      </c>
      <c r="BJ375" t="s">
        <v>124</v>
      </c>
      <c r="BK375" t="s">
        <v>125</v>
      </c>
      <c r="BL375" t="s">
        <v>124</v>
      </c>
      <c r="BM375" t="s">
        <v>7245</v>
      </c>
      <c r="BN375" t="s">
        <v>74</v>
      </c>
      <c r="BO375" t="s">
        <v>235</v>
      </c>
      <c r="BP375" t="s">
        <v>74</v>
      </c>
      <c r="BQ375" t="s">
        <v>74</v>
      </c>
      <c r="BR375" t="s">
        <v>102</v>
      </c>
      <c r="BS375" t="s">
        <v>7246</v>
      </c>
      <c r="BT375" t="str">
        <f>HYPERLINK("https%3A%2F%2Fwww.webofscience.com%2Fwos%2Fwoscc%2Ffull-record%2FWOS:001197249900001","View Full Record in Web of Science")</f>
        <v>View Full Record in Web of Science</v>
      </c>
    </row>
    <row r="376" spans="1:72" x14ac:dyDescent="0.35">
      <c r="A376" t="s">
        <v>72</v>
      </c>
      <c r="B376" t="s">
        <v>7247</v>
      </c>
      <c r="C376" t="s">
        <v>74</v>
      </c>
      <c r="D376" t="s">
        <v>74</v>
      </c>
      <c r="E376" t="s">
        <v>74</v>
      </c>
      <c r="F376" t="s">
        <v>7248</v>
      </c>
      <c r="G376" t="s">
        <v>74</v>
      </c>
      <c r="H376" t="s">
        <v>74</v>
      </c>
      <c r="I376" t="s">
        <v>7249</v>
      </c>
      <c r="J376" t="s">
        <v>7250</v>
      </c>
      <c r="K376" t="s">
        <v>74</v>
      </c>
      <c r="L376" t="s">
        <v>74</v>
      </c>
      <c r="M376" t="s">
        <v>3503</v>
      </c>
      <c r="N376" t="s">
        <v>108</v>
      </c>
      <c r="O376" t="s">
        <v>74</v>
      </c>
      <c r="P376" t="s">
        <v>74</v>
      </c>
      <c r="Q376" t="s">
        <v>74</v>
      </c>
      <c r="R376" t="s">
        <v>74</v>
      </c>
      <c r="S376" t="s">
        <v>74</v>
      </c>
      <c r="T376" t="s">
        <v>7251</v>
      </c>
      <c r="U376" t="s">
        <v>74</v>
      </c>
      <c r="V376" t="s">
        <v>7252</v>
      </c>
      <c r="W376" t="s">
        <v>7253</v>
      </c>
      <c r="X376" t="s">
        <v>7254</v>
      </c>
      <c r="Y376" t="s">
        <v>7255</v>
      </c>
      <c r="Z376" t="s">
        <v>7256</v>
      </c>
      <c r="AA376" t="s">
        <v>7257</v>
      </c>
      <c r="AB376" t="s">
        <v>74</v>
      </c>
      <c r="AC376" t="s">
        <v>74</v>
      </c>
      <c r="AD376" t="s">
        <v>74</v>
      </c>
      <c r="AE376" t="s">
        <v>74</v>
      </c>
      <c r="AF376" t="s">
        <v>74</v>
      </c>
      <c r="AG376">
        <v>30</v>
      </c>
      <c r="AH376">
        <v>0</v>
      </c>
      <c r="AI376">
        <v>0</v>
      </c>
      <c r="AJ376">
        <v>0</v>
      </c>
      <c r="AK376">
        <v>0</v>
      </c>
      <c r="AL376" t="s">
        <v>7258</v>
      </c>
      <c r="AM376" t="s">
        <v>7259</v>
      </c>
      <c r="AN376" t="s">
        <v>7260</v>
      </c>
      <c r="AO376" t="s">
        <v>7261</v>
      </c>
      <c r="AP376" t="s">
        <v>74</v>
      </c>
      <c r="AQ376" t="s">
        <v>74</v>
      </c>
      <c r="AR376" t="s">
        <v>7262</v>
      </c>
      <c r="AS376" t="s">
        <v>7263</v>
      </c>
      <c r="AT376" t="s">
        <v>74</v>
      </c>
      <c r="AU376">
        <v>2023</v>
      </c>
      <c r="AV376">
        <v>24</v>
      </c>
      <c r="AW376">
        <v>58</v>
      </c>
      <c r="AX376" t="s">
        <v>74</v>
      </c>
      <c r="AY376" t="s">
        <v>74</v>
      </c>
      <c r="AZ376" t="s">
        <v>74</v>
      </c>
      <c r="BA376" t="s">
        <v>74</v>
      </c>
      <c r="BB376">
        <v>57</v>
      </c>
      <c r="BC376">
        <v>66</v>
      </c>
      <c r="BD376" t="s">
        <v>74</v>
      </c>
      <c r="BE376" t="s">
        <v>74</v>
      </c>
      <c r="BF376" t="s">
        <v>74</v>
      </c>
      <c r="BG376" t="s">
        <v>74</v>
      </c>
      <c r="BH376" t="s">
        <v>74</v>
      </c>
      <c r="BI376">
        <v>10</v>
      </c>
      <c r="BJ376" t="s">
        <v>3285</v>
      </c>
      <c r="BK376" t="s">
        <v>125</v>
      </c>
      <c r="BL376" t="s">
        <v>3285</v>
      </c>
      <c r="BM376" t="s">
        <v>7264</v>
      </c>
      <c r="BN376" t="s">
        <v>74</v>
      </c>
      <c r="BO376" t="s">
        <v>74</v>
      </c>
      <c r="BP376" t="s">
        <v>74</v>
      </c>
      <c r="BQ376" t="s">
        <v>74</v>
      </c>
      <c r="BR376" t="s">
        <v>102</v>
      </c>
      <c r="BS376" t="s">
        <v>7265</v>
      </c>
      <c r="BT376" t="str">
        <f>HYPERLINK("https%3A%2F%2Fwww.webofscience.com%2Fwos%2Fwoscc%2Ffull-record%2FWOS:001178134400012","View Full Record in Web of Science")</f>
        <v>View Full Record in Web of Science</v>
      </c>
    </row>
    <row r="377" spans="1:72" x14ac:dyDescent="0.35">
      <c r="A377" t="s">
        <v>72</v>
      </c>
      <c r="B377" t="s">
        <v>7266</v>
      </c>
      <c r="C377" t="s">
        <v>74</v>
      </c>
      <c r="D377" t="s">
        <v>74</v>
      </c>
      <c r="E377" t="s">
        <v>74</v>
      </c>
      <c r="F377" t="s">
        <v>7267</v>
      </c>
      <c r="G377" t="s">
        <v>74</v>
      </c>
      <c r="H377" t="s">
        <v>74</v>
      </c>
      <c r="I377" t="s">
        <v>7268</v>
      </c>
      <c r="J377" t="s">
        <v>968</v>
      </c>
      <c r="K377" t="s">
        <v>74</v>
      </c>
      <c r="L377" t="s">
        <v>74</v>
      </c>
      <c r="M377" t="s">
        <v>78</v>
      </c>
      <c r="N377" t="s">
        <v>108</v>
      </c>
      <c r="O377" t="s">
        <v>74</v>
      </c>
      <c r="P377" t="s">
        <v>74</v>
      </c>
      <c r="Q377" t="s">
        <v>74</v>
      </c>
      <c r="R377" t="s">
        <v>74</v>
      </c>
      <c r="S377" t="s">
        <v>74</v>
      </c>
      <c r="T377" t="s">
        <v>7269</v>
      </c>
      <c r="U377" t="s">
        <v>74</v>
      </c>
      <c r="V377" t="s">
        <v>7270</v>
      </c>
      <c r="W377" t="s">
        <v>7271</v>
      </c>
      <c r="X377" t="s">
        <v>7272</v>
      </c>
      <c r="Y377" t="s">
        <v>7273</v>
      </c>
      <c r="Z377" t="s">
        <v>7274</v>
      </c>
      <c r="AA377" t="s">
        <v>74</v>
      </c>
      <c r="AB377" t="s">
        <v>7275</v>
      </c>
      <c r="AC377" t="s">
        <v>74</v>
      </c>
      <c r="AD377" t="s">
        <v>74</v>
      </c>
      <c r="AE377" t="s">
        <v>74</v>
      </c>
      <c r="AF377" t="s">
        <v>74</v>
      </c>
      <c r="AG377">
        <v>45</v>
      </c>
      <c r="AH377">
        <v>0</v>
      </c>
      <c r="AI377">
        <v>0</v>
      </c>
      <c r="AJ377">
        <v>10</v>
      </c>
      <c r="AK377">
        <v>10</v>
      </c>
      <c r="AL377" t="s">
        <v>226</v>
      </c>
      <c r="AM377" t="s">
        <v>227</v>
      </c>
      <c r="AN377" t="s">
        <v>228</v>
      </c>
      <c r="AO377" t="s">
        <v>978</v>
      </c>
      <c r="AP377" t="s">
        <v>979</v>
      </c>
      <c r="AQ377" t="s">
        <v>74</v>
      </c>
      <c r="AR377" t="s">
        <v>980</v>
      </c>
      <c r="AS377" t="s">
        <v>981</v>
      </c>
      <c r="AT377" t="s">
        <v>523</v>
      </c>
      <c r="AU377">
        <v>2024</v>
      </c>
      <c r="AV377">
        <v>193</v>
      </c>
      <c r="AW377">
        <v>1</v>
      </c>
      <c r="AX377" t="s">
        <v>74</v>
      </c>
      <c r="AY377" t="s">
        <v>74</v>
      </c>
      <c r="AZ377" t="s">
        <v>456</v>
      </c>
      <c r="BA377" t="s">
        <v>74</v>
      </c>
      <c r="BB377">
        <v>65</v>
      </c>
      <c r="BC377">
        <v>79</v>
      </c>
      <c r="BD377" t="s">
        <v>74</v>
      </c>
      <c r="BE377" t="s">
        <v>7276</v>
      </c>
      <c r="BF377" t="str">
        <f>HYPERLINK("http://dx.doi.org/10.1177/1329878X241280235","http://dx.doi.org/10.1177/1329878X241280235")</f>
        <v>http://dx.doi.org/10.1177/1329878X241280235</v>
      </c>
      <c r="BG377" t="s">
        <v>74</v>
      </c>
      <c r="BH377" t="s">
        <v>337</v>
      </c>
      <c r="BI377">
        <v>15</v>
      </c>
      <c r="BJ377" t="s">
        <v>124</v>
      </c>
      <c r="BK377" t="s">
        <v>99</v>
      </c>
      <c r="BL377" t="s">
        <v>124</v>
      </c>
      <c r="BM377" t="s">
        <v>7277</v>
      </c>
      <c r="BN377" t="s">
        <v>74</v>
      </c>
      <c r="BO377" t="s">
        <v>74</v>
      </c>
      <c r="BP377" t="s">
        <v>74</v>
      </c>
      <c r="BQ377" t="s">
        <v>74</v>
      </c>
      <c r="BR377" t="s">
        <v>102</v>
      </c>
      <c r="BS377" t="s">
        <v>7278</v>
      </c>
      <c r="BT377" t="str">
        <f>HYPERLINK("https%3A%2F%2Fwww.webofscience.com%2Fwos%2Fwoscc%2Ffull-record%2FWOS:001321646600001","View Full Record in Web of Science")</f>
        <v>View Full Record in Web of Science</v>
      </c>
    </row>
    <row r="378" spans="1:72" x14ac:dyDescent="0.35">
      <c r="A378" t="s">
        <v>72</v>
      </c>
      <c r="B378" t="s">
        <v>7279</v>
      </c>
      <c r="C378" t="s">
        <v>74</v>
      </c>
      <c r="D378" t="s">
        <v>74</v>
      </c>
      <c r="E378" t="s">
        <v>74</v>
      </c>
      <c r="F378" t="s">
        <v>7280</v>
      </c>
      <c r="G378" t="s">
        <v>74</v>
      </c>
      <c r="H378" t="s">
        <v>74</v>
      </c>
      <c r="I378" t="s">
        <v>7281</v>
      </c>
      <c r="J378" t="s">
        <v>7282</v>
      </c>
      <c r="K378" t="s">
        <v>74</v>
      </c>
      <c r="L378" t="s">
        <v>74</v>
      </c>
      <c r="M378" t="s">
        <v>78</v>
      </c>
      <c r="N378" t="s">
        <v>108</v>
      </c>
      <c r="O378" t="s">
        <v>74</v>
      </c>
      <c r="P378" t="s">
        <v>74</v>
      </c>
      <c r="Q378" t="s">
        <v>74</v>
      </c>
      <c r="R378" t="s">
        <v>74</v>
      </c>
      <c r="S378" t="s">
        <v>74</v>
      </c>
      <c r="T378" t="s">
        <v>74</v>
      </c>
      <c r="U378" t="s">
        <v>7283</v>
      </c>
      <c r="V378" t="s">
        <v>7284</v>
      </c>
      <c r="W378" t="s">
        <v>7285</v>
      </c>
      <c r="X378" t="s">
        <v>7286</v>
      </c>
      <c r="Y378" t="s">
        <v>7287</v>
      </c>
      <c r="Z378" t="s">
        <v>7288</v>
      </c>
      <c r="AA378" t="s">
        <v>74</v>
      </c>
      <c r="AB378" t="s">
        <v>74</v>
      </c>
      <c r="AC378" t="s">
        <v>74</v>
      </c>
      <c r="AD378" t="s">
        <v>74</v>
      </c>
      <c r="AE378" t="s">
        <v>74</v>
      </c>
      <c r="AF378" t="s">
        <v>74</v>
      </c>
      <c r="AG378">
        <v>31</v>
      </c>
      <c r="AH378">
        <v>0</v>
      </c>
      <c r="AI378">
        <v>0</v>
      </c>
      <c r="AJ378">
        <v>17</v>
      </c>
      <c r="AK378">
        <v>19</v>
      </c>
      <c r="AL378" t="s">
        <v>7289</v>
      </c>
      <c r="AM378" t="s">
        <v>7290</v>
      </c>
      <c r="AN378" t="s">
        <v>7291</v>
      </c>
      <c r="AO378" t="s">
        <v>7292</v>
      </c>
      <c r="AP378" t="s">
        <v>7293</v>
      </c>
      <c r="AQ378" t="s">
        <v>74</v>
      </c>
      <c r="AR378" t="s">
        <v>7294</v>
      </c>
      <c r="AS378" t="s">
        <v>7295</v>
      </c>
      <c r="AT378" t="s">
        <v>364</v>
      </c>
      <c r="AU378">
        <v>2024</v>
      </c>
      <c r="AV378">
        <v>40</v>
      </c>
      <c r="AW378">
        <v>1</v>
      </c>
      <c r="AX378" t="s">
        <v>74</v>
      </c>
      <c r="AY378" t="s">
        <v>74</v>
      </c>
      <c r="AZ378" t="s">
        <v>74</v>
      </c>
      <c r="BA378" t="s">
        <v>74</v>
      </c>
      <c r="BB378">
        <v>50</v>
      </c>
      <c r="BC378">
        <v>59</v>
      </c>
      <c r="BD378" t="s">
        <v>74</v>
      </c>
      <c r="BE378" t="s">
        <v>7296</v>
      </c>
      <c r="BF378" t="str">
        <f>HYPERLINK("http://dx.doi.org/10.2478/aoj-2024-0005","http://dx.doi.org/10.2478/aoj-2024-0005")</f>
        <v>http://dx.doi.org/10.2478/aoj-2024-0005</v>
      </c>
      <c r="BG378" t="s">
        <v>74</v>
      </c>
      <c r="BH378" t="s">
        <v>74</v>
      </c>
      <c r="BI378">
        <v>10</v>
      </c>
      <c r="BJ378" t="s">
        <v>599</v>
      </c>
      <c r="BK378" t="s">
        <v>209</v>
      </c>
      <c r="BL378" t="s">
        <v>599</v>
      </c>
      <c r="BM378" t="s">
        <v>7297</v>
      </c>
      <c r="BN378" t="s">
        <v>74</v>
      </c>
      <c r="BO378" t="s">
        <v>235</v>
      </c>
      <c r="BP378" t="s">
        <v>74</v>
      </c>
      <c r="BQ378" t="s">
        <v>74</v>
      </c>
      <c r="BR378" t="s">
        <v>102</v>
      </c>
      <c r="BS378" t="s">
        <v>7298</v>
      </c>
      <c r="BT378" t="str">
        <f>HYPERLINK("https%3A%2F%2Fwww.webofscience.com%2Fwos%2Fwoscc%2Ffull-record%2FWOS:001180708100002","View Full Record in Web of Science")</f>
        <v>View Full Record in Web of Science</v>
      </c>
    </row>
    <row r="379" spans="1:72" x14ac:dyDescent="0.35">
      <c r="A379" t="s">
        <v>72</v>
      </c>
      <c r="B379" t="s">
        <v>7299</v>
      </c>
      <c r="C379" t="s">
        <v>74</v>
      </c>
      <c r="D379" t="s">
        <v>74</v>
      </c>
      <c r="E379" t="s">
        <v>74</v>
      </c>
      <c r="F379" t="s">
        <v>7300</v>
      </c>
      <c r="G379" t="s">
        <v>74</v>
      </c>
      <c r="H379" t="s">
        <v>74</v>
      </c>
      <c r="I379" t="s">
        <v>7301</v>
      </c>
      <c r="J379" t="s">
        <v>729</v>
      </c>
      <c r="K379" t="s">
        <v>74</v>
      </c>
      <c r="L379" t="s">
        <v>74</v>
      </c>
      <c r="M379" t="s">
        <v>78</v>
      </c>
      <c r="N379" t="s">
        <v>108</v>
      </c>
      <c r="O379" t="s">
        <v>74</v>
      </c>
      <c r="P379" t="s">
        <v>74</v>
      </c>
      <c r="Q379" t="s">
        <v>74</v>
      </c>
      <c r="R379" t="s">
        <v>74</v>
      </c>
      <c r="S379" t="s">
        <v>74</v>
      </c>
      <c r="T379" t="s">
        <v>7302</v>
      </c>
      <c r="U379" t="s">
        <v>7303</v>
      </c>
      <c r="V379" t="s">
        <v>7304</v>
      </c>
      <c r="W379" t="s">
        <v>7305</v>
      </c>
      <c r="X379" t="s">
        <v>7306</v>
      </c>
      <c r="Y379" t="s">
        <v>7307</v>
      </c>
      <c r="Z379" t="s">
        <v>7308</v>
      </c>
      <c r="AA379" t="s">
        <v>7309</v>
      </c>
      <c r="AB379" t="s">
        <v>7310</v>
      </c>
      <c r="AC379" t="s">
        <v>74</v>
      </c>
      <c r="AD379" t="s">
        <v>74</v>
      </c>
      <c r="AE379" t="s">
        <v>74</v>
      </c>
      <c r="AF379" t="s">
        <v>74</v>
      </c>
      <c r="AG379">
        <v>68</v>
      </c>
      <c r="AH379">
        <v>162</v>
      </c>
      <c r="AI379">
        <v>171</v>
      </c>
      <c r="AJ379">
        <v>82</v>
      </c>
      <c r="AK379">
        <v>763</v>
      </c>
      <c r="AL379" t="s">
        <v>171</v>
      </c>
      <c r="AM379" t="s">
        <v>172</v>
      </c>
      <c r="AN379" t="s">
        <v>173</v>
      </c>
      <c r="AO379" t="s">
        <v>741</v>
      </c>
      <c r="AP379" t="s">
        <v>742</v>
      </c>
      <c r="AQ379" t="s">
        <v>74</v>
      </c>
      <c r="AR379" t="s">
        <v>743</v>
      </c>
      <c r="AS379" t="s">
        <v>744</v>
      </c>
      <c r="AT379" t="s">
        <v>745</v>
      </c>
      <c r="AU379">
        <v>2021</v>
      </c>
      <c r="AV379">
        <v>9</v>
      </c>
      <c r="AW379">
        <v>2</v>
      </c>
      <c r="AX379" t="s">
        <v>74</v>
      </c>
      <c r="AY379" t="s">
        <v>74</v>
      </c>
      <c r="AZ379" t="s">
        <v>74</v>
      </c>
      <c r="BA379" t="s">
        <v>74</v>
      </c>
      <c r="BB379">
        <v>229</v>
      </c>
      <c r="BC379">
        <v>253</v>
      </c>
      <c r="BD379">
        <v>2050157920952120</v>
      </c>
      <c r="BE379" t="s">
        <v>7311</v>
      </c>
      <c r="BF379" t="str">
        <f>HYPERLINK("http://dx.doi.org/10.1177/2050157920952120","http://dx.doi.org/10.1177/2050157920952120")</f>
        <v>http://dx.doi.org/10.1177/2050157920952120</v>
      </c>
      <c r="BG379" t="s">
        <v>74</v>
      </c>
      <c r="BH379" t="s">
        <v>573</v>
      </c>
      <c r="BI379">
        <v>25</v>
      </c>
      <c r="BJ379" t="s">
        <v>124</v>
      </c>
      <c r="BK379" t="s">
        <v>99</v>
      </c>
      <c r="BL379" t="s">
        <v>124</v>
      </c>
      <c r="BM379" t="s">
        <v>7312</v>
      </c>
      <c r="BN379" t="s">
        <v>74</v>
      </c>
      <c r="BO379" t="s">
        <v>7313</v>
      </c>
      <c r="BP379" t="s">
        <v>395</v>
      </c>
      <c r="BQ379" t="s">
        <v>396</v>
      </c>
      <c r="BR379" t="s">
        <v>102</v>
      </c>
      <c r="BS379" t="s">
        <v>7314</v>
      </c>
      <c r="BT379" t="str">
        <f>HYPERLINK("https%3A%2F%2Fwww.webofscience.com%2Fwos%2Fwoscc%2Ffull-record%2FWOS:000568017100001","View Full Record in Web of Science")</f>
        <v>View Full Record in Web of Science</v>
      </c>
    </row>
    <row r="380" spans="1:72" x14ac:dyDescent="0.35">
      <c r="A380" t="s">
        <v>72</v>
      </c>
      <c r="B380" t="s">
        <v>7315</v>
      </c>
      <c r="C380" t="s">
        <v>74</v>
      </c>
      <c r="D380" t="s">
        <v>74</v>
      </c>
      <c r="E380" t="s">
        <v>74</v>
      </c>
      <c r="F380" t="s">
        <v>7316</v>
      </c>
      <c r="G380" t="s">
        <v>74</v>
      </c>
      <c r="H380" t="s">
        <v>74</v>
      </c>
      <c r="I380" t="s">
        <v>7317</v>
      </c>
      <c r="J380" t="s">
        <v>793</v>
      </c>
      <c r="K380" t="s">
        <v>74</v>
      </c>
      <c r="L380" t="s">
        <v>74</v>
      </c>
      <c r="M380" t="s">
        <v>78</v>
      </c>
      <c r="N380" t="s">
        <v>108</v>
      </c>
      <c r="O380" t="s">
        <v>74</v>
      </c>
      <c r="P380" t="s">
        <v>74</v>
      </c>
      <c r="Q380" t="s">
        <v>74</v>
      </c>
      <c r="R380" t="s">
        <v>74</v>
      </c>
      <c r="S380" t="s">
        <v>74</v>
      </c>
      <c r="T380" t="s">
        <v>7318</v>
      </c>
      <c r="U380" t="s">
        <v>6880</v>
      </c>
      <c r="V380" t="s">
        <v>7319</v>
      </c>
      <c r="W380" t="s">
        <v>7320</v>
      </c>
      <c r="X380" t="s">
        <v>7321</v>
      </c>
      <c r="Y380" t="s">
        <v>7322</v>
      </c>
      <c r="Z380" t="s">
        <v>7323</v>
      </c>
      <c r="AA380" t="s">
        <v>74</v>
      </c>
      <c r="AB380" t="s">
        <v>74</v>
      </c>
      <c r="AC380" t="s">
        <v>74</v>
      </c>
      <c r="AD380" t="s">
        <v>74</v>
      </c>
      <c r="AE380" t="s">
        <v>74</v>
      </c>
      <c r="AF380" t="s">
        <v>74</v>
      </c>
      <c r="AG380">
        <v>25</v>
      </c>
      <c r="AH380">
        <v>1</v>
      </c>
      <c r="AI380">
        <v>1</v>
      </c>
      <c r="AJ380">
        <v>0</v>
      </c>
      <c r="AK380">
        <v>5</v>
      </c>
      <c r="AL380" t="s">
        <v>803</v>
      </c>
      <c r="AM380" t="s">
        <v>227</v>
      </c>
      <c r="AN380" t="s">
        <v>804</v>
      </c>
      <c r="AO380" t="s">
        <v>74</v>
      </c>
      <c r="AP380" t="s">
        <v>805</v>
      </c>
      <c r="AQ380" t="s">
        <v>74</v>
      </c>
      <c r="AR380" t="s">
        <v>806</v>
      </c>
      <c r="AS380" t="s">
        <v>807</v>
      </c>
      <c r="AT380" t="s">
        <v>7324</v>
      </c>
      <c r="AU380">
        <v>2023</v>
      </c>
      <c r="AV380">
        <v>15</v>
      </c>
      <c r="AW380">
        <v>4</v>
      </c>
      <c r="AX380" t="s">
        <v>74</v>
      </c>
      <c r="AY380" t="s">
        <v>74</v>
      </c>
      <c r="AZ380" t="s">
        <v>74</v>
      </c>
      <c r="BA380" t="s">
        <v>74</v>
      </c>
      <c r="BB380" t="s">
        <v>74</v>
      </c>
      <c r="BC380" t="s">
        <v>74</v>
      </c>
      <c r="BD380" t="s">
        <v>74</v>
      </c>
      <c r="BE380" t="s">
        <v>7325</v>
      </c>
      <c r="BF380" t="str">
        <f>HYPERLINK("http://dx.doi.org/10.7759/cureus.37957","http://dx.doi.org/10.7759/cureus.37957")</f>
        <v>http://dx.doi.org/10.7759/cureus.37957</v>
      </c>
      <c r="BG380" t="s">
        <v>74</v>
      </c>
      <c r="BH380" t="s">
        <v>74</v>
      </c>
      <c r="BI380">
        <v>9</v>
      </c>
      <c r="BJ380" t="s">
        <v>811</v>
      </c>
      <c r="BK380" t="s">
        <v>125</v>
      </c>
      <c r="BL380" t="s">
        <v>812</v>
      </c>
      <c r="BM380" t="s">
        <v>7326</v>
      </c>
      <c r="BN380">
        <v>37223167</v>
      </c>
      <c r="BO380" t="s">
        <v>394</v>
      </c>
      <c r="BP380" t="s">
        <v>74</v>
      </c>
      <c r="BQ380" t="s">
        <v>74</v>
      </c>
      <c r="BR380" t="s">
        <v>102</v>
      </c>
      <c r="BS380" t="s">
        <v>7327</v>
      </c>
      <c r="BT380" t="str">
        <f>HYPERLINK("https%3A%2F%2Fwww.webofscience.com%2Fwos%2Fwoscc%2Ffull-record%2FWOS:000995922600039","View Full Record in Web of Science")</f>
        <v>View Full Record in Web of Science</v>
      </c>
    </row>
    <row r="381" spans="1:72" x14ac:dyDescent="0.35">
      <c r="A381" t="s">
        <v>72</v>
      </c>
      <c r="B381" t="s">
        <v>7328</v>
      </c>
      <c r="C381" t="s">
        <v>74</v>
      </c>
      <c r="D381" t="s">
        <v>74</v>
      </c>
      <c r="E381" t="s">
        <v>74</v>
      </c>
      <c r="F381" t="s">
        <v>7329</v>
      </c>
      <c r="G381" t="s">
        <v>74</v>
      </c>
      <c r="H381" t="s">
        <v>74</v>
      </c>
      <c r="I381" t="s">
        <v>7330</v>
      </c>
      <c r="J381" t="s">
        <v>7331</v>
      </c>
      <c r="K381" t="s">
        <v>74</v>
      </c>
      <c r="L381" t="s">
        <v>74</v>
      </c>
      <c r="M381" t="s">
        <v>7332</v>
      </c>
      <c r="N381" t="s">
        <v>108</v>
      </c>
      <c r="O381" t="s">
        <v>74</v>
      </c>
      <c r="P381" t="s">
        <v>74</v>
      </c>
      <c r="Q381" t="s">
        <v>74</v>
      </c>
      <c r="R381" t="s">
        <v>74</v>
      </c>
      <c r="S381" t="s">
        <v>74</v>
      </c>
      <c r="T381" t="s">
        <v>7333</v>
      </c>
      <c r="U381" t="s">
        <v>74</v>
      </c>
      <c r="V381" t="s">
        <v>7334</v>
      </c>
      <c r="W381" t="s">
        <v>7335</v>
      </c>
      <c r="X381" t="s">
        <v>74</v>
      </c>
      <c r="Y381" t="s">
        <v>7336</v>
      </c>
      <c r="Z381" t="s">
        <v>7337</v>
      </c>
      <c r="AA381" t="s">
        <v>6008</v>
      </c>
      <c r="AB381" t="s">
        <v>7338</v>
      </c>
      <c r="AC381" t="s">
        <v>74</v>
      </c>
      <c r="AD381" t="s">
        <v>74</v>
      </c>
      <c r="AE381" t="s">
        <v>74</v>
      </c>
      <c r="AF381" t="s">
        <v>74</v>
      </c>
      <c r="AG381">
        <v>45</v>
      </c>
      <c r="AH381">
        <v>0</v>
      </c>
      <c r="AI381">
        <v>1</v>
      </c>
      <c r="AJ381">
        <v>1</v>
      </c>
      <c r="AK381">
        <v>49</v>
      </c>
      <c r="AL381" t="s">
        <v>7339</v>
      </c>
      <c r="AM381" t="s">
        <v>7340</v>
      </c>
      <c r="AN381" t="s">
        <v>7341</v>
      </c>
      <c r="AO381" t="s">
        <v>7342</v>
      </c>
      <c r="AP381" t="s">
        <v>7343</v>
      </c>
      <c r="AQ381" t="s">
        <v>74</v>
      </c>
      <c r="AR381" t="s">
        <v>7344</v>
      </c>
      <c r="AS381" t="s">
        <v>7345</v>
      </c>
      <c r="AT381" t="s">
        <v>7346</v>
      </c>
      <c r="AU381">
        <v>2021</v>
      </c>
      <c r="AV381" t="s">
        <v>74</v>
      </c>
      <c r="AW381">
        <v>147</v>
      </c>
      <c r="AX381" t="s">
        <v>74</v>
      </c>
      <c r="AY381" t="s">
        <v>74</v>
      </c>
      <c r="AZ381" t="s">
        <v>74</v>
      </c>
      <c r="BA381" t="s">
        <v>74</v>
      </c>
      <c r="BB381">
        <v>81</v>
      </c>
      <c r="BC381">
        <v>103</v>
      </c>
      <c r="BD381" t="s">
        <v>74</v>
      </c>
      <c r="BE381" t="s">
        <v>74</v>
      </c>
      <c r="BF381" t="s">
        <v>74</v>
      </c>
      <c r="BG381" t="s">
        <v>74</v>
      </c>
      <c r="BH381" t="s">
        <v>74</v>
      </c>
      <c r="BI381">
        <v>23</v>
      </c>
      <c r="BJ381" t="s">
        <v>124</v>
      </c>
      <c r="BK381" t="s">
        <v>125</v>
      </c>
      <c r="BL381" t="s">
        <v>124</v>
      </c>
      <c r="BM381" t="s">
        <v>7347</v>
      </c>
      <c r="BN381" t="s">
        <v>74</v>
      </c>
      <c r="BO381" t="s">
        <v>74</v>
      </c>
      <c r="BP381" t="s">
        <v>74</v>
      </c>
      <c r="BQ381" t="s">
        <v>74</v>
      </c>
      <c r="BR381" t="s">
        <v>102</v>
      </c>
      <c r="BS381" t="s">
        <v>7348</v>
      </c>
      <c r="BT381" t="str">
        <f>HYPERLINK("https%3A%2F%2Fwww.webofscience.com%2Fwos%2Fwoscc%2Ffull-record%2FWOS:000688499800006","View Full Record in Web of Science")</f>
        <v>View Full Record in Web of Science</v>
      </c>
    </row>
    <row r="382" spans="1:72" x14ac:dyDescent="0.35">
      <c r="A382" t="s">
        <v>72</v>
      </c>
      <c r="B382" t="s">
        <v>7349</v>
      </c>
      <c r="C382" t="s">
        <v>74</v>
      </c>
      <c r="D382" t="s">
        <v>74</v>
      </c>
      <c r="E382" t="s">
        <v>74</v>
      </c>
      <c r="F382" t="s">
        <v>7350</v>
      </c>
      <c r="G382" t="s">
        <v>74</v>
      </c>
      <c r="H382" t="s">
        <v>74</v>
      </c>
      <c r="I382" t="s">
        <v>7351</v>
      </c>
      <c r="J382" t="s">
        <v>7352</v>
      </c>
      <c r="K382" t="s">
        <v>74</v>
      </c>
      <c r="L382" t="s">
        <v>74</v>
      </c>
      <c r="M382" t="s">
        <v>78</v>
      </c>
      <c r="N382" t="s">
        <v>108</v>
      </c>
      <c r="O382" t="s">
        <v>74</v>
      </c>
      <c r="P382" t="s">
        <v>74</v>
      </c>
      <c r="Q382" t="s">
        <v>74</v>
      </c>
      <c r="R382" t="s">
        <v>74</v>
      </c>
      <c r="S382" t="s">
        <v>74</v>
      </c>
      <c r="T382" t="s">
        <v>7353</v>
      </c>
      <c r="U382" t="s">
        <v>74</v>
      </c>
      <c r="V382" t="s">
        <v>7354</v>
      </c>
      <c r="W382" t="s">
        <v>7355</v>
      </c>
      <c r="X382" t="s">
        <v>7356</v>
      </c>
      <c r="Y382" t="s">
        <v>7357</v>
      </c>
      <c r="Z382" t="s">
        <v>7358</v>
      </c>
      <c r="AA382" t="s">
        <v>74</v>
      </c>
      <c r="AB382" t="s">
        <v>7359</v>
      </c>
      <c r="AC382" t="s">
        <v>74</v>
      </c>
      <c r="AD382" t="s">
        <v>74</v>
      </c>
      <c r="AE382" t="s">
        <v>74</v>
      </c>
      <c r="AF382" t="s">
        <v>74</v>
      </c>
      <c r="AG382">
        <v>12</v>
      </c>
      <c r="AH382">
        <v>2</v>
      </c>
      <c r="AI382">
        <v>2</v>
      </c>
      <c r="AJ382">
        <v>0</v>
      </c>
      <c r="AK382">
        <v>1</v>
      </c>
      <c r="AL382" t="s">
        <v>251</v>
      </c>
      <c r="AM382" t="s">
        <v>252</v>
      </c>
      <c r="AN382" t="s">
        <v>253</v>
      </c>
      <c r="AO382" t="s">
        <v>7360</v>
      </c>
      <c r="AP382" t="s">
        <v>74</v>
      </c>
      <c r="AQ382" t="s">
        <v>74</v>
      </c>
      <c r="AR382" t="s">
        <v>7361</v>
      </c>
      <c r="AS382" t="s">
        <v>7362</v>
      </c>
      <c r="AT382" t="s">
        <v>1275</v>
      </c>
      <c r="AU382">
        <v>2023</v>
      </c>
      <c r="AV382">
        <v>8</v>
      </c>
      <c r="AW382">
        <v>6</v>
      </c>
      <c r="AX382" t="s">
        <v>74</v>
      </c>
      <c r="AY382" t="s">
        <v>74</v>
      </c>
      <c r="AZ382" t="s">
        <v>74</v>
      </c>
      <c r="BA382" t="s">
        <v>74</v>
      </c>
      <c r="BB382">
        <v>1516</v>
      </c>
      <c r="BC382">
        <v>1521</v>
      </c>
      <c r="BD382" t="s">
        <v>74</v>
      </c>
      <c r="BE382" t="s">
        <v>7363</v>
      </c>
      <c r="BF382" t="str">
        <f>HYPERLINK("http://dx.doi.org/10.1002/lio2.1186","http://dx.doi.org/10.1002/lio2.1186")</f>
        <v>http://dx.doi.org/10.1002/lio2.1186</v>
      </c>
      <c r="BG382" t="s">
        <v>74</v>
      </c>
      <c r="BH382" t="s">
        <v>674</v>
      </c>
      <c r="BI382">
        <v>6</v>
      </c>
      <c r="BJ382" t="s">
        <v>2057</v>
      </c>
      <c r="BK382" t="s">
        <v>209</v>
      </c>
      <c r="BL382" t="s">
        <v>2057</v>
      </c>
      <c r="BM382" t="s">
        <v>7364</v>
      </c>
      <c r="BN382">
        <v>38130260</v>
      </c>
      <c r="BO382" t="s">
        <v>552</v>
      </c>
      <c r="BP382" t="s">
        <v>74</v>
      </c>
      <c r="BQ382" t="s">
        <v>74</v>
      </c>
      <c r="BR382" t="s">
        <v>102</v>
      </c>
      <c r="BS382" t="s">
        <v>7365</v>
      </c>
      <c r="BT382" t="str">
        <f>HYPERLINK("https%3A%2F%2Fwww.webofscience.com%2Fwos%2Fwoscc%2Ffull-record%2FWOS:001105842700001","View Full Record in Web of Science")</f>
        <v>View Full Record in Web of Science</v>
      </c>
    </row>
    <row r="383" spans="1:72" x14ac:dyDescent="0.35">
      <c r="A383" t="s">
        <v>72</v>
      </c>
      <c r="B383" t="s">
        <v>7366</v>
      </c>
      <c r="C383" t="s">
        <v>74</v>
      </c>
      <c r="D383" t="s">
        <v>74</v>
      </c>
      <c r="E383" t="s">
        <v>74</v>
      </c>
      <c r="F383" t="s">
        <v>7367</v>
      </c>
      <c r="G383" t="s">
        <v>74</v>
      </c>
      <c r="H383" t="s">
        <v>74</v>
      </c>
      <c r="I383" t="s">
        <v>7368</v>
      </c>
      <c r="J383" t="s">
        <v>280</v>
      </c>
      <c r="K383" t="s">
        <v>74</v>
      </c>
      <c r="L383" t="s">
        <v>74</v>
      </c>
      <c r="M383" t="s">
        <v>78</v>
      </c>
      <c r="N383" t="s">
        <v>108</v>
      </c>
      <c r="O383" t="s">
        <v>74</v>
      </c>
      <c r="P383" t="s">
        <v>74</v>
      </c>
      <c r="Q383" t="s">
        <v>74</v>
      </c>
      <c r="R383" t="s">
        <v>74</v>
      </c>
      <c r="S383" t="s">
        <v>74</v>
      </c>
      <c r="T383" t="s">
        <v>74</v>
      </c>
      <c r="U383" t="s">
        <v>7369</v>
      </c>
      <c r="V383" t="s">
        <v>7370</v>
      </c>
      <c r="W383" t="s">
        <v>7371</v>
      </c>
      <c r="X383" t="s">
        <v>7372</v>
      </c>
      <c r="Y383" t="s">
        <v>7373</v>
      </c>
      <c r="Z383" t="s">
        <v>7374</v>
      </c>
      <c r="AA383" t="s">
        <v>7375</v>
      </c>
      <c r="AB383" t="s">
        <v>7376</v>
      </c>
      <c r="AC383" t="s">
        <v>74</v>
      </c>
      <c r="AD383" t="s">
        <v>74</v>
      </c>
      <c r="AE383" t="s">
        <v>74</v>
      </c>
      <c r="AF383" t="s">
        <v>74</v>
      </c>
      <c r="AG383">
        <v>91</v>
      </c>
      <c r="AH383">
        <v>7</v>
      </c>
      <c r="AI383">
        <v>8</v>
      </c>
      <c r="AJ383">
        <v>12</v>
      </c>
      <c r="AK383">
        <v>63</v>
      </c>
      <c r="AL383" t="s">
        <v>290</v>
      </c>
      <c r="AM383" t="s">
        <v>291</v>
      </c>
      <c r="AN383" t="s">
        <v>292</v>
      </c>
      <c r="AO383" t="s">
        <v>293</v>
      </c>
      <c r="AP383" t="s">
        <v>294</v>
      </c>
      <c r="AQ383" t="s">
        <v>74</v>
      </c>
      <c r="AR383" t="s">
        <v>295</v>
      </c>
      <c r="AS383" t="s">
        <v>296</v>
      </c>
      <c r="AT383" t="s">
        <v>594</v>
      </c>
      <c r="AU383">
        <v>2023</v>
      </c>
      <c r="AV383">
        <v>147</v>
      </c>
      <c r="AW383" t="s">
        <v>74</v>
      </c>
      <c r="AX383" t="s">
        <v>74</v>
      </c>
      <c r="AY383" t="s">
        <v>74</v>
      </c>
      <c r="AZ383" t="s">
        <v>74</v>
      </c>
      <c r="BA383" t="s">
        <v>74</v>
      </c>
      <c r="BB383" t="s">
        <v>74</v>
      </c>
      <c r="BC383" t="s">
        <v>74</v>
      </c>
      <c r="BD383">
        <v>107856</v>
      </c>
      <c r="BE383" t="s">
        <v>7377</v>
      </c>
      <c r="BF383" t="str">
        <f>HYPERLINK("http://dx.doi.org/10.1016/j.chb.2023.107856","http://dx.doi.org/10.1016/j.chb.2023.107856")</f>
        <v>http://dx.doi.org/10.1016/j.chb.2023.107856</v>
      </c>
      <c r="BG383" t="s">
        <v>74</v>
      </c>
      <c r="BH383" t="s">
        <v>1180</v>
      </c>
      <c r="BI383">
        <v>15</v>
      </c>
      <c r="BJ383" t="s">
        <v>300</v>
      </c>
      <c r="BK383" t="s">
        <v>99</v>
      </c>
      <c r="BL383" t="s">
        <v>301</v>
      </c>
      <c r="BM383" t="s">
        <v>7378</v>
      </c>
      <c r="BN383" t="s">
        <v>74</v>
      </c>
      <c r="BO383" t="s">
        <v>156</v>
      </c>
      <c r="BP383" t="s">
        <v>74</v>
      </c>
      <c r="BQ383" t="s">
        <v>74</v>
      </c>
      <c r="BR383" t="s">
        <v>102</v>
      </c>
      <c r="BS383" t="s">
        <v>7379</v>
      </c>
      <c r="BT383" t="str">
        <f>HYPERLINK("https%3A%2F%2Fwww.webofscience.com%2Fwos%2Fwoscc%2Ffull-record%2FWOS:001040304200001","View Full Record in Web of Science")</f>
        <v>View Full Record in Web of Science</v>
      </c>
    </row>
    <row r="384" spans="1:72" x14ac:dyDescent="0.35">
      <c r="A384" t="s">
        <v>72</v>
      </c>
      <c r="B384" t="s">
        <v>7380</v>
      </c>
      <c r="C384" t="s">
        <v>74</v>
      </c>
      <c r="D384" t="s">
        <v>74</v>
      </c>
      <c r="E384" t="s">
        <v>74</v>
      </c>
      <c r="F384" t="s">
        <v>7381</v>
      </c>
      <c r="G384" t="s">
        <v>74</v>
      </c>
      <c r="H384" t="s">
        <v>74</v>
      </c>
      <c r="I384" t="s">
        <v>7382</v>
      </c>
      <c r="J384" t="s">
        <v>373</v>
      </c>
      <c r="K384" t="s">
        <v>74</v>
      </c>
      <c r="L384" t="s">
        <v>74</v>
      </c>
      <c r="M384" t="s">
        <v>78</v>
      </c>
      <c r="N384" t="s">
        <v>108</v>
      </c>
      <c r="O384" t="s">
        <v>74</v>
      </c>
      <c r="P384" t="s">
        <v>74</v>
      </c>
      <c r="Q384" t="s">
        <v>74</v>
      </c>
      <c r="R384" t="s">
        <v>74</v>
      </c>
      <c r="S384" t="s">
        <v>74</v>
      </c>
      <c r="T384" t="s">
        <v>7383</v>
      </c>
      <c r="U384" t="s">
        <v>7384</v>
      </c>
      <c r="V384" t="s">
        <v>7385</v>
      </c>
      <c r="W384" t="s">
        <v>7386</v>
      </c>
      <c r="X384" t="s">
        <v>7387</v>
      </c>
      <c r="Y384" t="s">
        <v>7388</v>
      </c>
      <c r="Z384" t="s">
        <v>7389</v>
      </c>
      <c r="AA384" t="s">
        <v>7390</v>
      </c>
      <c r="AB384" t="s">
        <v>74</v>
      </c>
      <c r="AC384" t="s">
        <v>7391</v>
      </c>
      <c r="AD384" t="s">
        <v>7392</v>
      </c>
      <c r="AE384" t="s">
        <v>7393</v>
      </c>
      <c r="AF384" t="s">
        <v>74</v>
      </c>
      <c r="AG384">
        <v>36</v>
      </c>
      <c r="AH384">
        <v>10</v>
      </c>
      <c r="AI384">
        <v>10</v>
      </c>
      <c r="AJ384">
        <v>5</v>
      </c>
      <c r="AK384">
        <v>36</v>
      </c>
      <c r="AL384" t="s">
        <v>384</v>
      </c>
      <c r="AM384" t="s">
        <v>385</v>
      </c>
      <c r="AN384" t="s">
        <v>386</v>
      </c>
      <c r="AO384" t="s">
        <v>74</v>
      </c>
      <c r="AP384" t="s">
        <v>387</v>
      </c>
      <c r="AQ384" t="s">
        <v>74</v>
      </c>
      <c r="AR384" t="s">
        <v>388</v>
      </c>
      <c r="AS384" t="s">
        <v>389</v>
      </c>
      <c r="AT384" t="s">
        <v>7394</v>
      </c>
      <c r="AU384">
        <v>2023</v>
      </c>
      <c r="AV384">
        <v>10</v>
      </c>
      <c r="AW384" t="s">
        <v>74</v>
      </c>
      <c r="AX384" t="s">
        <v>74</v>
      </c>
      <c r="AY384" t="s">
        <v>74</v>
      </c>
      <c r="AZ384" t="s">
        <v>74</v>
      </c>
      <c r="BA384" t="s">
        <v>74</v>
      </c>
      <c r="BB384" t="s">
        <v>74</v>
      </c>
      <c r="BC384" t="s">
        <v>74</v>
      </c>
      <c r="BD384">
        <v>1068582</v>
      </c>
      <c r="BE384" t="s">
        <v>7395</v>
      </c>
      <c r="BF384" t="str">
        <f>HYPERLINK("http://dx.doi.org/10.3389/fpubh.2022.1068582","http://dx.doi.org/10.3389/fpubh.2022.1068582")</f>
        <v>http://dx.doi.org/10.3389/fpubh.2022.1068582</v>
      </c>
      <c r="BG384" t="s">
        <v>74</v>
      </c>
      <c r="BH384" t="s">
        <v>74</v>
      </c>
      <c r="BI384">
        <v>11</v>
      </c>
      <c r="BJ384" t="s">
        <v>392</v>
      </c>
      <c r="BK384" t="s">
        <v>182</v>
      </c>
      <c r="BL384" t="s">
        <v>392</v>
      </c>
      <c r="BM384" t="s">
        <v>7396</v>
      </c>
      <c r="BN384">
        <v>36684892</v>
      </c>
      <c r="BO384" t="s">
        <v>552</v>
      </c>
      <c r="BP384" t="s">
        <v>74</v>
      </c>
      <c r="BQ384" t="s">
        <v>74</v>
      </c>
      <c r="BR384" t="s">
        <v>102</v>
      </c>
      <c r="BS384" t="s">
        <v>7397</v>
      </c>
      <c r="BT384" t="str">
        <f>HYPERLINK("https%3A%2F%2Fwww.webofscience.com%2Fwos%2Fwoscc%2Ffull-record%2FWOS:000917827300001","View Full Record in Web of Science")</f>
        <v>View Full Record in Web of Science</v>
      </c>
    </row>
    <row r="385" spans="1:72" x14ac:dyDescent="0.35">
      <c r="A385" t="s">
        <v>72</v>
      </c>
      <c r="B385" t="s">
        <v>7398</v>
      </c>
      <c r="C385" t="s">
        <v>74</v>
      </c>
      <c r="D385" t="s">
        <v>74</v>
      </c>
      <c r="E385" t="s">
        <v>74</v>
      </c>
      <c r="F385" t="s">
        <v>7399</v>
      </c>
      <c r="G385" t="s">
        <v>74</v>
      </c>
      <c r="H385" t="s">
        <v>74</v>
      </c>
      <c r="I385" t="s">
        <v>7400</v>
      </c>
      <c r="J385" t="s">
        <v>7401</v>
      </c>
      <c r="K385" t="s">
        <v>74</v>
      </c>
      <c r="L385" t="s">
        <v>74</v>
      </c>
      <c r="M385" t="s">
        <v>78</v>
      </c>
      <c r="N385" t="s">
        <v>108</v>
      </c>
      <c r="O385" t="s">
        <v>74</v>
      </c>
      <c r="P385" t="s">
        <v>74</v>
      </c>
      <c r="Q385" t="s">
        <v>74</v>
      </c>
      <c r="R385" t="s">
        <v>74</v>
      </c>
      <c r="S385" t="s">
        <v>74</v>
      </c>
      <c r="T385" t="s">
        <v>7402</v>
      </c>
      <c r="U385" t="s">
        <v>7403</v>
      </c>
      <c r="V385" t="s">
        <v>7404</v>
      </c>
      <c r="W385" t="s">
        <v>7405</v>
      </c>
      <c r="X385" t="s">
        <v>7406</v>
      </c>
      <c r="Y385" t="s">
        <v>7407</v>
      </c>
      <c r="Z385" t="s">
        <v>2285</v>
      </c>
      <c r="AA385" t="s">
        <v>2286</v>
      </c>
      <c r="AB385" t="s">
        <v>7408</v>
      </c>
      <c r="AC385" t="s">
        <v>7409</v>
      </c>
      <c r="AD385" t="s">
        <v>7410</v>
      </c>
      <c r="AE385" t="s">
        <v>7411</v>
      </c>
      <c r="AF385" t="s">
        <v>74</v>
      </c>
      <c r="AG385">
        <v>63</v>
      </c>
      <c r="AH385">
        <v>2</v>
      </c>
      <c r="AI385">
        <v>2</v>
      </c>
      <c r="AJ385">
        <v>26</v>
      </c>
      <c r="AK385">
        <v>90</v>
      </c>
      <c r="AL385" t="s">
        <v>2290</v>
      </c>
      <c r="AM385" t="s">
        <v>2291</v>
      </c>
      <c r="AN385" t="s">
        <v>2292</v>
      </c>
      <c r="AO385" t="s">
        <v>7412</v>
      </c>
      <c r="AP385" t="s">
        <v>74</v>
      </c>
      <c r="AQ385" t="s">
        <v>74</v>
      </c>
      <c r="AR385" t="s">
        <v>7413</v>
      </c>
      <c r="AS385" t="s">
        <v>7414</v>
      </c>
      <c r="AT385" t="s">
        <v>2296</v>
      </c>
      <c r="AU385">
        <v>2024</v>
      </c>
      <c r="AV385">
        <v>10</v>
      </c>
      <c r="AW385">
        <v>1</v>
      </c>
      <c r="AX385" t="s">
        <v>74</v>
      </c>
      <c r="AY385" t="s">
        <v>74</v>
      </c>
      <c r="AZ385" t="s">
        <v>74</v>
      </c>
      <c r="BA385" t="s">
        <v>74</v>
      </c>
      <c r="BB385" t="s">
        <v>74</v>
      </c>
      <c r="BC385" t="s">
        <v>74</v>
      </c>
      <c r="BD385">
        <v>2292759</v>
      </c>
      <c r="BE385" t="s">
        <v>7415</v>
      </c>
      <c r="BF385" t="str">
        <f>HYPERLINK("http://dx.doi.org/10.1080/23311886.2023.2292759","http://dx.doi.org/10.1080/23311886.2023.2292759")</f>
        <v>http://dx.doi.org/10.1080/23311886.2023.2292759</v>
      </c>
      <c r="BG385" t="s">
        <v>74</v>
      </c>
      <c r="BH385" t="s">
        <v>74</v>
      </c>
      <c r="BI385">
        <v>21</v>
      </c>
      <c r="BJ385" t="s">
        <v>98</v>
      </c>
      <c r="BK385" t="s">
        <v>125</v>
      </c>
      <c r="BL385" t="s">
        <v>100</v>
      </c>
      <c r="BM385" t="s">
        <v>7416</v>
      </c>
      <c r="BN385" t="s">
        <v>74</v>
      </c>
      <c r="BO385" t="s">
        <v>235</v>
      </c>
      <c r="BP385" t="s">
        <v>74</v>
      </c>
      <c r="BQ385" t="s">
        <v>74</v>
      </c>
      <c r="BR385" t="s">
        <v>102</v>
      </c>
      <c r="BS385" t="s">
        <v>7417</v>
      </c>
      <c r="BT385" t="str">
        <f>HYPERLINK("https%3A%2F%2Fwww.webofscience.com%2Fwos%2Fwoscc%2Ffull-record%2FWOS:001124716100001","View Full Record in Web of Science")</f>
        <v>View Full Record in Web of Science</v>
      </c>
    </row>
    <row r="386" spans="1:72" x14ac:dyDescent="0.35">
      <c r="A386" t="s">
        <v>72</v>
      </c>
      <c r="B386" t="s">
        <v>7418</v>
      </c>
      <c r="C386" t="s">
        <v>74</v>
      </c>
      <c r="D386" t="s">
        <v>74</v>
      </c>
      <c r="E386" t="s">
        <v>74</v>
      </c>
      <c r="F386" t="s">
        <v>7419</v>
      </c>
      <c r="G386" t="s">
        <v>74</v>
      </c>
      <c r="H386" t="s">
        <v>74</v>
      </c>
      <c r="I386" t="s">
        <v>7420</v>
      </c>
      <c r="J386" t="s">
        <v>7421</v>
      </c>
      <c r="K386" t="s">
        <v>74</v>
      </c>
      <c r="L386" t="s">
        <v>74</v>
      </c>
      <c r="M386" t="s">
        <v>78</v>
      </c>
      <c r="N386" t="s">
        <v>108</v>
      </c>
      <c r="O386" t="s">
        <v>74</v>
      </c>
      <c r="P386" t="s">
        <v>74</v>
      </c>
      <c r="Q386" t="s">
        <v>74</v>
      </c>
      <c r="R386" t="s">
        <v>74</v>
      </c>
      <c r="S386" t="s">
        <v>74</v>
      </c>
      <c r="T386" t="s">
        <v>7422</v>
      </c>
      <c r="U386" t="s">
        <v>7423</v>
      </c>
      <c r="V386" t="s">
        <v>7424</v>
      </c>
      <c r="W386" t="s">
        <v>7425</v>
      </c>
      <c r="X386" t="s">
        <v>7426</v>
      </c>
      <c r="Y386" t="s">
        <v>7427</v>
      </c>
      <c r="Z386" t="s">
        <v>7428</v>
      </c>
      <c r="AA386" t="s">
        <v>7429</v>
      </c>
      <c r="AB386" t="s">
        <v>7430</v>
      </c>
      <c r="AC386" t="s">
        <v>74</v>
      </c>
      <c r="AD386" t="s">
        <v>74</v>
      </c>
      <c r="AE386" t="s">
        <v>74</v>
      </c>
      <c r="AF386" t="s">
        <v>74</v>
      </c>
      <c r="AG386">
        <v>38</v>
      </c>
      <c r="AH386">
        <v>93</v>
      </c>
      <c r="AI386">
        <v>99</v>
      </c>
      <c r="AJ386">
        <v>43</v>
      </c>
      <c r="AK386">
        <v>223</v>
      </c>
      <c r="AL386" t="s">
        <v>171</v>
      </c>
      <c r="AM386" t="s">
        <v>172</v>
      </c>
      <c r="AN386" t="s">
        <v>173</v>
      </c>
      <c r="AO386" t="s">
        <v>7431</v>
      </c>
      <c r="AP386" t="s">
        <v>7432</v>
      </c>
      <c r="AQ386" t="s">
        <v>74</v>
      </c>
      <c r="AR386" t="s">
        <v>7433</v>
      </c>
      <c r="AS386" t="s">
        <v>7434</v>
      </c>
      <c r="AT386" t="s">
        <v>1275</v>
      </c>
      <c r="AU386">
        <v>2022</v>
      </c>
      <c r="AV386">
        <v>67</v>
      </c>
      <c r="AW386">
        <v>12</v>
      </c>
      <c r="AX386" t="s">
        <v>74</v>
      </c>
      <c r="AY386" t="s">
        <v>74</v>
      </c>
      <c r="AZ386" t="s">
        <v>74</v>
      </c>
      <c r="BA386" t="s">
        <v>74</v>
      </c>
      <c r="BB386">
        <v>899</v>
      </c>
      <c r="BC386">
        <v>906</v>
      </c>
      <c r="BD386">
        <v>7067437221082854</v>
      </c>
      <c r="BE386" t="s">
        <v>7435</v>
      </c>
      <c r="BF386" t="str">
        <f>HYPERLINK("http://dx.doi.org/10.1177/07067437221082854","http://dx.doi.org/10.1177/07067437221082854")</f>
        <v>http://dx.doi.org/10.1177/07067437221082854</v>
      </c>
      <c r="BG386" t="s">
        <v>74</v>
      </c>
      <c r="BH386" t="s">
        <v>259</v>
      </c>
      <c r="BI386">
        <v>8</v>
      </c>
      <c r="BJ386" t="s">
        <v>1847</v>
      </c>
      <c r="BK386" t="s">
        <v>182</v>
      </c>
      <c r="BL386" t="s">
        <v>1847</v>
      </c>
      <c r="BM386" t="s">
        <v>7436</v>
      </c>
      <c r="BN386">
        <v>35196157</v>
      </c>
      <c r="BO386" t="s">
        <v>1343</v>
      </c>
      <c r="BP386" t="s">
        <v>395</v>
      </c>
      <c r="BQ386" t="s">
        <v>396</v>
      </c>
      <c r="BR386" t="s">
        <v>102</v>
      </c>
      <c r="BS386" t="s">
        <v>7437</v>
      </c>
      <c r="BT386" t="str">
        <f>HYPERLINK("https%3A%2F%2Fwww.webofscience.com%2Fwos%2Fwoscc%2Ffull-record%2FWOS:000762769500001","View Full Record in Web of Science")</f>
        <v>View Full Record in Web of Science</v>
      </c>
    </row>
    <row r="387" spans="1:72" x14ac:dyDescent="0.35">
      <c r="A387" t="s">
        <v>72</v>
      </c>
      <c r="B387" t="s">
        <v>7438</v>
      </c>
      <c r="C387" t="s">
        <v>74</v>
      </c>
      <c r="D387" t="s">
        <v>74</v>
      </c>
      <c r="E387" t="s">
        <v>74</v>
      </c>
      <c r="F387" t="s">
        <v>7439</v>
      </c>
      <c r="G387" t="s">
        <v>74</v>
      </c>
      <c r="H387" t="s">
        <v>74</v>
      </c>
      <c r="I387" t="s">
        <v>7440</v>
      </c>
      <c r="J387" t="s">
        <v>7441</v>
      </c>
      <c r="K387" t="s">
        <v>74</v>
      </c>
      <c r="L387" t="s">
        <v>74</v>
      </c>
      <c r="M387" t="s">
        <v>78</v>
      </c>
      <c r="N387" t="s">
        <v>108</v>
      </c>
      <c r="O387" t="s">
        <v>74</v>
      </c>
      <c r="P387" t="s">
        <v>74</v>
      </c>
      <c r="Q387" t="s">
        <v>74</v>
      </c>
      <c r="R387" t="s">
        <v>74</v>
      </c>
      <c r="S387" t="s">
        <v>74</v>
      </c>
      <c r="T387" t="s">
        <v>7442</v>
      </c>
      <c r="U387" t="s">
        <v>7443</v>
      </c>
      <c r="V387" t="s">
        <v>7444</v>
      </c>
      <c r="W387" t="s">
        <v>7445</v>
      </c>
      <c r="X387" t="s">
        <v>7446</v>
      </c>
      <c r="Y387" t="s">
        <v>7447</v>
      </c>
      <c r="Z387" t="s">
        <v>7448</v>
      </c>
      <c r="AA387" t="s">
        <v>74</v>
      </c>
      <c r="AB387" t="s">
        <v>7449</v>
      </c>
      <c r="AC387" t="s">
        <v>74</v>
      </c>
      <c r="AD387" t="s">
        <v>74</v>
      </c>
      <c r="AE387" t="s">
        <v>74</v>
      </c>
      <c r="AF387" t="s">
        <v>74</v>
      </c>
      <c r="AG387">
        <v>75</v>
      </c>
      <c r="AH387">
        <v>4</v>
      </c>
      <c r="AI387">
        <v>5</v>
      </c>
      <c r="AJ387">
        <v>6</v>
      </c>
      <c r="AK387">
        <v>80</v>
      </c>
      <c r="AL387" t="s">
        <v>870</v>
      </c>
      <c r="AM387" t="s">
        <v>871</v>
      </c>
      <c r="AN387" t="s">
        <v>872</v>
      </c>
      <c r="AO387" t="s">
        <v>7450</v>
      </c>
      <c r="AP387" t="s">
        <v>7451</v>
      </c>
      <c r="AQ387" t="s">
        <v>74</v>
      </c>
      <c r="AR387" t="s">
        <v>7452</v>
      </c>
      <c r="AS387" t="s">
        <v>7453</v>
      </c>
      <c r="AT387" t="s">
        <v>7454</v>
      </c>
      <c r="AU387">
        <v>2021</v>
      </c>
      <c r="AV387">
        <v>10</v>
      </c>
      <c r="AW387">
        <v>2</v>
      </c>
      <c r="AX387" t="s">
        <v>74</v>
      </c>
      <c r="AY387" t="s">
        <v>74</v>
      </c>
      <c r="AZ387" t="s">
        <v>74</v>
      </c>
      <c r="BA387" t="s">
        <v>74</v>
      </c>
      <c r="BB387">
        <v>377</v>
      </c>
      <c r="BC387">
        <v>400</v>
      </c>
      <c r="BD387" t="s">
        <v>74</v>
      </c>
      <c r="BE387" t="s">
        <v>7455</v>
      </c>
      <c r="BF387" t="str">
        <f>HYPERLINK("http://dx.doi.org/10.1386/ffc_00031_1","http://dx.doi.org/10.1386/ffc_00031_1")</f>
        <v>http://dx.doi.org/10.1386/ffc_00031_1</v>
      </c>
      <c r="BG387" t="s">
        <v>74</v>
      </c>
      <c r="BH387" t="s">
        <v>74</v>
      </c>
      <c r="BI387">
        <v>24</v>
      </c>
      <c r="BJ387" t="s">
        <v>4461</v>
      </c>
      <c r="BK387" t="s">
        <v>125</v>
      </c>
      <c r="BL387" t="s">
        <v>4462</v>
      </c>
      <c r="BM387" t="s">
        <v>7456</v>
      </c>
      <c r="BN387" t="s">
        <v>74</v>
      </c>
      <c r="BO387" t="s">
        <v>74</v>
      </c>
      <c r="BP387" t="s">
        <v>74</v>
      </c>
      <c r="BQ387" t="s">
        <v>74</v>
      </c>
      <c r="BR387" t="s">
        <v>102</v>
      </c>
      <c r="BS387" t="s">
        <v>7457</v>
      </c>
      <c r="BT387" t="str">
        <f>HYPERLINK("https%3A%2F%2Fwww.webofscience.com%2Fwos%2Fwoscc%2Ffull-record%2FWOS:000721119200003","View Full Record in Web of Science")</f>
        <v>View Full Record in Web of Science</v>
      </c>
    </row>
    <row r="388" spans="1:72" x14ac:dyDescent="0.35">
      <c r="A388" t="s">
        <v>72</v>
      </c>
      <c r="B388" t="s">
        <v>7458</v>
      </c>
      <c r="C388" t="s">
        <v>74</v>
      </c>
      <c r="D388" t="s">
        <v>74</v>
      </c>
      <c r="E388" t="s">
        <v>74</v>
      </c>
      <c r="F388" t="s">
        <v>7459</v>
      </c>
      <c r="G388" t="s">
        <v>74</v>
      </c>
      <c r="H388" t="s">
        <v>74</v>
      </c>
      <c r="I388" t="s">
        <v>7460</v>
      </c>
      <c r="J388" t="s">
        <v>7461</v>
      </c>
      <c r="K388" t="s">
        <v>74</v>
      </c>
      <c r="L388" t="s">
        <v>74</v>
      </c>
      <c r="M388" t="s">
        <v>78</v>
      </c>
      <c r="N388" t="s">
        <v>108</v>
      </c>
      <c r="O388" t="s">
        <v>74</v>
      </c>
      <c r="P388" t="s">
        <v>74</v>
      </c>
      <c r="Q388" t="s">
        <v>74</v>
      </c>
      <c r="R388" t="s">
        <v>74</v>
      </c>
      <c r="S388" t="s">
        <v>74</v>
      </c>
      <c r="T388" t="s">
        <v>7462</v>
      </c>
      <c r="U388" t="s">
        <v>7463</v>
      </c>
      <c r="V388" t="s">
        <v>7464</v>
      </c>
      <c r="W388" t="s">
        <v>7465</v>
      </c>
      <c r="X388" t="s">
        <v>3589</v>
      </c>
      <c r="Y388" t="s">
        <v>7466</v>
      </c>
      <c r="Z388" t="s">
        <v>7467</v>
      </c>
      <c r="AA388" t="s">
        <v>7468</v>
      </c>
      <c r="AB388" t="s">
        <v>74</v>
      </c>
      <c r="AC388" t="s">
        <v>74</v>
      </c>
      <c r="AD388" t="s">
        <v>74</v>
      </c>
      <c r="AE388" t="s">
        <v>74</v>
      </c>
      <c r="AF388" t="s">
        <v>74</v>
      </c>
      <c r="AG388">
        <v>39</v>
      </c>
      <c r="AH388">
        <v>0</v>
      </c>
      <c r="AI388">
        <v>0</v>
      </c>
      <c r="AJ388">
        <v>0</v>
      </c>
      <c r="AK388">
        <v>2</v>
      </c>
      <c r="AL388" t="s">
        <v>7469</v>
      </c>
      <c r="AM388" t="s">
        <v>7470</v>
      </c>
      <c r="AN388" t="s">
        <v>7471</v>
      </c>
      <c r="AO388" t="s">
        <v>7472</v>
      </c>
      <c r="AP388" t="s">
        <v>7473</v>
      </c>
      <c r="AQ388" t="s">
        <v>74</v>
      </c>
      <c r="AR388" t="s">
        <v>7474</v>
      </c>
      <c r="AS388" t="s">
        <v>7475</v>
      </c>
      <c r="AT388" t="s">
        <v>1275</v>
      </c>
      <c r="AU388">
        <v>2023</v>
      </c>
      <c r="AV388">
        <v>29</v>
      </c>
      <c r="AW388">
        <v>4</v>
      </c>
      <c r="AX388" t="s">
        <v>74</v>
      </c>
      <c r="AY388" t="s">
        <v>74</v>
      </c>
      <c r="AZ388" t="s">
        <v>74</v>
      </c>
      <c r="BA388" t="s">
        <v>74</v>
      </c>
      <c r="BB388">
        <v>99</v>
      </c>
      <c r="BC388">
        <v>117</v>
      </c>
      <c r="BD388" t="s">
        <v>74</v>
      </c>
      <c r="BE388" t="s">
        <v>7476</v>
      </c>
      <c r="BF388" t="str">
        <f>HYPERLINK("http://dx.doi.org/10.17576/3L-2023-2904-07","http://dx.doi.org/10.17576/3L-2023-2904-07")</f>
        <v>http://dx.doi.org/10.17576/3L-2023-2904-07</v>
      </c>
      <c r="BG388" t="s">
        <v>74</v>
      </c>
      <c r="BH388" t="s">
        <v>74</v>
      </c>
      <c r="BI388">
        <v>19</v>
      </c>
      <c r="BJ388" t="s">
        <v>3284</v>
      </c>
      <c r="BK388" t="s">
        <v>125</v>
      </c>
      <c r="BL388" t="s">
        <v>3285</v>
      </c>
      <c r="BM388" t="s">
        <v>7477</v>
      </c>
      <c r="BN388" t="s">
        <v>74</v>
      </c>
      <c r="BO388" t="s">
        <v>1888</v>
      </c>
      <c r="BP388" t="s">
        <v>74</v>
      </c>
      <c r="BQ388" t="s">
        <v>74</v>
      </c>
      <c r="BR388" t="s">
        <v>102</v>
      </c>
      <c r="BS388" t="s">
        <v>7478</v>
      </c>
      <c r="BT388" t="str">
        <f>HYPERLINK("https%3A%2F%2Fwww.webofscience.com%2Fwos%2Fwoscc%2Ffull-record%2FWOS:001161112600007","View Full Record in Web of Science")</f>
        <v>View Full Record in Web of Science</v>
      </c>
    </row>
    <row r="389" spans="1:72" x14ac:dyDescent="0.35">
      <c r="A389" t="s">
        <v>72</v>
      </c>
      <c r="B389" t="s">
        <v>7479</v>
      </c>
      <c r="C389" t="s">
        <v>74</v>
      </c>
      <c r="D389" t="s">
        <v>74</v>
      </c>
      <c r="E389" t="s">
        <v>74</v>
      </c>
      <c r="F389" t="s">
        <v>7480</v>
      </c>
      <c r="G389" t="s">
        <v>74</v>
      </c>
      <c r="H389" t="s">
        <v>74</v>
      </c>
      <c r="I389" t="s">
        <v>7481</v>
      </c>
      <c r="J389" t="s">
        <v>7482</v>
      </c>
      <c r="K389" t="s">
        <v>74</v>
      </c>
      <c r="L389" t="s">
        <v>74</v>
      </c>
      <c r="M389" t="s">
        <v>78</v>
      </c>
      <c r="N389" t="s">
        <v>108</v>
      </c>
      <c r="O389" t="s">
        <v>74</v>
      </c>
      <c r="P389" t="s">
        <v>74</v>
      </c>
      <c r="Q389" t="s">
        <v>74</v>
      </c>
      <c r="R389" t="s">
        <v>74</v>
      </c>
      <c r="S389" t="s">
        <v>74</v>
      </c>
      <c r="T389" t="s">
        <v>7483</v>
      </c>
      <c r="U389" t="s">
        <v>74</v>
      </c>
      <c r="V389" t="s">
        <v>7484</v>
      </c>
      <c r="W389" t="s">
        <v>7485</v>
      </c>
      <c r="X389" t="s">
        <v>7486</v>
      </c>
      <c r="Y389" t="s">
        <v>7487</v>
      </c>
      <c r="Z389" t="s">
        <v>7488</v>
      </c>
      <c r="AA389" t="s">
        <v>7489</v>
      </c>
      <c r="AB389" t="s">
        <v>7490</v>
      </c>
      <c r="AC389" t="s">
        <v>7491</v>
      </c>
      <c r="AD389" t="s">
        <v>7492</v>
      </c>
      <c r="AE389" t="s">
        <v>7493</v>
      </c>
      <c r="AF389" t="s">
        <v>74</v>
      </c>
      <c r="AG389">
        <v>17</v>
      </c>
      <c r="AH389">
        <v>0</v>
      </c>
      <c r="AI389">
        <v>0</v>
      </c>
      <c r="AJ389">
        <v>0</v>
      </c>
      <c r="AK389">
        <v>0</v>
      </c>
      <c r="AL389" t="s">
        <v>251</v>
      </c>
      <c r="AM389" t="s">
        <v>252</v>
      </c>
      <c r="AN389" t="s">
        <v>253</v>
      </c>
      <c r="AO389" t="s">
        <v>7494</v>
      </c>
      <c r="AP389" t="s">
        <v>7495</v>
      </c>
      <c r="AQ389" t="s">
        <v>74</v>
      </c>
      <c r="AR389" t="s">
        <v>7496</v>
      </c>
      <c r="AS389" t="s">
        <v>7497</v>
      </c>
      <c r="AT389" t="s">
        <v>7454</v>
      </c>
      <c r="AU389">
        <v>2024</v>
      </c>
      <c r="AV389">
        <v>35</v>
      </c>
      <c r="AW389">
        <v>4</v>
      </c>
      <c r="AX389" t="s">
        <v>74</v>
      </c>
      <c r="AY389" t="s">
        <v>74</v>
      </c>
      <c r="AZ389" t="s">
        <v>74</v>
      </c>
      <c r="BA389" t="s">
        <v>74</v>
      </c>
      <c r="BB389">
        <v>1337</v>
      </c>
      <c r="BC389">
        <v>1342</v>
      </c>
      <c r="BD389" t="s">
        <v>74</v>
      </c>
      <c r="BE389" t="s">
        <v>7498</v>
      </c>
      <c r="BF389" t="str">
        <f>HYPERLINK("http://dx.doi.org/10.1002/hpja.870","http://dx.doi.org/10.1002/hpja.870")</f>
        <v>http://dx.doi.org/10.1002/hpja.870</v>
      </c>
      <c r="BG389" t="s">
        <v>74</v>
      </c>
      <c r="BH389" t="s">
        <v>1467</v>
      </c>
      <c r="BI389">
        <v>6</v>
      </c>
      <c r="BJ389" t="s">
        <v>392</v>
      </c>
      <c r="BK389" t="s">
        <v>99</v>
      </c>
      <c r="BL389" t="s">
        <v>392</v>
      </c>
      <c r="BM389" t="s">
        <v>7499</v>
      </c>
      <c r="BN389">
        <v>38763913</v>
      </c>
      <c r="BO389" t="s">
        <v>156</v>
      </c>
      <c r="BP389" t="s">
        <v>74</v>
      </c>
      <c r="BQ389" t="s">
        <v>74</v>
      </c>
      <c r="BR389" t="s">
        <v>102</v>
      </c>
      <c r="BS389" t="s">
        <v>7500</v>
      </c>
      <c r="BT389" t="str">
        <f>HYPERLINK("https%3A%2F%2Fwww.webofscience.com%2Fwos%2Fwoscc%2Ffull-record%2FWOS:001226545200001","View Full Record in Web of Science")</f>
        <v>View Full Record in Web of Science</v>
      </c>
    </row>
    <row r="390" spans="1:72" x14ac:dyDescent="0.35">
      <c r="A390" t="s">
        <v>72</v>
      </c>
      <c r="B390" t="s">
        <v>7501</v>
      </c>
      <c r="C390" t="s">
        <v>74</v>
      </c>
      <c r="D390" t="s">
        <v>74</v>
      </c>
      <c r="E390" t="s">
        <v>74</v>
      </c>
      <c r="F390" t="s">
        <v>7502</v>
      </c>
      <c r="G390" t="s">
        <v>74</v>
      </c>
      <c r="H390" t="s">
        <v>74</v>
      </c>
      <c r="I390" t="s">
        <v>7503</v>
      </c>
      <c r="J390" t="s">
        <v>1774</v>
      </c>
      <c r="K390" t="s">
        <v>74</v>
      </c>
      <c r="L390" t="s">
        <v>74</v>
      </c>
      <c r="M390" t="s">
        <v>78</v>
      </c>
      <c r="N390" t="s">
        <v>79</v>
      </c>
      <c r="O390" t="s">
        <v>74</v>
      </c>
      <c r="P390" t="s">
        <v>74</v>
      </c>
      <c r="Q390" t="s">
        <v>74</v>
      </c>
      <c r="R390" t="s">
        <v>74</v>
      </c>
      <c r="S390" t="s">
        <v>74</v>
      </c>
      <c r="T390" t="s">
        <v>7504</v>
      </c>
      <c r="U390" t="s">
        <v>74</v>
      </c>
      <c r="V390" t="s">
        <v>7505</v>
      </c>
      <c r="W390" t="s">
        <v>7506</v>
      </c>
      <c r="X390" t="s">
        <v>7507</v>
      </c>
      <c r="Y390" t="s">
        <v>7508</v>
      </c>
      <c r="Z390" t="s">
        <v>7509</v>
      </c>
      <c r="AA390" t="s">
        <v>7510</v>
      </c>
      <c r="AB390" t="s">
        <v>7511</v>
      </c>
      <c r="AC390" t="s">
        <v>74</v>
      </c>
      <c r="AD390" t="s">
        <v>74</v>
      </c>
      <c r="AE390" t="s">
        <v>74</v>
      </c>
      <c r="AF390" t="s">
        <v>74</v>
      </c>
      <c r="AG390">
        <v>67</v>
      </c>
      <c r="AH390">
        <v>0</v>
      </c>
      <c r="AI390">
        <v>0</v>
      </c>
      <c r="AJ390">
        <v>7</v>
      </c>
      <c r="AK390">
        <v>14</v>
      </c>
      <c r="AL390" t="s">
        <v>88</v>
      </c>
      <c r="AM390" t="s">
        <v>89</v>
      </c>
      <c r="AN390" t="s">
        <v>90</v>
      </c>
      <c r="AO390" t="s">
        <v>1783</v>
      </c>
      <c r="AP390" t="s">
        <v>1784</v>
      </c>
      <c r="AQ390" t="s">
        <v>74</v>
      </c>
      <c r="AR390" t="s">
        <v>1785</v>
      </c>
      <c r="AS390" t="s">
        <v>1786</v>
      </c>
      <c r="AT390" t="s">
        <v>7512</v>
      </c>
      <c r="AU390">
        <v>2023</v>
      </c>
      <c r="AV390" t="s">
        <v>74</v>
      </c>
      <c r="AW390" t="s">
        <v>74</v>
      </c>
      <c r="AX390" t="s">
        <v>74</v>
      </c>
      <c r="AY390" t="s">
        <v>74</v>
      </c>
      <c r="AZ390" t="s">
        <v>74</v>
      </c>
      <c r="BA390" t="s">
        <v>74</v>
      </c>
      <c r="BB390" t="s">
        <v>74</v>
      </c>
      <c r="BC390" t="s">
        <v>74</v>
      </c>
      <c r="BD390" t="s">
        <v>74</v>
      </c>
      <c r="BE390" t="s">
        <v>7513</v>
      </c>
      <c r="BF390" t="str">
        <f>HYPERLINK("http://dx.doi.org/10.1080/1369118X.2023.2295356","http://dx.doi.org/10.1080/1369118X.2023.2295356")</f>
        <v>http://dx.doi.org/10.1080/1369118X.2023.2295356</v>
      </c>
      <c r="BG390" t="s">
        <v>74</v>
      </c>
      <c r="BH390" t="s">
        <v>1449</v>
      </c>
      <c r="BI390">
        <v>16</v>
      </c>
      <c r="BJ390" t="s">
        <v>1047</v>
      </c>
      <c r="BK390" t="s">
        <v>99</v>
      </c>
      <c r="BL390" t="s">
        <v>1047</v>
      </c>
      <c r="BM390" t="s">
        <v>7514</v>
      </c>
      <c r="BN390" t="s">
        <v>74</v>
      </c>
      <c r="BO390" t="s">
        <v>74</v>
      </c>
      <c r="BP390" t="s">
        <v>74</v>
      </c>
      <c r="BQ390" t="s">
        <v>74</v>
      </c>
      <c r="BR390" t="s">
        <v>102</v>
      </c>
      <c r="BS390" t="s">
        <v>7515</v>
      </c>
      <c r="BT390" t="str">
        <f>HYPERLINK("https%3A%2F%2Fwww.webofscience.com%2Fwos%2Fwoscc%2Ffull-record%2FWOS:001128530200001","View Full Record in Web of Science")</f>
        <v>View Full Record in Web of Science</v>
      </c>
    </row>
    <row r="391" spans="1:72" x14ac:dyDescent="0.35">
      <c r="A391" t="s">
        <v>72</v>
      </c>
      <c r="B391" t="s">
        <v>7516</v>
      </c>
      <c r="C391" t="s">
        <v>74</v>
      </c>
      <c r="D391" t="s">
        <v>74</v>
      </c>
      <c r="E391" t="s">
        <v>74</v>
      </c>
      <c r="F391" t="s">
        <v>7517</v>
      </c>
      <c r="G391" t="s">
        <v>74</v>
      </c>
      <c r="H391" t="s">
        <v>74</v>
      </c>
      <c r="I391" t="s">
        <v>7518</v>
      </c>
      <c r="J391" t="s">
        <v>7519</v>
      </c>
      <c r="K391" t="s">
        <v>74</v>
      </c>
      <c r="L391" t="s">
        <v>74</v>
      </c>
      <c r="M391" t="s">
        <v>78</v>
      </c>
      <c r="N391" t="s">
        <v>108</v>
      </c>
      <c r="O391" t="s">
        <v>74</v>
      </c>
      <c r="P391" t="s">
        <v>74</v>
      </c>
      <c r="Q391" t="s">
        <v>74</v>
      </c>
      <c r="R391" t="s">
        <v>74</v>
      </c>
      <c r="S391" t="s">
        <v>74</v>
      </c>
      <c r="T391" t="s">
        <v>7520</v>
      </c>
      <c r="U391" t="s">
        <v>1036</v>
      </c>
      <c r="V391" t="s">
        <v>7521</v>
      </c>
      <c r="W391" t="s">
        <v>7522</v>
      </c>
      <c r="X391" t="s">
        <v>7523</v>
      </c>
      <c r="Y391" t="s">
        <v>7524</v>
      </c>
      <c r="Z391" t="s">
        <v>7525</v>
      </c>
      <c r="AA391" t="s">
        <v>7526</v>
      </c>
      <c r="AB391" t="s">
        <v>7527</v>
      </c>
      <c r="AC391" t="s">
        <v>74</v>
      </c>
      <c r="AD391" t="s">
        <v>74</v>
      </c>
      <c r="AE391" t="s">
        <v>74</v>
      </c>
      <c r="AF391" t="s">
        <v>74</v>
      </c>
      <c r="AG391">
        <v>55</v>
      </c>
      <c r="AH391">
        <v>3</v>
      </c>
      <c r="AI391">
        <v>3</v>
      </c>
      <c r="AJ391">
        <v>4</v>
      </c>
      <c r="AK391">
        <v>24</v>
      </c>
      <c r="AL391" t="s">
        <v>171</v>
      </c>
      <c r="AM391" t="s">
        <v>172</v>
      </c>
      <c r="AN391" t="s">
        <v>173</v>
      </c>
      <c r="AO391" t="s">
        <v>7528</v>
      </c>
      <c r="AP391" t="s">
        <v>7529</v>
      </c>
      <c r="AQ391" t="s">
        <v>74</v>
      </c>
      <c r="AR391" t="s">
        <v>7530</v>
      </c>
      <c r="AS391" t="s">
        <v>7531</v>
      </c>
      <c r="AT391" t="s">
        <v>594</v>
      </c>
      <c r="AU391">
        <v>2023</v>
      </c>
      <c r="AV391">
        <v>51</v>
      </c>
      <c r="AW391">
        <v>4</v>
      </c>
      <c r="AX391" t="s">
        <v>74</v>
      </c>
      <c r="AY391" t="s">
        <v>74</v>
      </c>
      <c r="AZ391" t="s">
        <v>74</v>
      </c>
      <c r="BA391" t="s">
        <v>74</v>
      </c>
      <c r="BB391">
        <v>323</v>
      </c>
      <c r="BC391">
        <v>335</v>
      </c>
      <c r="BD391" t="s">
        <v>74</v>
      </c>
      <c r="BE391" t="s">
        <v>7532</v>
      </c>
      <c r="BF391" t="str">
        <f>HYPERLINK("http://dx.doi.org/10.1177/0092055X231159091","http://dx.doi.org/10.1177/0092055X231159091")</f>
        <v>http://dx.doi.org/10.1177/0092055X231159091</v>
      </c>
      <c r="BG391" t="s">
        <v>74</v>
      </c>
      <c r="BH391" t="s">
        <v>1046</v>
      </c>
      <c r="BI391">
        <v>13</v>
      </c>
      <c r="BJ391" t="s">
        <v>7533</v>
      </c>
      <c r="BK391" t="s">
        <v>99</v>
      </c>
      <c r="BL391" t="s">
        <v>7533</v>
      </c>
      <c r="BM391" t="s">
        <v>7534</v>
      </c>
      <c r="BN391" t="s">
        <v>74</v>
      </c>
      <c r="BO391" t="s">
        <v>156</v>
      </c>
      <c r="BP391" t="s">
        <v>74</v>
      </c>
      <c r="BQ391" t="s">
        <v>74</v>
      </c>
      <c r="BR391" t="s">
        <v>102</v>
      </c>
      <c r="BS391" t="s">
        <v>7535</v>
      </c>
      <c r="BT391" t="str">
        <f>HYPERLINK("https%3A%2F%2Fwww.webofscience.com%2Fwos%2Fwoscc%2Ffull-record%2FWOS:000945516400001","View Full Record in Web of Science")</f>
        <v>View Full Record in Web of Science</v>
      </c>
    </row>
    <row r="392" spans="1:72" x14ac:dyDescent="0.35">
      <c r="A392" t="s">
        <v>72</v>
      </c>
      <c r="B392" t="s">
        <v>7536</v>
      </c>
      <c r="C392" t="s">
        <v>74</v>
      </c>
      <c r="D392" t="s">
        <v>74</v>
      </c>
      <c r="E392" t="s">
        <v>74</v>
      </c>
      <c r="F392" t="s">
        <v>7537</v>
      </c>
      <c r="G392" t="s">
        <v>74</v>
      </c>
      <c r="H392" t="s">
        <v>74</v>
      </c>
      <c r="I392" t="s">
        <v>7538</v>
      </c>
      <c r="J392" t="s">
        <v>7539</v>
      </c>
      <c r="K392" t="s">
        <v>74</v>
      </c>
      <c r="L392" t="s">
        <v>74</v>
      </c>
      <c r="M392" t="s">
        <v>78</v>
      </c>
      <c r="N392" t="s">
        <v>108</v>
      </c>
      <c r="O392" t="s">
        <v>74</v>
      </c>
      <c r="P392" t="s">
        <v>74</v>
      </c>
      <c r="Q392" t="s">
        <v>74</v>
      </c>
      <c r="R392" t="s">
        <v>74</v>
      </c>
      <c r="S392" t="s">
        <v>74</v>
      </c>
      <c r="T392" t="s">
        <v>7540</v>
      </c>
      <c r="U392" t="s">
        <v>7541</v>
      </c>
      <c r="V392" t="s">
        <v>7542</v>
      </c>
      <c r="W392" t="s">
        <v>7543</v>
      </c>
      <c r="X392" t="s">
        <v>7544</v>
      </c>
      <c r="Y392" t="s">
        <v>7545</v>
      </c>
      <c r="Z392" t="s">
        <v>7546</v>
      </c>
      <c r="AA392" t="s">
        <v>7547</v>
      </c>
      <c r="AB392" t="s">
        <v>7548</v>
      </c>
      <c r="AC392" t="s">
        <v>7549</v>
      </c>
      <c r="AD392" t="s">
        <v>7550</v>
      </c>
      <c r="AE392" t="s">
        <v>7551</v>
      </c>
      <c r="AF392" t="s">
        <v>74</v>
      </c>
      <c r="AG392">
        <v>47</v>
      </c>
      <c r="AH392">
        <v>20</v>
      </c>
      <c r="AI392">
        <v>21</v>
      </c>
      <c r="AJ392">
        <v>0</v>
      </c>
      <c r="AK392">
        <v>7</v>
      </c>
      <c r="AL392" t="s">
        <v>516</v>
      </c>
      <c r="AM392" t="s">
        <v>517</v>
      </c>
      <c r="AN392" t="s">
        <v>518</v>
      </c>
      <c r="AO392" t="s">
        <v>74</v>
      </c>
      <c r="AP392" t="s">
        <v>7552</v>
      </c>
      <c r="AQ392" t="s">
        <v>74</v>
      </c>
      <c r="AR392" t="s">
        <v>7553</v>
      </c>
      <c r="AS392" t="s">
        <v>7554</v>
      </c>
      <c r="AT392" t="s">
        <v>1275</v>
      </c>
      <c r="AU392">
        <v>2022</v>
      </c>
      <c r="AV392">
        <v>30</v>
      </c>
      <c r="AW392" t="s">
        <v>74</v>
      </c>
      <c r="AX392" t="s">
        <v>74</v>
      </c>
      <c r="AY392" t="s">
        <v>74</v>
      </c>
      <c r="AZ392" t="s">
        <v>74</v>
      </c>
      <c r="BA392" t="s">
        <v>74</v>
      </c>
      <c r="BB392" t="s">
        <v>74</v>
      </c>
      <c r="BC392" t="s">
        <v>74</v>
      </c>
      <c r="BD392">
        <v>102055</v>
      </c>
      <c r="BE392" t="s">
        <v>7555</v>
      </c>
      <c r="BF392" t="str">
        <f>HYPERLINK("http://dx.doi.org/10.1016/j.pmedr.2022.102055","http://dx.doi.org/10.1016/j.pmedr.2022.102055")</f>
        <v>http://dx.doi.org/10.1016/j.pmedr.2022.102055</v>
      </c>
      <c r="BG392" t="s">
        <v>74</v>
      </c>
      <c r="BH392" t="s">
        <v>366</v>
      </c>
      <c r="BI392">
        <v>11</v>
      </c>
      <c r="BJ392" t="s">
        <v>392</v>
      </c>
      <c r="BK392" t="s">
        <v>209</v>
      </c>
      <c r="BL392" t="s">
        <v>392</v>
      </c>
      <c r="BM392" t="s">
        <v>7556</v>
      </c>
      <c r="BN392">
        <v>36531097</v>
      </c>
      <c r="BO392" t="s">
        <v>394</v>
      </c>
      <c r="BP392" t="s">
        <v>74</v>
      </c>
      <c r="BQ392" t="s">
        <v>74</v>
      </c>
      <c r="BR392" t="s">
        <v>102</v>
      </c>
      <c r="BS392" t="s">
        <v>7557</v>
      </c>
      <c r="BT392" t="str">
        <f>HYPERLINK("https%3A%2F%2Fwww.webofscience.com%2Fwos%2Fwoscc%2Ffull-record%2FWOS:000901432400009","View Full Record in Web of Science")</f>
        <v>View Full Record in Web of Science</v>
      </c>
    </row>
    <row r="393" spans="1:72" x14ac:dyDescent="0.35">
      <c r="A393" t="s">
        <v>72</v>
      </c>
      <c r="B393" t="s">
        <v>7558</v>
      </c>
      <c r="C393" t="s">
        <v>74</v>
      </c>
      <c r="D393" t="s">
        <v>74</v>
      </c>
      <c r="E393" t="s">
        <v>74</v>
      </c>
      <c r="F393" t="s">
        <v>7559</v>
      </c>
      <c r="G393" t="s">
        <v>74</v>
      </c>
      <c r="H393" t="s">
        <v>74</v>
      </c>
      <c r="I393" t="s">
        <v>7560</v>
      </c>
      <c r="J393" t="s">
        <v>4112</v>
      </c>
      <c r="K393" t="s">
        <v>74</v>
      </c>
      <c r="L393" t="s">
        <v>74</v>
      </c>
      <c r="M393" t="s">
        <v>78</v>
      </c>
      <c r="N393" t="s">
        <v>108</v>
      </c>
      <c r="O393" t="s">
        <v>74</v>
      </c>
      <c r="P393" t="s">
        <v>74</v>
      </c>
      <c r="Q393" t="s">
        <v>74</v>
      </c>
      <c r="R393" t="s">
        <v>74</v>
      </c>
      <c r="S393" t="s">
        <v>74</v>
      </c>
      <c r="T393" t="s">
        <v>7561</v>
      </c>
      <c r="U393" t="s">
        <v>74</v>
      </c>
      <c r="V393" t="s">
        <v>7562</v>
      </c>
      <c r="W393" t="s">
        <v>7563</v>
      </c>
      <c r="X393" t="s">
        <v>7564</v>
      </c>
      <c r="Y393" t="s">
        <v>7565</v>
      </c>
      <c r="Z393" t="s">
        <v>7566</v>
      </c>
      <c r="AA393" t="s">
        <v>7567</v>
      </c>
      <c r="AB393" t="s">
        <v>7568</v>
      </c>
      <c r="AC393" t="s">
        <v>7569</v>
      </c>
      <c r="AD393" t="s">
        <v>7570</v>
      </c>
      <c r="AE393" t="s">
        <v>7571</v>
      </c>
      <c r="AF393" t="s">
        <v>74</v>
      </c>
      <c r="AG393">
        <v>48</v>
      </c>
      <c r="AH393">
        <v>0</v>
      </c>
      <c r="AI393">
        <v>0</v>
      </c>
      <c r="AJ393">
        <v>15</v>
      </c>
      <c r="AK393">
        <v>15</v>
      </c>
      <c r="AL393" t="s">
        <v>543</v>
      </c>
      <c r="AM393" t="s">
        <v>544</v>
      </c>
      <c r="AN393" t="s">
        <v>545</v>
      </c>
      <c r="AO393" t="s">
        <v>74</v>
      </c>
      <c r="AP393" t="s">
        <v>4124</v>
      </c>
      <c r="AQ393" t="s">
        <v>74</v>
      </c>
      <c r="AR393" t="s">
        <v>4125</v>
      </c>
      <c r="AS393" t="s">
        <v>4126</v>
      </c>
      <c r="AT393" t="s">
        <v>74</v>
      </c>
      <c r="AU393">
        <v>2024</v>
      </c>
      <c r="AV393">
        <v>4</v>
      </c>
      <c r="AW393">
        <v>1</v>
      </c>
      <c r="AX393" t="s">
        <v>74</v>
      </c>
      <c r="AY393" t="s">
        <v>74</v>
      </c>
      <c r="AZ393" t="s">
        <v>74</v>
      </c>
      <c r="BA393" t="s">
        <v>74</v>
      </c>
      <c r="BB393" t="s">
        <v>74</v>
      </c>
      <c r="BC393" t="s">
        <v>74</v>
      </c>
      <c r="BD393" t="s">
        <v>7572</v>
      </c>
      <c r="BE393" t="s">
        <v>7573</v>
      </c>
      <c r="BF393" t="str">
        <f>HYPERLINK("http://dx.doi.org/10.2196/53233","http://dx.doi.org/10.2196/53233")</f>
        <v>http://dx.doi.org/10.2196/53233</v>
      </c>
      <c r="BG393" t="s">
        <v>74</v>
      </c>
      <c r="BH393" t="s">
        <v>74</v>
      </c>
      <c r="BI393">
        <v>14</v>
      </c>
      <c r="BJ393" t="s">
        <v>4129</v>
      </c>
      <c r="BK393" t="s">
        <v>125</v>
      </c>
      <c r="BL393" t="s">
        <v>4129</v>
      </c>
      <c r="BM393" t="s">
        <v>7574</v>
      </c>
      <c r="BN393">
        <v>38967966</v>
      </c>
      <c r="BO393" t="s">
        <v>394</v>
      </c>
      <c r="BP393" t="s">
        <v>74</v>
      </c>
      <c r="BQ393" t="s">
        <v>74</v>
      </c>
      <c r="BR393" t="s">
        <v>102</v>
      </c>
      <c r="BS393" t="s">
        <v>7575</v>
      </c>
      <c r="BT393" t="str">
        <f>HYPERLINK("https%3A%2F%2Fwww.webofscience.com%2Fwos%2Fwoscc%2Ffull-record%2FWOS:001266211500001","View Full Record in Web of Science")</f>
        <v>View Full Record in Web of Science</v>
      </c>
    </row>
    <row r="394" spans="1:72" x14ac:dyDescent="0.35">
      <c r="A394" t="s">
        <v>72</v>
      </c>
      <c r="B394" t="s">
        <v>7576</v>
      </c>
      <c r="C394" t="s">
        <v>74</v>
      </c>
      <c r="D394" t="s">
        <v>74</v>
      </c>
      <c r="E394" t="s">
        <v>74</v>
      </c>
      <c r="F394" t="s">
        <v>7577</v>
      </c>
      <c r="G394" t="s">
        <v>74</v>
      </c>
      <c r="H394" t="s">
        <v>74</v>
      </c>
      <c r="I394" t="s">
        <v>7578</v>
      </c>
      <c r="J394" t="s">
        <v>2159</v>
      </c>
      <c r="K394" t="s">
        <v>74</v>
      </c>
      <c r="L394" t="s">
        <v>74</v>
      </c>
      <c r="M394" t="s">
        <v>78</v>
      </c>
      <c r="N394" t="s">
        <v>108</v>
      </c>
      <c r="O394" t="s">
        <v>74</v>
      </c>
      <c r="P394" t="s">
        <v>74</v>
      </c>
      <c r="Q394" t="s">
        <v>74</v>
      </c>
      <c r="R394" t="s">
        <v>74</v>
      </c>
      <c r="S394" t="s">
        <v>74</v>
      </c>
      <c r="T394" t="s">
        <v>7579</v>
      </c>
      <c r="U394" t="s">
        <v>7580</v>
      </c>
      <c r="V394" t="s">
        <v>7581</v>
      </c>
      <c r="W394" t="s">
        <v>7582</v>
      </c>
      <c r="X394" t="s">
        <v>7583</v>
      </c>
      <c r="Y394" t="s">
        <v>7584</v>
      </c>
      <c r="Z394" t="s">
        <v>7585</v>
      </c>
      <c r="AA394" t="s">
        <v>74</v>
      </c>
      <c r="AB394" t="s">
        <v>7586</v>
      </c>
      <c r="AC394" t="s">
        <v>74</v>
      </c>
      <c r="AD394" t="s">
        <v>74</v>
      </c>
      <c r="AE394" t="s">
        <v>74</v>
      </c>
      <c r="AF394" t="s">
        <v>74</v>
      </c>
      <c r="AG394">
        <v>53</v>
      </c>
      <c r="AH394">
        <v>4</v>
      </c>
      <c r="AI394">
        <v>4</v>
      </c>
      <c r="AJ394">
        <v>10</v>
      </c>
      <c r="AK394">
        <v>29</v>
      </c>
      <c r="AL394" t="s">
        <v>88</v>
      </c>
      <c r="AM394" t="s">
        <v>89</v>
      </c>
      <c r="AN394" t="s">
        <v>90</v>
      </c>
      <c r="AO394" t="s">
        <v>2169</v>
      </c>
      <c r="AP394" t="s">
        <v>2170</v>
      </c>
      <c r="AQ394" t="s">
        <v>74</v>
      </c>
      <c r="AR394" t="s">
        <v>2171</v>
      </c>
      <c r="AS394" t="s">
        <v>2172</v>
      </c>
      <c r="AT394" t="s">
        <v>1447</v>
      </c>
      <c r="AU394">
        <v>2024</v>
      </c>
      <c r="AV394">
        <v>24</v>
      </c>
      <c r="AW394">
        <v>5</v>
      </c>
      <c r="AX394" t="s">
        <v>74</v>
      </c>
      <c r="AY394" t="s">
        <v>74</v>
      </c>
      <c r="AZ394" t="s">
        <v>456</v>
      </c>
      <c r="BA394" t="s">
        <v>74</v>
      </c>
      <c r="BB394">
        <v>1023</v>
      </c>
      <c r="BC394">
        <v>1041</v>
      </c>
      <c r="BD394" t="s">
        <v>74</v>
      </c>
      <c r="BE394" t="s">
        <v>7587</v>
      </c>
      <c r="BF394" t="str">
        <f>HYPERLINK("http://dx.doi.org/10.1080/14680777.2023.2263820","http://dx.doi.org/10.1080/14680777.2023.2263820")</f>
        <v>http://dx.doi.org/10.1080/14680777.2023.2263820</v>
      </c>
      <c r="BG394" t="s">
        <v>74</v>
      </c>
      <c r="BH394" t="s">
        <v>2929</v>
      </c>
      <c r="BI394">
        <v>19</v>
      </c>
      <c r="BJ394" t="s">
        <v>2176</v>
      </c>
      <c r="BK394" t="s">
        <v>99</v>
      </c>
      <c r="BL394" t="s">
        <v>2176</v>
      </c>
      <c r="BM394" t="s">
        <v>7588</v>
      </c>
      <c r="BN394" t="s">
        <v>74</v>
      </c>
      <c r="BO394" t="s">
        <v>74</v>
      </c>
      <c r="BP394" t="s">
        <v>74</v>
      </c>
      <c r="BQ394" t="s">
        <v>74</v>
      </c>
      <c r="BR394" t="s">
        <v>102</v>
      </c>
      <c r="BS394" t="s">
        <v>7589</v>
      </c>
      <c r="BT394" t="str">
        <f>HYPERLINK("https%3A%2F%2Fwww.webofscience.com%2Fwos%2Fwoscc%2Ffull-record%2FWOS:001079255200001","View Full Record in Web of Science")</f>
        <v>View Full Record in Web of Science</v>
      </c>
    </row>
    <row r="395" spans="1:72" x14ac:dyDescent="0.35">
      <c r="A395" t="s">
        <v>72</v>
      </c>
      <c r="B395" t="s">
        <v>7590</v>
      </c>
      <c r="C395" t="s">
        <v>74</v>
      </c>
      <c r="D395" t="s">
        <v>74</v>
      </c>
      <c r="E395" t="s">
        <v>74</v>
      </c>
      <c r="F395" t="s">
        <v>7591</v>
      </c>
      <c r="G395" t="s">
        <v>74</v>
      </c>
      <c r="H395" t="s">
        <v>74</v>
      </c>
      <c r="I395" t="s">
        <v>7592</v>
      </c>
      <c r="J395" t="s">
        <v>7593</v>
      </c>
      <c r="K395" t="s">
        <v>74</v>
      </c>
      <c r="L395" t="s">
        <v>74</v>
      </c>
      <c r="M395" t="s">
        <v>78</v>
      </c>
      <c r="N395" t="s">
        <v>79</v>
      </c>
      <c r="O395" t="s">
        <v>74</v>
      </c>
      <c r="P395" t="s">
        <v>74</v>
      </c>
      <c r="Q395" t="s">
        <v>74</v>
      </c>
      <c r="R395" t="s">
        <v>74</v>
      </c>
      <c r="S395" t="s">
        <v>74</v>
      </c>
      <c r="T395" t="s">
        <v>7594</v>
      </c>
      <c r="U395" t="s">
        <v>74</v>
      </c>
      <c r="V395" t="s">
        <v>7595</v>
      </c>
      <c r="W395" t="s">
        <v>7596</v>
      </c>
      <c r="X395" t="s">
        <v>7597</v>
      </c>
      <c r="Y395" t="s">
        <v>7598</v>
      </c>
      <c r="Z395" t="s">
        <v>7599</v>
      </c>
      <c r="AA395" t="s">
        <v>7600</v>
      </c>
      <c r="AB395" t="s">
        <v>74</v>
      </c>
      <c r="AC395" t="s">
        <v>7601</v>
      </c>
      <c r="AD395" t="s">
        <v>7602</v>
      </c>
      <c r="AE395" t="s">
        <v>7603</v>
      </c>
      <c r="AF395" t="s">
        <v>74</v>
      </c>
      <c r="AG395">
        <v>31</v>
      </c>
      <c r="AH395">
        <v>9</v>
      </c>
      <c r="AI395">
        <v>9</v>
      </c>
      <c r="AJ395">
        <v>16</v>
      </c>
      <c r="AK395">
        <v>82</v>
      </c>
      <c r="AL395" t="s">
        <v>199</v>
      </c>
      <c r="AM395" t="s">
        <v>200</v>
      </c>
      <c r="AN395" t="s">
        <v>471</v>
      </c>
      <c r="AO395" t="s">
        <v>7604</v>
      </c>
      <c r="AP395" t="s">
        <v>74</v>
      </c>
      <c r="AQ395" t="s">
        <v>74</v>
      </c>
      <c r="AR395" t="s">
        <v>7605</v>
      </c>
      <c r="AS395" t="s">
        <v>7606</v>
      </c>
      <c r="AT395" t="s">
        <v>7607</v>
      </c>
      <c r="AU395">
        <v>2022</v>
      </c>
      <c r="AV395" t="s">
        <v>74</v>
      </c>
      <c r="AW395" t="s">
        <v>74</v>
      </c>
      <c r="AX395" t="s">
        <v>74</v>
      </c>
      <c r="AY395" t="s">
        <v>74</v>
      </c>
      <c r="AZ395" t="s">
        <v>74</v>
      </c>
      <c r="BA395" t="s">
        <v>74</v>
      </c>
      <c r="BB395" t="s">
        <v>74</v>
      </c>
      <c r="BC395" t="s">
        <v>74</v>
      </c>
      <c r="BD395" t="s">
        <v>74</v>
      </c>
      <c r="BE395" t="s">
        <v>7608</v>
      </c>
      <c r="BF395" t="str">
        <f>HYPERLINK("http://dx.doi.org/10.1108/LHT-08-2022-0368","http://dx.doi.org/10.1108/LHT-08-2022-0368")</f>
        <v>http://dx.doi.org/10.1108/LHT-08-2022-0368</v>
      </c>
      <c r="BG395" t="s">
        <v>74</v>
      </c>
      <c r="BH395" t="s">
        <v>2034</v>
      </c>
      <c r="BI395">
        <v>16</v>
      </c>
      <c r="BJ395" t="s">
        <v>1162</v>
      </c>
      <c r="BK395" t="s">
        <v>99</v>
      </c>
      <c r="BL395" t="s">
        <v>1162</v>
      </c>
      <c r="BM395" t="s">
        <v>7609</v>
      </c>
      <c r="BN395" t="s">
        <v>74</v>
      </c>
      <c r="BO395" t="s">
        <v>74</v>
      </c>
      <c r="BP395" t="s">
        <v>74</v>
      </c>
      <c r="BQ395" t="s">
        <v>74</v>
      </c>
      <c r="BR395" t="s">
        <v>102</v>
      </c>
      <c r="BS395" t="s">
        <v>7610</v>
      </c>
      <c r="BT395" t="str">
        <f>HYPERLINK("https%3A%2F%2Fwww.webofscience.com%2Fwos%2Fwoscc%2Ffull-record%2FWOS:000873234400001","View Full Record in Web of Science")</f>
        <v>View Full Record in Web of Science</v>
      </c>
    </row>
    <row r="396" spans="1:72" x14ac:dyDescent="0.35">
      <c r="A396" t="s">
        <v>72</v>
      </c>
      <c r="B396" t="s">
        <v>7611</v>
      </c>
      <c r="C396" t="s">
        <v>74</v>
      </c>
      <c r="D396" t="s">
        <v>74</v>
      </c>
      <c r="E396" t="s">
        <v>74</v>
      </c>
      <c r="F396" t="s">
        <v>7612</v>
      </c>
      <c r="G396" t="s">
        <v>74</v>
      </c>
      <c r="H396" t="s">
        <v>74</v>
      </c>
      <c r="I396" t="s">
        <v>7613</v>
      </c>
      <c r="J396" t="s">
        <v>2814</v>
      </c>
      <c r="K396" t="s">
        <v>74</v>
      </c>
      <c r="L396" t="s">
        <v>74</v>
      </c>
      <c r="M396" t="s">
        <v>78</v>
      </c>
      <c r="N396" t="s">
        <v>108</v>
      </c>
      <c r="O396" t="s">
        <v>74</v>
      </c>
      <c r="P396" t="s">
        <v>74</v>
      </c>
      <c r="Q396" t="s">
        <v>74</v>
      </c>
      <c r="R396" t="s">
        <v>74</v>
      </c>
      <c r="S396" t="s">
        <v>74</v>
      </c>
      <c r="T396" t="s">
        <v>7614</v>
      </c>
      <c r="U396" t="s">
        <v>7615</v>
      </c>
      <c r="V396" t="s">
        <v>7616</v>
      </c>
      <c r="W396" t="s">
        <v>7617</v>
      </c>
      <c r="X396" t="s">
        <v>7618</v>
      </c>
      <c r="Y396" t="s">
        <v>7619</v>
      </c>
      <c r="Z396" t="s">
        <v>7620</v>
      </c>
      <c r="AA396" t="s">
        <v>7621</v>
      </c>
      <c r="AB396" t="s">
        <v>7622</v>
      </c>
      <c r="AC396" t="s">
        <v>74</v>
      </c>
      <c r="AD396" t="s">
        <v>74</v>
      </c>
      <c r="AE396" t="s">
        <v>74</v>
      </c>
      <c r="AF396" t="s">
        <v>74</v>
      </c>
      <c r="AG396">
        <v>60</v>
      </c>
      <c r="AH396">
        <v>30</v>
      </c>
      <c r="AI396">
        <v>36</v>
      </c>
      <c r="AJ396">
        <v>6</v>
      </c>
      <c r="AK396">
        <v>58</v>
      </c>
      <c r="AL396" t="s">
        <v>543</v>
      </c>
      <c r="AM396" t="s">
        <v>544</v>
      </c>
      <c r="AN396" t="s">
        <v>545</v>
      </c>
      <c r="AO396" t="s">
        <v>2821</v>
      </c>
      <c r="AP396" t="s">
        <v>74</v>
      </c>
      <c r="AQ396" t="s">
        <v>74</v>
      </c>
      <c r="AR396" t="s">
        <v>2822</v>
      </c>
      <c r="AS396" t="s">
        <v>2823</v>
      </c>
      <c r="AT396" t="s">
        <v>7623</v>
      </c>
      <c r="AU396">
        <v>2021</v>
      </c>
      <c r="AV396">
        <v>23</v>
      </c>
      <c r="AW396">
        <v>12</v>
      </c>
      <c r="AX396" t="s">
        <v>74</v>
      </c>
      <c r="AY396" t="s">
        <v>74</v>
      </c>
      <c r="AZ396" t="s">
        <v>74</v>
      </c>
      <c r="BA396" t="s">
        <v>74</v>
      </c>
      <c r="BB396" t="s">
        <v>74</v>
      </c>
      <c r="BC396" t="s">
        <v>74</v>
      </c>
      <c r="BD396" t="s">
        <v>7624</v>
      </c>
      <c r="BE396" t="s">
        <v>7625</v>
      </c>
      <c r="BF396" t="str">
        <f>HYPERLINK("http://dx.doi.org/10.2196/30315","http://dx.doi.org/10.2196/30315")</f>
        <v>http://dx.doi.org/10.2196/30315</v>
      </c>
      <c r="BG396" t="s">
        <v>74</v>
      </c>
      <c r="BH396" t="s">
        <v>74</v>
      </c>
      <c r="BI396">
        <v>10</v>
      </c>
      <c r="BJ396" t="s">
        <v>550</v>
      </c>
      <c r="BK396" t="s">
        <v>182</v>
      </c>
      <c r="BL396" t="s">
        <v>550</v>
      </c>
      <c r="BM396" t="s">
        <v>7626</v>
      </c>
      <c r="BN396">
        <v>34889739</v>
      </c>
      <c r="BO396" t="s">
        <v>552</v>
      </c>
      <c r="BP396" t="s">
        <v>74</v>
      </c>
      <c r="BQ396" t="s">
        <v>74</v>
      </c>
      <c r="BR396" t="s">
        <v>102</v>
      </c>
      <c r="BS396" t="s">
        <v>7627</v>
      </c>
      <c r="BT396" t="str">
        <f>HYPERLINK("https%3A%2F%2Fwww.webofscience.com%2Fwos%2Fwoscc%2Ffull-record%2FWOS:000740349300004","View Full Record in Web of Science")</f>
        <v>View Full Record in Web of Science</v>
      </c>
    </row>
    <row r="397" spans="1:72" x14ac:dyDescent="0.35">
      <c r="A397" t="s">
        <v>72</v>
      </c>
      <c r="B397" t="s">
        <v>7628</v>
      </c>
      <c r="C397" t="s">
        <v>74</v>
      </c>
      <c r="D397" t="s">
        <v>74</v>
      </c>
      <c r="E397" t="s">
        <v>74</v>
      </c>
      <c r="F397" t="s">
        <v>7629</v>
      </c>
      <c r="G397" t="s">
        <v>74</v>
      </c>
      <c r="H397" t="s">
        <v>74</v>
      </c>
      <c r="I397" t="s">
        <v>7630</v>
      </c>
      <c r="J397" t="s">
        <v>7631</v>
      </c>
      <c r="K397" t="s">
        <v>74</v>
      </c>
      <c r="L397" t="s">
        <v>74</v>
      </c>
      <c r="M397" t="s">
        <v>78</v>
      </c>
      <c r="N397" t="s">
        <v>108</v>
      </c>
      <c r="O397" t="s">
        <v>74</v>
      </c>
      <c r="P397" t="s">
        <v>74</v>
      </c>
      <c r="Q397" t="s">
        <v>74</v>
      </c>
      <c r="R397" t="s">
        <v>74</v>
      </c>
      <c r="S397" t="s">
        <v>74</v>
      </c>
      <c r="T397" t="s">
        <v>7632</v>
      </c>
      <c r="U397" t="s">
        <v>74</v>
      </c>
      <c r="V397" t="s">
        <v>7633</v>
      </c>
      <c r="W397" t="s">
        <v>7634</v>
      </c>
      <c r="X397" t="s">
        <v>7635</v>
      </c>
      <c r="Y397" t="s">
        <v>7636</v>
      </c>
      <c r="Z397" t="s">
        <v>7637</v>
      </c>
      <c r="AA397" t="s">
        <v>7638</v>
      </c>
      <c r="AB397" t="s">
        <v>7639</v>
      </c>
      <c r="AC397" t="s">
        <v>74</v>
      </c>
      <c r="AD397" t="s">
        <v>74</v>
      </c>
      <c r="AE397" t="s">
        <v>74</v>
      </c>
      <c r="AF397" t="s">
        <v>74</v>
      </c>
      <c r="AG397">
        <v>37</v>
      </c>
      <c r="AH397">
        <v>0</v>
      </c>
      <c r="AI397">
        <v>0</v>
      </c>
      <c r="AJ397">
        <v>0</v>
      </c>
      <c r="AK397">
        <v>0</v>
      </c>
      <c r="AL397" t="s">
        <v>7640</v>
      </c>
      <c r="AM397" t="s">
        <v>7641</v>
      </c>
      <c r="AN397" t="s">
        <v>7642</v>
      </c>
      <c r="AO397" t="s">
        <v>7643</v>
      </c>
      <c r="AP397" t="s">
        <v>7644</v>
      </c>
      <c r="AQ397" t="s">
        <v>74</v>
      </c>
      <c r="AR397" t="s">
        <v>7645</v>
      </c>
      <c r="AS397" t="s">
        <v>7646</v>
      </c>
      <c r="AT397" t="s">
        <v>257</v>
      </c>
      <c r="AU397">
        <v>2024</v>
      </c>
      <c r="AV397">
        <v>29</v>
      </c>
      <c r="AW397">
        <v>6</v>
      </c>
      <c r="AX397" t="s">
        <v>74</v>
      </c>
      <c r="AY397" t="s">
        <v>74</v>
      </c>
      <c r="AZ397" t="s">
        <v>74</v>
      </c>
      <c r="BA397" t="s">
        <v>74</v>
      </c>
      <c r="BB397" t="s">
        <v>74</v>
      </c>
      <c r="BC397" t="s">
        <v>74</v>
      </c>
      <c r="BD397" t="s">
        <v>74</v>
      </c>
      <c r="BE397" t="s">
        <v>7647</v>
      </c>
      <c r="BF397" t="str">
        <f>HYPERLINK("http://dx.doi.org/10.46743/2160-3715/2024.5992","http://dx.doi.org/10.46743/2160-3715/2024.5992")</f>
        <v>http://dx.doi.org/10.46743/2160-3715/2024.5992</v>
      </c>
      <c r="BG397" t="s">
        <v>74</v>
      </c>
      <c r="BH397" t="s">
        <v>74</v>
      </c>
      <c r="BI397">
        <v>17</v>
      </c>
      <c r="BJ397" t="s">
        <v>98</v>
      </c>
      <c r="BK397" t="s">
        <v>125</v>
      </c>
      <c r="BL397" t="s">
        <v>100</v>
      </c>
      <c r="BM397" t="s">
        <v>7648</v>
      </c>
      <c r="BN397" t="s">
        <v>74</v>
      </c>
      <c r="BO397" t="s">
        <v>235</v>
      </c>
      <c r="BP397" t="s">
        <v>74</v>
      </c>
      <c r="BQ397" t="s">
        <v>74</v>
      </c>
      <c r="BR397" t="s">
        <v>102</v>
      </c>
      <c r="BS397" t="s">
        <v>7649</v>
      </c>
      <c r="BT397" t="str">
        <f>HYPERLINK("https%3A%2F%2Fwww.webofscience.com%2Fwos%2Fwoscc%2Ffull-record%2FWOS:001252781000002","View Full Record in Web of Science")</f>
        <v>View Full Record in Web of Science</v>
      </c>
    </row>
    <row r="398" spans="1:72" x14ac:dyDescent="0.35">
      <c r="A398" t="s">
        <v>72</v>
      </c>
      <c r="B398" t="s">
        <v>7650</v>
      </c>
      <c r="C398" t="s">
        <v>74</v>
      </c>
      <c r="D398" t="s">
        <v>74</v>
      </c>
      <c r="E398" t="s">
        <v>74</v>
      </c>
      <c r="F398" t="s">
        <v>7651</v>
      </c>
      <c r="G398" t="s">
        <v>74</v>
      </c>
      <c r="H398" t="s">
        <v>74</v>
      </c>
      <c r="I398" t="s">
        <v>7652</v>
      </c>
      <c r="J398" t="s">
        <v>7653</v>
      </c>
      <c r="K398" t="s">
        <v>74</v>
      </c>
      <c r="L398" t="s">
        <v>74</v>
      </c>
      <c r="M398" t="s">
        <v>3503</v>
      </c>
      <c r="N398" t="s">
        <v>108</v>
      </c>
      <c r="O398" t="s">
        <v>74</v>
      </c>
      <c r="P398" t="s">
        <v>74</v>
      </c>
      <c r="Q398" t="s">
        <v>74</v>
      </c>
      <c r="R398" t="s">
        <v>74</v>
      </c>
      <c r="S398" t="s">
        <v>74</v>
      </c>
      <c r="T398" t="s">
        <v>7654</v>
      </c>
      <c r="U398" t="s">
        <v>74</v>
      </c>
      <c r="V398" t="s">
        <v>7655</v>
      </c>
      <c r="W398" t="s">
        <v>7656</v>
      </c>
      <c r="X398" t="s">
        <v>7657</v>
      </c>
      <c r="Y398" t="s">
        <v>7658</v>
      </c>
      <c r="Z398" t="s">
        <v>7659</v>
      </c>
      <c r="AA398" t="s">
        <v>74</v>
      </c>
      <c r="AB398" t="s">
        <v>74</v>
      </c>
      <c r="AC398" t="s">
        <v>74</v>
      </c>
      <c r="AD398" t="s">
        <v>74</v>
      </c>
      <c r="AE398" t="s">
        <v>74</v>
      </c>
      <c r="AF398" t="s">
        <v>74</v>
      </c>
      <c r="AG398">
        <v>29</v>
      </c>
      <c r="AH398">
        <v>1</v>
      </c>
      <c r="AI398">
        <v>1</v>
      </c>
      <c r="AJ398">
        <v>3</v>
      </c>
      <c r="AK398">
        <v>14</v>
      </c>
      <c r="AL398" t="s">
        <v>7660</v>
      </c>
      <c r="AM398" t="s">
        <v>7661</v>
      </c>
      <c r="AN398" t="s">
        <v>7662</v>
      </c>
      <c r="AO398" t="s">
        <v>7663</v>
      </c>
      <c r="AP398" t="s">
        <v>7664</v>
      </c>
      <c r="AQ398" t="s">
        <v>74</v>
      </c>
      <c r="AR398" t="s">
        <v>7665</v>
      </c>
      <c r="AS398" t="s">
        <v>7666</v>
      </c>
      <c r="AT398" t="s">
        <v>257</v>
      </c>
      <c r="AU398">
        <v>2022</v>
      </c>
      <c r="AV398">
        <v>11</v>
      </c>
      <c r="AW398">
        <v>1</v>
      </c>
      <c r="AX398" t="s">
        <v>74</v>
      </c>
      <c r="AY398" t="s">
        <v>74</v>
      </c>
      <c r="AZ398" t="s">
        <v>74</v>
      </c>
      <c r="BA398" t="s">
        <v>74</v>
      </c>
      <c r="BB398" t="s">
        <v>74</v>
      </c>
      <c r="BC398" t="s">
        <v>74</v>
      </c>
      <c r="BD398" t="s">
        <v>74</v>
      </c>
      <c r="BE398" t="s">
        <v>7667</v>
      </c>
      <c r="BF398" t="str">
        <f>HYPERLINK("http://dx.doi.org/10.26422/aucom.2022.1101.ari","http://dx.doi.org/10.26422/aucom.2022.1101.ari")</f>
        <v>http://dx.doi.org/10.26422/aucom.2022.1101.ari</v>
      </c>
      <c r="BG398" t="s">
        <v>74</v>
      </c>
      <c r="BH398" t="s">
        <v>74</v>
      </c>
      <c r="BI398">
        <v>25</v>
      </c>
      <c r="BJ398" t="s">
        <v>124</v>
      </c>
      <c r="BK398" t="s">
        <v>125</v>
      </c>
      <c r="BL398" t="s">
        <v>124</v>
      </c>
      <c r="BM398" t="s">
        <v>7668</v>
      </c>
      <c r="BN398" t="s">
        <v>74</v>
      </c>
      <c r="BO398" t="s">
        <v>5678</v>
      </c>
      <c r="BP398" t="s">
        <v>74</v>
      </c>
      <c r="BQ398" t="s">
        <v>74</v>
      </c>
      <c r="BR398" t="s">
        <v>102</v>
      </c>
      <c r="BS398" t="s">
        <v>7669</v>
      </c>
      <c r="BT398" t="str">
        <f>HYPERLINK("https%3A%2F%2Fwww.webofscience.com%2Fwos%2Fwoscc%2Ffull-record%2FWOS:000822796300004","View Full Record in Web of Science")</f>
        <v>View Full Record in Web of Science</v>
      </c>
    </row>
    <row r="399" spans="1:72" x14ac:dyDescent="0.35">
      <c r="A399" t="s">
        <v>72</v>
      </c>
      <c r="B399" t="s">
        <v>7670</v>
      </c>
      <c r="C399" t="s">
        <v>74</v>
      </c>
      <c r="D399" t="s">
        <v>74</v>
      </c>
      <c r="E399" t="s">
        <v>74</v>
      </c>
      <c r="F399" t="s">
        <v>7671</v>
      </c>
      <c r="G399" t="s">
        <v>74</v>
      </c>
      <c r="H399" t="s">
        <v>74</v>
      </c>
      <c r="I399" t="s">
        <v>7672</v>
      </c>
      <c r="J399" t="s">
        <v>7673</v>
      </c>
      <c r="K399" t="s">
        <v>74</v>
      </c>
      <c r="L399" t="s">
        <v>74</v>
      </c>
      <c r="M399" t="s">
        <v>78</v>
      </c>
      <c r="N399" t="s">
        <v>79</v>
      </c>
      <c r="O399" t="s">
        <v>74</v>
      </c>
      <c r="P399" t="s">
        <v>74</v>
      </c>
      <c r="Q399" t="s">
        <v>74</v>
      </c>
      <c r="R399" t="s">
        <v>74</v>
      </c>
      <c r="S399" t="s">
        <v>74</v>
      </c>
      <c r="T399" t="s">
        <v>7674</v>
      </c>
      <c r="U399" t="s">
        <v>7675</v>
      </c>
      <c r="V399" t="s">
        <v>7676</v>
      </c>
      <c r="W399" t="s">
        <v>7677</v>
      </c>
      <c r="X399" t="s">
        <v>7678</v>
      </c>
      <c r="Y399" t="s">
        <v>7679</v>
      </c>
      <c r="Z399" t="s">
        <v>7680</v>
      </c>
      <c r="AA399" t="s">
        <v>74</v>
      </c>
      <c r="AB399" t="s">
        <v>7681</v>
      </c>
      <c r="AC399" t="s">
        <v>74</v>
      </c>
      <c r="AD399" t="s">
        <v>74</v>
      </c>
      <c r="AE399" t="s">
        <v>74</v>
      </c>
      <c r="AF399" t="s">
        <v>74</v>
      </c>
      <c r="AG399">
        <v>49</v>
      </c>
      <c r="AH399">
        <v>0</v>
      </c>
      <c r="AI399">
        <v>0</v>
      </c>
      <c r="AJ399">
        <v>1</v>
      </c>
      <c r="AK399">
        <v>1</v>
      </c>
      <c r="AL399" t="s">
        <v>226</v>
      </c>
      <c r="AM399" t="s">
        <v>227</v>
      </c>
      <c r="AN399" t="s">
        <v>228</v>
      </c>
      <c r="AO399" t="s">
        <v>7682</v>
      </c>
      <c r="AP399" t="s">
        <v>7683</v>
      </c>
      <c r="AQ399" t="s">
        <v>74</v>
      </c>
      <c r="AR399" t="s">
        <v>7684</v>
      </c>
      <c r="AS399" t="s">
        <v>7685</v>
      </c>
      <c r="AT399" t="s">
        <v>7686</v>
      </c>
      <c r="AU399">
        <v>2024</v>
      </c>
      <c r="AV399" t="s">
        <v>74</v>
      </c>
      <c r="AW399" t="s">
        <v>74</v>
      </c>
      <c r="AX399" t="s">
        <v>74</v>
      </c>
      <c r="AY399" t="s">
        <v>74</v>
      </c>
      <c r="AZ399" t="s">
        <v>74</v>
      </c>
      <c r="BA399" t="s">
        <v>74</v>
      </c>
      <c r="BB399" t="s">
        <v>74</v>
      </c>
      <c r="BC399" t="s">
        <v>74</v>
      </c>
      <c r="BD399" t="s">
        <v>74</v>
      </c>
      <c r="BE399" t="s">
        <v>7687</v>
      </c>
      <c r="BF399" t="str">
        <f>HYPERLINK("http://dx.doi.org/10.1177/17488958241261808","http://dx.doi.org/10.1177/17488958241261808")</f>
        <v>http://dx.doi.org/10.1177/17488958241261808</v>
      </c>
      <c r="BG399" t="s">
        <v>74</v>
      </c>
      <c r="BH399" t="s">
        <v>478</v>
      </c>
      <c r="BI399">
        <v>22</v>
      </c>
      <c r="BJ399" t="s">
        <v>7688</v>
      </c>
      <c r="BK399" t="s">
        <v>99</v>
      </c>
      <c r="BL399" t="s">
        <v>7688</v>
      </c>
      <c r="BM399" t="s">
        <v>7689</v>
      </c>
      <c r="BN399" t="s">
        <v>74</v>
      </c>
      <c r="BO399" t="s">
        <v>74</v>
      </c>
      <c r="BP399" t="s">
        <v>74</v>
      </c>
      <c r="BQ399" t="s">
        <v>74</v>
      </c>
      <c r="BR399" t="s">
        <v>102</v>
      </c>
      <c r="BS399" t="s">
        <v>7690</v>
      </c>
      <c r="BT399" t="str">
        <f>HYPERLINK("https%3A%2F%2Fwww.webofscience.com%2Fwos%2Fwoscc%2Ffull-record%2FWOS:001275815000001","View Full Record in Web of Science")</f>
        <v>View Full Record in Web of Science</v>
      </c>
    </row>
    <row r="400" spans="1:72" x14ac:dyDescent="0.35">
      <c r="A400" t="s">
        <v>72</v>
      </c>
      <c r="B400" t="s">
        <v>7691</v>
      </c>
      <c r="C400" t="s">
        <v>74</v>
      </c>
      <c r="D400" t="s">
        <v>74</v>
      </c>
      <c r="E400" t="s">
        <v>74</v>
      </c>
      <c r="F400" t="s">
        <v>7692</v>
      </c>
      <c r="G400" t="s">
        <v>74</v>
      </c>
      <c r="H400" t="s">
        <v>74</v>
      </c>
      <c r="I400" t="s">
        <v>7693</v>
      </c>
      <c r="J400" t="s">
        <v>968</v>
      </c>
      <c r="K400" t="s">
        <v>74</v>
      </c>
      <c r="L400" t="s">
        <v>74</v>
      </c>
      <c r="M400" t="s">
        <v>78</v>
      </c>
      <c r="N400" t="s">
        <v>108</v>
      </c>
      <c r="O400" t="s">
        <v>74</v>
      </c>
      <c r="P400" t="s">
        <v>74</v>
      </c>
      <c r="Q400" t="s">
        <v>74</v>
      </c>
      <c r="R400" t="s">
        <v>74</v>
      </c>
      <c r="S400" t="s">
        <v>74</v>
      </c>
      <c r="T400" t="s">
        <v>7694</v>
      </c>
      <c r="U400" t="s">
        <v>7695</v>
      </c>
      <c r="V400" t="s">
        <v>7696</v>
      </c>
      <c r="W400" t="s">
        <v>7697</v>
      </c>
      <c r="X400" t="s">
        <v>7698</v>
      </c>
      <c r="Y400" t="s">
        <v>7699</v>
      </c>
      <c r="Z400" t="s">
        <v>7700</v>
      </c>
      <c r="AA400" t="s">
        <v>7701</v>
      </c>
      <c r="AB400" t="s">
        <v>7702</v>
      </c>
      <c r="AC400" t="s">
        <v>74</v>
      </c>
      <c r="AD400" t="s">
        <v>74</v>
      </c>
      <c r="AE400" t="s">
        <v>74</v>
      </c>
      <c r="AF400" t="s">
        <v>74</v>
      </c>
      <c r="AG400">
        <v>49</v>
      </c>
      <c r="AH400">
        <v>15</v>
      </c>
      <c r="AI400">
        <v>15</v>
      </c>
      <c r="AJ400">
        <v>3</v>
      </c>
      <c r="AK400">
        <v>53</v>
      </c>
      <c r="AL400" t="s">
        <v>226</v>
      </c>
      <c r="AM400" t="s">
        <v>227</v>
      </c>
      <c r="AN400" t="s">
        <v>228</v>
      </c>
      <c r="AO400" t="s">
        <v>978</v>
      </c>
      <c r="AP400" t="s">
        <v>979</v>
      </c>
      <c r="AQ400" t="s">
        <v>74</v>
      </c>
      <c r="AR400" t="s">
        <v>980</v>
      </c>
      <c r="AS400" t="s">
        <v>981</v>
      </c>
      <c r="AT400" t="s">
        <v>178</v>
      </c>
      <c r="AU400">
        <v>2023</v>
      </c>
      <c r="AV400">
        <v>186</v>
      </c>
      <c r="AW400">
        <v>1</v>
      </c>
      <c r="AX400" t="s">
        <v>74</v>
      </c>
      <c r="AY400" t="s">
        <v>74</v>
      </c>
      <c r="AZ400" t="s">
        <v>456</v>
      </c>
      <c r="BA400" t="s">
        <v>74</v>
      </c>
      <c r="BB400">
        <v>29</v>
      </c>
      <c r="BC400">
        <v>47</v>
      </c>
      <c r="BD400" t="s">
        <v>74</v>
      </c>
      <c r="BE400" t="s">
        <v>7703</v>
      </c>
      <c r="BF400" t="str">
        <f>HYPERLINK("http://dx.doi.org/10.1177/1329878X221110279","http://dx.doi.org/10.1177/1329878X221110279")</f>
        <v>http://dx.doi.org/10.1177/1329878X221110279</v>
      </c>
      <c r="BG400" t="s">
        <v>74</v>
      </c>
      <c r="BH400" t="s">
        <v>1428</v>
      </c>
      <c r="BI400">
        <v>19</v>
      </c>
      <c r="BJ400" t="s">
        <v>124</v>
      </c>
      <c r="BK400" t="s">
        <v>99</v>
      </c>
      <c r="BL400" t="s">
        <v>124</v>
      </c>
      <c r="BM400" t="s">
        <v>983</v>
      </c>
      <c r="BN400" t="s">
        <v>74</v>
      </c>
      <c r="BO400" t="s">
        <v>74</v>
      </c>
      <c r="BP400" t="s">
        <v>74</v>
      </c>
      <c r="BQ400" t="s">
        <v>74</v>
      </c>
      <c r="BR400" t="s">
        <v>102</v>
      </c>
      <c r="BS400" t="s">
        <v>7704</v>
      </c>
      <c r="BT400" t="str">
        <f>HYPERLINK("https%3A%2F%2Fwww.webofscience.com%2Fwos%2Fwoscc%2Ffull-record%2FWOS:000821643700001","View Full Record in Web of Science")</f>
        <v>View Full Record in Web of Science</v>
      </c>
    </row>
    <row r="401" spans="1:72" x14ac:dyDescent="0.35">
      <c r="A401" t="s">
        <v>72</v>
      </c>
      <c r="B401" t="s">
        <v>7705</v>
      </c>
      <c r="C401" t="s">
        <v>74</v>
      </c>
      <c r="D401" t="s">
        <v>74</v>
      </c>
      <c r="E401" t="s">
        <v>74</v>
      </c>
      <c r="F401" t="s">
        <v>7706</v>
      </c>
      <c r="G401" t="s">
        <v>74</v>
      </c>
      <c r="H401" t="s">
        <v>74</v>
      </c>
      <c r="I401" t="s">
        <v>7707</v>
      </c>
      <c r="J401" t="s">
        <v>401</v>
      </c>
      <c r="K401" t="s">
        <v>74</v>
      </c>
      <c r="L401" t="s">
        <v>74</v>
      </c>
      <c r="M401" t="s">
        <v>78</v>
      </c>
      <c r="N401" t="s">
        <v>108</v>
      </c>
      <c r="O401" t="s">
        <v>74</v>
      </c>
      <c r="P401" t="s">
        <v>74</v>
      </c>
      <c r="Q401" t="s">
        <v>74</v>
      </c>
      <c r="R401" t="s">
        <v>74</v>
      </c>
      <c r="S401" t="s">
        <v>74</v>
      </c>
      <c r="T401" t="s">
        <v>7708</v>
      </c>
      <c r="U401" t="s">
        <v>7709</v>
      </c>
      <c r="V401" t="s">
        <v>7710</v>
      </c>
      <c r="W401" t="s">
        <v>7711</v>
      </c>
      <c r="X401" t="s">
        <v>7712</v>
      </c>
      <c r="Y401" t="s">
        <v>7713</v>
      </c>
      <c r="Z401" t="s">
        <v>7714</v>
      </c>
      <c r="AA401" t="s">
        <v>7715</v>
      </c>
      <c r="AB401" t="s">
        <v>74</v>
      </c>
      <c r="AC401" t="s">
        <v>74</v>
      </c>
      <c r="AD401" t="s">
        <v>74</v>
      </c>
      <c r="AE401" t="s">
        <v>74</v>
      </c>
      <c r="AF401" t="s">
        <v>74</v>
      </c>
      <c r="AG401">
        <v>56</v>
      </c>
      <c r="AH401">
        <v>3</v>
      </c>
      <c r="AI401">
        <v>3</v>
      </c>
      <c r="AJ401">
        <v>1</v>
      </c>
      <c r="AK401">
        <v>4</v>
      </c>
      <c r="AL401" t="s">
        <v>409</v>
      </c>
      <c r="AM401" t="s">
        <v>410</v>
      </c>
      <c r="AN401" t="s">
        <v>411</v>
      </c>
      <c r="AO401" t="s">
        <v>412</v>
      </c>
      <c r="AP401" t="s">
        <v>74</v>
      </c>
      <c r="AQ401" t="s">
        <v>74</v>
      </c>
      <c r="AR401" t="s">
        <v>413</v>
      </c>
      <c r="AS401" t="s">
        <v>414</v>
      </c>
      <c r="AT401" t="s">
        <v>74</v>
      </c>
      <c r="AU401">
        <v>2022</v>
      </c>
      <c r="AV401">
        <v>16</v>
      </c>
      <c r="AW401" t="s">
        <v>74</v>
      </c>
      <c r="AX401" t="s">
        <v>74</v>
      </c>
      <c r="AY401" t="s">
        <v>74</v>
      </c>
      <c r="AZ401" t="s">
        <v>74</v>
      </c>
      <c r="BA401" t="s">
        <v>74</v>
      </c>
      <c r="BB401">
        <v>5578</v>
      </c>
      <c r="BC401">
        <v>5602</v>
      </c>
      <c r="BD401" t="s">
        <v>74</v>
      </c>
      <c r="BE401" t="s">
        <v>74</v>
      </c>
      <c r="BF401" t="s">
        <v>74</v>
      </c>
      <c r="BG401" t="s">
        <v>74</v>
      </c>
      <c r="BH401" t="s">
        <v>74</v>
      </c>
      <c r="BI401">
        <v>25</v>
      </c>
      <c r="BJ401" t="s">
        <v>124</v>
      </c>
      <c r="BK401" t="s">
        <v>99</v>
      </c>
      <c r="BL401" t="s">
        <v>124</v>
      </c>
      <c r="BM401" t="s">
        <v>1414</v>
      </c>
      <c r="BN401" t="s">
        <v>74</v>
      </c>
      <c r="BO401" t="s">
        <v>74</v>
      </c>
      <c r="BP401" t="s">
        <v>74</v>
      </c>
      <c r="BQ401" t="s">
        <v>74</v>
      </c>
      <c r="BR401" t="s">
        <v>102</v>
      </c>
      <c r="BS401" t="s">
        <v>7716</v>
      </c>
      <c r="BT401" t="str">
        <f>HYPERLINK("https%3A%2F%2Fwww.webofscience.com%2Fwos%2Fwoscc%2Ffull-record%2FWOS:001079739800162","View Full Record in Web of Science")</f>
        <v>View Full Record in Web of Science</v>
      </c>
    </row>
    <row r="402" spans="1:72" x14ac:dyDescent="0.35">
      <c r="A402" t="s">
        <v>128</v>
      </c>
      <c r="B402" t="s">
        <v>7717</v>
      </c>
      <c r="C402" t="s">
        <v>74</v>
      </c>
      <c r="D402" t="s">
        <v>7718</v>
      </c>
      <c r="E402" t="s">
        <v>74</v>
      </c>
      <c r="F402" t="s">
        <v>7719</v>
      </c>
      <c r="G402" t="s">
        <v>74</v>
      </c>
      <c r="H402" t="s">
        <v>74</v>
      </c>
      <c r="I402" t="s">
        <v>7720</v>
      </c>
      <c r="J402" t="s">
        <v>7721</v>
      </c>
      <c r="K402" t="s">
        <v>7722</v>
      </c>
      <c r="L402" t="s">
        <v>74</v>
      </c>
      <c r="M402" t="s">
        <v>78</v>
      </c>
      <c r="N402" t="s">
        <v>135</v>
      </c>
      <c r="O402" t="s">
        <v>7723</v>
      </c>
      <c r="P402" t="s">
        <v>7724</v>
      </c>
      <c r="Q402" t="s">
        <v>138</v>
      </c>
      <c r="R402" t="s">
        <v>7725</v>
      </c>
      <c r="S402" t="s">
        <v>74</v>
      </c>
      <c r="T402" t="s">
        <v>7726</v>
      </c>
      <c r="U402" t="s">
        <v>74</v>
      </c>
      <c r="V402" t="s">
        <v>7727</v>
      </c>
      <c r="W402" t="s">
        <v>7728</v>
      </c>
      <c r="X402" t="s">
        <v>7729</v>
      </c>
      <c r="Y402" t="s">
        <v>7730</v>
      </c>
      <c r="Z402" t="s">
        <v>7731</v>
      </c>
      <c r="AA402" t="s">
        <v>7732</v>
      </c>
      <c r="AB402" t="s">
        <v>7733</v>
      </c>
      <c r="AC402" t="s">
        <v>74</v>
      </c>
      <c r="AD402" t="s">
        <v>74</v>
      </c>
      <c r="AE402" t="s">
        <v>74</v>
      </c>
      <c r="AF402" t="s">
        <v>74</v>
      </c>
      <c r="AG402">
        <v>25</v>
      </c>
      <c r="AH402">
        <v>4</v>
      </c>
      <c r="AI402">
        <v>4</v>
      </c>
      <c r="AJ402">
        <v>1</v>
      </c>
      <c r="AK402">
        <v>1</v>
      </c>
      <c r="AL402" t="s">
        <v>718</v>
      </c>
      <c r="AM402" t="s">
        <v>666</v>
      </c>
      <c r="AN402" t="s">
        <v>719</v>
      </c>
      <c r="AO402" t="s">
        <v>7734</v>
      </c>
      <c r="AP402" t="s">
        <v>7735</v>
      </c>
      <c r="AQ402" t="s">
        <v>7736</v>
      </c>
      <c r="AR402" t="s">
        <v>7737</v>
      </c>
      <c r="AS402" t="s">
        <v>74</v>
      </c>
      <c r="AT402" t="s">
        <v>74</v>
      </c>
      <c r="AU402">
        <v>2021</v>
      </c>
      <c r="AV402" t="s">
        <v>74</v>
      </c>
      <c r="AW402" t="s">
        <v>74</v>
      </c>
      <c r="AX402" t="s">
        <v>74</v>
      </c>
      <c r="AY402" t="s">
        <v>74</v>
      </c>
      <c r="AZ402" t="s">
        <v>74</v>
      </c>
      <c r="BA402" t="s">
        <v>74</v>
      </c>
      <c r="BB402">
        <v>356</v>
      </c>
      <c r="BC402">
        <v>360</v>
      </c>
      <c r="BD402" t="s">
        <v>74</v>
      </c>
      <c r="BE402" t="s">
        <v>7738</v>
      </c>
      <c r="BF402" t="str">
        <f>HYPERLINK("http://dx.doi.org/10.1145/3487351.3488276","http://dx.doi.org/10.1145/3487351.3488276")</f>
        <v>http://dx.doi.org/10.1145/3487351.3488276</v>
      </c>
      <c r="BG402" t="s">
        <v>74</v>
      </c>
      <c r="BH402" t="s">
        <v>74</v>
      </c>
      <c r="BI402">
        <v>5</v>
      </c>
      <c r="BJ402" t="s">
        <v>7739</v>
      </c>
      <c r="BK402" t="s">
        <v>648</v>
      </c>
      <c r="BL402" t="s">
        <v>7740</v>
      </c>
      <c r="BM402" t="s">
        <v>7741</v>
      </c>
      <c r="BN402" t="s">
        <v>74</v>
      </c>
      <c r="BO402" t="s">
        <v>7742</v>
      </c>
      <c r="BP402" t="s">
        <v>74</v>
      </c>
      <c r="BQ402" t="s">
        <v>74</v>
      </c>
      <c r="BR402" t="s">
        <v>102</v>
      </c>
      <c r="BS402" t="s">
        <v>7743</v>
      </c>
      <c r="BT402" t="str">
        <f>HYPERLINK("https%3A%2F%2Fwww.webofscience.com%2Fwos%2Fwoscc%2Ffull-record%2FWOS:001196170500059","View Full Record in Web of Science")</f>
        <v>View Full Record in Web of Science</v>
      </c>
    </row>
    <row r="403" spans="1:72" x14ac:dyDescent="0.35">
      <c r="A403" t="s">
        <v>72</v>
      </c>
      <c r="B403" t="s">
        <v>7744</v>
      </c>
      <c r="C403" t="s">
        <v>74</v>
      </c>
      <c r="D403" t="s">
        <v>74</v>
      </c>
      <c r="E403" t="s">
        <v>74</v>
      </c>
      <c r="F403" t="s">
        <v>7745</v>
      </c>
      <c r="G403" t="s">
        <v>74</v>
      </c>
      <c r="H403" t="s">
        <v>74</v>
      </c>
      <c r="I403" t="s">
        <v>7746</v>
      </c>
      <c r="J403" t="s">
        <v>7747</v>
      </c>
      <c r="K403" t="s">
        <v>74</v>
      </c>
      <c r="L403" t="s">
        <v>74</v>
      </c>
      <c r="M403" t="s">
        <v>78</v>
      </c>
      <c r="N403" t="s">
        <v>1328</v>
      </c>
      <c r="O403" t="s">
        <v>74</v>
      </c>
      <c r="P403" t="s">
        <v>74</v>
      </c>
      <c r="Q403" t="s">
        <v>74</v>
      </c>
      <c r="R403" t="s">
        <v>74</v>
      </c>
      <c r="S403" t="s">
        <v>74</v>
      </c>
      <c r="T403" t="s">
        <v>74</v>
      </c>
      <c r="U403" t="s">
        <v>74</v>
      </c>
      <c r="V403" t="s">
        <v>74</v>
      </c>
      <c r="W403" t="s">
        <v>74</v>
      </c>
      <c r="X403" t="s">
        <v>74</v>
      </c>
      <c r="Y403" t="s">
        <v>74</v>
      </c>
      <c r="Z403" t="s">
        <v>74</v>
      </c>
      <c r="AA403" t="s">
        <v>74</v>
      </c>
      <c r="AB403" t="s">
        <v>74</v>
      </c>
      <c r="AC403" t="s">
        <v>74</v>
      </c>
      <c r="AD403" t="s">
        <v>74</v>
      </c>
      <c r="AE403" t="s">
        <v>74</v>
      </c>
      <c r="AF403" t="s">
        <v>74</v>
      </c>
      <c r="AG403">
        <v>0</v>
      </c>
      <c r="AH403">
        <v>0</v>
      </c>
      <c r="AI403">
        <v>0</v>
      </c>
      <c r="AJ403">
        <v>1</v>
      </c>
      <c r="AK403">
        <v>2</v>
      </c>
      <c r="AL403" t="s">
        <v>803</v>
      </c>
      <c r="AM403" t="s">
        <v>227</v>
      </c>
      <c r="AN403" t="s">
        <v>804</v>
      </c>
      <c r="AO403" t="s">
        <v>7748</v>
      </c>
      <c r="AP403" t="s">
        <v>7749</v>
      </c>
      <c r="AQ403" t="s">
        <v>74</v>
      </c>
      <c r="AR403" t="s">
        <v>7750</v>
      </c>
      <c r="AS403" t="s">
        <v>7751</v>
      </c>
      <c r="AT403" t="s">
        <v>523</v>
      </c>
      <c r="AU403">
        <v>2020</v>
      </c>
      <c r="AV403">
        <v>229</v>
      </c>
      <c r="AW403">
        <v>10</v>
      </c>
      <c r="AX403" t="s">
        <v>74</v>
      </c>
      <c r="AY403" t="s">
        <v>74</v>
      </c>
      <c r="AZ403" t="s">
        <v>74</v>
      </c>
      <c r="BA403" t="s">
        <v>74</v>
      </c>
      <c r="BB403">
        <v>638</v>
      </c>
      <c r="BC403">
        <v>638</v>
      </c>
      <c r="BD403" t="s">
        <v>74</v>
      </c>
      <c r="BE403" t="s">
        <v>74</v>
      </c>
      <c r="BF403" t="s">
        <v>74</v>
      </c>
      <c r="BG403" t="s">
        <v>74</v>
      </c>
      <c r="BH403" t="s">
        <v>74</v>
      </c>
      <c r="BI403">
        <v>1</v>
      </c>
      <c r="BJ403" t="s">
        <v>599</v>
      </c>
      <c r="BK403" t="s">
        <v>209</v>
      </c>
      <c r="BL403" t="s">
        <v>599</v>
      </c>
      <c r="BM403" t="s">
        <v>7752</v>
      </c>
      <c r="BN403" t="s">
        <v>74</v>
      </c>
      <c r="BO403" t="s">
        <v>74</v>
      </c>
      <c r="BP403" t="s">
        <v>74</v>
      </c>
      <c r="BQ403" t="s">
        <v>74</v>
      </c>
      <c r="BR403" t="s">
        <v>102</v>
      </c>
      <c r="BS403" t="s">
        <v>7753</v>
      </c>
      <c r="BT403" t="str">
        <f>HYPERLINK("https%3A%2F%2Fwww.webofscience.com%2Fwos%2Fwoscc%2Ffull-record%2FWOS:000594505600008","View Full Record in Web of Science")</f>
        <v>View Full Record in Web of Science</v>
      </c>
    </row>
    <row r="404" spans="1:72" x14ac:dyDescent="0.35">
      <c r="A404" t="s">
        <v>72</v>
      </c>
      <c r="B404" t="s">
        <v>7754</v>
      </c>
      <c r="C404" t="s">
        <v>74</v>
      </c>
      <c r="D404" t="s">
        <v>74</v>
      </c>
      <c r="E404" t="s">
        <v>74</v>
      </c>
      <c r="F404" t="s">
        <v>7755</v>
      </c>
      <c r="G404" t="s">
        <v>74</v>
      </c>
      <c r="H404" t="s">
        <v>74</v>
      </c>
      <c r="I404" t="s">
        <v>7756</v>
      </c>
      <c r="J404" t="s">
        <v>793</v>
      </c>
      <c r="K404" t="s">
        <v>74</v>
      </c>
      <c r="L404" t="s">
        <v>74</v>
      </c>
      <c r="M404" t="s">
        <v>78</v>
      </c>
      <c r="N404" t="s">
        <v>108</v>
      </c>
      <c r="O404" t="s">
        <v>74</v>
      </c>
      <c r="P404" t="s">
        <v>74</v>
      </c>
      <c r="Q404" t="s">
        <v>74</v>
      </c>
      <c r="R404" t="s">
        <v>74</v>
      </c>
      <c r="S404" t="s">
        <v>74</v>
      </c>
      <c r="T404" t="s">
        <v>7757</v>
      </c>
      <c r="U404" t="s">
        <v>74</v>
      </c>
      <c r="V404" t="s">
        <v>7758</v>
      </c>
      <c r="W404" t="s">
        <v>7759</v>
      </c>
      <c r="X404" t="s">
        <v>7760</v>
      </c>
      <c r="Y404" t="s">
        <v>7761</v>
      </c>
      <c r="Z404" t="s">
        <v>7762</v>
      </c>
      <c r="AA404" t="s">
        <v>7763</v>
      </c>
      <c r="AB404" t="s">
        <v>74</v>
      </c>
      <c r="AC404" t="s">
        <v>74</v>
      </c>
      <c r="AD404" t="s">
        <v>74</v>
      </c>
      <c r="AE404" t="s">
        <v>74</v>
      </c>
      <c r="AF404" t="s">
        <v>74</v>
      </c>
      <c r="AG404">
        <v>17</v>
      </c>
      <c r="AH404">
        <v>0</v>
      </c>
      <c r="AI404">
        <v>0</v>
      </c>
      <c r="AJ404">
        <v>3</v>
      </c>
      <c r="AK404">
        <v>3</v>
      </c>
      <c r="AL404" t="s">
        <v>803</v>
      </c>
      <c r="AM404" t="s">
        <v>227</v>
      </c>
      <c r="AN404" t="s">
        <v>804</v>
      </c>
      <c r="AO404" t="s">
        <v>74</v>
      </c>
      <c r="AP404" t="s">
        <v>805</v>
      </c>
      <c r="AQ404" t="s">
        <v>74</v>
      </c>
      <c r="AR404" t="s">
        <v>806</v>
      </c>
      <c r="AS404" t="s">
        <v>807</v>
      </c>
      <c r="AT404" t="s">
        <v>7764</v>
      </c>
      <c r="AU404">
        <v>2024</v>
      </c>
      <c r="AV404">
        <v>16</v>
      </c>
      <c r="AW404">
        <v>3</v>
      </c>
      <c r="AX404" t="s">
        <v>74</v>
      </c>
      <c r="AY404" t="s">
        <v>74</v>
      </c>
      <c r="AZ404" t="s">
        <v>74</v>
      </c>
      <c r="BA404" t="s">
        <v>74</v>
      </c>
      <c r="BB404" t="s">
        <v>74</v>
      </c>
      <c r="BC404" t="s">
        <v>74</v>
      </c>
      <c r="BD404" t="s">
        <v>7765</v>
      </c>
      <c r="BE404" t="s">
        <v>7766</v>
      </c>
      <c r="BF404" t="str">
        <f>HYPERLINK("http://dx.doi.org/10.7759/cureus.57104","http://dx.doi.org/10.7759/cureus.57104")</f>
        <v>http://dx.doi.org/10.7759/cureus.57104</v>
      </c>
      <c r="BG404" t="s">
        <v>74</v>
      </c>
      <c r="BH404" t="s">
        <v>74</v>
      </c>
      <c r="BI404">
        <v>7</v>
      </c>
      <c r="BJ404" t="s">
        <v>811</v>
      </c>
      <c r="BK404" t="s">
        <v>125</v>
      </c>
      <c r="BL404" t="s">
        <v>812</v>
      </c>
      <c r="BM404" t="s">
        <v>7767</v>
      </c>
      <c r="BN404">
        <v>38681428</v>
      </c>
      <c r="BO404" t="s">
        <v>394</v>
      </c>
      <c r="BP404" t="s">
        <v>74</v>
      </c>
      <c r="BQ404" t="s">
        <v>74</v>
      </c>
      <c r="BR404" t="s">
        <v>102</v>
      </c>
      <c r="BS404" t="s">
        <v>7768</v>
      </c>
      <c r="BT404" t="str">
        <f>HYPERLINK("https%3A%2F%2Fwww.webofscience.com%2Fwos%2Fwoscc%2Ffull-record%2FWOS:001205868000005","View Full Record in Web of Science")</f>
        <v>View Full Record in Web of Science</v>
      </c>
    </row>
    <row r="405" spans="1:72" x14ac:dyDescent="0.35">
      <c r="A405" t="s">
        <v>72</v>
      </c>
      <c r="B405" t="s">
        <v>7769</v>
      </c>
      <c r="C405" t="s">
        <v>74</v>
      </c>
      <c r="D405" t="s">
        <v>74</v>
      </c>
      <c r="E405" t="s">
        <v>74</v>
      </c>
      <c r="F405" t="s">
        <v>7770</v>
      </c>
      <c r="G405" t="s">
        <v>74</v>
      </c>
      <c r="H405" t="s">
        <v>74</v>
      </c>
      <c r="I405" t="s">
        <v>7771</v>
      </c>
      <c r="J405" t="s">
        <v>4159</v>
      </c>
      <c r="K405" t="s">
        <v>74</v>
      </c>
      <c r="L405" t="s">
        <v>74</v>
      </c>
      <c r="M405" t="s">
        <v>78</v>
      </c>
      <c r="N405" t="s">
        <v>108</v>
      </c>
      <c r="O405" t="s">
        <v>74</v>
      </c>
      <c r="P405" t="s">
        <v>74</v>
      </c>
      <c r="Q405" t="s">
        <v>74</v>
      </c>
      <c r="R405" t="s">
        <v>74</v>
      </c>
      <c r="S405" t="s">
        <v>74</v>
      </c>
      <c r="T405" t="s">
        <v>7772</v>
      </c>
      <c r="U405" t="s">
        <v>218</v>
      </c>
      <c r="V405" t="s">
        <v>7773</v>
      </c>
      <c r="W405" t="s">
        <v>7774</v>
      </c>
      <c r="X405" t="s">
        <v>7775</v>
      </c>
      <c r="Y405" t="s">
        <v>7776</v>
      </c>
      <c r="Z405" t="s">
        <v>7777</v>
      </c>
      <c r="AA405" t="s">
        <v>74</v>
      </c>
      <c r="AB405" t="s">
        <v>74</v>
      </c>
      <c r="AC405" t="s">
        <v>74</v>
      </c>
      <c r="AD405" t="s">
        <v>74</v>
      </c>
      <c r="AE405" t="s">
        <v>74</v>
      </c>
      <c r="AF405" t="s">
        <v>74</v>
      </c>
      <c r="AG405">
        <v>20</v>
      </c>
      <c r="AH405">
        <v>9</v>
      </c>
      <c r="AI405">
        <v>9</v>
      </c>
      <c r="AJ405">
        <v>4</v>
      </c>
      <c r="AK405">
        <v>10</v>
      </c>
      <c r="AL405" t="s">
        <v>4165</v>
      </c>
      <c r="AM405" t="s">
        <v>640</v>
      </c>
      <c r="AN405" t="s">
        <v>641</v>
      </c>
      <c r="AO405" t="s">
        <v>4166</v>
      </c>
      <c r="AP405" t="s">
        <v>4167</v>
      </c>
      <c r="AQ405" t="s">
        <v>74</v>
      </c>
      <c r="AR405" t="s">
        <v>4168</v>
      </c>
      <c r="AS405" t="s">
        <v>4169</v>
      </c>
      <c r="AT405" t="s">
        <v>232</v>
      </c>
      <c r="AU405">
        <v>2024</v>
      </c>
      <c r="AV405">
        <v>13</v>
      </c>
      <c r="AW405">
        <v>1</v>
      </c>
      <c r="AX405" t="s">
        <v>74</v>
      </c>
      <c r="AY405" t="s">
        <v>74</v>
      </c>
      <c r="AZ405" t="s">
        <v>74</v>
      </c>
      <c r="BA405" t="s">
        <v>74</v>
      </c>
      <c r="BB405">
        <v>97</v>
      </c>
      <c r="BC405">
        <v>112</v>
      </c>
      <c r="BD405" t="s">
        <v>74</v>
      </c>
      <c r="BE405" t="s">
        <v>7778</v>
      </c>
      <c r="BF405" t="str">
        <f>HYPERLINK("http://dx.doi.org/10.1007/s40123-023-00834-6","http://dx.doi.org/10.1007/s40123-023-00834-6")</f>
        <v>http://dx.doi.org/10.1007/s40123-023-00834-6</v>
      </c>
      <c r="BG405" t="s">
        <v>74</v>
      </c>
      <c r="BH405" t="s">
        <v>207</v>
      </c>
      <c r="BI405">
        <v>16</v>
      </c>
      <c r="BJ405" t="s">
        <v>4171</v>
      </c>
      <c r="BK405" t="s">
        <v>209</v>
      </c>
      <c r="BL405" t="s">
        <v>4171</v>
      </c>
      <c r="BM405" t="s">
        <v>7779</v>
      </c>
      <c r="BN405">
        <v>37875699</v>
      </c>
      <c r="BO405" t="s">
        <v>552</v>
      </c>
      <c r="BP405" t="s">
        <v>74</v>
      </c>
      <c r="BQ405" t="s">
        <v>74</v>
      </c>
      <c r="BR405" t="s">
        <v>102</v>
      </c>
      <c r="BS405" t="s">
        <v>7780</v>
      </c>
      <c r="BT405" t="str">
        <f>HYPERLINK("https%3A%2F%2Fwww.webofscience.com%2Fwos%2Fwoscc%2Ffull-record%2FWOS:001091515900002","View Full Record in Web of Science")</f>
        <v>View Full Record in Web of Science</v>
      </c>
    </row>
    <row r="406" spans="1:72" x14ac:dyDescent="0.35">
      <c r="A406" t="s">
        <v>128</v>
      </c>
      <c r="B406" t="s">
        <v>7781</v>
      </c>
      <c r="C406" t="s">
        <v>74</v>
      </c>
      <c r="D406" t="s">
        <v>74</v>
      </c>
      <c r="E406" t="s">
        <v>702</v>
      </c>
      <c r="F406" t="s">
        <v>7782</v>
      </c>
      <c r="G406" t="s">
        <v>74</v>
      </c>
      <c r="H406" t="s">
        <v>74</v>
      </c>
      <c r="I406" t="s">
        <v>7783</v>
      </c>
      <c r="J406" t="s">
        <v>5467</v>
      </c>
      <c r="K406" t="s">
        <v>74</v>
      </c>
      <c r="L406" t="s">
        <v>74</v>
      </c>
      <c r="M406" t="s">
        <v>78</v>
      </c>
      <c r="N406" t="s">
        <v>135</v>
      </c>
      <c r="O406" t="s">
        <v>5468</v>
      </c>
      <c r="P406" t="s">
        <v>5469</v>
      </c>
      <c r="Q406" t="s">
        <v>5470</v>
      </c>
      <c r="R406" t="s">
        <v>5471</v>
      </c>
      <c r="S406" t="s">
        <v>74</v>
      </c>
      <c r="T406" t="s">
        <v>7784</v>
      </c>
      <c r="U406" t="s">
        <v>7785</v>
      </c>
      <c r="V406" t="s">
        <v>7786</v>
      </c>
      <c r="W406" t="s">
        <v>7787</v>
      </c>
      <c r="X406" t="s">
        <v>5390</v>
      </c>
      <c r="Y406" t="s">
        <v>7788</v>
      </c>
      <c r="Z406" t="s">
        <v>7789</v>
      </c>
      <c r="AA406" t="s">
        <v>74</v>
      </c>
      <c r="AB406" t="s">
        <v>7790</v>
      </c>
      <c r="AC406" t="s">
        <v>7791</v>
      </c>
      <c r="AD406" t="s">
        <v>7792</v>
      </c>
      <c r="AE406" t="s">
        <v>7793</v>
      </c>
      <c r="AF406" t="s">
        <v>74</v>
      </c>
      <c r="AG406">
        <v>91</v>
      </c>
      <c r="AH406">
        <v>7</v>
      </c>
      <c r="AI406">
        <v>7</v>
      </c>
      <c r="AJ406">
        <v>3</v>
      </c>
      <c r="AK406">
        <v>7</v>
      </c>
      <c r="AL406" t="s">
        <v>718</v>
      </c>
      <c r="AM406" t="s">
        <v>666</v>
      </c>
      <c r="AN406" t="s">
        <v>719</v>
      </c>
      <c r="AO406" t="s">
        <v>74</v>
      </c>
      <c r="AP406" t="s">
        <v>74</v>
      </c>
      <c r="AQ406" t="s">
        <v>5480</v>
      </c>
      <c r="AR406" t="s">
        <v>74</v>
      </c>
      <c r="AS406" t="s">
        <v>74</v>
      </c>
      <c r="AT406" t="s">
        <v>74</v>
      </c>
      <c r="AU406">
        <v>2023</v>
      </c>
      <c r="AV406" t="s">
        <v>74</v>
      </c>
      <c r="AW406" t="s">
        <v>74</v>
      </c>
      <c r="AX406" t="s">
        <v>74</v>
      </c>
      <c r="AY406" t="s">
        <v>74</v>
      </c>
      <c r="AZ406" t="s">
        <v>74</v>
      </c>
      <c r="BA406" t="s">
        <v>74</v>
      </c>
      <c r="BB406" t="s">
        <v>74</v>
      </c>
      <c r="BC406" t="s">
        <v>74</v>
      </c>
      <c r="BD406" t="s">
        <v>74</v>
      </c>
      <c r="BE406" t="s">
        <v>7794</v>
      </c>
      <c r="BF406" t="str">
        <f>HYPERLINK("http://dx.doi.org/10.1145/3544548.3581559","http://dx.doi.org/10.1145/3544548.3581559")</f>
        <v>http://dx.doi.org/10.1145/3544548.3581559</v>
      </c>
      <c r="BG406" t="s">
        <v>74</v>
      </c>
      <c r="BH406" t="s">
        <v>74</v>
      </c>
      <c r="BI406">
        <v>13</v>
      </c>
      <c r="BJ406" t="s">
        <v>5482</v>
      </c>
      <c r="BK406" t="s">
        <v>723</v>
      </c>
      <c r="BL406" t="s">
        <v>5483</v>
      </c>
      <c r="BM406" t="s">
        <v>5484</v>
      </c>
      <c r="BN406" t="s">
        <v>74</v>
      </c>
      <c r="BO406" t="s">
        <v>767</v>
      </c>
      <c r="BP406" t="s">
        <v>74</v>
      </c>
      <c r="BQ406" t="s">
        <v>74</v>
      </c>
      <c r="BR406" t="s">
        <v>102</v>
      </c>
      <c r="BS406" t="s">
        <v>7795</v>
      </c>
      <c r="BT406" t="str">
        <f>HYPERLINK("https%3A%2F%2Fwww.webofscience.com%2Fwos%2Fwoscc%2Ffull-record%2FWOS:001048393807025","View Full Record in Web of Science")</f>
        <v>View Full Record in Web of Science</v>
      </c>
    </row>
    <row r="407" spans="1:72" x14ac:dyDescent="0.35">
      <c r="A407" t="s">
        <v>72</v>
      </c>
      <c r="B407" t="s">
        <v>7796</v>
      </c>
      <c r="C407" t="s">
        <v>74</v>
      </c>
      <c r="D407" t="s">
        <v>74</v>
      </c>
      <c r="E407" t="s">
        <v>74</v>
      </c>
      <c r="F407" t="s">
        <v>7797</v>
      </c>
      <c r="G407" t="s">
        <v>74</v>
      </c>
      <c r="H407" t="s">
        <v>74</v>
      </c>
      <c r="I407" t="s">
        <v>7798</v>
      </c>
      <c r="J407" t="s">
        <v>6288</v>
      </c>
      <c r="K407" t="s">
        <v>74</v>
      </c>
      <c r="L407" t="s">
        <v>74</v>
      </c>
      <c r="M407" t="s">
        <v>78</v>
      </c>
      <c r="N407" t="s">
        <v>108</v>
      </c>
      <c r="O407" t="s">
        <v>74</v>
      </c>
      <c r="P407" t="s">
        <v>74</v>
      </c>
      <c r="Q407" t="s">
        <v>74</v>
      </c>
      <c r="R407" t="s">
        <v>74</v>
      </c>
      <c r="S407" t="s">
        <v>74</v>
      </c>
      <c r="T407" t="s">
        <v>7799</v>
      </c>
      <c r="U407" t="s">
        <v>7800</v>
      </c>
      <c r="V407" t="s">
        <v>7801</v>
      </c>
      <c r="W407" t="s">
        <v>7802</v>
      </c>
      <c r="X407" t="s">
        <v>7803</v>
      </c>
      <c r="Y407" t="s">
        <v>7804</v>
      </c>
      <c r="Z407" t="s">
        <v>7805</v>
      </c>
      <c r="AA407" t="s">
        <v>7806</v>
      </c>
      <c r="AB407" t="s">
        <v>7807</v>
      </c>
      <c r="AC407" t="s">
        <v>7808</v>
      </c>
      <c r="AD407" t="s">
        <v>7809</v>
      </c>
      <c r="AE407" t="s">
        <v>7810</v>
      </c>
      <c r="AF407" t="s">
        <v>74</v>
      </c>
      <c r="AG407">
        <v>16</v>
      </c>
      <c r="AH407">
        <v>4</v>
      </c>
      <c r="AI407">
        <v>4</v>
      </c>
      <c r="AJ407">
        <v>3</v>
      </c>
      <c r="AK407">
        <v>22</v>
      </c>
      <c r="AL407" t="s">
        <v>1965</v>
      </c>
      <c r="AM407" t="s">
        <v>666</v>
      </c>
      <c r="AN407" t="s">
        <v>1966</v>
      </c>
      <c r="AO407" t="s">
        <v>6297</v>
      </c>
      <c r="AP407" t="s">
        <v>6298</v>
      </c>
      <c r="AQ407" t="s">
        <v>74</v>
      </c>
      <c r="AR407" t="s">
        <v>6299</v>
      </c>
      <c r="AS407" t="s">
        <v>6300</v>
      </c>
      <c r="AT407" t="s">
        <v>930</v>
      </c>
      <c r="AU407">
        <v>2023</v>
      </c>
      <c r="AV407">
        <v>72</v>
      </c>
      <c r="AW407">
        <v>4</v>
      </c>
      <c r="AX407" t="s">
        <v>74</v>
      </c>
      <c r="AY407" t="s">
        <v>74</v>
      </c>
      <c r="AZ407" t="s">
        <v>74</v>
      </c>
      <c r="BA407" t="s">
        <v>74</v>
      </c>
      <c r="BB407">
        <v>633</v>
      </c>
      <c r="BC407">
        <v>635</v>
      </c>
      <c r="BD407" t="s">
        <v>74</v>
      </c>
      <c r="BE407" t="s">
        <v>7811</v>
      </c>
      <c r="BF407" t="str">
        <f>HYPERLINK("http://dx.doi.org/10.1016/j.jadohealth.2022.10.025","http://dx.doi.org/10.1016/j.jadohealth.2022.10.025")</f>
        <v>http://dx.doi.org/10.1016/j.jadohealth.2022.10.025</v>
      </c>
      <c r="BG407" t="s">
        <v>74</v>
      </c>
      <c r="BH407" t="s">
        <v>1046</v>
      </c>
      <c r="BI407">
        <v>3</v>
      </c>
      <c r="BJ407" t="s">
        <v>6302</v>
      </c>
      <c r="BK407" t="s">
        <v>182</v>
      </c>
      <c r="BL407" t="s">
        <v>6303</v>
      </c>
      <c r="BM407" t="s">
        <v>7812</v>
      </c>
      <c r="BN407">
        <v>36529617</v>
      </c>
      <c r="BO407" t="s">
        <v>74</v>
      </c>
      <c r="BP407" t="s">
        <v>74</v>
      </c>
      <c r="BQ407" t="s">
        <v>74</v>
      </c>
      <c r="BR407" t="s">
        <v>102</v>
      </c>
      <c r="BS407" t="s">
        <v>7813</v>
      </c>
      <c r="BT407" t="str">
        <f>HYPERLINK("https%3A%2F%2Fwww.webofscience.com%2Fwos%2Fwoscc%2Ffull-record%2FWOS:000956590200001","View Full Record in Web of Science")</f>
        <v>View Full Record in Web of Science</v>
      </c>
    </row>
    <row r="408" spans="1:72" x14ac:dyDescent="0.35">
      <c r="A408" t="s">
        <v>72</v>
      </c>
      <c r="B408" t="s">
        <v>7814</v>
      </c>
      <c r="C408" t="s">
        <v>74</v>
      </c>
      <c r="D408" t="s">
        <v>74</v>
      </c>
      <c r="E408" t="s">
        <v>74</v>
      </c>
      <c r="F408" t="s">
        <v>7815</v>
      </c>
      <c r="G408" t="s">
        <v>74</v>
      </c>
      <c r="H408" t="s">
        <v>74</v>
      </c>
      <c r="I408" t="s">
        <v>7816</v>
      </c>
      <c r="J408" t="s">
        <v>373</v>
      </c>
      <c r="K408" t="s">
        <v>74</v>
      </c>
      <c r="L408" t="s">
        <v>74</v>
      </c>
      <c r="M408" t="s">
        <v>78</v>
      </c>
      <c r="N408" t="s">
        <v>108</v>
      </c>
      <c r="O408" t="s">
        <v>74</v>
      </c>
      <c r="P408" t="s">
        <v>74</v>
      </c>
      <c r="Q408" t="s">
        <v>74</v>
      </c>
      <c r="R408" t="s">
        <v>74</v>
      </c>
      <c r="S408" t="s">
        <v>74</v>
      </c>
      <c r="T408" t="s">
        <v>7817</v>
      </c>
      <c r="U408" t="s">
        <v>7818</v>
      </c>
      <c r="V408" t="s">
        <v>7819</v>
      </c>
      <c r="W408" t="s">
        <v>7820</v>
      </c>
      <c r="X408" t="s">
        <v>7821</v>
      </c>
      <c r="Y408" t="s">
        <v>7822</v>
      </c>
      <c r="Z408" t="s">
        <v>7823</v>
      </c>
      <c r="AA408" t="s">
        <v>74</v>
      </c>
      <c r="AB408" t="s">
        <v>74</v>
      </c>
      <c r="AC408" t="s">
        <v>7824</v>
      </c>
      <c r="AD408" t="s">
        <v>7825</v>
      </c>
      <c r="AE408" t="s">
        <v>7826</v>
      </c>
      <c r="AF408" t="s">
        <v>74</v>
      </c>
      <c r="AG408">
        <v>19</v>
      </c>
      <c r="AH408">
        <v>9</v>
      </c>
      <c r="AI408">
        <v>9</v>
      </c>
      <c r="AJ408">
        <v>0</v>
      </c>
      <c r="AK408">
        <v>12</v>
      </c>
      <c r="AL408" t="s">
        <v>384</v>
      </c>
      <c r="AM408" t="s">
        <v>385</v>
      </c>
      <c r="AN408" t="s">
        <v>386</v>
      </c>
      <c r="AO408" t="s">
        <v>74</v>
      </c>
      <c r="AP408" t="s">
        <v>387</v>
      </c>
      <c r="AQ408" t="s">
        <v>74</v>
      </c>
      <c r="AR408" t="s">
        <v>388</v>
      </c>
      <c r="AS408" t="s">
        <v>389</v>
      </c>
      <c r="AT408" t="s">
        <v>7827</v>
      </c>
      <c r="AU408">
        <v>2022</v>
      </c>
      <c r="AV408">
        <v>10</v>
      </c>
      <c r="AW408" t="s">
        <v>74</v>
      </c>
      <c r="AX408" t="s">
        <v>74</v>
      </c>
      <c r="AY408" t="s">
        <v>74</v>
      </c>
      <c r="AZ408" t="s">
        <v>74</v>
      </c>
      <c r="BA408" t="s">
        <v>74</v>
      </c>
      <c r="BB408" t="s">
        <v>74</v>
      </c>
      <c r="BC408" t="s">
        <v>74</v>
      </c>
      <c r="BD408">
        <v>901976</v>
      </c>
      <c r="BE408" t="s">
        <v>7828</v>
      </c>
      <c r="BF408" t="str">
        <f>HYPERLINK("http://dx.doi.org/10.3389/fpubh.2022.901976","http://dx.doi.org/10.3389/fpubh.2022.901976")</f>
        <v>http://dx.doi.org/10.3389/fpubh.2022.901976</v>
      </c>
      <c r="BG408" t="s">
        <v>74</v>
      </c>
      <c r="BH408" t="s">
        <v>74</v>
      </c>
      <c r="BI408">
        <v>5</v>
      </c>
      <c r="BJ408" t="s">
        <v>392</v>
      </c>
      <c r="BK408" t="s">
        <v>182</v>
      </c>
      <c r="BL408" t="s">
        <v>392</v>
      </c>
      <c r="BM408" t="s">
        <v>7829</v>
      </c>
      <c r="BN408">
        <v>35812482</v>
      </c>
      <c r="BO408" t="s">
        <v>552</v>
      </c>
      <c r="BP408" t="s">
        <v>74</v>
      </c>
      <c r="BQ408" t="s">
        <v>74</v>
      </c>
      <c r="BR408" t="s">
        <v>102</v>
      </c>
      <c r="BS408" t="s">
        <v>7830</v>
      </c>
      <c r="BT408" t="str">
        <f>HYPERLINK("https%3A%2F%2Fwww.webofscience.com%2Fwos%2Fwoscc%2Ffull-record%2FWOS:000822577800001","View Full Record in Web of Science")</f>
        <v>View Full Record in Web of Science</v>
      </c>
    </row>
    <row r="409" spans="1:72" x14ac:dyDescent="0.35">
      <c r="A409" t="s">
        <v>72</v>
      </c>
      <c r="B409" t="s">
        <v>7831</v>
      </c>
      <c r="C409" t="s">
        <v>74</v>
      </c>
      <c r="D409" t="s">
        <v>74</v>
      </c>
      <c r="E409" t="s">
        <v>74</v>
      </c>
      <c r="F409" t="s">
        <v>7832</v>
      </c>
      <c r="G409" t="s">
        <v>74</v>
      </c>
      <c r="H409" t="s">
        <v>74</v>
      </c>
      <c r="I409" t="s">
        <v>7833</v>
      </c>
      <c r="J409" t="s">
        <v>7834</v>
      </c>
      <c r="K409" t="s">
        <v>74</v>
      </c>
      <c r="L409" t="s">
        <v>74</v>
      </c>
      <c r="M409" t="s">
        <v>78</v>
      </c>
      <c r="N409" t="s">
        <v>79</v>
      </c>
      <c r="O409" t="s">
        <v>74</v>
      </c>
      <c r="P409" t="s">
        <v>74</v>
      </c>
      <c r="Q409" t="s">
        <v>74</v>
      </c>
      <c r="R409" t="s">
        <v>74</v>
      </c>
      <c r="S409" t="s">
        <v>74</v>
      </c>
      <c r="T409" t="s">
        <v>7835</v>
      </c>
      <c r="U409" t="s">
        <v>218</v>
      </c>
      <c r="V409" t="s">
        <v>7836</v>
      </c>
      <c r="W409" t="s">
        <v>7837</v>
      </c>
      <c r="X409" t="s">
        <v>7838</v>
      </c>
      <c r="Y409" t="s">
        <v>7839</v>
      </c>
      <c r="Z409" t="s">
        <v>7840</v>
      </c>
      <c r="AA409" t="s">
        <v>74</v>
      </c>
      <c r="AB409" t="s">
        <v>7841</v>
      </c>
      <c r="AC409" t="s">
        <v>7842</v>
      </c>
      <c r="AD409" t="s">
        <v>7843</v>
      </c>
      <c r="AE409" t="s">
        <v>7844</v>
      </c>
      <c r="AF409" t="s">
        <v>74</v>
      </c>
      <c r="AG409">
        <v>68</v>
      </c>
      <c r="AH409">
        <v>1</v>
      </c>
      <c r="AI409">
        <v>1</v>
      </c>
      <c r="AJ409">
        <v>6</v>
      </c>
      <c r="AK409">
        <v>6</v>
      </c>
      <c r="AL409" t="s">
        <v>88</v>
      </c>
      <c r="AM409" t="s">
        <v>89</v>
      </c>
      <c r="AN409" t="s">
        <v>90</v>
      </c>
      <c r="AO409" t="s">
        <v>7845</v>
      </c>
      <c r="AP409" t="s">
        <v>7846</v>
      </c>
      <c r="AQ409" t="s">
        <v>74</v>
      </c>
      <c r="AR409" t="s">
        <v>7847</v>
      </c>
      <c r="AS409" t="s">
        <v>7848</v>
      </c>
      <c r="AT409" t="s">
        <v>1985</v>
      </c>
      <c r="AU409">
        <v>2024</v>
      </c>
      <c r="AV409" t="s">
        <v>74</v>
      </c>
      <c r="AW409" t="s">
        <v>74</v>
      </c>
      <c r="AX409" t="s">
        <v>74</v>
      </c>
      <c r="AY409" t="s">
        <v>74</v>
      </c>
      <c r="AZ409" t="s">
        <v>74</v>
      </c>
      <c r="BA409" t="s">
        <v>74</v>
      </c>
      <c r="BB409" t="s">
        <v>74</v>
      </c>
      <c r="BC409" t="s">
        <v>74</v>
      </c>
      <c r="BD409" t="s">
        <v>74</v>
      </c>
      <c r="BE409" t="s">
        <v>7849</v>
      </c>
      <c r="BF409" t="str">
        <f>HYPERLINK("http://dx.doi.org/10.1080/2159676X.2024.2355128","http://dx.doi.org/10.1080/2159676X.2024.2355128")</f>
        <v>http://dx.doi.org/10.1080/2159676X.2024.2355128</v>
      </c>
      <c r="BG409" t="s">
        <v>74</v>
      </c>
      <c r="BH409" t="s">
        <v>1467</v>
      </c>
      <c r="BI409">
        <v>16</v>
      </c>
      <c r="BJ409" t="s">
        <v>7850</v>
      </c>
      <c r="BK409" t="s">
        <v>182</v>
      </c>
      <c r="BL409" t="s">
        <v>7851</v>
      </c>
      <c r="BM409" t="s">
        <v>7852</v>
      </c>
      <c r="BN409" t="s">
        <v>74</v>
      </c>
      <c r="BO409" t="s">
        <v>74</v>
      </c>
      <c r="BP409" t="s">
        <v>74</v>
      </c>
      <c r="BQ409" t="s">
        <v>74</v>
      </c>
      <c r="BR409" t="s">
        <v>102</v>
      </c>
      <c r="BS409" t="s">
        <v>7853</v>
      </c>
      <c r="BT409" t="str">
        <f>HYPERLINK("https%3A%2F%2Fwww.webofscience.com%2Fwos%2Fwoscc%2Ffull-record%2FWOS:001222464000001","View Full Record in Web of Science")</f>
        <v>View Full Record in Web of Science</v>
      </c>
    </row>
    <row r="410" spans="1:72" x14ac:dyDescent="0.35">
      <c r="A410" t="s">
        <v>128</v>
      </c>
      <c r="B410" t="s">
        <v>7854</v>
      </c>
      <c r="C410" t="s">
        <v>74</v>
      </c>
      <c r="D410" t="s">
        <v>7855</v>
      </c>
      <c r="E410" t="s">
        <v>74</v>
      </c>
      <c r="F410" t="s">
        <v>7856</v>
      </c>
      <c r="G410" t="s">
        <v>74</v>
      </c>
      <c r="H410" t="s">
        <v>74</v>
      </c>
      <c r="I410" t="s">
        <v>7857</v>
      </c>
      <c r="J410" t="s">
        <v>7858</v>
      </c>
      <c r="K410" t="s">
        <v>74</v>
      </c>
      <c r="L410" t="s">
        <v>74</v>
      </c>
      <c r="M410" t="s">
        <v>78</v>
      </c>
      <c r="N410" t="s">
        <v>135</v>
      </c>
      <c r="O410" t="s">
        <v>7859</v>
      </c>
      <c r="P410" t="s">
        <v>7860</v>
      </c>
      <c r="Q410" t="s">
        <v>7861</v>
      </c>
      <c r="R410" t="s">
        <v>74</v>
      </c>
      <c r="S410" t="s">
        <v>74</v>
      </c>
      <c r="T410" t="s">
        <v>7862</v>
      </c>
      <c r="U410" t="s">
        <v>7863</v>
      </c>
      <c r="V410" t="s">
        <v>7864</v>
      </c>
      <c r="W410" t="s">
        <v>7865</v>
      </c>
      <c r="X410" t="s">
        <v>7866</v>
      </c>
      <c r="Y410" t="s">
        <v>7867</v>
      </c>
      <c r="Z410" t="s">
        <v>7868</v>
      </c>
      <c r="AA410" t="s">
        <v>7869</v>
      </c>
      <c r="AB410" t="s">
        <v>7870</v>
      </c>
      <c r="AC410" t="s">
        <v>74</v>
      </c>
      <c r="AD410" t="s">
        <v>74</v>
      </c>
      <c r="AE410" t="s">
        <v>74</v>
      </c>
      <c r="AF410" t="s">
        <v>74</v>
      </c>
      <c r="AG410">
        <v>23</v>
      </c>
      <c r="AH410">
        <v>0</v>
      </c>
      <c r="AI410">
        <v>0</v>
      </c>
      <c r="AJ410">
        <v>8</v>
      </c>
      <c r="AK410">
        <v>8</v>
      </c>
      <c r="AL410" t="s">
        <v>7871</v>
      </c>
      <c r="AM410" t="s">
        <v>7872</v>
      </c>
      <c r="AN410" t="s">
        <v>7873</v>
      </c>
      <c r="AO410" t="s">
        <v>74</v>
      </c>
      <c r="AP410" t="s">
        <v>74</v>
      </c>
      <c r="AQ410" t="s">
        <v>7874</v>
      </c>
      <c r="AR410" t="s">
        <v>74</v>
      </c>
      <c r="AS410" t="s">
        <v>74</v>
      </c>
      <c r="AT410" t="s">
        <v>74</v>
      </c>
      <c r="AU410">
        <v>2023</v>
      </c>
      <c r="AV410" t="s">
        <v>74</v>
      </c>
      <c r="AW410" t="s">
        <v>74</v>
      </c>
      <c r="AX410" t="s">
        <v>74</v>
      </c>
      <c r="AY410" t="s">
        <v>74</v>
      </c>
      <c r="AZ410" t="s">
        <v>74</v>
      </c>
      <c r="BA410" t="s">
        <v>74</v>
      </c>
      <c r="BB410">
        <v>502</v>
      </c>
      <c r="BC410">
        <v>510</v>
      </c>
      <c r="BD410" t="s">
        <v>74</v>
      </c>
      <c r="BE410" t="s">
        <v>74</v>
      </c>
      <c r="BF410" t="s">
        <v>74</v>
      </c>
      <c r="BG410" t="s">
        <v>74</v>
      </c>
      <c r="BH410" t="s">
        <v>74</v>
      </c>
      <c r="BI410">
        <v>9</v>
      </c>
      <c r="BJ410" t="s">
        <v>7875</v>
      </c>
      <c r="BK410" t="s">
        <v>154</v>
      </c>
      <c r="BL410" t="s">
        <v>480</v>
      </c>
      <c r="BM410" t="s">
        <v>7876</v>
      </c>
      <c r="BN410" t="s">
        <v>74</v>
      </c>
      <c r="BO410" t="s">
        <v>74</v>
      </c>
      <c r="BP410" t="s">
        <v>74</v>
      </c>
      <c r="BQ410" t="s">
        <v>74</v>
      </c>
      <c r="BR410" t="s">
        <v>102</v>
      </c>
      <c r="BS410" t="s">
        <v>7877</v>
      </c>
      <c r="BT410" t="str">
        <f>HYPERLINK("https%3A%2F%2Fwww.webofscience.com%2Fwos%2Fwoscc%2Ffull-record%2FWOS:001250452400055","View Full Record in Web of Science")</f>
        <v>View Full Record in Web of Science</v>
      </c>
    </row>
    <row r="411" spans="1:72" x14ac:dyDescent="0.35">
      <c r="A411" t="s">
        <v>72</v>
      </c>
      <c r="B411" t="s">
        <v>7878</v>
      </c>
      <c r="C411" t="s">
        <v>74</v>
      </c>
      <c r="D411" t="s">
        <v>74</v>
      </c>
      <c r="E411" t="s">
        <v>74</v>
      </c>
      <c r="F411" t="s">
        <v>7879</v>
      </c>
      <c r="G411" t="s">
        <v>74</v>
      </c>
      <c r="H411" t="s">
        <v>74</v>
      </c>
      <c r="I411" t="s">
        <v>7746</v>
      </c>
      <c r="J411" t="s">
        <v>7747</v>
      </c>
      <c r="K411" t="s">
        <v>74</v>
      </c>
      <c r="L411" t="s">
        <v>74</v>
      </c>
      <c r="M411" t="s">
        <v>78</v>
      </c>
      <c r="N411" t="s">
        <v>1328</v>
      </c>
      <c r="O411" t="s">
        <v>74</v>
      </c>
      <c r="P411" t="s">
        <v>74</v>
      </c>
      <c r="Q411" t="s">
        <v>74</v>
      </c>
      <c r="R411" t="s">
        <v>74</v>
      </c>
      <c r="S411" t="s">
        <v>74</v>
      </c>
      <c r="T411" t="s">
        <v>74</v>
      </c>
      <c r="U411" t="s">
        <v>74</v>
      </c>
      <c r="V411" t="s">
        <v>74</v>
      </c>
      <c r="W411" t="s">
        <v>74</v>
      </c>
      <c r="X411" t="s">
        <v>74</v>
      </c>
      <c r="Y411" t="s">
        <v>74</v>
      </c>
      <c r="Z411" t="s">
        <v>74</v>
      </c>
      <c r="AA411" t="s">
        <v>74</v>
      </c>
      <c r="AB411" t="s">
        <v>74</v>
      </c>
      <c r="AC411" t="s">
        <v>74</v>
      </c>
      <c r="AD411" t="s">
        <v>74</v>
      </c>
      <c r="AE411" t="s">
        <v>74</v>
      </c>
      <c r="AF411" t="s">
        <v>74</v>
      </c>
      <c r="AG411">
        <v>0</v>
      </c>
      <c r="AH411">
        <v>1</v>
      </c>
      <c r="AI411">
        <v>1</v>
      </c>
      <c r="AJ411">
        <v>0</v>
      </c>
      <c r="AK411">
        <v>1</v>
      </c>
      <c r="AL411" t="s">
        <v>803</v>
      </c>
      <c r="AM411" t="s">
        <v>227</v>
      </c>
      <c r="AN411" t="s">
        <v>804</v>
      </c>
      <c r="AO411" t="s">
        <v>7748</v>
      </c>
      <c r="AP411" t="s">
        <v>7749</v>
      </c>
      <c r="AQ411" t="s">
        <v>74</v>
      </c>
      <c r="AR411" t="s">
        <v>7750</v>
      </c>
      <c r="AS411" t="s">
        <v>7751</v>
      </c>
      <c r="AT411" t="s">
        <v>523</v>
      </c>
      <c r="AU411">
        <v>2020</v>
      </c>
      <c r="AV411">
        <v>229</v>
      </c>
      <c r="AW411">
        <v>10</v>
      </c>
      <c r="AX411" t="s">
        <v>74</v>
      </c>
      <c r="AY411" t="s">
        <v>74</v>
      </c>
      <c r="AZ411" t="s">
        <v>74</v>
      </c>
      <c r="BA411" t="s">
        <v>74</v>
      </c>
      <c r="BB411">
        <v>638</v>
      </c>
      <c r="BC411">
        <v>638</v>
      </c>
      <c r="BD411" t="s">
        <v>74</v>
      </c>
      <c r="BE411" t="s">
        <v>7880</v>
      </c>
      <c r="BF411" t="str">
        <f>HYPERLINK("http://dx.doi.org/10.1038/s41415-020-2417-6","http://dx.doi.org/10.1038/s41415-020-2417-6")</f>
        <v>http://dx.doi.org/10.1038/s41415-020-2417-6</v>
      </c>
      <c r="BG411" t="s">
        <v>74</v>
      </c>
      <c r="BH411" t="s">
        <v>74</v>
      </c>
      <c r="BI411">
        <v>1</v>
      </c>
      <c r="BJ411" t="s">
        <v>599</v>
      </c>
      <c r="BK411" t="s">
        <v>209</v>
      </c>
      <c r="BL411" t="s">
        <v>599</v>
      </c>
      <c r="BM411" t="s">
        <v>7752</v>
      </c>
      <c r="BN411">
        <v>33247239</v>
      </c>
      <c r="BO411" t="s">
        <v>767</v>
      </c>
      <c r="BP411" t="s">
        <v>74</v>
      </c>
      <c r="BQ411" t="s">
        <v>74</v>
      </c>
      <c r="BR411" t="s">
        <v>102</v>
      </c>
      <c r="BS411" t="s">
        <v>7881</v>
      </c>
      <c r="BT411" t="str">
        <f>HYPERLINK("https%3A%2F%2Fwww.webofscience.com%2Fwos%2Fwoscc%2Ffull-record%2FWOS:000594505600007","View Full Record in Web of Science")</f>
        <v>View Full Record in Web of Science</v>
      </c>
    </row>
    <row r="412" spans="1:72" x14ac:dyDescent="0.35">
      <c r="A412" t="s">
        <v>72</v>
      </c>
      <c r="B412" t="s">
        <v>7882</v>
      </c>
      <c r="C412" t="s">
        <v>74</v>
      </c>
      <c r="D412" t="s">
        <v>74</v>
      </c>
      <c r="E412" t="s">
        <v>74</v>
      </c>
      <c r="F412" t="s">
        <v>7883</v>
      </c>
      <c r="G412" t="s">
        <v>74</v>
      </c>
      <c r="H412" t="s">
        <v>74</v>
      </c>
      <c r="I412" t="s">
        <v>7884</v>
      </c>
      <c r="J412" t="s">
        <v>793</v>
      </c>
      <c r="K412" t="s">
        <v>74</v>
      </c>
      <c r="L412" t="s">
        <v>74</v>
      </c>
      <c r="M412" t="s">
        <v>78</v>
      </c>
      <c r="N412" t="s">
        <v>108</v>
      </c>
      <c r="O412" t="s">
        <v>74</v>
      </c>
      <c r="P412" t="s">
        <v>74</v>
      </c>
      <c r="Q412" t="s">
        <v>74</v>
      </c>
      <c r="R412" t="s">
        <v>74</v>
      </c>
      <c r="S412" t="s">
        <v>74</v>
      </c>
      <c r="T412" t="s">
        <v>7885</v>
      </c>
      <c r="U412" t="s">
        <v>7886</v>
      </c>
      <c r="V412" t="s">
        <v>7887</v>
      </c>
      <c r="W412" t="s">
        <v>7888</v>
      </c>
      <c r="X412" t="s">
        <v>7889</v>
      </c>
      <c r="Y412" t="s">
        <v>7890</v>
      </c>
      <c r="Z412" t="s">
        <v>7891</v>
      </c>
      <c r="AA412" t="s">
        <v>7892</v>
      </c>
      <c r="AB412" t="s">
        <v>7893</v>
      </c>
      <c r="AC412" t="s">
        <v>74</v>
      </c>
      <c r="AD412" t="s">
        <v>74</v>
      </c>
      <c r="AE412" t="s">
        <v>74</v>
      </c>
      <c r="AF412" t="s">
        <v>74</v>
      </c>
      <c r="AG412">
        <v>76</v>
      </c>
      <c r="AH412">
        <v>1</v>
      </c>
      <c r="AI412">
        <v>2</v>
      </c>
      <c r="AJ412">
        <v>12</v>
      </c>
      <c r="AK412">
        <v>76</v>
      </c>
      <c r="AL412" t="s">
        <v>803</v>
      </c>
      <c r="AM412" t="s">
        <v>227</v>
      </c>
      <c r="AN412" t="s">
        <v>804</v>
      </c>
      <c r="AO412" t="s">
        <v>74</v>
      </c>
      <c r="AP412" t="s">
        <v>805</v>
      </c>
      <c r="AQ412" t="s">
        <v>74</v>
      </c>
      <c r="AR412" t="s">
        <v>806</v>
      </c>
      <c r="AS412" t="s">
        <v>807</v>
      </c>
      <c r="AT412" t="s">
        <v>7894</v>
      </c>
      <c r="AU412">
        <v>2022</v>
      </c>
      <c r="AV412">
        <v>14</v>
      </c>
      <c r="AW412">
        <v>12</v>
      </c>
      <c r="AX412" t="s">
        <v>74</v>
      </c>
      <c r="AY412" t="s">
        <v>74</v>
      </c>
      <c r="AZ412" t="s">
        <v>74</v>
      </c>
      <c r="BA412" t="s">
        <v>74</v>
      </c>
      <c r="BB412" t="s">
        <v>74</v>
      </c>
      <c r="BC412" t="s">
        <v>74</v>
      </c>
      <c r="BD412" t="s">
        <v>74</v>
      </c>
      <c r="BE412" t="s">
        <v>7895</v>
      </c>
      <c r="BF412" t="str">
        <f>HYPERLINK("http://dx.doi.org/10.7759/cureus.32530","http://dx.doi.org/10.7759/cureus.32530")</f>
        <v>http://dx.doi.org/10.7759/cureus.32530</v>
      </c>
      <c r="BG412" t="s">
        <v>74</v>
      </c>
      <c r="BH412" t="s">
        <v>74</v>
      </c>
      <c r="BI412">
        <v>14</v>
      </c>
      <c r="BJ412" t="s">
        <v>811</v>
      </c>
      <c r="BK412" t="s">
        <v>125</v>
      </c>
      <c r="BL412" t="s">
        <v>812</v>
      </c>
      <c r="BM412" t="s">
        <v>7896</v>
      </c>
      <c r="BN412">
        <v>36654625</v>
      </c>
      <c r="BO412" t="s">
        <v>7897</v>
      </c>
      <c r="BP412" t="s">
        <v>74</v>
      </c>
      <c r="BQ412" t="s">
        <v>74</v>
      </c>
      <c r="BR412" t="s">
        <v>102</v>
      </c>
      <c r="BS412" t="s">
        <v>7898</v>
      </c>
      <c r="BT412" t="str">
        <f>HYPERLINK("https%3A%2F%2Fwww.webofscience.com%2Fwos%2Fwoscc%2Ffull-record%2FWOS:000904947300025","View Full Record in Web of Science")</f>
        <v>View Full Record in Web of Science</v>
      </c>
    </row>
    <row r="413" spans="1:72" x14ac:dyDescent="0.35">
      <c r="A413" t="s">
        <v>72</v>
      </c>
      <c r="B413" t="s">
        <v>7899</v>
      </c>
      <c r="C413" t="s">
        <v>74</v>
      </c>
      <c r="D413" t="s">
        <v>74</v>
      </c>
      <c r="E413" t="s">
        <v>74</v>
      </c>
      <c r="F413" t="s">
        <v>7900</v>
      </c>
      <c r="G413" t="s">
        <v>74</v>
      </c>
      <c r="H413" t="s">
        <v>74</v>
      </c>
      <c r="I413" t="s">
        <v>7901</v>
      </c>
      <c r="J413" t="s">
        <v>2814</v>
      </c>
      <c r="K413" t="s">
        <v>74</v>
      </c>
      <c r="L413" t="s">
        <v>74</v>
      </c>
      <c r="M413" t="s">
        <v>78</v>
      </c>
      <c r="N413" t="s">
        <v>108</v>
      </c>
      <c r="O413" t="s">
        <v>74</v>
      </c>
      <c r="P413" t="s">
        <v>74</v>
      </c>
      <c r="Q413" t="s">
        <v>74</v>
      </c>
      <c r="R413" t="s">
        <v>74</v>
      </c>
      <c r="S413" t="s">
        <v>74</v>
      </c>
      <c r="T413" t="s">
        <v>7902</v>
      </c>
      <c r="U413" t="s">
        <v>7903</v>
      </c>
      <c r="V413" t="s">
        <v>7904</v>
      </c>
      <c r="W413" t="s">
        <v>7905</v>
      </c>
      <c r="X413" t="s">
        <v>3253</v>
      </c>
      <c r="Y413" t="s">
        <v>7906</v>
      </c>
      <c r="Z413" t="s">
        <v>7907</v>
      </c>
      <c r="AA413" t="s">
        <v>7908</v>
      </c>
      <c r="AB413" t="s">
        <v>7909</v>
      </c>
      <c r="AC413" t="s">
        <v>7910</v>
      </c>
      <c r="AD413" t="s">
        <v>7911</v>
      </c>
      <c r="AE413" t="s">
        <v>7912</v>
      </c>
      <c r="AF413" t="s">
        <v>74</v>
      </c>
      <c r="AG413">
        <v>32</v>
      </c>
      <c r="AH413">
        <v>25</v>
      </c>
      <c r="AI413">
        <v>26</v>
      </c>
      <c r="AJ413">
        <v>10</v>
      </c>
      <c r="AK413">
        <v>26</v>
      </c>
      <c r="AL413" t="s">
        <v>543</v>
      </c>
      <c r="AM413" t="s">
        <v>544</v>
      </c>
      <c r="AN413" t="s">
        <v>545</v>
      </c>
      <c r="AO413" t="s">
        <v>2821</v>
      </c>
      <c r="AP413" t="s">
        <v>74</v>
      </c>
      <c r="AQ413" t="s">
        <v>74</v>
      </c>
      <c r="AR413" t="s">
        <v>2822</v>
      </c>
      <c r="AS413" t="s">
        <v>2823</v>
      </c>
      <c r="AT413" t="s">
        <v>7913</v>
      </c>
      <c r="AU413">
        <v>2023</v>
      </c>
      <c r="AV413">
        <v>25</v>
      </c>
      <c r="AW413" t="s">
        <v>74</v>
      </c>
      <c r="AX413" t="s">
        <v>74</v>
      </c>
      <c r="AY413" t="s">
        <v>74</v>
      </c>
      <c r="AZ413" t="s">
        <v>74</v>
      </c>
      <c r="BA413" t="s">
        <v>74</v>
      </c>
      <c r="BB413" t="s">
        <v>74</v>
      </c>
      <c r="BC413" t="s">
        <v>74</v>
      </c>
      <c r="BD413" t="s">
        <v>7914</v>
      </c>
      <c r="BE413" t="s">
        <v>7915</v>
      </c>
      <c r="BF413" t="str">
        <f>HYPERLINK("http://dx.doi.org/10.2196/39162","http://dx.doi.org/10.2196/39162")</f>
        <v>http://dx.doi.org/10.2196/39162</v>
      </c>
      <c r="BG413" t="s">
        <v>74</v>
      </c>
      <c r="BH413" t="s">
        <v>74</v>
      </c>
      <c r="BI413">
        <v>12</v>
      </c>
      <c r="BJ413" t="s">
        <v>550</v>
      </c>
      <c r="BK413" t="s">
        <v>209</v>
      </c>
      <c r="BL413" t="s">
        <v>550</v>
      </c>
      <c r="BM413" t="s">
        <v>7916</v>
      </c>
      <c r="BN413">
        <v>36753307</v>
      </c>
      <c r="BO413" t="s">
        <v>394</v>
      </c>
      <c r="BP413" t="s">
        <v>74</v>
      </c>
      <c r="BQ413" t="s">
        <v>74</v>
      </c>
      <c r="BR413" t="s">
        <v>102</v>
      </c>
      <c r="BS413" t="s">
        <v>7917</v>
      </c>
      <c r="BT413" t="str">
        <f>HYPERLINK("https%3A%2F%2Fwww.webofscience.com%2Fwos%2Fwoscc%2Ffull-record%2FWOS:001006006700001","View Full Record in Web of Science")</f>
        <v>View Full Record in Web of Science</v>
      </c>
    </row>
    <row r="414" spans="1:72" x14ac:dyDescent="0.35">
      <c r="A414" t="s">
        <v>72</v>
      </c>
      <c r="B414" t="s">
        <v>7918</v>
      </c>
      <c r="C414" t="s">
        <v>74</v>
      </c>
      <c r="D414" t="s">
        <v>74</v>
      </c>
      <c r="E414" t="s">
        <v>74</v>
      </c>
      <c r="F414" t="s">
        <v>7919</v>
      </c>
      <c r="G414" t="s">
        <v>74</v>
      </c>
      <c r="H414" t="s">
        <v>74</v>
      </c>
      <c r="I414" t="s">
        <v>7920</v>
      </c>
      <c r="J414" t="s">
        <v>7921</v>
      </c>
      <c r="K414" t="s">
        <v>74</v>
      </c>
      <c r="L414" t="s">
        <v>74</v>
      </c>
      <c r="M414" t="s">
        <v>78</v>
      </c>
      <c r="N414" t="s">
        <v>108</v>
      </c>
      <c r="O414" t="s">
        <v>74</v>
      </c>
      <c r="P414" t="s">
        <v>74</v>
      </c>
      <c r="Q414" t="s">
        <v>74</v>
      </c>
      <c r="R414" t="s">
        <v>74</v>
      </c>
      <c r="S414" t="s">
        <v>74</v>
      </c>
      <c r="T414" t="s">
        <v>7922</v>
      </c>
      <c r="U414" t="s">
        <v>7923</v>
      </c>
      <c r="V414" t="s">
        <v>7924</v>
      </c>
      <c r="W414" t="s">
        <v>7925</v>
      </c>
      <c r="X414" t="s">
        <v>7926</v>
      </c>
      <c r="Y414" t="s">
        <v>7927</v>
      </c>
      <c r="Z414" t="s">
        <v>7928</v>
      </c>
      <c r="AA414" t="s">
        <v>74</v>
      </c>
      <c r="AB414" t="s">
        <v>74</v>
      </c>
      <c r="AC414" t="s">
        <v>74</v>
      </c>
      <c r="AD414" t="s">
        <v>74</v>
      </c>
      <c r="AE414" t="s">
        <v>74</v>
      </c>
      <c r="AF414" t="s">
        <v>74</v>
      </c>
      <c r="AG414">
        <v>45</v>
      </c>
      <c r="AH414">
        <v>0</v>
      </c>
      <c r="AI414">
        <v>0</v>
      </c>
      <c r="AJ414">
        <v>7</v>
      </c>
      <c r="AK414">
        <v>15</v>
      </c>
      <c r="AL414" t="s">
        <v>199</v>
      </c>
      <c r="AM414" t="s">
        <v>200</v>
      </c>
      <c r="AN414" t="s">
        <v>471</v>
      </c>
      <c r="AO414" t="s">
        <v>7929</v>
      </c>
      <c r="AP414" t="s">
        <v>74</v>
      </c>
      <c r="AQ414" t="s">
        <v>74</v>
      </c>
      <c r="AR414" t="s">
        <v>7930</v>
      </c>
      <c r="AS414" t="s">
        <v>7931</v>
      </c>
      <c r="AT414" t="s">
        <v>7932</v>
      </c>
      <c r="AU414">
        <v>2024</v>
      </c>
      <c r="AV414">
        <v>23</v>
      </c>
      <c r="AW414">
        <v>3</v>
      </c>
      <c r="AX414" t="s">
        <v>74</v>
      </c>
      <c r="AY414" t="s">
        <v>74</v>
      </c>
      <c r="AZ414" t="s">
        <v>74</v>
      </c>
      <c r="BA414" t="s">
        <v>74</v>
      </c>
      <c r="BB414">
        <v>301</v>
      </c>
      <c r="BC414">
        <v>316</v>
      </c>
      <c r="BD414" t="s">
        <v>74</v>
      </c>
      <c r="BE414" t="s">
        <v>7933</v>
      </c>
      <c r="BF414" t="str">
        <f>HYPERLINK("http://dx.doi.org/10.1108/ETPC-05-2023-0049","http://dx.doi.org/10.1108/ETPC-05-2023-0049")</f>
        <v>http://dx.doi.org/10.1108/ETPC-05-2023-0049</v>
      </c>
      <c r="BG414" t="s">
        <v>74</v>
      </c>
      <c r="BH414" t="s">
        <v>1377</v>
      </c>
      <c r="BI414">
        <v>16</v>
      </c>
      <c r="BJ414" t="s">
        <v>7934</v>
      </c>
      <c r="BK414" t="s">
        <v>2125</v>
      </c>
      <c r="BL414" t="s">
        <v>7935</v>
      </c>
      <c r="BM414" t="s">
        <v>7936</v>
      </c>
      <c r="BN414" t="s">
        <v>74</v>
      </c>
      <c r="BO414" t="s">
        <v>74</v>
      </c>
      <c r="BP414" t="s">
        <v>74</v>
      </c>
      <c r="BQ414" t="s">
        <v>74</v>
      </c>
      <c r="BR414" t="s">
        <v>102</v>
      </c>
      <c r="BS414" t="s">
        <v>7937</v>
      </c>
      <c r="BT414" t="str">
        <f>HYPERLINK("https%3A%2F%2Fwww.webofscience.com%2Fwos%2Fwoscc%2Ffull-record%2FWOS:001142487600001","View Full Record in Web of Science")</f>
        <v>View Full Record in Web of Science</v>
      </c>
    </row>
    <row r="415" spans="1:72" x14ac:dyDescent="0.35">
      <c r="A415" t="s">
        <v>128</v>
      </c>
      <c r="B415" t="s">
        <v>7938</v>
      </c>
      <c r="C415" t="s">
        <v>74</v>
      </c>
      <c r="D415" t="s">
        <v>7939</v>
      </c>
      <c r="E415" t="s">
        <v>74</v>
      </c>
      <c r="F415" t="s">
        <v>7940</v>
      </c>
      <c r="G415" t="s">
        <v>74</v>
      </c>
      <c r="H415" t="s">
        <v>74</v>
      </c>
      <c r="I415" t="s">
        <v>7941</v>
      </c>
      <c r="J415" t="s">
        <v>7942</v>
      </c>
      <c r="K415" t="s">
        <v>74</v>
      </c>
      <c r="L415" t="s">
        <v>74</v>
      </c>
      <c r="M415" t="s">
        <v>78</v>
      </c>
      <c r="N415" t="s">
        <v>135</v>
      </c>
      <c r="O415" t="s">
        <v>7943</v>
      </c>
      <c r="P415" t="s">
        <v>7944</v>
      </c>
      <c r="Q415" t="s">
        <v>7945</v>
      </c>
      <c r="R415" t="s">
        <v>7946</v>
      </c>
      <c r="S415" t="s">
        <v>7947</v>
      </c>
      <c r="T415" t="s">
        <v>7948</v>
      </c>
      <c r="U415" t="s">
        <v>7949</v>
      </c>
      <c r="V415" t="s">
        <v>7950</v>
      </c>
      <c r="W415" t="s">
        <v>7951</v>
      </c>
      <c r="X415" t="s">
        <v>5185</v>
      </c>
      <c r="Y415" t="s">
        <v>7952</v>
      </c>
      <c r="Z415" t="s">
        <v>7953</v>
      </c>
      <c r="AA415" t="s">
        <v>74</v>
      </c>
      <c r="AB415" t="s">
        <v>74</v>
      </c>
      <c r="AC415" t="s">
        <v>74</v>
      </c>
      <c r="AD415" t="s">
        <v>74</v>
      </c>
      <c r="AE415" t="s">
        <v>74</v>
      </c>
      <c r="AF415" t="s">
        <v>74</v>
      </c>
      <c r="AG415">
        <v>18</v>
      </c>
      <c r="AH415">
        <v>2</v>
      </c>
      <c r="AI415">
        <v>2</v>
      </c>
      <c r="AJ415">
        <v>4</v>
      </c>
      <c r="AK415">
        <v>26</v>
      </c>
      <c r="AL415" t="s">
        <v>1677</v>
      </c>
      <c r="AM415" t="s">
        <v>666</v>
      </c>
      <c r="AN415" t="s">
        <v>1692</v>
      </c>
      <c r="AO415" t="s">
        <v>74</v>
      </c>
      <c r="AP415" t="s">
        <v>74</v>
      </c>
      <c r="AQ415" t="s">
        <v>7954</v>
      </c>
      <c r="AR415" t="s">
        <v>74</v>
      </c>
      <c r="AS415" t="s">
        <v>74</v>
      </c>
      <c r="AT415" t="s">
        <v>74</v>
      </c>
      <c r="AU415">
        <v>2020</v>
      </c>
      <c r="AV415" t="s">
        <v>74</v>
      </c>
      <c r="AW415" t="s">
        <v>74</v>
      </c>
      <c r="AX415" t="s">
        <v>74</v>
      </c>
      <c r="AY415" t="s">
        <v>74</v>
      </c>
      <c r="AZ415" t="s">
        <v>74</v>
      </c>
      <c r="BA415" t="s">
        <v>74</v>
      </c>
      <c r="BB415">
        <v>65</v>
      </c>
      <c r="BC415">
        <v>69</v>
      </c>
      <c r="BD415" t="s">
        <v>74</v>
      </c>
      <c r="BE415" t="s">
        <v>7955</v>
      </c>
      <c r="BF415" t="str">
        <f>HYPERLINK("http://dx.doi.org/10.1109/CMI51275.2020.9322720","http://dx.doi.org/10.1109/CMI51275.2020.9322720")</f>
        <v>http://dx.doi.org/10.1109/CMI51275.2020.9322720</v>
      </c>
      <c r="BG415" t="s">
        <v>74</v>
      </c>
      <c r="BH415" t="s">
        <v>74</v>
      </c>
      <c r="BI415">
        <v>5</v>
      </c>
      <c r="BJ415" t="s">
        <v>7956</v>
      </c>
      <c r="BK415" t="s">
        <v>723</v>
      </c>
      <c r="BL415" t="s">
        <v>210</v>
      </c>
      <c r="BM415" t="s">
        <v>7957</v>
      </c>
      <c r="BN415" t="s">
        <v>74</v>
      </c>
      <c r="BO415" t="s">
        <v>74</v>
      </c>
      <c r="BP415" t="s">
        <v>74</v>
      </c>
      <c r="BQ415" t="s">
        <v>74</v>
      </c>
      <c r="BR415" t="s">
        <v>102</v>
      </c>
      <c r="BS415" t="s">
        <v>7958</v>
      </c>
      <c r="BT415" t="str">
        <f>HYPERLINK("https%3A%2F%2Fwww.webofscience.com%2Fwos%2Fwoscc%2Ffull-record%2FWOS:000838627200011","View Full Record in Web of Science")</f>
        <v>View Full Record in Web of Science</v>
      </c>
    </row>
    <row r="416" spans="1:72" x14ac:dyDescent="0.35">
      <c r="A416" t="s">
        <v>72</v>
      </c>
      <c r="B416" t="s">
        <v>7959</v>
      </c>
      <c r="C416" t="s">
        <v>74</v>
      </c>
      <c r="D416" t="s">
        <v>74</v>
      </c>
      <c r="E416" t="s">
        <v>74</v>
      </c>
      <c r="F416" t="s">
        <v>7959</v>
      </c>
      <c r="G416" t="s">
        <v>74</v>
      </c>
      <c r="H416" t="s">
        <v>74</v>
      </c>
      <c r="I416" t="s">
        <v>7960</v>
      </c>
      <c r="J416" t="s">
        <v>7961</v>
      </c>
      <c r="K416" t="s">
        <v>74</v>
      </c>
      <c r="L416" t="s">
        <v>74</v>
      </c>
      <c r="M416" t="s">
        <v>78</v>
      </c>
      <c r="N416" t="s">
        <v>2042</v>
      </c>
      <c r="O416" t="s">
        <v>74</v>
      </c>
      <c r="P416" t="s">
        <v>74</v>
      </c>
      <c r="Q416" t="s">
        <v>74</v>
      </c>
      <c r="R416" t="s">
        <v>74</v>
      </c>
      <c r="S416" t="s">
        <v>74</v>
      </c>
      <c r="T416" t="s">
        <v>74</v>
      </c>
      <c r="U416" t="s">
        <v>74</v>
      </c>
      <c r="V416" t="s">
        <v>74</v>
      </c>
      <c r="W416" t="s">
        <v>74</v>
      </c>
      <c r="X416" t="s">
        <v>74</v>
      </c>
      <c r="Y416" t="s">
        <v>74</v>
      </c>
      <c r="Z416" t="s">
        <v>74</v>
      </c>
      <c r="AA416" t="s">
        <v>74</v>
      </c>
      <c r="AB416" t="s">
        <v>74</v>
      </c>
      <c r="AC416" t="s">
        <v>74</v>
      </c>
      <c r="AD416" t="s">
        <v>74</v>
      </c>
      <c r="AE416" t="s">
        <v>74</v>
      </c>
      <c r="AF416" t="s">
        <v>74</v>
      </c>
      <c r="AG416">
        <v>0</v>
      </c>
      <c r="AH416">
        <v>0</v>
      </c>
      <c r="AI416">
        <v>0</v>
      </c>
      <c r="AJ416">
        <v>0</v>
      </c>
      <c r="AK416">
        <v>0</v>
      </c>
      <c r="AL416" t="s">
        <v>7962</v>
      </c>
      <c r="AM416" t="s">
        <v>7963</v>
      </c>
      <c r="AN416" t="s">
        <v>7964</v>
      </c>
      <c r="AO416" t="s">
        <v>7965</v>
      </c>
      <c r="AP416" t="s">
        <v>74</v>
      </c>
      <c r="AQ416" t="s">
        <v>74</v>
      </c>
      <c r="AR416" t="s">
        <v>7966</v>
      </c>
      <c r="AS416" t="s">
        <v>7967</v>
      </c>
      <c r="AT416" t="s">
        <v>7968</v>
      </c>
      <c r="AU416">
        <v>2022</v>
      </c>
      <c r="AV416">
        <v>50</v>
      </c>
      <c r="AW416" t="s">
        <v>7969</v>
      </c>
      <c r="AX416" t="s">
        <v>74</v>
      </c>
      <c r="AY416" t="s">
        <v>74</v>
      </c>
      <c r="AZ416" t="s">
        <v>74</v>
      </c>
      <c r="BA416" t="s">
        <v>74</v>
      </c>
      <c r="BB416">
        <v>21</v>
      </c>
      <c r="BC416">
        <v>21</v>
      </c>
      <c r="BD416" t="s">
        <v>74</v>
      </c>
      <c r="BE416" t="s">
        <v>74</v>
      </c>
      <c r="BF416" t="s">
        <v>74</v>
      </c>
      <c r="BG416" t="s">
        <v>74</v>
      </c>
      <c r="BH416" t="s">
        <v>74</v>
      </c>
      <c r="BI416">
        <v>1</v>
      </c>
      <c r="BJ416" t="s">
        <v>7970</v>
      </c>
      <c r="BK416" t="s">
        <v>316</v>
      </c>
      <c r="BL416" t="s">
        <v>7971</v>
      </c>
      <c r="BM416" t="s">
        <v>7972</v>
      </c>
      <c r="BN416" t="s">
        <v>74</v>
      </c>
      <c r="BO416" t="s">
        <v>74</v>
      </c>
      <c r="BP416" t="s">
        <v>74</v>
      </c>
      <c r="BQ416" t="s">
        <v>74</v>
      </c>
      <c r="BR416" t="s">
        <v>102</v>
      </c>
      <c r="BS416" t="s">
        <v>7973</v>
      </c>
      <c r="BT416" t="str">
        <f>HYPERLINK("https%3A%2F%2Fwww.webofscience.com%2Fwos%2Fwoscc%2Ffull-record%2FWOS:001314524300013","View Full Record in Web of Science")</f>
        <v>View Full Record in Web of Science</v>
      </c>
    </row>
    <row r="417" spans="1:72" x14ac:dyDescent="0.35">
      <c r="A417" t="s">
        <v>72</v>
      </c>
      <c r="B417" t="s">
        <v>7974</v>
      </c>
      <c r="C417" t="s">
        <v>74</v>
      </c>
      <c r="D417" t="s">
        <v>74</v>
      </c>
      <c r="E417" t="s">
        <v>74</v>
      </c>
      <c r="F417" t="s">
        <v>7975</v>
      </c>
      <c r="G417" t="s">
        <v>74</v>
      </c>
      <c r="H417" t="s">
        <v>74</v>
      </c>
      <c r="I417" t="s">
        <v>7976</v>
      </c>
      <c r="J417" t="s">
        <v>7977</v>
      </c>
      <c r="K417" t="s">
        <v>74</v>
      </c>
      <c r="L417" t="s">
        <v>74</v>
      </c>
      <c r="M417" t="s">
        <v>78</v>
      </c>
      <c r="N417" t="s">
        <v>79</v>
      </c>
      <c r="O417" t="s">
        <v>74</v>
      </c>
      <c r="P417" t="s">
        <v>74</v>
      </c>
      <c r="Q417" t="s">
        <v>74</v>
      </c>
      <c r="R417" t="s">
        <v>74</v>
      </c>
      <c r="S417" t="s">
        <v>74</v>
      </c>
      <c r="T417" t="s">
        <v>7978</v>
      </c>
      <c r="U417" t="s">
        <v>7979</v>
      </c>
      <c r="V417" t="s">
        <v>7980</v>
      </c>
      <c r="W417" t="s">
        <v>7981</v>
      </c>
      <c r="X417" t="s">
        <v>7982</v>
      </c>
      <c r="Y417" t="s">
        <v>7983</v>
      </c>
      <c r="Z417" t="s">
        <v>7984</v>
      </c>
      <c r="AA417" t="s">
        <v>74</v>
      </c>
      <c r="AB417" t="s">
        <v>74</v>
      </c>
      <c r="AC417" t="s">
        <v>74</v>
      </c>
      <c r="AD417" t="s">
        <v>74</v>
      </c>
      <c r="AE417" t="s">
        <v>74</v>
      </c>
      <c r="AF417" t="s">
        <v>74</v>
      </c>
      <c r="AG417">
        <v>58</v>
      </c>
      <c r="AH417">
        <v>0</v>
      </c>
      <c r="AI417">
        <v>0</v>
      </c>
      <c r="AJ417">
        <v>6</v>
      </c>
      <c r="AK417">
        <v>6</v>
      </c>
      <c r="AL417" t="s">
        <v>171</v>
      </c>
      <c r="AM417" t="s">
        <v>172</v>
      </c>
      <c r="AN417" t="s">
        <v>173</v>
      </c>
      <c r="AO417" t="s">
        <v>7985</v>
      </c>
      <c r="AP417" t="s">
        <v>7986</v>
      </c>
      <c r="AQ417" t="s">
        <v>74</v>
      </c>
      <c r="AR417" t="s">
        <v>7987</v>
      </c>
      <c r="AS417" t="s">
        <v>7988</v>
      </c>
      <c r="AT417" t="s">
        <v>7989</v>
      </c>
      <c r="AU417">
        <v>2024</v>
      </c>
      <c r="AV417" t="s">
        <v>74</v>
      </c>
      <c r="AW417" t="s">
        <v>74</v>
      </c>
      <c r="AX417" t="s">
        <v>74</v>
      </c>
      <c r="AY417" t="s">
        <v>74</v>
      </c>
      <c r="AZ417" t="s">
        <v>74</v>
      </c>
      <c r="BA417" t="s">
        <v>74</v>
      </c>
      <c r="BB417" t="s">
        <v>74</v>
      </c>
      <c r="BC417" t="s">
        <v>74</v>
      </c>
      <c r="BD417" t="s">
        <v>74</v>
      </c>
      <c r="BE417" t="s">
        <v>7990</v>
      </c>
      <c r="BF417" t="str">
        <f>HYPERLINK("http://dx.doi.org/10.1177/15554120241288608","http://dx.doi.org/10.1177/15554120241288608")</f>
        <v>http://dx.doi.org/10.1177/15554120241288608</v>
      </c>
      <c r="BG417" t="s">
        <v>74</v>
      </c>
      <c r="BH417" t="s">
        <v>1721</v>
      </c>
      <c r="BI417">
        <v>21</v>
      </c>
      <c r="BJ417" t="s">
        <v>7991</v>
      </c>
      <c r="BK417" t="s">
        <v>2125</v>
      </c>
      <c r="BL417" t="s">
        <v>7991</v>
      </c>
      <c r="BM417" t="s">
        <v>7992</v>
      </c>
      <c r="BN417" t="s">
        <v>74</v>
      </c>
      <c r="BO417" t="s">
        <v>156</v>
      </c>
      <c r="BP417" t="s">
        <v>74</v>
      </c>
      <c r="BQ417" t="s">
        <v>74</v>
      </c>
      <c r="BR417" t="s">
        <v>102</v>
      </c>
      <c r="BS417" t="s">
        <v>7993</v>
      </c>
      <c r="BT417" t="str">
        <f>HYPERLINK("https%3A%2F%2Fwww.webofscience.com%2Fwos%2Fwoscc%2Ffull-record%2FWOS:001334226300001","View Full Record in Web of Science")</f>
        <v>View Full Record in Web of Science</v>
      </c>
    </row>
    <row r="418" spans="1:72" x14ac:dyDescent="0.35">
      <c r="A418" t="s">
        <v>72</v>
      </c>
      <c r="B418" t="s">
        <v>7994</v>
      </c>
      <c r="C418" t="s">
        <v>74</v>
      </c>
      <c r="D418" t="s">
        <v>74</v>
      </c>
      <c r="E418" t="s">
        <v>74</v>
      </c>
      <c r="F418" t="s">
        <v>7995</v>
      </c>
      <c r="G418" t="s">
        <v>74</v>
      </c>
      <c r="H418" t="s">
        <v>74</v>
      </c>
      <c r="I418" t="s">
        <v>7996</v>
      </c>
      <c r="J418" t="s">
        <v>7997</v>
      </c>
      <c r="K418" t="s">
        <v>74</v>
      </c>
      <c r="L418" t="s">
        <v>74</v>
      </c>
      <c r="M418" t="s">
        <v>78</v>
      </c>
      <c r="N418" t="s">
        <v>108</v>
      </c>
      <c r="O418" t="s">
        <v>74</v>
      </c>
      <c r="P418" t="s">
        <v>74</v>
      </c>
      <c r="Q418" t="s">
        <v>74</v>
      </c>
      <c r="R418" t="s">
        <v>74</v>
      </c>
      <c r="S418" t="s">
        <v>74</v>
      </c>
      <c r="T418" t="s">
        <v>7998</v>
      </c>
      <c r="U418" t="s">
        <v>74</v>
      </c>
      <c r="V418" t="s">
        <v>7999</v>
      </c>
      <c r="W418" t="s">
        <v>8000</v>
      </c>
      <c r="X418" t="s">
        <v>8001</v>
      </c>
      <c r="Y418" t="s">
        <v>8002</v>
      </c>
      <c r="Z418" t="s">
        <v>8003</v>
      </c>
      <c r="AA418" t="s">
        <v>8004</v>
      </c>
      <c r="AB418" t="s">
        <v>8005</v>
      </c>
      <c r="AC418" t="s">
        <v>74</v>
      </c>
      <c r="AD418" t="s">
        <v>74</v>
      </c>
      <c r="AE418" t="s">
        <v>74</v>
      </c>
      <c r="AF418" t="s">
        <v>74</v>
      </c>
      <c r="AG418">
        <v>25</v>
      </c>
      <c r="AH418">
        <v>0</v>
      </c>
      <c r="AI418">
        <v>0</v>
      </c>
      <c r="AJ418">
        <v>4</v>
      </c>
      <c r="AK418">
        <v>5</v>
      </c>
      <c r="AL418" t="s">
        <v>8006</v>
      </c>
      <c r="AM418" t="s">
        <v>8007</v>
      </c>
      <c r="AN418" t="s">
        <v>8008</v>
      </c>
      <c r="AO418" t="s">
        <v>8009</v>
      </c>
      <c r="AP418" t="s">
        <v>8010</v>
      </c>
      <c r="AQ418" t="s">
        <v>74</v>
      </c>
      <c r="AR418" t="s">
        <v>8011</v>
      </c>
      <c r="AS418" t="s">
        <v>8012</v>
      </c>
      <c r="AT418" t="s">
        <v>1275</v>
      </c>
      <c r="AU418">
        <v>2023</v>
      </c>
      <c r="AV418">
        <v>13</v>
      </c>
      <c r="AW418">
        <v>3</v>
      </c>
      <c r="AX418" t="s">
        <v>74</v>
      </c>
      <c r="AY418" t="s">
        <v>74</v>
      </c>
      <c r="AZ418" t="s">
        <v>74</v>
      </c>
      <c r="BA418" t="s">
        <v>74</v>
      </c>
      <c r="BB418" t="s">
        <v>74</v>
      </c>
      <c r="BC418" t="s">
        <v>74</v>
      </c>
      <c r="BD418" t="s">
        <v>74</v>
      </c>
      <c r="BE418" t="s">
        <v>8013</v>
      </c>
      <c r="BF418" t="str">
        <f>HYPERLINK("http://dx.doi.org/10.26618/ojip.v13i3.12912","http://dx.doi.org/10.26618/ojip.v13i3.12912")</f>
        <v>http://dx.doi.org/10.26618/ojip.v13i3.12912</v>
      </c>
      <c r="BG418" t="s">
        <v>74</v>
      </c>
      <c r="BH418" t="s">
        <v>74</v>
      </c>
      <c r="BI418">
        <v>16</v>
      </c>
      <c r="BJ418" t="s">
        <v>8014</v>
      </c>
      <c r="BK418" t="s">
        <v>125</v>
      </c>
      <c r="BL418" t="s">
        <v>8015</v>
      </c>
      <c r="BM418" t="s">
        <v>8016</v>
      </c>
      <c r="BN418" t="s">
        <v>74</v>
      </c>
      <c r="BO418" t="s">
        <v>235</v>
      </c>
      <c r="BP418" t="s">
        <v>74</v>
      </c>
      <c r="BQ418" t="s">
        <v>74</v>
      </c>
      <c r="BR418" t="s">
        <v>102</v>
      </c>
      <c r="BS418" t="s">
        <v>8017</v>
      </c>
      <c r="BT418" t="str">
        <f>HYPERLINK("https%3A%2F%2Fwww.webofscience.com%2Fwos%2Fwoscc%2Ffull-record%2FWOS:001136989200005","View Full Record in Web of Science")</f>
        <v>View Full Record in Web of Science</v>
      </c>
    </row>
    <row r="419" spans="1:72" x14ac:dyDescent="0.35">
      <c r="A419" t="s">
        <v>72</v>
      </c>
      <c r="B419" t="s">
        <v>8018</v>
      </c>
      <c r="C419" t="s">
        <v>74</v>
      </c>
      <c r="D419" t="s">
        <v>74</v>
      </c>
      <c r="E419" t="s">
        <v>74</v>
      </c>
      <c r="F419" t="s">
        <v>8019</v>
      </c>
      <c r="G419" t="s">
        <v>74</v>
      </c>
      <c r="H419" t="s">
        <v>74</v>
      </c>
      <c r="I419" t="s">
        <v>8020</v>
      </c>
      <c r="J419" t="s">
        <v>8021</v>
      </c>
      <c r="K419" t="s">
        <v>74</v>
      </c>
      <c r="L419" t="s">
        <v>74</v>
      </c>
      <c r="M419" t="s">
        <v>78</v>
      </c>
      <c r="N419" t="s">
        <v>108</v>
      </c>
      <c r="O419" t="s">
        <v>74</v>
      </c>
      <c r="P419" t="s">
        <v>74</v>
      </c>
      <c r="Q419" t="s">
        <v>74</v>
      </c>
      <c r="R419" t="s">
        <v>74</v>
      </c>
      <c r="S419" t="s">
        <v>74</v>
      </c>
      <c r="T419" t="s">
        <v>8022</v>
      </c>
      <c r="U419" t="s">
        <v>8023</v>
      </c>
      <c r="V419" t="s">
        <v>8024</v>
      </c>
      <c r="W419" t="s">
        <v>8025</v>
      </c>
      <c r="X419" t="s">
        <v>4644</v>
      </c>
      <c r="Y419" t="s">
        <v>8026</v>
      </c>
      <c r="Z419" t="s">
        <v>8027</v>
      </c>
      <c r="AA419" t="s">
        <v>8028</v>
      </c>
      <c r="AB419" t="s">
        <v>8029</v>
      </c>
      <c r="AC419" t="s">
        <v>8030</v>
      </c>
      <c r="AD419" t="s">
        <v>8031</v>
      </c>
      <c r="AE419" t="s">
        <v>8032</v>
      </c>
      <c r="AF419" t="s">
        <v>74</v>
      </c>
      <c r="AG419">
        <v>77</v>
      </c>
      <c r="AH419">
        <v>2</v>
      </c>
      <c r="AI419">
        <v>2</v>
      </c>
      <c r="AJ419">
        <v>6</v>
      </c>
      <c r="AK419">
        <v>28</v>
      </c>
      <c r="AL419" t="s">
        <v>2662</v>
      </c>
      <c r="AM419" t="s">
        <v>2663</v>
      </c>
      <c r="AN419" t="s">
        <v>2664</v>
      </c>
      <c r="AO419" t="s">
        <v>8033</v>
      </c>
      <c r="AP419" t="s">
        <v>74</v>
      </c>
      <c r="AQ419" t="s">
        <v>74</v>
      </c>
      <c r="AR419" t="s">
        <v>8034</v>
      </c>
      <c r="AS419" t="s">
        <v>8035</v>
      </c>
      <c r="AT419" t="s">
        <v>74</v>
      </c>
      <c r="AU419">
        <v>2023</v>
      </c>
      <c r="AV419">
        <v>11</v>
      </c>
      <c r="AW419">
        <v>2</v>
      </c>
      <c r="AX419" t="s">
        <v>74</v>
      </c>
      <c r="AY419" t="s">
        <v>74</v>
      </c>
      <c r="AZ419" t="s">
        <v>74</v>
      </c>
      <c r="BA419" t="s">
        <v>74</v>
      </c>
      <c r="BB419">
        <v>114</v>
      </c>
      <c r="BC419">
        <v>126</v>
      </c>
      <c r="BD419" t="s">
        <v>74</v>
      </c>
      <c r="BE419" t="s">
        <v>8036</v>
      </c>
      <c r="BF419" t="str">
        <f>HYPERLINK("http://dx.doi.org/10.17645/pag.v11i2.6299","http://dx.doi.org/10.17645/pag.v11i2.6299")</f>
        <v>http://dx.doi.org/10.17645/pag.v11i2.6299</v>
      </c>
      <c r="BG419" t="s">
        <v>74</v>
      </c>
      <c r="BH419" t="s">
        <v>74</v>
      </c>
      <c r="BI419">
        <v>13</v>
      </c>
      <c r="BJ419" t="s">
        <v>8014</v>
      </c>
      <c r="BK419" t="s">
        <v>99</v>
      </c>
      <c r="BL419" t="s">
        <v>8015</v>
      </c>
      <c r="BM419" t="s">
        <v>8037</v>
      </c>
      <c r="BN419" t="s">
        <v>74</v>
      </c>
      <c r="BO419" t="s">
        <v>552</v>
      </c>
      <c r="BP419" t="s">
        <v>74</v>
      </c>
      <c r="BQ419" t="s">
        <v>74</v>
      </c>
      <c r="BR419" t="s">
        <v>102</v>
      </c>
      <c r="BS419" t="s">
        <v>8038</v>
      </c>
      <c r="BT419" t="str">
        <f>HYPERLINK("https%3A%2F%2Fwww.webofscience.com%2Fwos%2Fwoscc%2Ffull-record%2FWOS:000995613200002","View Full Record in Web of Science")</f>
        <v>View Full Record in Web of Science</v>
      </c>
    </row>
    <row r="420" spans="1:72" x14ac:dyDescent="0.35">
      <c r="A420" t="s">
        <v>72</v>
      </c>
      <c r="B420" t="s">
        <v>8039</v>
      </c>
      <c r="C420" t="s">
        <v>74</v>
      </c>
      <c r="D420" t="s">
        <v>74</v>
      </c>
      <c r="E420" t="s">
        <v>74</v>
      </c>
      <c r="F420" t="s">
        <v>8040</v>
      </c>
      <c r="G420" t="s">
        <v>74</v>
      </c>
      <c r="H420" t="s">
        <v>74</v>
      </c>
      <c r="I420" t="s">
        <v>8041</v>
      </c>
      <c r="J420" t="s">
        <v>8042</v>
      </c>
      <c r="K420" t="s">
        <v>74</v>
      </c>
      <c r="L420" t="s">
        <v>74</v>
      </c>
      <c r="M420" t="s">
        <v>8043</v>
      </c>
      <c r="N420" t="s">
        <v>108</v>
      </c>
      <c r="O420" t="s">
        <v>74</v>
      </c>
      <c r="P420" t="s">
        <v>74</v>
      </c>
      <c r="Q420" t="s">
        <v>74</v>
      </c>
      <c r="R420" t="s">
        <v>74</v>
      </c>
      <c r="S420" t="s">
        <v>74</v>
      </c>
      <c r="T420" t="s">
        <v>8044</v>
      </c>
      <c r="U420" t="s">
        <v>74</v>
      </c>
      <c r="V420" t="s">
        <v>8045</v>
      </c>
      <c r="W420" t="s">
        <v>8046</v>
      </c>
      <c r="X420" t="s">
        <v>74</v>
      </c>
      <c r="Y420" t="s">
        <v>8047</v>
      </c>
      <c r="Z420" t="s">
        <v>74</v>
      </c>
      <c r="AA420" t="s">
        <v>8048</v>
      </c>
      <c r="AB420" t="s">
        <v>8049</v>
      </c>
      <c r="AC420" t="s">
        <v>74</v>
      </c>
      <c r="AD420" t="s">
        <v>74</v>
      </c>
      <c r="AE420" t="s">
        <v>74</v>
      </c>
      <c r="AF420" t="s">
        <v>74</v>
      </c>
      <c r="AG420">
        <v>23</v>
      </c>
      <c r="AH420">
        <v>1</v>
      </c>
      <c r="AI420">
        <v>1</v>
      </c>
      <c r="AJ420">
        <v>0</v>
      </c>
      <c r="AK420">
        <v>2</v>
      </c>
      <c r="AL420" t="s">
        <v>8050</v>
      </c>
      <c r="AM420" t="s">
        <v>8051</v>
      </c>
      <c r="AN420" t="s">
        <v>8052</v>
      </c>
      <c r="AO420" t="s">
        <v>8053</v>
      </c>
      <c r="AP420" t="s">
        <v>8054</v>
      </c>
      <c r="AQ420" t="s">
        <v>74</v>
      </c>
      <c r="AR420" t="s">
        <v>8055</v>
      </c>
      <c r="AS420" t="s">
        <v>8056</v>
      </c>
      <c r="AT420" t="s">
        <v>455</v>
      </c>
      <c r="AU420">
        <v>2005</v>
      </c>
      <c r="AV420">
        <v>15</v>
      </c>
      <c r="AW420">
        <v>3</v>
      </c>
      <c r="AX420" t="s">
        <v>74</v>
      </c>
      <c r="AY420" t="s">
        <v>74</v>
      </c>
      <c r="AZ420" t="s">
        <v>74</v>
      </c>
      <c r="BA420" t="s">
        <v>74</v>
      </c>
      <c r="BB420">
        <v>128</v>
      </c>
      <c r="BC420">
        <v>135</v>
      </c>
      <c r="BD420" t="s">
        <v>74</v>
      </c>
      <c r="BE420" t="s">
        <v>74</v>
      </c>
      <c r="BF420" t="s">
        <v>74</v>
      </c>
      <c r="BG420" t="s">
        <v>74</v>
      </c>
      <c r="BH420" t="s">
        <v>74</v>
      </c>
      <c r="BI420">
        <v>8</v>
      </c>
      <c r="BJ420" t="s">
        <v>8057</v>
      </c>
      <c r="BK420" t="s">
        <v>125</v>
      </c>
      <c r="BL420" t="s">
        <v>8057</v>
      </c>
      <c r="BM420" t="s">
        <v>8058</v>
      </c>
      <c r="BN420" t="s">
        <v>74</v>
      </c>
      <c r="BO420" t="s">
        <v>74</v>
      </c>
      <c r="BP420" t="s">
        <v>74</v>
      </c>
      <c r="BQ420" t="s">
        <v>74</v>
      </c>
      <c r="BR420" t="s">
        <v>102</v>
      </c>
      <c r="BS420" t="s">
        <v>8059</v>
      </c>
      <c r="BT420" t="str">
        <f>HYPERLINK("https%3A%2F%2Fwww.webofscience.com%2Fwos%2Fwoscc%2Ffull-record%2FWOS:000437137200003","View Full Record in Web of Science")</f>
        <v>View Full Record in Web of Science</v>
      </c>
    </row>
    <row r="421" spans="1:72" x14ac:dyDescent="0.35">
      <c r="A421" t="s">
        <v>72</v>
      </c>
      <c r="B421" t="s">
        <v>8060</v>
      </c>
      <c r="C421" t="s">
        <v>74</v>
      </c>
      <c r="D421" t="s">
        <v>74</v>
      </c>
      <c r="E421" t="s">
        <v>74</v>
      </c>
      <c r="F421" t="s">
        <v>8061</v>
      </c>
      <c r="G421" t="s">
        <v>74</v>
      </c>
      <c r="H421" t="s">
        <v>74</v>
      </c>
      <c r="I421" t="s">
        <v>8062</v>
      </c>
      <c r="J421" t="s">
        <v>8063</v>
      </c>
      <c r="K421" t="s">
        <v>74</v>
      </c>
      <c r="L421" t="s">
        <v>74</v>
      </c>
      <c r="M421" t="s">
        <v>78</v>
      </c>
      <c r="N421" t="s">
        <v>108</v>
      </c>
      <c r="O421" t="s">
        <v>74</v>
      </c>
      <c r="P421" t="s">
        <v>74</v>
      </c>
      <c r="Q421" t="s">
        <v>74</v>
      </c>
      <c r="R421" t="s">
        <v>74</v>
      </c>
      <c r="S421" t="s">
        <v>74</v>
      </c>
      <c r="T421" t="s">
        <v>8064</v>
      </c>
      <c r="U421" t="s">
        <v>8065</v>
      </c>
      <c r="V421" t="s">
        <v>8066</v>
      </c>
      <c r="W421" t="s">
        <v>8067</v>
      </c>
      <c r="X421" t="s">
        <v>8068</v>
      </c>
      <c r="Y421" t="s">
        <v>8069</v>
      </c>
      <c r="Z421" t="s">
        <v>8070</v>
      </c>
      <c r="AA421" t="s">
        <v>5111</v>
      </c>
      <c r="AB421" t="s">
        <v>8071</v>
      </c>
      <c r="AC421" t="s">
        <v>74</v>
      </c>
      <c r="AD421" t="s">
        <v>74</v>
      </c>
      <c r="AE421" t="s">
        <v>74</v>
      </c>
      <c r="AF421" t="s">
        <v>74</v>
      </c>
      <c r="AG421">
        <v>77</v>
      </c>
      <c r="AH421">
        <v>49</v>
      </c>
      <c r="AI421">
        <v>57</v>
      </c>
      <c r="AJ421">
        <v>18</v>
      </c>
      <c r="AK421">
        <v>135</v>
      </c>
      <c r="AL421" t="s">
        <v>251</v>
      </c>
      <c r="AM421" t="s">
        <v>252</v>
      </c>
      <c r="AN421" t="s">
        <v>253</v>
      </c>
      <c r="AO421" t="s">
        <v>8072</v>
      </c>
      <c r="AP421" t="s">
        <v>74</v>
      </c>
      <c r="AQ421" t="s">
        <v>74</v>
      </c>
      <c r="AR421" t="s">
        <v>8073</v>
      </c>
      <c r="AS421" t="s">
        <v>8074</v>
      </c>
      <c r="AT421" t="s">
        <v>1484</v>
      </c>
      <c r="AU421">
        <v>2022</v>
      </c>
      <c r="AV421">
        <v>14</v>
      </c>
      <c r="AW421">
        <v>1</v>
      </c>
      <c r="AX421" t="s">
        <v>74</v>
      </c>
      <c r="AY421" t="s">
        <v>74</v>
      </c>
      <c r="AZ421" t="s">
        <v>74</v>
      </c>
      <c r="BA421" t="s">
        <v>74</v>
      </c>
      <c r="BB421">
        <v>79</v>
      </c>
      <c r="BC421">
        <v>95</v>
      </c>
      <c r="BD421" t="s">
        <v>74</v>
      </c>
      <c r="BE421" t="s">
        <v>8075</v>
      </c>
      <c r="BF421" t="str">
        <f>HYPERLINK("http://dx.doi.org/10.1002/poi3.287","http://dx.doi.org/10.1002/poi3.287")</f>
        <v>http://dx.doi.org/10.1002/poi3.287</v>
      </c>
      <c r="BG421" t="s">
        <v>74</v>
      </c>
      <c r="BH421" t="s">
        <v>259</v>
      </c>
      <c r="BI421">
        <v>17</v>
      </c>
      <c r="BJ421" t="s">
        <v>1528</v>
      </c>
      <c r="BK421" t="s">
        <v>99</v>
      </c>
      <c r="BL421" t="s">
        <v>1529</v>
      </c>
      <c r="BM421" t="s">
        <v>8076</v>
      </c>
      <c r="BN421" t="s">
        <v>74</v>
      </c>
      <c r="BO421" t="s">
        <v>156</v>
      </c>
      <c r="BP421" t="s">
        <v>74</v>
      </c>
      <c r="BQ421" t="s">
        <v>74</v>
      </c>
      <c r="BR421" t="s">
        <v>102</v>
      </c>
      <c r="BS421" t="s">
        <v>8077</v>
      </c>
      <c r="BT421" t="str">
        <f>HYPERLINK("https%3A%2F%2Fwww.webofscience.com%2Fwos%2Fwoscc%2Ffull-record%2FWOS:000758240000001","View Full Record in Web of Science")</f>
        <v>View Full Record in Web of Science</v>
      </c>
    </row>
    <row r="422" spans="1:72" x14ac:dyDescent="0.35">
      <c r="A422" t="s">
        <v>72</v>
      </c>
      <c r="B422" t="s">
        <v>8078</v>
      </c>
      <c r="C422" t="s">
        <v>74</v>
      </c>
      <c r="D422" t="s">
        <v>74</v>
      </c>
      <c r="E422" t="s">
        <v>74</v>
      </c>
      <c r="F422" t="s">
        <v>8079</v>
      </c>
      <c r="G422" t="s">
        <v>74</v>
      </c>
      <c r="H422" t="s">
        <v>74</v>
      </c>
      <c r="I422" t="s">
        <v>8080</v>
      </c>
      <c r="J422" t="s">
        <v>8081</v>
      </c>
      <c r="K422" t="s">
        <v>74</v>
      </c>
      <c r="L422" t="s">
        <v>74</v>
      </c>
      <c r="M422" t="s">
        <v>78</v>
      </c>
      <c r="N422" t="s">
        <v>108</v>
      </c>
      <c r="O422" t="s">
        <v>74</v>
      </c>
      <c r="P422" t="s">
        <v>74</v>
      </c>
      <c r="Q422" t="s">
        <v>74</v>
      </c>
      <c r="R422" t="s">
        <v>74</v>
      </c>
      <c r="S422" t="s">
        <v>74</v>
      </c>
      <c r="T422" t="s">
        <v>8082</v>
      </c>
      <c r="U422" t="s">
        <v>74</v>
      </c>
      <c r="V422" t="s">
        <v>8083</v>
      </c>
      <c r="W422" t="s">
        <v>8084</v>
      </c>
      <c r="X422" t="s">
        <v>8085</v>
      </c>
      <c r="Y422" t="s">
        <v>8086</v>
      </c>
      <c r="Z422" t="s">
        <v>8087</v>
      </c>
      <c r="AA422" t="s">
        <v>8088</v>
      </c>
      <c r="AB422" t="s">
        <v>8089</v>
      </c>
      <c r="AC422" t="s">
        <v>74</v>
      </c>
      <c r="AD422" t="s">
        <v>74</v>
      </c>
      <c r="AE422" t="s">
        <v>74</v>
      </c>
      <c r="AF422" t="s">
        <v>74</v>
      </c>
      <c r="AG422">
        <v>39</v>
      </c>
      <c r="AH422">
        <v>0</v>
      </c>
      <c r="AI422">
        <v>0</v>
      </c>
      <c r="AJ422">
        <v>13</v>
      </c>
      <c r="AK422">
        <v>13</v>
      </c>
      <c r="AL422" t="s">
        <v>994</v>
      </c>
      <c r="AM422" t="s">
        <v>995</v>
      </c>
      <c r="AN422" t="s">
        <v>996</v>
      </c>
      <c r="AO422" t="s">
        <v>8090</v>
      </c>
      <c r="AP422" t="s">
        <v>8091</v>
      </c>
      <c r="AQ422" t="s">
        <v>74</v>
      </c>
      <c r="AR422" t="s">
        <v>8092</v>
      </c>
      <c r="AS422" t="s">
        <v>8093</v>
      </c>
      <c r="AT422" t="s">
        <v>3554</v>
      </c>
      <c r="AU422">
        <v>2024</v>
      </c>
      <c r="AV422">
        <v>33</v>
      </c>
      <c r="AW422">
        <v>5</v>
      </c>
      <c r="AX422" t="s">
        <v>74</v>
      </c>
      <c r="AY422" t="s">
        <v>74</v>
      </c>
      <c r="AZ422" t="s">
        <v>74</v>
      </c>
      <c r="BA422" t="s">
        <v>74</v>
      </c>
      <c r="BB422">
        <v>619</v>
      </c>
      <c r="BC422">
        <v>629</v>
      </c>
      <c r="BD422" t="s">
        <v>74</v>
      </c>
      <c r="BE422" t="s">
        <v>8094</v>
      </c>
      <c r="BF422" t="str">
        <f>HYPERLINK("http://dx.doi.org/10.1080/09638237.2024.2390365","http://dx.doi.org/10.1080/09638237.2024.2390365")</f>
        <v>http://dx.doi.org/10.1080/09638237.2024.2390365</v>
      </c>
      <c r="BG422" t="s">
        <v>74</v>
      </c>
      <c r="BH422" t="s">
        <v>2444</v>
      </c>
      <c r="BI422">
        <v>11</v>
      </c>
      <c r="BJ422" t="s">
        <v>1955</v>
      </c>
      <c r="BK422" t="s">
        <v>99</v>
      </c>
      <c r="BL422" t="s">
        <v>1617</v>
      </c>
      <c r="BM422" t="s">
        <v>8095</v>
      </c>
      <c r="BN422">
        <v>39158683</v>
      </c>
      <c r="BO422" t="s">
        <v>74</v>
      </c>
      <c r="BP422" t="s">
        <v>74</v>
      </c>
      <c r="BQ422" t="s">
        <v>74</v>
      </c>
      <c r="BR422" t="s">
        <v>102</v>
      </c>
      <c r="BS422" t="s">
        <v>8096</v>
      </c>
      <c r="BT422" t="str">
        <f>HYPERLINK("https%3A%2F%2Fwww.webofscience.com%2Fwos%2Fwoscc%2Ffull-record%2FWOS:001293954500001","View Full Record in Web of Science")</f>
        <v>View Full Record in Web of Science</v>
      </c>
    </row>
    <row r="423" spans="1:72" x14ac:dyDescent="0.35">
      <c r="A423" t="s">
        <v>72</v>
      </c>
      <c r="B423" t="s">
        <v>8097</v>
      </c>
      <c r="C423" t="s">
        <v>74</v>
      </c>
      <c r="D423" t="s">
        <v>74</v>
      </c>
      <c r="E423" t="s">
        <v>74</v>
      </c>
      <c r="F423" t="s">
        <v>8098</v>
      </c>
      <c r="G423" t="s">
        <v>74</v>
      </c>
      <c r="H423" t="s">
        <v>74</v>
      </c>
      <c r="I423" t="s">
        <v>8099</v>
      </c>
      <c r="J423" t="s">
        <v>8100</v>
      </c>
      <c r="K423" t="s">
        <v>74</v>
      </c>
      <c r="L423" t="s">
        <v>74</v>
      </c>
      <c r="M423" t="s">
        <v>78</v>
      </c>
      <c r="N423" t="s">
        <v>2042</v>
      </c>
      <c r="O423" t="s">
        <v>74</v>
      </c>
      <c r="P423" t="s">
        <v>74</v>
      </c>
      <c r="Q423" t="s">
        <v>74</v>
      </c>
      <c r="R423" t="s">
        <v>74</v>
      </c>
      <c r="S423" t="s">
        <v>74</v>
      </c>
      <c r="T423" t="s">
        <v>74</v>
      </c>
      <c r="U423" t="s">
        <v>74</v>
      </c>
      <c r="V423" t="s">
        <v>74</v>
      </c>
      <c r="W423" t="s">
        <v>8101</v>
      </c>
      <c r="X423" t="s">
        <v>74</v>
      </c>
      <c r="Y423" t="s">
        <v>8102</v>
      </c>
      <c r="Z423" t="s">
        <v>8103</v>
      </c>
      <c r="AA423" t="s">
        <v>74</v>
      </c>
      <c r="AB423" t="s">
        <v>74</v>
      </c>
      <c r="AC423" t="s">
        <v>74</v>
      </c>
      <c r="AD423" t="s">
        <v>74</v>
      </c>
      <c r="AE423" t="s">
        <v>74</v>
      </c>
      <c r="AF423" t="s">
        <v>74</v>
      </c>
      <c r="AG423">
        <v>0</v>
      </c>
      <c r="AH423">
        <v>1</v>
      </c>
      <c r="AI423">
        <v>1</v>
      </c>
      <c r="AJ423">
        <v>0</v>
      </c>
      <c r="AK423">
        <v>11</v>
      </c>
      <c r="AL423" t="s">
        <v>1901</v>
      </c>
      <c r="AM423" t="s">
        <v>995</v>
      </c>
      <c r="AN423" t="s">
        <v>1902</v>
      </c>
      <c r="AO423" t="s">
        <v>8104</v>
      </c>
      <c r="AP423" t="s">
        <v>8105</v>
      </c>
      <c r="AQ423" t="s">
        <v>74</v>
      </c>
      <c r="AR423" t="s">
        <v>8106</v>
      </c>
      <c r="AS423" t="s">
        <v>8107</v>
      </c>
      <c r="AT423" t="s">
        <v>8108</v>
      </c>
      <c r="AU423">
        <v>2022</v>
      </c>
      <c r="AV423">
        <v>47</v>
      </c>
      <c r="AW423">
        <v>5</v>
      </c>
      <c r="AX423" t="s">
        <v>74</v>
      </c>
      <c r="AY423" t="s">
        <v>74</v>
      </c>
      <c r="AZ423" t="s">
        <v>74</v>
      </c>
      <c r="BA423" t="s">
        <v>74</v>
      </c>
      <c r="BB423">
        <v>266</v>
      </c>
      <c r="BC423">
        <v>266</v>
      </c>
      <c r="BD423" t="s">
        <v>74</v>
      </c>
      <c r="BE423" t="s">
        <v>8109</v>
      </c>
      <c r="BF423" t="str">
        <f>HYPERLINK("http://dx.doi.org/10.1097/NNE.0000000000001260","http://dx.doi.org/10.1097/NNE.0000000000001260")</f>
        <v>http://dx.doi.org/10.1097/NNE.0000000000001260</v>
      </c>
      <c r="BG423" t="s">
        <v>74</v>
      </c>
      <c r="BH423" t="s">
        <v>74</v>
      </c>
      <c r="BI423">
        <v>1</v>
      </c>
      <c r="BJ423" t="s">
        <v>8110</v>
      </c>
      <c r="BK423" t="s">
        <v>182</v>
      </c>
      <c r="BL423" t="s">
        <v>8110</v>
      </c>
      <c r="BM423" t="s">
        <v>8111</v>
      </c>
      <c r="BN423">
        <v>35763798</v>
      </c>
      <c r="BO423" t="s">
        <v>767</v>
      </c>
      <c r="BP423" t="s">
        <v>74</v>
      </c>
      <c r="BQ423" t="s">
        <v>74</v>
      </c>
      <c r="BR423" t="s">
        <v>102</v>
      </c>
      <c r="BS423" t="s">
        <v>8112</v>
      </c>
      <c r="BT423" t="str">
        <f>HYPERLINK("https%3A%2F%2Fwww.webofscience.com%2Fwos%2Fwoscc%2Ffull-record%2FWOS:000843737300015","View Full Record in Web of Science")</f>
        <v>View Full Record in Web of Science</v>
      </c>
    </row>
    <row r="424" spans="1:72" x14ac:dyDescent="0.35">
      <c r="A424" t="s">
        <v>72</v>
      </c>
      <c r="B424" t="s">
        <v>8113</v>
      </c>
      <c r="C424" t="s">
        <v>74</v>
      </c>
      <c r="D424" t="s">
        <v>74</v>
      </c>
      <c r="E424" t="s">
        <v>74</v>
      </c>
      <c r="F424" t="s">
        <v>8114</v>
      </c>
      <c r="G424" t="s">
        <v>74</v>
      </c>
      <c r="H424" t="s">
        <v>74</v>
      </c>
      <c r="I424" t="s">
        <v>8115</v>
      </c>
      <c r="J424" t="s">
        <v>1603</v>
      </c>
      <c r="K424" t="s">
        <v>74</v>
      </c>
      <c r="L424" t="s">
        <v>74</v>
      </c>
      <c r="M424" t="s">
        <v>78</v>
      </c>
      <c r="N424" t="s">
        <v>108</v>
      </c>
      <c r="O424" t="s">
        <v>74</v>
      </c>
      <c r="P424" t="s">
        <v>74</v>
      </c>
      <c r="Q424" t="s">
        <v>74</v>
      </c>
      <c r="R424" t="s">
        <v>74</v>
      </c>
      <c r="S424" t="s">
        <v>74</v>
      </c>
      <c r="T424" t="s">
        <v>8116</v>
      </c>
      <c r="U424" t="s">
        <v>8117</v>
      </c>
      <c r="V424" t="s">
        <v>8118</v>
      </c>
      <c r="W424" t="s">
        <v>8119</v>
      </c>
      <c r="X424" t="s">
        <v>1422</v>
      </c>
      <c r="Y424" t="s">
        <v>8120</v>
      </c>
      <c r="Z424" t="s">
        <v>8121</v>
      </c>
      <c r="AA424" t="s">
        <v>74</v>
      </c>
      <c r="AB424" t="s">
        <v>74</v>
      </c>
      <c r="AC424" t="s">
        <v>8122</v>
      </c>
      <c r="AD424" t="s">
        <v>8123</v>
      </c>
      <c r="AE424" t="s">
        <v>8124</v>
      </c>
      <c r="AF424" t="s">
        <v>74</v>
      </c>
      <c r="AG424">
        <v>30</v>
      </c>
      <c r="AH424">
        <v>0</v>
      </c>
      <c r="AI424">
        <v>0</v>
      </c>
      <c r="AJ424">
        <v>1</v>
      </c>
      <c r="AK424">
        <v>1</v>
      </c>
      <c r="AL424" t="s">
        <v>516</v>
      </c>
      <c r="AM424" t="s">
        <v>517</v>
      </c>
      <c r="AN424" t="s">
        <v>518</v>
      </c>
      <c r="AO424" t="s">
        <v>1612</v>
      </c>
      <c r="AP424" t="s">
        <v>1613</v>
      </c>
      <c r="AQ424" t="s">
        <v>74</v>
      </c>
      <c r="AR424" t="s">
        <v>1603</v>
      </c>
      <c r="AS424" t="s">
        <v>1614</v>
      </c>
      <c r="AT424" t="s">
        <v>1275</v>
      </c>
      <c r="AU424">
        <v>2024</v>
      </c>
      <c r="AV424">
        <v>51</v>
      </c>
      <c r="AW424" t="s">
        <v>74</v>
      </c>
      <c r="AX424" t="s">
        <v>74</v>
      </c>
      <c r="AY424" t="s">
        <v>74</v>
      </c>
      <c r="AZ424" t="s">
        <v>74</v>
      </c>
      <c r="BA424" t="s">
        <v>74</v>
      </c>
      <c r="BB424" t="s">
        <v>74</v>
      </c>
      <c r="BC424" t="s">
        <v>74</v>
      </c>
      <c r="BD424">
        <v>101807</v>
      </c>
      <c r="BE424" t="s">
        <v>8125</v>
      </c>
      <c r="BF424" t="str">
        <f>HYPERLINK("http://dx.doi.org/10.1016/j.bodyim.2024.101807","http://dx.doi.org/10.1016/j.bodyim.2024.101807")</f>
        <v>http://dx.doi.org/10.1016/j.bodyim.2024.101807</v>
      </c>
      <c r="BG424" t="s">
        <v>74</v>
      </c>
      <c r="BH424" t="s">
        <v>4092</v>
      </c>
      <c r="BI424">
        <v>11</v>
      </c>
      <c r="BJ424" t="s">
        <v>1616</v>
      </c>
      <c r="BK424" t="s">
        <v>99</v>
      </c>
      <c r="BL424" t="s">
        <v>1617</v>
      </c>
      <c r="BM424" t="s">
        <v>8126</v>
      </c>
      <c r="BN424">
        <v>39504757</v>
      </c>
      <c r="BO424" t="s">
        <v>156</v>
      </c>
      <c r="BP424" t="s">
        <v>74</v>
      </c>
      <c r="BQ424" t="s">
        <v>74</v>
      </c>
      <c r="BR424" t="s">
        <v>102</v>
      </c>
      <c r="BS424" t="s">
        <v>8127</v>
      </c>
      <c r="BT424" t="str">
        <f>HYPERLINK("https%3A%2F%2Fwww.webofscience.com%2Fwos%2Fwoscc%2Ffull-record%2FWOS:001352923800001","View Full Record in Web of Science")</f>
        <v>View Full Record in Web of Science</v>
      </c>
    </row>
    <row r="425" spans="1:72" x14ac:dyDescent="0.35">
      <c r="A425" t="s">
        <v>72</v>
      </c>
      <c r="B425" t="s">
        <v>8128</v>
      </c>
      <c r="C425" t="s">
        <v>74</v>
      </c>
      <c r="D425" t="s">
        <v>74</v>
      </c>
      <c r="E425" t="s">
        <v>74</v>
      </c>
      <c r="F425" t="s">
        <v>8129</v>
      </c>
      <c r="G425" t="s">
        <v>74</v>
      </c>
      <c r="H425" t="s">
        <v>74</v>
      </c>
      <c r="I425" t="s">
        <v>8130</v>
      </c>
      <c r="J425" t="s">
        <v>438</v>
      </c>
      <c r="K425" t="s">
        <v>74</v>
      </c>
      <c r="L425" t="s">
        <v>74</v>
      </c>
      <c r="M425" t="s">
        <v>78</v>
      </c>
      <c r="N425" t="s">
        <v>79</v>
      </c>
      <c r="O425" t="s">
        <v>74</v>
      </c>
      <c r="P425" t="s">
        <v>74</v>
      </c>
      <c r="Q425" t="s">
        <v>74</v>
      </c>
      <c r="R425" t="s">
        <v>74</v>
      </c>
      <c r="S425" t="s">
        <v>74</v>
      </c>
      <c r="T425" t="s">
        <v>8131</v>
      </c>
      <c r="U425" t="s">
        <v>8132</v>
      </c>
      <c r="V425" t="s">
        <v>8133</v>
      </c>
      <c r="W425" t="s">
        <v>8134</v>
      </c>
      <c r="X425" t="s">
        <v>8135</v>
      </c>
      <c r="Y425" t="s">
        <v>8136</v>
      </c>
      <c r="Z425" t="s">
        <v>8137</v>
      </c>
      <c r="AA425" t="s">
        <v>8138</v>
      </c>
      <c r="AB425" t="s">
        <v>8139</v>
      </c>
      <c r="AC425" t="s">
        <v>74</v>
      </c>
      <c r="AD425" t="s">
        <v>74</v>
      </c>
      <c r="AE425" t="s">
        <v>74</v>
      </c>
      <c r="AF425" t="s">
        <v>74</v>
      </c>
      <c r="AG425">
        <v>65</v>
      </c>
      <c r="AH425">
        <v>5</v>
      </c>
      <c r="AI425">
        <v>6</v>
      </c>
      <c r="AJ425">
        <v>9</v>
      </c>
      <c r="AK425">
        <v>36</v>
      </c>
      <c r="AL425" t="s">
        <v>226</v>
      </c>
      <c r="AM425" t="s">
        <v>227</v>
      </c>
      <c r="AN425" t="s">
        <v>228</v>
      </c>
      <c r="AO425" t="s">
        <v>451</v>
      </c>
      <c r="AP425" t="s">
        <v>452</v>
      </c>
      <c r="AQ425" t="s">
        <v>74</v>
      </c>
      <c r="AR425" t="s">
        <v>453</v>
      </c>
      <c r="AS425" t="s">
        <v>454</v>
      </c>
      <c r="AT425" t="s">
        <v>8140</v>
      </c>
      <c r="AU425">
        <v>2023</v>
      </c>
      <c r="AV425" t="s">
        <v>74</v>
      </c>
      <c r="AW425" t="s">
        <v>74</v>
      </c>
      <c r="AX425" t="s">
        <v>74</v>
      </c>
      <c r="AY425" t="s">
        <v>74</v>
      </c>
      <c r="AZ425" t="s">
        <v>74</v>
      </c>
      <c r="BA425" t="s">
        <v>74</v>
      </c>
      <c r="BB425" t="s">
        <v>74</v>
      </c>
      <c r="BC425" t="s">
        <v>74</v>
      </c>
      <c r="BD425" t="s">
        <v>74</v>
      </c>
      <c r="BE425" t="s">
        <v>8141</v>
      </c>
      <c r="BF425" t="str">
        <f>HYPERLINK("http://dx.doi.org/10.1177/14614448231189476","http://dx.doi.org/10.1177/14614448231189476")</f>
        <v>http://dx.doi.org/10.1177/14614448231189476</v>
      </c>
      <c r="BG425" t="s">
        <v>74</v>
      </c>
      <c r="BH425" t="s">
        <v>3138</v>
      </c>
      <c r="BI425">
        <v>25</v>
      </c>
      <c r="BJ425" t="s">
        <v>124</v>
      </c>
      <c r="BK425" t="s">
        <v>99</v>
      </c>
      <c r="BL425" t="s">
        <v>124</v>
      </c>
      <c r="BM425" t="s">
        <v>8142</v>
      </c>
      <c r="BN425" t="s">
        <v>74</v>
      </c>
      <c r="BO425" t="s">
        <v>74</v>
      </c>
      <c r="BP425" t="s">
        <v>74</v>
      </c>
      <c r="BQ425" t="s">
        <v>74</v>
      </c>
      <c r="BR425" t="s">
        <v>102</v>
      </c>
      <c r="BS425" t="s">
        <v>8143</v>
      </c>
      <c r="BT425" t="str">
        <f>HYPERLINK("https%3A%2F%2Fwww.webofscience.com%2Fwos%2Fwoscc%2Ffull-record%2FWOS:001038463900001","View Full Record in Web of Science")</f>
        <v>View Full Record in Web of Science</v>
      </c>
    </row>
    <row r="426" spans="1:72" x14ac:dyDescent="0.35">
      <c r="A426" t="s">
        <v>72</v>
      </c>
      <c r="B426" t="s">
        <v>8144</v>
      </c>
      <c r="C426" t="s">
        <v>74</v>
      </c>
      <c r="D426" t="s">
        <v>74</v>
      </c>
      <c r="E426" t="s">
        <v>74</v>
      </c>
      <c r="F426" t="s">
        <v>8145</v>
      </c>
      <c r="G426" t="s">
        <v>74</v>
      </c>
      <c r="H426" t="s">
        <v>74</v>
      </c>
      <c r="I426" t="s">
        <v>8146</v>
      </c>
      <c r="J426" t="s">
        <v>8147</v>
      </c>
      <c r="K426" t="s">
        <v>74</v>
      </c>
      <c r="L426" t="s">
        <v>74</v>
      </c>
      <c r="M426" t="s">
        <v>78</v>
      </c>
      <c r="N426" t="s">
        <v>108</v>
      </c>
      <c r="O426" t="s">
        <v>74</v>
      </c>
      <c r="P426" t="s">
        <v>74</v>
      </c>
      <c r="Q426" t="s">
        <v>74</v>
      </c>
      <c r="R426" t="s">
        <v>74</v>
      </c>
      <c r="S426" t="s">
        <v>74</v>
      </c>
      <c r="T426" t="s">
        <v>8148</v>
      </c>
      <c r="U426" t="s">
        <v>8149</v>
      </c>
      <c r="V426" t="s">
        <v>8150</v>
      </c>
      <c r="W426" t="s">
        <v>8151</v>
      </c>
      <c r="X426" t="s">
        <v>8152</v>
      </c>
      <c r="Y426" t="s">
        <v>8153</v>
      </c>
      <c r="Z426" t="s">
        <v>8154</v>
      </c>
      <c r="AA426" t="s">
        <v>74</v>
      </c>
      <c r="AB426" t="s">
        <v>8155</v>
      </c>
      <c r="AC426" t="s">
        <v>8156</v>
      </c>
      <c r="AD426" t="s">
        <v>1108</v>
      </c>
      <c r="AE426" t="s">
        <v>8157</v>
      </c>
      <c r="AF426" t="s">
        <v>74</v>
      </c>
      <c r="AG426">
        <v>82</v>
      </c>
      <c r="AH426">
        <v>35</v>
      </c>
      <c r="AI426">
        <v>38</v>
      </c>
      <c r="AJ426">
        <v>1</v>
      </c>
      <c r="AK426">
        <v>1</v>
      </c>
      <c r="AL426" t="s">
        <v>516</v>
      </c>
      <c r="AM426" t="s">
        <v>517</v>
      </c>
      <c r="AN426" t="s">
        <v>518</v>
      </c>
      <c r="AO426" t="s">
        <v>74</v>
      </c>
      <c r="AP426" t="s">
        <v>8158</v>
      </c>
      <c r="AQ426" t="s">
        <v>74</v>
      </c>
      <c r="AR426" t="s">
        <v>8159</v>
      </c>
      <c r="AS426" t="s">
        <v>8160</v>
      </c>
      <c r="AT426" t="s">
        <v>1275</v>
      </c>
      <c r="AU426">
        <v>2022</v>
      </c>
      <c r="AV426">
        <v>2</v>
      </c>
      <c r="AW426" t="s">
        <v>74</v>
      </c>
      <c r="AX426" t="s">
        <v>74</v>
      </c>
      <c r="AY426" t="s">
        <v>74</v>
      </c>
      <c r="AZ426" t="s">
        <v>74</v>
      </c>
      <c r="BA426" t="s">
        <v>74</v>
      </c>
      <c r="BB426" t="s">
        <v>74</v>
      </c>
      <c r="BC426" t="s">
        <v>74</v>
      </c>
      <c r="BD426">
        <v>100014</v>
      </c>
      <c r="BE426" t="s">
        <v>8161</v>
      </c>
      <c r="BF426" t="str">
        <f>HYPERLINK("http://dx.doi.org/10.1016/j.hfh.2022.100014","http://dx.doi.org/10.1016/j.hfh.2022.100014")</f>
        <v>http://dx.doi.org/10.1016/j.hfh.2022.100014</v>
      </c>
      <c r="BG426" t="s">
        <v>74</v>
      </c>
      <c r="BH426" t="s">
        <v>74</v>
      </c>
      <c r="BI426">
        <v>14</v>
      </c>
      <c r="BJ426" t="s">
        <v>8162</v>
      </c>
      <c r="BK426" t="s">
        <v>125</v>
      </c>
      <c r="BL426" t="s">
        <v>8163</v>
      </c>
      <c r="BM426" t="s">
        <v>8164</v>
      </c>
      <c r="BN426" t="s">
        <v>74</v>
      </c>
      <c r="BO426" t="s">
        <v>235</v>
      </c>
      <c r="BP426" t="s">
        <v>74</v>
      </c>
      <c r="BQ426" t="s">
        <v>74</v>
      </c>
      <c r="BR426" t="s">
        <v>102</v>
      </c>
      <c r="BS426" t="s">
        <v>8165</v>
      </c>
      <c r="BT426" t="str">
        <f>HYPERLINK("https%3A%2F%2Fwww.webofscience.com%2Fwos%2Fwoscc%2Ffull-record%2FWOS:001335660300012","View Full Record in Web of Science")</f>
        <v>View Full Record in Web of Science</v>
      </c>
    </row>
    <row r="427" spans="1:72" x14ac:dyDescent="0.35">
      <c r="A427" t="s">
        <v>72</v>
      </c>
      <c r="B427" t="s">
        <v>8166</v>
      </c>
      <c r="C427" t="s">
        <v>74</v>
      </c>
      <c r="D427" t="s">
        <v>74</v>
      </c>
      <c r="E427" t="s">
        <v>74</v>
      </c>
      <c r="F427" t="s">
        <v>8167</v>
      </c>
      <c r="G427" t="s">
        <v>74</v>
      </c>
      <c r="H427" t="s">
        <v>74</v>
      </c>
      <c r="I427" t="s">
        <v>8168</v>
      </c>
      <c r="J427" t="s">
        <v>4426</v>
      </c>
      <c r="K427" t="s">
        <v>74</v>
      </c>
      <c r="L427" t="s">
        <v>74</v>
      </c>
      <c r="M427" t="s">
        <v>78</v>
      </c>
      <c r="N427" t="s">
        <v>108</v>
      </c>
      <c r="O427" t="s">
        <v>74</v>
      </c>
      <c r="P427" t="s">
        <v>74</v>
      </c>
      <c r="Q427" t="s">
        <v>74</v>
      </c>
      <c r="R427" t="s">
        <v>74</v>
      </c>
      <c r="S427" t="s">
        <v>74</v>
      </c>
      <c r="T427" t="s">
        <v>8169</v>
      </c>
      <c r="U427" t="s">
        <v>74</v>
      </c>
      <c r="V427" t="s">
        <v>8170</v>
      </c>
      <c r="W427" t="s">
        <v>8171</v>
      </c>
      <c r="X427" t="s">
        <v>8172</v>
      </c>
      <c r="Y427" t="s">
        <v>8173</v>
      </c>
      <c r="Z427" t="s">
        <v>8174</v>
      </c>
      <c r="AA427" t="s">
        <v>8175</v>
      </c>
      <c r="AB427" t="s">
        <v>8176</v>
      </c>
      <c r="AC427" t="s">
        <v>74</v>
      </c>
      <c r="AD427" t="s">
        <v>74</v>
      </c>
      <c r="AE427" t="s">
        <v>74</v>
      </c>
      <c r="AF427" t="s">
        <v>74</v>
      </c>
      <c r="AG427">
        <v>100</v>
      </c>
      <c r="AH427">
        <v>1</v>
      </c>
      <c r="AI427">
        <v>1</v>
      </c>
      <c r="AJ427">
        <v>13</v>
      </c>
      <c r="AK427">
        <v>43</v>
      </c>
      <c r="AL427" t="s">
        <v>4434</v>
      </c>
      <c r="AM427" t="s">
        <v>4435</v>
      </c>
      <c r="AN427" t="s">
        <v>4436</v>
      </c>
      <c r="AO427" t="s">
        <v>4437</v>
      </c>
      <c r="AP427" t="s">
        <v>74</v>
      </c>
      <c r="AQ427" t="s">
        <v>74</v>
      </c>
      <c r="AR427" t="s">
        <v>4438</v>
      </c>
      <c r="AS427" t="s">
        <v>4439</v>
      </c>
      <c r="AT427" t="s">
        <v>74</v>
      </c>
      <c r="AU427">
        <v>2024</v>
      </c>
      <c r="AV427">
        <v>13</v>
      </c>
      <c r="AW427">
        <v>1</v>
      </c>
      <c r="AX427" t="s">
        <v>74</v>
      </c>
      <c r="AY427" t="s">
        <v>74</v>
      </c>
      <c r="AZ427" t="s">
        <v>74</v>
      </c>
      <c r="BA427" t="s">
        <v>74</v>
      </c>
      <c r="BB427" t="s">
        <v>74</v>
      </c>
      <c r="BC427" t="s">
        <v>74</v>
      </c>
      <c r="BD427">
        <v>1741</v>
      </c>
      <c r="BE427" t="s">
        <v>8177</v>
      </c>
      <c r="BF427" t="str">
        <f>HYPERLINK("http://dx.doi.org/10.14763/2024.1.1741","http://dx.doi.org/10.14763/2024.1.1741")</f>
        <v>http://dx.doi.org/10.14763/2024.1.1741</v>
      </c>
      <c r="BG427" t="s">
        <v>74</v>
      </c>
      <c r="BH427" t="s">
        <v>74</v>
      </c>
      <c r="BI427">
        <v>26</v>
      </c>
      <c r="BJ427" t="s">
        <v>4442</v>
      </c>
      <c r="BK427" t="s">
        <v>125</v>
      </c>
      <c r="BL427" t="s">
        <v>1529</v>
      </c>
      <c r="BM427" t="s">
        <v>8178</v>
      </c>
      <c r="BN427" t="s">
        <v>74</v>
      </c>
      <c r="BO427" t="s">
        <v>5678</v>
      </c>
      <c r="BP427" t="s">
        <v>74</v>
      </c>
      <c r="BQ427" t="s">
        <v>74</v>
      </c>
      <c r="BR427" t="s">
        <v>102</v>
      </c>
      <c r="BS427" t="s">
        <v>8179</v>
      </c>
      <c r="BT427" t="str">
        <f>HYPERLINK("https%3A%2F%2Fwww.webofscience.com%2Fwos%2Fwoscc%2Ffull-record%2FWOS:001179899600001","View Full Record in Web of Science")</f>
        <v>View Full Record in Web of Science</v>
      </c>
    </row>
    <row r="428" spans="1:72" x14ac:dyDescent="0.35">
      <c r="A428" t="s">
        <v>72</v>
      </c>
      <c r="B428" t="s">
        <v>8180</v>
      </c>
      <c r="C428" t="s">
        <v>74</v>
      </c>
      <c r="D428" t="s">
        <v>74</v>
      </c>
      <c r="E428" t="s">
        <v>74</v>
      </c>
      <c r="F428" t="s">
        <v>8181</v>
      </c>
      <c r="G428" t="s">
        <v>74</v>
      </c>
      <c r="H428" t="s">
        <v>74</v>
      </c>
      <c r="I428" t="s">
        <v>8182</v>
      </c>
      <c r="J428" t="s">
        <v>216</v>
      </c>
      <c r="K428" t="s">
        <v>74</v>
      </c>
      <c r="L428" t="s">
        <v>74</v>
      </c>
      <c r="M428" t="s">
        <v>78</v>
      </c>
      <c r="N428" t="s">
        <v>108</v>
      </c>
      <c r="O428" t="s">
        <v>74</v>
      </c>
      <c r="P428" t="s">
        <v>74</v>
      </c>
      <c r="Q428" t="s">
        <v>74</v>
      </c>
      <c r="R428" t="s">
        <v>74</v>
      </c>
      <c r="S428" t="s">
        <v>74</v>
      </c>
      <c r="T428" t="s">
        <v>8183</v>
      </c>
      <c r="U428" t="s">
        <v>8184</v>
      </c>
      <c r="V428" t="s">
        <v>8185</v>
      </c>
      <c r="W428" t="s">
        <v>8186</v>
      </c>
      <c r="X428" t="s">
        <v>8187</v>
      </c>
      <c r="Y428" t="s">
        <v>8188</v>
      </c>
      <c r="Z428" t="s">
        <v>8189</v>
      </c>
      <c r="AA428" t="s">
        <v>74</v>
      </c>
      <c r="AB428" t="s">
        <v>8190</v>
      </c>
      <c r="AC428" t="s">
        <v>74</v>
      </c>
      <c r="AD428" t="s">
        <v>74</v>
      </c>
      <c r="AE428" t="s">
        <v>74</v>
      </c>
      <c r="AF428" t="s">
        <v>74</v>
      </c>
      <c r="AG428">
        <v>113</v>
      </c>
      <c r="AH428">
        <v>10</v>
      </c>
      <c r="AI428">
        <v>11</v>
      </c>
      <c r="AJ428">
        <v>11</v>
      </c>
      <c r="AK428">
        <v>74</v>
      </c>
      <c r="AL428" t="s">
        <v>226</v>
      </c>
      <c r="AM428" t="s">
        <v>227</v>
      </c>
      <c r="AN428" t="s">
        <v>228</v>
      </c>
      <c r="AO428" t="s">
        <v>229</v>
      </c>
      <c r="AP428" t="s">
        <v>74</v>
      </c>
      <c r="AQ428" t="s">
        <v>74</v>
      </c>
      <c r="AR428" t="s">
        <v>230</v>
      </c>
      <c r="AS428" t="s">
        <v>231</v>
      </c>
      <c r="AT428" t="s">
        <v>273</v>
      </c>
      <c r="AU428">
        <v>2022</v>
      </c>
      <c r="AV428">
        <v>8</v>
      </c>
      <c r="AW428">
        <v>3</v>
      </c>
      <c r="AX428" t="s">
        <v>74</v>
      </c>
      <c r="AY428" t="s">
        <v>74</v>
      </c>
      <c r="AZ428" t="s">
        <v>74</v>
      </c>
      <c r="BA428" t="s">
        <v>74</v>
      </c>
      <c r="BB428" t="s">
        <v>74</v>
      </c>
      <c r="BC428" t="s">
        <v>74</v>
      </c>
      <c r="BD428">
        <v>126040</v>
      </c>
      <c r="BE428" t="s">
        <v>8191</v>
      </c>
      <c r="BF428" t="str">
        <f>HYPERLINK("http://dx.doi.org/10.1177/20563051221126040","http://dx.doi.org/10.1177/20563051221126040")</f>
        <v>http://dx.doi.org/10.1177/20563051221126040</v>
      </c>
      <c r="BG428" t="s">
        <v>74</v>
      </c>
      <c r="BH428" t="s">
        <v>74</v>
      </c>
      <c r="BI428">
        <v>14</v>
      </c>
      <c r="BJ428" t="s">
        <v>124</v>
      </c>
      <c r="BK428" t="s">
        <v>99</v>
      </c>
      <c r="BL428" t="s">
        <v>124</v>
      </c>
      <c r="BM428" t="s">
        <v>8192</v>
      </c>
      <c r="BN428" t="s">
        <v>74</v>
      </c>
      <c r="BO428" t="s">
        <v>235</v>
      </c>
      <c r="BP428" t="s">
        <v>74</v>
      </c>
      <c r="BQ428" t="s">
        <v>74</v>
      </c>
      <c r="BR428" t="s">
        <v>102</v>
      </c>
      <c r="BS428" t="s">
        <v>8193</v>
      </c>
      <c r="BT428" t="str">
        <f>HYPERLINK("https%3A%2F%2Fwww.webofscience.com%2Fwos%2Fwoscc%2Ffull-record%2FWOS:000861313900001","View Full Record in Web of Science")</f>
        <v>View Full Record in Web of Science</v>
      </c>
    </row>
    <row r="429" spans="1:72" x14ac:dyDescent="0.35">
      <c r="A429" t="s">
        <v>72</v>
      </c>
      <c r="B429" t="s">
        <v>8194</v>
      </c>
      <c r="C429" t="s">
        <v>74</v>
      </c>
      <c r="D429" t="s">
        <v>74</v>
      </c>
      <c r="E429" t="s">
        <v>74</v>
      </c>
      <c r="F429" t="s">
        <v>8195</v>
      </c>
      <c r="G429" t="s">
        <v>74</v>
      </c>
      <c r="H429" t="s">
        <v>74</v>
      </c>
      <c r="I429" t="s">
        <v>8196</v>
      </c>
      <c r="J429" t="s">
        <v>8197</v>
      </c>
      <c r="K429" t="s">
        <v>74</v>
      </c>
      <c r="L429" t="s">
        <v>74</v>
      </c>
      <c r="M429" t="s">
        <v>78</v>
      </c>
      <c r="N429" t="s">
        <v>108</v>
      </c>
      <c r="O429" t="s">
        <v>74</v>
      </c>
      <c r="P429" t="s">
        <v>74</v>
      </c>
      <c r="Q429" t="s">
        <v>74</v>
      </c>
      <c r="R429" t="s">
        <v>74</v>
      </c>
      <c r="S429" t="s">
        <v>74</v>
      </c>
      <c r="T429" t="s">
        <v>74</v>
      </c>
      <c r="U429" t="s">
        <v>8198</v>
      </c>
      <c r="V429" t="s">
        <v>8199</v>
      </c>
      <c r="W429" t="s">
        <v>8200</v>
      </c>
      <c r="X429" t="s">
        <v>8201</v>
      </c>
      <c r="Y429" t="s">
        <v>8202</v>
      </c>
      <c r="Z429" t="s">
        <v>8203</v>
      </c>
      <c r="AA429" t="s">
        <v>8204</v>
      </c>
      <c r="AB429" t="s">
        <v>8205</v>
      </c>
      <c r="AC429" t="s">
        <v>8206</v>
      </c>
      <c r="AD429" t="s">
        <v>8207</v>
      </c>
      <c r="AE429" t="s">
        <v>8208</v>
      </c>
      <c r="AF429" t="s">
        <v>74</v>
      </c>
      <c r="AG429">
        <v>63</v>
      </c>
      <c r="AH429">
        <v>0</v>
      </c>
      <c r="AI429">
        <v>0</v>
      </c>
      <c r="AJ429">
        <v>15</v>
      </c>
      <c r="AK429">
        <v>23</v>
      </c>
      <c r="AL429" t="s">
        <v>994</v>
      </c>
      <c r="AM429" t="s">
        <v>995</v>
      </c>
      <c r="AN429" t="s">
        <v>996</v>
      </c>
      <c r="AO429" t="s">
        <v>8209</v>
      </c>
      <c r="AP429" t="s">
        <v>8210</v>
      </c>
      <c r="AQ429" t="s">
        <v>74</v>
      </c>
      <c r="AR429" t="s">
        <v>8211</v>
      </c>
      <c r="AS429" t="s">
        <v>8212</v>
      </c>
      <c r="AT429" t="s">
        <v>121</v>
      </c>
      <c r="AU429">
        <v>2024</v>
      </c>
      <c r="AV429">
        <v>29</v>
      </c>
      <c r="AW429">
        <v>4</v>
      </c>
      <c r="AX429" t="s">
        <v>74</v>
      </c>
      <c r="AY429" t="s">
        <v>74</v>
      </c>
      <c r="AZ429" t="s">
        <v>74</v>
      </c>
      <c r="BA429" t="s">
        <v>74</v>
      </c>
      <c r="BB429">
        <v>294</v>
      </c>
      <c r="BC429">
        <v>306</v>
      </c>
      <c r="BD429" t="s">
        <v>74</v>
      </c>
      <c r="BE429" t="s">
        <v>8213</v>
      </c>
      <c r="BF429" t="str">
        <f>HYPERLINK("http://dx.doi.org/10.1080/10810730.2024.2339237","http://dx.doi.org/10.1080/10810730.2024.2339237")</f>
        <v>http://dx.doi.org/10.1080/10810730.2024.2339237</v>
      </c>
      <c r="BG429" t="s">
        <v>74</v>
      </c>
      <c r="BH429" t="s">
        <v>2410</v>
      </c>
      <c r="BI429">
        <v>13</v>
      </c>
      <c r="BJ429" t="s">
        <v>5240</v>
      </c>
      <c r="BK429" t="s">
        <v>99</v>
      </c>
      <c r="BL429" t="s">
        <v>5240</v>
      </c>
      <c r="BM429" t="s">
        <v>8214</v>
      </c>
      <c r="BN429">
        <v>38590176</v>
      </c>
      <c r="BO429" t="s">
        <v>74</v>
      </c>
      <c r="BP429" t="s">
        <v>74</v>
      </c>
      <c r="BQ429" t="s">
        <v>74</v>
      </c>
      <c r="BR429" t="s">
        <v>102</v>
      </c>
      <c r="BS429" t="s">
        <v>8215</v>
      </c>
      <c r="BT429" t="str">
        <f>HYPERLINK("https%3A%2F%2Fwww.webofscience.com%2Fwos%2Fwoscc%2Ffull-record%2FWOS:001199171000001","View Full Record in Web of Science")</f>
        <v>View Full Record in Web of Science</v>
      </c>
    </row>
    <row r="430" spans="1:72" x14ac:dyDescent="0.35">
      <c r="A430" t="s">
        <v>72</v>
      </c>
      <c r="B430" t="s">
        <v>8216</v>
      </c>
      <c r="C430" t="s">
        <v>74</v>
      </c>
      <c r="D430" t="s">
        <v>74</v>
      </c>
      <c r="E430" t="s">
        <v>74</v>
      </c>
      <c r="F430" t="s">
        <v>8217</v>
      </c>
      <c r="G430" t="s">
        <v>74</v>
      </c>
      <c r="H430" t="s">
        <v>74</v>
      </c>
      <c r="I430" t="s">
        <v>8218</v>
      </c>
      <c r="J430" t="s">
        <v>2370</v>
      </c>
      <c r="K430" t="s">
        <v>74</v>
      </c>
      <c r="L430" t="s">
        <v>74</v>
      </c>
      <c r="M430" t="s">
        <v>78</v>
      </c>
      <c r="N430" t="s">
        <v>108</v>
      </c>
      <c r="O430" t="s">
        <v>74</v>
      </c>
      <c r="P430" t="s">
        <v>74</v>
      </c>
      <c r="Q430" t="s">
        <v>74</v>
      </c>
      <c r="R430" t="s">
        <v>74</v>
      </c>
      <c r="S430" t="s">
        <v>74</v>
      </c>
      <c r="T430" t="s">
        <v>8219</v>
      </c>
      <c r="U430" t="s">
        <v>8220</v>
      </c>
      <c r="V430" t="s">
        <v>8221</v>
      </c>
      <c r="W430" t="s">
        <v>8222</v>
      </c>
      <c r="X430" t="s">
        <v>8223</v>
      </c>
      <c r="Y430" t="s">
        <v>8224</v>
      </c>
      <c r="Z430" t="s">
        <v>8225</v>
      </c>
      <c r="AA430" t="s">
        <v>74</v>
      </c>
      <c r="AB430" t="s">
        <v>74</v>
      </c>
      <c r="AC430" t="s">
        <v>8226</v>
      </c>
      <c r="AD430" t="s">
        <v>8226</v>
      </c>
      <c r="AE430" t="s">
        <v>8227</v>
      </c>
      <c r="AF430" t="s">
        <v>74</v>
      </c>
      <c r="AG430">
        <v>23</v>
      </c>
      <c r="AH430">
        <v>0</v>
      </c>
      <c r="AI430">
        <v>0</v>
      </c>
      <c r="AJ430">
        <v>5</v>
      </c>
      <c r="AK430">
        <v>5</v>
      </c>
      <c r="AL430" t="s">
        <v>2382</v>
      </c>
      <c r="AM430" t="s">
        <v>227</v>
      </c>
      <c r="AN430" t="s">
        <v>2383</v>
      </c>
      <c r="AO430" t="s">
        <v>74</v>
      </c>
      <c r="AP430" t="s">
        <v>2384</v>
      </c>
      <c r="AQ430" t="s">
        <v>74</v>
      </c>
      <c r="AR430" t="s">
        <v>2370</v>
      </c>
      <c r="AS430" t="s">
        <v>2385</v>
      </c>
      <c r="AT430" t="s">
        <v>8228</v>
      </c>
      <c r="AU430">
        <v>2024</v>
      </c>
      <c r="AV430">
        <v>24</v>
      </c>
      <c r="AW430">
        <v>1</v>
      </c>
      <c r="AX430" t="s">
        <v>74</v>
      </c>
      <c r="AY430" t="s">
        <v>74</v>
      </c>
      <c r="AZ430" t="s">
        <v>74</v>
      </c>
      <c r="BA430" t="s">
        <v>74</v>
      </c>
      <c r="BB430" t="s">
        <v>74</v>
      </c>
      <c r="BC430" t="s">
        <v>74</v>
      </c>
      <c r="BD430">
        <v>2880</v>
      </c>
      <c r="BE430" t="s">
        <v>8229</v>
      </c>
      <c r="BF430" t="str">
        <f>HYPERLINK("http://dx.doi.org/10.1186/s12889-024-20375-2","http://dx.doi.org/10.1186/s12889-024-20375-2")</f>
        <v>http://dx.doi.org/10.1186/s12889-024-20375-2</v>
      </c>
      <c r="BG430" t="s">
        <v>74</v>
      </c>
      <c r="BH430" t="s">
        <v>74</v>
      </c>
      <c r="BI430">
        <v>8</v>
      </c>
      <c r="BJ430" t="s">
        <v>392</v>
      </c>
      <c r="BK430" t="s">
        <v>209</v>
      </c>
      <c r="BL430" t="s">
        <v>392</v>
      </c>
      <c r="BM430" t="s">
        <v>8230</v>
      </c>
      <c r="BN430">
        <v>39425064</v>
      </c>
      <c r="BO430" t="s">
        <v>235</v>
      </c>
      <c r="BP430" t="s">
        <v>74</v>
      </c>
      <c r="BQ430" t="s">
        <v>74</v>
      </c>
      <c r="BR430" t="s">
        <v>102</v>
      </c>
      <c r="BS430" t="s">
        <v>8231</v>
      </c>
      <c r="BT430" t="str">
        <f>HYPERLINK("https%3A%2F%2Fwww.webofscience.com%2Fwos%2Fwoscc%2Ffull-record%2FWOS:001339114100009","View Full Record in Web of Science")</f>
        <v>View Full Record in Web of Science</v>
      </c>
    </row>
    <row r="431" spans="1:72" x14ac:dyDescent="0.35">
      <c r="A431" t="s">
        <v>72</v>
      </c>
      <c r="B431" t="s">
        <v>8232</v>
      </c>
      <c r="C431" t="s">
        <v>74</v>
      </c>
      <c r="D431" t="s">
        <v>74</v>
      </c>
      <c r="E431" t="s">
        <v>74</v>
      </c>
      <c r="F431" t="s">
        <v>8233</v>
      </c>
      <c r="G431" t="s">
        <v>74</v>
      </c>
      <c r="H431" t="s">
        <v>74</v>
      </c>
      <c r="I431" t="s">
        <v>8234</v>
      </c>
      <c r="J431" t="s">
        <v>8235</v>
      </c>
      <c r="K431" t="s">
        <v>74</v>
      </c>
      <c r="L431" t="s">
        <v>74</v>
      </c>
      <c r="M431" t="s">
        <v>78</v>
      </c>
      <c r="N431" t="s">
        <v>108</v>
      </c>
      <c r="O431" t="s">
        <v>74</v>
      </c>
      <c r="P431" t="s">
        <v>74</v>
      </c>
      <c r="Q431" t="s">
        <v>74</v>
      </c>
      <c r="R431" t="s">
        <v>74</v>
      </c>
      <c r="S431" t="s">
        <v>74</v>
      </c>
      <c r="T431" t="s">
        <v>74</v>
      </c>
      <c r="U431" t="s">
        <v>3564</v>
      </c>
      <c r="V431" t="s">
        <v>8236</v>
      </c>
      <c r="W431" t="s">
        <v>8237</v>
      </c>
      <c r="X431" t="s">
        <v>8238</v>
      </c>
      <c r="Y431" t="s">
        <v>8239</v>
      </c>
      <c r="Z431" t="s">
        <v>8240</v>
      </c>
      <c r="AA431" t="s">
        <v>74</v>
      </c>
      <c r="AB431" t="s">
        <v>74</v>
      </c>
      <c r="AC431" t="s">
        <v>74</v>
      </c>
      <c r="AD431" t="s">
        <v>74</v>
      </c>
      <c r="AE431" t="s">
        <v>74</v>
      </c>
      <c r="AF431" t="s">
        <v>74</v>
      </c>
      <c r="AG431">
        <v>24</v>
      </c>
      <c r="AH431">
        <v>1</v>
      </c>
      <c r="AI431">
        <v>1</v>
      </c>
      <c r="AJ431">
        <v>2</v>
      </c>
      <c r="AK431">
        <v>2</v>
      </c>
      <c r="AL431" t="s">
        <v>1901</v>
      </c>
      <c r="AM431" t="s">
        <v>995</v>
      </c>
      <c r="AN431" t="s">
        <v>1902</v>
      </c>
      <c r="AO431" t="s">
        <v>74</v>
      </c>
      <c r="AP431" t="s">
        <v>8241</v>
      </c>
      <c r="AQ431" t="s">
        <v>74</v>
      </c>
      <c r="AR431" t="s">
        <v>8235</v>
      </c>
      <c r="AS431" t="s">
        <v>8242</v>
      </c>
      <c r="AT431" t="s">
        <v>257</v>
      </c>
      <c r="AU431">
        <v>2024</v>
      </c>
      <c r="AV431">
        <v>30</v>
      </c>
      <c r="AW431">
        <v>6</v>
      </c>
      <c r="AX431" t="s">
        <v>74</v>
      </c>
      <c r="AY431" t="s">
        <v>74</v>
      </c>
      <c r="AZ431" t="s">
        <v>74</v>
      </c>
      <c r="BA431" t="s">
        <v>74</v>
      </c>
      <c r="BB431">
        <v>557</v>
      </c>
      <c r="BC431">
        <v>563</v>
      </c>
      <c r="BD431" t="s">
        <v>74</v>
      </c>
      <c r="BE431" t="s">
        <v>8243</v>
      </c>
      <c r="BF431" t="str">
        <f>HYPERLINK("http://dx.doi.org/10.1097/SPV.0000000000001431","http://dx.doi.org/10.1097/SPV.0000000000001431")</f>
        <v>http://dx.doi.org/10.1097/SPV.0000000000001431</v>
      </c>
      <c r="BG431" t="s">
        <v>74</v>
      </c>
      <c r="BH431" t="s">
        <v>74</v>
      </c>
      <c r="BI431">
        <v>7</v>
      </c>
      <c r="BJ431" t="s">
        <v>1971</v>
      </c>
      <c r="BK431" t="s">
        <v>209</v>
      </c>
      <c r="BL431" t="s">
        <v>1971</v>
      </c>
      <c r="BM431" t="s">
        <v>8244</v>
      </c>
      <c r="BN431">
        <v>38118059</v>
      </c>
      <c r="BO431" t="s">
        <v>74</v>
      </c>
      <c r="BP431" t="s">
        <v>74</v>
      </c>
      <c r="BQ431" t="s">
        <v>74</v>
      </c>
      <c r="BR431" t="s">
        <v>102</v>
      </c>
      <c r="BS431" t="s">
        <v>8245</v>
      </c>
      <c r="BT431" t="str">
        <f>HYPERLINK("https%3A%2F%2Fwww.webofscience.com%2Fwos%2Fwoscc%2Ffull-record%2FWOS:001233800800002","View Full Record in Web of Science")</f>
        <v>View Full Record in Web of Science</v>
      </c>
    </row>
    <row r="432" spans="1:72" x14ac:dyDescent="0.35">
      <c r="A432" t="s">
        <v>72</v>
      </c>
      <c r="B432" t="s">
        <v>8246</v>
      </c>
      <c r="C432" t="s">
        <v>74</v>
      </c>
      <c r="D432" t="s">
        <v>74</v>
      </c>
      <c r="E432" t="s">
        <v>74</v>
      </c>
      <c r="F432" t="s">
        <v>8247</v>
      </c>
      <c r="G432" t="s">
        <v>74</v>
      </c>
      <c r="H432" t="s">
        <v>74</v>
      </c>
      <c r="I432" t="s">
        <v>8248</v>
      </c>
      <c r="J432" t="s">
        <v>8249</v>
      </c>
      <c r="K432" t="s">
        <v>74</v>
      </c>
      <c r="L432" t="s">
        <v>74</v>
      </c>
      <c r="M432" t="s">
        <v>78</v>
      </c>
      <c r="N432" t="s">
        <v>108</v>
      </c>
      <c r="O432" t="s">
        <v>74</v>
      </c>
      <c r="P432" t="s">
        <v>74</v>
      </c>
      <c r="Q432" t="s">
        <v>74</v>
      </c>
      <c r="R432" t="s">
        <v>74</v>
      </c>
      <c r="S432" t="s">
        <v>74</v>
      </c>
      <c r="T432" t="s">
        <v>8250</v>
      </c>
      <c r="U432" t="s">
        <v>74</v>
      </c>
      <c r="V432" t="s">
        <v>8251</v>
      </c>
      <c r="W432" t="s">
        <v>8252</v>
      </c>
      <c r="X432" t="s">
        <v>8253</v>
      </c>
      <c r="Y432" t="s">
        <v>8254</v>
      </c>
      <c r="Z432" t="s">
        <v>8255</v>
      </c>
      <c r="AA432" t="s">
        <v>74</v>
      </c>
      <c r="AB432" t="s">
        <v>74</v>
      </c>
      <c r="AC432" t="s">
        <v>74</v>
      </c>
      <c r="AD432" t="s">
        <v>74</v>
      </c>
      <c r="AE432" t="s">
        <v>74</v>
      </c>
      <c r="AF432" t="s">
        <v>74</v>
      </c>
      <c r="AG432">
        <v>28</v>
      </c>
      <c r="AH432">
        <v>1</v>
      </c>
      <c r="AI432">
        <v>1</v>
      </c>
      <c r="AJ432">
        <v>7</v>
      </c>
      <c r="AK432">
        <v>12</v>
      </c>
      <c r="AL432" t="s">
        <v>8256</v>
      </c>
      <c r="AM432" t="s">
        <v>8257</v>
      </c>
      <c r="AN432" t="s">
        <v>8258</v>
      </c>
      <c r="AO432" t="s">
        <v>8259</v>
      </c>
      <c r="AP432" t="s">
        <v>74</v>
      </c>
      <c r="AQ432" t="s">
        <v>74</v>
      </c>
      <c r="AR432" t="s">
        <v>8260</v>
      </c>
      <c r="AS432" t="s">
        <v>8261</v>
      </c>
      <c r="AT432" t="s">
        <v>74</v>
      </c>
      <c r="AU432">
        <v>2024</v>
      </c>
      <c r="AV432">
        <v>82</v>
      </c>
      <c r="AW432" t="s">
        <v>74</v>
      </c>
      <c r="AX432" t="s">
        <v>74</v>
      </c>
      <c r="AY432" t="s">
        <v>74</v>
      </c>
      <c r="AZ432" t="s">
        <v>74</v>
      </c>
      <c r="BA432" t="s">
        <v>74</v>
      </c>
      <c r="BB432" t="s">
        <v>74</v>
      </c>
      <c r="BC432" t="s">
        <v>74</v>
      </c>
      <c r="BD432">
        <v>2180</v>
      </c>
      <c r="BE432" t="s">
        <v>8262</v>
      </c>
      <c r="BF432" t="str">
        <f>HYPERLINK("http://dx.doi.org/10.4185/rlcs-2024-2180","http://dx.doi.org/10.4185/rlcs-2024-2180")</f>
        <v>http://dx.doi.org/10.4185/rlcs-2024-2180</v>
      </c>
      <c r="BG432" t="s">
        <v>74</v>
      </c>
      <c r="BH432" t="s">
        <v>74</v>
      </c>
      <c r="BI432">
        <v>15</v>
      </c>
      <c r="BJ432" t="s">
        <v>124</v>
      </c>
      <c r="BK432" t="s">
        <v>125</v>
      </c>
      <c r="BL432" t="s">
        <v>124</v>
      </c>
      <c r="BM432" t="s">
        <v>8263</v>
      </c>
      <c r="BN432" t="s">
        <v>74</v>
      </c>
      <c r="BO432" t="s">
        <v>235</v>
      </c>
      <c r="BP432" t="s">
        <v>74</v>
      </c>
      <c r="BQ432" t="s">
        <v>74</v>
      </c>
      <c r="BR432" t="s">
        <v>102</v>
      </c>
      <c r="BS432" t="s">
        <v>8264</v>
      </c>
      <c r="BT432" t="str">
        <f>HYPERLINK("https%3A%2F%2Fwww.webofscience.com%2Fwos%2Fwoscc%2Ffull-record%2FWOS:001153768700001","View Full Record in Web of Science")</f>
        <v>View Full Record in Web of Science</v>
      </c>
    </row>
    <row r="433" spans="1:72" x14ac:dyDescent="0.35">
      <c r="A433" t="s">
        <v>72</v>
      </c>
      <c r="B433" t="s">
        <v>8265</v>
      </c>
      <c r="C433" t="s">
        <v>74</v>
      </c>
      <c r="D433" t="s">
        <v>74</v>
      </c>
      <c r="E433" t="s">
        <v>74</v>
      </c>
      <c r="F433" t="s">
        <v>8266</v>
      </c>
      <c r="G433" t="s">
        <v>74</v>
      </c>
      <c r="H433" t="s">
        <v>74</v>
      </c>
      <c r="I433" t="s">
        <v>8267</v>
      </c>
      <c r="J433" t="s">
        <v>401</v>
      </c>
      <c r="K433" t="s">
        <v>74</v>
      </c>
      <c r="L433" t="s">
        <v>74</v>
      </c>
      <c r="M433" t="s">
        <v>78</v>
      </c>
      <c r="N433" t="s">
        <v>8268</v>
      </c>
      <c r="O433" t="s">
        <v>74</v>
      </c>
      <c r="P433" t="s">
        <v>74</v>
      </c>
      <c r="Q433" t="s">
        <v>74</v>
      </c>
      <c r="R433" t="s">
        <v>74</v>
      </c>
      <c r="S433" t="s">
        <v>74</v>
      </c>
      <c r="T433" t="s">
        <v>74</v>
      </c>
      <c r="U433" t="s">
        <v>74</v>
      </c>
      <c r="V433" t="s">
        <v>74</v>
      </c>
      <c r="W433" t="s">
        <v>8269</v>
      </c>
      <c r="X433" t="s">
        <v>8270</v>
      </c>
      <c r="Y433" t="s">
        <v>8271</v>
      </c>
      <c r="Z433" t="s">
        <v>8272</v>
      </c>
      <c r="AA433" t="s">
        <v>8273</v>
      </c>
      <c r="AB433" t="s">
        <v>74</v>
      </c>
      <c r="AC433" t="s">
        <v>74</v>
      </c>
      <c r="AD433" t="s">
        <v>74</v>
      </c>
      <c r="AE433" t="s">
        <v>74</v>
      </c>
      <c r="AF433" t="s">
        <v>74</v>
      </c>
      <c r="AG433">
        <v>6</v>
      </c>
      <c r="AH433">
        <v>0</v>
      </c>
      <c r="AI433">
        <v>0</v>
      </c>
      <c r="AJ433">
        <v>3</v>
      </c>
      <c r="AK433">
        <v>9</v>
      </c>
      <c r="AL433" t="s">
        <v>409</v>
      </c>
      <c r="AM433" t="s">
        <v>410</v>
      </c>
      <c r="AN433" t="s">
        <v>411</v>
      </c>
      <c r="AO433" t="s">
        <v>412</v>
      </c>
      <c r="AP433" t="s">
        <v>74</v>
      </c>
      <c r="AQ433" t="s">
        <v>74</v>
      </c>
      <c r="AR433" t="s">
        <v>413</v>
      </c>
      <c r="AS433" t="s">
        <v>414</v>
      </c>
      <c r="AT433" t="s">
        <v>74</v>
      </c>
      <c r="AU433">
        <v>2023</v>
      </c>
      <c r="AV433">
        <v>17</v>
      </c>
      <c r="AW433" t="s">
        <v>74</v>
      </c>
      <c r="AX433" t="s">
        <v>74</v>
      </c>
      <c r="AY433" t="s">
        <v>74</v>
      </c>
      <c r="AZ433" t="s">
        <v>74</v>
      </c>
      <c r="BA433" t="s">
        <v>74</v>
      </c>
      <c r="BB433">
        <v>1886</v>
      </c>
      <c r="BC433">
        <v>1888</v>
      </c>
      <c r="BD433" t="s">
        <v>74</v>
      </c>
      <c r="BE433" t="s">
        <v>74</v>
      </c>
      <c r="BF433" t="s">
        <v>74</v>
      </c>
      <c r="BG433" t="s">
        <v>74</v>
      </c>
      <c r="BH433" t="s">
        <v>74</v>
      </c>
      <c r="BI433">
        <v>3</v>
      </c>
      <c r="BJ433" t="s">
        <v>124</v>
      </c>
      <c r="BK433" t="s">
        <v>99</v>
      </c>
      <c r="BL433" t="s">
        <v>124</v>
      </c>
      <c r="BM433" t="s">
        <v>8274</v>
      </c>
      <c r="BN433" t="s">
        <v>74</v>
      </c>
      <c r="BO433" t="s">
        <v>74</v>
      </c>
      <c r="BP433" t="s">
        <v>74</v>
      </c>
      <c r="BQ433" t="s">
        <v>74</v>
      </c>
      <c r="BR433" t="s">
        <v>102</v>
      </c>
      <c r="BS433" t="s">
        <v>8275</v>
      </c>
      <c r="BT433" t="str">
        <f>HYPERLINK("https%3A%2F%2Fwww.webofscience.com%2Fwos%2Fwoscc%2Ffull-record%2FWOS:000989946400103","View Full Record in Web of Science")</f>
        <v>View Full Record in Web of Science</v>
      </c>
    </row>
    <row r="434" spans="1:72" x14ac:dyDescent="0.35">
      <c r="A434" t="s">
        <v>72</v>
      </c>
      <c r="B434" t="s">
        <v>4513</v>
      </c>
      <c r="C434" t="s">
        <v>74</v>
      </c>
      <c r="D434" t="s">
        <v>74</v>
      </c>
      <c r="E434" t="s">
        <v>74</v>
      </c>
      <c r="F434" t="s">
        <v>4514</v>
      </c>
      <c r="G434" t="s">
        <v>74</v>
      </c>
      <c r="H434" t="s">
        <v>74</v>
      </c>
      <c r="I434" t="s">
        <v>8276</v>
      </c>
      <c r="J434" t="s">
        <v>8277</v>
      </c>
      <c r="K434" t="s">
        <v>74</v>
      </c>
      <c r="L434" t="s">
        <v>74</v>
      </c>
      <c r="M434" t="s">
        <v>78</v>
      </c>
      <c r="N434" t="s">
        <v>108</v>
      </c>
      <c r="O434" t="s">
        <v>74</v>
      </c>
      <c r="P434" t="s">
        <v>74</v>
      </c>
      <c r="Q434" t="s">
        <v>74</v>
      </c>
      <c r="R434" t="s">
        <v>74</v>
      </c>
      <c r="S434" t="s">
        <v>74</v>
      </c>
      <c r="T434" t="s">
        <v>8278</v>
      </c>
      <c r="U434" t="s">
        <v>8279</v>
      </c>
      <c r="V434" t="s">
        <v>8280</v>
      </c>
      <c r="W434" t="s">
        <v>8281</v>
      </c>
      <c r="X434" t="s">
        <v>2226</v>
      </c>
      <c r="Y434" t="s">
        <v>8282</v>
      </c>
      <c r="Z434" t="s">
        <v>74</v>
      </c>
      <c r="AA434" t="s">
        <v>4522</v>
      </c>
      <c r="AB434" t="s">
        <v>74</v>
      </c>
      <c r="AC434" t="s">
        <v>8283</v>
      </c>
      <c r="AD434" t="s">
        <v>8284</v>
      </c>
      <c r="AE434" t="s">
        <v>8285</v>
      </c>
      <c r="AF434" t="s">
        <v>74</v>
      </c>
      <c r="AG434">
        <v>65</v>
      </c>
      <c r="AH434">
        <v>0</v>
      </c>
      <c r="AI434">
        <v>0</v>
      </c>
      <c r="AJ434">
        <v>2</v>
      </c>
      <c r="AK434">
        <v>2</v>
      </c>
      <c r="AL434" t="s">
        <v>8286</v>
      </c>
      <c r="AM434" t="s">
        <v>544</v>
      </c>
      <c r="AN434" t="s">
        <v>8287</v>
      </c>
      <c r="AO434" t="s">
        <v>8288</v>
      </c>
      <c r="AP434" t="s">
        <v>8289</v>
      </c>
      <c r="AQ434" t="s">
        <v>74</v>
      </c>
      <c r="AR434" t="s">
        <v>8290</v>
      </c>
      <c r="AS434" t="s">
        <v>8291</v>
      </c>
      <c r="AT434" t="s">
        <v>8292</v>
      </c>
      <c r="AU434">
        <v>2024</v>
      </c>
      <c r="AV434">
        <v>49</v>
      </c>
      <c r="AW434">
        <v>3</v>
      </c>
      <c r="AX434" t="s">
        <v>74</v>
      </c>
      <c r="AY434" t="s">
        <v>74</v>
      </c>
      <c r="AZ434" t="s">
        <v>74</v>
      </c>
      <c r="BA434" t="s">
        <v>74</v>
      </c>
      <c r="BB434">
        <v>370</v>
      </c>
      <c r="BC434">
        <v>390</v>
      </c>
      <c r="BD434" t="s">
        <v>74</v>
      </c>
      <c r="BE434" t="s">
        <v>8293</v>
      </c>
      <c r="BF434" t="str">
        <f>HYPERLINK("http://dx.doi.org/10.3138/cjc-2023-0030","http://dx.doi.org/10.3138/cjc-2023-0030")</f>
        <v>http://dx.doi.org/10.3138/cjc-2023-0030</v>
      </c>
      <c r="BG434" t="s">
        <v>74</v>
      </c>
      <c r="BH434" t="s">
        <v>74</v>
      </c>
      <c r="BI434">
        <v>21</v>
      </c>
      <c r="BJ434" t="s">
        <v>124</v>
      </c>
      <c r="BK434" t="s">
        <v>125</v>
      </c>
      <c r="BL434" t="s">
        <v>124</v>
      </c>
      <c r="BM434" t="s">
        <v>8294</v>
      </c>
      <c r="BN434" t="s">
        <v>74</v>
      </c>
      <c r="BO434" t="s">
        <v>74</v>
      </c>
      <c r="BP434" t="s">
        <v>74</v>
      </c>
      <c r="BQ434" t="s">
        <v>74</v>
      </c>
      <c r="BR434" t="s">
        <v>102</v>
      </c>
      <c r="BS434" t="s">
        <v>8295</v>
      </c>
      <c r="BT434" t="str">
        <f>HYPERLINK("https%3A%2F%2Fwww.webofscience.com%2Fwos%2Fwoscc%2Ffull-record%2FWOS:001320348100009","View Full Record in Web of Science")</f>
        <v>View Full Record in Web of Science</v>
      </c>
    </row>
    <row r="435" spans="1:72" x14ac:dyDescent="0.35">
      <c r="A435" t="s">
        <v>72</v>
      </c>
      <c r="B435" t="s">
        <v>8296</v>
      </c>
      <c r="C435" t="s">
        <v>74</v>
      </c>
      <c r="D435" t="s">
        <v>74</v>
      </c>
      <c r="E435" t="s">
        <v>74</v>
      </c>
      <c r="F435" t="s">
        <v>8297</v>
      </c>
      <c r="G435" t="s">
        <v>74</v>
      </c>
      <c r="H435" t="s">
        <v>74</v>
      </c>
      <c r="I435" t="s">
        <v>8298</v>
      </c>
      <c r="J435" t="s">
        <v>6288</v>
      </c>
      <c r="K435" t="s">
        <v>74</v>
      </c>
      <c r="L435" t="s">
        <v>74</v>
      </c>
      <c r="M435" t="s">
        <v>78</v>
      </c>
      <c r="N435" t="s">
        <v>52</v>
      </c>
      <c r="O435" t="s">
        <v>74</v>
      </c>
      <c r="P435" t="s">
        <v>74</v>
      </c>
      <c r="Q435" t="s">
        <v>74</v>
      </c>
      <c r="R435" t="s">
        <v>74</v>
      </c>
      <c r="S435" t="s">
        <v>74</v>
      </c>
      <c r="T435" t="s">
        <v>74</v>
      </c>
      <c r="U435" t="s">
        <v>74</v>
      </c>
      <c r="V435" t="s">
        <v>74</v>
      </c>
      <c r="W435" t="s">
        <v>8299</v>
      </c>
      <c r="X435" t="s">
        <v>8300</v>
      </c>
      <c r="Y435" t="s">
        <v>74</v>
      </c>
      <c r="Z435" t="s">
        <v>74</v>
      </c>
      <c r="AA435" t="s">
        <v>74</v>
      </c>
      <c r="AB435" t="s">
        <v>74</v>
      </c>
      <c r="AC435" t="s">
        <v>8301</v>
      </c>
      <c r="AD435" t="s">
        <v>8301</v>
      </c>
      <c r="AE435" t="s">
        <v>8302</v>
      </c>
      <c r="AF435" t="s">
        <v>74</v>
      </c>
      <c r="AG435">
        <v>0</v>
      </c>
      <c r="AH435">
        <v>2</v>
      </c>
      <c r="AI435">
        <v>2</v>
      </c>
      <c r="AJ435">
        <v>2</v>
      </c>
      <c r="AK435">
        <v>11</v>
      </c>
      <c r="AL435" t="s">
        <v>1965</v>
      </c>
      <c r="AM435" t="s">
        <v>666</v>
      </c>
      <c r="AN435" t="s">
        <v>1966</v>
      </c>
      <c r="AO435" t="s">
        <v>6297</v>
      </c>
      <c r="AP435" t="s">
        <v>6298</v>
      </c>
      <c r="AQ435" t="s">
        <v>74</v>
      </c>
      <c r="AR435" t="s">
        <v>6299</v>
      </c>
      <c r="AS435" t="s">
        <v>6300</v>
      </c>
      <c r="AT435" t="s">
        <v>930</v>
      </c>
      <c r="AU435">
        <v>2022</v>
      </c>
      <c r="AV435">
        <v>70</v>
      </c>
      <c r="AW435">
        <v>4</v>
      </c>
      <c r="AX435" t="s">
        <v>74</v>
      </c>
      <c r="AY435" t="s">
        <v>4946</v>
      </c>
      <c r="AZ435" t="s">
        <v>74</v>
      </c>
      <c r="BA435">
        <v>184</v>
      </c>
      <c r="BB435" t="s">
        <v>8303</v>
      </c>
      <c r="BC435" t="s">
        <v>8303</v>
      </c>
      <c r="BD435" t="s">
        <v>74</v>
      </c>
      <c r="BE435" t="s">
        <v>74</v>
      </c>
      <c r="BF435" t="s">
        <v>74</v>
      </c>
      <c r="BG435" t="s">
        <v>74</v>
      </c>
      <c r="BH435" t="s">
        <v>74</v>
      </c>
      <c r="BI435">
        <v>1</v>
      </c>
      <c r="BJ435" t="s">
        <v>6302</v>
      </c>
      <c r="BK435" t="s">
        <v>182</v>
      </c>
      <c r="BL435" t="s">
        <v>6303</v>
      </c>
      <c r="BM435" t="s">
        <v>8304</v>
      </c>
      <c r="BN435" t="s">
        <v>74</v>
      </c>
      <c r="BO435" t="s">
        <v>74</v>
      </c>
      <c r="BP435" t="s">
        <v>74</v>
      </c>
      <c r="BQ435" t="s">
        <v>74</v>
      </c>
      <c r="BR435" t="s">
        <v>102</v>
      </c>
      <c r="BS435" t="s">
        <v>8305</v>
      </c>
      <c r="BT435" t="str">
        <f>HYPERLINK("https%3A%2F%2Fwww.webofscience.com%2Fwos%2Fwoscc%2Ffull-record%2FWOS:000768696700181","View Full Record in Web of Science")</f>
        <v>View Full Record in Web of Science</v>
      </c>
    </row>
    <row r="436" spans="1:72" x14ac:dyDescent="0.35">
      <c r="A436" t="s">
        <v>72</v>
      </c>
      <c r="B436" t="s">
        <v>8306</v>
      </c>
      <c r="C436" t="s">
        <v>74</v>
      </c>
      <c r="D436" t="s">
        <v>74</v>
      </c>
      <c r="E436" t="s">
        <v>74</v>
      </c>
      <c r="F436" t="s">
        <v>8307</v>
      </c>
      <c r="G436" t="s">
        <v>74</v>
      </c>
      <c r="H436" t="s">
        <v>74</v>
      </c>
      <c r="I436" t="s">
        <v>8308</v>
      </c>
      <c r="J436" t="s">
        <v>5957</v>
      </c>
      <c r="K436" t="s">
        <v>74</v>
      </c>
      <c r="L436" t="s">
        <v>74</v>
      </c>
      <c r="M436" t="s">
        <v>78</v>
      </c>
      <c r="N436" t="s">
        <v>108</v>
      </c>
      <c r="O436" t="s">
        <v>74</v>
      </c>
      <c r="P436" t="s">
        <v>74</v>
      </c>
      <c r="Q436" t="s">
        <v>74</v>
      </c>
      <c r="R436" t="s">
        <v>74</v>
      </c>
      <c r="S436" t="s">
        <v>74</v>
      </c>
      <c r="T436" t="s">
        <v>8309</v>
      </c>
      <c r="U436" t="s">
        <v>8310</v>
      </c>
      <c r="V436" t="s">
        <v>8311</v>
      </c>
      <c r="W436" t="s">
        <v>8312</v>
      </c>
      <c r="X436" t="s">
        <v>8313</v>
      </c>
      <c r="Y436" t="s">
        <v>8314</v>
      </c>
      <c r="Z436" t="s">
        <v>8315</v>
      </c>
      <c r="AA436" t="s">
        <v>8316</v>
      </c>
      <c r="AB436" t="s">
        <v>8317</v>
      </c>
      <c r="AC436" t="s">
        <v>74</v>
      </c>
      <c r="AD436" t="s">
        <v>74</v>
      </c>
      <c r="AE436" t="s">
        <v>74</v>
      </c>
      <c r="AF436" t="s">
        <v>74</v>
      </c>
      <c r="AG436">
        <v>52</v>
      </c>
      <c r="AH436">
        <v>71</v>
      </c>
      <c r="AI436">
        <v>76</v>
      </c>
      <c r="AJ436">
        <v>4</v>
      </c>
      <c r="AK436">
        <v>101</v>
      </c>
      <c r="AL436" t="s">
        <v>251</v>
      </c>
      <c r="AM436" t="s">
        <v>252</v>
      </c>
      <c r="AN436" t="s">
        <v>253</v>
      </c>
      <c r="AO436" t="s">
        <v>5967</v>
      </c>
      <c r="AP436" t="s">
        <v>5968</v>
      </c>
      <c r="AQ436" t="s">
        <v>74</v>
      </c>
      <c r="AR436" t="s">
        <v>5969</v>
      </c>
      <c r="AS436" t="s">
        <v>5970</v>
      </c>
      <c r="AT436" t="s">
        <v>930</v>
      </c>
      <c r="AU436">
        <v>2021</v>
      </c>
      <c r="AV436">
        <v>54</v>
      </c>
      <c r="AW436">
        <v>4</v>
      </c>
      <c r="AX436" t="s">
        <v>74</v>
      </c>
      <c r="AY436" t="s">
        <v>74</v>
      </c>
      <c r="AZ436" t="s">
        <v>74</v>
      </c>
      <c r="BA436" t="s">
        <v>74</v>
      </c>
      <c r="BB436">
        <v>516</v>
      </c>
      <c r="BC436">
        <v>526</v>
      </c>
      <c r="BD436" t="s">
        <v>74</v>
      </c>
      <c r="BE436" t="s">
        <v>8318</v>
      </c>
      <c r="BF436" t="str">
        <f>HYPERLINK("http://dx.doi.org/10.1002/eat.23463","http://dx.doi.org/10.1002/eat.23463")</f>
        <v>http://dx.doi.org/10.1002/eat.23463</v>
      </c>
      <c r="BG436" t="s">
        <v>74</v>
      </c>
      <c r="BH436" t="s">
        <v>4780</v>
      </c>
      <c r="BI436">
        <v>11</v>
      </c>
      <c r="BJ436" t="s">
        <v>5972</v>
      </c>
      <c r="BK436" t="s">
        <v>182</v>
      </c>
      <c r="BL436" t="s">
        <v>5973</v>
      </c>
      <c r="BM436" t="s">
        <v>8319</v>
      </c>
      <c r="BN436">
        <v>33382136</v>
      </c>
      <c r="BO436" t="s">
        <v>74</v>
      </c>
      <c r="BP436" t="s">
        <v>74</v>
      </c>
      <c r="BQ436" t="s">
        <v>74</v>
      </c>
      <c r="BR436" t="s">
        <v>102</v>
      </c>
      <c r="BS436" t="s">
        <v>8320</v>
      </c>
      <c r="BT436" t="str">
        <f>HYPERLINK("https%3A%2F%2Fwww.webofscience.com%2Fwos%2Fwoscc%2Ffull-record%2FWOS:000605644700001","View Full Record in Web of Science")</f>
        <v>View Full Record in Web of Science</v>
      </c>
    </row>
    <row r="437" spans="1:72" x14ac:dyDescent="0.35">
      <c r="A437" t="s">
        <v>72</v>
      </c>
      <c r="B437" t="s">
        <v>8321</v>
      </c>
      <c r="C437" t="s">
        <v>74</v>
      </c>
      <c r="D437" t="s">
        <v>74</v>
      </c>
      <c r="E437" t="s">
        <v>74</v>
      </c>
      <c r="F437" t="s">
        <v>8322</v>
      </c>
      <c r="G437" t="s">
        <v>74</v>
      </c>
      <c r="H437" t="s">
        <v>74</v>
      </c>
      <c r="I437" t="s">
        <v>8323</v>
      </c>
      <c r="J437" t="s">
        <v>8324</v>
      </c>
      <c r="K437" t="s">
        <v>74</v>
      </c>
      <c r="L437" t="s">
        <v>74</v>
      </c>
      <c r="M437" t="s">
        <v>78</v>
      </c>
      <c r="N437" t="s">
        <v>108</v>
      </c>
      <c r="O437" t="s">
        <v>74</v>
      </c>
      <c r="P437" t="s">
        <v>74</v>
      </c>
      <c r="Q437" t="s">
        <v>74</v>
      </c>
      <c r="R437" t="s">
        <v>74</v>
      </c>
      <c r="S437" t="s">
        <v>74</v>
      </c>
      <c r="T437" t="s">
        <v>74</v>
      </c>
      <c r="U437" t="s">
        <v>8325</v>
      </c>
      <c r="V437" t="s">
        <v>8326</v>
      </c>
      <c r="W437" t="s">
        <v>8327</v>
      </c>
      <c r="X437" t="s">
        <v>8328</v>
      </c>
      <c r="Y437" t="s">
        <v>8329</v>
      </c>
      <c r="Z437" t="s">
        <v>8330</v>
      </c>
      <c r="AA437" t="s">
        <v>74</v>
      </c>
      <c r="AB437" t="s">
        <v>8331</v>
      </c>
      <c r="AC437" t="s">
        <v>8332</v>
      </c>
      <c r="AD437" t="s">
        <v>8332</v>
      </c>
      <c r="AE437" t="s">
        <v>8333</v>
      </c>
      <c r="AF437" t="s">
        <v>74</v>
      </c>
      <c r="AG437">
        <v>26</v>
      </c>
      <c r="AH437">
        <v>0</v>
      </c>
      <c r="AI437">
        <v>0</v>
      </c>
      <c r="AJ437">
        <v>5</v>
      </c>
      <c r="AK437">
        <v>11</v>
      </c>
      <c r="AL437" t="s">
        <v>8334</v>
      </c>
      <c r="AM437" t="s">
        <v>291</v>
      </c>
      <c r="AN437" t="s">
        <v>8335</v>
      </c>
      <c r="AO437" t="s">
        <v>8336</v>
      </c>
      <c r="AP437" t="s">
        <v>8337</v>
      </c>
      <c r="AQ437" t="s">
        <v>74</v>
      </c>
      <c r="AR437" t="s">
        <v>8338</v>
      </c>
      <c r="AS437" t="s">
        <v>8339</v>
      </c>
      <c r="AT437" t="s">
        <v>8340</v>
      </c>
      <c r="AU437">
        <v>2024</v>
      </c>
      <c r="AV437">
        <v>26</v>
      </c>
      <c r="AW437">
        <v>8</v>
      </c>
      <c r="AX437" t="s">
        <v>74</v>
      </c>
      <c r="AY437" t="s">
        <v>74</v>
      </c>
      <c r="AZ437" t="s">
        <v>74</v>
      </c>
      <c r="BA437" t="s">
        <v>74</v>
      </c>
      <c r="BB437">
        <v>1022</v>
      </c>
      <c r="BC437">
        <v>1028</v>
      </c>
      <c r="BD437" t="s">
        <v>74</v>
      </c>
      <c r="BE437" t="s">
        <v>8341</v>
      </c>
      <c r="BF437" t="str">
        <f>HYPERLINK("http://dx.doi.org/10.1093/ntr/ntae036","http://dx.doi.org/10.1093/ntr/ntae036")</f>
        <v>http://dx.doi.org/10.1093/ntr/ntae036</v>
      </c>
      <c r="BG437" t="s">
        <v>74</v>
      </c>
      <c r="BH437" t="s">
        <v>123</v>
      </c>
      <c r="BI437">
        <v>7</v>
      </c>
      <c r="BJ437" t="s">
        <v>8342</v>
      </c>
      <c r="BK437" t="s">
        <v>182</v>
      </c>
      <c r="BL437" t="s">
        <v>8342</v>
      </c>
      <c r="BM437" t="s">
        <v>8343</v>
      </c>
      <c r="BN437">
        <v>38381598</v>
      </c>
      <c r="BO437" t="s">
        <v>74</v>
      </c>
      <c r="BP437" t="s">
        <v>74</v>
      </c>
      <c r="BQ437" t="s">
        <v>74</v>
      </c>
      <c r="BR437" t="s">
        <v>102</v>
      </c>
      <c r="BS437" t="s">
        <v>8344</v>
      </c>
      <c r="BT437" t="str">
        <f>HYPERLINK("https%3A%2F%2Fwww.webofscience.com%2Fwos%2Fwoscc%2Ffull-record%2FWOS:001180416800001","View Full Record in Web of Science")</f>
        <v>View Full Record in Web of Science</v>
      </c>
    </row>
    <row r="438" spans="1:72" x14ac:dyDescent="0.35">
      <c r="A438" t="s">
        <v>72</v>
      </c>
      <c r="B438" t="s">
        <v>8345</v>
      </c>
      <c r="C438" t="s">
        <v>74</v>
      </c>
      <c r="D438" t="s">
        <v>74</v>
      </c>
      <c r="E438" t="s">
        <v>74</v>
      </c>
      <c r="F438" t="s">
        <v>8346</v>
      </c>
      <c r="G438" t="s">
        <v>74</v>
      </c>
      <c r="H438" t="s">
        <v>74</v>
      </c>
      <c r="I438" t="s">
        <v>8347</v>
      </c>
      <c r="J438" t="s">
        <v>216</v>
      </c>
      <c r="K438" t="s">
        <v>74</v>
      </c>
      <c r="L438" t="s">
        <v>74</v>
      </c>
      <c r="M438" t="s">
        <v>78</v>
      </c>
      <c r="N438" t="s">
        <v>108</v>
      </c>
      <c r="O438" t="s">
        <v>74</v>
      </c>
      <c r="P438" t="s">
        <v>74</v>
      </c>
      <c r="Q438" t="s">
        <v>74</v>
      </c>
      <c r="R438" t="s">
        <v>74</v>
      </c>
      <c r="S438" t="s">
        <v>74</v>
      </c>
      <c r="T438" t="s">
        <v>8348</v>
      </c>
      <c r="U438" t="s">
        <v>8349</v>
      </c>
      <c r="V438" t="s">
        <v>8350</v>
      </c>
      <c r="W438" t="s">
        <v>8351</v>
      </c>
      <c r="X438" t="s">
        <v>8352</v>
      </c>
      <c r="Y438" t="s">
        <v>8353</v>
      </c>
      <c r="Z438" t="s">
        <v>8354</v>
      </c>
      <c r="AA438" t="s">
        <v>4474</v>
      </c>
      <c r="AB438" t="s">
        <v>8355</v>
      </c>
      <c r="AC438" t="s">
        <v>74</v>
      </c>
      <c r="AD438" t="s">
        <v>74</v>
      </c>
      <c r="AE438" t="s">
        <v>74</v>
      </c>
      <c r="AF438" t="s">
        <v>74</v>
      </c>
      <c r="AG438">
        <v>59</v>
      </c>
      <c r="AH438">
        <v>16</v>
      </c>
      <c r="AI438">
        <v>19</v>
      </c>
      <c r="AJ438">
        <v>11</v>
      </c>
      <c r="AK438">
        <v>35</v>
      </c>
      <c r="AL438" t="s">
        <v>226</v>
      </c>
      <c r="AM438" t="s">
        <v>227</v>
      </c>
      <c r="AN438" t="s">
        <v>228</v>
      </c>
      <c r="AO438" t="s">
        <v>229</v>
      </c>
      <c r="AP438" t="s">
        <v>74</v>
      </c>
      <c r="AQ438" t="s">
        <v>74</v>
      </c>
      <c r="AR438" t="s">
        <v>230</v>
      </c>
      <c r="AS438" t="s">
        <v>231</v>
      </c>
      <c r="AT438" t="s">
        <v>232</v>
      </c>
      <c r="AU438">
        <v>2023</v>
      </c>
      <c r="AV438">
        <v>9</v>
      </c>
      <c r="AW438">
        <v>1</v>
      </c>
      <c r="AX438" t="s">
        <v>74</v>
      </c>
      <c r="AY438" t="s">
        <v>74</v>
      </c>
      <c r="AZ438" t="s">
        <v>74</v>
      </c>
      <c r="BA438" t="s">
        <v>74</v>
      </c>
      <c r="BB438" t="s">
        <v>74</v>
      </c>
      <c r="BC438" t="s">
        <v>74</v>
      </c>
      <c r="BD438">
        <v>2.0563051231157592E+16</v>
      </c>
      <c r="BE438" t="s">
        <v>8356</v>
      </c>
      <c r="BF438" t="str">
        <f>HYPERLINK("http://dx.doi.org/10.1177/20563051231157590","http://dx.doi.org/10.1177/20563051231157590")</f>
        <v>http://dx.doi.org/10.1177/20563051231157590</v>
      </c>
      <c r="BG438" t="s">
        <v>74</v>
      </c>
      <c r="BH438" t="s">
        <v>74</v>
      </c>
      <c r="BI438">
        <v>16</v>
      </c>
      <c r="BJ438" t="s">
        <v>124</v>
      </c>
      <c r="BK438" t="s">
        <v>99</v>
      </c>
      <c r="BL438" t="s">
        <v>124</v>
      </c>
      <c r="BM438" t="s">
        <v>8357</v>
      </c>
      <c r="BN438" t="s">
        <v>74</v>
      </c>
      <c r="BO438" t="s">
        <v>235</v>
      </c>
      <c r="BP438" t="s">
        <v>74</v>
      </c>
      <c r="BQ438" t="s">
        <v>74</v>
      </c>
      <c r="BR438" t="s">
        <v>102</v>
      </c>
      <c r="BS438" t="s">
        <v>8358</v>
      </c>
      <c r="BT438" t="str">
        <f>HYPERLINK("https%3A%2F%2Fwww.webofscience.com%2Fwos%2Fwoscc%2Ffull-record%2FWOS:000939921700001","View Full Record in Web of Science")</f>
        <v>View Full Record in Web of Science</v>
      </c>
    </row>
    <row r="439" spans="1:72" x14ac:dyDescent="0.35">
      <c r="A439" t="s">
        <v>128</v>
      </c>
      <c r="B439" t="s">
        <v>8359</v>
      </c>
      <c r="C439" t="s">
        <v>74</v>
      </c>
      <c r="D439" t="s">
        <v>8360</v>
      </c>
      <c r="E439" t="s">
        <v>74</v>
      </c>
      <c r="F439" t="s">
        <v>8361</v>
      </c>
      <c r="G439" t="s">
        <v>74</v>
      </c>
      <c r="H439" t="s">
        <v>74</v>
      </c>
      <c r="I439" t="s">
        <v>8362</v>
      </c>
      <c r="J439" t="s">
        <v>8363</v>
      </c>
      <c r="K439" t="s">
        <v>8364</v>
      </c>
      <c r="L439" t="s">
        <v>74</v>
      </c>
      <c r="M439" t="s">
        <v>78</v>
      </c>
      <c r="N439" t="s">
        <v>135</v>
      </c>
      <c r="O439" t="s">
        <v>8365</v>
      </c>
      <c r="P439" t="s">
        <v>8366</v>
      </c>
      <c r="Q439" t="s">
        <v>8367</v>
      </c>
      <c r="R439" t="s">
        <v>74</v>
      </c>
      <c r="S439" t="s">
        <v>74</v>
      </c>
      <c r="T439" t="s">
        <v>8368</v>
      </c>
      <c r="U439" t="s">
        <v>8369</v>
      </c>
      <c r="V439" t="s">
        <v>8370</v>
      </c>
      <c r="W439" t="s">
        <v>8371</v>
      </c>
      <c r="X439" t="s">
        <v>8372</v>
      </c>
      <c r="Y439" t="s">
        <v>8373</v>
      </c>
      <c r="Z439" t="s">
        <v>8374</v>
      </c>
      <c r="AA439" t="s">
        <v>8375</v>
      </c>
      <c r="AB439" t="s">
        <v>8376</v>
      </c>
      <c r="AC439" t="s">
        <v>8377</v>
      </c>
      <c r="AD439" t="s">
        <v>8378</v>
      </c>
      <c r="AE439" t="s">
        <v>8379</v>
      </c>
      <c r="AF439" t="s">
        <v>74</v>
      </c>
      <c r="AG439">
        <v>58</v>
      </c>
      <c r="AH439">
        <v>0</v>
      </c>
      <c r="AI439">
        <v>0</v>
      </c>
      <c r="AJ439">
        <v>7</v>
      </c>
      <c r="AK439">
        <v>13</v>
      </c>
      <c r="AL439" t="s">
        <v>639</v>
      </c>
      <c r="AM439" t="s">
        <v>640</v>
      </c>
      <c r="AN439" t="s">
        <v>641</v>
      </c>
      <c r="AO439" t="s">
        <v>8380</v>
      </c>
      <c r="AP439" t="s">
        <v>8381</v>
      </c>
      <c r="AQ439" t="s">
        <v>8382</v>
      </c>
      <c r="AR439" t="s">
        <v>8383</v>
      </c>
      <c r="AS439" t="s">
        <v>74</v>
      </c>
      <c r="AT439" t="s">
        <v>74</v>
      </c>
      <c r="AU439">
        <v>2023</v>
      </c>
      <c r="AV439">
        <v>14055</v>
      </c>
      <c r="AW439" t="s">
        <v>74</v>
      </c>
      <c r="AX439" t="s">
        <v>74</v>
      </c>
      <c r="AY439" t="s">
        <v>74</v>
      </c>
      <c r="AZ439" t="s">
        <v>74</v>
      </c>
      <c r="BA439" t="s">
        <v>74</v>
      </c>
      <c r="BB439">
        <v>85</v>
      </c>
      <c r="BC439">
        <v>99</v>
      </c>
      <c r="BD439" t="s">
        <v>74</v>
      </c>
      <c r="BE439" t="s">
        <v>8384</v>
      </c>
      <c r="BF439" t="str">
        <f>HYPERLINK("http://dx.doi.org/10.1007/978-3-031-48041-6_7","http://dx.doi.org/10.1007/978-3-031-48041-6_7")</f>
        <v>http://dx.doi.org/10.1007/978-3-031-48041-6_7</v>
      </c>
      <c r="BG439" t="s">
        <v>74</v>
      </c>
      <c r="BH439" t="s">
        <v>74</v>
      </c>
      <c r="BI439">
        <v>15</v>
      </c>
      <c r="BJ439" t="s">
        <v>8385</v>
      </c>
      <c r="BK439" t="s">
        <v>723</v>
      </c>
      <c r="BL439" t="s">
        <v>210</v>
      </c>
      <c r="BM439" t="s">
        <v>8386</v>
      </c>
      <c r="BN439" t="s">
        <v>74</v>
      </c>
      <c r="BO439" t="s">
        <v>74</v>
      </c>
      <c r="BP439" t="s">
        <v>74</v>
      </c>
      <c r="BQ439" t="s">
        <v>74</v>
      </c>
      <c r="BR439" t="s">
        <v>102</v>
      </c>
      <c r="BS439" t="s">
        <v>8387</v>
      </c>
      <c r="BT439" t="str">
        <f>HYPERLINK("https%3A%2F%2Fwww.webofscience.com%2Fwos%2Fwoscc%2Ffull-record%2FWOS:001159651200007","View Full Record in Web of Science")</f>
        <v>View Full Record in Web of Science</v>
      </c>
    </row>
    <row r="440" spans="1:72" x14ac:dyDescent="0.35">
      <c r="A440" t="s">
        <v>72</v>
      </c>
      <c r="B440" t="s">
        <v>8388</v>
      </c>
      <c r="C440" t="s">
        <v>74</v>
      </c>
      <c r="D440" t="s">
        <v>74</v>
      </c>
      <c r="E440" t="s">
        <v>74</v>
      </c>
      <c r="F440" t="s">
        <v>8389</v>
      </c>
      <c r="G440" t="s">
        <v>74</v>
      </c>
      <c r="H440" t="s">
        <v>74</v>
      </c>
      <c r="I440" t="s">
        <v>8390</v>
      </c>
      <c r="J440" t="s">
        <v>6541</v>
      </c>
      <c r="K440" t="s">
        <v>74</v>
      </c>
      <c r="L440" t="s">
        <v>74</v>
      </c>
      <c r="M440" t="s">
        <v>3503</v>
      </c>
      <c r="N440" t="s">
        <v>108</v>
      </c>
      <c r="O440" t="s">
        <v>74</v>
      </c>
      <c r="P440" t="s">
        <v>74</v>
      </c>
      <c r="Q440" t="s">
        <v>74</v>
      </c>
      <c r="R440" t="s">
        <v>74</v>
      </c>
      <c r="S440" t="s">
        <v>74</v>
      </c>
      <c r="T440" t="s">
        <v>74</v>
      </c>
      <c r="U440" t="s">
        <v>74</v>
      </c>
      <c r="V440" t="s">
        <v>8391</v>
      </c>
      <c r="W440" t="s">
        <v>8392</v>
      </c>
      <c r="X440" t="s">
        <v>8393</v>
      </c>
      <c r="Y440" t="s">
        <v>8394</v>
      </c>
      <c r="Z440" t="s">
        <v>8395</v>
      </c>
      <c r="AA440" t="s">
        <v>8396</v>
      </c>
      <c r="AB440" t="s">
        <v>8397</v>
      </c>
      <c r="AC440" t="s">
        <v>74</v>
      </c>
      <c r="AD440" t="s">
        <v>74</v>
      </c>
      <c r="AE440" t="s">
        <v>74</v>
      </c>
      <c r="AF440" t="s">
        <v>74</v>
      </c>
      <c r="AG440">
        <v>26</v>
      </c>
      <c r="AH440">
        <v>2</v>
      </c>
      <c r="AI440">
        <v>2</v>
      </c>
      <c r="AJ440">
        <v>2</v>
      </c>
      <c r="AK440">
        <v>18</v>
      </c>
      <c r="AL440" t="s">
        <v>6550</v>
      </c>
      <c r="AM440" t="s">
        <v>5232</v>
      </c>
      <c r="AN440" t="s">
        <v>6551</v>
      </c>
      <c r="AO440" t="s">
        <v>6552</v>
      </c>
      <c r="AP440" t="s">
        <v>74</v>
      </c>
      <c r="AQ440" t="s">
        <v>74</v>
      </c>
      <c r="AR440" t="s">
        <v>6553</v>
      </c>
      <c r="AS440" t="s">
        <v>6554</v>
      </c>
      <c r="AT440" t="s">
        <v>257</v>
      </c>
      <c r="AU440">
        <v>2022</v>
      </c>
      <c r="AV440" t="s">
        <v>74</v>
      </c>
      <c r="AW440">
        <v>48</v>
      </c>
      <c r="AX440" t="s">
        <v>74</v>
      </c>
      <c r="AY440" t="s">
        <v>74</v>
      </c>
      <c r="AZ440" t="s">
        <v>74</v>
      </c>
      <c r="BA440" t="s">
        <v>74</v>
      </c>
      <c r="BB440" t="s">
        <v>74</v>
      </c>
      <c r="BC440" t="s">
        <v>74</v>
      </c>
      <c r="BD440" t="s">
        <v>74</v>
      </c>
      <c r="BE440" t="s">
        <v>8398</v>
      </c>
      <c r="BF440" t="str">
        <f>HYPERLINK("http://dx.doi.org/10.1344/BiD2022.48.19","http://dx.doi.org/10.1344/BiD2022.48.19")</f>
        <v>http://dx.doi.org/10.1344/BiD2022.48.19</v>
      </c>
      <c r="BG440" t="s">
        <v>74</v>
      </c>
      <c r="BH440" t="s">
        <v>74</v>
      </c>
      <c r="BI440">
        <v>14</v>
      </c>
      <c r="BJ440" t="s">
        <v>1162</v>
      </c>
      <c r="BK440" t="s">
        <v>125</v>
      </c>
      <c r="BL440" t="s">
        <v>1162</v>
      </c>
      <c r="BM440" t="s">
        <v>8399</v>
      </c>
      <c r="BN440" t="s">
        <v>74</v>
      </c>
      <c r="BO440" t="s">
        <v>235</v>
      </c>
      <c r="BP440" t="s">
        <v>74</v>
      </c>
      <c r="BQ440" t="s">
        <v>74</v>
      </c>
      <c r="BR440" t="s">
        <v>102</v>
      </c>
      <c r="BS440" t="s">
        <v>8400</v>
      </c>
      <c r="BT440" t="str">
        <f>HYPERLINK("https%3A%2F%2Fwww.webofscience.com%2Fwos%2Fwoscc%2Ffull-record%2FWOS:000814043300001","View Full Record in Web of Science")</f>
        <v>View Full Record in Web of Science</v>
      </c>
    </row>
    <row r="441" spans="1:72" x14ac:dyDescent="0.35">
      <c r="A441" t="s">
        <v>72</v>
      </c>
      <c r="B441" t="s">
        <v>8401</v>
      </c>
      <c r="C441" t="s">
        <v>74</v>
      </c>
      <c r="D441" t="s">
        <v>74</v>
      </c>
      <c r="E441" t="s">
        <v>74</v>
      </c>
      <c r="F441" t="s">
        <v>8402</v>
      </c>
      <c r="G441" t="s">
        <v>74</v>
      </c>
      <c r="H441" t="s">
        <v>74</v>
      </c>
      <c r="I441" t="s">
        <v>8403</v>
      </c>
      <c r="J441" t="s">
        <v>7228</v>
      </c>
      <c r="K441" t="s">
        <v>74</v>
      </c>
      <c r="L441" t="s">
        <v>74</v>
      </c>
      <c r="M441" t="s">
        <v>78</v>
      </c>
      <c r="N441" t="s">
        <v>108</v>
      </c>
      <c r="O441" t="s">
        <v>74</v>
      </c>
      <c r="P441" t="s">
        <v>74</v>
      </c>
      <c r="Q441" t="s">
        <v>74</v>
      </c>
      <c r="R441" t="s">
        <v>74</v>
      </c>
      <c r="S441" t="s">
        <v>74</v>
      </c>
      <c r="T441" t="s">
        <v>8404</v>
      </c>
      <c r="U441" t="s">
        <v>8405</v>
      </c>
      <c r="V441" t="s">
        <v>8406</v>
      </c>
      <c r="W441" t="s">
        <v>8407</v>
      </c>
      <c r="X441" t="s">
        <v>8408</v>
      </c>
      <c r="Y441" t="s">
        <v>8409</v>
      </c>
      <c r="Z441" t="s">
        <v>8410</v>
      </c>
      <c r="AA441" t="s">
        <v>8411</v>
      </c>
      <c r="AB441" t="s">
        <v>8412</v>
      </c>
      <c r="AC441" t="s">
        <v>74</v>
      </c>
      <c r="AD441" t="s">
        <v>74</v>
      </c>
      <c r="AE441" t="s">
        <v>74</v>
      </c>
      <c r="AF441" t="s">
        <v>74</v>
      </c>
      <c r="AG441">
        <v>49</v>
      </c>
      <c r="AH441">
        <v>6</v>
      </c>
      <c r="AI441">
        <v>6</v>
      </c>
      <c r="AJ441">
        <v>12</v>
      </c>
      <c r="AK441">
        <v>26</v>
      </c>
      <c r="AL441" t="s">
        <v>7236</v>
      </c>
      <c r="AM441" t="s">
        <v>7237</v>
      </c>
      <c r="AN441" t="s">
        <v>7238</v>
      </c>
      <c r="AO441" t="s">
        <v>7239</v>
      </c>
      <c r="AP441" t="s">
        <v>7240</v>
      </c>
      <c r="AQ441" t="s">
        <v>74</v>
      </c>
      <c r="AR441" t="s">
        <v>7241</v>
      </c>
      <c r="AS441" t="s">
        <v>7242</v>
      </c>
      <c r="AT441" t="s">
        <v>74</v>
      </c>
      <c r="AU441">
        <v>2023</v>
      </c>
      <c r="AV441">
        <v>20</v>
      </c>
      <c r="AW441" t="s">
        <v>74</v>
      </c>
      <c r="AX441" t="s">
        <v>74</v>
      </c>
      <c r="AY441" t="s">
        <v>74</v>
      </c>
      <c r="AZ441" t="s">
        <v>74</v>
      </c>
      <c r="BA441" t="s">
        <v>74</v>
      </c>
      <c r="BB441" t="s">
        <v>74</v>
      </c>
      <c r="BC441" t="s">
        <v>74</v>
      </c>
      <c r="BD441" t="s">
        <v>8413</v>
      </c>
      <c r="BE441" t="s">
        <v>8414</v>
      </c>
      <c r="BF441" t="str">
        <f>HYPERLINK("http://dx.doi.org/10.32870/cys.v2023.8441","http://dx.doi.org/10.32870/cys.v2023.8441")</f>
        <v>http://dx.doi.org/10.32870/cys.v2023.8441</v>
      </c>
      <c r="BG441" t="s">
        <v>74</v>
      </c>
      <c r="BH441" t="s">
        <v>74</v>
      </c>
      <c r="BI441">
        <v>27</v>
      </c>
      <c r="BJ441" t="s">
        <v>124</v>
      </c>
      <c r="BK441" t="s">
        <v>125</v>
      </c>
      <c r="BL441" t="s">
        <v>124</v>
      </c>
      <c r="BM441" t="s">
        <v>8415</v>
      </c>
      <c r="BN441" t="s">
        <v>74</v>
      </c>
      <c r="BO441" t="s">
        <v>235</v>
      </c>
      <c r="BP441" t="s">
        <v>74</v>
      </c>
      <c r="BQ441" t="s">
        <v>74</v>
      </c>
      <c r="BR441" t="s">
        <v>102</v>
      </c>
      <c r="BS441" t="s">
        <v>8416</v>
      </c>
      <c r="BT441" t="str">
        <f>HYPERLINK("https%3A%2F%2Fwww.webofscience.com%2Fwos%2Fwoscc%2Ffull-record%2FWOS:001137312600015","View Full Record in Web of Science")</f>
        <v>View Full Record in Web of Science</v>
      </c>
    </row>
    <row r="442" spans="1:72" x14ac:dyDescent="0.35">
      <c r="A442" t="s">
        <v>72</v>
      </c>
      <c r="B442" t="s">
        <v>8417</v>
      </c>
      <c r="C442" t="s">
        <v>74</v>
      </c>
      <c r="D442" t="s">
        <v>74</v>
      </c>
      <c r="E442" t="s">
        <v>74</v>
      </c>
      <c r="F442" t="s">
        <v>8418</v>
      </c>
      <c r="G442" t="s">
        <v>74</v>
      </c>
      <c r="H442" t="s">
        <v>74</v>
      </c>
      <c r="I442" t="s">
        <v>8419</v>
      </c>
      <c r="J442" t="s">
        <v>8420</v>
      </c>
      <c r="K442" t="s">
        <v>74</v>
      </c>
      <c r="L442" t="s">
        <v>74</v>
      </c>
      <c r="M442" t="s">
        <v>78</v>
      </c>
      <c r="N442" t="s">
        <v>52</v>
      </c>
      <c r="O442" t="s">
        <v>8421</v>
      </c>
      <c r="P442" t="s">
        <v>8422</v>
      </c>
      <c r="Q442" t="s">
        <v>8423</v>
      </c>
      <c r="R442" t="s">
        <v>74</v>
      </c>
      <c r="S442" t="s">
        <v>74</v>
      </c>
      <c r="T442" t="s">
        <v>74</v>
      </c>
      <c r="U442" t="s">
        <v>74</v>
      </c>
      <c r="V442" t="s">
        <v>74</v>
      </c>
      <c r="W442" t="s">
        <v>8424</v>
      </c>
      <c r="X442" t="s">
        <v>8425</v>
      </c>
      <c r="Y442" t="s">
        <v>74</v>
      </c>
      <c r="Z442" t="s">
        <v>74</v>
      </c>
      <c r="AA442" t="s">
        <v>74</v>
      </c>
      <c r="AB442" t="s">
        <v>74</v>
      </c>
      <c r="AC442" t="s">
        <v>74</v>
      </c>
      <c r="AD442" t="s">
        <v>74</v>
      </c>
      <c r="AE442" t="s">
        <v>74</v>
      </c>
      <c r="AF442" t="s">
        <v>74</v>
      </c>
      <c r="AG442">
        <v>0</v>
      </c>
      <c r="AH442">
        <v>0</v>
      </c>
      <c r="AI442">
        <v>0</v>
      </c>
      <c r="AJ442">
        <v>0</v>
      </c>
      <c r="AK442">
        <v>1</v>
      </c>
      <c r="AL442" t="s">
        <v>2027</v>
      </c>
      <c r="AM442" t="s">
        <v>666</v>
      </c>
      <c r="AN442" t="s">
        <v>2028</v>
      </c>
      <c r="AO442" t="s">
        <v>8426</v>
      </c>
      <c r="AP442" t="s">
        <v>8427</v>
      </c>
      <c r="AQ442" t="s">
        <v>74</v>
      </c>
      <c r="AR442" t="s">
        <v>8428</v>
      </c>
      <c r="AS442" t="s">
        <v>8429</v>
      </c>
      <c r="AT442" t="s">
        <v>1484</v>
      </c>
      <c r="AU442">
        <v>2023</v>
      </c>
      <c r="AV442">
        <v>228</v>
      </c>
      <c r="AW442">
        <v>3</v>
      </c>
      <c r="AX442" t="s">
        <v>74</v>
      </c>
      <c r="AY442" t="s">
        <v>4946</v>
      </c>
      <c r="AZ442" t="s">
        <v>74</v>
      </c>
      <c r="BA442">
        <v>47</v>
      </c>
      <c r="BB442" t="s">
        <v>8430</v>
      </c>
      <c r="BC442" t="s">
        <v>8430</v>
      </c>
      <c r="BD442" t="s">
        <v>74</v>
      </c>
      <c r="BE442" t="s">
        <v>74</v>
      </c>
      <c r="BF442" t="s">
        <v>74</v>
      </c>
      <c r="BG442" t="s">
        <v>74</v>
      </c>
      <c r="BH442" t="s">
        <v>74</v>
      </c>
      <c r="BI442">
        <v>1</v>
      </c>
      <c r="BJ442" t="s">
        <v>1971</v>
      </c>
      <c r="BK442" t="s">
        <v>2257</v>
      </c>
      <c r="BL442" t="s">
        <v>1971</v>
      </c>
      <c r="BM442" t="s">
        <v>8431</v>
      </c>
      <c r="BN442" t="s">
        <v>74</v>
      </c>
      <c r="BO442" t="s">
        <v>74</v>
      </c>
      <c r="BP442" t="s">
        <v>74</v>
      </c>
      <c r="BQ442" t="s">
        <v>74</v>
      </c>
      <c r="BR442" t="s">
        <v>102</v>
      </c>
      <c r="BS442" t="s">
        <v>8432</v>
      </c>
      <c r="BT442" t="str">
        <f>HYPERLINK("https%3A%2F%2Fwww.webofscience.com%2Fwos%2Fwoscc%2Ffull-record%2FWOS:000974044200067","View Full Record in Web of Science")</f>
        <v>View Full Record in Web of Science</v>
      </c>
    </row>
    <row r="443" spans="1:72" x14ac:dyDescent="0.35">
      <c r="A443" t="s">
        <v>72</v>
      </c>
      <c r="B443" t="s">
        <v>8433</v>
      </c>
      <c r="C443" t="s">
        <v>74</v>
      </c>
      <c r="D443" t="s">
        <v>74</v>
      </c>
      <c r="E443" t="s">
        <v>74</v>
      </c>
      <c r="F443" t="s">
        <v>8434</v>
      </c>
      <c r="G443" t="s">
        <v>74</v>
      </c>
      <c r="H443" t="s">
        <v>74</v>
      </c>
      <c r="I443" t="s">
        <v>8435</v>
      </c>
      <c r="J443" t="s">
        <v>1774</v>
      </c>
      <c r="K443" t="s">
        <v>74</v>
      </c>
      <c r="L443" t="s">
        <v>74</v>
      </c>
      <c r="M443" t="s">
        <v>78</v>
      </c>
      <c r="N443" t="s">
        <v>79</v>
      </c>
      <c r="O443" t="s">
        <v>74</v>
      </c>
      <c r="P443" t="s">
        <v>74</v>
      </c>
      <c r="Q443" t="s">
        <v>74</v>
      </c>
      <c r="R443" t="s">
        <v>74</v>
      </c>
      <c r="S443" t="s">
        <v>74</v>
      </c>
      <c r="T443" t="s">
        <v>8436</v>
      </c>
      <c r="U443" t="s">
        <v>1036</v>
      </c>
      <c r="V443" t="s">
        <v>8437</v>
      </c>
      <c r="W443" t="s">
        <v>8438</v>
      </c>
      <c r="X443" t="s">
        <v>3166</v>
      </c>
      <c r="Y443" t="s">
        <v>8439</v>
      </c>
      <c r="Z443" t="s">
        <v>8440</v>
      </c>
      <c r="AA443" t="s">
        <v>8441</v>
      </c>
      <c r="AB443" t="s">
        <v>74</v>
      </c>
      <c r="AC443" t="s">
        <v>74</v>
      </c>
      <c r="AD443" t="s">
        <v>74</v>
      </c>
      <c r="AE443" t="s">
        <v>74</v>
      </c>
      <c r="AF443" t="s">
        <v>74</v>
      </c>
      <c r="AG443">
        <v>51</v>
      </c>
      <c r="AH443">
        <v>0</v>
      </c>
      <c r="AI443">
        <v>0</v>
      </c>
      <c r="AJ443">
        <v>0</v>
      </c>
      <c r="AK443">
        <v>0</v>
      </c>
      <c r="AL443" t="s">
        <v>88</v>
      </c>
      <c r="AM443" t="s">
        <v>89</v>
      </c>
      <c r="AN443" t="s">
        <v>90</v>
      </c>
      <c r="AO443" t="s">
        <v>1783</v>
      </c>
      <c r="AP443" t="s">
        <v>1784</v>
      </c>
      <c r="AQ443" t="s">
        <v>74</v>
      </c>
      <c r="AR443" t="s">
        <v>1785</v>
      </c>
      <c r="AS443" t="s">
        <v>1786</v>
      </c>
      <c r="AT443" t="s">
        <v>8442</v>
      </c>
      <c r="AU443">
        <v>2024</v>
      </c>
      <c r="AV443" t="s">
        <v>74</v>
      </c>
      <c r="AW443" t="s">
        <v>74</v>
      </c>
      <c r="AX443" t="s">
        <v>74</v>
      </c>
      <c r="AY443" t="s">
        <v>74</v>
      </c>
      <c r="AZ443" t="s">
        <v>74</v>
      </c>
      <c r="BA443" t="s">
        <v>74</v>
      </c>
      <c r="BB443" t="s">
        <v>74</v>
      </c>
      <c r="BC443" t="s">
        <v>74</v>
      </c>
      <c r="BD443" t="s">
        <v>74</v>
      </c>
      <c r="BE443" t="s">
        <v>8443</v>
      </c>
      <c r="BF443" t="str">
        <f>HYPERLINK("http://dx.doi.org/10.1080/1369118X.2024.2420032","http://dx.doi.org/10.1080/1369118X.2024.2420032")</f>
        <v>http://dx.doi.org/10.1080/1369118X.2024.2420032</v>
      </c>
      <c r="BG443" t="s">
        <v>74</v>
      </c>
      <c r="BH443" t="s">
        <v>4092</v>
      </c>
      <c r="BI443">
        <v>19</v>
      </c>
      <c r="BJ443" t="s">
        <v>1047</v>
      </c>
      <c r="BK443" t="s">
        <v>99</v>
      </c>
      <c r="BL443" t="s">
        <v>1047</v>
      </c>
      <c r="BM443" t="s">
        <v>8444</v>
      </c>
      <c r="BN443" t="s">
        <v>74</v>
      </c>
      <c r="BO443" t="s">
        <v>74</v>
      </c>
      <c r="BP443" t="s">
        <v>74</v>
      </c>
      <c r="BQ443" t="s">
        <v>74</v>
      </c>
      <c r="BR443" t="s">
        <v>102</v>
      </c>
      <c r="BS443" t="s">
        <v>8445</v>
      </c>
      <c r="BT443" t="str">
        <f>HYPERLINK("https%3A%2F%2Fwww.webofscience.com%2Fwos%2Fwoscc%2Ffull-record%2FWOS:001349359400001","View Full Record in Web of Science")</f>
        <v>View Full Record in Web of Science</v>
      </c>
    </row>
    <row r="444" spans="1:72" x14ac:dyDescent="0.35">
      <c r="A444" t="s">
        <v>72</v>
      </c>
      <c r="B444" t="s">
        <v>8446</v>
      </c>
      <c r="C444" t="s">
        <v>74</v>
      </c>
      <c r="D444" t="s">
        <v>74</v>
      </c>
      <c r="E444" t="s">
        <v>74</v>
      </c>
      <c r="F444" t="s">
        <v>8447</v>
      </c>
      <c r="G444" t="s">
        <v>74</v>
      </c>
      <c r="H444" t="s">
        <v>74</v>
      </c>
      <c r="I444" t="s">
        <v>8448</v>
      </c>
      <c r="J444" t="s">
        <v>8449</v>
      </c>
      <c r="K444" t="s">
        <v>74</v>
      </c>
      <c r="L444" t="s">
        <v>74</v>
      </c>
      <c r="M444" t="s">
        <v>78</v>
      </c>
      <c r="N444" t="s">
        <v>108</v>
      </c>
      <c r="O444" t="s">
        <v>74</v>
      </c>
      <c r="P444" t="s">
        <v>74</v>
      </c>
      <c r="Q444" t="s">
        <v>74</v>
      </c>
      <c r="R444" t="s">
        <v>74</v>
      </c>
      <c r="S444" t="s">
        <v>74</v>
      </c>
      <c r="T444" t="s">
        <v>74</v>
      </c>
      <c r="U444" t="s">
        <v>8450</v>
      </c>
      <c r="V444" t="s">
        <v>8451</v>
      </c>
      <c r="W444" t="s">
        <v>8452</v>
      </c>
      <c r="X444" t="s">
        <v>8453</v>
      </c>
      <c r="Y444" t="s">
        <v>8454</v>
      </c>
      <c r="Z444" t="s">
        <v>8455</v>
      </c>
      <c r="AA444" t="s">
        <v>8456</v>
      </c>
      <c r="AB444" t="s">
        <v>8457</v>
      </c>
      <c r="AC444" t="s">
        <v>74</v>
      </c>
      <c r="AD444" t="s">
        <v>74</v>
      </c>
      <c r="AE444" t="s">
        <v>74</v>
      </c>
      <c r="AF444" t="s">
        <v>74</v>
      </c>
      <c r="AG444">
        <v>32</v>
      </c>
      <c r="AH444">
        <v>97</v>
      </c>
      <c r="AI444">
        <v>107</v>
      </c>
      <c r="AJ444">
        <v>10</v>
      </c>
      <c r="AK444">
        <v>178</v>
      </c>
      <c r="AL444" t="s">
        <v>8334</v>
      </c>
      <c r="AM444" t="s">
        <v>291</v>
      </c>
      <c r="AN444" t="s">
        <v>8335</v>
      </c>
      <c r="AO444" t="s">
        <v>8458</v>
      </c>
      <c r="AP444" t="s">
        <v>8459</v>
      </c>
      <c r="AQ444" t="s">
        <v>74</v>
      </c>
      <c r="AR444" t="s">
        <v>8460</v>
      </c>
      <c r="AS444" t="s">
        <v>8461</v>
      </c>
      <c r="AT444" t="s">
        <v>257</v>
      </c>
      <c r="AU444">
        <v>2021</v>
      </c>
      <c r="AV444">
        <v>36</v>
      </c>
      <c r="AW444">
        <v>3</v>
      </c>
      <c r="AX444" t="s">
        <v>74</v>
      </c>
      <c r="AY444" t="s">
        <v>74</v>
      </c>
      <c r="AZ444" t="s">
        <v>74</v>
      </c>
      <c r="BA444" t="s">
        <v>74</v>
      </c>
      <c r="BB444">
        <v>261</v>
      </c>
      <c r="BC444">
        <v>271</v>
      </c>
      <c r="BD444" t="s">
        <v>74</v>
      </c>
      <c r="BE444" t="s">
        <v>8462</v>
      </c>
      <c r="BF444" t="str">
        <f>HYPERLINK("http://dx.doi.org/10.1093/her/cyab010","http://dx.doi.org/10.1093/her/cyab010")</f>
        <v>http://dx.doi.org/10.1093/her/cyab010</v>
      </c>
      <c r="BG444" t="s">
        <v>74</v>
      </c>
      <c r="BH444" t="s">
        <v>8463</v>
      </c>
      <c r="BI444">
        <v>11</v>
      </c>
      <c r="BJ444" t="s">
        <v>8464</v>
      </c>
      <c r="BK444" t="s">
        <v>99</v>
      </c>
      <c r="BL444" t="s">
        <v>8464</v>
      </c>
      <c r="BM444" t="s">
        <v>8465</v>
      </c>
      <c r="BN444">
        <v>33667311</v>
      </c>
      <c r="BO444" t="s">
        <v>2194</v>
      </c>
      <c r="BP444" t="s">
        <v>74</v>
      </c>
      <c r="BQ444" t="s">
        <v>74</v>
      </c>
      <c r="BR444" t="s">
        <v>102</v>
      </c>
      <c r="BS444" t="s">
        <v>8466</v>
      </c>
      <c r="BT444" t="str">
        <f>HYPERLINK("https%3A%2F%2Fwww.webofscience.com%2Fwos%2Fwoscc%2Ffull-record%2FWOS:000684123000001","View Full Record in Web of Science")</f>
        <v>View Full Record in Web of Science</v>
      </c>
    </row>
    <row r="445" spans="1:72" x14ac:dyDescent="0.35">
      <c r="A445" t="s">
        <v>72</v>
      </c>
      <c r="B445" t="s">
        <v>8467</v>
      </c>
      <c r="C445" t="s">
        <v>74</v>
      </c>
      <c r="D445" t="s">
        <v>74</v>
      </c>
      <c r="E445" t="s">
        <v>74</v>
      </c>
      <c r="F445" t="s">
        <v>8468</v>
      </c>
      <c r="G445" t="s">
        <v>74</v>
      </c>
      <c r="H445" t="s">
        <v>74</v>
      </c>
      <c r="I445" t="s">
        <v>8469</v>
      </c>
      <c r="J445" t="s">
        <v>8470</v>
      </c>
      <c r="K445" t="s">
        <v>74</v>
      </c>
      <c r="L445" t="s">
        <v>74</v>
      </c>
      <c r="M445" t="s">
        <v>78</v>
      </c>
      <c r="N445" t="s">
        <v>79</v>
      </c>
      <c r="O445" t="s">
        <v>74</v>
      </c>
      <c r="P445" t="s">
        <v>74</v>
      </c>
      <c r="Q445" t="s">
        <v>74</v>
      </c>
      <c r="R445" t="s">
        <v>74</v>
      </c>
      <c r="S445" t="s">
        <v>74</v>
      </c>
      <c r="T445" t="s">
        <v>8471</v>
      </c>
      <c r="U445" t="s">
        <v>4774</v>
      </c>
      <c r="V445" t="s">
        <v>8472</v>
      </c>
      <c r="W445" t="s">
        <v>8473</v>
      </c>
      <c r="X445" t="s">
        <v>7272</v>
      </c>
      <c r="Y445" t="s">
        <v>8474</v>
      </c>
      <c r="Z445" t="s">
        <v>8475</v>
      </c>
      <c r="AA445" t="s">
        <v>74</v>
      </c>
      <c r="AB445" t="s">
        <v>74</v>
      </c>
      <c r="AC445" t="s">
        <v>74</v>
      </c>
      <c r="AD445" t="s">
        <v>74</v>
      </c>
      <c r="AE445" t="s">
        <v>74</v>
      </c>
      <c r="AF445" t="s">
        <v>74</v>
      </c>
      <c r="AG445">
        <v>31</v>
      </c>
      <c r="AH445">
        <v>0</v>
      </c>
      <c r="AI445">
        <v>0</v>
      </c>
      <c r="AJ445">
        <v>1</v>
      </c>
      <c r="AK445">
        <v>1</v>
      </c>
      <c r="AL445" t="s">
        <v>226</v>
      </c>
      <c r="AM445" t="s">
        <v>227</v>
      </c>
      <c r="AN445" t="s">
        <v>228</v>
      </c>
      <c r="AO445" t="s">
        <v>8476</v>
      </c>
      <c r="AP445" t="s">
        <v>8477</v>
      </c>
      <c r="AQ445" t="s">
        <v>74</v>
      </c>
      <c r="AR445" t="s">
        <v>8478</v>
      </c>
      <c r="AS445" t="s">
        <v>8479</v>
      </c>
      <c r="AT445" t="s">
        <v>8480</v>
      </c>
      <c r="AU445">
        <v>2024</v>
      </c>
      <c r="AV445" t="s">
        <v>74</v>
      </c>
      <c r="AW445" t="s">
        <v>74</v>
      </c>
      <c r="AX445" t="s">
        <v>74</v>
      </c>
      <c r="AY445" t="s">
        <v>74</v>
      </c>
      <c r="AZ445" t="s">
        <v>74</v>
      </c>
      <c r="BA445" t="s">
        <v>74</v>
      </c>
      <c r="BB445" t="s">
        <v>74</v>
      </c>
      <c r="BC445" t="s">
        <v>74</v>
      </c>
      <c r="BD445" t="s">
        <v>74</v>
      </c>
      <c r="BE445" t="s">
        <v>8481</v>
      </c>
      <c r="BF445" t="str">
        <f>HYPERLINK("http://dx.doi.org/10.1177/10398562241291956","http://dx.doi.org/10.1177/10398562241291956")</f>
        <v>http://dx.doi.org/10.1177/10398562241291956</v>
      </c>
      <c r="BG445" t="s">
        <v>74</v>
      </c>
      <c r="BH445" t="s">
        <v>1721</v>
      </c>
      <c r="BI445">
        <v>7</v>
      </c>
      <c r="BJ445" t="s">
        <v>1847</v>
      </c>
      <c r="BK445" t="s">
        <v>182</v>
      </c>
      <c r="BL445" t="s">
        <v>1847</v>
      </c>
      <c r="BM445" t="s">
        <v>8482</v>
      </c>
      <c r="BN445">
        <v>39422639</v>
      </c>
      <c r="BO445" t="s">
        <v>74</v>
      </c>
      <c r="BP445" t="s">
        <v>74</v>
      </c>
      <c r="BQ445" t="s">
        <v>74</v>
      </c>
      <c r="BR445" t="s">
        <v>102</v>
      </c>
      <c r="BS445" t="s">
        <v>8483</v>
      </c>
      <c r="BT445" t="str">
        <f>HYPERLINK("https%3A%2F%2Fwww.webofscience.com%2Fwos%2Fwoscc%2Ffull-record%2FWOS:001339905600001","View Full Record in Web of Science")</f>
        <v>View Full Record in Web of Science</v>
      </c>
    </row>
    <row r="446" spans="1:72" x14ac:dyDescent="0.35">
      <c r="A446" t="s">
        <v>72</v>
      </c>
      <c r="B446" t="s">
        <v>8484</v>
      </c>
      <c r="C446" t="s">
        <v>74</v>
      </c>
      <c r="D446" t="s">
        <v>74</v>
      </c>
      <c r="E446" t="s">
        <v>74</v>
      </c>
      <c r="F446" t="s">
        <v>8485</v>
      </c>
      <c r="G446" t="s">
        <v>74</v>
      </c>
      <c r="H446" t="s">
        <v>74</v>
      </c>
      <c r="I446" t="s">
        <v>8486</v>
      </c>
      <c r="J446" t="s">
        <v>8487</v>
      </c>
      <c r="K446" t="s">
        <v>74</v>
      </c>
      <c r="L446" t="s">
        <v>74</v>
      </c>
      <c r="M446" t="s">
        <v>78</v>
      </c>
      <c r="N446" t="s">
        <v>108</v>
      </c>
      <c r="O446" t="s">
        <v>74</v>
      </c>
      <c r="P446" t="s">
        <v>74</v>
      </c>
      <c r="Q446" t="s">
        <v>74</v>
      </c>
      <c r="R446" t="s">
        <v>74</v>
      </c>
      <c r="S446" t="s">
        <v>74</v>
      </c>
      <c r="T446" t="s">
        <v>8488</v>
      </c>
      <c r="U446" t="s">
        <v>8489</v>
      </c>
      <c r="V446" t="s">
        <v>8490</v>
      </c>
      <c r="W446" t="s">
        <v>8491</v>
      </c>
      <c r="X446" t="s">
        <v>8492</v>
      </c>
      <c r="Y446" t="s">
        <v>8493</v>
      </c>
      <c r="Z446" t="s">
        <v>8494</v>
      </c>
      <c r="AA446" t="s">
        <v>8495</v>
      </c>
      <c r="AB446" t="s">
        <v>74</v>
      </c>
      <c r="AC446" t="s">
        <v>74</v>
      </c>
      <c r="AD446" t="s">
        <v>74</v>
      </c>
      <c r="AE446" t="s">
        <v>74</v>
      </c>
      <c r="AF446" t="s">
        <v>74</v>
      </c>
      <c r="AG446">
        <v>29</v>
      </c>
      <c r="AH446">
        <v>0</v>
      </c>
      <c r="AI446">
        <v>0</v>
      </c>
      <c r="AJ446">
        <v>0</v>
      </c>
      <c r="AK446">
        <v>1</v>
      </c>
      <c r="AL446" t="s">
        <v>8496</v>
      </c>
      <c r="AM446" t="s">
        <v>8497</v>
      </c>
      <c r="AN446" t="s">
        <v>8498</v>
      </c>
      <c r="AO446" t="s">
        <v>8499</v>
      </c>
      <c r="AP446" t="s">
        <v>8500</v>
      </c>
      <c r="AQ446" t="s">
        <v>74</v>
      </c>
      <c r="AR446" t="s">
        <v>8501</v>
      </c>
      <c r="AS446" t="s">
        <v>8502</v>
      </c>
      <c r="AT446" t="s">
        <v>74</v>
      </c>
      <c r="AU446">
        <v>2023</v>
      </c>
      <c r="AV446" t="s">
        <v>74</v>
      </c>
      <c r="AW446">
        <v>56</v>
      </c>
      <c r="AX446" t="s">
        <v>74</v>
      </c>
      <c r="AY446" t="s">
        <v>74</v>
      </c>
      <c r="AZ446" t="s">
        <v>74</v>
      </c>
      <c r="BA446" t="s">
        <v>74</v>
      </c>
      <c r="BB446">
        <v>117</v>
      </c>
      <c r="BC446">
        <v>142</v>
      </c>
      <c r="BD446" t="s">
        <v>74</v>
      </c>
      <c r="BE446" t="s">
        <v>8503</v>
      </c>
      <c r="BF446" t="str">
        <f>HYPERLINK("http://dx.doi.org/10.7764/cdi.56.63663","http://dx.doi.org/10.7764/cdi.56.63663")</f>
        <v>http://dx.doi.org/10.7764/cdi.56.63663</v>
      </c>
      <c r="BG446" t="s">
        <v>74</v>
      </c>
      <c r="BH446" t="s">
        <v>74</v>
      </c>
      <c r="BI446">
        <v>26</v>
      </c>
      <c r="BJ446" t="s">
        <v>124</v>
      </c>
      <c r="BK446" t="s">
        <v>125</v>
      </c>
      <c r="BL446" t="s">
        <v>124</v>
      </c>
      <c r="BM446" t="s">
        <v>8504</v>
      </c>
      <c r="BN446" t="s">
        <v>74</v>
      </c>
      <c r="BO446" t="s">
        <v>3287</v>
      </c>
      <c r="BP446" t="s">
        <v>74</v>
      </c>
      <c r="BQ446" t="s">
        <v>74</v>
      </c>
      <c r="BR446" t="s">
        <v>102</v>
      </c>
      <c r="BS446" t="s">
        <v>8505</v>
      </c>
      <c r="BT446" t="str">
        <f>HYPERLINK("https%3A%2F%2Fwww.webofscience.com%2Fwos%2Fwoscc%2Ffull-record%2FWOS:001087028400001","View Full Record in Web of Science")</f>
        <v>View Full Record in Web of Science</v>
      </c>
    </row>
    <row r="447" spans="1:72" x14ac:dyDescent="0.35">
      <c r="A447" t="s">
        <v>72</v>
      </c>
      <c r="B447" t="s">
        <v>8506</v>
      </c>
      <c r="C447" t="s">
        <v>74</v>
      </c>
      <c r="D447" t="s">
        <v>74</v>
      </c>
      <c r="E447" t="s">
        <v>74</v>
      </c>
      <c r="F447" t="s">
        <v>8507</v>
      </c>
      <c r="G447" t="s">
        <v>74</v>
      </c>
      <c r="H447" t="s">
        <v>74</v>
      </c>
      <c r="I447" t="s">
        <v>8508</v>
      </c>
      <c r="J447" t="s">
        <v>8509</v>
      </c>
      <c r="K447" t="s">
        <v>74</v>
      </c>
      <c r="L447" t="s">
        <v>74</v>
      </c>
      <c r="M447" t="s">
        <v>78</v>
      </c>
      <c r="N447" t="s">
        <v>108</v>
      </c>
      <c r="O447" t="s">
        <v>74</v>
      </c>
      <c r="P447" t="s">
        <v>74</v>
      </c>
      <c r="Q447" t="s">
        <v>74</v>
      </c>
      <c r="R447" t="s">
        <v>74</v>
      </c>
      <c r="S447" t="s">
        <v>74</v>
      </c>
      <c r="T447" t="s">
        <v>8510</v>
      </c>
      <c r="U447" t="s">
        <v>8511</v>
      </c>
      <c r="V447" t="s">
        <v>8512</v>
      </c>
      <c r="W447" t="s">
        <v>8513</v>
      </c>
      <c r="X447" t="s">
        <v>8514</v>
      </c>
      <c r="Y447" t="s">
        <v>8515</v>
      </c>
      <c r="Z447" t="s">
        <v>74</v>
      </c>
      <c r="AA447" t="s">
        <v>74</v>
      </c>
      <c r="AB447" t="s">
        <v>74</v>
      </c>
      <c r="AC447" t="s">
        <v>74</v>
      </c>
      <c r="AD447" t="s">
        <v>74</v>
      </c>
      <c r="AE447" t="s">
        <v>74</v>
      </c>
      <c r="AF447" t="s">
        <v>74</v>
      </c>
      <c r="AG447">
        <v>25</v>
      </c>
      <c r="AH447">
        <v>1</v>
      </c>
      <c r="AI447">
        <v>1</v>
      </c>
      <c r="AJ447">
        <v>2</v>
      </c>
      <c r="AK447">
        <v>27</v>
      </c>
      <c r="AL447" t="s">
        <v>8516</v>
      </c>
      <c r="AM447" t="s">
        <v>8517</v>
      </c>
      <c r="AN447" t="s">
        <v>8518</v>
      </c>
      <c r="AO447" t="s">
        <v>8519</v>
      </c>
      <c r="AP447" t="s">
        <v>74</v>
      </c>
      <c r="AQ447" t="s">
        <v>74</v>
      </c>
      <c r="AR447" t="s">
        <v>8520</v>
      </c>
      <c r="AS447" t="s">
        <v>8521</v>
      </c>
      <c r="AT447" t="s">
        <v>74</v>
      </c>
      <c r="AU447">
        <v>2022</v>
      </c>
      <c r="AV447">
        <v>11</v>
      </c>
      <c r="AW447" t="s">
        <v>74</v>
      </c>
      <c r="AX447" t="s">
        <v>74</v>
      </c>
      <c r="AY447" t="s">
        <v>74</v>
      </c>
      <c r="AZ447" t="s">
        <v>74</v>
      </c>
      <c r="BA447" t="s">
        <v>74</v>
      </c>
      <c r="BB447">
        <v>623</v>
      </c>
      <c r="BC447">
        <v>636</v>
      </c>
      <c r="BD447" t="s">
        <v>74</v>
      </c>
      <c r="BE447" t="s">
        <v>74</v>
      </c>
      <c r="BF447" t="s">
        <v>74</v>
      </c>
      <c r="BG447" t="s">
        <v>74</v>
      </c>
      <c r="BH447" t="s">
        <v>74</v>
      </c>
      <c r="BI447">
        <v>14</v>
      </c>
      <c r="BJ447" t="s">
        <v>98</v>
      </c>
      <c r="BK447" t="s">
        <v>125</v>
      </c>
      <c r="BL447" t="s">
        <v>100</v>
      </c>
      <c r="BM447" t="s">
        <v>8522</v>
      </c>
      <c r="BN447" t="s">
        <v>74</v>
      </c>
      <c r="BO447" t="s">
        <v>74</v>
      </c>
      <c r="BP447" t="s">
        <v>74</v>
      </c>
      <c r="BQ447" t="s">
        <v>74</v>
      </c>
      <c r="BR447" t="s">
        <v>102</v>
      </c>
      <c r="BS447" t="s">
        <v>8523</v>
      </c>
      <c r="BT447" t="str">
        <f>HYPERLINK("https%3A%2F%2Fwww.webofscience.com%2Fwos%2Fwoscc%2Ffull-record%2FWOS:000880115600001","View Full Record in Web of Science")</f>
        <v>View Full Record in Web of Science</v>
      </c>
    </row>
    <row r="448" spans="1:72" x14ac:dyDescent="0.35">
      <c r="A448" t="s">
        <v>72</v>
      </c>
      <c r="B448" t="s">
        <v>8524</v>
      </c>
      <c r="C448" t="s">
        <v>74</v>
      </c>
      <c r="D448" t="s">
        <v>74</v>
      </c>
      <c r="E448" t="s">
        <v>74</v>
      </c>
      <c r="F448" t="s">
        <v>8525</v>
      </c>
      <c r="G448" t="s">
        <v>74</v>
      </c>
      <c r="H448" t="s">
        <v>74</v>
      </c>
      <c r="I448" t="s">
        <v>8526</v>
      </c>
      <c r="J448" t="s">
        <v>8527</v>
      </c>
      <c r="K448" t="s">
        <v>74</v>
      </c>
      <c r="L448" t="s">
        <v>74</v>
      </c>
      <c r="M448" t="s">
        <v>78</v>
      </c>
      <c r="N448" t="s">
        <v>108</v>
      </c>
      <c r="O448" t="s">
        <v>74</v>
      </c>
      <c r="P448" t="s">
        <v>74</v>
      </c>
      <c r="Q448" t="s">
        <v>74</v>
      </c>
      <c r="R448" t="s">
        <v>74</v>
      </c>
      <c r="S448" t="s">
        <v>74</v>
      </c>
      <c r="T448" t="s">
        <v>74</v>
      </c>
      <c r="U448" t="s">
        <v>74</v>
      </c>
      <c r="V448" t="s">
        <v>8528</v>
      </c>
      <c r="W448" t="s">
        <v>8529</v>
      </c>
      <c r="X448" t="s">
        <v>8530</v>
      </c>
      <c r="Y448" t="s">
        <v>8531</v>
      </c>
      <c r="Z448" t="s">
        <v>8532</v>
      </c>
      <c r="AA448" t="s">
        <v>74</v>
      </c>
      <c r="AB448" t="s">
        <v>8533</v>
      </c>
      <c r="AC448" t="s">
        <v>74</v>
      </c>
      <c r="AD448" t="s">
        <v>74</v>
      </c>
      <c r="AE448" t="s">
        <v>74</v>
      </c>
      <c r="AF448" t="s">
        <v>74</v>
      </c>
      <c r="AG448">
        <v>19</v>
      </c>
      <c r="AH448">
        <v>0</v>
      </c>
      <c r="AI448">
        <v>0</v>
      </c>
      <c r="AJ448">
        <v>1</v>
      </c>
      <c r="AK448">
        <v>8</v>
      </c>
      <c r="AL448" t="s">
        <v>8534</v>
      </c>
      <c r="AM448" t="s">
        <v>8535</v>
      </c>
      <c r="AN448" t="s">
        <v>8536</v>
      </c>
      <c r="AO448" t="s">
        <v>8537</v>
      </c>
      <c r="AP448" t="s">
        <v>8538</v>
      </c>
      <c r="AQ448" t="s">
        <v>74</v>
      </c>
      <c r="AR448" t="s">
        <v>8539</v>
      </c>
      <c r="AS448" t="s">
        <v>8540</v>
      </c>
      <c r="AT448" t="s">
        <v>74</v>
      </c>
      <c r="AU448">
        <v>2022</v>
      </c>
      <c r="AV448">
        <v>60</v>
      </c>
      <c r="AW448">
        <v>3</v>
      </c>
      <c r="AX448" t="s">
        <v>74</v>
      </c>
      <c r="AY448" t="s">
        <v>74</v>
      </c>
      <c r="AZ448" t="s">
        <v>74</v>
      </c>
      <c r="BA448" t="s">
        <v>74</v>
      </c>
      <c r="BB448" t="s">
        <v>74</v>
      </c>
      <c r="BC448" t="s">
        <v>74</v>
      </c>
      <c r="BD448">
        <v>9</v>
      </c>
      <c r="BE448" t="s">
        <v>8541</v>
      </c>
      <c r="BF448" t="str">
        <f>HYPERLINK("http://dx.doi.org/10.34068/joe.60.03.09","http://dx.doi.org/10.34068/joe.60.03.09")</f>
        <v>http://dx.doi.org/10.34068/joe.60.03.09</v>
      </c>
      <c r="BG448" t="s">
        <v>74</v>
      </c>
      <c r="BH448" t="s">
        <v>74</v>
      </c>
      <c r="BI448">
        <v>5</v>
      </c>
      <c r="BJ448" t="s">
        <v>787</v>
      </c>
      <c r="BK448" t="s">
        <v>125</v>
      </c>
      <c r="BL448" t="s">
        <v>787</v>
      </c>
      <c r="BM448" t="s">
        <v>8542</v>
      </c>
      <c r="BN448" t="s">
        <v>74</v>
      </c>
      <c r="BO448" t="s">
        <v>235</v>
      </c>
      <c r="BP448" t="s">
        <v>74</v>
      </c>
      <c r="BQ448" t="s">
        <v>74</v>
      </c>
      <c r="BR448" t="s">
        <v>102</v>
      </c>
      <c r="BS448" t="s">
        <v>8543</v>
      </c>
      <c r="BT448" t="str">
        <f>HYPERLINK("https%3A%2F%2Fwww.webofscience.com%2Fwos%2Fwoscc%2Ffull-record%2FWOS:000941666900011","View Full Record in Web of Science")</f>
        <v>View Full Record in Web of Science</v>
      </c>
    </row>
    <row r="449" spans="1:72" x14ac:dyDescent="0.35">
      <c r="A449" t="s">
        <v>72</v>
      </c>
      <c r="B449" t="s">
        <v>8544</v>
      </c>
      <c r="C449" t="s">
        <v>74</v>
      </c>
      <c r="D449" t="s">
        <v>74</v>
      </c>
      <c r="E449" t="s">
        <v>74</v>
      </c>
      <c r="F449" t="s">
        <v>8545</v>
      </c>
      <c r="G449" t="s">
        <v>74</v>
      </c>
      <c r="H449" t="s">
        <v>74</v>
      </c>
      <c r="I449" t="s">
        <v>8546</v>
      </c>
      <c r="J449" t="s">
        <v>161</v>
      </c>
      <c r="K449" t="s">
        <v>74</v>
      </c>
      <c r="L449" t="s">
        <v>74</v>
      </c>
      <c r="M449" t="s">
        <v>78</v>
      </c>
      <c r="N449" t="s">
        <v>79</v>
      </c>
      <c r="O449" t="s">
        <v>74</v>
      </c>
      <c r="P449" t="s">
        <v>74</v>
      </c>
      <c r="Q449" t="s">
        <v>74</v>
      </c>
      <c r="R449" t="s">
        <v>74</v>
      </c>
      <c r="S449" t="s">
        <v>74</v>
      </c>
      <c r="T449" t="s">
        <v>8547</v>
      </c>
      <c r="U449" t="s">
        <v>8548</v>
      </c>
      <c r="V449" t="s">
        <v>8549</v>
      </c>
      <c r="W449" t="s">
        <v>8550</v>
      </c>
      <c r="X449" t="s">
        <v>8551</v>
      </c>
      <c r="Y449" t="s">
        <v>8552</v>
      </c>
      <c r="Z449" t="s">
        <v>8553</v>
      </c>
      <c r="AA449" t="s">
        <v>74</v>
      </c>
      <c r="AB449" t="s">
        <v>5637</v>
      </c>
      <c r="AC449" t="s">
        <v>74</v>
      </c>
      <c r="AD449" t="s">
        <v>74</v>
      </c>
      <c r="AE449" t="s">
        <v>74</v>
      </c>
      <c r="AF449" t="s">
        <v>74</v>
      </c>
      <c r="AG449">
        <v>47</v>
      </c>
      <c r="AH449">
        <v>0</v>
      </c>
      <c r="AI449">
        <v>0</v>
      </c>
      <c r="AJ449">
        <v>33</v>
      </c>
      <c r="AK449">
        <v>33</v>
      </c>
      <c r="AL449" t="s">
        <v>171</v>
      </c>
      <c r="AM449" t="s">
        <v>172</v>
      </c>
      <c r="AN449" t="s">
        <v>173</v>
      </c>
      <c r="AO449" t="s">
        <v>174</v>
      </c>
      <c r="AP449" t="s">
        <v>175</v>
      </c>
      <c r="AQ449" t="s">
        <v>74</v>
      </c>
      <c r="AR449" t="s">
        <v>176</v>
      </c>
      <c r="AS449" t="s">
        <v>177</v>
      </c>
      <c r="AT449" t="s">
        <v>8554</v>
      </c>
      <c r="AU449">
        <v>2024</v>
      </c>
      <c r="AV449" t="s">
        <v>74</v>
      </c>
      <c r="AW449" t="s">
        <v>74</v>
      </c>
      <c r="AX449" t="s">
        <v>74</v>
      </c>
      <c r="AY449" t="s">
        <v>74</v>
      </c>
      <c r="AZ449" t="s">
        <v>74</v>
      </c>
      <c r="BA449" t="s">
        <v>74</v>
      </c>
      <c r="BB449" t="s">
        <v>74</v>
      </c>
      <c r="BC449" t="s">
        <v>74</v>
      </c>
      <c r="BD449" t="s">
        <v>74</v>
      </c>
      <c r="BE449" t="s">
        <v>8555</v>
      </c>
      <c r="BF449" t="str">
        <f>HYPERLINK("http://dx.doi.org/10.1177/08944393241279422","http://dx.doi.org/10.1177/08944393241279422")</f>
        <v>http://dx.doi.org/10.1177/08944393241279422</v>
      </c>
      <c r="BG449" t="s">
        <v>74</v>
      </c>
      <c r="BH449" t="s">
        <v>2444</v>
      </c>
      <c r="BI449">
        <v>14</v>
      </c>
      <c r="BJ449" t="s">
        <v>181</v>
      </c>
      <c r="BK449" t="s">
        <v>182</v>
      </c>
      <c r="BL449" t="s">
        <v>183</v>
      </c>
      <c r="BM449" t="s">
        <v>8556</v>
      </c>
      <c r="BN449" t="s">
        <v>74</v>
      </c>
      <c r="BO449" t="s">
        <v>74</v>
      </c>
      <c r="BP449" t="s">
        <v>74</v>
      </c>
      <c r="BQ449" t="s">
        <v>74</v>
      </c>
      <c r="BR449" t="s">
        <v>102</v>
      </c>
      <c r="BS449" t="s">
        <v>8557</v>
      </c>
      <c r="BT449" t="str">
        <f>HYPERLINK("https%3A%2F%2Fwww.webofscience.com%2Fwos%2Fwoscc%2Ffull-record%2FWOS:001307538800001","View Full Record in Web of Science")</f>
        <v>View Full Record in Web of Science</v>
      </c>
    </row>
    <row r="450" spans="1:72" x14ac:dyDescent="0.35">
      <c r="A450" t="s">
        <v>72</v>
      </c>
      <c r="B450" t="s">
        <v>8558</v>
      </c>
      <c r="C450" t="s">
        <v>74</v>
      </c>
      <c r="D450" t="s">
        <v>74</v>
      </c>
      <c r="E450" t="s">
        <v>74</v>
      </c>
      <c r="F450" t="s">
        <v>8559</v>
      </c>
      <c r="G450" t="s">
        <v>74</v>
      </c>
      <c r="H450" t="s">
        <v>74</v>
      </c>
      <c r="I450" t="s">
        <v>8560</v>
      </c>
      <c r="J450" t="s">
        <v>8561</v>
      </c>
      <c r="K450" t="s">
        <v>74</v>
      </c>
      <c r="L450" t="s">
        <v>74</v>
      </c>
      <c r="M450" t="s">
        <v>1012</v>
      </c>
      <c r="N450" t="s">
        <v>108</v>
      </c>
      <c r="O450" t="s">
        <v>74</v>
      </c>
      <c r="P450" t="s">
        <v>74</v>
      </c>
      <c r="Q450" t="s">
        <v>74</v>
      </c>
      <c r="R450" t="s">
        <v>74</v>
      </c>
      <c r="S450" t="s">
        <v>74</v>
      </c>
      <c r="T450" t="s">
        <v>74</v>
      </c>
      <c r="U450" t="s">
        <v>74</v>
      </c>
      <c r="V450" t="s">
        <v>74</v>
      </c>
      <c r="W450" t="s">
        <v>8562</v>
      </c>
      <c r="X450" t="s">
        <v>8563</v>
      </c>
      <c r="Y450" t="s">
        <v>8564</v>
      </c>
      <c r="Z450" t="s">
        <v>8565</v>
      </c>
      <c r="AA450" t="s">
        <v>74</v>
      </c>
      <c r="AB450" t="s">
        <v>74</v>
      </c>
      <c r="AC450" t="s">
        <v>74</v>
      </c>
      <c r="AD450" t="s">
        <v>74</v>
      </c>
      <c r="AE450" t="s">
        <v>74</v>
      </c>
      <c r="AF450" t="s">
        <v>74</v>
      </c>
      <c r="AG450">
        <v>34</v>
      </c>
      <c r="AH450">
        <v>1</v>
      </c>
      <c r="AI450">
        <v>1</v>
      </c>
      <c r="AJ450">
        <v>1</v>
      </c>
      <c r="AK450">
        <v>5</v>
      </c>
      <c r="AL450" t="s">
        <v>8566</v>
      </c>
      <c r="AM450" t="s">
        <v>8567</v>
      </c>
      <c r="AN450" t="s">
        <v>8568</v>
      </c>
      <c r="AO450" t="s">
        <v>8569</v>
      </c>
      <c r="AP450" t="s">
        <v>74</v>
      </c>
      <c r="AQ450" t="s">
        <v>74</v>
      </c>
      <c r="AR450" t="s">
        <v>8561</v>
      </c>
      <c r="AS450" t="s">
        <v>8570</v>
      </c>
      <c r="AT450" t="s">
        <v>594</v>
      </c>
      <c r="AU450">
        <v>2022</v>
      </c>
      <c r="AV450">
        <v>69</v>
      </c>
      <c r="AW450">
        <v>10</v>
      </c>
      <c r="AX450" t="s">
        <v>74</v>
      </c>
      <c r="AY450" t="s">
        <v>74</v>
      </c>
      <c r="AZ450" t="s">
        <v>74</v>
      </c>
      <c r="BA450" t="s">
        <v>74</v>
      </c>
      <c r="BB450" t="s">
        <v>8571</v>
      </c>
      <c r="BC450" t="s">
        <v>8572</v>
      </c>
      <c r="BD450" t="s">
        <v>74</v>
      </c>
      <c r="BE450" t="s">
        <v>74</v>
      </c>
      <c r="BF450" t="s">
        <v>74</v>
      </c>
      <c r="BG450" t="s">
        <v>74</v>
      </c>
      <c r="BH450" t="s">
        <v>74</v>
      </c>
      <c r="BI450">
        <v>12</v>
      </c>
      <c r="BJ450" t="s">
        <v>1071</v>
      </c>
      <c r="BK450" t="s">
        <v>209</v>
      </c>
      <c r="BL450" t="s">
        <v>1071</v>
      </c>
      <c r="BM450" t="s">
        <v>8573</v>
      </c>
      <c r="BN450" t="s">
        <v>74</v>
      </c>
      <c r="BO450" t="s">
        <v>74</v>
      </c>
      <c r="BP450" t="s">
        <v>74</v>
      </c>
      <c r="BQ450" t="s">
        <v>74</v>
      </c>
      <c r="BR450" t="s">
        <v>102</v>
      </c>
      <c r="BS450" t="s">
        <v>8574</v>
      </c>
      <c r="BT450" t="str">
        <f>HYPERLINK("https%3A%2F%2Fwww.webofscience.com%2Fwos%2Fwoscc%2Ffull-record%2FWOS:000871370100017","View Full Record in Web of Science")</f>
        <v>View Full Record in Web of Science</v>
      </c>
    </row>
    <row r="451" spans="1:72" x14ac:dyDescent="0.35">
      <c r="A451" t="s">
        <v>72</v>
      </c>
      <c r="B451" t="s">
        <v>8575</v>
      </c>
      <c r="C451" t="s">
        <v>74</v>
      </c>
      <c r="D451" t="s">
        <v>74</v>
      </c>
      <c r="E451" t="s">
        <v>74</v>
      </c>
      <c r="F451" t="s">
        <v>8576</v>
      </c>
      <c r="G451" t="s">
        <v>74</v>
      </c>
      <c r="H451" t="s">
        <v>74</v>
      </c>
      <c r="I451" t="s">
        <v>8577</v>
      </c>
      <c r="J451" t="s">
        <v>8578</v>
      </c>
      <c r="K451" t="s">
        <v>74</v>
      </c>
      <c r="L451" t="s">
        <v>74</v>
      </c>
      <c r="M451" t="s">
        <v>78</v>
      </c>
      <c r="N451" t="s">
        <v>108</v>
      </c>
      <c r="O451" t="s">
        <v>74</v>
      </c>
      <c r="P451" t="s">
        <v>74</v>
      </c>
      <c r="Q451" t="s">
        <v>74</v>
      </c>
      <c r="R451" t="s">
        <v>74</v>
      </c>
      <c r="S451" t="s">
        <v>74</v>
      </c>
      <c r="T451" t="s">
        <v>8579</v>
      </c>
      <c r="U451" t="s">
        <v>8580</v>
      </c>
      <c r="V451" t="s">
        <v>8581</v>
      </c>
      <c r="W451" t="s">
        <v>8582</v>
      </c>
      <c r="X451" t="s">
        <v>8583</v>
      </c>
      <c r="Y451" t="s">
        <v>8584</v>
      </c>
      <c r="Z451" t="s">
        <v>8585</v>
      </c>
      <c r="AA451" t="s">
        <v>8586</v>
      </c>
      <c r="AB451" t="s">
        <v>8587</v>
      </c>
      <c r="AC451" t="s">
        <v>74</v>
      </c>
      <c r="AD451" t="s">
        <v>74</v>
      </c>
      <c r="AE451" t="s">
        <v>74</v>
      </c>
      <c r="AF451" t="s">
        <v>74</v>
      </c>
      <c r="AG451">
        <v>69</v>
      </c>
      <c r="AH451">
        <v>75</v>
      </c>
      <c r="AI451">
        <v>81</v>
      </c>
      <c r="AJ451">
        <v>49</v>
      </c>
      <c r="AK451">
        <v>372</v>
      </c>
      <c r="AL451" t="s">
        <v>3632</v>
      </c>
      <c r="AM451" t="s">
        <v>291</v>
      </c>
      <c r="AN451" t="s">
        <v>3633</v>
      </c>
      <c r="AO451" t="s">
        <v>8588</v>
      </c>
      <c r="AP451" t="s">
        <v>8589</v>
      </c>
      <c r="AQ451" t="s">
        <v>74</v>
      </c>
      <c r="AR451" t="s">
        <v>8590</v>
      </c>
      <c r="AS451" t="s">
        <v>8591</v>
      </c>
      <c r="AT451" t="s">
        <v>297</v>
      </c>
      <c r="AU451">
        <v>2021</v>
      </c>
      <c r="AV451">
        <v>45</v>
      </c>
      <c r="AW451">
        <v>7</v>
      </c>
      <c r="AX451" t="s">
        <v>74</v>
      </c>
      <c r="AY451" t="s">
        <v>74</v>
      </c>
      <c r="AZ451" t="s">
        <v>74</v>
      </c>
      <c r="BA451" t="s">
        <v>74</v>
      </c>
      <c r="BB451" t="s">
        <v>74</v>
      </c>
      <c r="BC451" t="s">
        <v>74</v>
      </c>
      <c r="BD451">
        <v>102172</v>
      </c>
      <c r="BE451" t="s">
        <v>8592</v>
      </c>
      <c r="BF451" t="str">
        <f>HYPERLINK("http://dx.doi.org/10.1016/j.telpol.2021.102172","http://dx.doi.org/10.1016/j.telpol.2021.102172")</f>
        <v>http://dx.doi.org/10.1016/j.telpol.2021.102172</v>
      </c>
      <c r="BG451" t="s">
        <v>74</v>
      </c>
      <c r="BH451" t="s">
        <v>8593</v>
      </c>
      <c r="BI451">
        <v>15</v>
      </c>
      <c r="BJ451" t="s">
        <v>8594</v>
      </c>
      <c r="BK451" t="s">
        <v>182</v>
      </c>
      <c r="BL451" t="s">
        <v>8594</v>
      </c>
      <c r="BM451" t="s">
        <v>8595</v>
      </c>
      <c r="BN451" t="s">
        <v>74</v>
      </c>
      <c r="BO451" t="s">
        <v>74</v>
      </c>
      <c r="BP451" t="s">
        <v>74</v>
      </c>
      <c r="BQ451" t="s">
        <v>74</v>
      </c>
      <c r="BR451" t="s">
        <v>102</v>
      </c>
      <c r="BS451" t="s">
        <v>8596</v>
      </c>
      <c r="BT451" t="str">
        <f>HYPERLINK("https%3A%2F%2Fwww.webofscience.com%2Fwos%2Fwoscc%2Ffull-record%2FWOS:000675491400009","View Full Record in Web of Science")</f>
        <v>View Full Record in Web of Science</v>
      </c>
    </row>
    <row r="452" spans="1:72" x14ac:dyDescent="0.35">
      <c r="A452" t="s">
        <v>72</v>
      </c>
      <c r="B452" t="s">
        <v>8597</v>
      </c>
      <c r="C452" t="s">
        <v>74</v>
      </c>
      <c r="D452" t="s">
        <v>74</v>
      </c>
      <c r="E452" t="s">
        <v>74</v>
      </c>
      <c r="F452" t="s">
        <v>8598</v>
      </c>
      <c r="G452" t="s">
        <v>74</v>
      </c>
      <c r="H452" t="s">
        <v>74</v>
      </c>
      <c r="I452" t="s">
        <v>8599</v>
      </c>
      <c r="J452" t="s">
        <v>2649</v>
      </c>
      <c r="K452" t="s">
        <v>74</v>
      </c>
      <c r="L452" t="s">
        <v>74</v>
      </c>
      <c r="M452" t="s">
        <v>78</v>
      </c>
      <c r="N452" t="s">
        <v>108</v>
      </c>
      <c r="O452" t="s">
        <v>74</v>
      </c>
      <c r="P452" t="s">
        <v>74</v>
      </c>
      <c r="Q452" t="s">
        <v>74</v>
      </c>
      <c r="R452" t="s">
        <v>74</v>
      </c>
      <c r="S452" t="s">
        <v>74</v>
      </c>
      <c r="T452" t="s">
        <v>8600</v>
      </c>
      <c r="U452" t="s">
        <v>8601</v>
      </c>
      <c r="V452" t="s">
        <v>8602</v>
      </c>
      <c r="W452" t="s">
        <v>8603</v>
      </c>
      <c r="X452" t="s">
        <v>8604</v>
      </c>
      <c r="Y452" t="s">
        <v>8605</v>
      </c>
      <c r="Z452" t="s">
        <v>8606</v>
      </c>
      <c r="AA452" t="s">
        <v>74</v>
      </c>
      <c r="AB452" t="s">
        <v>8607</v>
      </c>
      <c r="AC452" t="s">
        <v>74</v>
      </c>
      <c r="AD452" t="s">
        <v>74</v>
      </c>
      <c r="AE452" t="s">
        <v>74</v>
      </c>
      <c r="AF452" t="s">
        <v>74</v>
      </c>
      <c r="AG452">
        <v>81</v>
      </c>
      <c r="AH452">
        <v>10</v>
      </c>
      <c r="AI452">
        <v>10</v>
      </c>
      <c r="AJ452">
        <v>14</v>
      </c>
      <c r="AK452">
        <v>47</v>
      </c>
      <c r="AL452" t="s">
        <v>2662</v>
      </c>
      <c r="AM452" t="s">
        <v>2663</v>
      </c>
      <c r="AN452" t="s">
        <v>2664</v>
      </c>
      <c r="AO452" t="s">
        <v>2665</v>
      </c>
      <c r="AP452" t="s">
        <v>74</v>
      </c>
      <c r="AQ452" t="s">
        <v>74</v>
      </c>
      <c r="AR452" t="s">
        <v>2666</v>
      </c>
      <c r="AS452" t="s">
        <v>2667</v>
      </c>
      <c r="AT452" t="s">
        <v>74</v>
      </c>
      <c r="AU452">
        <v>2023</v>
      </c>
      <c r="AV452">
        <v>11</v>
      </c>
      <c r="AW452">
        <v>1</v>
      </c>
      <c r="AX452" t="s">
        <v>74</v>
      </c>
      <c r="AY452" t="s">
        <v>74</v>
      </c>
      <c r="AZ452" t="s">
        <v>74</v>
      </c>
      <c r="BA452" t="s">
        <v>74</v>
      </c>
      <c r="BB452">
        <v>240</v>
      </c>
      <c r="BC452">
        <v>251</v>
      </c>
      <c r="BD452" t="s">
        <v>74</v>
      </c>
      <c r="BE452" t="s">
        <v>8608</v>
      </c>
      <c r="BF452" t="str">
        <f>HYPERLINK("http://dx.doi.org/10.17645/mac.v11i1.6070","http://dx.doi.org/10.17645/mac.v11i1.6070")</f>
        <v>http://dx.doi.org/10.17645/mac.v11i1.6070</v>
      </c>
      <c r="BG452" t="s">
        <v>74</v>
      </c>
      <c r="BH452" t="s">
        <v>74</v>
      </c>
      <c r="BI452">
        <v>12</v>
      </c>
      <c r="BJ452" t="s">
        <v>124</v>
      </c>
      <c r="BK452" t="s">
        <v>99</v>
      </c>
      <c r="BL452" t="s">
        <v>124</v>
      </c>
      <c r="BM452" t="s">
        <v>8609</v>
      </c>
      <c r="BN452" t="s">
        <v>74</v>
      </c>
      <c r="BO452" t="s">
        <v>394</v>
      </c>
      <c r="BP452" t="s">
        <v>74</v>
      </c>
      <c r="BQ452" t="s">
        <v>74</v>
      </c>
      <c r="BR452" t="s">
        <v>102</v>
      </c>
      <c r="BS452" t="s">
        <v>8610</v>
      </c>
      <c r="BT452" t="str">
        <f>HYPERLINK("https%3A%2F%2Fwww.webofscience.com%2Fwos%2Fwoscc%2Ffull-record%2FWOS:001042747900004","View Full Record in Web of Science")</f>
        <v>View Full Record in Web of Science</v>
      </c>
    </row>
    <row r="453" spans="1:72" x14ac:dyDescent="0.35">
      <c r="A453" t="s">
        <v>72</v>
      </c>
      <c r="B453" t="s">
        <v>8611</v>
      </c>
      <c r="C453" t="s">
        <v>74</v>
      </c>
      <c r="D453" t="s">
        <v>74</v>
      </c>
      <c r="E453" t="s">
        <v>74</v>
      </c>
      <c r="F453" t="s">
        <v>8612</v>
      </c>
      <c r="G453" t="s">
        <v>74</v>
      </c>
      <c r="H453" t="s">
        <v>74</v>
      </c>
      <c r="I453" t="s">
        <v>8613</v>
      </c>
      <c r="J453" t="s">
        <v>8614</v>
      </c>
      <c r="K453" t="s">
        <v>74</v>
      </c>
      <c r="L453" t="s">
        <v>74</v>
      </c>
      <c r="M453" t="s">
        <v>78</v>
      </c>
      <c r="N453" t="s">
        <v>108</v>
      </c>
      <c r="O453" t="s">
        <v>74</v>
      </c>
      <c r="P453" t="s">
        <v>74</v>
      </c>
      <c r="Q453" t="s">
        <v>74</v>
      </c>
      <c r="R453" t="s">
        <v>74</v>
      </c>
      <c r="S453" t="s">
        <v>74</v>
      </c>
      <c r="T453" t="s">
        <v>8615</v>
      </c>
      <c r="U453" t="s">
        <v>8616</v>
      </c>
      <c r="V453" t="s">
        <v>8617</v>
      </c>
      <c r="W453" t="s">
        <v>8618</v>
      </c>
      <c r="X453" t="s">
        <v>8619</v>
      </c>
      <c r="Y453" t="s">
        <v>8620</v>
      </c>
      <c r="Z453" t="s">
        <v>8621</v>
      </c>
      <c r="AA453" t="s">
        <v>8622</v>
      </c>
      <c r="AB453" t="s">
        <v>74</v>
      </c>
      <c r="AC453" t="s">
        <v>74</v>
      </c>
      <c r="AD453" t="s">
        <v>74</v>
      </c>
      <c r="AE453" t="s">
        <v>74</v>
      </c>
      <c r="AF453" t="s">
        <v>74</v>
      </c>
      <c r="AG453">
        <v>33</v>
      </c>
      <c r="AH453">
        <v>0</v>
      </c>
      <c r="AI453">
        <v>0</v>
      </c>
      <c r="AJ453">
        <v>3</v>
      </c>
      <c r="AK453">
        <v>3</v>
      </c>
      <c r="AL453" t="s">
        <v>8623</v>
      </c>
      <c r="AM453" t="s">
        <v>8624</v>
      </c>
      <c r="AN453" t="s">
        <v>8625</v>
      </c>
      <c r="AO453" t="s">
        <v>8626</v>
      </c>
      <c r="AP453" t="s">
        <v>8627</v>
      </c>
      <c r="AQ453" t="s">
        <v>74</v>
      </c>
      <c r="AR453" t="s">
        <v>8628</v>
      </c>
      <c r="AS453" t="s">
        <v>8629</v>
      </c>
      <c r="AT453" t="s">
        <v>8630</v>
      </c>
      <c r="AU453">
        <v>2023</v>
      </c>
      <c r="AV453">
        <v>19</v>
      </c>
      <c r="AW453">
        <v>2</v>
      </c>
      <c r="AX453" t="s">
        <v>74</v>
      </c>
      <c r="AY453" t="s">
        <v>74</v>
      </c>
      <c r="AZ453" t="s">
        <v>74</v>
      </c>
      <c r="BA453" t="s">
        <v>74</v>
      </c>
      <c r="BB453" t="s">
        <v>74</v>
      </c>
      <c r="BC453" t="s">
        <v>74</v>
      </c>
      <c r="BD453" t="s">
        <v>74</v>
      </c>
      <c r="BE453" t="s">
        <v>74</v>
      </c>
      <c r="BF453" t="s">
        <v>74</v>
      </c>
      <c r="BG453" t="s">
        <v>74</v>
      </c>
      <c r="BH453" t="s">
        <v>74</v>
      </c>
      <c r="BI453">
        <v>13</v>
      </c>
      <c r="BJ453" t="s">
        <v>1162</v>
      </c>
      <c r="BK453" t="s">
        <v>125</v>
      </c>
      <c r="BL453" t="s">
        <v>1162</v>
      </c>
      <c r="BM453" t="s">
        <v>8631</v>
      </c>
      <c r="BN453" t="s">
        <v>74</v>
      </c>
      <c r="BO453" t="s">
        <v>74</v>
      </c>
      <c r="BP453" t="s">
        <v>74</v>
      </c>
      <c r="BQ453" t="s">
        <v>74</v>
      </c>
      <c r="BR453" t="s">
        <v>102</v>
      </c>
      <c r="BS453" t="s">
        <v>8632</v>
      </c>
      <c r="BT453" t="str">
        <f>HYPERLINK("https%3A%2F%2Fwww.webofscience.com%2Fwos%2Fwoscc%2Ffull-record%2FWOS:001164741700001","View Full Record in Web of Science")</f>
        <v>View Full Record in Web of Science</v>
      </c>
    </row>
    <row r="454" spans="1:72" x14ac:dyDescent="0.35">
      <c r="A454" t="s">
        <v>72</v>
      </c>
      <c r="B454" t="s">
        <v>8633</v>
      </c>
      <c r="C454" t="s">
        <v>74</v>
      </c>
      <c r="D454" t="s">
        <v>74</v>
      </c>
      <c r="E454" t="s">
        <v>74</v>
      </c>
      <c r="F454" t="s">
        <v>8634</v>
      </c>
      <c r="G454" t="s">
        <v>74</v>
      </c>
      <c r="H454" t="s">
        <v>74</v>
      </c>
      <c r="I454" t="s">
        <v>8635</v>
      </c>
      <c r="J454" t="s">
        <v>8636</v>
      </c>
      <c r="K454" t="s">
        <v>74</v>
      </c>
      <c r="L454" t="s">
        <v>74</v>
      </c>
      <c r="M454" t="s">
        <v>78</v>
      </c>
      <c r="N454" t="s">
        <v>108</v>
      </c>
      <c r="O454" t="s">
        <v>74</v>
      </c>
      <c r="P454" t="s">
        <v>74</v>
      </c>
      <c r="Q454" t="s">
        <v>74</v>
      </c>
      <c r="R454" t="s">
        <v>74</v>
      </c>
      <c r="S454" t="s">
        <v>74</v>
      </c>
      <c r="T454" t="s">
        <v>8637</v>
      </c>
      <c r="U454" t="s">
        <v>8638</v>
      </c>
      <c r="V454" t="s">
        <v>8639</v>
      </c>
      <c r="W454" t="s">
        <v>8640</v>
      </c>
      <c r="X454" t="s">
        <v>8641</v>
      </c>
      <c r="Y454" t="s">
        <v>8642</v>
      </c>
      <c r="Z454" t="s">
        <v>8643</v>
      </c>
      <c r="AA454" t="s">
        <v>8644</v>
      </c>
      <c r="AB454" t="s">
        <v>74</v>
      </c>
      <c r="AC454" t="s">
        <v>8645</v>
      </c>
      <c r="AD454" t="s">
        <v>8646</v>
      </c>
      <c r="AE454" t="s">
        <v>8647</v>
      </c>
      <c r="AF454" t="s">
        <v>74</v>
      </c>
      <c r="AG454">
        <v>44</v>
      </c>
      <c r="AH454">
        <v>82</v>
      </c>
      <c r="AI454">
        <v>85</v>
      </c>
      <c r="AJ454">
        <v>1</v>
      </c>
      <c r="AK454">
        <v>63</v>
      </c>
      <c r="AL454" t="s">
        <v>251</v>
      </c>
      <c r="AM454" t="s">
        <v>252</v>
      </c>
      <c r="AN454" t="s">
        <v>253</v>
      </c>
      <c r="AO454" t="s">
        <v>8648</v>
      </c>
      <c r="AP454" t="s">
        <v>74</v>
      </c>
      <c r="AQ454" t="s">
        <v>74</v>
      </c>
      <c r="AR454" t="s">
        <v>8649</v>
      </c>
      <c r="AS454" t="s">
        <v>8650</v>
      </c>
      <c r="AT454" t="s">
        <v>523</v>
      </c>
      <c r="AU454">
        <v>2021</v>
      </c>
      <c r="AV454">
        <v>8</v>
      </c>
      <c r="AW454">
        <v>8</v>
      </c>
      <c r="AX454" t="s">
        <v>74</v>
      </c>
      <c r="AY454" t="s">
        <v>74</v>
      </c>
      <c r="AZ454" t="s">
        <v>74</v>
      </c>
      <c r="BA454" t="s">
        <v>74</v>
      </c>
      <c r="BB454">
        <v>1200</v>
      </c>
      <c r="BC454">
        <v>1205</v>
      </c>
      <c r="BD454" t="s">
        <v>74</v>
      </c>
      <c r="BE454" t="s">
        <v>8651</v>
      </c>
      <c r="BF454" t="str">
        <f>HYPERLINK("http://dx.doi.org/10.1002/mdc3.13316","http://dx.doi.org/10.1002/mdc3.13316")</f>
        <v>http://dx.doi.org/10.1002/mdc3.13316</v>
      </c>
      <c r="BG454" t="s">
        <v>74</v>
      </c>
      <c r="BH454" t="s">
        <v>97</v>
      </c>
      <c r="BI454">
        <v>6</v>
      </c>
      <c r="BJ454" t="s">
        <v>8652</v>
      </c>
      <c r="BK454" t="s">
        <v>209</v>
      </c>
      <c r="BL454" t="s">
        <v>2258</v>
      </c>
      <c r="BM454" t="s">
        <v>8653</v>
      </c>
      <c r="BN454">
        <v>34765687</v>
      </c>
      <c r="BO454" t="s">
        <v>3747</v>
      </c>
      <c r="BP454" t="s">
        <v>74</v>
      </c>
      <c r="BQ454" t="s">
        <v>74</v>
      </c>
      <c r="BR454" t="s">
        <v>102</v>
      </c>
      <c r="BS454" t="s">
        <v>8654</v>
      </c>
      <c r="BT454" t="str">
        <f>HYPERLINK("https%3A%2F%2Fwww.webofscience.com%2Fwos%2Fwoscc%2Ffull-record%2FWOS:000683007900001","View Full Record in Web of Science")</f>
        <v>View Full Record in Web of Science</v>
      </c>
    </row>
    <row r="455" spans="1:72" x14ac:dyDescent="0.35">
      <c r="A455" t="s">
        <v>72</v>
      </c>
      <c r="B455" t="s">
        <v>8655</v>
      </c>
      <c r="C455" t="s">
        <v>74</v>
      </c>
      <c r="D455" t="s">
        <v>74</v>
      </c>
      <c r="E455" t="s">
        <v>74</v>
      </c>
      <c r="F455" t="s">
        <v>8656</v>
      </c>
      <c r="G455" t="s">
        <v>74</v>
      </c>
      <c r="H455" t="s">
        <v>74</v>
      </c>
      <c r="I455" t="s">
        <v>8267</v>
      </c>
      <c r="J455" t="s">
        <v>968</v>
      </c>
      <c r="K455" t="s">
        <v>74</v>
      </c>
      <c r="L455" t="s">
        <v>74</v>
      </c>
      <c r="M455" t="s">
        <v>78</v>
      </c>
      <c r="N455" t="s">
        <v>8268</v>
      </c>
      <c r="O455" t="s">
        <v>74</v>
      </c>
      <c r="P455" t="s">
        <v>74</v>
      </c>
      <c r="Q455" t="s">
        <v>74</v>
      </c>
      <c r="R455" t="s">
        <v>74</v>
      </c>
      <c r="S455" t="s">
        <v>74</v>
      </c>
      <c r="T455" t="s">
        <v>74</v>
      </c>
      <c r="U455" t="s">
        <v>74</v>
      </c>
      <c r="V455" t="s">
        <v>74</v>
      </c>
      <c r="W455" t="s">
        <v>8657</v>
      </c>
      <c r="X455" t="s">
        <v>1213</v>
      </c>
      <c r="Y455" t="s">
        <v>8658</v>
      </c>
      <c r="Z455" t="s">
        <v>74</v>
      </c>
      <c r="AA455" t="s">
        <v>74</v>
      </c>
      <c r="AB455" t="s">
        <v>8659</v>
      </c>
      <c r="AC455" t="s">
        <v>74</v>
      </c>
      <c r="AD455" t="s">
        <v>74</v>
      </c>
      <c r="AE455" t="s">
        <v>74</v>
      </c>
      <c r="AF455" t="s">
        <v>74</v>
      </c>
      <c r="AG455">
        <v>1</v>
      </c>
      <c r="AH455">
        <v>0</v>
      </c>
      <c r="AI455">
        <v>0</v>
      </c>
      <c r="AJ455">
        <v>2</v>
      </c>
      <c r="AK455">
        <v>37</v>
      </c>
      <c r="AL455" t="s">
        <v>226</v>
      </c>
      <c r="AM455" t="s">
        <v>227</v>
      </c>
      <c r="AN455" t="s">
        <v>228</v>
      </c>
      <c r="AO455" t="s">
        <v>978</v>
      </c>
      <c r="AP455" t="s">
        <v>979</v>
      </c>
      <c r="AQ455" t="s">
        <v>74</v>
      </c>
      <c r="AR455" t="s">
        <v>980</v>
      </c>
      <c r="AS455" t="s">
        <v>981</v>
      </c>
      <c r="AT455" t="s">
        <v>523</v>
      </c>
      <c r="AU455">
        <v>2024</v>
      </c>
      <c r="AV455">
        <v>193</v>
      </c>
      <c r="AW455">
        <v>1</v>
      </c>
      <c r="AX455" t="s">
        <v>74</v>
      </c>
      <c r="AY455" t="s">
        <v>74</v>
      </c>
      <c r="AZ455" t="s">
        <v>456</v>
      </c>
      <c r="BA455" t="s">
        <v>74</v>
      </c>
      <c r="BB455">
        <v>147</v>
      </c>
      <c r="BC455">
        <v>148</v>
      </c>
      <c r="BD455" t="s">
        <v>74</v>
      </c>
      <c r="BE455" t="s">
        <v>8660</v>
      </c>
      <c r="BF455" t="str">
        <f>HYPERLINK("http://dx.doi.org/10.1177/1329878X231155255","http://dx.doi.org/10.1177/1329878X231155255")</f>
        <v>http://dx.doi.org/10.1177/1329878X231155255</v>
      </c>
      <c r="BG455" t="s">
        <v>74</v>
      </c>
      <c r="BH455" t="s">
        <v>6895</v>
      </c>
      <c r="BI455">
        <v>2</v>
      </c>
      <c r="BJ455" t="s">
        <v>124</v>
      </c>
      <c r="BK455" t="s">
        <v>99</v>
      </c>
      <c r="BL455" t="s">
        <v>124</v>
      </c>
      <c r="BM455" t="s">
        <v>7277</v>
      </c>
      <c r="BN455" t="s">
        <v>74</v>
      </c>
      <c r="BO455" t="s">
        <v>74</v>
      </c>
      <c r="BP455" t="s">
        <v>74</v>
      </c>
      <c r="BQ455" t="s">
        <v>74</v>
      </c>
      <c r="BR455" t="s">
        <v>102</v>
      </c>
      <c r="BS455" t="s">
        <v>8661</v>
      </c>
      <c r="BT455" t="str">
        <f>HYPERLINK("https%3A%2F%2Fwww.webofscience.com%2Fwos%2Fwoscc%2Ffull-record%2FWOS:000925900900001","View Full Record in Web of Science")</f>
        <v>View Full Record in Web of Science</v>
      </c>
    </row>
    <row r="456" spans="1:72" x14ac:dyDescent="0.35">
      <c r="A456" t="s">
        <v>72</v>
      </c>
      <c r="B456" t="s">
        <v>8662</v>
      </c>
      <c r="C456" t="s">
        <v>74</v>
      </c>
      <c r="D456" t="s">
        <v>74</v>
      </c>
      <c r="E456" t="s">
        <v>74</v>
      </c>
      <c r="F456" t="s">
        <v>8663</v>
      </c>
      <c r="G456" t="s">
        <v>74</v>
      </c>
      <c r="H456" t="s">
        <v>74</v>
      </c>
      <c r="I456" t="s">
        <v>8267</v>
      </c>
      <c r="J456" t="s">
        <v>729</v>
      </c>
      <c r="K456" t="s">
        <v>74</v>
      </c>
      <c r="L456" t="s">
        <v>74</v>
      </c>
      <c r="M456" t="s">
        <v>78</v>
      </c>
      <c r="N456" t="s">
        <v>8268</v>
      </c>
      <c r="O456" t="s">
        <v>74</v>
      </c>
      <c r="P456" t="s">
        <v>74</v>
      </c>
      <c r="Q456" t="s">
        <v>74</v>
      </c>
      <c r="R456" t="s">
        <v>74</v>
      </c>
      <c r="S456" t="s">
        <v>74</v>
      </c>
      <c r="T456" t="s">
        <v>74</v>
      </c>
      <c r="U456" t="s">
        <v>74</v>
      </c>
      <c r="V456" t="s">
        <v>74</v>
      </c>
      <c r="W456" t="s">
        <v>8664</v>
      </c>
      <c r="X456" t="s">
        <v>1251</v>
      </c>
      <c r="Y456" t="s">
        <v>8665</v>
      </c>
      <c r="Z456" t="s">
        <v>74</v>
      </c>
      <c r="AA456" t="s">
        <v>74</v>
      </c>
      <c r="AB456" t="s">
        <v>74</v>
      </c>
      <c r="AC456" t="s">
        <v>74</v>
      </c>
      <c r="AD456" t="s">
        <v>74</v>
      </c>
      <c r="AE456" t="s">
        <v>74</v>
      </c>
      <c r="AF456" t="s">
        <v>74</v>
      </c>
      <c r="AG456">
        <v>2</v>
      </c>
      <c r="AH456">
        <v>0</v>
      </c>
      <c r="AI456">
        <v>0</v>
      </c>
      <c r="AJ456">
        <v>1</v>
      </c>
      <c r="AK456">
        <v>1</v>
      </c>
      <c r="AL456" t="s">
        <v>171</v>
      </c>
      <c r="AM456" t="s">
        <v>172</v>
      </c>
      <c r="AN456" t="s">
        <v>173</v>
      </c>
      <c r="AO456" t="s">
        <v>741</v>
      </c>
      <c r="AP456" t="s">
        <v>742</v>
      </c>
      <c r="AQ456" t="s">
        <v>74</v>
      </c>
      <c r="AR456" t="s">
        <v>743</v>
      </c>
      <c r="AS456" t="s">
        <v>744</v>
      </c>
      <c r="AT456" t="s">
        <v>745</v>
      </c>
      <c r="AU456">
        <v>2024</v>
      </c>
      <c r="AV456">
        <v>12</v>
      </c>
      <c r="AW456">
        <v>2</v>
      </c>
      <c r="AX456" t="s">
        <v>74</v>
      </c>
      <c r="AY456" t="s">
        <v>74</v>
      </c>
      <c r="AZ456" t="s">
        <v>456</v>
      </c>
      <c r="BA456" t="s">
        <v>74</v>
      </c>
      <c r="BB456">
        <v>461</v>
      </c>
      <c r="BC456">
        <v>462</v>
      </c>
      <c r="BD456" t="s">
        <v>74</v>
      </c>
      <c r="BE456" t="s">
        <v>8666</v>
      </c>
      <c r="BF456" t="str">
        <f>HYPERLINK("http://dx.doi.org/10.1177/20501579241248632b","http://dx.doi.org/10.1177/20501579241248632b")</f>
        <v>http://dx.doi.org/10.1177/20501579241248632b</v>
      </c>
      <c r="BG456" t="s">
        <v>74</v>
      </c>
      <c r="BH456" t="s">
        <v>74</v>
      </c>
      <c r="BI456">
        <v>2</v>
      </c>
      <c r="BJ456" t="s">
        <v>124</v>
      </c>
      <c r="BK456" t="s">
        <v>99</v>
      </c>
      <c r="BL456" t="s">
        <v>124</v>
      </c>
      <c r="BM456" t="s">
        <v>8667</v>
      </c>
      <c r="BN456" t="s">
        <v>74</v>
      </c>
      <c r="BO456" t="s">
        <v>74</v>
      </c>
      <c r="BP456" t="s">
        <v>74</v>
      </c>
      <c r="BQ456" t="s">
        <v>74</v>
      </c>
      <c r="BR456" t="s">
        <v>102</v>
      </c>
      <c r="BS456" t="s">
        <v>8668</v>
      </c>
      <c r="BT456" t="str">
        <f>HYPERLINK("https%3A%2F%2Fwww.webofscience.com%2Fwos%2Fwoscc%2Ffull-record%2FWOS:001345616100002","View Full Record in Web of Science")</f>
        <v>View Full Record in Web of Science</v>
      </c>
    </row>
    <row r="457" spans="1:72" x14ac:dyDescent="0.35">
      <c r="A457" t="s">
        <v>72</v>
      </c>
      <c r="B457" t="s">
        <v>8669</v>
      </c>
      <c r="C457" t="s">
        <v>74</v>
      </c>
      <c r="D457" t="s">
        <v>74</v>
      </c>
      <c r="E457" t="s">
        <v>74</v>
      </c>
      <c r="F457" t="s">
        <v>8670</v>
      </c>
      <c r="G457" t="s">
        <v>74</v>
      </c>
      <c r="H457" t="s">
        <v>74</v>
      </c>
      <c r="I457" t="s">
        <v>8671</v>
      </c>
      <c r="J457" t="s">
        <v>7747</v>
      </c>
      <c r="K457" t="s">
        <v>74</v>
      </c>
      <c r="L457" t="s">
        <v>74</v>
      </c>
      <c r="M457" t="s">
        <v>78</v>
      </c>
      <c r="N457" t="s">
        <v>1328</v>
      </c>
      <c r="O457" t="s">
        <v>74</v>
      </c>
      <c r="P457" t="s">
        <v>74</v>
      </c>
      <c r="Q457" t="s">
        <v>74</v>
      </c>
      <c r="R457" t="s">
        <v>74</v>
      </c>
      <c r="S457" t="s">
        <v>74</v>
      </c>
      <c r="T457" t="s">
        <v>74</v>
      </c>
      <c r="U457" t="s">
        <v>74</v>
      </c>
      <c r="V457" t="s">
        <v>74</v>
      </c>
      <c r="W457" t="s">
        <v>74</v>
      </c>
      <c r="X457" t="s">
        <v>74</v>
      </c>
      <c r="Y457" t="s">
        <v>74</v>
      </c>
      <c r="Z457" t="s">
        <v>74</v>
      </c>
      <c r="AA457" t="s">
        <v>74</v>
      </c>
      <c r="AB457" t="s">
        <v>74</v>
      </c>
      <c r="AC457" t="s">
        <v>74</v>
      </c>
      <c r="AD457" t="s">
        <v>74</v>
      </c>
      <c r="AE457" t="s">
        <v>74</v>
      </c>
      <c r="AF457" t="s">
        <v>74</v>
      </c>
      <c r="AG457">
        <v>0</v>
      </c>
      <c r="AH457">
        <v>2</v>
      </c>
      <c r="AI457">
        <v>2</v>
      </c>
      <c r="AJ457">
        <v>0</v>
      </c>
      <c r="AK457">
        <v>8</v>
      </c>
      <c r="AL457" t="s">
        <v>803</v>
      </c>
      <c r="AM457" t="s">
        <v>227</v>
      </c>
      <c r="AN457" t="s">
        <v>804</v>
      </c>
      <c r="AO457" t="s">
        <v>7748</v>
      </c>
      <c r="AP457" t="s">
        <v>7749</v>
      </c>
      <c r="AQ457" t="s">
        <v>74</v>
      </c>
      <c r="AR457" t="s">
        <v>7750</v>
      </c>
      <c r="AS457" t="s">
        <v>7751</v>
      </c>
      <c r="AT457" t="s">
        <v>745</v>
      </c>
      <c r="AU457">
        <v>2021</v>
      </c>
      <c r="AV457">
        <v>230</v>
      </c>
      <c r="AW457">
        <v>9</v>
      </c>
      <c r="AX457" t="s">
        <v>74</v>
      </c>
      <c r="AY457" t="s">
        <v>74</v>
      </c>
      <c r="AZ457" t="s">
        <v>74</v>
      </c>
      <c r="BA457" t="s">
        <v>74</v>
      </c>
      <c r="BB457">
        <v>556</v>
      </c>
      <c r="BC457">
        <v>556</v>
      </c>
      <c r="BD457" t="s">
        <v>74</v>
      </c>
      <c r="BE457" t="s">
        <v>8672</v>
      </c>
      <c r="BF457" t="str">
        <f>HYPERLINK("http://dx.doi.org/10.1038/s41415-021-3032-x","http://dx.doi.org/10.1038/s41415-021-3032-x")</f>
        <v>http://dx.doi.org/10.1038/s41415-021-3032-x</v>
      </c>
      <c r="BG457" t="s">
        <v>74</v>
      </c>
      <c r="BH457" t="s">
        <v>74</v>
      </c>
      <c r="BI457">
        <v>1</v>
      </c>
      <c r="BJ457" t="s">
        <v>599</v>
      </c>
      <c r="BK457" t="s">
        <v>209</v>
      </c>
      <c r="BL457" t="s">
        <v>599</v>
      </c>
      <c r="BM457" t="s">
        <v>8673</v>
      </c>
      <c r="BN457">
        <v>33990712</v>
      </c>
      <c r="BO457" t="s">
        <v>767</v>
      </c>
      <c r="BP457" t="s">
        <v>74</v>
      </c>
      <c r="BQ457" t="s">
        <v>74</v>
      </c>
      <c r="BR457" t="s">
        <v>102</v>
      </c>
      <c r="BS457" t="s">
        <v>8674</v>
      </c>
      <c r="BT457" t="str">
        <f>HYPERLINK("https%3A%2F%2Fwww.webofscience.com%2Fwos%2Fwoscc%2Ffull-record%2FWOS:000650635800006","View Full Record in Web of Science")</f>
        <v>View Full Record in Web of Science</v>
      </c>
    </row>
    <row r="458" spans="1:72" x14ac:dyDescent="0.35">
      <c r="A458" t="s">
        <v>72</v>
      </c>
      <c r="B458" t="s">
        <v>8675</v>
      </c>
      <c r="C458" t="s">
        <v>74</v>
      </c>
      <c r="D458" t="s">
        <v>74</v>
      </c>
      <c r="E458" t="s">
        <v>74</v>
      </c>
      <c r="F458" t="s">
        <v>8676</v>
      </c>
      <c r="G458" t="s">
        <v>74</v>
      </c>
      <c r="H458" t="s">
        <v>74</v>
      </c>
      <c r="I458" t="s">
        <v>8677</v>
      </c>
      <c r="J458" t="s">
        <v>1774</v>
      </c>
      <c r="K458" t="s">
        <v>74</v>
      </c>
      <c r="L458" t="s">
        <v>74</v>
      </c>
      <c r="M458" t="s">
        <v>78</v>
      </c>
      <c r="N458" t="s">
        <v>79</v>
      </c>
      <c r="O458" t="s">
        <v>74</v>
      </c>
      <c r="P458" t="s">
        <v>74</v>
      </c>
      <c r="Q458" t="s">
        <v>74</v>
      </c>
      <c r="R458" t="s">
        <v>74</v>
      </c>
      <c r="S458" t="s">
        <v>74</v>
      </c>
      <c r="T458" t="s">
        <v>8678</v>
      </c>
      <c r="U458" t="s">
        <v>8679</v>
      </c>
      <c r="V458" t="s">
        <v>8680</v>
      </c>
      <c r="W458" t="s">
        <v>8681</v>
      </c>
      <c r="X458" t="s">
        <v>714</v>
      </c>
      <c r="Y458" t="s">
        <v>8682</v>
      </c>
      <c r="Z458" t="s">
        <v>8683</v>
      </c>
      <c r="AA458" t="s">
        <v>74</v>
      </c>
      <c r="AB458" t="s">
        <v>8684</v>
      </c>
      <c r="AC458" t="s">
        <v>74</v>
      </c>
      <c r="AD458" t="s">
        <v>74</v>
      </c>
      <c r="AE458" t="s">
        <v>74</v>
      </c>
      <c r="AF458" t="s">
        <v>74</v>
      </c>
      <c r="AG458">
        <v>94</v>
      </c>
      <c r="AH458">
        <v>0</v>
      </c>
      <c r="AI458">
        <v>0</v>
      </c>
      <c r="AJ458">
        <v>12</v>
      </c>
      <c r="AK458">
        <v>12</v>
      </c>
      <c r="AL458" t="s">
        <v>88</v>
      </c>
      <c r="AM458" t="s">
        <v>89</v>
      </c>
      <c r="AN458" t="s">
        <v>90</v>
      </c>
      <c r="AO458" t="s">
        <v>1783</v>
      </c>
      <c r="AP458" t="s">
        <v>1784</v>
      </c>
      <c r="AQ458" t="s">
        <v>74</v>
      </c>
      <c r="AR458" t="s">
        <v>1785</v>
      </c>
      <c r="AS458" t="s">
        <v>1786</v>
      </c>
      <c r="AT458" t="s">
        <v>8685</v>
      </c>
      <c r="AU458">
        <v>2024</v>
      </c>
      <c r="AV458" t="s">
        <v>74</v>
      </c>
      <c r="AW458" t="s">
        <v>74</v>
      </c>
      <c r="AX458" t="s">
        <v>74</v>
      </c>
      <c r="AY458" t="s">
        <v>74</v>
      </c>
      <c r="AZ458" t="s">
        <v>74</v>
      </c>
      <c r="BA458" t="s">
        <v>74</v>
      </c>
      <c r="BB458" t="s">
        <v>74</v>
      </c>
      <c r="BC458" t="s">
        <v>74</v>
      </c>
      <c r="BD458" t="s">
        <v>74</v>
      </c>
      <c r="BE458" t="s">
        <v>8686</v>
      </c>
      <c r="BF458" t="str">
        <f>HYPERLINK("http://dx.doi.org/10.1080/1369118X.2024.2391820","http://dx.doi.org/10.1080/1369118X.2024.2391820")</f>
        <v>http://dx.doi.org/10.1080/1369118X.2024.2391820</v>
      </c>
      <c r="BG458" t="s">
        <v>74</v>
      </c>
      <c r="BH458" t="s">
        <v>2444</v>
      </c>
      <c r="BI458">
        <v>21</v>
      </c>
      <c r="BJ458" t="s">
        <v>1047</v>
      </c>
      <c r="BK458" t="s">
        <v>99</v>
      </c>
      <c r="BL458" t="s">
        <v>1047</v>
      </c>
      <c r="BM458" t="s">
        <v>8687</v>
      </c>
      <c r="BN458" t="s">
        <v>74</v>
      </c>
      <c r="BO458" t="s">
        <v>74</v>
      </c>
      <c r="BP458" t="s">
        <v>74</v>
      </c>
      <c r="BQ458" t="s">
        <v>74</v>
      </c>
      <c r="BR458" t="s">
        <v>102</v>
      </c>
      <c r="BS458" t="s">
        <v>8688</v>
      </c>
      <c r="BT458" t="str">
        <f>HYPERLINK("https%3A%2F%2Fwww.webofscience.com%2Fwos%2Fwoscc%2Ffull-record%2FWOS:001293043900001","View Full Record in Web of Science")</f>
        <v>View Full Record in Web of Science</v>
      </c>
    </row>
    <row r="459" spans="1:72" x14ac:dyDescent="0.35">
      <c r="A459" t="s">
        <v>72</v>
      </c>
      <c r="B459" t="s">
        <v>8689</v>
      </c>
      <c r="C459" t="s">
        <v>74</v>
      </c>
      <c r="D459" t="s">
        <v>74</v>
      </c>
      <c r="E459" t="s">
        <v>74</v>
      </c>
      <c r="F459" t="s">
        <v>8690</v>
      </c>
      <c r="G459" t="s">
        <v>74</v>
      </c>
      <c r="H459" t="s">
        <v>74</v>
      </c>
      <c r="I459" t="s">
        <v>8691</v>
      </c>
      <c r="J459" t="s">
        <v>8692</v>
      </c>
      <c r="K459" t="s">
        <v>74</v>
      </c>
      <c r="L459" t="s">
        <v>74</v>
      </c>
      <c r="M459" t="s">
        <v>1012</v>
      </c>
      <c r="N459" t="s">
        <v>108</v>
      </c>
      <c r="O459" t="s">
        <v>74</v>
      </c>
      <c r="P459" t="s">
        <v>74</v>
      </c>
      <c r="Q459" t="s">
        <v>74</v>
      </c>
      <c r="R459" t="s">
        <v>74</v>
      </c>
      <c r="S459" t="s">
        <v>74</v>
      </c>
      <c r="T459" t="s">
        <v>74</v>
      </c>
      <c r="U459" t="s">
        <v>74</v>
      </c>
      <c r="V459" t="s">
        <v>74</v>
      </c>
      <c r="W459" t="s">
        <v>8693</v>
      </c>
      <c r="X459" t="s">
        <v>74</v>
      </c>
      <c r="Y459" t="s">
        <v>8694</v>
      </c>
      <c r="Z459" t="s">
        <v>8695</v>
      </c>
      <c r="AA459" t="s">
        <v>74</v>
      </c>
      <c r="AB459" t="s">
        <v>74</v>
      </c>
      <c r="AC459" t="s">
        <v>74</v>
      </c>
      <c r="AD459" t="s">
        <v>74</v>
      </c>
      <c r="AE459" t="s">
        <v>74</v>
      </c>
      <c r="AF459" t="s">
        <v>74</v>
      </c>
      <c r="AG459">
        <v>0</v>
      </c>
      <c r="AH459">
        <v>0</v>
      </c>
      <c r="AI459">
        <v>0</v>
      </c>
      <c r="AJ459">
        <v>0</v>
      </c>
      <c r="AK459">
        <v>0</v>
      </c>
      <c r="AL459" t="s">
        <v>8696</v>
      </c>
      <c r="AM459" t="s">
        <v>8697</v>
      </c>
      <c r="AN459" t="s">
        <v>8698</v>
      </c>
      <c r="AO459" t="s">
        <v>8699</v>
      </c>
      <c r="AP459" t="s">
        <v>8700</v>
      </c>
      <c r="AQ459" t="s">
        <v>74</v>
      </c>
      <c r="AR459" t="s">
        <v>8701</v>
      </c>
      <c r="AS459" t="s">
        <v>8702</v>
      </c>
      <c r="AT459" t="s">
        <v>523</v>
      </c>
      <c r="AU459">
        <v>2024</v>
      </c>
      <c r="AV459">
        <v>52</v>
      </c>
      <c r="AW459">
        <v>6</v>
      </c>
      <c r="AX459" t="s">
        <v>74</v>
      </c>
      <c r="AY459" t="s">
        <v>74</v>
      </c>
      <c r="AZ459" t="s">
        <v>74</v>
      </c>
      <c r="BA459" t="s">
        <v>74</v>
      </c>
      <c r="BB459">
        <v>375</v>
      </c>
      <c r="BC459">
        <v>376</v>
      </c>
      <c r="BD459" t="s">
        <v>74</v>
      </c>
      <c r="BE459" t="s">
        <v>8703</v>
      </c>
      <c r="BF459" t="str">
        <f>HYPERLINK("http://dx.doi.org/10.1024/1422-4917/a001000","http://dx.doi.org/10.1024/1422-4917/a001000")</f>
        <v>http://dx.doi.org/10.1024/1422-4917/a001000</v>
      </c>
      <c r="BG459" t="s">
        <v>74</v>
      </c>
      <c r="BH459" t="s">
        <v>74</v>
      </c>
      <c r="BI459">
        <v>2</v>
      </c>
      <c r="BJ459" t="s">
        <v>1847</v>
      </c>
      <c r="BK459" t="s">
        <v>99</v>
      </c>
      <c r="BL459" t="s">
        <v>1847</v>
      </c>
      <c r="BM459" t="s">
        <v>8704</v>
      </c>
      <c r="BN459">
        <v>39485236</v>
      </c>
      <c r="BO459" t="s">
        <v>74</v>
      </c>
      <c r="BP459" t="s">
        <v>74</v>
      </c>
      <c r="BQ459" t="s">
        <v>74</v>
      </c>
      <c r="BR459" t="s">
        <v>102</v>
      </c>
      <c r="BS459" t="s">
        <v>8705</v>
      </c>
      <c r="BT459" t="str">
        <f>HYPERLINK("https%3A%2F%2Fwww.webofscience.com%2Fwos%2Fwoscc%2Ffull-record%2FWOS:001350674200002","View Full Record in Web of Science")</f>
        <v>View Full Record in Web of Science</v>
      </c>
    </row>
    <row r="460" spans="1:72" x14ac:dyDescent="0.35">
      <c r="A460" t="s">
        <v>72</v>
      </c>
      <c r="B460" t="s">
        <v>304</v>
      </c>
      <c r="C460" t="s">
        <v>74</v>
      </c>
      <c r="D460" t="s">
        <v>74</v>
      </c>
      <c r="E460" t="s">
        <v>74</v>
      </c>
      <c r="F460" t="s">
        <v>305</v>
      </c>
      <c r="G460" t="s">
        <v>74</v>
      </c>
      <c r="H460" t="s">
        <v>74</v>
      </c>
      <c r="I460" t="s">
        <v>8706</v>
      </c>
      <c r="J460" t="s">
        <v>3462</v>
      </c>
      <c r="K460" t="s">
        <v>74</v>
      </c>
      <c r="L460" t="s">
        <v>74</v>
      </c>
      <c r="M460" t="s">
        <v>78</v>
      </c>
      <c r="N460" t="s">
        <v>8268</v>
      </c>
      <c r="O460" t="s">
        <v>74</v>
      </c>
      <c r="P460" t="s">
        <v>74</v>
      </c>
      <c r="Q460" t="s">
        <v>74</v>
      </c>
      <c r="R460" t="s">
        <v>74</v>
      </c>
      <c r="S460" t="s">
        <v>74</v>
      </c>
      <c r="T460" t="s">
        <v>74</v>
      </c>
      <c r="U460" t="s">
        <v>74</v>
      </c>
      <c r="V460" t="s">
        <v>74</v>
      </c>
      <c r="W460" t="s">
        <v>8707</v>
      </c>
      <c r="X460" t="s">
        <v>3466</v>
      </c>
      <c r="Y460" t="s">
        <v>8708</v>
      </c>
      <c r="Z460" t="s">
        <v>74</v>
      </c>
      <c r="AA460" t="s">
        <v>74</v>
      </c>
      <c r="AB460" t="s">
        <v>74</v>
      </c>
      <c r="AC460" t="s">
        <v>74</v>
      </c>
      <c r="AD460" t="s">
        <v>74</v>
      </c>
      <c r="AE460" t="s">
        <v>74</v>
      </c>
      <c r="AF460" t="s">
        <v>74</v>
      </c>
      <c r="AG460">
        <v>1</v>
      </c>
      <c r="AH460">
        <v>0</v>
      </c>
      <c r="AI460">
        <v>0</v>
      </c>
      <c r="AJ460">
        <v>0</v>
      </c>
      <c r="AK460">
        <v>2</v>
      </c>
      <c r="AL460" t="s">
        <v>870</v>
      </c>
      <c r="AM460" t="s">
        <v>871</v>
      </c>
      <c r="AN460" t="s">
        <v>872</v>
      </c>
      <c r="AO460" t="s">
        <v>3469</v>
      </c>
      <c r="AP460" t="s">
        <v>3470</v>
      </c>
      <c r="AQ460" t="s">
        <v>74</v>
      </c>
      <c r="AR460" t="s">
        <v>3471</v>
      </c>
      <c r="AS460" t="s">
        <v>3472</v>
      </c>
      <c r="AT460" t="s">
        <v>273</v>
      </c>
      <c r="AU460">
        <v>2021</v>
      </c>
      <c r="AV460">
        <v>15</v>
      </c>
      <c r="AW460">
        <v>2</v>
      </c>
      <c r="AX460" t="s">
        <v>74</v>
      </c>
      <c r="AY460" t="s">
        <v>74</v>
      </c>
      <c r="AZ460" t="s">
        <v>74</v>
      </c>
      <c r="BA460" t="s">
        <v>74</v>
      </c>
      <c r="BB460">
        <v>153</v>
      </c>
      <c r="BC460">
        <v>155</v>
      </c>
      <c r="BD460" t="s">
        <v>74</v>
      </c>
      <c r="BE460" t="s">
        <v>8709</v>
      </c>
      <c r="BF460" t="str">
        <f>HYPERLINK("http://dx.doi.org/10.1386/smt_00066_5","http://dx.doi.org/10.1386/smt_00066_5")</f>
        <v>http://dx.doi.org/10.1386/smt_00066_5</v>
      </c>
      <c r="BG460" t="s">
        <v>74</v>
      </c>
      <c r="BH460" t="s">
        <v>74</v>
      </c>
      <c r="BI460">
        <v>3</v>
      </c>
      <c r="BJ460" t="s">
        <v>315</v>
      </c>
      <c r="BK460" t="s">
        <v>125</v>
      </c>
      <c r="BL460" t="s">
        <v>315</v>
      </c>
      <c r="BM460" t="s">
        <v>8710</v>
      </c>
      <c r="BN460" t="s">
        <v>74</v>
      </c>
      <c r="BO460" t="s">
        <v>74</v>
      </c>
      <c r="BP460" t="s">
        <v>74</v>
      </c>
      <c r="BQ460" t="s">
        <v>74</v>
      </c>
      <c r="BR460" t="s">
        <v>102</v>
      </c>
      <c r="BS460" t="s">
        <v>8711</v>
      </c>
      <c r="BT460" t="str">
        <f>HYPERLINK("https%3A%2F%2Fwww.webofscience.com%2Fwos%2Fwoscc%2Ffull-record%2FWOS:000733064800008","View Full Record in Web of Science")</f>
        <v>View Full Record in Web of Science</v>
      </c>
    </row>
    <row r="461" spans="1:72" x14ac:dyDescent="0.35">
      <c r="A461" t="s">
        <v>72</v>
      </c>
      <c r="B461" t="s">
        <v>8712</v>
      </c>
      <c r="C461" t="s">
        <v>74</v>
      </c>
      <c r="D461" t="s">
        <v>74</v>
      </c>
      <c r="E461" t="s">
        <v>74</v>
      </c>
      <c r="F461" t="s">
        <v>8713</v>
      </c>
      <c r="G461" t="s">
        <v>74</v>
      </c>
      <c r="H461" t="s">
        <v>74</v>
      </c>
      <c r="I461" t="s">
        <v>8714</v>
      </c>
      <c r="J461" t="s">
        <v>8715</v>
      </c>
      <c r="K461" t="s">
        <v>74</v>
      </c>
      <c r="L461" t="s">
        <v>74</v>
      </c>
      <c r="M461" t="s">
        <v>78</v>
      </c>
      <c r="N461" t="s">
        <v>108</v>
      </c>
      <c r="O461" t="s">
        <v>74</v>
      </c>
      <c r="P461" t="s">
        <v>74</v>
      </c>
      <c r="Q461" t="s">
        <v>74</v>
      </c>
      <c r="R461" t="s">
        <v>74</v>
      </c>
      <c r="S461" t="s">
        <v>74</v>
      </c>
      <c r="T461" t="s">
        <v>8716</v>
      </c>
      <c r="U461" t="s">
        <v>8717</v>
      </c>
      <c r="V461" t="s">
        <v>8718</v>
      </c>
      <c r="W461" t="s">
        <v>8719</v>
      </c>
      <c r="X461" t="s">
        <v>8720</v>
      </c>
      <c r="Y461" t="s">
        <v>8721</v>
      </c>
      <c r="Z461" t="s">
        <v>8722</v>
      </c>
      <c r="AA461" t="s">
        <v>74</v>
      </c>
      <c r="AB461" t="s">
        <v>8723</v>
      </c>
      <c r="AC461" t="s">
        <v>74</v>
      </c>
      <c r="AD461" t="s">
        <v>74</v>
      </c>
      <c r="AE461" t="s">
        <v>74</v>
      </c>
      <c r="AF461" t="s">
        <v>74</v>
      </c>
      <c r="AG461">
        <v>54</v>
      </c>
      <c r="AH461">
        <v>0</v>
      </c>
      <c r="AI461">
        <v>0</v>
      </c>
      <c r="AJ461">
        <v>13</v>
      </c>
      <c r="AK461">
        <v>24</v>
      </c>
      <c r="AL461" t="s">
        <v>226</v>
      </c>
      <c r="AM461" t="s">
        <v>227</v>
      </c>
      <c r="AN461" t="s">
        <v>228</v>
      </c>
      <c r="AO461" t="s">
        <v>8724</v>
      </c>
      <c r="AP461" t="s">
        <v>8725</v>
      </c>
      <c r="AQ461" t="s">
        <v>74</v>
      </c>
      <c r="AR461" t="s">
        <v>8726</v>
      </c>
      <c r="AS461" t="s">
        <v>8727</v>
      </c>
      <c r="AT461" t="s">
        <v>257</v>
      </c>
      <c r="AU461">
        <v>2024</v>
      </c>
      <c r="AV461">
        <v>83</v>
      </c>
      <c r="AW461">
        <v>4</v>
      </c>
      <c r="AX461" t="s">
        <v>74</v>
      </c>
      <c r="AY461" t="s">
        <v>74</v>
      </c>
      <c r="AZ461" t="s">
        <v>456</v>
      </c>
      <c r="BA461" t="s">
        <v>74</v>
      </c>
      <c r="BB461">
        <v>395</v>
      </c>
      <c r="BC461">
        <v>408</v>
      </c>
      <c r="BD461" t="s">
        <v>74</v>
      </c>
      <c r="BE461" t="s">
        <v>8728</v>
      </c>
      <c r="BF461" t="str">
        <f>HYPERLINK("http://dx.doi.org/10.1177/00178969241235528","http://dx.doi.org/10.1177/00178969241235528")</f>
        <v>http://dx.doi.org/10.1177/00178969241235528</v>
      </c>
      <c r="BG461" t="s">
        <v>74</v>
      </c>
      <c r="BH461" t="s">
        <v>123</v>
      </c>
      <c r="BI461">
        <v>14</v>
      </c>
      <c r="BJ461" t="s">
        <v>8464</v>
      </c>
      <c r="BK461" t="s">
        <v>99</v>
      </c>
      <c r="BL461" t="s">
        <v>8464</v>
      </c>
      <c r="BM461" t="s">
        <v>8729</v>
      </c>
      <c r="BN461" t="s">
        <v>74</v>
      </c>
      <c r="BO461" t="s">
        <v>74</v>
      </c>
      <c r="BP461" t="s">
        <v>74</v>
      </c>
      <c r="BQ461" t="s">
        <v>74</v>
      </c>
      <c r="BR461" t="s">
        <v>102</v>
      </c>
      <c r="BS461" t="s">
        <v>8730</v>
      </c>
      <c r="BT461" t="str">
        <f>HYPERLINK("https%3A%2F%2Fwww.webofscience.com%2Fwos%2Fwoscc%2Ffull-record%2FWOS:001187818500001","View Full Record in Web of Science")</f>
        <v>View Full Record in Web of Science</v>
      </c>
    </row>
    <row r="462" spans="1:72" x14ac:dyDescent="0.35">
      <c r="A462" t="s">
        <v>72</v>
      </c>
      <c r="B462" t="s">
        <v>8731</v>
      </c>
      <c r="C462" t="s">
        <v>74</v>
      </c>
      <c r="D462" t="s">
        <v>74</v>
      </c>
      <c r="E462" t="s">
        <v>74</v>
      </c>
      <c r="F462" t="s">
        <v>8732</v>
      </c>
      <c r="G462" t="s">
        <v>74</v>
      </c>
      <c r="H462" t="s">
        <v>74</v>
      </c>
      <c r="I462" t="s">
        <v>8733</v>
      </c>
      <c r="J462" t="s">
        <v>8734</v>
      </c>
      <c r="K462" t="s">
        <v>74</v>
      </c>
      <c r="L462" t="s">
        <v>74</v>
      </c>
      <c r="M462" t="s">
        <v>78</v>
      </c>
      <c r="N462" t="s">
        <v>2042</v>
      </c>
      <c r="O462" t="s">
        <v>74</v>
      </c>
      <c r="P462" t="s">
        <v>74</v>
      </c>
      <c r="Q462" t="s">
        <v>74</v>
      </c>
      <c r="R462" t="s">
        <v>74</v>
      </c>
      <c r="S462" t="s">
        <v>74</v>
      </c>
      <c r="T462" t="s">
        <v>74</v>
      </c>
      <c r="U462" t="s">
        <v>74</v>
      </c>
      <c r="V462" t="s">
        <v>74</v>
      </c>
      <c r="W462" t="s">
        <v>74</v>
      </c>
      <c r="X462" t="s">
        <v>74</v>
      </c>
      <c r="Y462" t="s">
        <v>74</v>
      </c>
      <c r="Z462" t="s">
        <v>74</v>
      </c>
      <c r="AA462" t="s">
        <v>74</v>
      </c>
      <c r="AB462" t="s">
        <v>74</v>
      </c>
      <c r="AC462" t="s">
        <v>74</v>
      </c>
      <c r="AD462" t="s">
        <v>74</v>
      </c>
      <c r="AE462" t="s">
        <v>74</v>
      </c>
      <c r="AF462" t="s">
        <v>74</v>
      </c>
      <c r="AG462">
        <v>0</v>
      </c>
      <c r="AH462">
        <v>5</v>
      </c>
      <c r="AI462">
        <v>6</v>
      </c>
      <c r="AJ462">
        <v>2</v>
      </c>
      <c r="AK462">
        <v>63</v>
      </c>
      <c r="AL462" t="s">
        <v>8735</v>
      </c>
      <c r="AM462" t="s">
        <v>8736</v>
      </c>
      <c r="AN462" t="s">
        <v>8737</v>
      </c>
      <c r="AO462" t="s">
        <v>8738</v>
      </c>
      <c r="AP462" t="s">
        <v>74</v>
      </c>
      <c r="AQ462" t="s">
        <v>74</v>
      </c>
      <c r="AR462" t="s">
        <v>8739</v>
      </c>
      <c r="AS462" t="s">
        <v>8740</v>
      </c>
      <c r="AT462" t="s">
        <v>6989</v>
      </c>
      <c r="AU462">
        <v>2020</v>
      </c>
      <c r="AV462">
        <v>245</v>
      </c>
      <c r="AW462">
        <v>3273</v>
      </c>
      <c r="AX462" t="s">
        <v>74</v>
      </c>
      <c r="AY462" t="s">
        <v>74</v>
      </c>
      <c r="AZ462" t="s">
        <v>74</v>
      </c>
      <c r="BA462" t="s">
        <v>74</v>
      </c>
      <c r="BB462">
        <v>31</v>
      </c>
      <c r="BC462">
        <v>31</v>
      </c>
      <c r="BD462" t="s">
        <v>74</v>
      </c>
      <c r="BE462" t="s">
        <v>74</v>
      </c>
      <c r="BF462" t="s">
        <v>74</v>
      </c>
      <c r="BG462" t="s">
        <v>74</v>
      </c>
      <c r="BH462" t="s">
        <v>74</v>
      </c>
      <c r="BI462">
        <v>1</v>
      </c>
      <c r="BJ462" t="s">
        <v>1301</v>
      </c>
      <c r="BK462" t="s">
        <v>209</v>
      </c>
      <c r="BL462" t="s">
        <v>1302</v>
      </c>
      <c r="BM462" t="s">
        <v>8741</v>
      </c>
      <c r="BN462" t="s">
        <v>74</v>
      </c>
      <c r="BO462" t="s">
        <v>74</v>
      </c>
      <c r="BP462" t="s">
        <v>74</v>
      </c>
      <c r="BQ462" t="s">
        <v>74</v>
      </c>
      <c r="BR462" t="s">
        <v>102</v>
      </c>
      <c r="BS462" t="s">
        <v>8742</v>
      </c>
      <c r="BT462" t="str">
        <f>HYPERLINK("https%3A%2F%2Fwww.webofscience.com%2Fwos%2Fwoscc%2Ffull-record%2FWOS:000519661900033","View Full Record in Web of Science")</f>
        <v>View Full Record in Web of Science</v>
      </c>
    </row>
    <row r="463" spans="1:72" x14ac:dyDescent="0.35">
      <c r="A463" t="s">
        <v>72</v>
      </c>
      <c r="B463" t="s">
        <v>8743</v>
      </c>
      <c r="C463" t="s">
        <v>74</v>
      </c>
      <c r="D463" t="s">
        <v>74</v>
      </c>
      <c r="E463" t="s">
        <v>74</v>
      </c>
      <c r="F463" t="s">
        <v>8744</v>
      </c>
      <c r="G463" t="s">
        <v>74</v>
      </c>
      <c r="H463" t="s">
        <v>74</v>
      </c>
      <c r="I463" t="s">
        <v>8745</v>
      </c>
      <c r="J463" t="s">
        <v>8746</v>
      </c>
      <c r="K463" t="s">
        <v>74</v>
      </c>
      <c r="L463" t="s">
        <v>74</v>
      </c>
      <c r="M463" t="s">
        <v>3503</v>
      </c>
      <c r="N463" t="s">
        <v>108</v>
      </c>
      <c r="O463" t="s">
        <v>74</v>
      </c>
      <c r="P463" t="s">
        <v>74</v>
      </c>
      <c r="Q463" t="s">
        <v>74</v>
      </c>
      <c r="R463" t="s">
        <v>74</v>
      </c>
      <c r="S463" t="s">
        <v>74</v>
      </c>
      <c r="T463" t="s">
        <v>8747</v>
      </c>
      <c r="U463" t="s">
        <v>8748</v>
      </c>
      <c r="V463" t="s">
        <v>8749</v>
      </c>
      <c r="W463" t="s">
        <v>8750</v>
      </c>
      <c r="X463" t="s">
        <v>8751</v>
      </c>
      <c r="Y463" t="s">
        <v>8752</v>
      </c>
      <c r="Z463" t="s">
        <v>8753</v>
      </c>
      <c r="AA463" t="s">
        <v>8754</v>
      </c>
      <c r="AB463" t="s">
        <v>8755</v>
      </c>
      <c r="AC463" t="s">
        <v>74</v>
      </c>
      <c r="AD463" t="s">
        <v>74</v>
      </c>
      <c r="AE463" t="s">
        <v>74</v>
      </c>
      <c r="AF463" t="s">
        <v>74</v>
      </c>
      <c r="AG463">
        <v>73</v>
      </c>
      <c r="AH463">
        <v>4</v>
      </c>
      <c r="AI463">
        <v>4</v>
      </c>
      <c r="AJ463">
        <v>4</v>
      </c>
      <c r="AK463">
        <v>18</v>
      </c>
      <c r="AL463" t="s">
        <v>8756</v>
      </c>
      <c r="AM463" t="s">
        <v>8757</v>
      </c>
      <c r="AN463" t="s">
        <v>8758</v>
      </c>
      <c r="AO463" t="s">
        <v>8759</v>
      </c>
      <c r="AP463" t="s">
        <v>74</v>
      </c>
      <c r="AQ463" t="s">
        <v>74</v>
      </c>
      <c r="AR463" t="s">
        <v>8760</v>
      </c>
      <c r="AS463" t="s">
        <v>8761</v>
      </c>
      <c r="AT463" t="s">
        <v>8762</v>
      </c>
      <c r="AU463">
        <v>2022</v>
      </c>
      <c r="AV463" t="s">
        <v>74</v>
      </c>
      <c r="AW463">
        <v>29</v>
      </c>
      <c r="AX463" t="s">
        <v>74</v>
      </c>
      <c r="AY463" t="s">
        <v>74</v>
      </c>
      <c r="AZ463" t="s">
        <v>74</v>
      </c>
      <c r="BA463" t="s">
        <v>74</v>
      </c>
      <c r="BB463">
        <v>181</v>
      </c>
      <c r="BC463">
        <v>206</v>
      </c>
      <c r="BD463" t="s">
        <v>74</v>
      </c>
      <c r="BE463" t="s">
        <v>74</v>
      </c>
      <c r="BF463" t="s">
        <v>74</v>
      </c>
      <c r="BG463" t="s">
        <v>74</v>
      </c>
      <c r="BH463" t="s">
        <v>74</v>
      </c>
      <c r="BI463">
        <v>26</v>
      </c>
      <c r="BJ463" t="s">
        <v>98</v>
      </c>
      <c r="BK463" t="s">
        <v>125</v>
      </c>
      <c r="BL463" t="s">
        <v>100</v>
      </c>
      <c r="BM463" t="s">
        <v>8763</v>
      </c>
      <c r="BN463" t="s">
        <v>74</v>
      </c>
      <c r="BO463" t="s">
        <v>235</v>
      </c>
      <c r="BP463" t="s">
        <v>74</v>
      </c>
      <c r="BQ463" t="s">
        <v>74</v>
      </c>
      <c r="BR463" t="s">
        <v>102</v>
      </c>
      <c r="BS463" t="s">
        <v>8764</v>
      </c>
      <c r="BT463" t="str">
        <f>HYPERLINK("https%3A%2F%2Fwww.webofscience.com%2Fwos%2Fwoscc%2Ffull-record%2FWOS:000835599000008","View Full Record in Web of Science")</f>
        <v>View Full Record in Web of Science</v>
      </c>
    </row>
    <row r="464" spans="1:72" x14ac:dyDescent="0.35">
      <c r="A464" t="s">
        <v>72</v>
      </c>
      <c r="B464" t="s">
        <v>8765</v>
      </c>
      <c r="C464" t="s">
        <v>74</v>
      </c>
      <c r="D464" t="s">
        <v>74</v>
      </c>
      <c r="E464" t="s">
        <v>74</v>
      </c>
      <c r="F464" t="s">
        <v>8766</v>
      </c>
      <c r="G464" t="s">
        <v>74</v>
      </c>
      <c r="H464" t="s">
        <v>74</v>
      </c>
      <c r="I464" t="s">
        <v>8767</v>
      </c>
      <c r="J464" t="s">
        <v>8768</v>
      </c>
      <c r="K464" t="s">
        <v>74</v>
      </c>
      <c r="L464" t="s">
        <v>74</v>
      </c>
      <c r="M464" t="s">
        <v>8769</v>
      </c>
      <c r="N464" t="s">
        <v>2042</v>
      </c>
      <c r="O464" t="s">
        <v>74</v>
      </c>
      <c r="P464" t="s">
        <v>74</v>
      </c>
      <c r="Q464" t="s">
        <v>74</v>
      </c>
      <c r="R464" t="s">
        <v>74</v>
      </c>
      <c r="S464" t="s">
        <v>74</v>
      </c>
      <c r="T464" t="s">
        <v>74</v>
      </c>
      <c r="U464" t="s">
        <v>74</v>
      </c>
      <c r="V464" t="s">
        <v>74</v>
      </c>
      <c r="W464" t="s">
        <v>8770</v>
      </c>
      <c r="X464" t="s">
        <v>2803</v>
      </c>
      <c r="Y464" t="s">
        <v>8771</v>
      </c>
      <c r="Z464" t="s">
        <v>8772</v>
      </c>
      <c r="AA464" t="s">
        <v>74</v>
      </c>
      <c r="AB464" t="s">
        <v>74</v>
      </c>
      <c r="AC464" t="s">
        <v>74</v>
      </c>
      <c r="AD464" t="s">
        <v>74</v>
      </c>
      <c r="AE464" t="s">
        <v>74</v>
      </c>
      <c r="AF464" t="s">
        <v>74</v>
      </c>
      <c r="AG464">
        <v>0</v>
      </c>
      <c r="AH464">
        <v>0</v>
      </c>
      <c r="AI464">
        <v>0</v>
      </c>
      <c r="AJ464">
        <v>0</v>
      </c>
      <c r="AK464">
        <v>0</v>
      </c>
      <c r="AL464" t="s">
        <v>8773</v>
      </c>
      <c r="AM464" t="s">
        <v>8774</v>
      </c>
      <c r="AN464" t="s">
        <v>8775</v>
      </c>
      <c r="AO464" t="s">
        <v>8776</v>
      </c>
      <c r="AP464" t="s">
        <v>74</v>
      </c>
      <c r="AQ464" t="s">
        <v>74</v>
      </c>
      <c r="AR464" t="s">
        <v>8777</v>
      </c>
      <c r="AS464" t="s">
        <v>8778</v>
      </c>
      <c r="AT464" t="s">
        <v>74</v>
      </c>
      <c r="AU464">
        <v>2024</v>
      </c>
      <c r="AV464" t="s">
        <v>74</v>
      </c>
      <c r="AW464" t="s">
        <v>74</v>
      </c>
      <c r="AX464" t="s">
        <v>74</v>
      </c>
      <c r="AY464" t="s">
        <v>74</v>
      </c>
      <c r="AZ464" t="s">
        <v>456</v>
      </c>
      <c r="BA464" t="s">
        <v>74</v>
      </c>
      <c r="BB464">
        <v>97</v>
      </c>
      <c r="BC464">
        <v>101</v>
      </c>
      <c r="BD464" t="s">
        <v>74</v>
      </c>
      <c r="BE464" t="s">
        <v>74</v>
      </c>
      <c r="BF464" t="s">
        <v>74</v>
      </c>
      <c r="BG464" t="s">
        <v>74</v>
      </c>
      <c r="BH464" t="s">
        <v>74</v>
      </c>
      <c r="BI464">
        <v>5</v>
      </c>
      <c r="BJ464" t="s">
        <v>2124</v>
      </c>
      <c r="BK464" t="s">
        <v>125</v>
      </c>
      <c r="BL464" t="s">
        <v>2124</v>
      </c>
      <c r="BM464" t="s">
        <v>8779</v>
      </c>
      <c r="BN464" t="s">
        <v>74</v>
      </c>
      <c r="BO464" t="s">
        <v>74</v>
      </c>
      <c r="BP464" t="s">
        <v>74</v>
      </c>
      <c r="BQ464" t="s">
        <v>74</v>
      </c>
      <c r="BR464" t="s">
        <v>102</v>
      </c>
      <c r="BS464" t="s">
        <v>8780</v>
      </c>
      <c r="BT464" t="str">
        <f>HYPERLINK("https%3A%2F%2Fwww.webofscience.com%2Fwos%2Fwoscc%2Ffull-record%2FWOS:001336390400014","View Full Record in Web of Science")</f>
        <v>View Full Record in Web of Science</v>
      </c>
    </row>
    <row r="465" spans="1:72" x14ac:dyDescent="0.35">
      <c r="A465" t="s">
        <v>72</v>
      </c>
      <c r="B465" t="s">
        <v>8781</v>
      </c>
      <c r="C465" t="s">
        <v>74</v>
      </c>
      <c r="D465" t="s">
        <v>74</v>
      </c>
      <c r="E465" t="s">
        <v>74</v>
      </c>
      <c r="F465" t="s">
        <v>8782</v>
      </c>
      <c r="G465" t="s">
        <v>74</v>
      </c>
      <c r="H465" t="s">
        <v>74</v>
      </c>
      <c r="I465" t="s">
        <v>8783</v>
      </c>
      <c r="J465" t="s">
        <v>8784</v>
      </c>
      <c r="K465" t="s">
        <v>74</v>
      </c>
      <c r="L465" t="s">
        <v>74</v>
      </c>
      <c r="M465" t="s">
        <v>78</v>
      </c>
      <c r="N465" t="s">
        <v>1328</v>
      </c>
      <c r="O465" t="s">
        <v>74</v>
      </c>
      <c r="P465" t="s">
        <v>74</v>
      </c>
      <c r="Q465" t="s">
        <v>74</v>
      </c>
      <c r="R465" t="s">
        <v>74</v>
      </c>
      <c r="S465" t="s">
        <v>74</v>
      </c>
      <c r="T465" t="s">
        <v>74</v>
      </c>
      <c r="U465" t="s">
        <v>74</v>
      </c>
      <c r="V465" t="s">
        <v>74</v>
      </c>
      <c r="W465" t="s">
        <v>8785</v>
      </c>
      <c r="X465" t="s">
        <v>8786</v>
      </c>
      <c r="Y465" t="s">
        <v>8787</v>
      </c>
      <c r="Z465" t="s">
        <v>8788</v>
      </c>
      <c r="AA465" t="s">
        <v>8789</v>
      </c>
      <c r="AB465" t="s">
        <v>8790</v>
      </c>
      <c r="AC465" t="s">
        <v>74</v>
      </c>
      <c r="AD465" t="s">
        <v>74</v>
      </c>
      <c r="AE465" t="s">
        <v>74</v>
      </c>
      <c r="AF465" t="s">
        <v>74</v>
      </c>
      <c r="AG465">
        <v>19</v>
      </c>
      <c r="AH465">
        <v>8</v>
      </c>
      <c r="AI465">
        <v>8</v>
      </c>
      <c r="AJ465">
        <v>0</v>
      </c>
      <c r="AK465">
        <v>6</v>
      </c>
      <c r="AL465" t="s">
        <v>1901</v>
      </c>
      <c r="AM465" t="s">
        <v>995</v>
      </c>
      <c r="AN465" t="s">
        <v>1902</v>
      </c>
      <c r="AO465" t="s">
        <v>8791</v>
      </c>
      <c r="AP465" t="s">
        <v>8792</v>
      </c>
      <c r="AQ465" t="s">
        <v>74</v>
      </c>
      <c r="AR465" t="s">
        <v>8793</v>
      </c>
      <c r="AS465" t="s">
        <v>8794</v>
      </c>
      <c r="AT465" t="s">
        <v>455</v>
      </c>
      <c r="AU465">
        <v>2022</v>
      </c>
      <c r="AV465">
        <v>29</v>
      </c>
      <c r="AW465">
        <v>5</v>
      </c>
      <c r="AX465" t="s">
        <v>74</v>
      </c>
      <c r="AY465" t="s">
        <v>74</v>
      </c>
      <c r="AZ465" t="s">
        <v>74</v>
      </c>
      <c r="BA465" t="s">
        <v>74</v>
      </c>
      <c r="BB465">
        <v>324</v>
      </c>
      <c r="BC465">
        <v>325</v>
      </c>
      <c r="BD465" t="s">
        <v>74</v>
      </c>
      <c r="BE465" t="s">
        <v>8795</v>
      </c>
      <c r="BF465" t="str">
        <f>HYPERLINK("http://dx.doi.org/10.1097/PAP.0000000000000350","http://dx.doi.org/10.1097/PAP.0000000000000350")</f>
        <v>http://dx.doi.org/10.1097/PAP.0000000000000350</v>
      </c>
      <c r="BG465" t="s">
        <v>74</v>
      </c>
      <c r="BH465" t="s">
        <v>74</v>
      </c>
      <c r="BI465">
        <v>2</v>
      </c>
      <c r="BJ465" t="s">
        <v>8796</v>
      </c>
      <c r="BK465" t="s">
        <v>209</v>
      </c>
      <c r="BL465" t="s">
        <v>8796</v>
      </c>
      <c r="BM465" t="s">
        <v>8797</v>
      </c>
      <c r="BN465">
        <v>35654741</v>
      </c>
      <c r="BO465" t="s">
        <v>74</v>
      </c>
      <c r="BP465" t="s">
        <v>74</v>
      </c>
      <c r="BQ465" t="s">
        <v>74</v>
      </c>
      <c r="BR465" t="s">
        <v>102</v>
      </c>
      <c r="BS465" t="s">
        <v>8798</v>
      </c>
      <c r="BT465" t="str">
        <f>HYPERLINK("https%3A%2F%2Fwww.webofscience.com%2Fwos%2Fwoscc%2Ffull-record%2FWOS:000838254800005","View Full Record in Web of Science")</f>
        <v>View Full Record in Web of Science</v>
      </c>
    </row>
    <row r="466" spans="1:72" x14ac:dyDescent="0.35">
      <c r="A466" t="s">
        <v>128</v>
      </c>
      <c r="B466" t="s">
        <v>8799</v>
      </c>
      <c r="C466" t="s">
        <v>74</v>
      </c>
      <c r="D466" t="s">
        <v>8800</v>
      </c>
      <c r="E466" t="s">
        <v>74</v>
      </c>
      <c r="F466" t="s">
        <v>8801</v>
      </c>
      <c r="G466" t="s">
        <v>74</v>
      </c>
      <c r="H466" t="s">
        <v>74</v>
      </c>
      <c r="I466" t="s">
        <v>8802</v>
      </c>
      <c r="J466" t="s">
        <v>8803</v>
      </c>
      <c r="K466" t="s">
        <v>74</v>
      </c>
      <c r="L466" t="s">
        <v>74</v>
      </c>
      <c r="M466" t="s">
        <v>78</v>
      </c>
      <c r="N466" t="s">
        <v>135</v>
      </c>
      <c r="O466" t="s">
        <v>8804</v>
      </c>
      <c r="P466" t="s">
        <v>8805</v>
      </c>
      <c r="Q466" t="s">
        <v>8806</v>
      </c>
      <c r="R466" t="s">
        <v>8807</v>
      </c>
      <c r="S466" t="s">
        <v>8808</v>
      </c>
      <c r="T466" t="s">
        <v>8809</v>
      </c>
      <c r="U466" t="s">
        <v>74</v>
      </c>
      <c r="V466" t="s">
        <v>8810</v>
      </c>
      <c r="W466" t="s">
        <v>8811</v>
      </c>
      <c r="X466" t="s">
        <v>8812</v>
      </c>
      <c r="Y466" t="s">
        <v>8813</v>
      </c>
      <c r="Z466" t="s">
        <v>8814</v>
      </c>
      <c r="AA466" t="s">
        <v>74</v>
      </c>
      <c r="AB466" t="s">
        <v>8815</v>
      </c>
      <c r="AC466" t="s">
        <v>8816</v>
      </c>
      <c r="AD466" t="s">
        <v>8817</v>
      </c>
      <c r="AE466" t="s">
        <v>8818</v>
      </c>
      <c r="AF466" t="s">
        <v>74</v>
      </c>
      <c r="AG466">
        <v>27</v>
      </c>
      <c r="AH466">
        <v>1</v>
      </c>
      <c r="AI466">
        <v>1</v>
      </c>
      <c r="AJ466">
        <v>7</v>
      </c>
      <c r="AK466">
        <v>7</v>
      </c>
      <c r="AL466" t="s">
        <v>718</v>
      </c>
      <c r="AM466" t="s">
        <v>666</v>
      </c>
      <c r="AN466" t="s">
        <v>719</v>
      </c>
      <c r="AO466" t="s">
        <v>74</v>
      </c>
      <c r="AP466" t="s">
        <v>74</v>
      </c>
      <c r="AQ466" t="s">
        <v>8819</v>
      </c>
      <c r="AR466" t="s">
        <v>74</v>
      </c>
      <c r="AS466" t="s">
        <v>74</v>
      </c>
      <c r="AT466" t="s">
        <v>74</v>
      </c>
      <c r="AU466">
        <v>2024</v>
      </c>
      <c r="AV466" t="s">
        <v>74</v>
      </c>
      <c r="AW466" t="s">
        <v>74</v>
      </c>
      <c r="AX466" t="s">
        <v>74</v>
      </c>
      <c r="AY466" t="s">
        <v>74</v>
      </c>
      <c r="AZ466" t="s">
        <v>74</v>
      </c>
      <c r="BA466" t="s">
        <v>74</v>
      </c>
      <c r="BB466">
        <v>376</v>
      </c>
      <c r="BC466">
        <v>381</v>
      </c>
      <c r="BD466" t="s">
        <v>74</v>
      </c>
      <c r="BE466" t="s">
        <v>8820</v>
      </c>
      <c r="BF466" t="str">
        <f>HYPERLINK("http://dx.doi.org/10.1145/3614419.3644024","http://dx.doi.org/10.1145/3614419.3644024")</f>
        <v>http://dx.doi.org/10.1145/3614419.3644024</v>
      </c>
      <c r="BG466" t="s">
        <v>74</v>
      </c>
      <c r="BH466" t="s">
        <v>74</v>
      </c>
      <c r="BI466">
        <v>6</v>
      </c>
      <c r="BJ466" t="s">
        <v>8821</v>
      </c>
      <c r="BK466" t="s">
        <v>723</v>
      </c>
      <c r="BL466" t="s">
        <v>210</v>
      </c>
      <c r="BM466" t="s">
        <v>8822</v>
      </c>
      <c r="BN466" t="s">
        <v>74</v>
      </c>
      <c r="BO466" t="s">
        <v>2738</v>
      </c>
      <c r="BP466" t="s">
        <v>74</v>
      </c>
      <c r="BQ466" t="s">
        <v>74</v>
      </c>
      <c r="BR466" t="s">
        <v>102</v>
      </c>
      <c r="BS466" t="s">
        <v>8823</v>
      </c>
      <c r="BT466" t="str">
        <f>HYPERLINK("https%3A%2F%2Fwww.webofscience.com%2Fwos%2Fwoscc%2Ffull-record%2FWOS:001233940700040","View Full Record in Web of Science")</f>
        <v>View Full Record in Web of Science</v>
      </c>
    </row>
    <row r="467" spans="1:72" x14ac:dyDescent="0.35">
      <c r="A467" t="s">
        <v>72</v>
      </c>
      <c r="B467" t="s">
        <v>8824</v>
      </c>
      <c r="C467" t="s">
        <v>74</v>
      </c>
      <c r="D467" t="s">
        <v>74</v>
      </c>
      <c r="E467" t="s">
        <v>74</v>
      </c>
      <c r="F467" t="s">
        <v>8825</v>
      </c>
      <c r="G467" t="s">
        <v>74</v>
      </c>
      <c r="H467" t="s">
        <v>74</v>
      </c>
      <c r="I467" t="s">
        <v>8826</v>
      </c>
      <c r="J467" t="s">
        <v>8827</v>
      </c>
      <c r="K467" t="s">
        <v>74</v>
      </c>
      <c r="L467" t="s">
        <v>74</v>
      </c>
      <c r="M467" t="s">
        <v>78</v>
      </c>
      <c r="N467" t="s">
        <v>2042</v>
      </c>
      <c r="O467" t="s">
        <v>74</v>
      </c>
      <c r="P467" t="s">
        <v>74</v>
      </c>
      <c r="Q467" t="s">
        <v>74</v>
      </c>
      <c r="R467" t="s">
        <v>74</v>
      </c>
      <c r="S467" t="s">
        <v>74</v>
      </c>
      <c r="T467" t="s">
        <v>74</v>
      </c>
      <c r="U467" t="s">
        <v>74</v>
      </c>
      <c r="V467" t="s">
        <v>74</v>
      </c>
      <c r="W467" t="s">
        <v>8828</v>
      </c>
      <c r="X467" t="s">
        <v>8829</v>
      </c>
      <c r="Y467" t="s">
        <v>8830</v>
      </c>
      <c r="Z467" t="s">
        <v>8831</v>
      </c>
      <c r="AA467" t="s">
        <v>74</v>
      </c>
      <c r="AB467" t="s">
        <v>74</v>
      </c>
      <c r="AC467" t="s">
        <v>74</v>
      </c>
      <c r="AD467" t="s">
        <v>74</v>
      </c>
      <c r="AE467" t="s">
        <v>74</v>
      </c>
      <c r="AF467" t="s">
        <v>74</v>
      </c>
      <c r="AG467">
        <v>0</v>
      </c>
      <c r="AH467">
        <v>0</v>
      </c>
      <c r="AI467">
        <v>0</v>
      </c>
      <c r="AJ467">
        <v>1</v>
      </c>
      <c r="AK467">
        <v>1</v>
      </c>
      <c r="AL467" t="s">
        <v>8832</v>
      </c>
      <c r="AM467" t="s">
        <v>8833</v>
      </c>
      <c r="AN467" t="s">
        <v>8834</v>
      </c>
      <c r="AO467" t="s">
        <v>8835</v>
      </c>
      <c r="AP467" t="s">
        <v>8836</v>
      </c>
      <c r="AQ467" t="s">
        <v>74</v>
      </c>
      <c r="AR467" t="s">
        <v>8837</v>
      </c>
      <c r="AS467" t="s">
        <v>8838</v>
      </c>
      <c r="AT467" t="s">
        <v>178</v>
      </c>
      <c r="AU467">
        <v>2024</v>
      </c>
      <c r="AV467">
        <v>54</v>
      </c>
      <c r="AW467">
        <v>1</v>
      </c>
      <c r="AX467" t="s">
        <v>74</v>
      </c>
      <c r="AY467" t="s">
        <v>74</v>
      </c>
      <c r="AZ467" t="s">
        <v>74</v>
      </c>
      <c r="BA467" t="s">
        <v>74</v>
      </c>
      <c r="BB467">
        <v>115</v>
      </c>
      <c r="BC467">
        <v>117</v>
      </c>
      <c r="BD467" t="s">
        <v>74</v>
      </c>
      <c r="BE467" t="s">
        <v>8839</v>
      </c>
      <c r="BF467" t="str">
        <f>HYPERLINK("http://dx.doi.org/10.1525/hsns.2024.54.1.115","http://dx.doi.org/10.1525/hsns.2024.54.1.115")</f>
        <v>http://dx.doi.org/10.1525/hsns.2024.54.1.115</v>
      </c>
      <c r="BG467" t="s">
        <v>74</v>
      </c>
      <c r="BH467" t="s">
        <v>74</v>
      </c>
      <c r="BI467">
        <v>3</v>
      </c>
      <c r="BJ467" t="s">
        <v>8840</v>
      </c>
      <c r="BK467" t="s">
        <v>8841</v>
      </c>
      <c r="BL467" t="s">
        <v>8842</v>
      </c>
      <c r="BM467" t="s">
        <v>8843</v>
      </c>
      <c r="BN467" t="s">
        <v>74</v>
      </c>
      <c r="BO467" t="s">
        <v>74</v>
      </c>
      <c r="BP467" t="s">
        <v>74</v>
      </c>
      <c r="BQ467" t="s">
        <v>74</v>
      </c>
      <c r="BR467" t="s">
        <v>102</v>
      </c>
      <c r="BS467" t="s">
        <v>8844</v>
      </c>
      <c r="BT467" t="str">
        <f>HYPERLINK("https%3A%2F%2Fwww.webofscience.com%2Fwos%2Fwoscc%2Ffull-record%2FWOS:001208265000013","View Full Record in Web of Science")</f>
        <v>View Full Record in Web of Science</v>
      </c>
    </row>
    <row r="468" spans="1:72" x14ac:dyDescent="0.35">
      <c r="A468" t="s">
        <v>8845</v>
      </c>
      <c r="B468" t="s">
        <v>8846</v>
      </c>
      <c r="C468" t="s">
        <v>8847</v>
      </c>
      <c r="D468" t="s">
        <v>74</v>
      </c>
      <c r="E468" t="s">
        <v>74</v>
      </c>
      <c r="F468" t="s">
        <v>8848</v>
      </c>
      <c r="G468" t="s">
        <v>8847</v>
      </c>
      <c r="H468" t="s">
        <v>74</v>
      </c>
      <c r="I468" t="s">
        <v>8849</v>
      </c>
      <c r="J468" t="s">
        <v>8850</v>
      </c>
      <c r="K468" t="s">
        <v>8851</v>
      </c>
      <c r="L468" t="s">
        <v>74</v>
      </c>
      <c r="M468" t="s">
        <v>78</v>
      </c>
      <c r="N468" t="s">
        <v>4953</v>
      </c>
      <c r="O468" t="s">
        <v>74</v>
      </c>
      <c r="P468" t="s">
        <v>74</v>
      </c>
      <c r="Q468" t="s">
        <v>74</v>
      </c>
      <c r="R468" t="s">
        <v>74</v>
      </c>
      <c r="S468" t="s">
        <v>74</v>
      </c>
      <c r="T468" t="s">
        <v>74</v>
      </c>
      <c r="U468" t="s">
        <v>4975</v>
      </c>
      <c r="V468" t="s">
        <v>74</v>
      </c>
      <c r="W468" t="s">
        <v>8852</v>
      </c>
      <c r="X468" t="s">
        <v>8853</v>
      </c>
      <c r="Y468" t="s">
        <v>8854</v>
      </c>
      <c r="Z468" t="s">
        <v>74</v>
      </c>
      <c r="AA468" t="s">
        <v>2517</v>
      </c>
      <c r="AB468" t="s">
        <v>2518</v>
      </c>
      <c r="AC468" t="s">
        <v>74</v>
      </c>
      <c r="AD468" t="s">
        <v>74</v>
      </c>
      <c r="AE468" t="s">
        <v>74</v>
      </c>
      <c r="AF468" t="s">
        <v>74</v>
      </c>
      <c r="AG468">
        <v>61</v>
      </c>
      <c r="AH468">
        <v>0</v>
      </c>
      <c r="AI468">
        <v>0</v>
      </c>
      <c r="AJ468">
        <v>1</v>
      </c>
      <c r="AK468">
        <v>1</v>
      </c>
      <c r="AL468" t="s">
        <v>8855</v>
      </c>
      <c r="AM468" t="s">
        <v>89</v>
      </c>
      <c r="AN468" t="s">
        <v>8856</v>
      </c>
      <c r="AO468" t="s">
        <v>74</v>
      </c>
      <c r="AP468" t="s">
        <v>74</v>
      </c>
      <c r="AQ468" t="s">
        <v>8857</v>
      </c>
      <c r="AR468" t="s">
        <v>8858</v>
      </c>
      <c r="AS468" t="s">
        <v>74</v>
      </c>
      <c r="AT468" t="s">
        <v>74</v>
      </c>
      <c r="AU468">
        <v>2024</v>
      </c>
      <c r="AV468" t="s">
        <v>74</v>
      </c>
      <c r="AW468" t="s">
        <v>74</v>
      </c>
      <c r="AX468" t="s">
        <v>74</v>
      </c>
      <c r="AY468" t="s">
        <v>74</v>
      </c>
      <c r="AZ468" t="s">
        <v>74</v>
      </c>
      <c r="BA468" t="s">
        <v>74</v>
      </c>
      <c r="BB468">
        <v>125</v>
      </c>
      <c r="BC468">
        <v>134</v>
      </c>
      <c r="BD468" t="s">
        <v>74</v>
      </c>
      <c r="BE468" t="s">
        <v>8859</v>
      </c>
      <c r="BF468" t="str">
        <f>HYPERLINK("http://dx.doi.org/10.4324/9781003261056-10","http://dx.doi.org/10.4324/9781003261056-10")</f>
        <v>http://dx.doi.org/10.4324/9781003261056-10</v>
      </c>
      <c r="BG468" t="s">
        <v>8860</v>
      </c>
      <c r="BH468" t="s">
        <v>74</v>
      </c>
      <c r="BI468">
        <v>10</v>
      </c>
      <c r="BJ468" t="s">
        <v>8861</v>
      </c>
      <c r="BK468" t="s">
        <v>8862</v>
      </c>
      <c r="BL468" t="s">
        <v>8861</v>
      </c>
      <c r="BM468" t="s">
        <v>8863</v>
      </c>
      <c r="BN468" t="s">
        <v>74</v>
      </c>
      <c r="BO468" t="s">
        <v>74</v>
      </c>
      <c r="BP468" t="s">
        <v>74</v>
      </c>
      <c r="BQ468" t="s">
        <v>74</v>
      </c>
      <c r="BR468" t="s">
        <v>102</v>
      </c>
      <c r="BS468" t="s">
        <v>8864</v>
      </c>
      <c r="BT468" t="str">
        <f>HYPERLINK("https%3A%2F%2Fwww.webofscience.com%2Fwos%2Fwoscc%2Ffull-record%2FWOS:001219761700009","View Full Record in Web of Science")</f>
        <v>View Full Record in Web of Science</v>
      </c>
    </row>
    <row r="469" spans="1:72" x14ac:dyDescent="0.35">
      <c r="A469" t="s">
        <v>72</v>
      </c>
      <c r="B469" t="s">
        <v>8865</v>
      </c>
      <c r="C469" t="s">
        <v>74</v>
      </c>
      <c r="D469" t="s">
        <v>74</v>
      </c>
      <c r="E469" t="s">
        <v>74</v>
      </c>
      <c r="F469" t="s">
        <v>8866</v>
      </c>
      <c r="G469" t="s">
        <v>74</v>
      </c>
      <c r="H469" t="s">
        <v>74</v>
      </c>
      <c r="I469" t="s">
        <v>8867</v>
      </c>
      <c r="J469" t="s">
        <v>6445</v>
      </c>
      <c r="K469" t="s">
        <v>74</v>
      </c>
      <c r="L469" t="s">
        <v>74</v>
      </c>
      <c r="M469" t="s">
        <v>78</v>
      </c>
      <c r="N469" t="s">
        <v>108</v>
      </c>
      <c r="O469" t="s">
        <v>74</v>
      </c>
      <c r="P469" t="s">
        <v>74</v>
      </c>
      <c r="Q469" t="s">
        <v>74</v>
      </c>
      <c r="R469" t="s">
        <v>74</v>
      </c>
      <c r="S469" t="s">
        <v>74</v>
      </c>
      <c r="T469" t="s">
        <v>8868</v>
      </c>
      <c r="U469" t="s">
        <v>8869</v>
      </c>
      <c r="V469" t="s">
        <v>8870</v>
      </c>
      <c r="W469" t="s">
        <v>8871</v>
      </c>
      <c r="X469" t="s">
        <v>8872</v>
      </c>
      <c r="Y469" t="s">
        <v>8873</v>
      </c>
      <c r="Z469" t="s">
        <v>8874</v>
      </c>
      <c r="AA469" t="s">
        <v>8875</v>
      </c>
      <c r="AB469" t="s">
        <v>74</v>
      </c>
      <c r="AC469" t="s">
        <v>8876</v>
      </c>
      <c r="AD469" t="s">
        <v>8877</v>
      </c>
      <c r="AE469" t="s">
        <v>8878</v>
      </c>
      <c r="AF469" t="s">
        <v>74</v>
      </c>
      <c r="AG469">
        <v>29</v>
      </c>
      <c r="AH469">
        <v>11</v>
      </c>
      <c r="AI469">
        <v>12</v>
      </c>
      <c r="AJ469">
        <v>5</v>
      </c>
      <c r="AK469">
        <v>31</v>
      </c>
      <c r="AL469" t="s">
        <v>251</v>
      </c>
      <c r="AM469" t="s">
        <v>252</v>
      </c>
      <c r="AN469" t="s">
        <v>253</v>
      </c>
      <c r="AO469" t="s">
        <v>6455</v>
      </c>
      <c r="AP469" t="s">
        <v>6456</v>
      </c>
      <c r="AQ469" t="s">
        <v>74</v>
      </c>
      <c r="AR469" t="s">
        <v>6445</v>
      </c>
      <c r="AS469" t="s">
        <v>6457</v>
      </c>
      <c r="AT469" t="s">
        <v>594</v>
      </c>
      <c r="AU469">
        <v>2023</v>
      </c>
      <c r="AV469">
        <v>28</v>
      </c>
      <c r="AW469">
        <v>5</v>
      </c>
      <c r="AX469" t="s">
        <v>74</v>
      </c>
      <c r="AY469" t="s">
        <v>74</v>
      </c>
      <c r="AZ469" t="s">
        <v>74</v>
      </c>
      <c r="BA469" t="s">
        <v>74</v>
      </c>
      <c r="BB469" t="s">
        <v>74</v>
      </c>
      <c r="BC469" t="s">
        <v>74</v>
      </c>
      <c r="BD469" t="s">
        <v>8879</v>
      </c>
      <c r="BE469" t="s">
        <v>8880</v>
      </c>
      <c r="BF469" t="str">
        <f>HYPERLINK("http://dx.doi.org/10.1111/hel.13007","http://dx.doi.org/10.1111/hel.13007")</f>
        <v>http://dx.doi.org/10.1111/hel.13007</v>
      </c>
      <c r="BG469" t="s">
        <v>74</v>
      </c>
      <c r="BH469" t="s">
        <v>1180</v>
      </c>
      <c r="BI469">
        <v>7</v>
      </c>
      <c r="BJ469" t="s">
        <v>6460</v>
      </c>
      <c r="BK469" t="s">
        <v>209</v>
      </c>
      <c r="BL469" t="s">
        <v>6460</v>
      </c>
      <c r="BM469" t="s">
        <v>8881</v>
      </c>
      <c r="BN469">
        <v>37452727</v>
      </c>
      <c r="BO469" t="s">
        <v>74</v>
      </c>
      <c r="BP469" t="s">
        <v>74</v>
      </c>
      <c r="BQ469" t="s">
        <v>74</v>
      </c>
      <c r="BR469" t="s">
        <v>102</v>
      </c>
      <c r="BS469" t="s">
        <v>8882</v>
      </c>
      <c r="BT469" t="str">
        <f>HYPERLINK("https%3A%2F%2Fwww.webofscience.com%2Fwos%2Fwoscc%2Ffull-record%2FWOS:001030623600001","View Full Record in Web of Science")</f>
        <v>View Full Record in Web of Science</v>
      </c>
    </row>
    <row r="470" spans="1:72" x14ac:dyDescent="0.35">
      <c r="A470" t="s">
        <v>72</v>
      </c>
      <c r="B470" t="s">
        <v>8883</v>
      </c>
      <c r="C470" t="s">
        <v>74</v>
      </c>
      <c r="D470" t="s">
        <v>74</v>
      </c>
      <c r="E470" t="s">
        <v>74</v>
      </c>
      <c r="F470" t="s">
        <v>8884</v>
      </c>
      <c r="G470" t="s">
        <v>74</v>
      </c>
      <c r="H470" t="s">
        <v>74</v>
      </c>
      <c r="I470" t="s">
        <v>8885</v>
      </c>
      <c r="J470" t="s">
        <v>8886</v>
      </c>
      <c r="K470" t="s">
        <v>74</v>
      </c>
      <c r="L470" t="s">
        <v>74</v>
      </c>
      <c r="M470" t="s">
        <v>78</v>
      </c>
      <c r="N470" t="s">
        <v>108</v>
      </c>
      <c r="O470" t="s">
        <v>74</v>
      </c>
      <c r="P470" t="s">
        <v>74</v>
      </c>
      <c r="Q470" t="s">
        <v>74</v>
      </c>
      <c r="R470" t="s">
        <v>74</v>
      </c>
      <c r="S470" t="s">
        <v>74</v>
      </c>
      <c r="T470" t="s">
        <v>8887</v>
      </c>
      <c r="U470" t="s">
        <v>8888</v>
      </c>
      <c r="V470" t="s">
        <v>8889</v>
      </c>
      <c r="W470" t="s">
        <v>8890</v>
      </c>
      <c r="X470" t="s">
        <v>8891</v>
      </c>
      <c r="Y470" t="s">
        <v>8892</v>
      </c>
      <c r="Z470" t="s">
        <v>8893</v>
      </c>
      <c r="AA470" t="s">
        <v>8894</v>
      </c>
      <c r="AB470" t="s">
        <v>74</v>
      </c>
      <c r="AC470" t="s">
        <v>8895</v>
      </c>
      <c r="AD470" t="s">
        <v>8895</v>
      </c>
      <c r="AE470" t="s">
        <v>8896</v>
      </c>
      <c r="AF470" t="s">
        <v>74</v>
      </c>
      <c r="AG470">
        <v>102</v>
      </c>
      <c r="AH470">
        <v>0</v>
      </c>
      <c r="AI470">
        <v>0</v>
      </c>
      <c r="AJ470">
        <v>6</v>
      </c>
      <c r="AK470">
        <v>6</v>
      </c>
      <c r="AL470" t="s">
        <v>384</v>
      </c>
      <c r="AM470" t="s">
        <v>385</v>
      </c>
      <c r="AN470" t="s">
        <v>386</v>
      </c>
      <c r="AO470" t="s">
        <v>74</v>
      </c>
      <c r="AP470" t="s">
        <v>8897</v>
      </c>
      <c r="AQ470" t="s">
        <v>74</v>
      </c>
      <c r="AR470" t="s">
        <v>8898</v>
      </c>
      <c r="AS470" t="s">
        <v>8899</v>
      </c>
      <c r="AT470" t="s">
        <v>8900</v>
      </c>
      <c r="AU470">
        <v>2024</v>
      </c>
      <c r="AV470">
        <v>9</v>
      </c>
      <c r="AW470" t="s">
        <v>74</v>
      </c>
      <c r="AX470" t="s">
        <v>74</v>
      </c>
      <c r="AY470" t="s">
        <v>74</v>
      </c>
      <c r="AZ470" t="s">
        <v>74</v>
      </c>
      <c r="BA470" t="s">
        <v>74</v>
      </c>
      <c r="BB470" t="s">
        <v>74</v>
      </c>
      <c r="BC470" t="s">
        <v>74</v>
      </c>
      <c r="BD470">
        <v>1470327</v>
      </c>
      <c r="BE470" t="s">
        <v>8901</v>
      </c>
      <c r="BF470" t="str">
        <f>HYPERLINK("http://dx.doi.org/10.3389/fcomm.2024.1470327","http://dx.doi.org/10.3389/fcomm.2024.1470327")</f>
        <v>http://dx.doi.org/10.3389/fcomm.2024.1470327</v>
      </c>
      <c r="BG470" t="s">
        <v>74</v>
      </c>
      <c r="BH470" t="s">
        <v>74</v>
      </c>
      <c r="BI470">
        <v>15</v>
      </c>
      <c r="BJ470" t="s">
        <v>124</v>
      </c>
      <c r="BK470" t="s">
        <v>125</v>
      </c>
      <c r="BL470" t="s">
        <v>124</v>
      </c>
      <c r="BM470" t="s">
        <v>8902</v>
      </c>
      <c r="BN470" t="s">
        <v>74</v>
      </c>
      <c r="BO470" t="s">
        <v>235</v>
      </c>
      <c r="BP470" t="s">
        <v>74</v>
      </c>
      <c r="BQ470" t="s">
        <v>74</v>
      </c>
      <c r="BR470" t="s">
        <v>102</v>
      </c>
      <c r="BS470" t="s">
        <v>8903</v>
      </c>
      <c r="BT470" t="str">
        <f>HYPERLINK("https%3A%2F%2Fwww.webofscience.com%2Fwos%2Fwoscc%2Ffull-record%2FWOS:001318742800001","View Full Record in Web of Science")</f>
        <v>View Full Record in Web of Science</v>
      </c>
    </row>
    <row r="471" spans="1:72" x14ac:dyDescent="0.35">
      <c r="A471" t="s">
        <v>72</v>
      </c>
      <c r="B471" t="s">
        <v>8904</v>
      </c>
      <c r="C471" t="s">
        <v>74</v>
      </c>
      <c r="D471" t="s">
        <v>74</v>
      </c>
      <c r="E471" t="s">
        <v>74</v>
      </c>
      <c r="F471" t="s">
        <v>8905</v>
      </c>
      <c r="G471" t="s">
        <v>74</v>
      </c>
      <c r="H471" t="s">
        <v>74</v>
      </c>
      <c r="I471" t="s">
        <v>8906</v>
      </c>
      <c r="J471" t="s">
        <v>8907</v>
      </c>
      <c r="K471" t="s">
        <v>74</v>
      </c>
      <c r="L471" t="s">
        <v>74</v>
      </c>
      <c r="M471" t="s">
        <v>78</v>
      </c>
      <c r="N471" t="s">
        <v>108</v>
      </c>
      <c r="O471" t="s">
        <v>74</v>
      </c>
      <c r="P471" t="s">
        <v>74</v>
      </c>
      <c r="Q471" t="s">
        <v>74</v>
      </c>
      <c r="R471" t="s">
        <v>74</v>
      </c>
      <c r="S471" t="s">
        <v>74</v>
      </c>
      <c r="T471" t="s">
        <v>8908</v>
      </c>
      <c r="U471" t="s">
        <v>8909</v>
      </c>
      <c r="V471" t="s">
        <v>8910</v>
      </c>
      <c r="W471" t="s">
        <v>8911</v>
      </c>
      <c r="X471" t="s">
        <v>74</v>
      </c>
      <c r="Y471" t="s">
        <v>8912</v>
      </c>
      <c r="Z471" t="s">
        <v>8913</v>
      </c>
      <c r="AA471" t="s">
        <v>8914</v>
      </c>
      <c r="AB471" t="s">
        <v>74</v>
      </c>
      <c r="AC471" t="s">
        <v>74</v>
      </c>
      <c r="AD471" t="s">
        <v>74</v>
      </c>
      <c r="AE471" t="s">
        <v>74</v>
      </c>
      <c r="AF471" t="s">
        <v>74</v>
      </c>
      <c r="AG471">
        <v>92</v>
      </c>
      <c r="AH471">
        <v>33</v>
      </c>
      <c r="AI471">
        <v>34</v>
      </c>
      <c r="AJ471">
        <v>134</v>
      </c>
      <c r="AK471">
        <v>363</v>
      </c>
      <c r="AL471" t="s">
        <v>516</v>
      </c>
      <c r="AM471" t="s">
        <v>517</v>
      </c>
      <c r="AN471" t="s">
        <v>518</v>
      </c>
      <c r="AO471" t="s">
        <v>8915</v>
      </c>
      <c r="AP471" t="s">
        <v>8916</v>
      </c>
      <c r="AQ471" t="s">
        <v>74</v>
      </c>
      <c r="AR471" t="s">
        <v>8917</v>
      </c>
      <c r="AS471" t="s">
        <v>8918</v>
      </c>
      <c r="AT471" t="s">
        <v>1484</v>
      </c>
      <c r="AU471">
        <v>2023</v>
      </c>
      <c r="AV471">
        <v>46</v>
      </c>
      <c r="AW471" t="s">
        <v>74</v>
      </c>
      <c r="AX471" t="s">
        <v>74</v>
      </c>
      <c r="AY471" t="s">
        <v>74</v>
      </c>
      <c r="AZ471" t="s">
        <v>74</v>
      </c>
      <c r="BA471" t="s">
        <v>74</v>
      </c>
      <c r="BB471" t="s">
        <v>74</v>
      </c>
      <c r="BC471" t="s">
        <v>74</v>
      </c>
      <c r="BD471">
        <v>101101</v>
      </c>
      <c r="BE471" t="s">
        <v>8919</v>
      </c>
      <c r="BF471" t="str">
        <f>HYPERLINK("http://dx.doi.org/10.1016/j.tmp.2023.101101","http://dx.doi.org/10.1016/j.tmp.2023.101101")</f>
        <v>http://dx.doi.org/10.1016/j.tmp.2023.101101</v>
      </c>
      <c r="BG471" t="s">
        <v>74</v>
      </c>
      <c r="BH471" t="s">
        <v>1046</v>
      </c>
      <c r="BI471">
        <v>14</v>
      </c>
      <c r="BJ471" t="s">
        <v>8920</v>
      </c>
      <c r="BK471" t="s">
        <v>99</v>
      </c>
      <c r="BL471" t="s">
        <v>8921</v>
      </c>
      <c r="BM471" t="s">
        <v>8922</v>
      </c>
      <c r="BN471" t="s">
        <v>74</v>
      </c>
      <c r="BO471" t="s">
        <v>156</v>
      </c>
      <c r="BP471" t="s">
        <v>395</v>
      </c>
      <c r="BQ471" t="s">
        <v>396</v>
      </c>
      <c r="BR471" t="s">
        <v>102</v>
      </c>
      <c r="BS471" t="s">
        <v>8923</v>
      </c>
      <c r="BT471" t="str">
        <f>HYPERLINK("https%3A%2F%2Fwww.webofscience.com%2Fwos%2Fwoscc%2Ffull-record%2FWOS:000960416500001","View Full Record in Web of Science")</f>
        <v>View Full Record in Web of Science</v>
      </c>
    </row>
    <row r="472" spans="1:72" x14ac:dyDescent="0.35">
      <c r="A472" t="s">
        <v>72</v>
      </c>
      <c r="B472" t="s">
        <v>8924</v>
      </c>
      <c r="C472" t="s">
        <v>74</v>
      </c>
      <c r="D472" t="s">
        <v>74</v>
      </c>
      <c r="E472" t="s">
        <v>74</v>
      </c>
      <c r="F472" t="s">
        <v>8925</v>
      </c>
      <c r="G472" t="s">
        <v>74</v>
      </c>
      <c r="H472" t="s">
        <v>74</v>
      </c>
      <c r="I472" t="s">
        <v>8926</v>
      </c>
      <c r="J472" t="s">
        <v>8927</v>
      </c>
      <c r="K472" t="s">
        <v>74</v>
      </c>
      <c r="L472" t="s">
        <v>74</v>
      </c>
      <c r="M472" t="s">
        <v>78</v>
      </c>
      <c r="N472" t="s">
        <v>108</v>
      </c>
      <c r="O472" t="s">
        <v>74</v>
      </c>
      <c r="P472" t="s">
        <v>74</v>
      </c>
      <c r="Q472" t="s">
        <v>74</v>
      </c>
      <c r="R472" t="s">
        <v>74</v>
      </c>
      <c r="S472" t="s">
        <v>74</v>
      </c>
      <c r="T472" t="s">
        <v>8928</v>
      </c>
      <c r="U472" t="s">
        <v>8929</v>
      </c>
      <c r="V472" t="s">
        <v>8930</v>
      </c>
      <c r="W472" t="s">
        <v>74</v>
      </c>
      <c r="X472" t="s">
        <v>74</v>
      </c>
      <c r="Y472" t="s">
        <v>74</v>
      </c>
      <c r="Z472" t="s">
        <v>8931</v>
      </c>
      <c r="AA472" t="s">
        <v>74</v>
      </c>
      <c r="AB472" t="s">
        <v>8932</v>
      </c>
      <c r="AC472" t="s">
        <v>74</v>
      </c>
      <c r="AD472" t="s">
        <v>74</v>
      </c>
      <c r="AE472" t="s">
        <v>74</v>
      </c>
      <c r="AF472" t="s">
        <v>74</v>
      </c>
      <c r="AG472">
        <v>60</v>
      </c>
      <c r="AH472">
        <v>1</v>
      </c>
      <c r="AI472">
        <v>1</v>
      </c>
      <c r="AJ472">
        <v>5</v>
      </c>
      <c r="AK472">
        <v>19</v>
      </c>
      <c r="AL472" t="s">
        <v>665</v>
      </c>
      <c r="AM472" t="s">
        <v>666</v>
      </c>
      <c r="AN472" t="s">
        <v>667</v>
      </c>
      <c r="AO472" t="s">
        <v>8933</v>
      </c>
      <c r="AP472" t="s">
        <v>8934</v>
      </c>
      <c r="AQ472" t="s">
        <v>74</v>
      </c>
      <c r="AR472" t="s">
        <v>8935</v>
      </c>
      <c r="AS472" t="s">
        <v>8936</v>
      </c>
      <c r="AT472" t="s">
        <v>257</v>
      </c>
      <c r="AU472">
        <v>2023</v>
      </c>
      <c r="AV472">
        <v>57</v>
      </c>
      <c r="AW472">
        <v>2</v>
      </c>
      <c r="AX472" t="s">
        <v>74</v>
      </c>
      <c r="AY472" t="s">
        <v>74</v>
      </c>
      <c r="AZ472" t="s">
        <v>74</v>
      </c>
      <c r="BA472" t="s">
        <v>74</v>
      </c>
      <c r="BB472">
        <v>677</v>
      </c>
      <c r="BC472">
        <v>696</v>
      </c>
      <c r="BD472" t="s">
        <v>74</v>
      </c>
      <c r="BE472" t="s">
        <v>8937</v>
      </c>
      <c r="BF472" t="str">
        <f>HYPERLINK("http://dx.doi.org/10.1007/s12124-022-09712-5","http://dx.doi.org/10.1007/s12124-022-09712-5")</f>
        <v>http://dx.doi.org/10.1007/s12124-022-09712-5</v>
      </c>
      <c r="BG472" t="s">
        <v>74</v>
      </c>
      <c r="BH472" t="s">
        <v>2175</v>
      </c>
      <c r="BI472">
        <v>20</v>
      </c>
      <c r="BJ472" t="s">
        <v>8938</v>
      </c>
      <c r="BK472" t="s">
        <v>99</v>
      </c>
      <c r="BL472" t="s">
        <v>8939</v>
      </c>
      <c r="BM472" t="s">
        <v>8940</v>
      </c>
      <c r="BN472">
        <v>35779223</v>
      </c>
      <c r="BO472" t="s">
        <v>74</v>
      </c>
      <c r="BP472" t="s">
        <v>74</v>
      </c>
      <c r="BQ472" t="s">
        <v>74</v>
      </c>
      <c r="BR472" t="s">
        <v>102</v>
      </c>
      <c r="BS472" t="s">
        <v>8941</v>
      </c>
      <c r="BT472" t="str">
        <f>HYPERLINK("https%3A%2F%2Fwww.webofscience.com%2Fwos%2Fwoscc%2Ffull-record%2FWOS:000819902700002","View Full Record in Web of Science")</f>
        <v>View Full Record in Web of Science</v>
      </c>
    </row>
    <row r="473" spans="1:72" x14ac:dyDescent="0.35">
      <c r="A473" t="s">
        <v>72</v>
      </c>
      <c r="B473" t="s">
        <v>8942</v>
      </c>
      <c r="C473" t="s">
        <v>74</v>
      </c>
      <c r="D473" t="s">
        <v>74</v>
      </c>
      <c r="E473" t="s">
        <v>74</v>
      </c>
      <c r="F473" t="s">
        <v>8943</v>
      </c>
      <c r="G473" t="s">
        <v>74</v>
      </c>
      <c r="H473" t="s">
        <v>74</v>
      </c>
      <c r="I473" t="s">
        <v>8944</v>
      </c>
      <c r="J473" t="s">
        <v>7401</v>
      </c>
      <c r="K473" t="s">
        <v>74</v>
      </c>
      <c r="L473" t="s">
        <v>74</v>
      </c>
      <c r="M473" t="s">
        <v>78</v>
      </c>
      <c r="N473" t="s">
        <v>108</v>
      </c>
      <c r="O473" t="s">
        <v>74</v>
      </c>
      <c r="P473" t="s">
        <v>74</v>
      </c>
      <c r="Q473" t="s">
        <v>74</v>
      </c>
      <c r="R473" t="s">
        <v>74</v>
      </c>
      <c r="S473" t="s">
        <v>74</v>
      </c>
      <c r="T473" t="s">
        <v>8945</v>
      </c>
      <c r="U473" t="s">
        <v>8946</v>
      </c>
      <c r="V473" t="s">
        <v>8947</v>
      </c>
      <c r="W473" t="s">
        <v>8948</v>
      </c>
      <c r="X473" t="s">
        <v>74</v>
      </c>
      <c r="Y473" t="s">
        <v>8949</v>
      </c>
      <c r="Z473" t="s">
        <v>8950</v>
      </c>
      <c r="AA473" t="s">
        <v>4313</v>
      </c>
      <c r="AB473" t="s">
        <v>8951</v>
      </c>
      <c r="AC473" t="s">
        <v>74</v>
      </c>
      <c r="AD473" t="s">
        <v>74</v>
      </c>
      <c r="AE473" t="s">
        <v>74</v>
      </c>
      <c r="AF473" t="s">
        <v>74</v>
      </c>
      <c r="AG473">
        <v>166</v>
      </c>
      <c r="AH473">
        <v>0</v>
      </c>
      <c r="AI473">
        <v>0</v>
      </c>
      <c r="AJ473">
        <v>22</v>
      </c>
      <c r="AK473">
        <v>43</v>
      </c>
      <c r="AL473" t="s">
        <v>2290</v>
      </c>
      <c r="AM473" t="s">
        <v>2291</v>
      </c>
      <c r="AN473" t="s">
        <v>2292</v>
      </c>
      <c r="AO473" t="s">
        <v>7412</v>
      </c>
      <c r="AP473" t="s">
        <v>74</v>
      </c>
      <c r="AQ473" t="s">
        <v>74</v>
      </c>
      <c r="AR473" t="s">
        <v>7413</v>
      </c>
      <c r="AS473" t="s">
        <v>7414</v>
      </c>
      <c r="AT473" t="s">
        <v>2296</v>
      </c>
      <c r="AU473">
        <v>2024</v>
      </c>
      <c r="AV473">
        <v>10</v>
      </c>
      <c r="AW473">
        <v>1</v>
      </c>
      <c r="AX473" t="s">
        <v>74</v>
      </c>
      <c r="AY473" t="s">
        <v>74</v>
      </c>
      <c r="AZ473" t="s">
        <v>74</v>
      </c>
      <c r="BA473" t="s">
        <v>74</v>
      </c>
      <c r="BB473" t="s">
        <v>74</v>
      </c>
      <c r="BC473" t="s">
        <v>74</v>
      </c>
      <c r="BD473">
        <v>2302216</v>
      </c>
      <c r="BE473" t="s">
        <v>8952</v>
      </c>
      <c r="BF473" t="str">
        <f>HYPERLINK("http://dx.doi.org/10.1080/23311886.2024.2302216","http://dx.doi.org/10.1080/23311886.2024.2302216")</f>
        <v>http://dx.doi.org/10.1080/23311886.2024.2302216</v>
      </c>
      <c r="BG473" t="s">
        <v>74</v>
      </c>
      <c r="BH473" t="s">
        <v>74</v>
      </c>
      <c r="BI473">
        <v>24</v>
      </c>
      <c r="BJ473" t="s">
        <v>98</v>
      </c>
      <c r="BK473" t="s">
        <v>125</v>
      </c>
      <c r="BL473" t="s">
        <v>100</v>
      </c>
      <c r="BM473" t="s">
        <v>8953</v>
      </c>
      <c r="BN473" t="s">
        <v>74</v>
      </c>
      <c r="BO473" t="s">
        <v>235</v>
      </c>
      <c r="BP473" t="s">
        <v>74</v>
      </c>
      <c r="BQ473" t="s">
        <v>74</v>
      </c>
      <c r="BR473" t="s">
        <v>102</v>
      </c>
      <c r="BS473" t="s">
        <v>8954</v>
      </c>
      <c r="BT473" t="str">
        <f>HYPERLINK("https%3A%2F%2Fwww.webofscience.com%2Fwos%2Fwoscc%2Ffull-record%2FWOS:001151090600001","View Full Record in Web of Science")</f>
        <v>View Full Record in Web of Science</v>
      </c>
    </row>
    <row r="474" spans="1:72" x14ac:dyDescent="0.35">
      <c r="A474" t="s">
        <v>72</v>
      </c>
      <c r="B474" t="s">
        <v>8955</v>
      </c>
      <c r="C474" t="s">
        <v>74</v>
      </c>
      <c r="D474" t="s">
        <v>74</v>
      </c>
      <c r="E474" t="s">
        <v>74</v>
      </c>
      <c r="F474" t="s">
        <v>8956</v>
      </c>
      <c r="G474" t="s">
        <v>74</v>
      </c>
      <c r="H474" t="s">
        <v>74</v>
      </c>
      <c r="I474" t="s">
        <v>8957</v>
      </c>
      <c r="J474" t="s">
        <v>8958</v>
      </c>
      <c r="K474" t="s">
        <v>74</v>
      </c>
      <c r="L474" t="s">
        <v>74</v>
      </c>
      <c r="M474" t="s">
        <v>78</v>
      </c>
      <c r="N474" t="s">
        <v>8959</v>
      </c>
      <c r="O474" t="s">
        <v>74</v>
      </c>
      <c r="P474" t="s">
        <v>74</v>
      </c>
      <c r="Q474" t="s">
        <v>74</v>
      </c>
      <c r="R474" t="s">
        <v>74</v>
      </c>
      <c r="S474" t="s">
        <v>74</v>
      </c>
      <c r="T474" t="s">
        <v>74</v>
      </c>
      <c r="U474" t="s">
        <v>74</v>
      </c>
      <c r="V474" t="s">
        <v>74</v>
      </c>
      <c r="W474" t="s">
        <v>8960</v>
      </c>
      <c r="X474" t="s">
        <v>8961</v>
      </c>
      <c r="Y474" t="s">
        <v>8962</v>
      </c>
      <c r="Z474" t="s">
        <v>8963</v>
      </c>
      <c r="AA474" t="s">
        <v>74</v>
      </c>
      <c r="AB474" t="s">
        <v>74</v>
      </c>
      <c r="AC474" t="s">
        <v>74</v>
      </c>
      <c r="AD474" t="s">
        <v>74</v>
      </c>
      <c r="AE474" t="s">
        <v>74</v>
      </c>
      <c r="AF474" t="s">
        <v>74</v>
      </c>
      <c r="AG474">
        <v>1</v>
      </c>
      <c r="AH474">
        <v>0</v>
      </c>
      <c r="AI474">
        <v>0</v>
      </c>
      <c r="AJ474">
        <v>2</v>
      </c>
      <c r="AK474">
        <v>2</v>
      </c>
      <c r="AL474" t="s">
        <v>251</v>
      </c>
      <c r="AM474" t="s">
        <v>252</v>
      </c>
      <c r="AN474" t="s">
        <v>253</v>
      </c>
      <c r="AO474" t="s">
        <v>8964</v>
      </c>
      <c r="AP474" t="s">
        <v>8965</v>
      </c>
      <c r="AQ474" t="s">
        <v>74</v>
      </c>
      <c r="AR474" t="s">
        <v>8966</v>
      </c>
      <c r="AS474" t="s">
        <v>8967</v>
      </c>
      <c r="AT474" t="s">
        <v>8968</v>
      </c>
      <c r="AU474">
        <v>2024</v>
      </c>
      <c r="AV474" t="s">
        <v>74</v>
      </c>
      <c r="AW474" t="s">
        <v>74</v>
      </c>
      <c r="AX474" t="s">
        <v>74</v>
      </c>
      <c r="AY474" t="s">
        <v>74</v>
      </c>
      <c r="AZ474" t="s">
        <v>74</v>
      </c>
      <c r="BA474" t="s">
        <v>74</v>
      </c>
      <c r="BB474" t="s">
        <v>74</v>
      </c>
      <c r="BC474" t="s">
        <v>74</v>
      </c>
      <c r="BD474" t="s">
        <v>74</v>
      </c>
      <c r="BE474" t="s">
        <v>8969</v>
      </c>
      <c r="BF474" t="str">
        <f>HYPERLINK("http://dx.doi.org/10.1111/jpcu.13382","http://dx.doi.org/10.1111/jpcu.13382")</f>
        <v>http://dx.doi.org/10.1111/jpcu.13382</v>
      </c>
      <c r="BG474" t="s">
        <v>74</v>
      </c>
      <c r="BH474" t="s">
        <v>337</v>
      </c>
      <c r="BI474">
        <v>2</v>
      </c>
      <c r="BJ474" t="s">
        <v>8970</v>
      </c>
      <c r="BK474" t="s">
        <v>2125</v>
      </c>
      <c r="BL474" t="s">
        <v>8971</v>
      </c>
      <c r="BM474" t="s">
        <v>8972</v>
      </c>
      <c r="BN474" t="s">
        <v>74</v>
      </c>
      <c r="BO474" t="s">
        <v>74</v>
      </c>
      <c r="BP474" t="s">
        <v>74</v>
      </c>
      <c r="BQ474" t="s">
        <v>74</v>
      </c>
      <c r="BR474" t="s">
        <v>102</v>
      </c>
      <c r="BS474" t="s">
        <v>8973</v>
      </c>
      <c r="BT474" t="str">
        <f>HYPERLINK("https%3A%2F%2Fwww.webofscience.com%2Fwos%2Fwoscc%2Ffull-record%2FWOS:001326868600001","View Full Record in Web of Science")</f>
        <v>View Full Record in Web of Science</v>
      </c>
    </row>
    <row r="475" spans="1:72" x14ac:dyDescent="0.35">
      <c r="A475" t="s">
        <v>72</v>
      </c>
      <c r="B475" t="s">
        <v>8974</v>
      </c>
      <c r="C475" t="s">
        <v>74</v>
      </c>
      <c r="D475" t="s">
        <v>74</v>
      </c>
      <c r="E475" t="s">
        <v>74</v>
      </c>
      <c r="F475" t="s">
        <v>8975</v>
      </c>
      <c r="G475" t="s">
        <v>74</v>
      </c>
      <c r="H475" t="s">
        <v>74</v>
      </c>
      <c r="I475" t="s">
        <v>8976</v>
      </c>
      <c r="J475" t="s">
        <v>8977</v>
      </c>
      <c r="K475" t="s">
        <v>74</v>
      </c>
      <c r="L475" t="s">
        <v>74</v>
      </c>
      <c r="M475" t="s">
        <v>78</v>
      </c>
      <c r="N475" t="s">
        <v>108</v>
      </c>
      <c r="O475" t="s">
        <v>74</v>
      </c>
      <c r="P475" t="s">
        <v>74</v>
      </c>
      <c r="Q475" t="s">
        <v>74</v>
      </c>
      <c r="R475" t="s">
        <v>74</v>
      </c>
      <c r="S475" t="s">
        <v>74</v>
      </c>
      <c r="T475" t="s">
        <v>8978</v>
      </c>
      <c r="U475" t="s">
        <v>8979</v>
      </c>
      <c r="V475" t="s">
        <v>8980</v>
      </c>
      <c r="W475" t="s">
        <v>8981</v>
      </c>
      <c r="X475" t="s">
        <v>8982</v>
      </c>
      <c r="Y475" t="s">
        <v>8983</v>
      </c>
      <c r="Z475" t="s">
        <v>8984</v>
      </c>
      <c r="AA475" t="s">
        <v>74</v>
      </c>
      <c r="AB475" t="s">
        <v>74</v>
      </c>
      <c r="AC475" t="s">
        <v>8985</v>
      </c>
      <c r="AD475" t="s">
        <v>8986</v>
      </c>
      <c r="AE475" t="s">
        <v>8987</v>
      </c>
      <c r="AF475" t="s">
        <v>74</v>
      </c>
      <c r="AG475">
        <v>61</v>
      </c>
      <c r="AH475">
        <v>0</v>
      </c>
      <c r="AI475">
        <v>0</v>
      </c>
      <c r="AJ475">
        <v>2</v>
      </c>
      <c r="AK475">
        <v>2</v>
      </c>
      <c r="AL475" t="s">
        <v>384</v>
      </c>
      <c r="AM475" t="s">
        <v>385</v>
      </c>
      <c r="AN475" t="s">
        <v>386</v>
      </c>
      <c r="AO475" t="s">
        <v>8988</v>
      </c>
      <c r="AP475" t="s">
        <v>74</v>
      </c>
      <c r="AQ475" t="s">
        <v>74</v>
      </c>
      <c r="AR475" t="s">
        <v>8989</v>
      </c>
      <c r="AS475" t="s">
        <v>8990</v>
      </c>
      <c r="AT475" t="s">
        <v>8228</v>
      </c>
      <c r="AU475">
        <v>2024</v>
      </c>
      <c r="AV475">
        <v>15</v>
      </c>
      <c r="AW475" t="s">
        <v>74</v>
      </c>
      <c r="AX475" t="s">
        <v>74</v>
      </c>
      <c r="AY475" t="s">
        <v>74</v>
      </c>
      <c r="AZ475" t="s">
        <v>74</v>
      </c>
      <c r="BA475" t="s">
        <v>74</v>
      </c>
      <c r="BB475" t="s">
        <v>74</v>
      </c>
      <c r="BC475" t="s">
        <v>74</v>
      </c>
      <c r="BD475">
        <v>1404038</v>
      </c>
      <c r="BE475" t="s">
        <v>8991</v>
      </c>
      <c r="BF475" t="str">
        <f>HYPERLINK("http://dx.doi.org/10.3389/fneur.2024.1404038","http://dx.doi.org/10.3389/fneur.2024.1404038")</f>
        <v>http://dx.doi.org/10.3389/fneur.2024.1404038</v>
      </c>
      <c r="BG475" t="s">
        <v>74</v>
      </c>
      <c r="BH475" t="s">
        <v>74</v>
      </c>
      <c r="BI475">
        <v>12</v>
      </c>
      <c r="BJ475" t="s">
        <v>2256</v>
      </c>
      <c r="BK475" t="s">
        <v>209</v>
      </c>
      <c r="BL475" t="s">
        <v>2258</v>
      </c>
      <c r="BM475" t="s">
        <v>8992</v>
      </c>
      <c r="BN475">
        <v>39494168</v>
      </c>
      <c r="BO475" t="s">
        <v>235</v>
      </c>
      <c r="BP475" t="s">
        <v>74</v>
      </c>
      <c r="BQ475" t="s">
        <v>74</v>
      </c>
      <c r="BR475" t="s">
        <v>102</v>
      </c>
      <c r="BS475" t="s">
        <v>8993</v>
      </c>
      <c r="BT475" t="str">
        <f>HYPERLINK("https%3A%2F%2Fwww.webofscience.com%2Fwos%2Fwoscc%2Ffull-record%2FWOS:001345295200001","View Full Record in Web of Science")</f>
        <v>View Full Record in Web of Science</v>
      </c>
    </row>
    <row r="476" spans="1:72" x14ac:dyDescent="0.35">
      <c r="A476" t="s">
        <v>72</v>
      </c>
      <c r="B476" t="s">
        <v>8994</v>
      </c>
      <c r="C476" t="s">
        <v>74</v>
      </c>
      <c r="D476" t="s">
        <v>74</v>
      </c>
      <c r="E476" t="s">
        <v>74</v>
      </c>
      <c r="F476" t="s">
        <v>8995</v>
      </c>
      <c r="G476" t="s">
        <v>74</v>
      </c>
      <c r="H476" t="s">
        <v>74</v>
      </c>
      <c r="I476" t="s">
        <v>8996</v>
      </c>
      <c r="J476" t="s">
        <v>373</v>
      </c>
      <c r="K476" t="s">
        <v>74</v>
      </c>
      <c r="L476" t="s">
        <v>74</v>
      </c>
      <c r="M476" t="s">
        <v>78</v>
      </c>
      <c r="N476" t="s">
        <v>108</v>
      </c>
      <c r="O476" t="s">
        <v>74</v>
      </c>
      <c r="P476" t="s">
        <v>74</v>
      </c>
      <c r="Q476" t="s">
        <v>74</v>
      </c>
      <c r="R476" t="s">
        <v>74</v>
      </c>
      <c r="S476" t="s">
        <v>74</v>
      </c>
      <c r="T476" t="s">
        <v>8997</v>
      </c>
      <c r="U476" t="s">
        <v>8998</v>
      </c>
      <c r="V476" t="s">
        <v>8999</v>
      </c>
      <c r="W476" t="s">
        <v>9000</v>
      </c>
      <c r="X476" t="s">
        <v>9001</v>
      </c>
      <c r="Y476" t="s">
        <v>9002</v>
      </c>
      <c r="Z476" t="s">
        <v>9003</v>
      </c>
      <c r="AA476" t="s">
        <v>9004</v>
      </c>
      <c r="AB476" t="s">
        <v>74</v>
      </c>
      <c r="AC476" t="s">
        <v>9005</v>
      </c>
      <c r="AD476" t="s">
        <v>9006</v>
      </c>
      <c r="AE476" t="s">
        <v>9007</v>
      </c>
      <c r="AF476" t="s">
        <v>74</v>
      </c>
      <c r="AG476">
        <v>44</v>
      </c>
      <c r="AH476">
        <v>6</v>
      </c>
      <c r="AI476">
        <v>6</v>
      </c>
      <c r="AJ476">
        <v>12</v>
      </c>
      <c r="AK476">
        <v>18</v>
      </c>
      <c r="AL476" t="s">
        <v>384</v>
      </c>
      <c r="AM476" t="s">
        <v>385</v>
      </c>
      <c r="AN476" t="s">
        <v>386</v>
      </c>
      <c r="AO476" t="s">
        <v>74</v>
      </c>
      <c r="AP476" t="s">
        <v>387</v>
      </c>
      <c r="AQ476" t="s">
        <v>74</v>
      </c>
      <c r="AR476" t="s">
        <v>388</v>
      </c>
      <c r="AS476" t="s">
        <v>389</v>
      </c>
      <c r="AT476" t="s">
        <v>9008</v>
      </c>
      <c r="AU476">
        <v>2023</v>
      </c>
      <c r="AV476">
        <v>11</v>
      </c>
      <c r="AW476" t="s">
        <v>74</v>
      </c>
      <c r="AX476" t="s">
        <v>74</v>
      </c>
      <c r="AY476" t="s">
        <v>74</v>
      </c>
      <c r="AZ476" t="s">
        <v>74</v>
      </c>
      <c r="BA476" t="s">
        <v>74</v>
      </c>
      <c r="BB476" t="s">
        <v>74</v>
      </c>
      <c r="BC476" t="s">
        <v>74</v>
      </c>
      <c r="BD476">
        <v>1231240</v>
      </c>
      <c r="BE476" t="s">
        <v>9009</v>
      </c>
      <c r="BF476" t="str">
        <f>HYPERLINK("http://dx.doi.org/10.3389/fpubh.2023.1231240","http://dx.doi.org/10.3389/fpubh.2023.1231240")</f>
        <v>http://dx.doi.org/10.3389/fpubh.2023.1231240</v>
      </c>
      <c r="BG476" t="s">
        <v>74</v>
      </c>
      <c r="BH476" t="s">
        <v>74</v>
      </c>
      <c r="BI476">
        <v>9</v>
      </c>
      <c r="BJ476" t="s">
        <v>392</v>
      </c>
      <c r="BK476" t="s">
        <v>182</v>
      </c>
      <c r="BL476" t="s">
        <v>392</v>
      </c>
      <c r="BM476" t="s">
        <v>9010</v>
      </c>
      <c r="BN476">
        <v>37860803</v>
      </c>
      <c r="BO476" t="s">
        <v>394</v>
      </c>
      <c r="BP476" t="s">
        <v>74</v>
      </c>
      <c r="BQ476" t="s">
        <v>74</v>
      </c>
      <c r="BR476" t="s">
        <v>102</v>
      </c>
      <c r="BS476" t="s">
        <v>9011</v>
      </c>
      <c r="BT476" t="str">
        <f>HYPERLINK("https%3A%2F%2Fwww.webofscience.com%2Fwos%2Fwoscc%2Ffull-record%2FWOS:001087921200001","View Full Record in Web of Science")</f>
        <v>View Full Record in Web of Science</v>
      </c>
    </row>
    <row r="477" spans="1:72" x14ac:dyDescent="0.35">
      <c r="A477" t="s">
        <v>72</v>
      </c>
      <c r="B477" t="s">
        <v>9012</v>
      </c>
      <c r="C477" t="s">
        <v>74</v>
      </c>
      <c r="D477" t="s">
        <v>74</v>
      </c>
      <c r="E477" t="s">
        <v>74</v>
      </c>
      <c r="F477" t="s">
        <v>9013</v>
      </c>
      <c r="G477" t="s">
        <v>74</v>
      </c>
      <c r="H477" t="s">
        <v>74</v>
      </c>
      <c r="I477" t="s">
        <v>9014</v>
      </c>
      <c r="J477" t="s">
        <v>8147</v>
      </c>
      <c r="K477" t="s">
        <v>74</v>
      </c>
      <c r="L477" t="s">
        <v>74</v>
      </c>
      <c r="M477" t="s">
        <v>78</v>
      </c>
      <c r="N477" t="s">
        <v>108</v>
      </c>
      <c r="O477" t="s">
        <v>74</v>
      </c>
      <c r="P477" t="s">
        <v>74</v>
      </c>
      <c r="Q477" t="s">
        <v>74</v>
      </c>
      <c r="R477" t="s">
        <v>74</v>
      </c>
      <c r="S477" t="s">
        <v>74</v>
      </c>
      <c r="T477" t="s">
        <v>9015</v>
      </c>
      <c r="U477" t="s">
        <v>1036</v>
      </c>
      <c r="V477" t="s">
        <v>9016</v>
      </c>
      <c r="W477" t="s">
        <v>9017</v>
      </c>
      <c r="X477" t="s">
        <v>9018</v>
      </c>
      <c r="Y477" t="s">
        <v>9019</v>
      </c>
      <c r="Z477" t="s">
        <v>9020</v>
      </c>
      <c r="AA477" t="s">
        <v>74</v>
      </c>
      <c r="AB477" t="s">
        <v>74</v>
      </c>
      <c r="AC477" t="s">
        <v>8156</v>
      </c>
      <c r="AD477" t="s">
        <v>1108</v>
      </c>
      <c r="AE477" t="s">
        <v>9021</v>
      </c>
      <c r="AF477" t="s">
        <v>74</v>
      </c>
      <c r="AG477">
        <v>37</v>
      </c>
      <c r="AH477">
        <v>8</v>
      </c>
      <c r="AI477">
        <v>8</v>
      </c>
      <c r="AJ477">
        <v>0</v>
      </c>
      <c r="AK477">
        <v>0</v>
      </c>
      <c r="AL477" t="s">
        <v>516</v>
      </c>
      <c r="AM477" t="s">
        <v>517</v>
      </c>
      <c r="AN477" t="s">
        <v>518</v>
      </c>
      <c r="AO477" t="s">
        <v>74</v>
      </c>
      <c r="AP477" t="s">
        <v>8158</v>
      </c>
      <c r="AQ477" t="s">
        <v>74</v>
      </c>
      <c r="AR477" t="s">
        <v>8159</v>
      </c>
      <c r="AS477" t="s">
        <v>8160</v>
      </c>
      <c r="AT477" t="s">
        <v>1275</v>
      </c>
      <c r="AU477">
        <v>2021</v>
      </c>
      <c r="AV477">
        <v>1</v>
      </c>
      <c r="AW477" t="s">
        <v>74</v>
      </c>
      <c r="AX477" t="s">
        <v>74</v>
      </c>
      <c r="AY477" t="s">
        <v>74</v>
      </c>
      <c r="AZ477" t="s">
        <v>74</v>
      </c>
      <c r="BA477" t="s">
        <v>74</v>
      </c>
      <c r="BB477" t="s">
        <v>74</v>
      </c>
      <c r="BC477" t="s">
        <v>74</v>
      </c>
      <c r="BD477">
        <v>100005</v>
      </c>
      <c r="BE477" t="s">
        <v>9022</v>
      </c>
      <c r="BF477" t="str">
        <f>HYPERLINK("http://dx.doi.org/10.1016/j.hfh.2022.100005","http://dx.doi.org/10.1016/j.hfh.2022.100005")</f>
        <v>http://dx.doi.org/10.1016/j.hfh.2022.100005</v>
      </c>
      <c r="BG477" t="s">
        <v>74</v>
      </c>
      <c r="BH477" t="s">
        <v>74</v>
      </c>
      <c r="BI477">
        <v>7</v>
      </c>
      <c r="BJ477" t="s">
        <v>8162</v>
      </c>
      <c r="BK477" t="s">
        <v>125</v>
      </c>
      <c r="BL477" t="s">
        <v>8163</v>
      </c>
      <c r="BM477" t="s">
        <v>9023</v>
      </c>
      <c r="BN477" t="s">
        <v>74</v>
      </c>
      <c r="BO477" t="s">
        <v>235</v>
      </c>
      <c r="BP477" t="s">
        <v>74</v>
      </c>
      <c r="BQ477" t="s">
        <v>74</v>
      </c>
      <c r="BR477" t="s">
        <v>102</v>
      </c>
      <c r="BS477" t="s">
        <v>9024</v>
      </c>
      <c r="BT477" t="str">
        <f>HYPERLINK("https%3A%2F%2Fwww.webofscience.com%2Fwos%2Fwoscc%2Ffull-record%2FWOS:001335652100001","View Full Record in Web of Science")</f>
        <v>View Full Record in Web of Science</v>
      </c>
    </row>
    <row r="478" spans="1:72" x14ac:dyDescent="0.35">
      <c r="A478" t="s">
        <v>72</v>
      </c>
      <c r="B478" t="s">
        <v>9025</v>
      </c>
      <c r="C478" t="s">
        <v>74</v>
      </c>
      <c r="D478" t="s">
        <v>74</v>
      </c>
      <c r="E478" t="s">
        <v>74</v>
      </c>
      <c r="F478" t="s">
        <v>9026</v>
      </c>
      <c r="G478" t="s">
        <v>74</v>
      </c>
      <c r="H478" t="s">
        <v>74</v>
      </c>
      <c r="I478" t="s">
        <v>9027</v>
      </c>
      <c r="J478" t="s">
        <v>9028</v>
      </c>
      <c r="K478" t="s">
        <v>74</v>
      </c>
      <c r="L478" t="s">
        <v>74</v>
      </c>
      <c r="M478" t="s">
        <v>78</v>
      </c>
      <c r="N478" t="s">
        <v>108</v>
      </c>
      <c r="O478" t="s">
        <v>74</v>
      </c>
      <c r="P478" t="s">
        <v>74</v>
      </c>
      <c r="Q478" t="s">
        <v>74</v>
      </c>
      <c r="R478" t="s">
        <v>74</v>
      </c>
      <c r="S478" t="s">
        <v>74</v>
      </c>
      <c r="T478" t="s">
        <v>9029</v>
      </c>
      <c r="U478" t="s">
        <v>74</v>
      </c>
      <c r="V478" t="s">
        <v>9030</v>
      </c>
      <c r="W478" t="s">
        <v>9031</v>
      </c>
      <c r="X478" t="s">
        <v>9032</v>
      </c>
      <c r="Y478" t="s">
        <v>9033</v>
      </c>
      <c r="Z478" t="s">
        <v>9034</v>
      </c>
      <c r="AA478" t="s">
        <v>9035</v>
      </c>
      <c r="AB478" t="s">
        <v>74</v>
      </c>
      <c r="AC478" t="s">
        <v>74</v>
      </c>
      <c r="AD478" t="s">
        <v>74</v>
      </c>
      <c r="AE478" t="s">
        <v>74</v>
      </c>
      <c r="AF478" t="s">
        <v>74</v>
      </c>
      <c r="AG478">
        <v>30</v>
      </c>
      <c r="AH478">
        <v>10</v>
      </c>
      <c r="AI478">
        <v>10</v>
      </c>
      <c r="AJ478">
        <v>0</v>
      </c>
      <c r="AK478">
        <v>10</v>
      </c>
      <c r="AL478" t="s">
        <v>516</v>
      </c>
      <c r="AM478" t="s">
        <v>517</v>
      </c>
      <c r="AN478" t="s">
        <v>518</v>
      </c>
      <c r="AO478" t="s">
        <v>74</v>
      </c>
      <c r="AP478" t="s">
        <v>9036</v>
      </c>
      <c r="AQ478" t="s">
        <v>74</v>
      </c>
      <c r="AR478" t="s">
        <v>9037</v>
      </c>
      <c r="AS478" t="s">
        <v>9038</v>
      </c>
      <c r="AT478" t="s">
        <v>257</v>
      </c>
      <c r="AU478">
        <v>2021</v>
      </c>
      <c r="AV478">
        <v>2</v>
      </c>
      <c r="AW478" t="s">
        <v>74</v>
      </c>
      <c r="AX478" t="s">
        <v>74</v>
      </c>
      <c r="AY478" t="s">
        <v>74</v>
      </c>
      <c r="AZ478" t="s">
        <v>74</v>
      </c>
      <c r="BA478" t="s">
        <v>74</v>
      </c>
      <c r="BB478" t="s">
        <v>74</v>
      </c>
      <c r="BC478" t="s">
        <v>74</v>
      </c>
      <c r="BD478">
        <v>100035</v>
      </c>
      <c r="BE478" t="s">
        <v>9039</v>
      </c>
      <c r="BF478" t="str">
        <f>HYPERLINK("http://dx.doi.org/10.1016/j.rcsop.2021.100035","http://dx.doi.org/10.1016/j.rcsop.2021.100035")</f>
        <v>http://dx.doi.org/10.1016/j.rcsop.2021.100035</v>
      </c>
      <c r="BG478" t="s">
        <v>74</v>
      </c>
      <c r="BH478" t="s">
        <v>74</v>
      </c>
      <c r="BI478">
        <v>9</v>
      </c>
      <c r="BJ478" t="s">
        <v>2215</v>
      </c>
      <c r="BK478" t="s">
        <v>125</v>
      </c>
      <c r="BL478" t="s">
        <v>2215</v>
      </c>
      <c r="BM478" t="s">
        <v>9040</v>
      </c>
      <c r="BN478">
        <v>34568867</v>
      </c>
      <c r="BO478" t="s">
        <v>394</v>
      </c>
      <c r="BP478" t="s">
        <v>74</v>
      </c>
      <c r="BQ478" t="s">
        <v>74</v>
      </c>
      <c r="BR478" t="s">
        <v>102</v>
      </c>
      <c r="BS478" t="s">
        <v>9041</v>
      </c>
      <c r="BT478" t="str">
        <f>HYPERLINK("https%3A%2F%2Fwww.webofscience.com%2Fwos%2Fwoscc%2Ffull-record%2FWOS:001135976900019","View Full Record in Web of Science")</f>
        <v>View Full Record in Web of Science</v>
      </c>
    </row>
    <row r="479" spans="1:72" x14ac:dyDescent="0.35">
      <c r="A479" t="s">
        <v>72</v>
      </c>
      <c r="B479" t="s">
        <v>9042</v>
      </c>
      <c r="C479" t="s">
        <v>74</v>
      </c>
      <c r="D479" t="s">
        <v>74</v>
      </c>
      <c r="E479" t="s">
        <v>74</v>
      </c>
      <c r="F479" t="s">
        <v>9043</v>
      </c>
      <c r="G479" t="s">
        <v>74</v>
      </c>
      <c r="H479" t="s">
        <v>74</v>
      </c>
      <c r="I479" t="s">
        <v>9044</v>
      </c>
      <c r="J479" t="s">
        <v>9045</v>
      </c>
      <c r="K479" t="s">
        <v>74</v>
      </c>
      <c r="L479" t="s">
        <v>74</v>
      </c>
      <c r="M479" t="s">
        <v>78</v>
      </c>
      <c r="N479" t="s">
        <v>108</v>
      </c>
      <c r="O479" t="s">
        <v>74</v>
      </c>
      <c r="P479" t="s">
        <v>74</v>
      </c>
      <c r="Q479" t="s">
        <v>74</v>
      </c>
      <c r="R479" t="s">
        <v>74</v>
      </c>
      <c r="S479" t="s">
        <v>74</v>
      </c>
      <c r="T479" t="s">
        <v>9046</v>
      </c>
      <c r="U479" t="s">
        <v>74</v>
      </c>
      <c r="V479" t="s">
        <v>9047</v>
      </c>
      <c r="W479" t="s">
        <v>9048</v>
      </c>
      <c r="X479" t="s">
        <v>9049</v>
      </c>
      <c r="Y479" t="s">
        <v>9050</v>
      </c>
      <c r="Z479" t="s">
        <v>9051</v>
      </c>
      <c r="AA479" t="s">
        <v>9052</v>
      </c>
      <c r="AB479" t="s">
        <v>9053</v>
      </c>
      <c r="AC479" t="s">
        <v>74</v>
      </c>
      <c r="AD479" t="s">
        <v>74</v>
      </c>
      <c r="AE479" t="s">
        <v>74</v>
      </c>
      <c r="AF479" t="s">
        <v>74</v>
      </c>
      <c r="AG479">
        <v>5</v>
      </c>
      <c r="AH479">
        <v>5</v>
      </c>
      <c r="AI479">
        <v>5</v>
      </c>
      <c r="AJ479">
        <v>2</v>
      </c>
      <c r="AK479">
        <v>6</v>
      </c>
      <c r="AL479" t="s">
        <v>251</v>
      </c>
      <c r="AM479" t="s">
        <v>252</v>
      </c>
      <c r="AN479" t="s">
        <v>253</v>
      </c>
      <c r="AO479" t="s">
        <v>9054</v>
      </c>
      <c r="AP479" t="s">
        <v>9055</v>
      </c>
      <c r="AQ479" t="s">
        <v>74</v>
      </c>
      <c r="AR479" t="s">
        <v>9056</v>
      </c>
      <c r="AS479" t="s">
        <v>9057</v>
      </c>
      <c r="AT479" t="s">
        <v>178</v>
      </c>
      <c r="AU479">
        <v>2023</v>
      </c>
      <c r="AV479">
        <v>25</v>
      </c>
      <c r="AW479">
        <v>1</v>
      </c>
      <c r="AX479" t="s">
        <v>74</v>
      </c>
      <c r="AY479" t="s">
        <v>74</v>
      </c>
      <c r="AZ479" t="s">
        <v>74</v>
      </c>
      <c r="BA479" t="s">
        <v>74</v>
      </c>
      <c r="BB479">
        <v>28</v>
      </c>
      <c r="BC479">
        <v>32</v>
      </c>
      <c r="BD479" t="s">
        <v>74</v>
      </c>
      <c r="BE479" t="s">
        <v>9058</v>
      </c>
      <c r="BF479" t="str">
        <f>HYPERLINK("http://dx.doi.org/10.1002/epd2.20036","http://dx.doi.org/10.1002/epd2.20036")</f>
        <v>http://dx.doi.org/10.1002/epd2.20036</v>
      </c>
      <c r="BG479" t="s">
        <v>74</v>
      </c>
      <c r="BH479" t="s">
        <v>299</v>
      </c>
      <c r="BI479">
        <v>5</v>
      </c>
      <c r="BJ479" t="s">
        <v>8652</v>
      </c>
      <c r="BK479" t="s">
        <v>209</v>
      </c>
      <c r="BL479" t="s">
        <v>2258</v>
      </c>
      <c r="BM479" t="s">
        <v>9059</v>
      </c>
      <c r="BN479">
        <v>37002554</v>
      </c>
      <c r="BO479" t="s">
        <v>74</v>
      </c>
      <c r="BP479" t="s">
        <v>74</v>
      </c>
      <c r="BQ479" t="s">
        <v>74</v>
      </c>
      <c r="BR479" t="s">
        <v>102</v>
      </c>
      <c r="BS479" t="s">
        <v>9060</v>
      </c>
      <c r="BT479" t="str">
        <f>HYPERLINK("https%3A%2F%2Fwww.webofscience.com%2Fwos%2Fwoscc%2Ffull-record%2FWOS:000973527300001","View Full Record in Web of Science")</f>
        <v>View Full Record in Web of Science</v>
      </c>
    </row>
    <row r="480" spans="1:72" x14ac:dyDescent="0.35">
      <c r="A480" t="s">
        <v>72</v>
      </c>
      <c r="B480" t="s">
        <v>9061</v>
      </c>
      <c r="C480" t="s">
        <v>74</v>
      </c>
      <c r="D480" t="s">
        <v>74</v>
      </c>
      <c r="E480" t="s">
        <v>74</v>
      </c>
      <c r="F480" t="s">
        <v>9062</v>
      </c>
      <c r="G480" t="s">
        <v>74</v>
      </c>
      <c r="H480" t="s">
        <v>74</v>
      </c>
      <c r="I480" t="s">
        <v>9063</v>
      </c>
      <c r="J480" t="s">
        <v>9064</v>
      </c>
      <c r="K480" t="s">
        <v>74</v>
      </c>
      <c r="L480" t="s">
        <v>74</v>
      </c>
      <c r="M480" t="s">
        <v>78</v>
      </c>
      <c r="N480" t="s">
        <v>108</v>
      </c>
      <c r="O480" t="s">
        <v>74</v>
      </c>
      <c r="P480" t="s">
        <v>74</v>
      </c>
      <c r="Q480" t="s">
        <v>74</v>
      </c>
      <c r="R480" t="s">
        <v>74</v>
      </c>
      <c r="S480" t="s">
        <v>74</v>
      </c>
      <c r="T480" t="s">
        <v>9065</v>
      </c>
      <c r="U480" t="s">
        <v>9066</v>
      </c>
      <c r="V480" t="s">
        <v>9067</v>
      </c>
      <c r="W480" t="s">
        <v>9068</v>
      </c>
      <c r="X480" t="s">
        <v>9069</v>
      </c>
      <c r="Y480" t="s">
        <v>9070</v>
      </c>
      <c r="Z480" t="s">
        <v>9071</v>
      </c>
      <c r="AA480" t="s">
        <v>9072</v>
      </c>
      <c r="AB480" t="s">
        <v>9073</v>
      </c>
      <c r="AC480" t="s">
        <v>9074</v>
      </c>
      <c r="AD480" t="s">
        <v>9075</v>
      </c>
      <c r="AE480" t="s">
        <v>9076</v>
      </c>
      <c r="AF480" t="s">
        <v>74</v>
      </c>
      <c r="AG480">
        <v>91</v>
      </c>
      <c r="AH480">
        <v>23</v>
      </c>
      <c r="AI480">
        <v>24</v>
      </c>
      <c r="AJ480">
        <v>4</v>
      </c>
      <c r="AK480">
        <v>46</v>
      </c>
      <c r="AL480" t="s">
        <v>2248</v>
      </c>
      <c r="AM480" t="s">
        <v>2249</v>
      </c>
      <c r="AN480" t="s">
        <v>2250</v>
      </c>
      <c r="AO480" t="s">
        <v>9077</v>
      </c>
      <c r="AP480" t="s">
        <v>9078</v>
      </c>
      <c r="AQ480" t="s">
        <v>74</v>
      </c>
      <c r="AR480" t="s">
        <v>9064</v>
      </c>
      <c r="AS480" t="s">
        <v>9079</v>
      </c>
      <c r="AT480" t="s">
        <v>9080</v>
      </c>
      <c r="AU480">
        <v>2022</v>
      </c>
      <c r="AV480">
        <v>62</v>
      </c>
      <c r="AW480">
        <v>8</v>
      </c>
      <c r="AX480" t="s">
        <v>74</v>
      </c>
      <c r="AY480" t="s">
        <v>74</v>
      </c>
      <c r="AZ480" t="s">
        <v>74</v>
      </c>
      <c r="BA480" t="s">
        <v>74</v>
      </c>
      <c r="BB480">
        <v>1196</v>
      </c>
      <c r="BC480">
        <v>1206</v>
      </c>
      <c r="BD480" t="s">
        <v>74</v>
      </c>
      <c r="BE480" t="s">
        <v>9081</v>
      </c>
      <c r="BF480" t="str">
        <f>HYPERLINK("http://dx.doi.org/10.1093/geront/gnac020","http://dx.doi.org/10.1093/geront/gnac020")</f>
        <v>http://dx.doi.org/10.1093/geront/gnac020</v>
      </c>
      <c r="BG480" t="s">
        <v>74</v>
      </c>
      <c r="BH480" t="s">
        <v>9082</v>
      </c>
      <c r="BI480">
        <v>11</v>
      </c>
      <c r="BJ480" t="s">
        <v>9083</v>
      </c>
      <c r="BK480" t="s">
        <v>99</v>
      </c>
      <c r="BL480" t="s">
        <v>9084</v>
      </c>
      <c r="BM480" t="s">
        <v>9085</v>
      </c>
      <c r="BN480">
        <v>35106587</v>
      </c>
      <c r="BO480" t="s">
        <v>4154</v>
      </c>
      <c r="BP480" t="s">
        <v>74</v>
      </c>
      <c r="BQ480" t="s">
        <v>74</v>
      </c>
      <c r="BR480" t="s">
        <v>102</v>
      </c>
      <c r="BS480" t="s">
        <v>9086</v>
      </c>
      <c r="BT480" t="str">
        <f>HYPERLINK("https%3A%2F%2Fwww.webofscience.com%2Fwos%2Fwoscc%2Ffull-record%2FWOS:000796636100001","View Full Record in Web of Science")</f>
        <v>View Full Record in Web of Science</v>
      </c>
    </row>
    <row r="481" spans="1:72" x14ac:dyDescent="0.35">
      <c r="A481" t="s">
        <v>72</v>
      </c>
      <c r="B481" t="s">
        <v>9087</v>
      </c>
      <c r="C481" t="s">
        <v>74</v>
      </c>
      <c r="D481" t="s">
        <v>74</v>
      </c>
      <c r="E481" t="s">
        <v>74</v>
      </c>
      <c r="F481" t="s">
        <v>9088</v>
      </c>
      <c r="G481" t="s">
        <v>74</v>
      </c>
      <c r="H481" t="s">
        <v>74</v>
      </c>
      <c r="I481" t="s">
        <v>9089</v>
      </c>
      <c r="J481" t="s">
        <v>9090</v>
      </c>
      <c r="K481" t="s">
        <v>74</v>
      </c>
      <c r="L481" t="s">
        <v>74</v>
      </c>
      <c r="M481" t="s">
        <v>78</v>
      </c>
      <c r="N481" t="s">
        <v>108</v>
      </c>
      <c r="O481" t="s">
        <v>74</v>
      </c>
      <c r="P481" t="s">
        <v>74</v>
      </c>
      <c r="Q481" t="s">
        <v>74</v>
      </c>
      <c r="R481" t="s">
        <v>74</v>
      </c>
      <c r="S481" t="s">
        <v>74</v>
      </c>
      <c r="T481" t="s">
        <v>74</v>
      </c>
      <c r="U481" t="s">
        <v>795</v>
      </c>
      <c r="V481" t="s">
        <v>9091</v>
      </c>
      <c r="W481" t="s">
        <v>9092</v>
      </c>
      <c r="X481" t="s">
        <v>9093</v>
      </c>
      <c r="Y481" t="s">
        <v>9094</v>
      </c>
      <c r="Z481" t="s">
        <v>9095</v>
      </c>
      <c r="AA481" t="s">
        <v>74</v>
      </c>
      <c r="AB481" t="s">
        <v>74</v>
      </c>
      <c r="AC481" t="s">
        <v>74</v>
      </c>
      <c r="AD481" t="s">
        <v>74</v>
      </c>
      <c r="AE481" t="s">
        <v>74</v>
      </c>
      <c r="AF481" t="s">
        <v>74</v>
      </c>
      <c r="AG481">
        <v>20</v>
      </c>
      <c r="AH481">
        <v>0</v>
      </c>
      <c r="AI481">
        <v>0</v>
      </c>
      <c r="AJ481">
        <v>1</v>
      </c>
      <c r="AK481">
        <v>9</v>
      </c>
      <c r="AL481" t="s">
        <v>2248</v>
      </c>
      <c r="AM481" t="s">
        <v>2249</v>
      </c>
      <c r="AN481" t="s">
        <v>2250</v>
      </c>
      <c r="AO481" t="s">
        <v>9096</v>
      </c>
      <c r="AP481" t="s">
        <v>9097</v>
      </c>
      <c r="AQ481" t="s">
        <v>74</v>
      </c>
      <c r="AR481" t="s">
        <v>9098</v>
      </c>
      <c r="AS481" t="s">
        <v>9099</v>
      </c>
      <c r="AT481" t="s">
        <v>9100</v>
      </c>
      <c r="AU481">
        <v>2021</v>
      </c>
      <c r="AV481">
        <v>41</v>
      </c>
      <c r="AW481">
        <v>12</v>
      </c>
      <c r="AX481" t="s">
        <v>74</v>
      </c>
      <c r="AY481" t="s">
        <v>74</v>
      </c>
      <c r="AZ481" t="s">
        <v>74</v>
      </c>
      <c r="BA481" t="s">
        <v>74</v>
      </c>
      <c r="BB481" t="s">
        <v>9101</v>
      </c>
      <c r="BC481" t="s">
        <v>9102</v>
      </c>
      <c r="BD481" t="s">
        <v>74</v>
      </c>
      <c r="BE481" t="s">
        <v>9103</v>
      </c>
      <c r="BF481" t="str">
        <f>HYPERLINK("http://dx.doi.org/10.1093/asj/sjab291","http://dx.doi.org/10.1093/asj/sjab291")</f>
        <v>http://dx.doi.org/10.1093/asj/sjab291</v>
      </c>
      <c r="BG481" t="s">
        <v>74</v>
      </c>
      <c r="BH481" t="s">
        <v>6350</v>
      </c>
      <c r="BI481">
        <v>6</v>
      </c>
      <c r="BJ481" t="s">
        <v>4994</v>
      </c>
      <c r="BK481" t="s">
        <v>209</v>
      </c>
      <c r="BL481" t="s">
        <v>4994</v>
      </c>
      <c r="BM481" t="s">
        <v>9104</v>
      </c>
      <c r="BN481" t="s">
        <v>74</v>
      </c>
      <c r="BO481" t="s">
        <v>74</v>
      </c>
      <c r="BP481" t="s">
        <v>74</v>
      </c>
      <c r="BQ481" t="s">
        <v>74</v>
      </c>
      <c r="BR481" t="s">
        <v>102</v>
      </c>
      <c r="BS481" t="s">
        <v>9105</v>
      </c>
      <c r="BT481" t="str">
        <f>HYPERLINK("https%3A%2F%2Fwww.webofscience.com%2Fwos%2Fwoscc%2Ffull-record%2FWOS:000753445300055","View Full Record in Web of Science")</f>
        <v>View Full Record in Web of Science</v>
      </c>
    </row>
    <row r="482" spans="1:72" x14ac:dyDescent="0.35">
      <c r="A482" t="s">
        <v>72</v>
      </c>
      <c r="B482" t="s">
        <v>9106</v>
      </c>
      <c r="C482" t="s">
        <v>74</v>
      </c>
      <c r="D482" t="s">
        <v>74</v>
      </c>
      <c r="E482" t="s">
        <v>74</v>
      </c>
      <c r="F482" t="s">
        <v>9107</v>
      </c>
      <c r="G482" t="s">
        <v>74</v>
      </c>
      <c r="H482" t="s">
        <v>74</v>
      </c>
      <c r="I482" t="s">
        <v>9108</v>
      </c>
      <c r="J482" t="s">
        <v>9109</v>
      </c>
      <c r="K482" t="s">
        <v>74</v>
      </c>
      <c r="L482" t="s">
        <v>74</v>
      </c>
      <c r="M482" t="s">
        <v>78</v>
      </c>
      <c r="N482" t="s">
        <v>108</v>
      </c>
      <c r="O482" t="s">
        <v>74</v>
      </c>
      <c r="P482" t="s">
        <v>74</v>
      </c>
      <c r="Q482" t="s">
        <v>74</v>
      </c>
      <c r="R482" t="s">
        <v>74</v>
      </c>
      <c r="S482" t="s">
        <v>74</v>
      </c>
      <c r="T482" t="s">
        <v>74</v>
      </c>
      <c r="U482" t="s">
        <v>9110</v>
      </c>
      <c r="V482" t="s">
        <v>9111</v>
      </c>
      <c r="W482" t="s">
        <v>9112</v>
      </c>
      <c r="X482" t="s">
        <v>9113</v>
      </c>
      <c r="Y482" t="s">
        <v>9114</v>
      </c>
      <c r="Z482" t="s">
        <v>9115</v>
      </c>
      <c r="AA482" t="s">
        <v>74</v>
      </c>
      <c r="AB482" t="s">
        <v>74</v>
      </c>
      <c r="AC482" t="s">
        <v>9116</v>
      </c>
      <c r="AD482" t="s">
        <v>1108</v>
      </c>
      <c r="AE482" t="s">
        <v>9117</v>
      </c>
      <c r="AF482" t="s">
        <v>74</v>
      </c>
      <c r="AG482">
        <v>47</v>
      </c>
      <c r="AH482">
        <v>4</v>
      </c>
      <c r="AI482">
        <v>4</v>
      </c>
      <c r="AJ482">
        <v>3</v>
      </c>
      <c r="AK482">
        <v>3</v>
      </c>
      <c r="AL482" t="s">
        <v>9118</v>
      </c>
      <c r="AM482" t="s">
        <v>9119</v>
      </c>
      <c r="AN482" t="s">
        <v>9120</v>
      </c>
      <c r="AO482" t="s">
        <v>9121</v>
      </c>
      <c r="AP482" t="s">
        <v>9122</v>
      </c>
      <c r="AQ482" t="s">
        <v>74</v>
      </c>
      <c r="AR482" t="s">
        <v>9123</v>
      </c>
      <c r="AS482" t="s">
        <v>9124</v>
      </c>
      <c r="AT482" t="s">
        <v>9125</v>
      </c>
      <c r="AU482">
        <v>2022</v>
      </c>
      <c r="AV482">
        <v>5</v>
      </c>
      <c r="AW482">
        <v>4</v>
      </c>
      <c r="AX482" t="s">
        <v>74</v>
      </c>
      <c r="AY482" t="s">
        <v>74</v>
      </c>
      <c r="AZ482" t="s">
        <v>74</v>
      </c>
      <c r="BA482" t="s">
        <v>74</v>
      </c>
      <c r="BB482">
        <v>363</v>
      </c>
      <c r="BC482">
        <v>380</v>
      </c>
      <c r="BD482" t="s">
        <v>74</v>
      </c>
      <c r="BE482" t="s">
        <v>9126</v>
      </c>
      <c r="BF482" t="str">
        <f>HYPERLINK("http://dx.doi.org/10.5194/gc-5-363-2022","http://dx.doi.org/10.5194/gc-5-363-2022")</f>
        <v>http://dx.doi.org/10.5194/gc-5-363-2022</v>
      </c>
      <c r="BG482" t="s">
        <v>74</v>
      </c>
      <c r="BH482" t="s">
        <v>74</v>
      </c>
      <c r="BI482">
        <v>18</v>
      </c>
      <c r="BJ482" t="s">
        <v>9127</v>
      </c>
      <c r="BK482" t="s">
        <v>125</v>
      </c>
      <c r="BL482" t="s">
        <v>9128</v>
      </c>
      <c r="BM482" t="s">
        <v>9129</v>
      </c>
      <c r="BN482" t="s">
        <v>74</v>
      </c>
      <c r="BO482" t="s">
        <v>3287</v>
      </c>
      <c r="BP482" t="s">
        <v>74</v>
      </c>
      <c r="BQ482" t="s">
        <v>74</v>
      </c>
      <c r="BR482" t="s">
        <v>102</v>
      </c>
      <c r="BS482" t="s">
        <v>9130</v>
      </c>
      <c r="BT482" t="str">
        <f>HYPERLINK("https%3A%2F%2Fwww.webofscience.com%2Fwos%2Fwoscc%2Ffull-record%2FWOS:001251973700001","View Full Record in Web of Science")</f>
        <v>View Full Record in Web of Science</v>
      </c>
    </row>
    <row r="483" spans="1:72" x14ac:dyDescent="0.35">
      <c r="A483" t="s">
        <v>72</v>
      </c>
      <c r="B483" t="s">
        <v>9131</v>
      </c>
      <c r="C483" t="s">
        <v>74</v>
      </c>
      <c r="D483" t="s">
        <v>74</v>
      </c>
      <c r="E483" t="s">
        <v>74</v>
      </c>
      <c r="F483" t="s">
        <v>9132</v>
      </c>
      <c r="G483" t="s">
        <v>74</v>
      </c>
      <c r="H483" t="s">
        <v>74</v>
      </c>
      <c r="I483" t="s">
        <v>9133</v>
      </c>
      <c r="J483" t="s">
        <v>7747</v>
      </c>
      <c r="K483" t="s">
        <v>74</v>
      </c>
      <c r="L483" t="s">
        <v>74</v>
      </c>
      <c r="M483" t="s">
        <v>78</v>
      </c>
      <c r="N483" t="s">
        <v>2042</v>
      </c>
      <c r="O483" t="s">
        <v>74</v>
      </c>
      <c r="P483" t="s">
        <v>74</v>
      </c>
      <c r="Q483" t="s">
        <v>74</v>
      </c>
      <c r="R483" t="s">
        <v>74</v>
      </c>
      <c r="S483" t="s">
        <v>74</v>
      </c>
      <c r="T483" t="s">
        <v>74</v>
      </c>
      <c r="U483" t="s">
        <v>74</v>
      </c>
      <c r="V483" t="s">
        <v>74</v>
      </c>
      <c r="W483" t="s">
        <v>9134</v>
      </c>
      <c r="X483" t="s">
        <v>74</v>
      </c>
      <c r="Y483" t="s">
        <v>9135</v>
      </c>
      <c r="Z483" t="s">
        <v>74</v>
      </c>
      <c r="AA483" t="s">
        <v>74</v>
      </c>
      <c r="AB483" t="s">
        <v>74</v>
      </c>
      <c r="AC483" t="s">
        <v>74</v>
      </c>
      <c r="AD483" t="s">
        <v>74</v>
      </c>
      <c r="AE483" t="s">
        <v>74</v>
      </c>
      <c r="AF483" t="s">
        <v>74</v>
      </c>
      <c r="AG483">
        <v>9</v>
      </c>
      <c r="AH483">
        <v>0</v>
      </c>
      <c r="AI483">
        <v>0</v>
      </c>
      <c r="AJ483">
        <v>0</v>
      </c>
      <c r="AK483">
        <v>3</v>
      </c>
      <c r="AL483" t="s">
        <v>803</v>
      </c>
      <c r="AM483" t="s">
        <v>227</v>
      </c>
      <c r="AN483" t="s">
        <v>804</v>
      </c>
      <c r="AO483" t="s">
        <v>7748</v>
      </c>
      <c r="AP483" t="s">
        <v>7749</v>
      </c>
      <c r="AQ483" t="s">
        <v>74</v>
      </c>
      <c r="AR483" t="s">
        <v>7750</v>
      </c>
      <c r="AS483" t="s">
        <v>7751</v>
      </c>
      <c r="AT483" t="s">
        <v>594</v>
      </c>
      <c r="AU483">
        <v>2021</v>
      </c>
      <c r="AV483">
        <v>231</v>
      </c>
      <c r="AW483">
        <v>7</v>
      </c>
      <c r="AX483" t="s">
        <v>74</v>
      </c>
      <c r="AY483" t="s">
        <v>74</v>
      </c>
      <c r="AZ483" t="s">
        <v>74</v>
      </c>
      <c r="BA483" t="s">
        <v>74</v>
      </c>
      <c r="BB483">
        <v>379</v>
      </c>
      <c r="BC483">
        <v>379</v>
      </c>
      <c r="BD483" t="s">
        <v>74</v>
      </c>
      <c r="BE483" t="s">
        <v>74</v>
      </c>
      <c r="BF483" t="s">
        <v>74</v>
      </c>
      <c r="BG483" t="s">
        <v>74</v>
      </c>
      <c r="BH483" t="s">
        <v>74</v>
      </c>
      <c r="BI483">
        <v>1</v>
      </c>
      <c r="BJ483" t="s">
        <v>599</v>
      </c>
      <c r="BK483" t="s">
        <v>209</v>
      </c>
      <c r="BL483" t="s">
        <v>599</v>
      </c>
      <c r="BM483" t="s">
        <v>9136</v>
      </c>
      <c r="BN483">
        <v>34625681</v>
      </c>
      <c r="BO483" t="s">
        <v>767</v>
      </c>
      <c r="BP483" t="s">
        <v>74</v>
      </c>
      <c r="BQ483" t="s">
        <v>74</v>
      </c>
      <c r="BR483" t="s">
        <v>102</v>
      </c>
      <c r="BS483" t="s">
        <v>9137</v>
      </c>
      <c r="BT483" t="str">
        <f>HYPERLINK("https%3A%2F%2Fwww.webofscience.com%2Fwos%2Fwoscc%2Ffull-record%2FWOS:000705209300016","View Full Record in Web of Science")</f>
        <v>View Full Record in Web of Science</v>
      </c>
    </row>
    <row r="484" spans="1:72" x14ac:dyDescent="0.35">
      <c r="A484" t="s">
        <v>72</v>
      </c>
      <c r="B484" t="s">
        <v>9138</v>
      </c>
      <c r="C484" t="s">
        <v>74</v>
      </c>
      <c r="D484" t="s">
        <v>74</v>
      </c>
      <c r="E484" t="s">
        <v>74</v>
      </c>
      <c r="F484" t="s">
        <v>9139</v>
      </c>
      <c r="G484" t="s">
        <v>74</v>
      </c>
      <c r="H484" t="s">
        <v>74</v>
      </c>
      <c r="I484" t="s">
        <v>9140</v>
      </c>
      <c r="J484" t="s">
        <v>793</v>
      </c>
      <c r="K484" t="s">
        <v>74</v>
      </c>
      <c r="L484" t="s">
        <v>74</v>
      </c>
      <c r="M484" t="s">
        <v>78</v>
      </c>
      <c r="N484" t="s">
        <v>108</v>
      </c>
      <c r="O484" t="s">
        <v>74</v>
      </c>
      <c r="P484" t="s">
        <v>74</v>
      </c>
      <c r="Q484" t="s">
        <v>74</v>
      </c>
      <c r="R484" t="s">
        <v>74</v>
      </c>
      <c r="S484" t="s">
        <v>74</v>
      </c>
      <c r="T484" t="s">
        <v>9141</v>
      </c>
      <c r="U484" t="s">
        <v>9142</v>
      </c>
      <c r="V484" t="s">
        <v>9143</v>
      </c>
      <c r="W484" t="s">
        <v>9144</v>
      </c>
      <c r="X484" t="s">
        <v>9145</v>
      </c>
      <c r="Y484" t="s">
        <v>9146</v>
      </c>
      <c r="Z484" t="s">
        <v>9147</v>
      </c>
      <c r="AA484" t="s">
        <v>74</v>
      </c>
      <c r="AB484" t="s">
        <v>74</v>
      </c>
      <c r="AC484" t="s">
        <v>74</v>
      </c>
      <c r="AD484" t="s">
        <v>74</v>
      </c>
      <c r="AE484" t="s">
        <v>74</v>
      </c>
      <c r="AF484" t="s">
        <v>74</v>
      </c>
      <c r="AG484">
        <v>21</v>
      </c>
      <c r="AH484">
        <v>0</v>
      </c>
      <c r="AI484">
        <v>0</v>
      </c>
      <c r="AJ484">
        <v>0</v>
      </c>
      <c r="AK484">
        <v>1</v>
      </c>
      <c r="AL484" t="s">
        <v>803</v>
      </c>
      <c r="AM484" t="s">
        <v>227</v>
      </c>
      <c r="AN484" t="s">
        <v>804</v>
      </c>
      <c r="AO484" t="s">
        <v>74</v>
      </c>
      <c r="AP484" t="s">
        <v>805</v>
      </c>
      <c r="AQ484" t="s">
        <v>74</v>
      </c>
      <c r="AR484" t="s">
        <v>806</v>
      </c>
      <c r="AS484" t="s">
        <v>807</v>
      </c>
      <c r="AT484" t="s">
        <v>9148</v>
      </c>
      <c r="AU484">
        <v>2023</v>
      </c>
      <c r="AV484">
        <v>15</v>
      </c>
      <c r="AW484">
        <v>11</v>
      </c>
      <c r="AX484" t="s">
        <v>74</v>
      </c>
      <c r="AY484" t="s">
        <v>74</v>
      </c>
      <c r="AZ484" t="s">
        <v>74</v>
      </c>
      <c r="BA484" t="s">
        <v>74</v>
      </c>
      <c r="BB484" t="s">
        <v>74</v>
      </c>
      <c r="BC484" t="s">
        <v>74</v>
      </c>
      <c r="BD484" t="s">
        <v>9149</v>
      </c>
      <c r="BE484" t="s">
        <v>9150</v>
      </c>
      <c r="BF484" t="str">
        <f>HYPERLINK("http://dx.doi.org/10.7759/cureus.48789","http://dx.doi.org/10.7759/cureus.48789")</f>
        <v>http://dx.doi.org/10.7759/cureus.48789</v>
      </c>
      <c r="BG484" t="s">
        <v>74</v>
      </c>
      <c r="BH484" t="s">
        <v>74</v>
      </c>
      <c r="BI484">
        <v>6</v>
      </c>
      <c r="BJ484" t="s">
        <v>811</v>
      </c>
      <c r="BK484" t="s">
        <v>125</v>
      </c>
      <c r="BL484" t="s">
        <v>812</v>
      </c>
      <c r="BM484" t="s">
        <v>9151</v>
      </c>
      <c r="BN484">
        <v>38098905</v>
      </c>
      <c r="BO484" t="s">
        <v>552</v>
      </c>
      <c r="BP484" t="s">
        <v>74</v>
      </c>
      <c r="BQ484" t="s">
        <v>74</v>
      </c>
      <c r="BR484" t="s">
        <v>102</v>
      </c>
      <c r="BS484" t="s">
        <v>9152</v>
      </c>
      <c r="BT484" t="str">
        <f>HYPERLINK("https%3A%2F%2Fwww.webofscience.com%2Fwos%2Fwoscc%2Ffull-record%2FWOS:001109604800012","View Full Record in Web of Science")</f>
        <v>View Full Record in Web of Science</v>
      </c>
    </row>
    <row r="485" spans="1:72" x14ac:dyDescent="0.35">
      <c r="A485" t="s">
        <v>72</v>
      </c>
      <c r="B485" t="s">
        <v>9153</v>
      </c>
      <c r="C485" t="s">
        <v>74</v>
      </c>
      <c r="D485" t="s">
        <v>74</v>
      </c>
      <c r="E485" t="s">
        <v>74</v>
      </c>
      <c r="F485" t="s">
        <v>9154</v>
      </c>
      <c r="G485" t="s">
        <v>74</v>
      </c>
      <c r="H485" t="s">
        <v>74</v>
      </c>
      <c r="I485" t="s">
        <v>9155</v>
      </c>
      <c r="J485" t="s">
        <v>9156</v>
      </c>
      <c r="K485" t="s">
        <v>74</v>
      </c>
      <c r="L485" t="s">
        <v>74</v>
      </c>
      <c r="M485" t="s">
        <v>78</v>
      </c>
      <c r="N485" t="s">
        <v>108</v>
      </c>
      <c r="O485" t="s">
        <v>74</v>
      </c>
      <c r="P485" t="s">
        <v>74</v>
      </c>
      <c r="Q485" t="s">
        <v>74</v>
      </c>
      <c r="R485" t="s">
        <v>74</v>
      </c>
      <c r="S485" t="s">
        <v>74</v>
      </c>
      <c r="T485" t="s">
        <v>9157</v>
      </c>
      <c r="U485" t="s">
        <v>74</v>
      </c>
      <c r="V485" t="s">
        <v>9158</v>
      </c>
      <c r="W485" t="s">
        <v>9159</v>
      </c>
      <c r="X485" t="s">
        <v>9160</v>
      </c>
      <c r="Y485" t="s">
        <v>9161</v>
      </c>
      <c r="Z485" t="s">
        <v>9162</v>
      </c>
      <c r="AA485" t="s">
        <v>74</v>
      </c>
      <c r="AB485" t="s">
        <v>9163</v>
      </c>
      <c r="AC485" t="s">
        <v>74</v>
      </c>
      <c r="AD485" t="s">
        <v>74</v>
      </c>
      <c r="AE485" t="s">
        <v>74</v>
      </c>
      <c r="AF485" t="s">
        <v>74</v>
      </c>
      <c r="AG485">
        <v>46</v>
      </c>
      <c r="AH485">
        <v>33</v>
      </c>
      <c r="AI485">
        <v>37</v>
      </c>
      <c r="AJ485">
        <v>7</v>
      </c>
      <c r="AK485">
        <v>98</v>
      </c>
      <c r="AL485" t="s">
        <v>251</v>
      </c>
      <c r="AM485" t="s">
        <v>252</v>
      </c>
      <c r="AN485" t="s">
        <v>253</v>
      </c>
      <c r="AO485" t="s">
        <v>9164</v>
      </c>
      <c r="AP485" t="s">
        <v>9165</v>
      </c>
      <c r="AQ485" t="s">
        <v>74</v>
      </c>
      <c r="AR485" t="s">
        <v>9166</v>
      </c>
      <c r="AS485" t="s">
        <v>9167</v>
      </c>
      <c r="AT485" t="s">
        <v>523</v>
      </c>
      <c r="AU485">
        <v>2021</v>
      </c>
      <c r="AV485">
        <v>65</v>
      </c>
      <c r="AW485">
        <v>3</v>
      </c>
      <c r="AX485" t="s">
        <v>74</v>
      </c>
      <c r="AY485" t="s">
        <v>74</v>
      </c>
      <c r="AZ485" t="s">
        <v>74</v>
      </c>
      <c r="BA485" t="s">
        <v>74</v>
      </c>
      <c r="BB485">
        <v>219</v>
      </c>
      <c r="BC485">
        <v>226</v>
      </c>
      <c r="BD485" t="s">
        <v>74</v>
      </c>
      <c r="BE485" t="s">
        <v>9168</v>
      </c>
      <c r="BF485" t="str">
        <f>HYPERLINK("http://dx.doi.org/10.1002/jaal.1199","http://dx.doi.org/10.1002/jaal.1199")</f>
        <v>http://dx.doi.org/10.1002/jaal.1199</v>
      </c>
      <c r="BG485" t="s">
        <v>74</v>
      </c>
      <c r="BH485" t="s">
        <v>9169</v>
      </c>
      <c r="BI485">
        <v>8</v>
      </c>
      <c r="BJ485" t="s">
        <v>787</v>
      </c>
      <c r="BK485" t="s">
        <v>99</v>
      </c>
      <c r="BL485" t="s">
        <v>787</v>
      </c>
      <c r="BM485" t="s">
        <v>9170</v>
      </c>
      <c r="BN485" t="s">
        <v>74</v>
      </c>
      <c r="BO485" t="s">
        <v>74</v>
      </c>
      <c r="BP485" t="s">
        <v>74</v>
      </c>
      <c r="BQ485" t="s">
        <v>74</v>
      </c>
      <c r="BR485" t="s">
        <v>102</v>
      </c>
      <c r="BS485" t="s">
        <v>9171</v>
      </c>
      <c r="BT485" t="str">
        <f>HYPERLINK("https%3A%2F%2Fwww.webofscience.com%2Fwos%2Fwoscc%2Ffull-record%2FWOS:000704767400001","View Full Record in Web of Science")</f>
        <v>View Full Record in Web of Science</v>
      </c>
    </row>
    <row r="486" spans="1:72" x14ac:dyDescent="0.35">
      <c r="A486" t="s">
        <v>72</v>
      </c>
      <c r="B486" t="s">
        <v>9172</v>
      </c>
      <c r="C486" t="s">
        <v>74</v>
      </c>
      <c r="D486" t="s">
        <v>74</v>
      </c>
      <c r="E486" t="s">
        <v>74</v>
      </c>
      <c r="F486" t="s">
        <v>9173</v>
      </c>
      <c r="G486" t="s">
        <v>74</v>
      </c>
      <c r="H486" t="s">
        <v>74</v>
      </c>
      <c r="I486" t="s">
        <v>9174</v>
      </c>
      <c r="J486" t="s">
        <v>9175</v>
      </c>
      <c r="K486" t="s">
        <v>74</v>
      </c>
      <c r="L486" t="s">
        <v>74</v>
      </c>
      <c r="M486" t="s">
        <v>78</v>
      </c>
      <c r="N486" t="s">
        <v>108</v>
      </c>
      <c r="O486" t="s">
        <v>74</v>
      </c>
      <c r="P486" t="s">
        <v>74</v>
      </c>
      <c r="Q486" t="s">
        <v>74</v>
      </c>
      <c r="R486" t="s">
        <v>74</v>
      </c>
      <c r="S486" t="s">
        <v>74</v>
      </c>
      <c r="T486" t="s">
        <v>9176</v>
      </c>
      <c r="U486" t="s">
        <v>9177</v>
      </c>
      <c r="V486" t="s">
        <v>9178</v>
      </c>
      <c r="W486" t="s">
        <v>9179</v>
      </c>
      <c r="X486" t="s">
        <v>9180</v>
      </c>
      <c r="Y486" t="s">
        <v>9181</v>
      </c>
      <c r="Z486" t="s">
        <v>9182</v>
      </c>
      <c r="AA486" t="s">
        <v>9183</v>
      </c>
      <c r="AB486" t="s">
        <v>9184</v>
      </c>
      <c r="AC486" t="s">
        <v>9185</v>
      </c>
      <c r="AD486" t="s">
        <v>9185</v>
      </c>
      <c r="AE486" t="s">
        <v>9186</v>
      </c>
      <c r="AF486" t="s">
        <v>74</v>
      </c>
      <c r="AG486">
        <v>38</v>
      </c>
      <c r="AH486">
        <v>0</v>
      </c>
      <c r="AI486">
        <v>1</v>
      </c>
      <c r="AJ486">
        <v>7</v>
      </c>
      <c r="AK486">
        <v>21</v>
      </c>
      <c r="AL486" t="s">
        <v>88</v>
      </c>
      <c r="AM486" t="s">
        <v>89</v>
      </c>
      <c r="AN486" t="s">
        <v>90</v>
      </c>
      <c r="AO486" t="s">
        <v>9187</v>
      </c>
      <c r="AP486" t="s">
        <v>9188</v>
      </c>
      <c r="AQ486" t="s">
        <v>74</v>
      </c>
      <c r="AR486" t="s">
        <v>9189</v>
      </c>
      <c r="AS486" t="s">
        <v>9190</v>
      </c>
      <c r="AT486" t="s">
        <v>9191</v>
      </c>
      <c r="AU486">
        <v>2024</v>
      </c>
      <c r="AV486">
        <v>26</v>
      </c>
      <c r="AW486">
        <v>6</v>
      </c>
      <c r="AX486" t="s">
        <v>74</v>
      </c>
      <c r="AY486" t="s">
        <v>74</v>
      </c>
      <c r="AZ486" t="s">
        <v>74</v>
      </c>
      <c r="BA486" t="s">
        <v>74</v>
      </c>
      <c r="BB486">
        <v>778</v>
      </c>
      <c r="BC486">
        <v>789</v>
      </c>
      <c r="BD486" t="s">
        <v>74</v>
      </c>
      <c r="BE486" t="s">
        <v>9192</v>
      </c>
      <c r="BF486" t="str">
        <f>HYPERLINK("http://dx.doi.org/10.1080/13691058.2023.2253882","http://dx.doi.org/10.1080/13691058.2023.2253882")</f>
        <v>http://dx.doi.org/10.1080/13691058.2023.2253882</v>
      </c>
      <c r="BG486" t="s">
        <v>74</v>
      </c>
      <c r="BH486" t="s">
        <v>3138</v>
      </c>
      <c r="BI486">
        <v>12</v>
      </c>
      <c r="BJ486" t="s">
        <v>9193</v>
      </c>
      <c r="BK486" t="s">
        <v>99</v>
      </c>
      <c r="BL486" t="s">
        <v>9194</v>
      </c>
      <c r="BM486" t="s">
        <v>9195</v>
      </c>
      <c r="BN486">
        <v>37729467</v>
      </c>
      <c r="BO486" t="s">
        <v>74</v>
      </c>
      <c r="BP486" t="s">
        <v>74</v>
      </c>
      <c r="BQ486" t="s">
        <v>74</v>
      </c>
      <c r="BR486" t="s">
        <v>102</v>
      </c>
      <c r="BS486" t="s">
        <v>9196</v>
      </c>
      <c r="BT486" t="str">
        <f>HYPERLINK("https%3A%2F%2Fwww.webofscience.com%2Fwos%2Fwoscc%2Ffull-record%2FWOS:001069031700001","View Full Record in Web of Science")</f>
        <v>View Full Record in Web of Science</v>
      </c>
    </row>
    <row r="487" spans="1:72" x14ac:dyDescent="0.35">
      <c r="A487" t="s">
        <v>72</v>
      </c>
      <c r="B487" t="s">
        <v>9197</v>
      </c>
      <c r="C487" t="s">
        <v>74</v>
      </c>
      <c r="D487" t="s">
        <v>74</v>
      </c>
      <c r="E487" t="s">
        <v>74</v>
      </c>
      <c r="F487" t="s">
        <v>9198</v>
      </c>
      <c r="G487" t="s">
        <v>74</v>
      </c>
      <c r="H487" t="s">
        <v>74</v>
      </c>
      <c r="I487" t="s">
        <v>9199</v>
      </c>
      <c r="J487" t="s">
        <v>2814</v>
      </c>
      <c r="K487" t="s">
        <v>74</v>
      </c>
      <c r="L487" t="s">
        <v>74</v>
      </c>
      <c r="M487" t="s">
        <v>78</v>
      </c>
      <c r="N487" t="s">
        <v>108</v>
      </c>
      <c r="O487" t="s">
        <v>74</v>
      </c>
      <c r="P487" t="s">
        <v>74</v>
      </c>
      <c r="Q487" t="s">
        <v>74</v>
      </c>
      <c r="R487" t="s">
        <v>74</v>
      </c>
      <c r="S487" t="s">
        <v>74</v>
      </c>
      <c r="T487" t="s">
        <v>9200</v>
      </c>
      <c r="U487" t="s">
        <v>9201</v>
      </c>
      <c r="V487" t="s">
        <v>9202</v>
      </c>
      <c r="W487" t="s">
        <v>9203</v>
      </c>
      <c r="X487" t="s">
        <v>9204</v>
      </c>
      <c r="Y487" t="s">
        <v>9205</v>
      </c>
      <c r="Z487" t="s">
        <v>9206</v>
      </c>
      <c r="AA487" t="s">
        <v>9207</v>
      </c>
      <c r="AB487" t="s">
        <v>9208</v>
      </c>
      <c r="AC487" t="s">
        <v>9209</v>
      </c>
      <c r="AD487" t="s">
        <v>9210</v>
      </c>
      <c r="AE487" t="s">
        <v>9211</v>
      </c>
      <c r="AF487" t="s">
        <v>74</v>
      </c>
      <c r="AG487">
        <v>36</v>
      </c>
      <c r="AH487">
        <v>126</v>
      </c>
      <c r="AI487">
        <v>129</v>
      </c>
      <c r="AJ487">
        <v>20</v>
      </c>
      <c r="AK487">
        <v>170</v>
      </c>
      <c r="AL487" t="s">
        <v>543</v>
      </c>
      <c r="AM487" t="s">
        <v>544</v>
      </c>
      <c r="AN487" t="s">
        <v>545</v>
      </c>
      <c r="AO487" t="s">
        <v>2821</v>
      </c>
      <c r="AP487" t="s">
        <v>74</v>
      </c>
      <c r="AQ487" t="s">
        <v>74</v>
      </c>
      <c r="AR487" t="s">
        <v>2822</v>
      </c>
      <c r="AS487" t="s">
        <v>2823</v>
      </c>
      <c r="AT487" t="s">
        <v>9212</v>
      </c>
      <c r="AU487">
        <v>2021</v>
      </c>
      <c r="AV487">
        <v>23</v>
      </c>
      <c r="AW487">
        <v>9</v>
      </c>
      <c r="AX487" t="s">
        <v>74</v>
      </c>
      <c r="AY487" t="s">
        <v>74</v>
      </c>
      <c r="AZ487" t="s">
        <v>74</v>
      </c>
      <c r="BA487" t="s">
        <v>74</v>
      </c>
      <c r="BB487" t="s">
        <v>74</v>
      </c>
      <c r="BC487" t="s">
        <v>74</v>
      </c>
      <c r="BD487" t="s">
        <v>9213</v>
      </c>
      <c r="BE487" t="s">
        <v>9214</v>
      </c>
      <c r="BF487" t="str">
        <f>HYPERLINK("http://dx.doi.org/10.2196/30409","http://dx.doi.org/10.2196/30409")</f>
        <v>http://dx.doi.org/10.2196/30409</v>
      </c>
      <c r="BG487" t="s">
        <v>74</v>
      </c>
      <c r="BH487" t="s">
        <v>74</v>
      </c>
      <c r="BI487">
        <v>8</v>
      </c>
      <c r="BJ487" t="s">
        <v>550</v>
      </c>
      <c r="BK487" t="s">
        <v>182</v>
      </c>
      <c r="BL487" t="s">
        <v>550</v>
      </c>
      <c r="BM487" t="s">
        <v>9215</v>
      </c>
      <c r="BN487">
        <v>34468327</v>
      </c>
      <c r="BO487" t="s">
        <v>552</v>
      </c>
      <c r="BP487" t="s">
        <v>74</v>
      </c>
      <c r="BQ487" t="s">
        <v>74</v>
      </c>
      <c r="BR487" t="s">
        <v>102</v>
      </c>
      <c r="BS487" t="s">
        <v>9216</v>
      </c>
      <c r="BT487" t="str">
        <f>HYPERLINK("https%3A%2F%2Fwww.webofscience.com%2Fwos%2Fwoscc%2Ffull-record%2FWOS:000691683900009","View Full Record in Web of Science")</f>
        <v>View Full Record in Web of Science</v>
      </c>
    </row>
    <row r="488" spans="1:72" x14ac:dyDescent="0.35">
      <c r="A488" t="s">
        <v>72</v>
      </c>
      <c r="B488" t="s">
        <v>9217</v>
      </c>
      <c r="C488" t="s">
        <v>74</v>
      </c>
      <c r="D488" t="s">
        <v>74</v>
      </c>
      <c r="E488" t="s">
        <v>74</v>
      </c>
      <c r="F488" t="s">
        <v>9218</v>
      </c>
      <c r="G488" t="s">
        <v>74</v>
      </c>
      <c r="H488" t="s">
        <v>74</v>
      </c>
      <c r="I488" t="s">
        <v>9219</v>
      </c>
      <c r="J488" t="s">
        <v>9220</v>
      </c>
      <c r="K488" t="s">
        <v>74</v>
      </c>
      <c r="L488" t="s">
        <v>74</v>
      </c>
      <c r="M488" t="s">
        <v>78</v>
      </c>
      <c r="N488" t="s">
        <v>9221</v>
      </c>
      <c r="O488" t="s">
        <v>74</v>
      </c>
      <c r="P488" t="s">
        <v>74</v>
      </c>
      <c r="Q488" t="s">
        <v>74</v>
      </c>
      <c r="R488" t="s">
        <v>74</v>
      </c>
      <c r="S488" t="s">
        <v>74</v>
      </c>
      <c r="T488" t="s">
        <v>74</v>
      </c>
      <c r="U488" t="s">
        <v>74</v>
      </c>
      <c r="V488" t="s">
        <v>74</v>
      </c>
      <c r="W488" t="s">
        <v>74</v>
      </c>
      <c r="X488" t="s">
        <v>74</v>
      </c>
      <c r="Y488" t="s">
        <v>74</v>
      </c>
      <c r="Z488" t="s">
        <v>74</v>
      </c>
      <c r="AA488" t="s">
        <v>74</v>
      </c>
      <c r="AB488" t="s">
        <v>74</v>
      </c>
      <c r="AC488" t="s">
        <v>74</v>
      </c>
      <c r="AD488" t="s">
        <v>74</v>
      </c>
      <c r="AE488" t="s">
        <v>74</v>
      </c>
      <c r="AF488" t="s">
        <v>74</v>
      </c>
      <c r="AG488">
        <v>1</v>
      </c>
      <c r="AH488">
        <v>0</v>
      </c>
      <c r="AI488">
        <v>0</v>
      </c>
      <c r="AJ488">
        <v>0</v>
      </c>
      <c r="AK488">
        <v>10</v>
      </c>
      <c r="AL488" t="s">
        <v>9222</v>
      </c>
      <c r="AM488" t="s">
        <v>227</v>
      </c>
      <c r="AN488" t="s">
        <v>9223</v>
      </c>
      <c r="AO488" t="s">
        <v>9224</v>
      </c>
      <c r="AP488" t="s">
        <v>9225</v>
      </c>
      <c r="AQ488" t="s">
        <v>74</v>
      </c>
      <c r="AR488" t="s">
        <v>9226</v>
      </c>
      <c r="AS488" t="s">
        <v>9227</v>
      </c>
      <c r="AT488" t="s">
        <v>9228</v>
      </c>
      <c r="AU488">
        <v>2021</v>
      </c>
      <c r="AV488">
        <v>372</v>
      </c>
      <c r="AW488" t="s">
        <v>74</v>
      </c>
      <c r="AX488" t="s">
        <v>74</v>
      </c>
      <c r="AY488" t="s">
        <v>74</v>
      </c>
      <c r="AZ488" t="s">
        <v>74</v>
      </c>
      <c r="BA488" t="s">
        <v>74</v>
      </c>
      <c r="BB488" t="s">
        <v>74</v>
      </c>
      <c r="BC488" t="s">
        <v>74</v>
      </c>
      <c r="BD488" t="s">
        <v>9229</v>
      </c>
      <c r="BE488" t="s">
        <v>9230</v>
      </c>
      <c r="BF488" t="str">
        <f>HYPERLINK("http://dx.doi.org/10.1136/bmj.n286","http://dx.doi.org/10.1136/bmj.n286")</f>
        <v>http://dx.doi.org/10.1136/bmj.n286</v>
      </c>
      <c r="BG488" t="s">
        <v>74</v>
      </c>
      <c r="BH488" t="s">
        <v>74</v>
      </c>
      <c r="BI488">
        <v>1</v>
      </c>
      <c r="BJ488" t="s">
        <v>811</v>
      </c>
      <c r="BK488" t="s">
        <v>209</v>
      </c>
      <c r="BL488" t="s">
        <v>812</v>
      </c>
      <c r="BM488" t="s">
        <v>9231</v>
      </c>
      <c r="BN488">
        <v>33514532</v>
      </c>
      <c r="BO488" t="s">
        <v>74</v>
      </c>
      <c r="BP488" t="s">
        <v>74</v>
      </c>
      <c r="BQ488" t="s">
        <v>74</v>
      </c>
      <c r="BR488" t="s">
        <v>102</v>
      </c>
      <c r="BS488" t="s">
        <v>9232</v>
      </c>
      <c r="BT488" t="str">
        <f>HYPERLINK("https%3A%2F%2Fwww.webofscience.com%2Fwos%2Fwoscc%2Ffull-record%2FWOS:000615904200001","View Full Record in Web of Science")</f>
        <v>View Full Record in Web of Science</v>
      </c>
    </row>
    <row r="489" spans="1:72" x14ac:dyDescent="0.35">
      <c r="A489" t="s">
        <v>72</v>
      </c>
      <c r="B489" t="s">
        <v>9233</v>
      </c>
      <c r="C489" t="s">
        <v>74</v>
      </c>
      <c r="D489" t="s">
        <v>74</v>
      </c>
      <c r="E489" t="s">
        <v>74</v>
      </c>
      <c r="F489" t="s">
        <v>9234</v>
      </c>
      <c r="G489" t="s">
        <v>74</v>
      </c>
      <c r="H489" t="s">
        <v>74</v>
      </c>
      <c r="I489" t="s">
        <v>9235</v>
      </c>
      <c r="J489" t="s">
        <v>3144</v>
      </c>
      <c r="K489" t="s">
        <v>74</v>
      </c>
      <c r="L489" t="s">
        <v>74</v>
      </c>
      <c r="M489" t="s">
        <v>78</v>
      </c>
      <c r="N489" t="s">
        <v>1328</v>
      </c>
      <c r="O489" t="s">
        <v>74</v>
      </c>
      <c r="P489" t="s">
        <v>74</v>
      </c>
      <c r="Q489" t="s">
        <v>74</v>
      </c>
      <c r="R489" t="s">
        <v>74</v>
      </c>
      <c r="S489" t="s">
        <v>74</v>
      </c>
      <c r="T489" t="s">
        <v>9236</v>
      </c>
      <c r="U489" t="s">
        <v>74</v>
      </c>
      <c r="V489" t="s">
        <v>74</v>
      </c>
      <c r="W489" t="s">
        <v>9237</v>
      </c>
      <c r="X489" t="s">
        <v>9238</v>
      </c>
      <c r="Y489" t="s">
        <v>9239</v>
      </c>
      <c r="Z489" t="s">
        <v>3149</v>
      </c>
      <c r="AA489" t="s">
        <v>3150</v>
      </c>
      <c r="AB489" t="s">
        <v>74</v>
      </c>
      <c r="AC489" t="s">
        <v>74</v>
      </c>
      <c r="AD489" t="s">
        <v>74</v>
      </c>
      <c r="AE489" t="s">
        <v>74</v>
      </c>
      <c r="AF489" t="s">
        <v>74</v>
      </c>
      <c r="AG489">
        <v>5</v>
      </c>
      <c r="AH489">
        <v>2</v>
      </c>
      <c r="AI489">
        <v>2</v>
      </c>
      <c r="AJ489">
        <v>2</v>
      </c>
      <c r="AK489">
        <v>4</v>
      </c>
      <c r="AL489" t="s">
        <v>171</v>
      </c>
      <c r="AM489" t="s">
        <v>172</v>
      </c>
      <c r="AN489" t="s">
        <v>173</v>
      </c>
      <c r="AO489" t="s">
        <v>3152</v>
      </c>
      <c r="AP489" t="s">
        <v>3153</v>
      </c>
      <c r="AQ489" t="s">
        <v>74</v>
      </c>
      <c r="AR489" t="s">
        <v>3154</v>
      </c>
      <c r="AS489" t="s">
        <v>3155</v>
      </c>
      <c r="AT489" t="s">
        <v>1484</v>
      </c>
      <c r="AU489">
        <v>2023</v>
      </c>
      <c r="AV489">
        <v>27</v>
      </c>
      <c r="AW489">
        <v>2</v>
      </c>
      <c r="AX489" t="s">
        <v>74</v>
      </c>
      <c r="AY489" t="s">
        <v>74</v>
      </c>
      <c r="AZ489" t="s">
        <v>74</v>
      </c>
      <c r="BA489" t="s">
        <v>74</v>
      </c>
      <c r="BB489">
        <v>173</v>
      </c>
      <c r="BC489">
        <v>175</v>
      </c>
      <c r="BD489" t="s">
        <v>74</v>
      </c>
      <c r="BE489" t="s">
        <v>9240</v>
      </c>
      <c r="BF489" t="str">
        <f>HYPERLINK("http://dx.doi.org/10.1177/12034754231159649","http://dx.doi.org/10.1177/12034754231159649")</f>
        <v>http://dx.doi.org/10.1177/12034754231159649</v>
      </c>
      <c r="BG489" t="s">
        <v>74</v>
      </c>
      <c r="BH489" t="s">
        <v>1046</v>
      </c>
      <c r="BI489">
        <v>3</v>
      </c>
      <c r="BJ489" t="s">
        <v>1341</v>
      </c>
      <c r="BK489" t="s">
        <v>209</v>
      </c>
      <c r="BL489" t="s">
        <v>1341</v>
      </c>
      <c r="BM489" t="s">
        <v>9241</v>
      </c>
      <c r="BN489">
        <v>36862030</v>
      </c>
      <c r="BO489" t="s">
        <v>74</v>
      </c>
      <c r="BP489" t="s">
        <v>74</v>
      </c>
      <c r="BQ489" t="s">
        <v>74</v>
      </c>
      <c r="BR489" t="s">
        <v>102</v>
      </c>
      <c r="BS489" t="s">
        <v>9242</v>
      </c>
      <c r="BT489" t="str">
        <f>HYPERLINK("https%3A%2F%2Fwww.webofscience.com%2Fwos%2Fwoscc%2Ffull-record%2FWOS:000942564200001","View Full Record in Web of Science")</f>
        <v>View Full Record in Web of Science</v>
      </c>
    </row>
    <row r="490" spans="1:72" x14ac:dyDescent="0.35">
      <c r="A490" t="s">
        <v>8845</v>
      </c>
      <c r="B490" t="s">
        <v>8847</v>
      </c>
      <c r="C490" t="s">
        <v>74</v>
      </c>
      <c r="D490" t="s">
        <v>74</v>
      </c>
      <c r="E490" t="s">
        <v>74</v>
      </c>
      <c r="F490" t="s">
        <v>8847</v>
      </c>
      <c r="G490" t="s">
        <v>74</v>
      </c>
      <c r="H490" t="s">
        <v>74</v>
      </c>
      <c r="I490" t="s">
        <v>9243</v>
      </c>
      <c r="J490" t="s">
        <v>8850</v>
      </c>
      <c r="K490" t="s">
        <v>8851</v>
      </c>
      <c r="L490" t="s">
        <v>74</v>
      </c>
      <c r="M490" t="s">
        <v>78</v>
      </c>
      <c r="N490" t="s">
        <v>9244</v>
      </c>
      <c r="O490" t="s">
        <v>74</v>
      </c>
      <c r="P490" t="s">
        <v>74</v>
      </c>
      <c r="Q490" t="s">
        <v>74</v>
      </c>
      <c r="R490" t="s">
        <v>74</v>
      </c>
      <c r="S490" t="s">
        <v>74</v>
      </c>
      <c r="T490" t="s">
        <v>74</v>
      </c>
      <c r="U490" t="s">
        <v>74</v>
      </c>
      <c r="V490" t="s">
        <v>74</v>
      </c>
      <c r="W490" t="s">
        <v>74</v>
      </c>
      <c r="X490" t="s">
        <v>74</v>
      </c>
      <c r="Y490" t="s">
        <v>74</v>
      </c>
      <c r="Z490" t="s">
        <v>74</v>
      </c>
      <c r="AA490" t="s">
        <v>74</v>
      </c>
      <c r="AB490" t="s">
        <v>74</v>
      </c>
      <c r="AC490" t="s">
        <v>74</v>
      </c>
      <c r="AD490" t="s">
        <v>74</v>
      </c>
      <c r="AE490" t="s">
        <v>74</v>
      </c>
      <c r="AF490" t="s">
        <v>74</v>
      </c>
      <c r="AG490">
        <v>0</v>
      </c>
      <c r="AH490">
        <v>1</v>
      </c>
      <c r="AI490">
        <v>1</v>
      </c>
      <c r="AJ490">
        <v>0</v>
      </c>
      <c r="AK490">
        <v>0</v>
      </c>
      <c r="AL490" t="s">
        <v>8855</v>
      </c>
      <c r="AM490" t="s">
        <v>89</v>
      </c>
      <c r="AN490" t="s">
        <v>8856</v>
      </c>
      <c r="AO490" t="s">
        <v>74</v>
      </c>
      <c r="AP490" t="s">
        <v>74</v>
      </c>
      <c r="AQ490" t="s">
        <v>8857</v>
      </c>
      <c r="AR490" t="s">
        <v>8858</v>
      </c>
      <c r="AS490" t="s">
        <v>74</v>
      </c>
      <c r="AT490" t="s">
        <v>74</v>
      </c>
      <c r="AU490">
        <v>2024</v>
      </c>
      <c r="AV490" t="s">
        <v>74</v>
      </c>
      <c r="AW490" t="s">
        <v>74</v>
      </c>
      <c r="AX490" t="s">
        <v>74</v>
      </c>
      <c r="AY490" t="s">
        <v>74</v>
      </c>
      <c r="AZ490" t="s">
        <v>74</v>
      </c>
      <c r="BA490" t="s">
        <v>74</v>
      </c>
      <c r="BB490">
        <v>1</v>
      </c>
      <c r="BC490">
        <v>143</v>
      </c>
      <c r="BD490" t="s">
        <v>74</v>
      </c>
      <c r="BE490" t="s">
        <v>8860</v>
      </c>
      <c r="BF490" t="str">
        <f>HYPERLINK("http://dx.doi.org/10.4324/9781003261056","http://dx.doi.org/10.4324/9781003261056")</f>
        <v>http://dx.doi.org/10.4324/9781003261056</v>
      </c>
      <c r="BG490" t="s">
        <v>74</v>
      </c>
      <c r="BH490" t="s">
        <v>74</v>
      </c>
      <c r="BI490">
        <v>143</v>
      </c>
      <c r="BJ490" t="s">
        <v>8861</v>
      </c>
      <c r="BK490" t="s">
        <v>8862</v>
      </c>
      <c r="BL490" t="s">
        <v>8861</v>
      </c>
      <c r="BM490" t="s">
        <v>8863</v>
      </c>
      <c r="BN490" t="s">
        <v>74</v>
      </c>
      <c r="BO490" t="s">
        <v>74</v>
      </c>
      <c r="BP490" t="s">
        <v>74</v>
      </c>
      <c r="BQ490" t="s">
        <v>74</v>
      </c>
      <c r="BR490" t="s">
        <v>102</v>
      </c>
      <c r="BS490" t="s">
        <v>9245</v>
      </c>
      <c r="BT490" t="str">
        <f>HYPERLINK("https%3A%2F%2Fwww.webofscience.com%2Fwos%2Fwoscc%2Ffull-record%2FWOS:001219761700010","View Full Record in Web of Science")</f>
        <v>View Full Record in Web of Science</v>
      </c>
    </row>
    <row r="491" spans="1:72" x14ac:dyDescent="0.35">
      <c r="A491" t="s">
        <v>72</v>
      </c>
      <c r="B491" t="s">
        <v>9246</v>
      </c>
      <c r="C491" t="s">
        <v>74</v>
      </c>
      <c r="D491" t="s">
        <v>74</v>
      </c>
      <c r="E491" t="s">
        <v>74</v>
      </c>
      <c r="F491" t="s">
        <v>9247</v>
      </c>
      <c r="G491" t="s">
        <v>74</v>
      </c>
      <c r="H491" t="s">
        <v>74</v>
      </c>
      <c r="I491" t="s">
        <v>9248</v>
      </c>
      <c r="J491" t="s">
        <v>9249</v>
      </c>
      <c r="K491" t="s">
        <v>74</v>
      </c>
      <c r="L491" t="s">
        <v>74</v>
      </c>
      <c r="M491" t="s">
        <v>78</v>
      </c>
      <c r="N491" t="s">
        <v>52</v>
      </c>
      <c r="O491" t="s">
        <v>9250</v>
      </c>
      <c r="P491" t="s">
        <v>9251</v>
      </c>
      <c r="Q491" t="s">
        <v>138</v>
      </c>
      <c r="R491" t="s">
        <v>9252</v>
      </c>
      <c r="S491" t="s">
        <v>74</v>
      </c>
      <c r="T491" t="s">
        <v>74</v>
      </c>
      <c r="U491" t="s">
        <v>74</v>
      </c>
      <c r="V491" t="s">
        <v>74</v>
      </c>
      <c r="W491" t="s">
        <v>9253</v>
      </c>
      <c r="X491" t="s">
        <v>9254</v>
      </c>
      <c r="Y491" t="s">
        <v>74</v>
      </c>
      <c r="Z491" t="s">
        <v>9255</v>
      </c>
      <c r="AA491" t="s">
        <v>74</v>
      </c>
      <c r="AB491" t="s">
        <v>74</v>
      </c>
      <c r="AC491" t="s">
        <v>74</v>
      </c>
      <c r="AD491" t="s">
        <v>74</v>
      </c>
      <c r="AE491" t="s">
        <v>74</v>
      </c>
      <c r="AF491" t="s">
        <v>74</v>
      </c>
      <c r="AG491">
        <v>0</v>
      </c>
      <c r="AH491">
        <v>1</v>
      </c>
      <c r="AI491">
        <v>1</v>
      </c>
      <c r="AJ491">
        <v>0</v>
      </c>
      <c r="AK491">
        <v>9</v>
      </c>
      <c r="AL491" t="s">
        <v>1965</v>
      </c>
      <c r="AM491" t="s">
        <v>666</v>
      </c>
      <c r="AN491" t="s">
        <v>1966</v>
      </c>
      <c r="AO491" t="s">
        <v>9256</v>
      </c>
      <c r="AP491" t="s">
        <v>9257</v>
      </c>
      <c r="AQ491" t="s">
        <v>74</v>
      </c>
      <c r="AR491" t="s">
        <v>9258</v>
      </c>
      <c r="AS491" t="s">
        <v>9259</v>
      </c>
      <c r="AT491" t="s">
        <v>74</v>
      </c>
      <c r="AU491">
        <v>2021</v>
      </c>
      <c r="AV491">
        <v>60</v>
      </c>
      <c r="AW491">
        <v>10</v>
      </c>
      <c r="AX491" t="s">
        <v>74</v>
      </c>
      <c r="AY491" t="s">
        <v>4946</v>
      </c>
      <c r="AZ491" t="s">
        <v>74</v>
      </c>
      <c r="BA491">
        <v>3.2</v>
      </c>
      <c r="BB491" t="s">
        <v>9260</v>
      </c>
      <c r="BC491" t="s">
        <v>9260</v>
      </c>
      <c r="BD491" t="s">
        <v>74</v>
      </c>
      <c r="BE491" t="s">
        <v>9261</v>
      </c>
      <c r="BF491" t="str">
        <f>HYPERLINK("http://dx.doi.org/10.1016/j.jaac.2021.07.028","http://dx.doi.org/10.1016/j.jaac.2021.07.028")</f>
        <v>http://dx.doi.org/10.1016/j.jaac.2021.07.028</v>
      </c>
      <c r="BG491" t="s">
        <v>74</v>
      </c>
      <c r="BH491" t="s">
        <v>9169</v>
      </c>
      <c r="BI491">
        <v>1</v>
      </c>
      <c r="BJ491" t="s">
        <v>5098</v>
      </c>
      <c r="BK491" t="s">
        <v>3030</v>
      </c>
      <c r="BL491" t="s">
        <v>5099</v>
      </c>
      <c r="BM491" t="s">
        <v>9262</v>
      </c>
      <c r="BN491" t="s">
        <v>74</v>
      </c>
      <c r="BO491" t="s">
        <v>74</v>
      </c>
      <c r="BP491" t="s">
        <v>74</v>
      </c>
      <c r="BQ491" t="s">
        <v>74</v>
      </c>
      <c r="BR491" t="s">
        <v>102</v>
      </c>
      <c r="BS491" t="s">
        <v>9263</v>
      </c>
      <c r="BT491" t="str">
        <f>HYPERLINK("https%3A%2F%2Fwww.webofscience.com%2Fwos%2Fwoscc%2Ffull-record%2FWOS:000707082800014","View Full Record in Web of Science")</f>
        <v>View Full Record in Web of Science</v>
      </c>
    </row>
    <row r="492" spans="1:72" x14ac:dyDescent="0.35">
      <c r="A492" t="s">
        <v>72</v>
      </c>
      <c r="B492" t="s">
        <v>9264</v>
      </c>
      <c r="C492" t="s">
        <v>74</v>
      </c>
      <c r="D492" t="s">
        <v>74</v>
      </c>
      <c r="E492" t="s">
        <v>74</v>
      </c>
      <c r="F492" t="s">
        <v>9265</v>
      </c>
      <c r="G492" t="s">
        <v>74</v>
      </c>
      <c r="H492" t="s">
        <v>74</v>
      </c>
      <c r="I492" t="s">
        <v>9266</v>
      </c>
      <c r="J492" t="s">
        <v>9267</v>
      </c>
      <c r="K492" t="s">
        <v>74</v>
      </c>
      <c r="L492" t="s">
        <v>74</v>
      </c>
      <c r="M492" t="s">
        <v>78</v>
      </c>
      <c r="N492" t="s">
        <v>108</v>
      </c>
      <c r="O492" t="s">
        <v>74</v>
      </c>
      <c r="P492" t="s">
        <v>74</v>
      </c>
      <c r="Q492" t="s">
        <v>74</v>
      </c>
      <c r="R492" t="s">
        <v>74</v>
      </c>
      <c r="S492" t="s">
        <v>74</v>
      </c>
      <c r="T492" t="s">
        <v>9268</v>
      </c>
      <c r="U492" t="s">
        <v>9269</v>
      </c>
      <c r="V492" t="s">
        <v>9270</v>
      </c>
      <c r="W492" t="s">
        <v>9271</v>
      </c>
      <c r="X492" t="s">
        <v>6960</v>
      </c>
      <c r="Y492" t="s">
        <v>9272</v>
      </c>
      <c r="Z492" t="s">
        <v>74</v>
      </c>
      <c r="AA492" t="s">
        <v>9273</v>
      </c>
      <c r="AB492" t="s">
        <v>9274</v>
      </c>
      <c r="AC492" t="s">
        <v>74</v>
      </c>
      <c r="AD492" t="s">
        <v>74</v>
      </c>
      <c r="AE492" t="s">
        <v>74</v>
      </c>
      <c r="AF492" t="s">
        <v>74</v>
      </c>
      <c r="AG492">
        <v>88</v>
      </c>
      <c r="AH492">
        <v>39</v>
      </c>
      <c r="AI492">
        <v>39</v>
      </c>
      <c r="AJ492">
        <v>11</v>
      </c>
      <c r="AK492">
        <v>71</v>
      </c>
      <c r="AL492" t="s">
        <v>9275</v>
      </c>
      <c r="AM492" t="s">
        <v>9276</v>
      </c>
      <c r="AN492" t="s">
        <v>9277</v>
      </c>
      <c r="AO492" t="s">
        <v>9278</v>
      </c>
      <c r="AP492" t="s">
        <v>74</v>
      </c>
      <c r="AQ492" t="s">
        <v>74</v>
      </c>
      <c r="AR492" t="s">
        <v>9279</v>
      </c>
      <c r="AS492" t="s">
        <v>9280</v>
      </c>
      <c r="AT492" t="s">
        <v>523</v>
      </c>
      <c r="AU492">
        <v>2021</v>
      </c>
      <c r="AV492">
        <v>26</v>
      </c>
      <c r="AW492" t="s">
        <v>74</v>
      </c>
      <c r="AX492" t="s">
        <v>74</v>
      </c>
      <c r="AY492" t="s">
        <v>74</v>
      </c>
      <c r="AZ492" t="s">
        <v>74</v>
      </c>
      <c r="BA492" t="s">
        <v>74</v>
      </c>
      <c r="BB492">
        <v>267</v>
      </c>
      <c r="BC492">
        <v>287</v>
      </c>
      <c r="BD492" t="s">
        <v>74</v>
      </c>
      <c r="BE492" t="s">
        <v>9281</v>
      </c>
      <c r="BF492" t="str">
        <f>HYPERLINK("http://dx.doi.org/10.6035/clr.5817","http://dx.doi.org/10.6035/clr.5817")</f>
        <v>http://dx.doi.org/10.6035/clr.5817</v>
      </c>
      <c r="BG492" t="s">
        <v>74</v>
      </c>
      <c r="BH492" t="s">
        <v>74</v>
      </c>
      <c r="BI492">
        <v>21</v>
      </c>
      <c r="BJ492" t="s">
        <v>2124</v>
      </c>
      <c r="BK492" t="s">
        <v>125</v>
      </c>
      <c r="BL492" t="s">
        <v>2124</v>
      </c>
      <c r="BM492" t="s">
        <v>9282</v>
      </c>
      <c r="BN492" t="s">
        <v>74</v>
      </c>
      <c r="BO492" t="s">
        <v>5678</v>
      </c>
      <c r="BP492" t="s">
        <v>74</v>
      </c>
      <c r="BQ492" t="s">
        <v>74</v>
      </c>
      <c r="BR492" t="s">
        <v>102</v>
      </c>
      <c r="BS492" t="s">
        <v>9283</v>
      </c>
      <c r="BT492" t="str">
        <f>HYPERLINK("https%3A%2F%2Fwww.webofscience.com%2Fwos%2Fwoscc%2Ffull-record%2FWOS:000727941700014","View Full Record in Web of Science")</f>
        <v>View Full Record in Web of Science</v>
      </c>
    </row>
    <row r="493" spans="1:72" x14ac:dyDescent="0.35">
      <c r="A493" t="s">
        <v>72</v>
      </c>
      <c r="B493" t="s">
        <v>9284</v>
      </c>
      <c r="C493" t="s">
        <v>74</v>
      </c>
      <c r="D493" t="s">
        <v>74</v>
      </c>
      <c r="E493" t="s">
        <v>74</v>
      </c>
      <c r="F493" t="s">
        <v>9285</v>
      </c>
      <c r="G493" t="s">
        <v>74</v>
      </c>
      <c r="H493" t="s">
        <v>74</v>
      </c>
      <c r="I493" t="s">
        <v>9286</v>
      </c>
      <c r="J493" t="s">
        <v>9287</v>
      </c>
      <c r="K493" t="s">
        <v>74</v>
      </c>
      <c r="L493" t="s">
        <v>74</v>
      </c>
      <c r="M493" t="s">
        <v>78</v>
      </c>
      <c r="N493" t="s">
        <v>79</v>
      </c>
      <c r="O493" t="s">
        <v>74</v>
      </c>
      <c r="P493" t="s">
        <v>74</v>
      </c>
      <c r="Q493" t="s">
        <v>74</v>
      </c>
      <c r="R493" t="s">
        <v>74</v>
      </c>
      <c r="S493" t="s">
        <v>74</v>
      </c>
      <c r="T493" t="s">
        <v>9288</v>
      </c>
      <c r="U493" t="s">
        <v>9289</v>
      </c>
      <c r="V493" t="s">
        <v>9290</v>
      </c>
      <c r="W493" t="s">
        <v>9291</v>
      </c>
      <c r="X493" t="s">
        <v>9292</v>
      </c>
      <c r="Y493" t="s">
        <v>9293</v>
      </c>
      <c r="Z493" t="s">
        <v>9294</v>
      </c>
      <c r="AA493" t="s">
        <v>74</v>
      </c>
      <c r="AB493" t="s">
        <v>9295</v>
      </c>
      <c r="AC493" t="s">
        <v>74</v>
      </c>
      <c r="AD493" t="s">
        <v>74</v>
      </c>
      <c r="AE493" t="s">
        <v>74</v>
      </c>
      <c r="AF493" t="s">
        <v>74</v>
      </c>
      <c r="AG493">
        <v>90</v>
      </c>
      <c r="AH493">
        <v>0</v>
      </c>
      <c r="AI493">
        <v>0</v>
      </c>
      <c r="AJ493">
        <v>2</v>
      </c>
      <c r="AK493">
        <v>2</v>
      </c>
      <c r="AL493" t="s">
        <v>1129</v>
      </c>
      <c r="AM493" t="s">
        <v>89</v>
      </c>
      <c r="AN493" t="s">
        <v>1130</v>
      </c>
      <c r="AO493" t="s">
        <v>9296</v>
      </c>
      <c r="AP493" t="s">
        <v>9297</v>
      </c>
      <c r="AQ493" t="s">
        <v>74</v>
      </c>
      <c r="AR493" t="s">
        <v>9298</v>
      </c>
      <c r="AS493" t="s">
        <v>9299</v>
      </c>
      <c r="AT493" t="s">
        <v>9300</v>
      </c>
      <c r="AU493">
        <v>2024</v>
      </c>
      <c r="AV493" t="s">
        <v>74</v>
      </c>
      <c r="AW493" t="s">
        <v>74</v>
      </c>
      <c r="AX493" t="s">
        <v>74</v>
      </c>
      <c r="AY493" t="s">
        <v>74</v>
      </c>
      <c r="AZ493" t="s">
        <v>74</v>
      </c>
      <c r="BA493" t="s">
        <v>74</v>
      </c>
      <c r="BB493" t="s">
        <v>74</v>
      </c>
      <c r="BC493" t="s">
        <v>74</v>
      </c>
      <c r="BD493" t="s">
        <v>74</v>
      </c>
      <c r="BE493" t="s">
        <v>9301</v>
      </c>
      <c r="BF493" t="str">
        <f>HYPERLINK("http://dx.doi.org/10.1080/12460125.2024.2415152","http://dx.doi.org/10.1080/12460125.2024.2415152")</f>
        <v>http://dx.doi.org/10.1080/12460125.2024.2415152</v>
      </c>
      <c r="BG493" t="s">
        <v>74</v>
      </c>
      <c r="BH493" t="s">
        <v>1721</v>
      </c>
      <c r="BI493">
        <v>18</v>
      </c>
      <c r="BJ493" t="s">
        <v>9302</v>
      </c>
      <c r="BK493" t="s">
        <v>125</v>
      </c>
      <c r="BL493" t="s">
        <v>9302</v>
      </c>
      <c r="BM493" t="s">
        <v>9303</v>
      </c>
      <c r="BN493" t="s">
        <v>74</v>
      </c>
      <c r="BO493" t="s">
        <v>74</v>
      </c>
      <c r="BP493" t="s">
        <v>74</v>
      </c>
      <c r="BQ493" t="s">
        <v>74</v>
      </c>
      <c r="BR493" t="s">
        <v>102</v>
      </c>
      <c r="BS493" t="s">
        <v>9304</v>
      </c>
      <c r="BT493" t="str">
        <f>HYPERLINK("https%3A%2F%2Fwww.webofscience.com%2Fwos%2Fwoscc%2Ffull-record%2FWOS:001337489200001","View Full Record in Web of Science")</f>
        <v>View Full Record in Web of Science</v>
      </c>
    </row>
    <row r="494" spans="1:72" x14ac:dyDescent="0.35">
      <c r="A494" t="s">
        <v>72</v>
      </c>
      <c r="B494" t="s">
        <v>9305</v>
      </c>
      <c r="C494" t="s">
        <v>74</v>
      </c>
      <c r="D494" t="s">
        <v>74</v>
      </c>
      <c r="E494" t="s">
        <v>74</v>
      </c>
      <c r="F494" t="s">
        <v>9306</v>
      </c>
      <c r="G494" t="s">
        <v>74</v>
      </c>
      <c r="H494" t="s">
        <v>74</v>
      </c>
      <c r="I494" t="s">
        <v>9307</v>
      </c>
      <c r="J494" t="s">
        <v>216</v>
      </c>
      <c r="K494" t="s">
        <v>74</v>
      </c>
      <c r="L494" t="s">
        <v>74</v>
      </c>
      <c r="M494" t="s">
        <v>78</v>
      </c>
      <c r="N494" t="s">
        <v>108</v>
      </c>
      <c r="O494" t="s">
        <v>74</v>
      </c>
      <c r="P494" t="s">
        <v>74</v>
      </c>
      <c r="Q494" t="s">
        <v>74</v>
      </c>
      <c r="R494" t="s">
        <v>74</v>
      </c>
      <c r="S494" t="s">
        <v>74</v>
      </c>
      <c r="T494" t="s">
        <v>9308</v>
      </c>
      <c r="U494" t="s">
        <v>9309</v>
      </c>
      <c r="V494" t="s">
        <v>9310</v>
      </c>
      <c r="W494" t="s">
        <v>9311</v>
      </c>
      <c r="X494" t="s">
        <v>6603</v>
      </c>
      <c r="Y494" t="s">
        <v>9312</v>
      </c>
      <c r="Z494" t="s">
        <v>9313</v>
      </c>
      <c r="AA494" t="s">
        <v>74</v>
      </c>
      <c r="AB494" t="s">
        <v>9314</v>
      </c>
      <c r="AC494" t="s">
        <v>9315</v>
      </c>
      <c r="AD494" t="s">
        <v>9316</v>
      </c>
      <c r="AE494" t="s">
        <v>9317</v>
      </c>
      <c r="AF494" t="s">
        <v>74</v>
      </c>
      <c r="AG494">
        <v>78</v>
      </c>
      <c r="AH494">
        <v>0</v>
      </c>
      <c r="AI494">
        <v>0</v>
      </c>
      <c r="AJ494">
        <v>2</v>
      </c>
      <c r="AK494">
        <v>2</v>
      </c>
      <c r="AL494" t="s">
        <v>226</v>
      </c>
      <c r="AM494" t="s">
        <v>227</v>
      </c>
      <c r="AN494" t="s">
        <v>228</v>
      </c>
      <c r="AO494" t="s">
        <v>229</v>
      </c>
      <c r="AP494" t="s">
        <v>74</v>
      </c>
      <c r="AQ494" t="s">
        <v>74</v>
      </c>
      <c r="AR494" t="s">
        <v>230</v>
      </c>
      <c r="AS494" t="s">
        <v>231</v>
      </c>
      <c r="AT494" t="s">
        <v>273</v>
      </c>
      <c r="AU494">
        <v>2024</v>
      </c>
      <c r="AV494">
        <v>10</v>
      </c>
      <c r="AW494">
        <v>3</v>
      </c>
      <c r="AX494" t="s">
        <v>74</v>
      </c>
      <c r="AY494" t="s">
        <v>74</v>
      </c>
      <c r="AZ494" t="s">
        <v>74</v>
      </c>
      <c r="BA494" t="s">
        <v>74</v>
      </c>
      <c r="BB494" t="s">
        <v>74</v>
      </c>
      <c r="BC494" t="s">
        <v>74</v>
      </c>
      <c r="BD494">
        <v>2.05630512412776E+16</v>
      </c>
      <c r="BE494" t="s">
        <v>9318</v>
      </c>
      <c r="BF494" t="str">
        <f>HYPERLINK("http://dx.doi.org/10.1177/20563051241277601","http://dx.doi.org/10.1177/20563051241277601")</f>
        <v>http://dx.doi.org/10.1177/20563051241277601</v>
      </c>
      <c r="BG494" t="s">
        <v>74</v>
      </c>
      <c r="BH494" t="s">
        <v>74</v>
      </c>
      <c r="BI494">
        <v>13</v>
      </c>
      <c r="BJ494" t="s">
        <v>124</v>
      </c>
      <c r="BK494" t="s">
        <v>99</v>
      </c>
      <c r="BL494" t="s">
        <v>124</v>
      </c>
      <c r="BM494" t="s">
        <v>9319</v>
      </c>
      <c r="BN494" t="s">
        <v>74</v>
      </c>
      <c r="BO494" t="s">
        <v>235</v>
      </c>
      <c r="BP494" t="s">
        <v>74</v>
      </c>
      <c r="BQ494" t="s">
        <v>74</v>
      </c>
      <c r="BR494" t="s">
        <v>102</v>
      </c>
      <c r="BS494" t="s">
        <v>9320</v>
      </c>
      <c r="BT494" t="str">
        <f>HYPERLINK("https%3A%2F%2Fwww.webofscience.com%2Fwos%2Fwoscc%2Ffull-record%2FWOS:001308691400001","View Full Record in Web of Science")</f>
        <v>View Full Record in Web of Science</v>
      </c>
    </row>
    <row r="495" spans="1:72" x14ac:dyDescent="0.35">
      <c r="A495" t="s">
        <v>72</v>
      </c>
      <c r="B495" t="s">
        <v>9321</v>
      </c>
      <c r="C495" t="s">
        <v>74</v>
      </c>
      <c r="D495" t="s">
        <v>74</v>
      </c>
      <c r="E495" t="s">
        <v>74</v>
      </c>
      <c r="F495" t="s">
        <v>9322</v>
      </c>
      <c r="G495" t="s">
        <v>74</v>
      </c>
      <c r="H495" t="s">
        <v>74</v>
      </c>
      <c r="I495" t="s">
        <v>9323</v>
      </c>
      <c r="J495" t="s">
        <v>8886</v>
      </c>
      <c r="K495" t="s">
        <v>74</v>
      </c>
      <c r="L495" t="s">
        <v>74</v>
      </c>
      <c r="M495" t="s">
        <v>78</v>
      </c>
      <c r="N495" t="s">
        <v>108</v>
      </c>
      <c r="O495" t="s">
        <v>74</v>
      </c>
      <c r="P495" t="s">
        <v>74</v>
      </c>
      <c r="Q495" t="s">
        <v>74</v>
      </c>
      <c r="R495" t="s">
        <v>74</v>
      </c>
      <c r="S495" t="s">
        <v>74</v>
      </c>
      <c r="T495" t="s">
        <v>9324</v>
      </c>
      <c r="U495" t="s">
        <v>74</v>
      </c>
      <c r="V495" t="s">
        <v>9325</v>
      </c>
      <c r="W495" t="s">
        <v>9326</v>
      </c>
      <c r="X495" t="s">
        <v>9327</v>
      </c>
      <c r="Y495" t="s">
        <v>9328</v>
      </c>
      <c r="Z495" t="s">
        <v>9329</v>
      </c>
      <c r="AA495" t="s">
        <v>74</v>
      </c>
      <c r="AB495" t="s">
        <v>9330</v>
      </c>
      <c r="AC495" t="s">
        <v>9331</v>
      </c>
      <c r="AD495" t="s">
        <v>9332</v>
      </c>
      <c r="AE495" t="s">
        <v>9333</v>
      </c>
      <c r="AF495" t="s">
        <v>74</v>
      </c>
      <c r="AG495">
        <v>57</v>
      </c>
      <c r="AH495">
        <v>1</v>
      </c>
      <c r="AI495">
        <v>1</v>
      </c>
      <c r="AJ495">
        <v>5</v>
      </c>
      <c r="AK495">
        <v>5</v>
      </c>
      <c r="AL495" t="s">
        <v>384</v>
      </c>
      <c r="AM495" t="s">
        <v>385</v>
      </c>
      <c r="AN495" t="s">
        <v>386</v>
      </c>
      <c r="AO495" t="s">
        <v>74</v>
      </c>
      <c r="AP495" t="s">
        <v>8897</v>
      </c>
      <c r="AQ495" t="s">
        <v>74</v>
      </c>
      <c r="AR495" t="s">
        <v>8898</v>
      </c>
      <c r="AS495" t="s">
        <v>8899</v>
      </c>
      <c r="AT495" t="s">
        <v>2386</v>
      </c>
      <c r="AU495">
        <v>2024</v>
      </c>
      <c r="AV495">
        <v>9</v>
      </c>
      <c r="AW495" t="s">
        <v>74</v>
      </c>
      <c r="AX495" t="s">
        <v>74</v>
      </c>
      <c r="AY495" t="s">
        <v>74</v>
      </c>
      <c r="AZ495" t="s">
        <v>74</v>
      </c>
      <c r="BA495" t="s">
        <v>74</v>
      </c>
      <c r="BB495" t="s">
        <v>74</v>
      </c>
      <c r="BC495" t="s">
        <v>74</v>
      </c>
      <c r="BD495">
        <v>1410100</v>
      </c>
      <c r="BE495" t="s">
        <v>9334</v>
      </c>
      <c r="BF495" t="str">
        <f>HYPERLINK("http://dx.doi.org/10.3389/fcomm.2024.1410100","http://dx.doi.org/10.3389/fcomm.2024.1410100")</f>
        <v>http://dx.doi.org/10.3389/fcomm.2024.1410100</v>
      </c>
      <c r="BG495" t="s">
        <v>74</v>
      </c>
      <c r="BH495" t="s">
        <v>74</v>
      </c>
      <c r="BI495">
        <v>8</v>
      </c>
      <c r="BJ495" t="s">
        <v>124</v>
      </c>
      <c r="BK495" t="s">
        <v>125</v>
      </c>
      <c r="BL495" t="s">
        <v>124</v>
      </c>
      <c r="BM495" t="s">
        <v>9335</v>
      </c>
      <c r="BN495" t="s">
        <v>74</v>
      </c>
      <c r="BO495" t="s">
        <v>235</v>
      </c>
      <c r="BP495" t="s">
        <v>74</v>
      </c>
      <c r="BQ495" t="s">
        <v>74</v>
      </c>
      <c r="BR495" t="s">
        <v>102</v>
      </c>
      <c r="BS495" t="s">
        <v>9336</v>
      </c>
      <c r="BT495" t="str">
        <f>HYPERLINK("https%3A%2F%2Fwww.webofscience.com%2Fwos%2Fwoscc%2Ffull-record%2FWOS:001256845900001","View Full Record in Web of Science")</f>
        <v>View Full Record in Web of Science</v>
      </c>
    </row>
    <row r="496" spans="1:72" x14ac:dyDescent="0.35">
      <c r="A496" t="s">
        <v>72</v>
      </c>
      <c r="B496" t="s">
        <v>9337</v>
      </c>
      <c r="C496" t="s">
        <v>74</v>
      </c>
      <c r="D496" t="s">
        <v>74</v>
      </c>
      <c r="E496" t="s">
        <v>74</v>
      </c>
      <c r="F496" t="s">
        <v>9338</v>
      </c>
      <c r="G496" t="s">
        <v>74</v>
      </c>
      <c r="H496" t="s">
        <v>74</v>
      </c>
      <c r="I496" t="s">
        <v>9339</v>
      </c>
      <c r="J496" t="s">
        <v>9340</v>
      </c>
      <c r="K496" t="s">
        <v>74</v>
      </c>
      <c r="L496" t="s">
        <v>74</v>
      </c>
      <c r="M496" t="s">
        <v>78</v>
      </c>
      <c r="N496" t="s">
        <v>108</v>
      </c>
      <c r="O496" t="s">
        <v>74</v>
      </c>
      <c r="P496" t="s">
        <v>74</v>
      </c>
      <c r="Q496" t="s">
        <v>74</v>
      </c>
      <c r="R496" t="s">
        <v>74</v>
      </c>
      <c r="S496" t="s">
        <v>74</v>
      </c>
      <c r="T496" t="s">
        <v>74</v>
      </c>
      <c r="U496" t="s">
        <v>9341</v>
      </c>
      <c r="V496" t="s">
        <v>9342</v>
      </c>
      <c r="W496" t="s">
        <v>9343</v>
      </c>
      <c r="X496" t="s">
        <v>9344</v>
      </c>
      <c r="Y496" t="s">
        <v>9345</v>
      </c>
      <c r="Z496" t="s">
        <v>9346</v>
      </c>
      <c r="AA496" t="s">
        <v>9347</v>
      </c>
      <c r="AB496" t="s">
        <v>9348</v>
      </c>
      <c r="AC496" t="s">
        <v>74</v>
      </c>
      <c r="AD496" t="s">
        <v>74</v>
      </c>
      <c r="AE496" t="s">
        <v>74</v>
      </c>
      <c r="AF496" t="s">
        <v>74</v>
      </c>
      <c r="AG496">
        <v>42</v>
      </c>
      <c r="AH496">
        <v>2</v>
      </c>
      <c r="AI496">
        <v>2</v>
      </c>
      <c r="AJ496">
        <v>8</v>
      </c>
      <c r="AK496">
        <v>44</v>
      </c>
      <c r="AL496" t="s">
        <v>88</v>
      </c>
      <c r="AM496" t="s">
        <v>89</v>
      </c>
      <c r="AN496" t="s">
        <v>90</v>
      </c>
      <c r="AO496" t="s">
        <v>9349</v>
      </c>
      <c r="AP496" t="s">
        <v>9350</v>
      </c>
      <c r="AQ496" t="s">
        <v>74</v>
      </c>
      <c r="AR496" t="s">
        <v>9351</v>
      </c>
      <c r="AS496" t="s">
        <v>9352</v>
      </c>
      <c r="AT496" t="s">
        <v>571</v>
      </c>
      <c r="AU496">
        <v>2023</v>
      </c>
      <c r="AV496">
        <v>26</v>
      </c>
      <c r="AW496">
        <v>6</v>
      </c>
      <c r="AX496" t="s">
        <v>74</v>
      </c>
      <c r="AY496" t="s">
        <v>74</v>
      </c>
      <c r="AZ496" t="s">
        <v>74</v>
      </c>
      <c r="BA496" t="s">
        <v>74</v>
      </c>
      <c r="BB496">
        <v>1014</v>
      </c>
      <c r="BC496">
        <v>1037</v>
      </c>
      <c r="BD496" t="s">
        <v>74</v>
      </c>
      <c r="BE496" t="s">
        <v>9353</v>
      </c>
      <c r="BF496" t="str">
        <f>HYPERLINK("http://dx.doi.org/10.1080/15205436.2022.2149414","http://dx.doi.org/10.1080/15205436.2022.2149414")</f>
        <v>http://dx.doi.org/10.1080/15205436.2022.2149414</v>
      </c>
      <c r="BG496" t="s">
        <v>74</v>
      </c>
      <c r="BH496" t="s">
        <v>3970</v>
      </c>
      <c r="BI496">
        <v>24</v>
      </c>
      <c r="BJ496" t="s">
        <v>124</v>
      </c>
      <c r="BK496" t="s">
        <v>99</v>
      </c>
      <c r="BL496" t="s">
        <v>124</v>
      </c>
      <c r="BM496" t="s">
        <v>9354</v>
      </c>
      <c r="BN496" t="s">
        <v>74</v>
      </c>
      <c r="BO496" t="s">
        <v>767</v>
      </c>
      <c r="BP496" t="s">
        <v>74</v>
      </c>
      <c r="BQ496" t="s">
        <v>74</v>
      </c>
      <c r="BR496" t="s">
        <v>102</v>
      </c>
      <c r="BS496" t="s">
        <v>9355</v>
      </c>
      <c r="BT496" t="str">
        <f>HYPERLINK("https%3A%2F%2Fwww.webofscience.com%2Fwos%2Fwoscc%2Ffull-record%2FWOS:000898995300001","View Full Record in Web of Science")</f>
        <v>View Full Record in Web of Science</v>
      </c>
    </row>
    <row r="497" spans="1:72" x14ac:dyDescent="0.35">
      <c r="A497" t="s">
        <v>72</v>
      </c>
      <c r="B497" t="s">
        <v>9356</v>
      </c>
      <c r="C497" t="s">
        <v>74</v>
      </c>
      <c r="D497" t="s">
        <v>74</v>
      </c>
      <c r="E497" t="s">
        <v>74</v>
      </c>
      <c r="F497" t="s">
        <v>9357</v>
      </c>
      <c r="G497" t="s">
        <v>74</v>
      </c>
      <c r="H497" t="s">
        <v>74</v>
      </c>
      <c r="I497" t="s">
        <v>9358</v>
      </c>
      <c r="J497" t="s">
        <v>9359</v>
      </c>
      <c r="K497" t="s">
        <v>74</v>
      </c>
      <c r="L497" t="s">
        <v>74</v>
      </c>
      <c r="M497" t="s">
        <v>9360</v>
      </c>
      <c r="N497" t="s">
        <v>108</v>
      </c>
      <c r="O497" t="s">
        <v>74</v>
      </c>
      <c r="P497" t="s">
        <v>74</v>
      </c>
      <c r="Q497" t="s">
        <v>74</v>
      </c>
      <c r="R497" t="s">
        <v>74</v>
      </c>
      <c r="S497" t="s">
        <v>74</v>
      </c>
      <c r="T497" t="s">
        <v>9361</v>
      </c>
      <c r="U497" t="s">
        <v>9362</v>
      </c>
      <c r="V497" t="s">
        <v>9363</v>
      </c>
      <c r="W497" t="s">
        <v>9364</v>
      </c>
      <c r="X497" t="s">
        <v>9365</v>
      </c>
      <c r="Y497" t="s">
        <v>9366</v>
      </c>
      <c r="Z497" t="s">
        <v>9367</v>
      </c>
      <c r="AA497" t="s">
        <v>9368</v>
      </c>
      <c r="AB497" t="s">
        <v>74</v>
      </c>
      <c r="AC497" t="s">
        <v>74</v>
      </c>
      <c r="AD497" t="s">
        <v>74</v>
      </c>
      <c r="AE497" t="s">
        <v>74</v>
      </c>
      <c r="AF497" t="s">
        <v>74</v>
      </c>
      <c r="AG497">
        <v>40</v>
      </c>
      <c r="AH497">
        <v>0</v>
      </c>
      <c r="AI497">
        <v>0</v>
      </c>
      <c r="AJ497">
        <v>1</v>
      </c>
      <c r="AK497">
        <v>1</v>
      </c>
      <c r="AL497" t="s">
        <v>9369</v>
      </c>
      <c r="AM497" t="s">
        <v>9370</v>
      </c>
      <c r="AN497" t="s">
        <v>9371</v>
      </c>
      <c r="AO497" t="s">
        <v>9372</v>
      </c>
      <c r="AP497" t="s">
        <v>74</v>
      </c>
      <c r="AQ497" t="s">
        <v>74</v>
      </c>
      <c r="AR497" t="s">
        <v>9359</v>
      </c>
      <c r="AS497" t="s">
        <v>9373</v>
      </c>
      <c r="AT497" t="s">
        <v>74</v>
      </c>
      <c r="AU497">
        <v>2023</v>
      </c>
      <c r="AV497">
        <v>68</v>
      </c>
      <c r="AW497">
        <v>2</v>
      </c>
      <c r="AX497" t="s">
        <v>74</v>
      </c>
      <c r="AY497" t="s">
        <v>74</v>
      </c>
      <c r="AZ497" t="s">
        <v>74</v>
      </c>
      <c r="BA497" t="s">
        <v>74</v>
      </c>
      <c r="BB497" t="s">
        <v>74</v>
      </c>
      <c r="BC497" t="s">
        <v>74</v>
      </c>
      <c r="BD497" t="s">
        <v>74</v>
      </c>
      <c r="BE497" t="s">
        <v>9374</v>
      </c>
      <c r="BF497" t="str">
        <f>HYPERLINK("http://dx.doi.org/10.59866/eia.v2i68.267","http://dx.doi.org/10.59866/eia.v2i68.267")</f>
        <v>http://dx.doi.org/10.59866/eia.v2i68.267</v>
      </c>
      <c r="BG497" t="s">
        <v>74</v>
      </c>
      <c r="BH497" t="s">
        <v>74</v>
      </c>
      <c r="BI497">
        <v>256</v>
      </c>
      <c r="BJ497" t="s">
        <v>3284</v>
      </c>
      <c r="BK497" t="s">
        <v>125</v>
      </c>
      <c r="BL497" t="s">
        <v>3285</v>
      </c>
      <c r="BM497" t="s">
        <v>9375</v>
      </c>
      <c r="BN497" t="s">
        <v>74</v>
      </c>
      <c r="BO497" t="s">
        <v>7742</v>
      </c>
      <c r="BP497" t="s">
        <v>74</v>
      </c>
      <c r="BQ497" t="s">
        <v>74</v>
      </c>
      <c r="BR497" t="s">
        <v>102</v>
      </c>
      <c r="BS497" t="s">
        <v>9376</v>
      </c>
      <c r="BT497" t="str">
        <f>HYPERLINK("https%3A%2F%2Fwww.webofscience.com%2Fwos%2Fwoscc%2Ffull-record%2FWOS:001237702900004","View Full Record in Web of Science")</f>
        <v>View Full Record in Web of Science</v>
      </c>
    </row>
    <row r="498" spans="1:72" x14ac:dyDescent="0.35">
      <c r="A498" t="s">
        <v>72</v>
      </c>
      <c r="B498" t="s">
        <v>9377</v>
      </c>
      <c r="C498" t="s">
        <v>74</v>
      </c>
      <c r="D498" t="s">
        <v>74</v>
      </c>
      <c r="E498" t="s">
        <v>74</v>
      </c>
      <c r="F498" t="s">
        <v>9378</v>
      </c>
      <c r="G498" t="s">
        <v>74</v>
      </c>
      <c r="H498" t="s">
        <v>74</v>
      </c>
      <c r="I498" t="s">
        <v>9379</v>
      </c>
      <c r="J498" t="s">
        <v>2814</v>
      </c>
      <c r="K498" t="s">
        <v>74</v>
      </c>
      <c r="L498" t="s">
        <v>74</v>
      </c>
      <c r="M498" t="s">
        <v>78</v>
      </c>
      <c r="N498" t="s">
        <v>108</v>
      </c>
      <c r="O498" t="s">
        <v>74</v>
      </c>
      <c r="P498" t="s">
        <v>74</v>
      </c>
      <c r="Q498" t="s">
        <v>74</v>
      </c>
      <c r="R498" t="s">
        <v>74</v>
      </c>
      <c r="S498" t="s">
        <v>74</v>
      </c>
      <c r="T498" t="s">
        <v>9380</v>
      </c>
      <c r="U498" t="s">
        <v>9381</v>
      </c>
      <c r="V498" t="s">
        <v>9382</v>
      </c>
      <c r="W498" t="s">
        <v>9383</v>
      </c>
      <c r="X498" t="s">
        <v>3253</v>
      </c>
      <c r="Y498" t="s">
        <v>9384</v>
      </c>
      <c r="Z498" t="s">
        <v>9385</v>
      </c>
      <c r="AA498" t="s">
        <v>9386</v>
      </c>
      <c r="AB498" t="s">
        <v>9387</v>
      </c>
      <c r="AC498" t="s">
        <v>74</v>
      </c>
      <c r="AD498" t="s">
        <v>74</v>
      </c>
      <c r="AE498" t="s">
        <v>74</v>
      </c>
      <c r="AF498" t="s">
        <v>74</v>
      </c>
      <c r="AG498">
        <v>33</v>
      </c>
      <c r="AH498">
        <v>13</v>
      </c>
      <c r="AI498">
        <v>13</v>
      </c>
      <c r="AJ498">
        <v>16</v>
      </c>
      <c r="AK498">
        <v>66</v>
      </c>
      <c r="AL498" t="s">
        <v>543</v>
      </c>
      <c r="AM498" t="s">
        <v>544</v>
      </c>
      <c r="AN498" t="s">
        <v>545</v>
      </c>
      <c r="AO498" t="s">
        <v>2821</v>
      </c>
      <c r="AP498" t="s">
        <v>74</v>
      </c>
      <c r="AQ498" t="s">
        <v>74</v>
      </c>
      <c r="AR498" t="s">
        <v>2822</v>
      </c>
      <c r="AS498" t="s">
        <v>2823</v>
      </c>
      <c r="AT498" t="s">
        <v>9388</v>
      </c>
      <c r="AU498">
        <v>2023</v>
      </c>
      <c r="AV498">
        <v>25</v>
      </c>
      <c r="AW498" t="s">
        <v>74</v>
      </c>
      <c r="AX498" t="s">
        <v>74</v>
      </c>
      <c r="AY498" t="s">
        <v>74</v>
      </c>
      <c r="AZ498" t="s">
        <v>74</v>
      </c>
      <c r="BA498" t="s">
        <v>74</v>
      </c>
      <c r="BB498" t="s">
        <v>74</v>
      </c>
      <c r="BC498" t="s">
        <v>74</v>
      </c>
      <c r="BD498" t="s">
        <v>9389</v>
      </c>
      <c r="BE498" t="s">
        <v>9390</v>
      </c>
      <c r="BF498" t="str">
        <f>HYPERLINK("http://dx.doi.org/10.2196/47210","http://dx.doi.org/10.2196/47210")</f>
        <v>http://dx.doi.org/10.2196/47210</v>
      </c>
      <c r="BG498" t="s">
        <v>74</v>
      </c>
      <c r="BH498" t="s">
        <v>74</v>
      </c>
      <c r="BI498">
        <v>15</v>
      </c>
      <c r="BJ498" t="s">
        <v>550</v>
      </c>
      <c r="BK498" t="s">
        <v>209</v>
      </c>
      <c r="BL498" t="s">
        <v>550</v>
      </c>
      <c r="BM498" t="s">
        <v>9391</v>
      </c>
      <c r="BN498">
        <v>37405825</v>
      </c>
      <c r="BO498" t="s">
        <v>552</v>
      </c>
      <c r="BP498" t="s">
        <v>74</v>
      </c>
      <c r="BQ498" t="s">
        <v>74</v>
      </c>
      <c r="BR498" t="s">
        <v>102</v>
      </c>
      <c r="BS498" t="s">
        <v>9392</v>
      </c>
      <c r="BT498" t="str">
        <f>HYPERLINK("https%3A%2F%2Fwww.webofscience.com%2Fwos%2Fwoscc%2Ffull-record%2FWOS:001026649600005","View Full Record in Web of Science")</f>
        <v>View Full Record in Web of Science</v>
      </c>
    </row>
    <row r="499" spans="1:72" x14ac:dyDescent="0.35">
      <c r="A499" t="s">
        <v>72</v>
      </c>
      <c r="B499" t="s">
        <v>9393</v>
      </c>
      <c r="C499" t="s">
        <v>74</v>
      </c>
      <c r="D499" t="s">
        <v>74</v>
      </c>
      <c r="E499" t="s">
        <v>74</v>
      </c>
      <c r="F499" t="s">
        <v>9394</v>
      </c>
      <c r="G499" t="s">
        <v>74</v>
      </c>
      <c r="H499" t="s">
        <v>74</v>
      </c>
      <c r="I499" t="s">
        <v>9395</v>
      </c>
      <c r="J499" t="s">
        <v>4892</v>
      </c>
      <c r="K499" t="s">
        <v>74</v>
      </c>
      <c r="L499" t="s">
        <v>74</v>
      </c>
      <c r="M499" t="s">
        <v>78</v>
      </c>
      <c r="N499" t="s">
        <v>108</v>
      </c>
      <c r="O499" t="s">
        <v>74</v>
      </c>
      <c r="P499" t="s">
        <v>74</v>
      </c>
      <c r="Q499" t="s">
        <v>74</v>
      </c>
      <c r="R499" t="s">
        <v>74</v>
      </c>
      <c r="S499" t="s">
        <v>74</v>
      </c>
      <c r="T499" t="s">
        <v>9396</v>
      </c>
      <c r="U499" t="s">
        <v>9397</v>
      </c>
      <c r="V499" t="s">
        <v>9398</v>
      </c>
      <c r="W499" t="s">
        <v>9399</v>
      </c>
      <c r="X499" t="s">
        <v>9400</v>
      </c>
      <c r="Y499" t="s">
        <v>9401</v>
      </c>
      <c r="Z499" t="s">
        <v>9402</v>
      </c>
      <c r="AA499" t="s">
        <v>9403</v>
      </c>
      <c r="AB499" t="s">
        <v>74</v>
      </c>
      <c r="AC499" t="s">
        <v>74</v>
      </c>
      <c r="AD499" t="s">
        <v>74</v>
      </c>
      <c r="AE499" t="s">
        <v>74</v>
      </c>
      <c r="AF499" t="s">
        <v>74</v>
      </c>
      <c r="AG499">
        <v>61</v>
      </c>
      <c r="AH499">
        <v>0</v>
      </c>
      <c r="AI499">
        <v>0</v>
      </c>
      <c r="AJ499">
        <v>5</v>
      </c>
      <c r="AK499">
        <v>22</v>
      </c>
      <c r="AL499" t="s">
        <v>4900</v>
      </c>
      <c r="AM499" t="s">
        <v>4901</v>
      </c>
      <c r="AN499" t="s">
        <v>4902</v>
      </c>
      <c r="AO499" t="s">
        <v>4903</v>
      </c>
      <c r="AP499" t="s">
        <v>74</v>
      </c>
      <c r="AQ499" t="s">
        <v>74</v>
      </c>
      <c r="AR499" t="s">
        <v>4904</v>
      </c>
      <c r="AS499" t="s">
        <v>4905</v>
      </c>
      <c r="AT499" t="s">
        <v>232</v>
      </c>
      <c r="AU499">
        <v>2023</v>
      </c>
      <c r="AV499" t="s">
        <v>74</v>
      </c>
      <c r="AW499">
        <v>40</v>
      </c>
      <c r="AX499" t="s">
        <v>74</v>
      </c>
      <c r="AY499" t="s">
        <v>74</v>
      </c>
      <c r="AZ499" t="s">
        <v>74</v>
      </c>
      <c r="BA499" t="s">
        <v>74</v>
      </c>
      <c r="BB499">
        <v>238</v>
      </c>
      <c r="BC499">
        <v>261</v>
      </c>
      <c r="BD499" t="s">
        <v>74</v>
      </c>
      <c r="BE499" t="s">
        <v>74</v>
      </c>
      <c r="BF499" t="s">
        <v>74</v>
      </c>
      <c r="BG499" t="s">
        <v>74</v>
      </c>
      <c r="BH499" t="s">
        <v>74</v>
      </c>
      <c r="BI499">
        <v>24</v>
      </c>
      <c r="BJ499" t="s">
        <v>98</v>
      </c>
      <c r="BK499" t="s">
        <v>125</v>
      </c>
      <c r="BL499" t="s">
        <v>100</v>
      </c>
      <c r="BM499" t="s">
        <v>9404</v>
      </c>
      <c r="BN499" t="s">
        <v>74</v>
      </c>
      <c r="BO499" t="s">
        <v>74</v>
      </c>
      <c r="BP499" t="s">
        <v>74</v>
      </c>
      <c r="BQ499" t="s">
        <v>74</v>
      </c>
      <c r="BR499" t="s">
        <v>102</v>
      </c>
      <c r="BS499" t="s">
        <v>9405</v>
      </c>
      <c r="BT499" t="str">
        <f>HYPERLINK("https%3A%2F%2Fwww.webofscience.com%2Fwos%2Fwoscc%2Ffull-record%2FWOS:000928070100011","View Full Record in Web of Science")</f>
        <v>View Full Record in Web of Science</v>
      </c>
    </row>
    <row r="500" spans="1:72" x14ac:dyDescent="0.35">
      <c r="A500" t="s">
        <v>72</v>
      </c>
      <c r="B500" t="s">
        <v>9406</v>
      </c>
      <c r="C500" t="s">
        <v>74</v>
      </c>
      <c r="D500" t="s">
        <v>74</v>
      </c>
      <c r="E500" t="s">
        <v>74</v>
      </c>
      <c r="F500" t="s">
        <v>9407</v>
      </c>
      <c r="G500" t="s">
        <v>74</v>
      </c>
      <c r="H500" t="s">
        <v>74</v>
      </c>
      <c r="I500" t="s">
        <v>9408</v>
      </c>
      <c r="J500" t="s">
        <v>9409</v>
      </c>
      <c r="K500" t="s">
        <v>74</v>
      </c>
      <c r="L500" t="s">
        <v>74</v>
      </c>
      <c r="M500" t="s">
        <v>78</v>
      </c>
      <c r="N500" t="s">
        <v>2042</v>
      </c>
      <c r="O500" t="s">
        <v>74</v>
      </c>
      <c r="P500" t="s">
        <v>74</v>
      </c>
      <c r="Q500" t="s">
        <v>74</v>
      </c>
      <c r="R500" t="s">
        <v>74</v>
      </c>
      <c r="S500" t="s">
        <v>74</v>
      </c>
      <c r="T500" t="s">
        <v>74</v>
      </c>
      <c r="U500" t="s">
        <v>74</v>
      </c>
      <c r="V500" t="s">
        <v>74</v>
      </c>
      <c r="W500" t="s">
        <v>9410</v>
      </c>
      <c r="X500" t="s">
        <v>714</v>
      </c>
      <c r="Y500" t="s">
        <v>9411</v>
      </c>
      <c r="Z500" t="s">
        <v>74</v>
      </c>
      <c r="AA500" t="s">
        <v>74</v>
      </c>
      <c r="AB500" t="s">
        <v>74</v>
      </c>
      <c r="AC500" t="s">
        <v>74</v>
      </c>
      <c r="AD500" t="s">
        <v>74</v>
      </c>
      <c r="AE500" t="s">
        <v>74</v>
      </c>
      <c r="AF500" t="s">
        <v>74</v>
      </c>
      <c r="AG500">
        <v>0</v>
      </c>
      <c r="AH500">
        <v>0</v>
      </c>
      <c r="AI500">
        <v>0</v>
      </c>
      <c r="AJ500">
        <v>1</v>
      </c>
      <c r="AK500">
        <v>29</v>
      </c>
      <c r="AL500" t="s">
        <v>9412</v>
      </c>
      <c r="AM500" t="s">
        <v>666</v>
      </c>
      <c r="AN500" t="s">
        <v>9413</v>
      </c>
      <c r="AO500" t="s">
        <v>9414</v>
      </c>
      <c r="AP500" t="s">
        <v>9415</v>
      </c>
      <c r="AQ500" t="s">
        <v>74</v>
      </c>
      <c r="AR500" t="s">
        <v>9409</v>
      </c>
      <c r="AS500" t="s">
        <v>9416</v>
      </c>
      <c r="AT500" t="s">
        <v>4056</v>
      </c>
      <c r="AU500">
        <v>2020</v>
      </c>
      <c r="AV500">
        <v>67</v>
      </c>
      <c r="AW500">
        <v>2</v>
      </c>
      <c r="AX500" t="s">
        <v>74</v>
      </c>
      <c r="AY500" t="s">
        <v>74</v>
      </c>
      <c r="AZ500" t="s">
        <v>74</v>
      </c>
      <c r="BA500" t="s">
        <v>74</v>
      </c>
      <c r="BB500">
        <v>16</v>
      </c>
      <c r="BC500">
        <v>20</v>
      </c>
      <c r="BD500" t="s">
        <v>74</v>
      </c>
      <c r="BE500" t="s">
        <v>9417</v>
      </c>
      <c r="BF500" t="str">
        <f>HYPERLINK("http://dx.doi.org/10.1353/dss.2020.0035","http://dx.doi.org/10.1353/dss.2020.0035")</f>
        <v>http://dx.doi.org/10.1353/dss.2020.0035</v>
      </c>
      <c r="BG500" t="s">
        <v>74</v>
      </c>
      <c r="BH500" t="s">
        <v>74</v>
      </c>
      <c r="BI500">
        <v>7</v>
      </c>
      <c r="BJ500" t="s">
        <v>9418</v>
      </c>
      <c r="BK500" t="s">
        <v>99</v>
      </c>
      <c r="BL500" t="s">
        <v>9419</v>
      </c>
      <c r="BM500" t="s">
        <v>9420</v>
      </c>
      <c r="BN500" t="s">
        <v>74</v>
      </c>
      <c r="BO500" t="s">
        <v>74</v>
      </c>
      <c r="BP500" t="s">
        <v>74</v>
      </c>
      <c r="BQ500" t="s">
        <v>74</v>
      </c>
      <c r="BR500" t="s">
        <v>102</v>
      </c>
      <c r="BS500" t="s">
        <v>9421</v>
      </c>
      <c r="BT500" t="str">
        <f>HYPERLINK("https%3A%2F%2Fwww.webofscience.com%2Fwos%2Fwoscc%2Ffull-record%2FWOS:000525869600004","View Full Record in Web of Science")</f>
        <v>View Full Record in Web of Science</v>
      </c>
    </row>
    <row r="501" spans="1:72" x14ac:dyDescent="0.35">
      <c r="A501" t="s">
        <v>72</v>
      </c>
      <c r="B501" t="s">
        <v>9422</v>
      </c>
      <c r="C501" t="s">
        <v>74</v>
      </c>
      <c r="D501" t="s">
        <v>74</v>
      </c>
      <c r="E501" t="s">
        <v>74</v>
      </c>
      <c r="F501" t="s">
        <v>9423</v>
      </c>
      <c r="G501" t="s">
        <v>74</v>
      </c>
      <c r="H501" t="s">
        <v>74</v>
      </c>
      <c r="I501" t="s">
        <v>9424</v>
      </c>
      <c r="J501" t="s">
        <v>9425</v>
      </c>
      <c r="K501" t="s">
        <v>74</v>
      </c>
      <c r="L501" t="s">
        <v>74</v>
      </c>
      <c r="M501" t="s">
        <v>78</v>
      </c>
      <c r="N501" t="s">
        <v>52</v>
      </c>
      <c r="O501" t="s">
        <v>9426</v>
      </c>
      <c r="P501" t="s">
        <v>9427</v>
      </c>
      <c r="Q501" t="s">
        <v>9428</v>
      </c>
      <c r="R501" t="s">
        <v>9429</v>
      </c>
      <c r="S501" t="s">
        <v>74</v>
      </c>
      <c r="T501" t="s">
        <v>74</v>
      </c>
      <c r="U501" t="s">
        <v>74</v>
      </c>
      <c r="V501" t="s">
        <v>74</v>
      </c>
      <c r="W501" t="s">
        <v>74</v>
      </c>
      <c r="X501" t="s">
        <v>74</v>
      </c>
      <c r="Y501" t="s">
        <v>74</v>
      </c>
      <c r="Z501" t="s">
        <v>74</v>
      </c>
      <c r="AA501" t="s">
        <v>9430</v>
      </c>
      <c r="AB501" t="s">
        <v>74</v>
      </c>
      <c r="AC501" t="s">
        <v>74</v>
      </c>
      <c r="AD501" t="s">
        <v>74</v>
      </c>
      <c r="AE501" t="s">
        <v>74</v>
      </c>
      <c r="AF501" t="s">
        <v>74</v>
      </c>
      <c r="AG501">
        <v>0</v>
      </c>
      <c r="AH501">
        <v>0</v>
      </c>
      <c r="AI501">
        <v>0</v>
      </c>
      <c r="AJ501">
        <v>1</v>
      </c>
      <c r="AK501">
        <v>1</v>
      </c>
      <c r="AL501" t="s">
        <v>9431</v>
      </c>
      <c r="AM501" t="s">
        <v>995</v>
      </c>
      <c r="AN501" t="s">
        <v>9432</v>
      </c>
      <c r="AO501" t="s">
        <v>9433</v>
      </c>
      <c r="AP501" t="s">
        <v>9434</v>
      </c>
      <c r="AQ501" t="s">
        <v>74</v>
      </c>
      <c r="AR501" t="s">
        <v>9435</v>
      </c>
      <c r="AS501" t="s">
        <v>9436</v>
      </c>
      <c r="AT501" t="s">
        <v>9212</v>
      </c>
      <c r="AU501">
        <v>2024</v>
      </c>
      <c r="AV501">
        <v>33</v>
      </c>
      <c r="AW501">
        <v>9</v>
      </c>
      <c r="AX501" t="s">
        <v>74</v>
      </c>
      <c r="AY501" t="s">
        <v>4946</v>
      </c>
      <c r="AZ501" t="s">
        <v>74</v>
      </c>
      <c r="BA501" t="s">
        <v>9437</v>
      </c>
      <c r="BB501" t="s">
        <v>74</v>
      </c>
      <c r="BC501" t="s">
        <v>74</v>
      </c>
      <c r="BD501" t="s">
        <v>74</v>
      </c>
      <c r="BE501" t="s">
        <v>9438</v>
      </c>
      <c r="BF501" t="str">
        <f>HYPERLINK("http://dx.doi.org/10.1158/1538-7755.DISP24-B026","http://dx.doi.org/10.1158/1538-7755.DISP24-B026")</f>
        <v>http://dx.doi.org/10.1158/1538-7755.DISP24-B026</v>
      </c>
      <c r="BG501" t="s">
        <v>74</v>
      </c>
      <c r="BH501" t="s">
        <v>74</v>
      </c>
      <c r="BI501">
        <v>3</v>
      </c>
      <c r="BJ501" t="s">
        <v>9439</v>
      </c>
      <c r="BK501" t="s">
        <v>2257</v>
      </c>
      <c r="BL501" t="s">
        <v>9439</v>
      </c>
      <c r="BM501" t="s">
        <v>9440</v>
      </c>
      <c r="BN501" t="s">
        <v>74</v>
      </c>
      <c r="BO501" t="s">
        <v>74</v>
      </c>
      <c r="BP501" t="s">
        <v>74</v>
      </c>
      <c r="BQ501" t="s">
        <v>74</v>
      </c>
      <c r="BR501" t="s">
        <v>102</v>
      </c>
      <c r="BS501" t="s">
        <v>9441</v>
      </c>
      <c r="BT501" t="str">
        <f>HYPERLINK("https%3A%2F%2Fwww.webofscience.com%2Fwos%2Fwoscc%2Ffull-record%2FWOS:001319480800192","View Full Record in Web of Science")</f>
        <v>View Full Record in Web of Science</v>
      </c>
    </row>
    <row r="502" spans="1:72" x14ac:dyDescent="0.35">
      <c r="A502" t="s">
        <v>72</v>
      </c>
      <c r="B502" t="s">
        <v>9442</v>
      </c>
      <c r="C502" t="s">
        <v>74</v>
      </c>
      <c r="D502" t="s">
        <v>74</v>
      </c>
      <c r="E502" t="s">
        <v>74</v>
      </c>
      <c r="F502" t="s">
        <v>9443</v>
      </c>
      <c r="G502" t="s">
        <v>74</v>
      </c>
      <c r="H502" t="s">
        <v>74</v>
      </c>
      <c r="I502" t="s">
        <v>9444</v>
      </c>
      <c r="J502" t="s">
        <v>9445</v>
      </c>
      <c r="K502" t="s">
        <v>74</v>
      </c>
      <c r="L502" t="s">
        <v>74</v>
      </c>
      <c r="M502" t="s">
        <v>78</v>
      </c>
      <c r="N502" t="s">
        <v>108</v>
      </c>
      <c r="O502" t="s">
        <v>74</v>
      </c>
      <c r="P502" t="s">
        <v>74</v>
      </c>
      <c r="Q502" t="s">
        <v>74</v>
      </c>
      <c r="R502" t="s">
        <v>74</v>
      </c>
      <c r="S502" t="s">
        <v>74</v>
      </c>
      <c r="T502" t="s">
        <v>74</v>
      </c>
      <c r="U502" t="s">
        <v>74</v>
      </c>
      <c r="V502" t="s">
        <v>74</v>
      </c>
      <c r="W502" t="s">
        <v>74</v>
      </c>
      <c r="X502" t="s">
        <v>74</v>
      </c>
      <c r="Y502" t="s">
        <v>74</v>
      </c>
      <c r="Z502" t="s">
        <v>74</v>
      </c>
      <c r="AA502" t="s">
        <v>74</v>
      </c>
      <c r="AB502" t="s">
        <v>74</v>
      </c>
      <c r="AC502" t="s">
        <v>74</v>
      </c>
      <c r="AD502" t="s">
        <v>74</v>
      </c>
      <c r="AE502" t="s">
        <v>74</v>
      </c>
      <c r="AF502" t="s">
        <v>74</v>
      </c>
      <c r="AG502">
        <v>0</v>
      </c>
      <c r="AH502">
        <v>0</v>
      </c>
      <c r="AI502">
        <v>0</v>
      </c>
      <c r="AJ502">
        <v>2</v>
      </c>
      <c r="AK502">
        <v>40</v>
      </c>
      <c r="AL502" t="s">
        <v>3192</v>
      </c>
      <c r="AM502" t="s">
        <v>2853</v>
      </c>
      <c r="AN502" t="s">
        <v>3193</v>
      </c>
      <c r="AO502" t="s">
        <v>9446</v>
      </c>
      <c r="AP502" t="s">
        <v>9447</v>
      </c>
      <c r="AQ502" t="s">
        <v>74</v>
      </c>
      <c r="AR502" t="s">
        <v>9448</v>
      </c>
      <c r="AS502" t="s">
        <v>9449</v>
      </c>
      <c r="AT502" t="s">
        <v>9450</v>
      </c>
      <c r="AU502">
        <v>2020</v>
      </c>
      <c r="AV502">
        <v>98</v>
      </c>
      <c r="AW502">
        <v>8</v>
      </c>
      <c r="AX502" t="s">
        <v>74</v>
      </c>
      <c r="AY502" t="s">
        <v>74</v>
      </c>
      <c r="AZ502" t="s">
        <v>74</v>
      </c>
      <c r="BA502" t="s">
        <v>74</v>
      </c>
      <c r="BB502">
        <v>26</v>
      </c>
      <c r="BC502">
        <v>27</v>
      </c>
      <c r="BD502" t="s">
        <v>74</v>
      </c>
      <c r="BE502" t="s">
        <v>74</v>
      </c>
      <c r="BF502" t="s">
        <v>74</v>
      </c>
      <c r="BG502" t="s">
        <v>74</v>
      </c>
      <c r="BH502" t="s">
        <v>74</v>
      </c>
      <c r="BI502">
        <v>2</v>
      </c>
      <c r="BJ502" t="s">
        <v>9451</v>
      </c>
      <c r="BK502" t="s">
        <v>209</v>
      </c>
      <c r="BL502" t="s">
        <v>9452</v>
      </c>
      <c r="BM502" t="s">
        <v>9453</v>
      </c>
      <c r="BN502" t="s">
        <v>74</v>
      </c>
      <c r="BO502" t="s">
        <v>74</v>
      </c>
      <c r="BP502" t="s">
        <v>74</v>
      </c>
      <c r="BQ502" t="s">
        <v>74</v>
      </c>
      <c r="BR502" t="s">
        <v>102</v>
      </c>
      <c r="BS502" t="s">
        <v>9454</v>
      </c>
      <c r="BT502" t="str">
        <f>HYPERLINK("https%3A%2F%2Fwww.webofscience.com%2Fwos%2Fwoscc%2Ffull-record%2FWOS:000516654700037","View Full Record in Web of Science")</f>
        <v>View Full Record in Web of Science</v>
      </c>
    </row>
    <row r="503" spans="1:72" x14ac:dyDescent="0.35">
      <c r="A503" t="s">
        <v>72</v>
      </c>
      <c r="B503" t="s">
        <v>9455</v>
      </c>
      <c r="C503" t="s">
        <v>74</v>
      </c>
      <c r="D503" t="s">
        <v>74</v>
      </c>
      <c r="E503" t="s">
        <v>74</v>
      </c>
      <c r="F503" t="s">
        <v>9456</v>
      </c>
      <c r="G503" t="s">
        <v>74</v>
      </c>
      <c r="H503" t="s">
        <v>74</v>
      </c>
      <c r="I503" t="s">
        <v>9457</v>
      </c>
      <c r="J503" t="s">
        <v>3584</v>
      </c>
      <c r="K503" t="s">
        <v>74</v>
      </c>
      <c r="L503" t="s">
        <v>74</v>
      </c>
      <c r="M503" t="s">
        <v>78</v>
      </c>
      <c r="N503" t="s">
        <v>108</v>
      </c>
      <c r="O503" t="s">
        <v>74</v>
      </c>
      <c r="P503" t="s">
        <v>74</v>
      </c>
      <c r="Q503" t="s">
        <v>74</v>
      </c>
      <c r="R503" t="s">
        <v>74</v>
      </c>
      <c r="S503" t="s">
        <v>74</v>
      </c>
      <c r="T503" t="s">
        <v>9458</v>
      </c>
      <c r="U503" t="s">
        <v>9459</v>
      </c>
      <c r="V503" t="s">
        <v>9460</v>
      </c>
      <c r="W503" t="s">
        <v>9461</v>
      </c>
      <c r="X503" t="s">
        <v>9462</v>
      </c>
      <c r="Y503" t="s">
        <v>9463</v>
      </c>
      <c r="Z503" t="s">
        <v>9464</v>
      </c>
      <c r="AA503" t="s">
        <v>9465</v>
      </c>
      <c r="AB503" t="s">
        <v>9466</v>
      </c>
      <c r="AC503" t="s">
        <v>9467</v>
      </c>
      <c r="AD503" t="s">
        <v>9468</v>
      </c>
      <c r="AE503" t="s">
        <v>9469</v>
      </c>
      <c r="AF503" t="s">
        <v>74</v>
      </c>
      <c r="AG503">
        <v>78</v>
      </c>
      <c r="AH503">
        <v>15</v>
      </c>
      <c r="AI503">
        <v>15</v>
      </c>
      <c r="AJ503">
        <v>29</v>
      </c>
      <c r="AK503">
        <v>177</v>
      </c>
      <c r="AL503" t="s">
        <v>1195</v>
      </c>
      <c r="AM503" t="s">
        <v>1196</v>
      </c>
      <c r="AN503" t="s">
        <v>1197</v>
      </c>
      <c r="AO503" t="s">
        <v>74</v>
      </c>
      <c r="AP503" t="s">
        <v>3594</v>
      </c>
      <c r="AQ503" t="s">
        <v>74</v>
      </c>
      <c r="AR503" t="s">
        <v>3595</v>
      </c>
      <c r="AS503" t="s">
        <v>3596</v>
      </c>
      <c r="AT503" t="s">
        <v>594</v>
      </c>
      <c r="AU503">
        <v>2022</v>
      </c>
      <c r="AV503">
        <v>14</v>
      </c>
      <c r="AW503">
        <v>19</v>
      </c>
      <c r="AX503" t="s">
        <v>74</v>
      </c>
      <c r="AY503" t="s">
        <v>74</v>
      </c>
      <c r="AZ503" t="s">
        <v>74</v>
      </c>
      <c r="BA503" t="s">
        <v>74</v>
      </c>
      <c r="BB503" t="s">
        <v>74</v>
      </c>
      <c r="BC503" t="s">
        <v>74</v>
      </c>
      <c r="BD503">
        <v>12206</v>
      </c>
      <c r="BE503" t="s">
        <v>9470</v>
      </c>
      <c r="BF503" t="str">
        <f>HYPERLINK("http://dx.doi.org/10.3390/su141912206","http://dx.doi.org/10.3390/su141912206")</f>
        <v>http://dx.doi.org/10.3390/su141912206</v>
      </c>
      <c r="BG503" t="s">
        <v>74</v>
      </c>
      <c r="BH503" t="s">
        <v>74</v>
      </c>
      <c r="BI503">
        <v>17</v>
      </c>
      <c r="BJ503" t="s">
        <v>3598</v>
      </c>
      <c r="BK503" t="s">
        <v>182</v>
      </c>
      <c r="BL503" t="s">
        <v>3599</v>
      </c>
      <c r="BM503" t="s">
        <v>9471</v>
      </c>
      <c r="BN503" t="s">
        <v>74</v>
      </c>
      <c r="BO503" t="s">
        <v>235</v>
      </c>
      <c r="BP503" t="s">
        <v>74</v>
      </c>
      <c r="BQ503" t="s">
        <v>74</v>
      </c>
      <c r="BR503" t="s">
        <v>102</v>
      </c>
      <c r="BS503" t="s">
        <v>9472</v>
      </c>
      <c r="BT503" t="str">
        <f>HYPERLINK("https%3A%2F%2Fwww.webofscience.com%2Fwos%2Fwoscc%2Ffull-record%2FWOS:000867145900001","View Full Record in Web of Science")</f>
        <v>View Full Record in Web of Science</v>
      </c>
    </row>
    <row r="504" spans="1:72" x14ac:dyDescent="0.35">
      <c r="A504" t="s">
        <v>72</v>
      </c>
      <c r="B504" t="s">
        <v>9473</v>
      </c>
      <c r="C504" t="s">
        <v>74</v>
      </c>
      <c r="D504" t="s">
        <v>74</v>
      </c>
      <c r="E504" t="s">
        <v>74</v>
      </c>
      <c r="F504" t="s">
        <v>9474</v>
      </c>
      <c r="G504" t="s">
        <v>74</v>
      </c>
      <c r="H504" t="s">
        <v>74</v>
      </c>
      <c r="I504" t="s">
        <v>9475</v>
      </c>
      <c r="J504" t="s">
        <v>9476</v>
      </c>
      <c r="K504" t="s">
        <v>74</v>
      </c>
      <c r="L504" t="s">
        <v>74</v>
      </c>
      <c r="M504" t="s">
        <v>78</v>
      </c>
      <c r="N504" t="s">
        <v>8268</v>
      </c>
      <c r="O504" t="s">
        <v>74</v>
      </c>
      <c r="P504" t="s">
        <v>74</v>
      </c>
      <c r="Q504" t="s">
        <v>74</v>
      </c>
      <c r="R504" t="s">
        <v>74</v>
      </c>
      <c r="S504" t="s">
        <v>74</v>
      </c>
      <c r="T504" t="s">
        <v>74</v>
      </c>
      <c r="U504" t="s">
        <v>74</v>
      </c>
      <c r="V504" t="s">
        <v>74</v>
      </c>
      <c r="W504" t="s">
        <v>9477</v>
      </c>
      <c r="X504" t="s">
        <v>9478</v>
      </c>
      <c r="Y504" t="s">
        <v>9479</v>
      </c>
      <c r="Z504" t="s">
        <v>9480</v>
      </c>
      <c r="AA504" t="s">
        <v>74</v>
      </c>
      <c r="AB504" t="s">
        <v>74</v>
      </c>
      <c r="AC504" t="s">
        <v>74</v>
      </c>
      <c r="AD504" t="s">
        <v>74</v>
      </c>
      <c r="AE504" t="s">
        <v>74</v>
      </c>
      <c r="AF504" t="s">
        <v>74</v>
      </c>
      <c r="AG504">
        <v>1</v>
      </c>
      <c r="AH504">
        <v>0</v>
      </c>
      <c r="AI504">
        <v>0</v>
      </c>
      <c r="AJ504">
        <v>0</v>
      </c>
      <c r="AK504">
        <v>7</v>
      </c>
      <c r="AL504" t="s">
        <v>5127</v>
      </c>
      <c r="AM504" t="s">
        <v>5128</v>
      </c>
      <c r="AN504" t="s">
        <v>5129</v>
      </c>
      <c r="AO504" t="s">
        <v>9481</v>
      </c>
      <c r="AP504" t="s">
        <v>9482</v>
      </c>
      <c r="AQ504" t="s">
        <v>74</v>
      </c>
      <c r="AR504" t="s">
        <v>9483</v>
      </c>
      <c r="AS504" t="s">
        <v>9484</v>
      </c>
      <c r="AT504" t="s">
        <v>273</v>
      </c>
      <c r="AU504">
        <v>2023</v>
      </c>
      <c r="AV504">
        <v>12</v>
      </c>
      <c r="AW504">
        <v>1</v>
      </c>
      <c r="AX504" t="s">
        <v>74</v>
      </c>
      <c r="AY504" t="s">
        <v>74</v>
      </c>
      <c r="AZ504" t="s">
        <v>456</v>
      </c>
      <c r="BA504" t="s">
        <v>74</v>
      </c>
      <c r="BB504">
        <v>133</v>
      </c>
      <c r="BC504">
        <v>135</v>
      </c>
      <c r="BD504" t="s">
        <v>74</v>
      </c>
      <c r="BE504" t="s">
        <v>9485</v>
      </c>
      <c r="BF504" t="str">
        <f>HYPERLINK("http://dx.doi.org/10.1163/21659214-BJA10091","http://dx.doi.org/10.1163/21659214-BJA10091")</f>
        <v>http://dx.doi.org/10.1163/21659214-BJA10091</v>
      </c>
      <c r="BG504" t="s">
        <v>74</v>
      </c>
      <c r="BH504" t="s">
        <v>74</v>
      </c>
      <c r="BI504">
        <v>3</v>
      </c>
      <c r="BJ504" t="s">
        <v>9486</v>
      </c>
      <c r="BK504" t="s">
        <v>125</v>
      </c>
      <c r="BL504" t="s">
        <v>9486</v>
      </c>
      <c r="BM504" t="s">
        <v>9487</v>
      </c>
      <c r="BN504" t="s">
        <v>74</v>
      </c>
      <c r="BO504" t="s">
        <v>767</v>
      </c>
      <c r="BP504" t="s">
        <v>74</v>
      </c>
      <c r="BQ504" t="s">
        <v>74</v>
      </c>
      <c r="BR504" t="s">
        <v>102</v>
      </c>
      <c r="BS504" t="s">
        <v>9488</v>
      </c>
      <c r="BT504" t="str">
        <f>HYPERLINK("https%3A%2F%2Fwww.webofscience.com%2Fwos%2Fwoscc%2Ffull-record%2FWOS:001050690800006","View Full Record in Web of Science")</f>
        <v>View Full Record in Web of Science</v>
      </c>
    </row>
    <row r="505" spans="1:72" x14ac:dyDescent="0.35">
      <c r="A505" t="s">
        <v>72</v>
      </c>
      <c r="B505" t="s">
        <v>9489</v>
      </c>
      <c r="C505" t="s">
        <v>74</v>
      </c>
      <c r="D505" t="s">
        <v>74</v>
      </c>
      <c r="E505" t="s">
        <v>74</v>
      </c>
      <c r="F505" t="s">
        <v>9490</v>
      </c>
      <c r="G505" t="s">
        <v>74</v>
      </c>
      <c r="H505" t="s">
        <v>74</v>
      </c>
      <c r="I505" t="s">
        <v>9491</v>
      </c>
      <c r="J505" t="s">
        <v>9492</v>
      </c>
      <c r="K505" t="s">
        <v>74</v>
      </c>
      <c r="L505" t="s">
        <v>74</v>
      </c>
      <c r="M505" t="s">
        <v>78</v>
      </c>
      <c r="N505" t="s">
        <v>108</v>
      </c>
      <c r="O505" t="s">
        <v>74</v>
      </c>
      <c r="P505" t="s">
        <v>74</v>
      </c>
      <c r="Q505" t="s">
        <v>74</v>
      </c>
      <c r="R505" t="s">
        <v>74</v>
      </c>
      <c r="S505" t="s">
        <v>74</v>
      </c>
      <c r="T505" t="s">
        <v>74</v>
      </c>
      <c r="U505" t="s">
        <v>9493</v>
      </c>
      <c r="V505" t="s">
        <v>9494</v>
      </c>
      <c r="W505" t="s">
        <v>9495</v>
      </c>
      <c r="X505" t="s">
        <v>9496</v>
      </c>
      <c r="Y505" t="s">
        <v>9497</v>
      </c>
      <c r="Z505" t="s">
        <v>9498</v>
      </c>
      <c r="AA505" t="s">
        <v>9499</v>
      </c>
      <c r="AB505" t="s">
        <v>9500</v>
      </c>
      <c r="AC505" t="s">
        <v>74</v>
      </c>
      <c r="AD505" t="s">
        <v>74</v>
      </c>
      <c r="AE505" t="s">
        <v>74</v>
      </c>
      <c r="AF505" t="s">
        <v>74</v>
      </c>
      <c r="AG505">
        <v>78</v>
      </c>
      <c r="AH505">
        <v>9</v>
      </c>
      <c r="AI505">
        <v>10</v>
      </c>
      <c r="AJ505">
        <v>6</v>
      </c>
      <c r="AK505">
        <v>50</v>
      </c>
      <c r="AL505" t="s">
        <v>88</v>
      </c>
      <c r="AM505" t="s">
        <v>89</v>
      </c>
      <c r="AN505" t="s">
        <v>90</v>
      </c>
      <c r="AO505" t="s">
        <v>9501</v>
      </c>
      <c r="AP505" t="s">
        <v>9502</v>
      </c>
      <c r="AQ505" t="s">
        <v>74</v>
      </c>
      <c r="AR505" t="s">
        <v>9503</v>
      </c>
      <c r="AS505" t="s">
        <v>9504</v>
      </c>
      <c r="AT505" t="s">
        <v>9505</v>
      </c>
      <c r="AU505">
        <v>2023</v>
      </c>
      <c r="AV505">
        <v>67</v>
      </c>
      <c r="AW505">
        <v>3</v>
      </c>
      <c r="AX505" t="s">
        <v>74</v>
      </c>
      <c r="AY505" t="s">
        <v>74</v>
      </c>
      <c r="AZ505" t="s">
        <v>456</v>
      </c>
      <c r="BA505" t="s">
        <v>74</v>
      </c>
      <c r="BB505">
        <v>274</v>
      </c>
      <c r="BC505">
        <v>293</v>
      </c>
      <c r="BD505" t="s">
        <v>74</v>
      </c>
      <c r="BE505" t="s">
        <v>9506</v>
      </c>
      <c r="BF505" t="str">
        <f>HYPERLINK("http://dx.doi.org/10.1080/08838151.2022.2140806","http://dx.doi.org/10.1080/08838151.2022.2140806")</f>
        <v>http://dx.doi.org/10.1080/08838151.2022.2140806</v>
      </c>
      <c r="BG505" t="s">
        <v>74</v>
      </c>
      <c r="BH505" t="s">
        <v>366</v>
      </c>
      <c r="BI505">
        <v>20</v>
      </c>
      <c r="BJ505" t="s">
        <v>9507</v>
      </c>
      <c r="BK505" t="s">
        <v>99</v>
      </c>
      <c r="BL505" t="s">
        <v>9508</v>
      </c>
      <c r="BM505" t="s">
        <v>9509</v>
      </c>
      <c r="BN505" t="s">
        <v>74</v>
      </c>
      <c r="BO505" t="s">
        <v>74</v>
      </c>
      <c r="BP505" t="s">
        <v>74</v>
      </c>
      <c r="BQ505" t="s">
        <v>74</v>
      </c>
      <c r="BR505" t="s">
        <v>102</v>
      </c>
      <c r="BS505" t="s">
        <v>9510</v>
      </c>
      <c r="BT505" t="str">
        <f>HYPERLINK("https%3A%2F%2Fwww.webofscience.com%2Fwos%2Fwoscc%2Ffull-record%2FWOS:000882679200001","View Full Record in Web of Science")</f>
        <v>View Full Record in Web of Science</v>
      </c>
    </row>
    <row r="506" spans="1:72" x14ac:dyDescent="0.35">
      <c r="A506" t="s">
        <v>72</v>
      </c>
      <c r="B506" t="s">
        <v>9511</v>
      </c>
      <c r="C506" t="s">
        <v>74</v>
      </c>
      <c r="D506" t="s">
        <v>74</v>
      </c>
      <c r="E506" t="s">
        <v>74</v>
      </c>
      <c r="F506" t="s">
        <v>9512</v>
      </c>
      <c r="G506" t="s">
        <v>74</v>
      </c>
      <c r="H506" t="s">
        <v>74</v>
      </c>
      <c r="I506" t="s">
        <v>9513</v>
      </c>
      <c r="J506" t="s">
        <v>9514</v>
      </c>
      <c r="K506" t="s">
        <v>74</v>
      </c>
      <c r="L506" t="s">
        <v>74</v>
      </c>
      <c r="M506" t="s">
        <v>78</v>
      </c>
      <c r="N506" t="s">
        <v>374</v>
      </c>
      <c r="O506" t="s">
        <v>74</v>
      </c>
      <c r="P506" t="s">
        <v>74</v>
      </c>
      <c r="Q506" t="s">
        <v>74</v>
      </c>
      <c r="R506" t="s">
        <v>74</v>
      </c>
      <c r="S506" t="s">
        <v>74</v>
      </c>
      <c r="T506" t="s">
        <v>74</v>
      </c>
      <c r="U506" t="s">
        <v>9515</v>
      </c>
      <c r="V506" t="s">
        <v>9516</v>
      </c>
      <c r="W506" t="s">
        <v>9517</v>
      </c>
      <c r="X506" t="s">
        <v>9518</v>
      </c>
      <c r="Y506" t="s">
        <v>9519</v>
      </c>
      <c r="Z506" t="s">
        <v>9520</v>
      </c>
      <c r="AA506" t="s">
        <v>74</v>
      </c>
      <c r="AB506" t="s">
        <v>9521</v>
      </c>
      <c r="AC506" t="s">
        <v>74</v>
      </c>
      <c r="AD506" t="s">
        <v>74</v>
      </c>
      <c r="AE506" t="s">
        <v>74</v>
      </c>
      <c r="AF506" t="s">
        <v>74</v>
      </c>
      <c r="AG506">
        <v>31</v>
      </c>
      <c r="AH506">
        <v>3</v>
      </c>
      <c r="AI506">
        <v>3</v>
      </c>
      <c r="AJ506">
        <v>0</v>
      </c>
      <c r="AK506">
        <v>2</v>
      </c>
      <c r="AL506" t="s">
        <v>8334</v>
      </c>
      <c r="AM506" t="s">
        <v>291</v>
      </c>
      <c r="AN506" t="s">
        <v>8335</v>
      </c>
      <c r="AO506" t="s">
        <v>74</v>
      </c>
      <c r="AP506" t="s">
        <v>9522</v>
      </c>
      <c r="AQ506" t="s">
        <v>74</v>
      </c>
      <c r="AR506" t="s">
        <v>9523</v>
      </c>
      <c r="AS506" t="s">
        <v>9524</v>
      </c>
      <c r="AT506" t="s">
        <v>9525</v>
      </c>
      <c r="AU506">
        <v>2023</v>
      </c>
      <c r="AV506">
        <v>5</v>
      </c>
      <c r="AW506" t="s">
        <v>74</v>
      </c>
      <c r="AX506" t="s">
        <v>74</v>
      </c>
      <c r="AY506" t="s">
        <v>74</v>
      </c>
      <c r="AZ506" t="s">
        <v>74</v>
      </c>
      <c r="BA506" t="s">
        <v>74</v>
      </c>
      <c r="BB506" t="s">
        <v>74</v>
      </c>
      <c r="BC506" t="s">
        <v>74</v>
      </c>
      <c r="BD506" t="s">
        <v>9526</v>
      </c>
      <c r="BE506" t="s">
        <v>9527</v>
      </c>
      <c r="BF506" t="str">
        <f>HYPERLINK("http://dx.doi.org/10.1093/asjof/ojad081","http://dx.doi.org/10.1093/asjof/ojad081")</f>
        <v>http://dx.doi.org/10.1093/asjof/ojad081</v>
      </c>
      <c r="BG506" t="s">
        <v>74</v>
      </c>
      <c r="BH506" t="s">
        <v>207</v>
      </c>
      <c r="BI506">
        <v>7</v>
      </c>
      <c r="BJ506" t="s">
        <v>4994</v>
      </c>
      <c r="BK506" t="s">
        <v>125</v>
      </c>
      <c r="BL506" t="s">
        <v>4994</v>
      </c>
      <c r="BM506" t="s">
        <v>9528</v>
      </c>
      <c r="BN506">
        <v>37868688</v>
      </c>
      <c r="BO506" t="s">
        <v>394</v>
      </c>
      <c r="BP506" t="s">
        <v>74</v>
      </c>
      <c r="BQ506" t="s">
        <v>74</v>
      </c>
      <c r="BR506" t="s">
        <v>102</v>
      </c>
      <c r="BS506" t="s">
        <v>9529</v>
      </c>
      <c r="BT506" t="str">
        <f>HYPERLINK("https%3A%2F%2Fwww.webofscience.com%2Fwos%2Fwoscc%2Ffull-record%2FWOS:001133595800089","View Full Record in Web of Science")</f>
        <v>View Full Record in Web of Science</v>
      </c>
    </row>
    <row r="507" spans="1:72" x14ac:dyDescent="0.35">
      <c r="A507" t="s">
        <v>72</v>
      </c>
      <c r="B507" t="s">
        <v>9530</v>
      </c>
      <c r="C507" t="s">
        <v>74</v>
      </c>
      <c r="D507" t="s">
        <v>74</v>
      </c>
      <c r="E507" t="s">
        <v>74</v>
      </c>
      <c r="F507" t="s">
        <v>9531</v>
      </c>
      <c r="G507" t="s">
        <v>74</v>
      </c>
      <c r="H507" t="s">
        <v>74</v>
      </c>
      <c r="I507" t="s">
        <v>9532</v>
      </c>
      <c r="J507" t="s">
        <v>8324</v>
      </c>
      <c r="K507" t="s">
        <v>74</v>
      </c>
      <c r="L507" t="s">
        <v>74</v>
      </c>
      <c r="M507" t="s">
        <v>78</v>
      </c>
      <c r="N507" t="s">
        <v>79</v>
      </c>
      <c r="O507" t="s">
        <v>74</v>
      </c>
      <c r="P507" t="s">
        <v>74</v>
      </c>
      <c r="Q507" t="s">
        <v>74</v>
      </c>
      <c r="R507" t="s">
        <v>74</v>
      </c>
      <c r="S507" t="s">
        <v>74</v>
      </c>
      <c r="T507" t="s">
        <v>74</v>
      </c>
      <c r="U507" t="s">
        <v>9533</v>
      </c>
      <c r="V507" t="s">
        <v>9534</v>
      </c>
      <c r="W507" t="s">
        <v>9535</v>
      </c>
      <c r="X507" t="s">
        <v>9536</v>
      </c>
      <c r="Y507" t="s">
        <v>9537</v>
      </c>
      <c r="Z507" t="s">
        <v>9538</v>
      </c>
      <c r="AA507" t="s">
        <v>9539</v>
      </c>
      <c r="AB507" t="s">
        <v>9540</v>
      </c>
      <c r="AC507" t="s">
        <v>9541</v>
      </c>
      <c r="AD507" t="s">
        <v>9542</v>
      </c>
      <c r="AE507" t="s">
        <v>9543</v>
      </c>
      <c r="AF507" t="s">
        <v>74</v>
      </c>
      <c r="AG507">
        <v>25</v>
      </c>
      <c r="AH507">
        <v>1</v>
      </c>
      <c r="AI507">
        <v>1</v>
      </c>
      <c r="AJ507">
        <v>2</v>
      </c>
      <c r="AK507">
        <v>2</v>
      </c>
      <c r="AL507" t="s">
        <v>8334</v>
      </c>
      <c r="AM507" t="s">
        <v>291</v>
      </c>
      <c r="AN507" t="s">
        <v>8335</v>
      </c>
      <c r="AO507" t="s">
        <v>8336</v>
      </c>
      <c r="AP507" t="s">
        <v>8337</v>
      </c>
      <c r="AQ507" t="s">
        <v>74</v>
      </c>
      <c r="AR507" t="s">
        <v>8338</v>
      </c>
      <c r="AS507" t="s">
        <v>8339</v>
      </c>
      <c r="AT507" t="s">
        <v>9544</v>
      </c>
      <c r="AU507">
        <v>2024</v>
      </c>
      <c r="AV507" t="s">
        <v>74</v>
      </c>
      <c r="AW507" t="s">
        <v>74</v>
      </c>
      <c r="AX507" t="s">
        <v>74</v>
      </c>
      <c r="AY507" t="s">
        <v>74</v>
      </c>
      <c r="AZ507" t="s">
        <v>74</v>
      </c>
      <c r="BA507" t="s">
        <v>74</v>
      </c>
      <c r="BB507" t="s">
        <v>74</v>
      </c>
      <c r="BC507" t="s">
        <v>74</v>
      </c>
      <c r="BD507" t="s">
        <v>74</v>
      </c>
      <c r="BE507" t="s">
        <v>9545</v>
      </c>
      <c r="BF507" t="str">
        <f>HYPERLINK("http://dx.doi.org/10.1093/ntr/ntae081","http://dx.doi.org/10.1093/ntr/ntae081")</f>
        <v>http://dx.doi.org/10.1093/ntr/ntae081</v>
      </c>
      <c r="BG507" t="s">
        <v>74</v>
      </c>
      <c r="BH507" t="s">
        <v>1467</v>
      </c>
      <c r="BI507">
        <v>5</v>
      </c>
      <c r="BJ507" t="s">
        <v>8342</v>
      </c>
      <c r="BK507" t="s">
        <v>182</v>
      </c>
      <c r="BL507" t="s">
        <v>8342</v>
      </c>
      <c r="BM507" t="s">
        <v>9546</v>
      </c>
      <c r="BN507">
        <v>38778482</v>
      </c>
      <c r="BO507" t="s">
        <v>74</v>
      </c>
      <c r="BP507" t="s">
        <v>74</v>
      </c>
      <c r="BQ507" t="s">
        <v>74</v>
      </c>
      <c r="BR507" t="s">
        <v>102</v>
      </c>
      <c r="BS507" t="s">
        <v>9547</v>
      </c>
      <c r="BT507" t="str">
        <f>HYPERLINK("https%3A%2F%2Fwww.webofscience.com%2Fwos%2Fwoscc%2Ffull-record%2FWOS:001229134700001","View Full Record in Web of Science")</f>
        <v>View Full Record in Web of Science</v>
      </c>
    </row>
    <row r="508" spans="1:72" x14ac:dyDescent="0.35">
      <c r="A508" t="s">
        <v>72</v>
      </c>
      <c r="B508" t="s">
        <v>7878</v>
      </c>
      <c r="C508" t="s">
        <v>74</v>
      </c>
      <c r="D508" t="s">
        <v>74</v>
      </c>
      <c r="E508" t="s">
        <v>74</v>
      </c>
      <c r="F508" t="s">
        <v>7879</v>
      </c>
      <c r="G508" t="s">
        <v>74</v>
      </c>
      <c r="H508" t="s">
        <v>74</v>
      </c>
      <c r="I508" t="s">
        <v>9548</v>
      </c>
      <c r="J508" t="s">
        <v>7747</v>
      </c>
      <c r="K508" t="s">
        <v>74</v>
      </c>
      <c r="L508" t="s">
        <v>74</v>
      </c>
      <c r="M508" t="s">
        <v>78</v>
      </c>
      <c r="N508" t="s">
        <v>2042</v>
      </c>
      <c r="O508" t="s">
        <v>74</v>
      </c>
      <c r="P508" t="s">
        <v>74</v>
      </c>
      <c r="Q508" t="s">
        <v>74</v>
      </c>
      <c r="R508" t="s">
        <v>74</v>
      </c>
      <c r="S508" t="s">
        <v>74</v>
      </c>
      <c r="T508" t="s">
        <v>74</v>
      </c>
      <c r="U508" t="s">
        <v>74</v>
      </c>
      <c r="V508" t="s">
        <v>74</v>
      </c>
      <c r="W508" t="s">
        <v>74</v>
      </c>
      <c r="X508" t="s">
        <v>74</v>
      </c>
      <c r="Y508" t="s">
        <v>74</v>
      </c>
      <c r="Z508" t="s">
        <v>74</v>
      </c>
      <c r="AA508" t="s">
        <v>74</v>
      </c>
      <c r="AB508" t="s">
        <v>74</v>
      </c>
      <c r="AC508" t="s">
        <v>74</v>
      </c>
      <c r="AD508" t="s">
        <v>74</v>
      </c>
      <c r="AE508" t="s">
        <v>74</v>
      </c>
      <c r="AF508" t="s">
        <v>74</v>
      </c>
      <c r="AG508">
        <v>1</v>
      </c>
      <c r="AH508">
        <v>0</v>
      </c>
      <c r="AI508">
        <v>0</v>
      </c>
      <c r="AJ508">
        <v>0</v>
      </c>
      <c r="AK508">
        <v>0</v>
      </c>
      <c r="AL508" t="s">
        <v>803</v>
      </c>
      <c r="AM508" t="s">
        <v>227</v>
      </c>
      <c r="AN508" t="s">
        <v>804</v>
      </c>
      <c r="AO508" t="s">
        <v>7748</v>
      </c>
      <c r="AP508" t="s">
        <v>7749</v>
      </c>
      <c r="AQ508" t="s">
        <v>74</v>
      </c>
      <c r="AR508" t="s">
        <v>7750</v>
      </c>
      <c r="AS508" t="s">
        <v>7751</v>
      </c>
      <c r="AT508" t="s">
        <v>523</v>
      </c>
      <c r="AU508">
        <v>2020</v>
      </c>
      <c r="AV508">
        <v>229</v>
      </c>
      <c r="AW508">
        <v>10</v>
      </c>
      <c r="AX508" t="s">
        <v>74</v>
      </c>
      <c r="AY508" t="s">
        <v>74</v>
      </c>
      <c r="AZ508" t="s">
        <v>74</v>
      </c>
      <c r="BA508" t="s">
        <v>74</v>
      </c>
      <c r="BB508">
        <v>638</v>
      </c>
      <c r="BC508">
        <v>638</v>
      </c>
      <c r="BD508" t="s">
        <v>74</v>
      </c>
      <c r="BE508" t="s">
        <v>7880</v>
      </c>
      <c r="BF508" t="str">
        <f>HYPERLINK("http://dx.doi.org/10.1038/s41415-020-2417-6","http://dx.doi.org/10.1038/s41415-020-2417-6")</f>
        <v>http://dx.doi.org/10.1038/s41415-020-2417-6</v>
      </c>
      <c r="BG508" t="s">
        <v>74</v>
      </c>
      <c r="BH508" t="s">
        <v>74</v>
      </c>
      <c r="BI508">
        <v>1</v>
      </c>
      <c r="BJ508" t="s">
        <v>599</v>
      </c>
      <c r="BK508" t="s">
        <v>209</v>
      </c>
      <c r="BL508" t="s">
        <v>599</v>
      </c>
      <c r="BM508" t="s">
        <v>9549</v>
      </c>
      <c r="BN508" t="s">
        <v>74</v>
      </c>
      <c r="BO508" t="s">
        <v>767</v>
      </c>
      <c r="BP508" t="s">
        <v>74</v>
      </c>
      <c r="BQ508" t="s">
        <v>74</v>
      </c>
      <c r="BR508" t="s">
        <v>102</v>
      </c>
      <c r="BS508" t="s">
        <v>9550</v>
      </c>
      <c r="BT508" t="str">
        <f>HYPERLINK("https%3A%2F%2Fwww.webofscience.com%2Fwos%2Fwoscc%2Ffull-record%2FWOS:001029365800004","View Full Record in Web of Science")</f>
        <v>View Full Record in Web of Science</v>
      </c>
    </row>
    <row r="509" spans="1:72" x14ac:dyDescent="0.35">
      <c r="A509" t="s">
        <v>72</v>
      </c>
      <c r="B509" t="s">
        <v>9551</v>
      </c>
      <c r="C509" t="s">
        <v>74</v>
      </c>
      <c r="D509" t="s">
        <v>74</v>
      </c>
      <c r="E509" t="s">
        <v>74</v>
      </c>
      <c r="F509" t="s">
        <v>9552</v>
      </c>
      <c r="G509" t="s">
        <v>74</v>
      </c>
      <c r="H509" t="s">
        <v>74</v>
      </c>
      <c r="I509" t="s">
        <v>9553</v>
      </c>
      <c r="J509" t="s">
        <v>9554</v>
      </c>
      <c r="K509" t="s">
        <v>74</v>
      </c>
      <c r="L509" t="s">
        <v>74</v>
      </c>
      <c r="M509" t="s">
        <v>78</v>
      </c>
      <c r="N509" t="s">
        <v>2042</v>
      </c>
      <c r="O509" t="s">
        <v>74</v>
      </c>
      <c r="P509" t="s">
        <v>74</v>
      </c>
      <c r="Q509" t="s">
        <v>74</v>
      </c>
      <c r="R509" t="s">
        <v>74</v>
      </c>
      <c r="S509" t="s">
        <v>74</v>
      </c>
      <c r="T509" t="s">
        <v>9555</v>
      </c>
      <c r="U509" t="s">
        <v>9556</v>
      </c>
      <c r="V509" t="s">
        <v>9557</v>
      </c>
      <c r="W509" t="s">
        <v>9558</v>
      </c>
      <c r="X509" t="s">
        <v>9559</v>
      </c>
      <c r="Y509" t="s">
        <v>9560</v>
      </c>
      <c r="Z509" t="s">
        <v>9561</v>
      </c>
      <c r="AA509" t="s">
        <v>74</v>
      </c>
      <c r="AB509" t="s">
        <v>9562</v>
      </c>
      <c r="AC509" t="s">
        <v>74</v>
      </c>
      <c r="AD509" t="s">
        <v>74</v>
      </c>
      <c r="AE509" t="s">
        <v>74</v>
      </c>
      <c r="AF509" t="s">
        <v>74</v>
      </c>
      <c r="AG509">
        <v>12</v>
      </c>
      <c r="AH509">
        <v>1</v>
      </c>
      <c r="AI509">
        <v>1</v>
      </c>
      <c r="AJ509">
        <v>1</v>
      </c>
      <c r="AK509">
        <v>12</v>
      </c>
      <c r="AL509" t="s">
        <v>251</v>
      </c>
      <c r="AM509" t="s">
        <v>252</v>
      </c>
      <c r="AN509" t="s">
        <v>253</v>
      </c>
      <c r="AO509" t="s">
        <v>9563</v>
      </c>
      <c r="AP509" t="s">
        <v>9564</v>
      </c>
      <c r="AQ509" t="s">
        <v>74</v>
      </c>
      <c r="AR509" t="s">
        <v>9565</v>
      </c>
      <c r="AS509" t="s">
        <v>9566</v>
      </c>
      <c r="AT509" t="s">
        <v>594</v>
      </c>
      <c r="AU509">
        <v>2022</v>
      </c>
      <c r="AV509">
        <v>21</v>
      </c>
      <c r="AW509">
        <v>10</v>
      </c>
      <c r="AX509" t="s">
        <v>74</v>
      </c>
      <c r="AY509" t="s">
        <v>74</v>
      </c>
      <c r="AZ509" t="s">
        <v>74</v>
      </c>
      <c r="BA509" t="s">
        <v>74</v>
      </c>
      <c r="BB509">
        <v>4249</v>
      </c>
      <c r="BC509">
        <v>4253</v>
      </c>
      <c r="BD509" t="s">
        <v>74</v>
      </c>
      <c r="BE509" t="s">
        <v>9567</v>
      </c>
      <c r="BF509" t="str">
        <f>HYPERLINK("http://dx.doi.org/10.1111/jocd.15038","http://dx.doi.org/10.1111/jocd.15038")</f>
        <v>http://dx.doi.org/10.1111/jocd.15038</v>
      </c>
      <c r="BG509" t="s">
        <v>74</v>
      </c>
      <c r="BH509" t="s">
        <v>9082</v>
      </c>
      <c r="BI509">
        <v>5</v>
      </c>
      <c r="BJ509" t="s">
        <v>1341</v>
      </c>
      <c r="BK509" t="s">
        <v>209</v>
      </c>
      <c r="BL509" t="s">
        <v>1341</v>
      </c>
      <c r="BM509" t="s">
        <v>9568</v>
      </c>
      <c r="BN509">
        <v>35500136</v>
      </c>
      <c r="BO509" t="s">
        <v>74</v>
      </c>
      <c r="BP509" t="s">
        <v>74</v>
      </c>
      <c r="BQ509" t="s">
        <v>74</v>
      </c>
      <c r="BR509" t="s">
        <v>102</v>
      </c>
      <c r="BS509" t="s">
        <v>9569</v>
      </c>
      <c r="BT509" t="str">
        <f>HYPERLINK("https%3A%2F%2Fwww.webofscience.com%2Fwos%2Fwoscc%2Ffull-record%2FWOS:000796480600001","View Full Record in Web of Science")</f>
        <v>View Full Record in Web of Science</v>
      </c>
    </row>
    <row r="510" spans="1:72" x14ac:dyDescent="0.35">
      <c r="A510" t="s">
        <v>72</v>
      </c>
      <c r="B510" t="s">
        <v>9570</v>
      </c>
      <c r="C510" t="s">
        <v>74</v>
      </c>
      <c r="D510" t="s">
        <v>74</v>
      </c>
      <c r="E510" t="s">
        <v>74</v>
      </c>
      <c r="F510" t="s">
        <v>9571</v>
      </c>
      <c r="G510" t="s">
        <v>74</v>
      </c>
      <c r="H510" t="s">
        <v>74</v>
      </c>
      <c r="I510" t="s">
        <v>9572</v>
      </c>
      <c r="J510" t="s">
        <v>438</v>
      </c>
      <c r="K510" t="s">
        <v>74</v>
      </c>
      <c r="L510" t="s">
        <v>74</v>
      </c>
      <c r="M510" t="s">
        <v>78</v>
      </c>
      <c r="N510" t="s">
        <v>108</v>
      </c>
      <c r="O510" t="s">
        <v>74</v>
      </c>
      <c r="P510" t="s">
        <v>74</v>
      </c>
      <c r="Q510" t="s">
        <v>74</v>
      </c>
      <c r="R510" t="s">
        <v>74</v>
      </c>
      <c r="S510" t="s">
        <v>74</v>
      </c>
      <c r="T510" t="s">
        <v>9573</v>
      </c>
      <c r="U510" t="s">
        <v>218</v>
      </c>
      <c r="V510" t="s">
        <v>9574</v>
      </c>
      <c r="W510" t="s">
        <v>9575</v>
      </c>
      <c r="X510" t="s">
        <v>9576</v>
      </c>
      <c r="Y510" t="s">
        <v>9577</v>
      </c>
      <c r="Z510" t="s">
        <v>9578</v>
      </c>
      <c r="AA510" t="s">
        <v>9579</v>
      </c>
      <c r="AB510" t="s">
        <v>9580</v>
      </c>
      <c r="AC510" t="s">
        <v>74</v>
      </c>
      <c r="AD510" t="s">
        <v>74</v>
      </c>
      <c r="AE510" t="s">
        <v>74</v>
      </c>
      <c r="AF510" t="s">
        <v>74</v>
      </c>
      <c r="AG510">
        <v>98</v>
      </c>
      <c r="AH510">
        <v>0</v>
      </c>
      <c r="AI510">
        <v>0</v>
      </c>
      <c r="AJ510">
        <v>9</v>
      </c>
      <c r="AK510">
        <v>9</v>
      </c>
      <c r="AL510" t="s">
        <v>226</v>
      </c>
      <c r="AM510" t="s">
        <v>227</v>
      </c>
      <c r="AN510" t="s">
        <v>228</v>
      </c>
      <c r="AO510" t="s">
        <v>451</v>
      </c>
      <c r="AP510" t="s">
        <v>452</v>
      </c>
      <c r="AQ510" t="s">
        <v>74</v>
      </c>
      <c r="AR510" t="s">
        <v>453</v>
      </c>
      <c r="AS510" t="s">
        <v>454</v>
      </c>
      <c r="AT510" t="s">
        <v>455</v>
      </c>
      <c r="AU510">
        <v>2024</v>
      </c>
      <c r="AV510">
        <v>26</v>
      </c>
      <c r="AW510">
        <v>9</v>
      </c>
      <c r="AX510" t="s">
        <v>74</v>
      </c>
      <c r="AY510" t="s">
        <v>74</v>
      </c>
      <c r="AZ510" t="s">
        <v>456</v>
      </c>
      <c r="BA510" t="s">
        <v>74</v>
      </c>
      <c r="BB510">
        <v>5081</v>
      </c>
      <c r="BC510">
        <v>5106</v>
      </c>
      <c r="BD510" t="s">
        <v>74</v>
      </c>
      <c r="BE510" t="s">
        <v>9581</v>
      </c>
      <c r="BF510" t="str">
        <f>HYPERLINK("http://dx.doi.org/10.1177/14614448241251804","http://dx.doi.org/10.1177/14614448241251804")</f>
        <v>http://dx.doi.org/10.1177/14614448241251804</v>
      </c>
      <c r="BG510" t="s">
        <v>74</v>
      </c>
      <c r="BH510" t="s">
        <v>74</v>
      </c>
      <c r="BI510">
        <v>26</v>
      </c>
      <c r="BJ510" t="s">
        <v>124</v>
      </c>
      <c r="BK510" t="s">
        <v>99</v>
      </c>
      <c r="BL510" t="s">
        <v>124</v>
      </c>
      <c r="BM510" t="s">
        <v>458</v>
      </c>
      <c r="BN510" t="s">
        <v>74</v>
      </c>
      <c r="BO510" t="s">
        <v>74</v>
      </c>
      <c r="BP510" t="s">
        <v>74</v>
      </c>
      <c r="BQ510" t="s">
        <v>74</v>
      </c>
      <c r="BR510" t="s">
        <v>102</v>
      </c>
      <c r="BS510" t="s">
        <v>9582</v>
      </c>
      <c r="BT510" t="str">
        <f>HYPERLINK("https%3A%2F%2Fwww.webofscience.com%2Fwos%2Fwoscc%2Ffull-record%2FWOS:001303163500021","View Full Record in Web of Science")</f>
        <v>View Full Record in Web of Science</v>
      </c>
    </row>
    <row r="511" spans="1:72" x14ac:dyDescent="0.35">
      <c r="A511" t="s">
        <v>72</v>
      </c>
      <c r="B511" t="s">
        <v>9583</v>
      </c>
      <c r="C511" t="s">
        <v>74</v>
      </c>
      <c r="D511" t="s">
        <v>74</v>
      </c>
      <c r="E511" t="s">
        <v>74</v>
      </c>
      <c r="F511" t="s">
        <v>9584</v>
      </c>
      <c r="G511" t="s">
        <v>74</v>
      </c>
      <c r="H511" t="s">
        <v>74</v>
      </c>
      <c r="I511" t="s">
        <v>9585</v>
      </c>
      <c r="J511" t="s">
        <v>9586</v>
      </c>
      <c r="K511" t="s">
        <v>74</v>
      </c>
      <c r="L511" t="s">
        <v>74</v>
      </c>
      <c r="M511" t="s">
        <v>78</v>
      </c>
      <c r="N511" t="s">
        <v>1328</v>
      </c>
      <c r="O511" t="s">
        <v>74</v>
      </c>
      <c r="P511" t="s">
        <v>74</v>
      </c>
      <c r="Q511" t="s">
        <v>74</v>
      </c>
      <c r="R511" t="s">
        <v>74</v>
      </c>
      <c r="S511" t="s">
        <v>74</v>
      </c>
      <c r="T511" t="s">
        <v>74</v>
      </c>
      <c r="U511" t="s">
        <v>74</v>
      </c>
      <c r="V511" t="s">
        <v>74</v>
      </c>
      <c r="W511" t="s">
        <v>9587</v>
      </c>
      <c r="X511" t="s">
        <v>9588</v>
      </c>
      <c r="Y511" t="s">
        <v>9589</v>
      </c>
      <c r="Z511" t="s">
        <v>9590</v>
      </c>
      <c r="AA511" t="s">
        <v>9591</v>
      </c>
      <c r="AB511" t="s">
        <v>9592</v>
      </c>
      <c r="AC511" t="s">
        <v>9593</v>
      </c>
      <c r="AD511" t="s">
        <v>9593</v>
      </c>
      <c r="AE511" t="s">
        <v>9594</v>
      </c>
      <c r="AF511" t="s">
        <v>74</v>
      </c>
      <c r="AG511">
        <v>5</v>
      </c>
      <c r="AH511">
        <v>6</v>
      </c>
      <c r="AI511">
        <v>6</v>
      </c>
      <c r="AJ511">
        <v>0</v>
      </c>
      <c r="AK511">
        <v>7</v>
      </c>
      <c r="AL511" t="s">
        <v>251</v>
      </c>
      <c r="AM511" t="s">
        <v>252</v>
      </c>
      <c r="AN511" t="s">
        <v>253</v>
      </c>
      <c r="AO511" t="s">
        <v>9595</v>
      </c>
      <c r="AP511" t="s">
        <v>9596</v>
      </c>
      <c r="AQ511" t="s">
        <v>74</v>
      </c>
      <c r="AR511" t="s">
        <v>9597</v>
      </c>
      <c r="AS511" t="s">
        <v>9598</v>
      </c>
      <c r="AT511" t="s">
        <v>1275</v>
      </c>
      <c r="AU511">
        <v>2021</v>
      </c>
      <c r="AV511">
        <v>46</v>
      </c>
      <c r="AW511">
        <v>8</v>
      </c>
      <c r="AX511" t="s">
        <v>74</v>
      </c>
      <c r="AY511" t="s">
        <v>74</v>
      </c>
      <c r="AZ511" t="s">
        <v>74</v>
      </c>
      <c r="BA511" t="s">
        <v>74</v>
      </c>
      <c r="BB511">
        <v>1606</v>
      </c>
      <c r="BC511">
        <v>1607</v>
      </c>
      <c r="BD511" t="s">
        <v>74</v>
      </c>
      <c r="BE511" t="s">
        <v>9599</v>
      </c>
      <c r="BF511" t="str">
        <f>HYPERLINK("http://dx.doi.org/10.1111/ced.14810","http://dx.doi.org/10.1111/ced.14810")</f>
        <v>http://dx.doi.org/10.1111/ced.14810</v>
      </c>
      <c r="BG511" t="s">
        <v>74</v>
      </c>
      <c r="BH511" t="s">
        <v>6350</v>
      </c>
      <c r="BI511">
        <v>2</v>
      </c>
      <c r="BJ511" t="s">
        <v>1341</v>
      </c>
      <c r="BK511" t="s">
        <v>209</v>
      </c>
      <c r="BL511" t="s">
        <v>1341</v>
      </c>
      <c r="BM511" t="s">
        <v>9600</v>
      </c>
      <c r="BN511">
        <v>34155690</v>
      </c>
      <c r="BO511" t="s">
        <v>74</v>
      </c>
      <c r="BP511" t="s">
        <v>74</v>
      </c>
      <c r="BQ511" t="s">
        <v>74</v>
      </c>
      <c r="BR511" t="s">
        <v>102</v>
      </c>
      <c r="BS511" t="s">
        <v>9601</v>
      </c>
      <c r="BT511" t="str">
        <f>HYPERLINK("https%3A%2F%2Fwww.webofscience.com%2Fwos%2Fwoscc%2Ffull-record%2FWOS:000676132500001","View Full Record in Web of Science")</f>
        <v>View Full Record in Web of Science</v>
      </c>
    </row>
    <row r="512" spans="1:72" x14ac:dyDescent="0.35">
      <c r="A512" t="s">
        <v>72</v>
      </c>
      <c r="B512" t="s">
        <v>9602</v>
      </c>
      <c r="C512" t="s">
        <v>74</v>
      </c>
      <c r="D512" t="s">
        <v>74</v>
      </c>
      <c r="E512" t="s">
        <v>74</v>
      </c>
      <c r="F512" t="s">
        <v>9603</v>
      </c>
      <c r="G512" t="s">
        <v>74</v>
      </c>
      <c r="H512" t="s">
        <v>74</v>
      </c>
      <c r="I512" t="s">
        <v>9604</v>
      </c>
      <c r="J512" t="s">
        <v>9605</v>
      </c>
      <c r="K512" t="s">
        <v>74</v>
      </c>
      <c r="L512" t="s">
        <v>74</v>
      </c>
      <c r="M512" t="s">
        <v>78</v>
      </c>
      <c r="N512" t="s">
        <v>52</v>
      </c>
      <c r="O512" t="s">
        <v>74</v>
      </c>
      <c r="P512" t="s">
        <v>74</v>
      </c>
      <c r="Q512" t="s">
        <v>74</v>
      </c>
      <c r="R512" t="s">
        <v>74</v>
      </c>
      <c r="S512" t="s">
        <v>74</v>
      </c>
      <c r="T512" t="s">
        <v>74</v>
      </c>
      <c r="U512" t="s">
        <v>74</v>
      </c>
      <c r="V512" t="s">
        <v>74</v>
      </c>
      <c r="W512" t="s">
        <v>9606</v>
      </c>
      <c r="X512" t="s">
        <v>9607</v>
      </c>
      <c r="Y512" t="s">
        <v>74</v>
      </c>
      <c r="Z512" t="s">
        <v>74</v>
      </c>
      <c r="AA512" t="s">
        <v>9608</v>
      </c>
      <c r="AB512" t="s">
        <v>74</v>
      </c>
      <c r="AC512" t="s">
        <v>74</v>
      </c>
      <c r="AD512" t="s">
        <v>74</v>
      </c>
      <c r="AE512" t="s">
        <v>74</v>
      </c>
      <c r="AF512" t="s">
        <v>74</v>
      </c>
      <c r="AG512">
        <v>0</v>
      </c>
      <c r="AH512">
        <v>0</v>
      </c>
      <c r="AI512">
        <v>0</v>
      </c>
      <c r="AJ512">
        <v>0</v>
      </c>
      <c r="AK512">
        <v>7</v>
      </c>
      <c r="AL512" t="s">
        <v>9609</v>
      </c>
      <c r="AM512" t="s">
        <v>9610</v>
      </c>
      <c r="AN512" t="s">
        <v>9611</v>
      </c>
      <c r="AO512" t="s">
        <v>9612</v>
      </c>
      <c r="AP512" t="s">
        <v>9613</v>
      </c>
      <c r="AQ512" t="s">
        <v>74</v>
      </c>
      <c r="AR512" t="s">
        <v>9614</v>
      </c>
      <c r="AS512" t="s">
        <v>9615</v>
      </c>
      <c r="AT512" t="s">
        <v>74</v>
      </c>
      <c r="AU512">
        <v>2021</v>
      </c>
      <c r="AV512">
        <v>33</v>
      </c>
      <c r="AW512" t="s">
        <v>74</v>
      </c>
      <c r="AX512" t="s">
        <v>74</v>
      </c>
      <c r="AY512">
        <v>7</v>
      </c>
      <c r="AZ512" t="s">
        <v>74</v>
      </c>
      <c r="BA512" t="s">
        <v>74</v>
      </c>
      <c r="BB512" t="s">
        <v>9616</v>
      </c>
      <c r="BC512" t="s">
        <v>9617</v>
      </c>
      <c r="BD512" t="s">
        <v>74</v>
      </c>
      <c r="BE512" t="s">
        <v>74</v>
      </c>
      <c r="BF512" t="s">
        <v>74</v>
      </c>
      <c r="BG512" t="s">
        <v>74</v>
      </c>
      <c r="BH512" t="s">
        <v>74</v>
      </c>
      <c r="BI512">
        <v>2</v>
      </c>
      <c r="BJ512" t="s">
        <v>1847</v>
      </c>
      <c r="BK512" t="s">
        <v>182</v>
      </c>
      <c r="BL512" t="s">
        <v>1847</v>
      </c>
      <c r="BM512" t="s">
        <v>9618</v>
      </c>
      <c r="BN512" t="s">
        <v>74</v>
      </c>
      <c r="BO512" t="s">
        <v>74</v>
      </c>
      <c r="BP512" t="s">
        <v>74</v>
      </c>
      <c r="BQ512" t="s">
        <v>74</v>
      </c>
      <c r="BR512" t="s">
        <v>102</v>
      </c>
      <c r="BS512" t="s">
        <v>9619</v>
      </c>
      <c r="BT512" t="str">
        <f>HYPERLINK("https%3A%2F%2Fwww.webofscience.com%2Fwos%2Fwoscc%2Ffull-record%2FWOS:000739672800048","View Full Record in Web of Science")</f>
        <v>View Full Record in Web of Science</v>
      </c>
    </row>
    <row r="513" spans="1:72" x14ac:dyDescent="0.35">
      <c r="A513" t="s">
        <v>8845</v>
      </c>
      <c r="B513" t="s">
        <v>8846</v>
      </c>
      <c r="C513" t="s">
        <v>8847</v>
      </c>
      <c r="D513" t="s">
        <v>74</v>
      </c>
      <c r="E513" t="s">
        <v>74</v>
      </c>
      <c r="F513" t="s">
        <v>8848</v>
      </c>
      <c r="G513" t="s">
        <v>8847</v>
      </c>
      <c r="H513" t="s">
        <v>74</v>
      </c>
      <c r="I513" t="s">
        <v>9620</v>
      </c>
      <c r="J513" t="s">
        <v>8850</v>
      </c>
      <c r="K513" t="s">
        <v>8851</v>
      </c>
      <c r="L513" t="s">
        <v>74</v>
      </c>
      <c r="M513" t="s">
        <v>78</v>
      </c>
      <c r="N513" t="s">
        <v>4953</v>
      </c>
      <c r="O513" t="s">
        <v>74</v>
      </c>
      <c r="P513" t="s">
        <v>74</v>
      </c>
      <c r="Q513" t="s">
        <v>74</v>
      </c>
      <c r="R513" t="s">
        <v>74</v>
      </c>
      <c r="S513" t="s">
        <v>74</v>
      </c>
      <c r="T513" t="s">
        <v>74</v>
      </c>
      <c r="U513" t="s">
        <v>4975</v>
      </c>
      <c r="V513" t="s">
        <v>74</v>
      </c>
      <c r="W513" t="s">
        <v>8852</v>
      </c>
      <c r="X513" t="s">
        <v>8853</v>
      </c>
      <c r="Y513" t="s">
        <v>8854</v>
      </c>
      <c r="Z513" t="s">
        <v>74</v>
      </c>
      <c r="AA513" t="s">
        <v>2517</v>
      </c>
      <c r="AB513" t="s">
        <v>2518</v>
      </c>
      <c r="AC513" t="s">
        <v>74</v>
      </c>
      <c r="AD513" t="s">
        <v>74</v>
      </c>
      <c r="AE513" t="s">
        <v>74</v>
      </c>
      <c r="AF513" t="s">
        <v>74</v>
      </c>
      <c r="AG513">
        <v>38</v>
      </c>
      <c r="AH513">
        <v>0</v>
      </c>
      <c r="AI513">
        <v>0</v>
      </c>
      <c r="AJ513">
        <v>3</v>
      </c>
      <c r="AK513">
        <v>3</v>
      </c>
      <c r="AL513" t="s">
        <v>8855</v>
      </c>
      <c r="AM513" t="s">
        <v>89</v>
      </c>
      <c r="AN513" t="s">
        <v>8856</v>
      </c>
      <c r="AO513" t="s">
        <v>74</v>
      </c>
      <c r="AP513" t="s">
        <v>74</v>
      </c>
      <c r="AQ513" t="s">
        <v>8857</v>
      </c>
      <c r="AR513" t="s">
        <v>8858</v>
      </c>
      <c r="AS513" t="s">
        <v>74</v>
      </c>
      <c r="AT513" t="s">
        <v>74</v>
      </c>
      <c r="AU513">
        <v>2024</v>
      </c>
      <c r="AV513" t="s">
        <v>74</v>
      </c>
      <c r="AW513" t="s">
        <v>74</v>
      </c>
      <c r="AX513" t="s">
        <v>74</v>
      </c>
      <c r="AY513" t="s">
        <v>74</v>
      </c>
      <c r="AZ513" t="s">
        <v>74</v>
      </c>
      <c r="BA513" t="s">
        <v>74</v>
      </c>
      <c r="BB513">
        <v>86</v>
      </c>
      <c r="BC513">
        <v>106</v>
      </c>
      <c r="BD513" t="s">
        <v>74</v>
      </c>
      <c r="BE513" t="s">
        <v>9621</v>
      </c>
      <c r="BF513" t="str">
        <f>HYPERLINK("http://dx.doi.org/10.4324/9781003261056-8","http://dx.doi.org/10.4324/9781003261056-8")</f>
        <v>http://dx.doi.org/10.4324/9781003261056-8</v>
      </c>
      <c r="BG513" t="s">
        <v>8860</v>
      </c>
      <c r="BH513" t="s">
        <v>74</v>
      </c>
      <c r="BI513">
        <v>21</v>
      </c>
      <c r="BJ513" t="s">
        <v>8861</v>
      </c>
      <c r="BK513" t="s">
        <v>8862</v>
      </c>
      <c r="BL513" t="s">
        <v>8861</v>
      </c>
      <c r="BM513" t="s">
        <v>8863</v>
      </c>
      <c r="BN513" t="s">
        <v>74</v>
      </c>
      <c r="BO513" t="s">
        <v>74</v>
      </c>
      <c r="BP513" t="s">
        <v>74</v>
      </c>
      <c r="BQ513" t="s">
        <v>74</v>
      </c>
      <c r="BR513" t="s">
        <v>102</v>
      </c>
      <c r="BS513" t="s">
        <v>9622</v>
      </c>
      <c r="BT513" t="str">
        <f>HYPERLINK("https%3A%2F%2Fwww.webofscience.com%2Fwos%2Fwoscc%2Ffull-record%2FWOS:001219761700007","View Full Record in Web of Science")</f>
        <v>View Full Record in Web of Science</v>
      </c>
    </row>
    <row r="514" spans="1:72" x14ac:dyDescent="0.35">
      <c r="A514" t="s">
        <v>72</v>
      </c>
      <c r="B514" t="s">
        <v>9623</v>
      </c>
      <c r="C514" t="s">
        <v>74</v>
      </c>
      <c r="D514" t="s">
        <v>74</v>
      </c>
      <c r="E514" t="s">
        <v>74</v>
      </c>
      <c r="F514" t="s">
        <v>9624</v>
      </c>
      <c r="G514" t="s">
        <v>74</v>
      </c>
      <c r="H514" t="s">
        <v>74</v>
      </c>
      <c r="I514" t="s">
        <v>9625</v>
      </c>
      <c r="J514" t="s">
        <v>280</v>
      </c>
      <c r="K514" t="s">
        <v>74</v>
      </c>
      <c r="L514" t="s">
        <v>74</v>
      </c>
      <c r="M514" t="s">
        <v>78</v>
      </c>
      <c r="N514" t="s">
        <v>108</v>
      </c>
      <c r="O514" t="s">
        <v>74</v>
      </c>
      <c r="P514" t="s">
        <v>74</v>
      </c>
      <c r="Q514" t="s">
        <v>74</v>
      </c>
      <c r="R514" t="s">
        <v>74</v>
      </c>
      <c r="S514" t="s">
        <v>74</v>
      </c>
      <c r="T514" t="s">
        <v>9626</v>
      </c>
      <c r="U514" t="s">
        <v>9627</v>
      </c>
      <c r="V514" t="s">
        <v>9628</v>
      </c>
      <c r="W514" t="s">
        <v>9629</v>
      </c>
      <c r="X514" t="s">
        <v>9630</v>
      </c>
      <c r="Y514" t="s">
        <v>9631</v>
      </c>
      <c r="Z514" t="s">
        <v>9632</v>
      </c>
      <c r="AA514" t="s">
        <v>9633</v>
      </c>
      <c r="AB514" t="s">
        <v>9634</v>
      </c>
      <c r="AC514" t="s">
        <v>74</v>
      </c>
      <c r="AD514" t="s">
        <v>74</v>
      </c>
      <c r="AE514" t="s">
        <v>74</v>
      </c>
      <c r="AF514" t="s">
        <v>74</v>
      </c>
      <c r="AG514">
        <v>82</v>
      </c>
      <c r="AH514">
        <v>14</v>
      </c>
      <c r="AI514">
        <v>15</v>
      </c>
      <c r="AJ514">
        <v>33</v>
      </c>
      <c r="AK514">
        <v>126</v>
      </c>
      <c r="AL514" t="s">
        <v>290</v>
      </c>
      <c r="AM514" t="s">
        <v>291</v>
      </c>
      <c r="AN514" t="s">
        <v>292</v>
      </c>
      <c r="AO514" t="s">
        <v>293</v>
      </c>
      <c r="AP514" t="s">
        <v>294</v>
      </c>
      <c r="AQ514" t="s">
        <v>74</v>
      </c>
      <c r="AR514" t="s">
        <v>295</v>
      </c>
      <c r="AS514" t="s">
        <v>296</v>
      </c>
      <c r="AT514" t="s">
        <v>273</v>
      </c>
      <c r="AU514">
        <v>2023</v>
      </c>
      <c r="AV514">
        <v>144</v>
      </c>
      <c r="AW514" t="s">
        <v>74</v>
      </c>
      <c r="AX514" t="s">
        <v>74</v>
      </c>
      <c r="AY514" t="s">
        <v>74</v>
      </c>
      <c r="AZ514" t="s">
        <v>74</v>
      </c>
      <c r="BA514" t="s">
        <v>74</v>
      </c>
      <c r="BB514" t="s">
        <v>74</v>
      </c>
      <c r="BC514" t="s">
        <v>74</v>
      </c>
      <c r="BD514">
        <v>107723</v>
      </c>
      <c r="BE514" t="s">
        <v>9635</v>
      </c>
      <c r="BF514" t="str">
        <f>HYPERLINK("http://dx.doi.org/10.1016/j.chb.2023.107723","http://dx.doi.org/10.1016/j.chb.2023.107723")</f>
        <v>http://dx.doi.org/10.1016/j.chb.2023.107723</v>
      </c>
      <c r="BG514" t="s">
        <v>74</v>
      </c>
      <c r="BH514" t="s">
        <v>1046</v>
      </c>
      <c r="BI514">
        <v>13</v>
      </c>
      <c r="BJ514" t="s">
        <v>300</v>
      </c>
      <c r="BK514" t="s">
        <v>99</v>
      </c>
      <c r="BL514" t="s">
        <v>301</v>
      </c>
      <c r="BM514" t="s">
        <v>9636</v>
      </c>
      <c r="BN514" t="s">
        <v>74</v>
      </c>
      <c r="BO514" t="s">
        <v>156</v>
      </c>
      <c r="BP514" t="s">
        <v>74</v>
      </c>
      <c r="BQ514" t="s">
        <v>74</v>
      </c>
      <c r="BR514" t="s">
        <v>102</v>
      </c>
      <c r="BS514" t="s">
        <v>9637</v>
      </c>
      <c r="BT514" t="str">
        <f>HYPERLINK("https%3A%2F%2Fwww.webofscience.com%2Fwos%2Fwoscc%2Ffull-record%2FWOS:000967375800001","View Full Record in Web of Science")</f>
        <v>View Full Record in Web of Science</v>
      </c>
    </row>
    <row r="515" spans="1:72" x14ac:dyDescent="0.35">
      <c r="A515" t="s">
        <v>72</v>
      </c>
      <c r="B515" t="s">
        <v>9638</v>
      </c>
      <c r="C515" t="s">
        <v>74</v>
      </c>
      <c r="D515" t="s">
        <v>74</v>
      </c>
      <c r="E515" t="s">
        <v>74</v>
      </c>
      <c r="F515" t="s">
        <v>9639</v>
      </c>
      <c r="G515" t="s">
        <v>74</v>
      </c>
      <c r="H515" t="s">
        <v>74</v>
      </c>
      <c r="I515" t="s">
        <v>9640</v>
      </c>
      <c r="J515" t="s">
        <v>9641</v>
      </c>
      <c r="K515" t="s">
        <v>74</v>
      </c>
      <c r="L515" t="s">
        <v>74</v>
      </c>
      <c r="M515" t="s">
        <v>3503</v>
      </c>
      <c r="N515" t="s">
        <v>108</v>
      </c>
      <c r="O515" t="s">
        <v>74</v>
      </c>
      <c r="P515" t="s">
        <v>74</v>
      </c>
      <c r="Q515" t="s">
        <v>74</v>
      </c>
      <c r="R515" t="s">
        <v>74</v>
      </c>
      <c r="S515" t="s">
        <v>74</v>
      </c>
      <c r="T515" t="s">
        <v>9642</v>
      </c>
      <c r="U515" t="s">
        <v>74</v>
      </c>
      <c r="V515" t="s">
        <v>9643</v>
      </c>
      <c r="W515" t="s">
        <v>9644</v>
      </c>
      <c r="X515" t="s">
        <v>9645</v>
      </c>
      <c r="Y515" t="s">
        <v>9646</v>
      </c>
      <c r="Z515" t="s">
        <v>9647</v>
      </c>
      <c r="AA515" t="s">
        <v>9648</v>
      </c>
      <c r="AB515" t="s">
        <v>74</v>
      </c>
      <c r="AC515" t="s">
        <v>74</v>
      </c>
      <c r="AD515" t="s">
        <v>74</v>
      </c>
      <c r="AE515" t="s">
        <v>74</v>
      </c>
      <c r="AF515" t="s">
        <v>74</v>
      </c>
      <c r="AG515">
        <v>20</v>
      </c>
      <c r="AH515">
        <v>4</v>
      </c>
      <c r="AI515">
        <v>4</v>
      </c>
      <c r="AJ515">
        <v>2</v>
      </c>
      <c r="AK515">
        <v>76</v>
      </c>
      <c r="AL515" t="s">
        <v>9649</v>
      </c>
      <c r="AM515" t="s">
        <v>6529</v>
      </c>
      <c r="AN515" t="s">
        <v>9650</v>
      </c>
      <c r="AO515" t="s">
        <v>74</v>
      </c>
      <c r="AP515" t="s">
        <v>9651</v>
      </c>
      <c r="AQ515" t="s">
        <v>74</v>
      </c>
      <c r="AR515" t="s">
        <v>9652</v>
      </c>
      <c r="AS515" t="s">
        <v>9653</v>
      </c>
      <c r="AT515" t="s">
        <v>74</v>
      </c>
      <c r="AU515">
        <v>2020</v>
      </c>
      <c r="AV515" t="s">
        <v>74</v>
      </c>
      <c r="AW515" t="s">
        <v>74</v>
      </c>
      <c r="AX515" t="s">
        <v>74</v>
      </c>
      <c r="AY515">
        <v>1</v>
      </c>
      <c r="AZ515" t="s">
        <v>74</v>
      </c>
      <c r="BA515" t="s">
        <v>74</v>
      </c>
      <c r="BB515" t="s">
        <v>9654</v>
      </c>
      <c r="BC515" t="s">
        <v>9655</v>
      </c>
      <c r="BD515" t="s">
        <v>74</v>
      </c>
      <c r="BE515" t="s">
        <v>9656</v>
      </c>
      <c r="BF515" t="str">
        <f>HYPERLINK("http://dx.doi.org/10.20318/recs.2020.5422","http://dx.doi.org/10.20318/recs.2020.5422")</f>
        <v>http://dx.doi.org/10.20318/recs.2020.5422</v>
      </c>
      <c r="BG515" t="s">
        <v>74</v>
      </c>
      <c r="BH515" t="s">
        <v>74</v>
      </c>
      <c r="BI515">
        <v>10</v>
      </c>
      <c r="BJ515" t="s">
        <v>124</v>
      </c>
      <c r="BK515" t="s">
        <v>125</v>
      </c>
      <c r="BL515" t="s">
        <v>124</v>
      </c>
      <c r="BM515" t="s">
        <v>9657</v>
      </c>
      <c r="BN515" t="s">
        <v>74</v>
      </c>
      <c r="BO515" t="s">
        <v>235</v>
      </c>
      <c r="BP515" t="s">
        <v>74</v>
      </c>
      <c r="BQ515" t="s">
        <v>74</v>
      </c>
      <c r="BR515" t="s">
        <v>102</v>
      </c>
      <c r="BS515" t="s">
        <v>9658</v>
      </c>
      <c r="BT515" t="str">
        <f>HYPERLINK("https%3A%2F%2Fwww.webofscience.com%2Fwos%2Fwoscc%2Ffull-record%2FWOS:000551629600019","View Full Record in Web of Science")</f>
        <v>View Full Record in Web of Science</v>
      </c>
    </row>
    <row r="516" spans="1:72" x14ac:dyDescent="0.35">
      <c r="A516" t="s">
        <v>128</v>
      </c>
      <c r="B516" t="s">
        <v>9659</v>
      </c>
      <c r="C516" t="s">
        <v>74</v>
      </c>
      <c r="D516" t="s">
        <v>74</v>
      </c>
      <c r="E516" t="s">
        <v>702</v>
      </c>
      <c r="F516" t="s">
        <v>9660</v>
      </c>
      <c r="G516" t="s">
        <v>74</v>
      </c>
      <c r="H516" t="s">
        <v>74</v>
      </c>
      <c r="I516" t="s">
        <v>9661</v>
      </c>
      <c r="J516" t="s">
        <v>9662</v>
      </c>
      <c r="K516" t="s">
        <v>74</v>
      </c>
      <c r="L516" t="s">
        <v>74</v>
      </c>
      <c r="M516" t="s">
        <v>78</v>
      </c>
      <c r="N516" t="s">
        <v>135</v>
      </c>
      <c r="O516" t="s">
        <v>9663</v>
      </c>
      <c r="P516" t="s">
        <v>9664</v>
      </c>
      <c r="Q516" t="s">
        <v>138</v>
      </c>
      <c r="R516" t="s">
        <v>9665</v>
      </c>
      <c r="S516" t="s">
        <v>74</v>
      </c>
      <c r="T516" t="s">
        <v>9666</v>
      </c>
      <c r="U516" t="s">
        <v>9667</v>
      </c>
      <c r="V516" t="s">
        <v>9668</v>
      </c>
      <c r="W516" t="s">
        <v>9669</v>
      </c>
      <c r="X516" t="s">
        <v>909</v>
      </c>
      <c r="Y516" t="s">
        <v>2789</v>
      </c>
      <c r="Z516" t="s">
        <v>9670</v>
      </c>
      <c r="AA516" t="s">
        <v>74</v>
      </c>
      <c r="AB516" t="s">
        <v>912</v>
      </c>
      <c r="AC516" t="s">
        <v>74</v>
      </c>
      <c r="AD516" t="s">
        <v>74</v>
      </c>
      <c r="AE516" t="s">
        <v>74</v>
      </c>
      <c r="AF516" t="s">
        <v>74</v>
      </c>
      <c r="AG516">
        <v>58</v>
      </c>
      <c r="AH516">
        <v>55</v>
      </c>
      <c r="AI516">
        <v>59</v>
      </c>
      <c r="AJ516">
        <v>15</v>
      </c>
      <c r="AK516">
        <v>32</v>
      </c>
      <c r="AL516" t="s">
        <v>718</v>
      </c>
      <c r="AM516" t="s">
        <v>666</v>
      </c>
      <c r="AN516" t="s">
        <v>719</v>
      </c>
      <c r="AO516" t="s">
        <v>74</v>
      </c>
      <c r="AP516" t="s">
        <v>74</v>
      </c>
      <c r="AQ516" t="s">
        <v>9671</v>
      </c>
      <c r="AR516" t="s">
        <v>74</v>
      </c>
      <c r="AS516" t="s">
        <v>74</v>
      </c>
      <c r="AT516" t="s">
        <v>74</v>
      </c>
      <c r="AU516">
        <v>2020</v>
      </c>
      <c r="AV516" t="s">
        <v>74</v>
      </c>
      <c r="AW516" t="s">
        <v>74</v>
      </c>
      <c r="AX516" t="s">
        <v>74</v>
      </c>
      <c r="AY516" t="s">
        <v>74</v>
      </c>
      <c r="AZ516" t="s">
        <v>74</v>
      </c>
      <c r="BA516" t="s">
        <v>74</v>
      </c>
      <c r="BB516">
        <v>84</v>
      </c>
      <c r="BC516">
        <v>92</v>
      </c>
      <c r="BD516" t="s">
        <v>74</v>
      </c>
      <c r="BE516" t="s">
        <v>9672</v>
      </c>
      <c r="BF516" t="str">
        <f>HYPERLINK("http://dx.doi.org/10.1145/3447535.3462512","http://dx.doi.org/10.1145/3447535.3462512")</f>
        <v>http://dx.doi.org/10.1145/3447535.3462512</v>
      </c>
      <c r="BG516" t="s">
        <v>74</v>
      </c>
      <c r="BH516" t="s">
        <v>74</v>
      </c>
      <c r="BI516">
        <v>9</v>
      </c>
      <c r="BJ516" t="s">
        <v>4230</v>
      </c>
      <c r="BK516" t="s">
        <v>648</v>
      </c>
      <c r="BL516" t="s">
        <v>4231</v>
      </c>
      <c r="BM516" t="s">
        <v>9673</v>
      </c>
      <c r="BN516" t="s">
        <v>74</v>
      </c>
      <c r="BO516" t="s">
        <v>767</v>
      </c>
      <c r="BP516" t="s">
        <v>74</v>
      </c>
      <c r="BQ516" t="s">
        <v>74</v>
      </c>
      <c r="BR516" t="s">
        <v>102</v>
      </c>
      <c r="BS516" t="s">
        <v>9674</v>
      </c>
      <c r="BT516" t="str">
        <f>HYPERLINK("https%3A%2F%2Fwww.webofscience.com%2Fwos%2Fwoscc%2Ffull-record%2FWOS:001118959000018","View Full Record in Web of Science")</f>
        <v>View Full Record in Web of Science</v>
      </c>
    </row>
    <row r="517" spans="1:72" x14ac:dyDescent="0.35">
      <c r="A517" t="s">
        <v>72</v>
      </c>
      <c r="B517" t="s">
        <v>9675</v>
      </c>
      <c r="C517" t="s">
        <v>74</v>
      </c>
      <c r="D517" t="s">
        <v>74</v>
      </c>
      <c r="E517" t="s">
        <v>74</v>
      </c>
      <c r="F517" t="s">
        <v>9676</v>
      </c>
      <c r="G517" t="s">
        <v>74</v>
      </c>
      <c r="H517" t="s">
        <v>74</v>
      </c>
      <c r="I517" t="s">
        <v>9677</v>
      </c>
      <c r="J517" t="s">
        <v>2493</v>
      </c>
      <c r="K517" t="s">
        <v>74</v>
      </c>
      <c r="L517" t="s">
        <v>74</v>
      </c>
      <c r="M517" t="s">
        <v>78</v>
      </c>
      <c r="N517" t="s">
        <v>52</v>
      </c>
      <c r="O517" t="s">
        <v>9678</v>
      </c>
      <c r="P517" t="s">
        <v>9679</v>
      </c>
      <c r="Q517" t="s">
        <v>6651</v>
      </c>
      <c r="R517" t="s">
        <v>9680</v>
      </c>
      <c r="S517" t="s">
        <v>74</v>
      </c>
      <c r="T517" t="s">
        <v>74</v>
      </c>
      <c r="U517" t="s">
        <v>74</v>
      </c>
      <c r="V517" t="s">
        <v>74</v>
      </c>
      <c r="W517" t="s">
        <v>9681</v>
      </c>
      <c r="X517" t="s">
        <v>9682</v>
      </c>
      <c r="Y517" t="s">
        <v>74</v>
      </c>
      <c r="Z517" t="s">
        <v>74</v>
      </c>
      <c r="AA517" t="s">
        <v>74</v>
      </c>
      <c r="AB517" t="s">
        <v>74</v>
      </c>
      <c r="AC517" t="s">
        <v>74</v>
      </c>
      <c r="AD517" t="s">
        <v>74</v>
      </c>
      <c r="AE517" t="s">
        <v>74</v>
      </c>
      <c r="AF517" t="s">
        <v>74</v>
      </c>
      <c r="AG517">
        <v>0</v>
      </c>
      <c r="AH517">
        <v>0</v>
      </c>
      <c r="AI517">
        <v>0</v>
      </c>
      <c r="AJ517">
        <v>0</v>
      </c>
      <c r="AK517">
        <v>0</v>
      </c>
      <c r="AL517" t="s">
        <v>2027</v>
      </c>
      <c r="AM517" t="s">
        <v>666</v>
      </c>
      <c r="AN517" t="s">
        <v>2028</v>
      </c>
      <c r="AO517" t="s">
        <v>2498</v>
      </c>
      <c r="AP517" t="s">
        <v>2499</v>
      </c>
      <c r="AQ517" t="s">
        <v>74</v>
      </c>
      <c r="AR517" t="s">
        <v>2500</v>
      </c>
      <c r="AS517" t="s">
        <v>2501</v>
      </c>
      <c r="AT517" t="s">
        <v>455</v>
      </c>
      <c r="AU517">
        <v>2023</v>
      </c>
      <c r="AV517">
        <v>89</v>
      </c>
      <c r="AW517">
        <v>3</v>
      </c>
      <c r="AX517" t="s">
        <v>74</v>
      </c>
      <c r="AY517" t="s">
        <v>4946</v>
      </c>
      <c r="AZ517" t="s">
        <v>74</v>
      </c>
      <c r="BA517">
        <v>44600</v>
      </c>
      <c r="BB517" t="s">
        <v>9683</v>
      </c>
      <c r="BC517" t="s">
        <v>9683</v>
      </c>
      <c r="BD517" t="s">
        <v>74</v>
      </c>
      <c r="BE517" t="s">
        <v>74</v>
      </c>
      <c r="BF517" t="s">
        <v>74</v>
      </c>
      <c r="BG517" t="s">
        <v>74</v>
      </c>
      <c r="BH517" t="s">
        <v>74</v>
      </c>
      <c r="BI517">
        <v>1</v>
      </c>
      <c r="BJ517" t="s">
        <v>1341</v>
      </c>
      <c r="BK517" t="s">
        <v>2257</v>
      </c>
      <c r="BL517" t="s">
        <v>1341</v>
      </c>
      <c r="BM517" t="s">
        <v>9684</v>
      </c>
      <c r="BN517" t="s">
        <v>74</v>
      </c>
      <c r="BO517" t="s">
        <v>74</v>
      </c>
      <c r="BP517" t="s">
        <v>74</v>
      </c>
      <c r="BQ517" t="s">
        <v>74</v>
      </c>
      <c r="BR517" t="s">
        <v>102</v>
      </c>
      <c r="BS517" t="s">
        <v>9685</v>
      </c>
      <c r="BT517" t="str">
        <f>HYPERLINK("https%3A%2F%2Fwww.webofscience.com%2Fwos%2Fwoscc%2Ffull-record%2FWOS:001078492800441","View Full Record in Web of Science")</f>
        <v>View Full Record in Web of Science</v>
      </c>
    </row>
    <row r="518" spans="1:72" x14ac:dyDescent="0.35">
      <c r="A518" t="s">
        <v>72</v>
      </c>
      <c r="B518" t="s">
        <v>9686</v>
      </c>
      <c r="C518" t="s">
        <v>74</v>
      </c>
      <c r="D518" t="s">
        <v>74</v>
      </c>
      <c r="E518" t="s">
        <v>74</v>
      </c>
      <c r="F518" t="s">
        <v>9687</v>
      </c>
      <c r="G518" t="s">
        <v>74</v>
      </c>
      <c r="H518" t="s">
        <v>74</v>
      </c>
      <c r="I518" t="s">
        <v>9688</v>
      </c>
      <c r="J518" t="s">
        <v>9689</v>
      </c>
      <c r="K518" t="s">
        <v>74</v>
      </c>
      <c r="L518" t="s">
        <v>74</v>
      </c>
      <c r="M518" t="s">
        <v>78</v>
      </c>
      <c r="N518" t="s">
        <v>108</v>
      </c>
      <c r="O518" t="s">
        <v>74</v>
      </c>
      <c r="P518" t="s">
        <v>74</v>
      </c>
      <c r="Q518" t="s">
        <v>74</v>
      </c>
      <c r="R518" t="s">
        <v>74</v>
      </c>
      <c r="S518" t="s">
        <v>74</v>
      </c>
      <c r="T518" t="s">
        <v>9690</v>
      </c>
      <c r="U518" t="s">
        <v>74</v>
      </c>
      <c r="V518" t="s">
        <v>9691</v>
      </c>
      <c r="W518" t="s">
        <v>9692</v>
      </c>
      <c r="X518" t="s">
        <v>74</v>
      </c>
      <c r="Y518" t="s">
        <v>9693</v>
      </c>
      <c r="Z518" t="s">
        <v>9694</v>
      </c>
      <c r="AA518" t="s">
        <v>74</v>
      </c>
      <c r="AB518" t="s">
        <v>74</v>
      </c>
      <c r="AC518" t="s">
        <v>74</v>
      </c>
      <c r="AD518" t="s">
        <v>74</v>
      </c>
      <c r="AE518" t="s">
        <v>74</v>
      </c>
      <c r="AF518" t="s">
        <v>74</v>
      </c>
      <c r="AG518">
        <v>55</v>
      </c>
      <c r="AH518">
        <v>0</v>
      </c>
      <c r="AI518">
        <v>0</v>
      </c>
      <c r="AJ518">
        <v>2</v>
      </c>
      <c r="AK518">
        <v>2</v>
      </c>
      <c r="AL518" t="s">
        <v>88</v>
      </c>
      <c r="AM518" t="s">
        <v>89</v>
      </c>
      <c r="AN518" t="s">
        <v>90</v>
      </c>
      <c r="AO518" t="s">
        <v>9695</v>
      </c>
      <c r="AP518" t="s">
        <v>9696</v>
      </c>
      <c r="AQ518" t="s">
        <v>74</v>
      </c>
      <c r="AR518" t="s">
        <v>9697</v>
      </c>
      <c r="AS518" t="s">
        <v>9698</v>
      </c>
      <c r="AT518" t="s">
        <v>121</v>
      </c>
      <c r="AU518">
        <v>2024</v>
      </c>
      <c r="AV518">
        <v>32</v>
      </c>
      <c r="AW518">
        <v>2</v>
      </c>
      <c r="AX518" t="s">
        <v>74</v>
      </c>
      <c r="AY518" t="s">
        <v>74</v>
      </c>
      <c r="AZ518" t="s">
        <v>74</v>
      </c>
      <c r="BA518" t="s">
        <v>74</v>
      </c>
      <c r="BB518">
        <v>246</v>
      </c>
      <c r="BC518">
        <v>261</v>
      </c>
      <c r="BD518" t="s">
        <v>74</v>
      </c>
      <c r="BE518" t="s">
        <v>9699</v>
      </c>
      <c r="BF518" t="str">
        <f>HYPERLINK("http://dx.doi.org/10.1080/09670882.2024.2339431","http://dx.doi.org/10.1080/09670882.2024.2339431")</f>
        <v>http://dx.doi.org/10.1080/09670882.2024.2339431</v>
      </c>
      <c r="BG518" t="s">
        <v>74</v>
      </c>
      <c r="BH518" t="s">
        <v>2410</v>
      </c>
      <c r="BI518">
        <v>16</v>
      </c>
      <c r="BJ518" t="s">
        <v>4461</v>
      </c>
      <c r="BK518" t="s">
        <v>316</v>
      </c>
      <c r="BL518" t="s">
        <v>4462</v>
      </c>
      <c r="BM518" t="s">
        <v>9700</v>
      </c>
      <c r="BN518" t="s">
        <v>74</v>
      </c>
      <c r="BO518" t="s">
        <v>156</v>
      </c>
      <c r="BP518" t="s">
        <v>74</v>
      </c>
      <c r="BQ518" t="s">
        <v>74</v>
      </c>
      <c r="BR518" t="s">
        <v>102</v>
      </c>
      <c r="BS518" t="s">
        <v>9701</v>
      </c>
      <c r="BT518" t="str">
        <f>HYPERLINK("https%3A%2F%2Fwww.webofscience.com%2Fwos%2Fwoscc%2Ffull-record%2FWOS:001203593300001","View Full Record in Web of Science")</f>
        <v>View Full Record in Web of Science</v>
      </c>
    </row>
    <row r="519" spans="1:72" x14ac:dyDescent="0.35">
      <c r="A519" t="s">
        <v>72</v>
      </c>
      <c r="B519" t="s">
        <v>9702</v>
      </c>
      <c r="C519" t="s">
        <v>74</v>
      </c>
      <c r="D519" t="s">
        <v>74</v>
      </c>
      <c r="E519" t="s">
        <v>74</v>
      </c>
      <c r="F519" t="s">
        <v>9703</v>
      </c>
      <c r="G519" t="s">
        <v>74</v>
      </c>
      <c r="H519" t="s">
        <v>74</v>
      </c>
      <c r="I519" t="s">
        <v>9704</v>
      </c>
      <c r="J519" t="s">
        <v>1740</v>
      </c>
      <c r="K519" t="s">
        <v>74</v>
      </c>
      <c r="L519" t="s">
        <v>74</v>
      </c>
      <c r="M519" t="s">
        <v>78</v>
      </c>
      <c r="N519" t="s">
        <v>374</v>
      </c>
      <c r="O519" t="s">
        <v>74</v>
      </c>
      <c r="P519" t="s">
        <v>74</v>
      </c>
      <c r="Q519" t="s">
        <v>74</v>
      </c>
      <c r="R519" t="s">
        <v>74</v>
      </c>
      <c r="S519" t="s">
        <v>74</v>
      </c>
      <c r="T519" t="s">
        <v>9705</v>
      </c>
      <c r="U519" t="s">
        <v>9706</v>
      </c>
      <c r="V519" t="s">
        <v>9707</v>
      </c>
      <c r="W519" t="s">
        <v>9708</v>
      </c>
      <c r="X519" t="s">
        <v>9709</v>
      </c>
      <c r="Y519" t="s">
        <v>9710</v>
      </c>
      <c r="Z519" t="s">
        <v>9711</v>
      </c>
      <c r="AA519" t="s">
        <v>9712</v>
      </c>
      <c r="AB519" t="s">
        <v>9713</v>
      </c>
      <c r="AC519" t="s">
        <v>74</v>
      </c>
      <c r="AD519" t="s">
        <v>74</v>
      </c>
      <c r="AE519" t="s">
        <v>74</v>
      </c>
      <c r="AF519" t="s">
        <v>74</v>
      </c>
      <c r="AG519">
        <v>118</v>
      </c>
      <c r="AH519">
        <v>0</v>
      </c>
      <c r="AI519">
        <v>0</v>
      </c>
      <c r="AJ519">
        <v>3</v>
      </c>
      <c r="AK519">
        <v>3</v>
      </c>
      <c r="AL519" t="s">
        <v>1195</v>
      </c>
      <c r="AM519" t="s">
        <v>1196</v>
      </c>
      <c r="AN519" t="s">
        <v>1197</v>
      </c>
      <c r="AO519" t="s">
        <v>74</v>
      </c>
      <c r="AP519" t="s">
        <v>1748</v>
      </c>
      <c r="AQ519" t="s">
        <v>74</v>
      </c>
      <c r="AR519" t="s">
        <v>1749</v>
      </c>
      <c r="AS519" t="s">
        <v>1750</v>
      </c>
      <c r="AT519" t="s">
        <v>455</v>
      </c>
      <c r="AU519">
        <v>2024</v>
      </c>
      <c r="AV519">
        <v>5</v>
      </c>
      <c r="AW519">
        <v>3</v>
      </c>
      <c r="AX519" t="s">
        <v>74</v>
      </c>
      <c r="AY519" t="s">
        <v>74</v>
      </c>
      <c r="AZ519" t="s">
        <v>74</v>
      </c>
      <c r="BA519" t="s">
        <v>74</v>
      </c>
      <c r="BB519">
        <v>1395</v>
      </c>
      <c r="BC519">
        <v>1412</v>
      </c>
      <c r="BD519" t="s">
        <v>74</v>
      </c>
      <c r="BE519" t="s">
        <v>9714</v>
      </c>
      <c r="BF519" t="str">
        <f>HYPERLINK("http://dx.doi.org/10.3390/journalmedia5030088","http://dx.doi.org/10.3390/journalmedia5030088")</f>
        <v>http://dx.doi.org/10.3390/journalmedia5030088</v>
      </c>
      <c r="BG519" t="s">
        <v>74</v>
      </c>
      <c r="BH519" t="s">
        <v>74</v>
      </c>
      <c r="BI519">
        <v>18</v>
      </c>
      <c r="BJ519" t="s">
        <v>124</v>
      </c>
      <c r="BK519" t="s">
        <v>125</v>
      </c>
      <c r="BL519" t="s">
        <v>124</v>
      </c>
      <c r="BM519" t="s">
        <v>9715</v>
      </c>
      <c r="BN519" t="s">
        <v>74</v>
      </c>
      <c r="BO519" t="s">
        <v>235</v>
      </c>
      <c r="BP519" t="s">
        <v>74</v>
      </c>
      <c r="BQ519" t="s">
        <v>74</v>
      </c>
      <c r="BR519" t="s">
        <v>102</v>
      </c>
      <c r="BS519" t="s">
        <v>9716</v>
      </c>
      <c r="BT519" t="str">
        <f>HYPERLINK("https%3A%2F%2Fwww.webofscience.com%2Fwos%2Fwoscc%2Ffull-record%2FWOS:001323953100001","View Full Record in Web of Science")</f>
        <v>View Full Record in Web of Science</v>
      </c>
    </row>
    <row r="520" spans="1:72" x14ac:dyDescent="0.35">
      <c r="A520" t="s">
        <v>72</v>
      </c>
      <c r="B520" t="s">
        <v>9717</v>
      </c>
      <c r="C520" t="s">
        <v>74</v>
      </c>
      <c r="D520" t="s">
        <v>74</v>
      </c>
      <c r="E520" t="s">
        <v>74</v>
      </c>
      <c r="F520" t="s">
        <v>9718</v>
      </c>
      <c r="G520" t="s">
        <v>74</v>
      </c>
      <c r="H520" t="s">
        <v>74</v>
      </c>
      <c r="I520" t="s">
        <v>9719</v>
      </c>
      <c r="J520" t="s">
        <v>9720</v>
      </c>
      <c r="K520" t="s">
        <v>74</v>
      </c>
      <c r="L520" t="s">
        <v>74</v>
      </c>
      <c r="M520" t="s">
        <v>78</v>
      </c>
      <c r="N520" t="s">
        <v>108</v>
      </c>
      <c r="O520" t="s">
        <v>74</v>
      </c>
      <c r="P520" t="s">
        <v>74</v>
      </c>
      <c r="Q520" t="s">
        <v>74</v>
      </c>
      <c r="R520" t="s">
        <v>74</v>
      </c>
      <c r="S520" t="s">
        <v>74</v>
      </c>
      <c r="T520" t="s">
        <v>9721</v>
      </c>
      <c r="U520" t="s">
        <v>795</v>
      </c>
      <c r="V520" t="s">
        <v>9722</v>
      </c>
      <c r="W520" t="s">
        <v>9723</v>
      </c>
      <c r="X520" t="s">
        <v>9724</v>
      </c>
      <c r="Y520" t="s">
        <v>9725</v>
      </c>
      <c r="Z520" t="s">
        <v>9726</v>
      </c>
      <c r="AA520" t="s">
        <v>9727</v>
      </c>
      <c r="AB520" t="s">
        <v>9728</v>
      </c>
      <c r="AC520" t="s">
        <v>74</v>
      </c>
      <c r="AD520" t="s">
        <v>74</v>
      </c>
      <c r="AE520" t="s">
        <v>74</v>
      </c>
      <c r="AF520" t="s">
        <v>74</v>
      </c>
      <c r="AG520">
        <v>25</v>
      </c>
      <c r="AH520">
        <v>5</v>
      </c>
      <c r="AI520">
        <v>5</v>
      </c>
      <c r="AJ520">
        <v>1</v>
      </c>
      <c r="AK520">
        <v>2</v>
      </c>
      <c r="AL520" t="s">
        <v>516</v>
      </c>
      <c r="AM520" t="s">
        <v>517</v>
      </c>
      <c r="AN520" t="s">
        <v>518</v>
      </c>
      <c r="AO520" t="s">
        <v>9729</v>
      </c>
      <c r="AP520" t="s">
        <v>9730</v>
      </c>
      <c r="AQ520" t="s">
        <v>74</v>
      </c>
      <c r="AR520" t="s">
        <v>9731</v>
      </c>
      <c r="AS520" t="s">
        <v>9732</v>
      </c>
      <c r="AT520" t="s">
        <v>257</v>
      </c>
      <c r="AU520">
        <v>2023</v>
      </c>
      <c r="AV520">
        <v>29</v>
      </c>
      <c r="AW520">
        <v>4</v>
      </c>
      <c r="AX520" t="s">
        <v>74</v>
      </c>
      <c r="AY520" t="s">
        <v>74</v>
      </c>
      <c r="AZ520" t="s">
        <v>74</v>
      </c>
      <c r="BA520" t="s">
        <v>74</v>
      </c>
      <c r="BB520">
        <v>350</v>
      </c>
      <c r="BC520">
        <v>354</v>
      </c>
      <c r="BD520" t="s">
        <v>74</v>
      </c>
      <c r="BE520" t="s">
        <v>9733</v>
      </c>
      <c r="BF520" t="str">
        <f>HYPERLINK("http://dx.doi.org/10.1016/j.fas.2023.03.007","http://dx.doi.org/10.1016/j.fas.2023.03.007")</f>
        <v>http://dx.doi.org/10.1016/j.fas.2023.03.007</v>
      </c>
      <c r="BG520" t="s">
        <v>74</v>
      </c>
      <c r="BH520" t="s">
        <v>180</v>
      </c>
      <c r="BI520">
        <v>5</v>
      </c>
      <c r="BJ520" t="s">
        <v>9734</v>
      </c>
      <c r="BK520" t="s">
        <v>209</v>
      </c>
      <c r="BL520" t="s">
        <v>9734</v>
      </c>
      <c r="BM520" t="s">
        <v>9735</v>
      </c>
      <c r="BN520">
        <v>37019747</v>
      </c>
      <c r="BO520" t="s">
        <v>74</v>
      </c>
      <c r="BP520" t="s">
        <v>74</v>
      </c>
      <c r="BQ520" t="s">
        <v>74</v>
      </c>
      <c r="BR520" t="s">
        <v>102</v>
      </c>
      <c r="BS520" t="s">
        <v>9736</v>
      </c>
      <c r="BT520" t="str">
        <f>HYPERLINK("https%3A%2F%2Fwww.webofscience.com%2Fwos%2Fwoscc%2Ffull-record%2FWOS:001010898500001","View Full Record in Web of Science")</f>
        <v>View Full Record in Web of Science</v>
      </c>
    </row>
    <row r="521" spans="1:72" x14ac:dyDescent="0.35">
      <c r="A521" t="s">
        <v>72</v>
      </c>
      <c r="B521" t="s">
        <v>9737</v>
      </c>
      <c r="C521" t="s">
        <v>74</v>
      </c>
      <c r="D521" t="s">
        <v>74</v>
      </c>
      <c r="E521" t="s">
        <v>74</v>
      </c>
      <c r="F521" t="s">
        <v>9738</v>
      </c>
      <c r="G521" t="s">
        <v>74</v>
      </c>
      <c r="H521" t="s">
        <v>74</v>
      </c>
      <c r="I521" t="s">
        <v>9739</v>
      </c>
      <c r="J521" t="s">
        <v>793</v>
      </c>
      <c r="K521" t="s">
        <v>74</v>
      </c>
      <c r="L521" t="s">
        <v>74</v>
      </c>
      <c r="M521" t="s">
        <v>78</v>
      </c>
      <c r="N521" t="s">
        <v>108</v>
      </c>
      <c r="O521" t="s">
        <v>74</v>
      </c>
      <c r="P521" t="s">
        <v>74</v>
      </c>
      <c r="Q521" t="s">
        <v>74</v>
      </c>
      <c r="R521" t="s">
        <v>74</v>
      </c>
      <c r="S521" t="s">
        <v>74</v>
      </c>
      <c r="T521" t="s">
        <v>9740</v>
      </c>
      <c r="U521" t="s">
        <v>218</v>
      </c>
      <c r="V521" t="s">
        <v>9741</v>
      </c>
      <c r="W521" t="s">
        <v>9742</v>
      </c>
      <c r="X521" t="s">
        <v>9743</v>
      </c>
      <c r="Y521" t="s">
        <v>9744</v>
      </c>
      <c r="Z521" t="s">
        <v>9745</v>
      </c>
      <c r="AA521" t="s">
        <v>74</v>
      </c>
      <c r="AB521" t="s">
        <v>9746</v>
      </c>
      <c r="AC521" t="s">
        <v>74</v>
      </c>
      <c r="AD521" t="s">
        <v>74</v>
      </c>
      <c r="AE521" t="s">
        <v>74</v>
      </c>
      <c r="AF521" t="s">
        <v>74</v>
      </c>
      <c r="AG521">
        <v>17</v>
      </c>
      <c r="AH521">
        <v>14</v>
      </c>
      <c r="AI521">
        <v>14</v>
      </c>
      <c r="AJ521">
        <v>2</v>
      </c>
      <c r="AK521">
        <v>15</v>
      </c>
      <c r="AL521" t="s">
        <v>803</v>
      </c>
      <c r="AM521" t="s">
        <v>227</v>
      </c>
      <c r="AN521" t="s">
        <v>804</v>
      </c>
      <c r="AO521" t="s">
        <v>74</v>
      </c>
      <c r="AP521" t="s">
        <v>805</v>
      </c>
      <c r="AQ521" t="s">
        <v>74</v>
      </c>
      <c r="AR521" t="s">
        <v>806</v>
      </c>
      <c r="AS521" t="s">
        <v>807</v>
      </c>
      <c r="AT521" t="s">
        <v>9747</v>
      </c>
      <c r="AU521">
        <v>2022</v>
      </c>
      <c r="AV521">
        <v>14</v>
      </c>
      <c r="AW521">
        <v>2</v>
      </c>
      <c r="AX521" t="s">
        <v>74</v>
      </c>
      <c r="AY521" t="s">
        <v>74</v>
      </c>
      <c r="AZ521" t="s">
        <v>74</v>
      </c>
      <c r="BA521" t="s">
        <v>74</v>
      </c>
      <c r="BB521" t="s">
        <v>74</v>
      </c>
      <c r="BC521" t="s">
        <v>74</v>
      </c>
      <c r="BD521" t="s">
        <v>9748</v>
      </c>
      <c r="BE521" t="s">
        <v>9749</v>
      </c>
      <c r="BF521" t="str">
        <f>HYPERLINK("http://dx.doi.org/10.7759/cureus.22702","http://dx.doi.org/10.7759/cureus.22702")</f>
        <v>http://dx.doi.org/10.7759/cureus.22702</v>
      </c>
      <c r="BG521" t="s">
        <v>74</v>
      </c>
      <c r="BH521" t="s">
        <v>74</v>
      </c>
      <c r="BI521">
        <v>9</v>
      </c>
      <c r="BJ521" t="s">
        <v>811</v>
      </c>
      <c r="BK521" t="s">
        <v>125</v>
      </c>
      <c r="BL521" t="s">
        <v>812</v>
      </c>
      <c r="BM521" t="s">
        <v>9750</v>
      </c>
      <c r="BN521">
        <v>35386165</v>
      </c>
      <c r="BO521" t="s">
        <v>552</v>
      </c>
      <c r="BP521" t="s">
        <v>74</v>
      </c>
      <c r="BQ521" t="s">
        <v>74</v>
      </c>
      <c r="BR521" t="s">
        <v>102</v>
      </c>
      <c r="BS521" t="s">
        <v>9751</v>
      </c>
      <c r="BT521" t="str">
        <f>HYPERLINK("https%3A%2F%2Fwww.webofscience.com%2Fwos%2Fwoscc%2Ffull-record%2FWOS:000768587900017","View Full Record in Web of Science")</f>
        <v>View Full Record in Web of Science</v>
      </c>
    </row>
    <row r="522" spans="1:72" x14ac:dyDescent="0.35">
      <c r="A522" t="s">
        <v>72</v>
      </c>
      <c r="B522" t="s">
        <v>9752</v>
      </c>
      <c r="C522" t="s">
        <v>74</v>
      </c>
      <c r="D522" t="s">
        <v>74</v>
      </c>
      <c r="E522" t="s">
        <v>74</v>
      </c>
      <c r="F522" t="s">
        <v>9753</v>
      </c>
      <c r="G522" t="s">
        <v>74</v>
      </c>
      <c r="H522" t="s">
        <v>74</v>
      </c>
      <c r="I522" t="s">
        <v>9754</v>
      </c>
      <c r="J522" t="s">
        <v>9755</v>
      </c>
      <c r="K522" t="s">
        <v>74</v>
      </c>
      <c r="L522" t="s">
        <v>74</v>
      </c>
      <c r="M522" t="s">
        <v>78</v>
      </c>
      <c r="N522" t="s">
        <v>8268</v>
      </c>
      <c r="O522" t="s">
        <v>74</v>
      </c>
      <c r="P522" t="s">
        <v>74</v>
      </c>
      <c r="Q522" t="s">
        <v>74</v>
      </c>
      <c r="R522" t="s">
        <v>74</v>
      </c>
      <c r="S522" t="s">
        <v>74</v>
      </c>
      <c r="T522" t="s">
        <v>74</v>
      </c>
      <c r="U522" t="s">
        <v>74</v>
      </c>
      <c r="V522" t="s">
        <v>74</v>
      </c>
      <c r="W522" t="s">
        <v>9756</v>
      </c>
      <c r="X522" t="s">
        <v>9757</v>
      </c>
      <c r="Y522" t="s">
        <v>9758</v>
      </c>
      <c r="Z522" t="s">
        <v>9759</v>
      </c>
      <c r="AA522" t="s">
        <v>74</v>
      </c>
      <c r="AB522" t="s">
        <v>74</v>
      </c>
      <c r="AC522" t="s">
        <v>74</v>
      </c>
      <c r="AD522" t="s">
        <v>74</v>
      </c>
      <c r="AE522" t="s">
        <v>74</v>
      </c>
      <c r="AF522" t="s">
        <v>74</v>
      </c>
      <c r="AG522">
        <v>2</v>
      </c>
      <c r="AH522">
        <v>0</v>
      </c>
      <c r="AI522">
        <v>0</v>
      </c>
      <c r="AJ522">
        <v>2</v>
      </c>
      <c r="AK522">
        <v>3</v>
      </c>
      <c r="AL522" t="s">
        <v>88</v>
      </c>
      <c r="AM522" t="s">
        <v>89</v>
      </c>
      <c r="AN522" t="s">
        <v>90</v>
      </c>
      <c r="AO522" t="s">
        <v>9760</v>
      </c>
      <c r="AP522" t="s">
        <v>9761</v>
      </c>
      <c r="AQ522" t="s">
        <v>74</v>
      </c>
      <c r="AR522" t="s">
        <v>9762</v>
      </c>
      <c r="AS522" t="s">
        <v>9763</v>
      </c>
      <c r="AT522" t="s">
        <v>6989</v>
      </c>
      <c r="AU522">
        <v>2024</v>
      </c>
      <c r="AV522">
        <v>41</v>
      </c>
      <c r="AW522">
        <v>2</v>
      </c>
      <c r="AX522" t="s">
        <v>74</v>
      </c>
      <c r="AY522" t="s">
        <v>74</v>
      </c>
      <c r="AZ522" t="s">
        <v>74</v>
      </c>
      <c r="BA522" t="s">
        <v>74</v>
      </c>
      <c r="BB522">
        <v>169</v>
      </c>
      <c r="BC522">
        <v>171</v>
      </c>
      <c r="BD522" t="s">
        <v>74</v>
      </c>
      <c r="BE522" t="s">
        <v>9764</v>
      </c>
      <c r="BF522" t="str">
        <f>HYPERLINK("http://dx.doi.org/10.1080/15295036.2024.2332201","http://dx.doi.org/10.1080/15295036.2024.2332201")</f>
        <v>http://dx.doi.org/10.1080/15295036.2024.2332201</v>
      </c>
      <c r="BG522" t="s">
        <v>74</v>
      </c>
      <c r="BH522" t="s">
        <v>2410</v>
      </c>
      <c r="BI522">
        <v>3</v>
      </c>
      <c r="BJ522" t="s">
        <v>124</v>
      </c>
      <c r="BK522" t="s">
        <v>99</v>
      </c>
      <c r="BL522" t="s">
        <v>124</v>
      </c>
      <c r="BM522" t="s">
        <v>9765</v>
      </c>
      <c r="BN522" t="s">
        <v>74</v>
      </c>
      <c r="BO522" t="s">
        <v>74</v>
      </c>
      <c r="BP522" t="s">
        <v>74</v>
      </c>
      <c r="BQ522" t="s">
        <v>74</v>
      </c>
      <c r="BR522" t="s">
        <v>102</v>
      </c>
      <c r="BS522" t="s">
        <v>9766</v>
      </c>
      <c r="BT522" t="str">
        <f>HYPERLINK("https%3A%2F%2Fwww.webofscience.com%2Fwos%2Fwoscc%2Ffull-record%2FWOS:001197051500001","View Full Record in Web of Science")</f>
        <v>View Full Record in Web of Science</v>
      </c>
    </row>
    <row r="523" spans="1:72" x14ac:dyDescent="0.35">
      <c r="A523" t="s">
        <v>72</v>
      </c>
      <c r="B523" t="s">
        <v>9767</v>
      </c>
      <c r="C523" t="s">
        <v>74</v>
      </c>
      <c r="D523" t="s">
        <v>74</v>
      </c>
      <c r="E523" t="s">
        <v>74</v>
      </c>
      <c r="F523" t="s">
        <v>9768</v>
      </c>
      <c r="G523" t="s">
        <v>74</v>
      </c>
      <c r="H523" t="s">
        <v>74</v>
      </c>
      <c r="I523" t="s">
        <v>9769</v>
      </c>
      <c r="J523" t="s">
        <v>2649</v>
      </c>
      <c r="K523" t="s">
        <v>74</v>
      </c>
      <c r="L523" t="s">
        <v>74</v>
      </c>
      <c r="M523" t="s">
        <v>78</v>
      </c>
      <c r="N523" t="s">
        <v>108</v>
      </c>
      <c r="O523" t="s">
        <v>74</v>
      </c>
      <c r="P523" t="s">
        <v>74</v>
      </c>
      <c r="Q523" t="s">
        <v>74</v>
      </c>
      <c r="R523" t="s">
        <v>74</v>
      </c>
      <c r="S523" t="s">
        <v>74</v>
      </c>
      <c r="T523" t="s">
        <v>9770</v>
      </c>
      <c r="U523" t="s">
        <v>9771</v>
      </c>
      <c r="V523" t="s">
        <v>9772</v>
      </c>
      <c r="W523" t="s">
        <v>9773</v>
      </c>
      <c r="X523" t="s">
        <v>9774</v>
      </c>
      <c r="Y523" t="s">
        <v>9775</v>
      </c>
      <c r="Z523" t="s">
        <v>9776</v>
      </c>
      <c r="AA523" t="s">
        <v>9777</v>
      </c>
      <c r="AB523" t="s">
        <v>9778</v>
      </c>
      <c r="AC523" t="s">
        <v>74</v>
      </c>
      <c r="AD523" t="s">
        <v>74</v>
      </c>
      <c r="AE523" t="s">
        <v>74</v>
      </c>
      <c r="AF523" t="s">
        <v>74</v>
      </c>
      <c r="AG523">
        <v>72</v>
      </c>
      <c r="AH523">
        <v>21</v>
      </c>
      <c r="AI523">
        <v>21</v>
      </c>
      <c r="AJ523">
        <v>15</v>
      </c>
      <c r="AK523">
        <v>60</v>
      </c>
      <c r="AL523" t="s">
        <v>2662</v>
      </c>
      <c r="AM523" t="s">
        <v>2663</v>
      </c>
      <c r="AN523" t="s">
        <v>2664</v>
      </c>
      <c r="AO523" t="s">
        <v>2665</v>
      </c>
      <c r="AP523" t="s">
        <v>74</v>
      </c>
      <c r="AQ523" t="s">
        <v>74</v>
      </c>
      <c r="AR523" t="s">
        <v>2666</v>
      </c>
      <c r="AS523" t="s">
        <v>2667</v>
      </c>
      <c r="AT523" t="s">
        <v>74</v>
      </c>
      <c r="AU523">
        <v>2023</v>
      </c>
      <c r="AV523">
        <v>11</v>
      </c>
      <c r="AW523">
        <v>2</v>
      </c>
      <c r="AX523" t="s">
        <v>74</v>
      </c>
      <c r="AY523" t="s">
        <v>74</v>
      </c>
      <c r="AZ523" t="s">
        <v>74</v>
      </c>
      <c r="BA523" t="s">
        <v>74</v>
      </c>
      <c r="BB523">
        <v>203</v>
      </c>
      <c r="BC523">
        <v>217</v>
      </c>
      <c r="BD523" t="s">
        <v>74</v>
      </c>
      <c r="BE523" t="s">
        <v>9779</v>
      </c>
      <c r="BF523" t="str">
        <f>HYPERLINK("http://dx.doi.org/10.17645/mac.v11i2.6390","http://dx.doi.org/10.17645/mac.v11i2.6390")</f>
        <v>http://dx.doi.org/10.17645/mac.v11i2.6390</v>
      </c>
      <c r="BG523" t="s">
        <v>74</v>
      </c>
      <c r="BH523" t="s">
        <v>74</v>
      </c>
      <c r="BI523">
        <v>15</v>
      </c>
      <c r="BJ523" t="s">
        <v>124</v>
      </c>
      <c r="BK523" t="s">
        <v>99</v>
      </c>
      <c r="BL523" t="s">
        <v>124</v>
      </c>
      <c r="BM523" t="s">
        <v>2669</v>
      </c>
      <c r="BN523" t="s">
        <v>74</v>
      </c>
      <c r="BO523" t="s">
        <v>552</v>
      </c>
      <c r="BP523" t="s">
        <v>74</v>
      </c>
      <c r="BQ523" t="s">
        <v>74</v>
      </c>
      <c r="BR523" t="s">
        <v>102</v>
      </c>
      <c r="BS523" t="s">
        <v>9780</v>
      </c>
      <c r="BT523" t="str">
        <f>HYPERLINK("https%3A%2F%2Fwww.webofscience.com%2Fwos%2Fwoscc%2Ffull-record%2FWOS:000996431600009","View Full Record in Web of Science")</f>
        <v>View Full Record in Web of Science</v>
      </c>
    </row>
    <row r="524" spans="1:72" x14ac:dyDescent="0.35">
      <c r="A524" t="s">
        <v>72</v>
      </c>
      <c r="B524" t="s">
        <v>9781</v>
      </c>
      <c r="C524" t="s">
        <v>74</v>
      </c>
      <c r="D524" t="s">
        <v>74</v>
      </c>
      <c r="E524" t="s">
        <v>74</v>
      </c>
      <c r="F524" t="s">
        <v>9782</v>
      </c>
      <c r="G524" t="s">
        <v>74</v>
      </c>
      <c r="H524" t="s">
        <v>74</v>
      </c>
      <c r="I524" t="s">
        <v>9783</v>
      </c>
      <c r="J524" t="s">
        <v>9784</v>
      </c>
      <c r="K524" t="s">
        <v>74</v>
      </c>
      <c r="L524" t="s">
        <v>74</v>
      </c>
      <c r="M524" t="s">
        <v>78</v>
      </c>
      <c r="N524" t="s">
        <v>79</v>
      </c>
      <c r="O524" t="s">
        <v>74</v>
      </c>
      <c r="P524" t="s">
        <v>74</v>
      </c>
      <c r="Q524" t="s">
        <v>74</v>
      </c>
      <c r="R524" t="s">
        <v>74</v>
      </c>
      <c r="S524" t="s">
        <v>74</v>
      </c>
      <c r="T524" t="s">
        <v>9785</v>
      </c>
      <c r="U524" t="s">
        <v>9786</v>
      </c>
      <c r="V524" t="s">
        <v>9787</v>
      </c>
      <c r="W524" t="s">
        <v>9788</v>
      </c>
      <c r="X524" t="s">
        <v>9789</v>
      </c>
      <c r="Y524" t="s">
        <v>9790</v>
      </c>
      <c r="Z524" t="s">
        <v>9791</v>
      </c>
      <c r="AA524" t="s">
        <v>74</v>
      </c>
      <c r="AB524" t="s">
        <v>74</v>
      </c>
      <c r="AC524" t="s">
        <v>74</v>
      </c>
      <c r="AD524" t="s">
        <v>74</v>
      </c>
      <c r="AE524" t="s">
        <v>74</v>
      </c>
      <c r="AF524" t="s">
        <v>74</v>
      </c>
      <c r="AG524">
        <v>98</v>
      </c>
      <c r="AH524">
        <v>0</v>
      </c>
      <c r="AI524">
        <v>0</v>
      </c>
      <c r="AJ524">
        <v>0</v>
      </c>
      <c r="AK524">
        <v>0</v>
      </c>
      <c r="AL524" t="s">
        <v>9792</v>
      </c>
      <c r="AM524" t="s">
        <v>517</v>
      </c>
      <c r="AN524" t="s">
        <v>9793</v>
      </c>
      <c r="AO524" t="s">
        <v>9794</v>
      </c>
      <c r="AP524" t="s">
        <v>9795</v>
      </c>
      <c r="AQ524" t="s">
        <v>74</v>
      </c>
      <c r="AR524" t="s">
        <v>9796</v>
      </c>
      <c r="AS524" t="s">
        <v>9797</v>
      </c>
      <c r="AT524" t="s">
        <v>9798</v>
      </c>
      <c r="AU524">
        <v>2024</v>
      </c>
      <c r="AV524" t="s">
        <v>74</v>
      </c>
      <c r="AW524" t="s">
        <v>74</v>
      </c>
      <c r="AX524" t="s">
        <v>74</v>
      </c>
      <c r="AY524" t="s">
        <v>74</v>
      </c>
      <c r="AZ524" t="s">
        <v>74</v>
      </c>
      <c r="BA524" t="s">
        <v>74</v>
      </c>
      <c r="BB524" t="s">
        <v>74</v>
      </c>
      <c r="BC524" t="s">
        <v>74</v>
      </c>
      <c r="BD524" t="s">
        <v>74</v>
      </c>
      <c r="BE524" t="s">
        <v>9799</v>
      </c>
      <c r="BF524" t="str">
        <f>HYPERLINK("http://dx.doi.org/10.1075/japc.00112.lan","http://dx.doi.org/10.1075/japc.00112.lan")</f>
        <v>http://dx.doi.org/10.1075/japc.00112.lan</v>
      </c>
      <c r="BG524" t="s">
        <v>74</v>
      </c>
      <c r="BH524" t="s">
        <v>4092</v>
      </c>
      <c r="BI524">
        <v>41</v>
      </c>
      <c r="BJ524" t="s">
        <v>124</v>
      </c>
      <c r="BK524" t="s">
        <v>125</v>
      </c>
      <c r="BL524" t="s">
        <v>124</v>
      </c>
      <c r="BM524" t="s">
        <v>9800</v>
      </c>
      <c r="BN524" t="s">
        <v>74</v>
      </c>
      <c r="BO524" t="s">
        <v>74</v>
      </c>
      <c r="BP524" t="s">
        <v>74</v>
      </c>
      <c r="BQ524" t="s">
        <v>74</v>
      </c>
      <c r="BR524" t="s">
        <v>102</v>
      </c>
      <c r="BS524" t="s">
        <v>9801</v>
      </c>
      <c r="BT524" t="str">
        <f>HYPERLINK("https%3A%2F%2Fwww.webofscience.com%2Fwos%2Fwoscc%2Ffull-record%2FWOS:001353043400001","View Full Record in Web of Science")</f>
        <v>View Full Record in Web of Science</v>
      </c>
    </row>
    <row r="525" spans="1:72" x14ac:dyDescent="0.35">
      <c r="A525" t="s">
        <v>72</v>
      </c>
      <c r="B525" t="s">
        <v>9802</v>
      </c>
      <c r="C525" t="s">
        <v>74</v>
      </c>
      <c r="D525" t="s">
        <v>74</v>
      </c>
      <c r="E525" t="s">
        <v>74</v>
      </c>
      <c r="F525" t="s">
        <v>9803</v>
      </c>
      <c r="G525" t="s">
        <v>74</v>
      </c>
      <c r="H525" t="s">
        <v>74</v>
      </c>
      <c r="I525" t="s">
        <v>9804</v>
      </c>
      <c r="J525" t="s">
        <v>5221</v>
      </c>
      <c r="K525" t="s">
        <v>74</v>
      </c>
      <c r="L525" t="s">
        <v>74</v>
      </c>
      <c r="M525" t="s">
        <v>78</v>
      </c>
      <c r="N525" t="s">
        <v>108</v>
      </c>
      <c r="O525" t="s">
        <v>74</v>
      </c>
      <c r="P525" t="s">
        <v>74</v>
      </c>
      <c r="Q525" t="s">
        <v>74</v>
      </c>
      <c r="R525" t="s">
        <v>74</v>
      </c>
      <c r="S525" t="s">
        <v>74</v>
      </c>
      <c r="T525" t="s">
        <v>9805</v>
      </c>
      <c r="U525" t="s">
        <v>9806</v>
      </c>
      <c r="V525" t="s">
        <v>9807</v>
      </c>
      <c r="W525" t="s">
        <v>9808</v>
      </c>
      <c r="X525" t="s">
        <v>9809</v>
      </c>
      <c r="Y525" t="s">
        <v>9810</v>
      </c>
      <c r="Z525" t="s">
        <v>9811</v>
      </c>
      <c r="AA525" t="s">
        <v>9812</v>
      </c>
      <c r="AB525" t="s">
        <v>9813</v>
      </c>
      <c r="AC525" t="s">
        <v>9814</v>
      </c>
      <c r="AD525" t="s">
        <v>9815</v>
      </c>
      <c r="AE525" t="s">
        <v>9816</v>
      </c>
      <c r="AF525" t="s">
        <v>74</v>
      </c>
      <c r="AG525">
        <v>56</v>
      </c>
      <c r="AH525">
        <v>23</v>
      </c>
      <c r="AI525">
        <v>23</v>
      </c>
      <c r="AJ525">
        <v>20</v>
      </c>
      <c r="AK525">
        <v>114</v>
      </c>
      <c r="AL525" t="s">
        <v>5231</v>
      </c>
      <c r="AM525" t="s">
        <v>5232</v>
      </c>
      <c r="AN525" t="s">
        <v>5233</v>
      </c>
      <c r="AO525" t="s">
        <v>5234</v>
      </c>
      <c r="AP525" t="s">
        <v>5235</v>
      </c>
      <c r="AQ525" t="s">
        <v>74</v>
      </c>
      <c r="AR525" t="s">
        <v>5236</v>
      </c>
      <c r="AS525" t="s">
        <v>5237</v>
      </c>
      <c r="AT525" t="s">
        <v>9817</v>
      </c>
      <c r="AU525">
        <v>2022</v>
      </c>
      <c r="AV525">
        <v>31</v>
      </c>
      <c r="AW525">
        <v>1</v>
      </c>
      <c r="AX525" t="s">
        <v>74</v>
      </c>
      <c r="AY525" t="s">
        <v>74</v>
      </c>
      <c r="AZ525" t="s">
        <v>74</v>
      </c>
      <c r="BA525" t="s">
        <v>74</v>
      </c>
      <c r="BB525" t="s">
        <v>74</v>
      </c>
      <c r="BC525" t="s">
        <v>74</v>
      </c>
      <c r="BD525" t="s">
        <v>9818</v>
      </c>
      <c r="BE525" t="s">
        <v>9819</v>
      </c>
      <c r="BF525" t="str">
        <f>HYPERLINK("http://dx.doi.org/10.3145/epi.2022.ene.06","http://dx.doi.org/10.3145/epi.2022.ene.06")</f>
        <v>http://dx.doi.org/10.3145/epi.2022.ene.06</v>
      </c>
      <c r="BG525" t="s">
        <v>74</v>
      </c>
      <c r="BH525" t="s">
        <v>74</v>
      </c>
      <c r="BI525">
        <v>12</v>
      </c>
      <c r="BJ525" t="s">
        <v>5240</v>
      </c>
      <c r="BK525" t="s">
        <v>99</v>
      </c>
      <c r="BL525" t="s">
        <v>5240</v>
      </c>
      <c r="BM525" t="s">
        <v>9820</v>
      </c>
      <c r="BN525" t="s">
        <v>74</v>
      </c>
      <c r="BO525" t="s">
        <v>896</v>
      </c>
      <c r="BP525" t="s">
        <v>74</v>
      </c>
      <c r="BQ525" t="s">
        <v>74</v>
      </c>
      <c r="BR525" t="s">
        <v>102</v>
      </c>
      <c r="BS525" t="s">
        <v>9821</v>
      </c>
      <c r="BT525" t="str">
        <f>HYPERLINK("https%3A%2F%2Fwww.webofscience.com%2Fwos%2Fwoscc%2Ffull-record%2FWOS:000772538800016","View Full Record in Web of Science")</f>
        <v>View Full Record in Web of Science</v>
      </c>
    </row>
    <row r="526" spans="1:72" x14ac:dyDescent="0.35">
      <c r="A526" t="s">
        <v>72</v>
      </c>
      <c r="B526" t="s">
        <v>7959</v>
      </c>
      <c r="C526" t="s">
        <v>74</v>
      </c>
      <c r="D526" t="s">
        <v>74</v>
      </c>
      <c r="E526" t="s">
        <v>74</v>
      </c>
      <c r="F526" t="s">
        <v>7959</v>
      </c>
      <c r="G526" t="s">
        <v>74</v>
      </c>
      <c r="H526" t="s">
        <v>74</v>
      </c>
      <c r="I526" t="s">
        <v>9822</v>
      </c>
      <c r="J526" t="s">
        <v>8561</v>
      </c>
      <c r="K526" t="s">
        <v>74</v>
      </c>
      <c r="L526" t="s">
        <v>74</v>
      </c>
      <c r="M526" t="s">
        <v>1012</v>
      </c>
      <c r="N526" t="s">
        <v>2042</v>
      </c>
      <c r="O526" t="s">
        <v>74</v>
      </c>
      <c r="P526" t="s">
        <v>74</v>
      </c>
      <c r="Q526" t="s">
        <v>74</v>
      </c>
      <c r="R526" t="s">
        <v>74</v>
      </c>
      <c r="S526" t="s">
        <v>74</v>
      </c>
      <c r="T526" t="s">
        <v>74</v>
      </c>
      <c r="U526" t="s">
        <v>74</v>
      </c>
      <c r="V526" t="s">
        <v>74</v>
      </c>
      <c r="W526" t="s">
        <v>74</v>
      </c>
      <c r="X526" t="s">
        <v>74</v>
      </c>
      <c r="Y526" t="s">
        <v>74</v>
      </c>
      <c r="Z526" t="s">
        <v>74</v>
      </c>
      <c r="AA526" t="s">
        <v>74</v>
      </c>
      <c r="AB526" t="s">
        <v>74</v>
      </c>
      <c r="AC526" t="s">
        <v>74</v>
      </c>
      <c r="AD526" t="s">
        <v>74</v>
      </c>
      <c r="AE526" t="s">
        <v>74</v>
      </c>
      <c r="AF526" t="s">
        <v>74</v>
      </c>
      <c r="AG526">
        <v>0</v>
      </c>
      <c r="AH526">
        <v>0</v>
      </c>
      <c r="AI526">
        <v>0</v>
      </c>
      <c r="AJ526">
        <v>1</v>
      </c>
      <c r="AK526">
        <v>6</v>
      </c>
      <c r="AL526" t="s">
        <v>8566</v>
      </c>
      <c r="AM526" t="s">
        <v>8567</v>
      </c>
      <c r="AN526" t="s">
        <v>8568</v>
      </c>
      <c r="AO526" t="s">
        <v>8569</v>
      </c>
      <c r="AP526" t="s">
        <v>74</v>
      </c>
      <c r="AQ526" t="s">
        <v>74</v>
      </c>
      <c r="AR526" t="s">
        <v>8561</v>
      </c>
      <c r="AS526" t="s">
        <v>8570</v>
      </c>
      <c r="AT526" t="s">
        <v>297</v>
      </c>
      <c r="AU526">
        <v>2022</v>
      </c>
      <c r="AV526">
        <v>69</v>
      </c>
      <c r="AW526">
        <v>8</v>
      </c>
      <c r="AX526" t="s">
        <v>74</v>
      </c>
      <c r="AY526" t="s">
        <v>74</v>
      </c>
      <c r="AZ526" t="s">
        <v>74</v>
      </c>
      <c r="BA526" t="s">
        <v>74</v>
      </c>
      <c r="BB526" t="s">
        <v>9823</v>
      </c>
      <c r="BC526" t="s">
        <v>9823</v>
      </c>
      <c r="BD526" t="s">
        <v>74</v>
      </c>
      <c r="BE526" t="s">
        <v>74</v>
      </c>
      <c r="BF526" t="s">
        <v>74</v>
      </c>
      <c r="BG526" t="s">
        <v>74</v>
      </c>
      <c r="BH526" t="s">
        <v>74</v>
      </c>
      <c r="BI526">
        <v>1</v>
      </c>
      <c r="BJ526" t="s">
        <v>1071</v>
      </c>
      <c r="BK526" t="s">
        <v>209</v>
      </c>
      <c r="BL526" t="s">
        <v>1071</v>
      </c>
      <c r="BM526" t="s">
        <v>9824</v>
      </c>
      <c r="BN526" t="s">
        <v>74</v>
      </c>
      <c r="BO526" t="s">
        <v>74</v>
      </c>
      <c r="BP526" t="s">
        <v>74</v>
      </c>
      <c r="BQ526" t="s">
        <v>74</v>
      </c>
      <c r="BR526" t="s">
        <v>102</v>
      </c>
      <c r="BS526" t="s">
        <v>9825</v>
      </c>
      <c r="BT526" t="str">
        <f>HYPERLINK("https%3A%2F%2Fwww.webofscience.com%2Fwos%2Fwoscc%2Ffull-record%2FWOS:000861103300001","View Full Record in Web of Science")</f>
        <v>View Full Record in Web of Science</v>
      </c>
    </row>
    <row r="527" spans="1:72" x14ac:dyDescent="0.35">
      <c r="A527" t="s">
        <v>72</v>
      </c>
      <c r="B527" t="s">
        <v>9826</v>
      </c>
      <c r="C527" t="s">
        <v>74</v>
      </c>
      <c r="D527" t="s">
        <v>74</v>
      </c>
      <c r="E527" t="s">
        <v>74</v>
      </c>
      <c r="F527" t="s">
        <v>9827</v>
      </c>
      <c r="G527" t="s">
        <v>74</v>
      </c>
      <c r="H527" t="s">
        <v>74</v>
      </c>
      <c r="I527" t="s">
        <v>9828</v>
      </c>
      <c r="J527" t="s">
        <v>9829</v>
      </c>
      <c r="K527" t="s">
        <v>74</v>
      </c>
      <c r="L527" t="s">
        <v>74</v>
      </c>
      <c r="M527" t="s">
        <v>78</v>
      </c>
      <c r="N527" t="s">
        <v>8268</v>
      </c>
      <c r="O527" t="s">
        <v>74</v>
      </c>
      <c r="P527" t="s">
        <v>74</v>
      </c>
      <c r="Q527" t="s">
        <v>74</v>
      </c>
      <c r="R527" t="s">
        <v>74</v>
      </c>
      <c r="S527" t="s">
        <v>74</v>
      </c>
      <c r="T527" t="s">
        <v>74</v>
      </c>
      <c r="U527" t="s">
        <v>74</v>
      </c>
      <c r="V527" t="s">
        <v>74</v>
      </c>
      <c r="W527" t="s">
        <v>9830</v>
      </c>
      <c r="X527" t="s">
        <v>9831</v>
      </c>
      <c r="Y527" t="s">
        <v>9832</v>
      </c>
      <c r="Z527" t="s">
        <v>74</v>
      </c>
      <c r="AA527" t="s">
        <v>74</v>
      </c>
      <c r="AB527" t="s">
        <v>74</v>
      </c>
      <c r="AC527" t="s">
        <v>74</v>
      </c>
      <c r="AD527" t="s">
        <v>74</v>
      </c>
      <c r="AE527" t="s">
        <v>74</v>
      </c>
      <c r="AF527" t="s">
        <v>74</v>
      </c>
      <c r="AG527">
        <v>3</v>
      </c>
      <c r="AH527">
        <v>0</v>
      </c>
      <c r="AI527">
        <v>0</v>
      </c>
      <c r="AJ527">
        <v>0</v>
      </c>
      <c r="AK527">
        <v>1</v>
      </c>
      <c r="AL527" t="s">
        <v>1061</v>
      </c>
      <c r="AM527" t="s">
        <v>666</v>
      </c>
      <c r="AN527" t="s">
        <v>9833</v>
      </c>
      <c r="AO527" t="s">
        <v>9834</v>
      </c>
      <c r="AP527" t="s">
        <v>9835</v>
      </c>
      <c r="AQ527" t="s">
        <v>74</v>
      </c>
      <c r="AR527" t="s">
        <v>9836</v>
      </c>
      <c r="AS527" t="s">
        <v>9837</v>
      </c>
      <c r="AT527" t="s">
        <v>930</v>
      </c>
      <c r="AU527">
        <v>2022</v>
      </c>
      <c r="AV527">
        <v>54</v>
      </c>
      <c r="AW527">
        <v>1</v>
      </c>
      <c r="AX527" t="s">
        <v>74</v>
      </c>
      <c r="AY527" t="s">
        <v>74</v>
      </c>
      <c r="AZ527" t="s">
        <v>74</v>
      </c>
      <c r="BA527" t="s">
        <v>74</v>
      </c>
      <c r="BB527">
        <v>115</v>
      </c>
      <c r="BC527">
        <v>117</v>
      </c>
      <c r="BD527" t="s">
        <v>74</v>
      </c>
      <c r="BE527" t="s">
        <v>9838</v>
      </c>
      <c r="BF527" t="str">
        <f>HYPERLINK("http://dx.doi.org/10.1017/S0149767722000079","http://dx.doi.org/10.1017/S0149767722000079")</f>
        <v>http://dx.doi.org/10.1017/S0149767722000079</v>
      </c>
      <c r="BG527" t="s">
        <v>74</v>
      </c>
      <c r="BH527" t="s">
        <v>74</v>
      </c>
      <c r="BI527">
        <v>3</v>
      </c>
      <c r="BJ527" t="s">
        <v>2344</v>
      </c>
      <c r="BK527" t="s">
        <v>316</v>
      </c>
      <c r="BL527" t="s">
        <v>2344</v>
      </c>
      <c r="BM527" t="s">
        <v>9839</v>
      </c>
      <c r="BN527" t="s">
        <v>74</v>
      </c>
      <c r="BO527" t="s">
        <v>74</v>
      </c>
      <c r="BP527" t="s">
        <v>74</v>
      </c>
      <c r="BQ527" t="s">
        <v>74</v>
      </c>
      <c r="BR527" t="s">
        <v>102</v>
      </c>
      <c r="BS527" t="s">
        <v>9840</v>
      </c>
      <c r="BT527" t="str">
        <f>HYPERLINK("https%3A%2F%2Fwww.webofscience.com%2Fwos%2Fwoscc%2Ffull-record%2FWOS:000798855300010","View Full Record in Web of Science")</f>
        <v>View Full Record in Web of Science</v>
      </c>
    </row>
    <row r="528" spans="1:72" x14ac:dyDescent="0.35">
      <c r="A528" t="s">
        <v>72</v>
      </c>
      <c r="B528" t="s">
        <v>9841</v>
      </c>
      <c r="C528" t="s">
        <v>74</v>
      </c>
      <c r="D528" t="s">
        <v>74</v>
      </c>
      <c r="E528" t="s">
        <v>74</v>
      </c>
      <c r="F528" t="s">
        <v>9842</v>
      </c>
      <c r="G528" t="s">
        <v>74</v>
      </c>
      <c r="H528" t="s">
        <v>74</v>
      </c>
      <c r="I528" t="s">
        <v>9843</v>
      </c>
      <c r="J528" t="s">
        <v>9844</v>
      </c>
      <c r="K528" t="s">
        <v>74</v>
      </c>
      <c r="L528" t="s">
        <v>74</v>
      </c>
      <c r="M528" t="s">
        <v>78</v>
      </c>
      <c r="N528" t="s">
        <v>52</v>
      </c>
      <c r="O528" t="s">
        <v>9845</v>
      </c>
      <c r="P528" t="s">
        <v>9846</v>
      </c>
      <c r="Q528" t="s">
        <v>9847</v>
      </c>
      <c r="R528" t="s">
        <v>9848</v>
      </c>
      <c r="S528" t="s">
        <v>74</v>
      </c>
      <c r="T528" t="s">
        <v>74</v>
      </c>
      <c r="U528" t="s">
        <v>74</v>
      </c>
      <c r="V528" t="s">
        <v>74</v>
      </c>
      <c r="W528" t="s">
        <v>9849</v>
      </c>
      <c r="X528" t="s">
        <v>9850</v>
      </c>
      <c r="Y528" t="s">
        <v>74</v>
      </c>
      <c r="Z528" t="s">
        <v>74</v>
      </c>
      <c r="AA528" t="s">
        <v>9851</v>
      </c>
      <c r="AB528" t="s">
        <v>74</v>
      </c>
      <c r="AC528" t="s">
        <v>74</v>
      </c>
      <c r="AD528" t="s">
        <v>74</v>
      </c>
      <c r="AE528" t="s">
        <v>74</v>
      </c>
      <c r="AF528" t="s">
        <v>74</v>
      </c>
      <c r="AG528">
        <v>0</v>
      </c>
      <c r="AH528">
        <v>0</v>
      </c>
      <c r="AI528">
        <v>0</v>
      </c>
      <c r="AJ528">
        <v>0</v>
      </c>
      <c r="AK528">
        <v>0</v>
      </c>
      <c r="AL528" t="s">
        <v>251</v>
      </c>
      <c r="AM528" t="s">
        <v>252</v>
      </c>
      <c r="AN528" t="s">
        <v>253</v>
      </c>
      <c r="AO528" t="s">
        <v>9852</v>
      </c>
      <c r="AP528" t="s">
        <v>9853</v>
      </c>
      <c r="AQ528" t="s">
        <v>74</v>
      </c>
      <c r="AR528" t="s">
        <v>9854</v>
      </c>
      <c r="AS528" t="s">
        <v>9855</v>
      </c>
      <c r="AT528" t="s">
        <v>273</v>
      </c>
      <c r="AU528">
        <v>2024</v>
      </c>
      <c r="AV528">
        <v>86</v>
      </c>
      <c r="AW528" t="s">
        <v>74</v>
      </c>
      <c r="AX528" t="s">
        <v>74</v>
      </c>
      <c r="AY528">
        <v>1</v>
      </c>
      <c r="AZ528" t="s">
        <v>74</v>
      </c>
      <c r="BA528">
        <v>25</v>
      </c>
      <c r="BB528" t="s">
        <v>74</v>
      </c>
      <c r="BC528" t="s">
        <v>74</v>
      </c>
      <c r="BD528" t="s">
        <v>74</v>
      </c>
      <c r="BE528" t="s">
        <v>74</v>
      </c>
      <c r="BF528" t="s">
        <v>74</v>
      </c>
      <c r="BG528" t="s">
        <v>74</v>
      </c>
      <c r="BH528" t="s">
        <v>74</v>
      </c>
      <c r="BI528">
        <v>1</v>
      </c>
      <c r="BJ528" t="s">
        <v>9856</v>
      </c>
      <c r="BK528" t="s">
        <v>2257</v>
      </c>
      <c r="BL528" t="s">
        <v>9856</v>
      </c>
      <c r="BM528" t="s">
        <v>9857</v>
      </c>
      <c r="BN528" t="s">
        <v>74</v>
      </c>
      <c r="BO528" t="s">
        <v>74</v>
      </c>
      <c r="BP528" t="s">
        <v>74</v>
      </c>
      <c r="BQ528" t="s">
        <v>74</v>
      </c>
      <c r="BR528" t="s">
        <v>102</v>
      </c>
      <c r="BS528" t="s">
        <v>9858</v>
      </c>
      <c r="BT528" t="str">
        <f>HYPERLINK("https%3A%2F%2Fwww.webofscience.com%2Fwos%2Fwoscc%2Ffull-record%2FWOS:001319559000026","View Full Record in Web of Science")</f>
        <v>View Full Record in Web of Science</v>
      </c>
    </row>
    <row r="529" spans="1:72" x14ac:dyDescent="0.35">
      <c r="A529" t="s">
        <v>72</v>
      </c>
      <c r="B529" t="s">
        <v>9859</v>
      </c>
      <c r="C529" t="s">
        <v>74</v>
      </c>
      <c r="D529" t="s">
        <v>74</v>
      </c>
      <c r="E529" t="s">
        <v>74</v>
      </c>
      <c r="F529" t="s">
        <v>9860</v>
      </c>
      <c r="G529" t="s">
        <v>74</v>
      </c>
      <c r="H529" t="s">
        <v>74</v>
      </c>
      <c r="I529" t="s">
        <v>9861</v>
      </c>
      <c r="J529" t="s">
        <v>4192</v>
      </c>
      <c r="K529" t="s">
        <v>74</v>
      </c>
      <c r="L529" t="s">
        <v>74</v>
      </c>
      <c r="M529" t="s">
        <v>3503</v>
      </c>
      <c r="N529" t="s">
        <v>108</v>
      </c>
      <c r="O529" t="s">
        <v>74</v>
      </c>
      <c r="P529" t="s">
        <v>74</v>
      </c>
      <c r="Q529" t="s">
        <v>74</v>
      </c>
      <c r="R529" t="s">
        <v>74</v>
      </c>
      <c r="S529" t="s">
        <v>74</v>
      </c>
      <c r="T529" t="s">
        <v>9862</v>
      </c>
      <c r="U529" t="s">
        <v>74</v>
      </c>
      <c r="V529" t="s">
        <v>9863</v>
      </c>
      <c r="W529" t="s">
        <v>9864</v>
      </c>
      <c r="X529" t="s">
        <v>9865</v>
      </c>
      <c r="Y529" t="s">
        <v>9866</v>
      </c>
      <c r="Z529" t="s">
        <v>9867</v>
      </c>
      <c r="AA529" t="s">
        <v>9868</v>
      </c>
      <c r="AB529" t="s">
        <v>74</v>
      </c>
      <c r="AC529" t="s">
        <v>74</v>
      </c>
      <c r="AD529" t="s">
        <v>74</v>
      </c>
      <c r="AE529" t="s">
        <v>74</v>
      </c>
      <c r="AF529" t="s">
        <v>74</v>
      </c>
      <c r="AG529">
        <v>42</v>
      </c>
      <c r="AH529">
        <v>0</v>
      </c>
      <c r="AI529">
        <v>0</v>
      </c>
      <c r="AJ529">
        <v>8</v>
      </c>
      <c r="AK529">
        <v>15</v>
      </c>
      <c r="AL529" t="s">
        <v>4200</v>
      </c>
      <c r="AM529" t="s">
        <v>4201</v>
      </c>
      <c r="AN529" t="s">
        <v>4202</v>
      </c>
      <c r="AO529" t="s">
        <v>4203</v>
      </c>
      <c r="AP529" t="s">
        <v>4204</v>
      </c>
      <c r="AQ529" t="s">
        <v>74</v>
      </c>
      <c r="AR529" t="s">
        <v>4205</v>
      </c>
      <c r="AS529" t="s">
        <v>4206</v>
      </c>
      <c r="AT529" t="s">
        <v>1275</v>
      </c>
      <c r="AU529">
        <v>2023</v>
      </c>
      <c r="AV529" t="s">
        <v>74</v>
      </c>
      <c r="AW529">
        <v>69</v>
      </c>
      <c r="AX529" t="s">
        <v>74</v>
      </c>
      <c r="AY529" t="s">
        <v>74</v>
      </c>
      <c r="AZ529" t="s">
        <v>74</v>
      </c>
      <c r="BA529" t="s">
        <v>74</v>
      </c>
      <c r="BB529" t="s">
        <v>74</v>
      </c>
      <c r="BC529" t="s">
        <v>74</v>
      </c>
      <c r="BD529" t="s">
        <v>74</v>
      </c>
      <c r="BE529" t="s">
        <v>9869</v>
      </c>
      <c r="BF529" t="str">
        <f>HYPERLINK("http://dx.doi.org/10.5565/rev/analisi.3632","http://dx.doi.org/10.5565/rev/analisi.3632")</f>
        <v>http://dx.doi.org/10.5565/rev/analisi.3632</v>
      </c>
      <c r="BG529" t="s">
        <v>74</v>
      </c>
      <c r="BH529" t="s">
        <v>74</v>
      </c>
      <c r="BI529">
        <v>18</v>
      </c>
      <c r="BJ529" t="s">
        <v>124</v>
      </c>
      <c r="BK529" t="s">
        <v>125</v>
      </c>
      <c r="BL529" t="s">
        <v>124</v>
      </c>
      <c r="BM529" t="s">
        <v>4208</v>
      </c>
      <c r="BN529" t="s">
        <v>74</v>
      </c>
      <c r="BO529" t="s">
        <v>9870</v>
      </c>
      <c r="BP529" t="s">
        <v>74</v>
      </c>
      <c r="BQ529" t="s">
        <v>74</v>
      </c>
      <c r="BR529" t="s">
        <v>102</v>
      </c>
      <c r="BS529" t="s">
        <v>9871</v>
      </c>
      <c r="BT529" t="str">
        <f>HYPERLINK("https%3A%2F%2Fwww.webofscience.com%2Fwos%2Fwoscc%2Ffull-record%2FWOS:001141862900002","View Full Record in Web of Science")</f>
        <v>View Full Record in Web of Science</v>
      </c>
    </row>
    <row r="530" spans="1:72" x14ac:dyDescent="0.35">
      <c r="A530" t="s">
        <v>72</v>
      </c>
      <c r="B530" t="s">
        <v>9872</v>
      </c>
      <c r="C530" t="s">
        <v>74</v>
      </c>
      <c r="D530" t="s">
        <v>74</v>
      </c>
      <c r="E530" t="s">
        <v>74</v>
      </c>
      <c r="F530" t="s">
        <v>9873</v>
      </c>
      <c r="G530" t="s">
        <v>74</v>
      </c>
      <c r="H530" t="s">
        <v>74</v>
      </c>
      <c r="I530" t="s">
        <v>9874</v>
      </c>
      <c r="J530" t="s">
        <v>4135</v>
      </c>
      <c r="K530" t="s">
        <v>74</v>
      </c>
      <c r="L530" t="s">
        <v>74</v>
      </c>
      <c r="M530" t="s">
        <v>78</v>
      </c>
      <c r="N530" t="s">
        <v>108</v>
      </c>
      <c r="O530" t="s">
        <v>74</v>
      </c>
      <c r="P530" t="s">
        <v>74</v>
      </c>
      <c r="Q530" t="s">
        <v>74</v>
      </c>
      <c r="R530" t="s">
        <v>74</v>
      </c>
      <c r="S530" t="s">
        <v>74</v>
      </c>
      <c r="T530" t="s">
        <v>9875</v>
      </c>
      <c r="U530" t="s">
        <v>9876</v>
      </c>
      <c r="V530" t="s">
        <v>9877</v>
      </c>
      <c r="W530" t="s">
        <v>9878</v>
      </c>
      <c r="X530" t="s">
        <v>9879</v>
      </c>
      <c r="Y530" t="s">
        <v>9880</v>
      </c>
      <c r="Z530" t="s">
        <v>9881</v>
      </c>
      <c r="AA530" t="s">
        <v>9882</v>
      </c>
      <c r="AB530" t="s">
        <v>9883</v>
      </c>
      <c r="AC530" t="s">
        <v>74</v>
      </c>
      <c r="AD530" t="s">
        <v>74</v>
      </c>
      <c r="AE530" t="s">
        <v>74</v>
      </c>
      <c r="AF530" t="s">
        <v>74</v>
      </c>
      <c r="AG530">
        <v>167</v>
      </c>
      <c r="AH530">
        <v>15</v>
      </c>
      <c r="AI530">
        <v>15</v>
      </c>
      <c r="AJ530">
        <v>129</v>
      </c>
      <c r="AK530">
        <v>193</v>
      </c>
      <c r="AL530" t="s">
        <v>3632</v>
      </c>
      <c r="AM530" t="s">
        <v>148</v>
      </c>
      <c r="AN530" t="s">
        <v>5053</v>
      </c>
      <c r="AO530" t="s">
        <v>4148</v>
      </c>
      <c r="AP530" t="s">
        <v>4149</v>
      </c>
      <c r="AQ530" t="s">
        <v>74</v>
      </c>
      <c r="AR530" t="s">
        <v>4150</v>
      </c>
      <c r="AS530" t="s">
        <v>4151</v>
      </c>
      <c r="AT530" t="s">
        <v>745</v>
      </c>
      <c r="AU530">
        <v>2024</v>
      </c>
      <c r="AV530">
        <v>78</v>
      </c>
      <c r="AW530" t="s">
        <v>74</v>
      </c>
      <c r="AX530" t="s">
        <v>74</v>
      </c>
      <c r="AY530" t="s">
        <v>74</v>
      </c>
      <c r="AZ530" t="s">
        <v>74</v>
      </c>
      <c r="BA530" t="s">
        <v>74</v>
      </c>
      <c r="BB530" t="s">
        <v>74</v>
      </c>
      <c r="BC530" t="s">
        <v>74</v>
      </c>
      <c r="BD530">
        <v>103709</v>
      </c>
      <c r="BE530" t="s">
        <v>9884</v>
      </c>
      <c r="BF530" t="str">
        <f>HYPERLINK("http://dx.doi.org/10.1016/j.jretconser.2024.103709","http://dx.doi.org/10.1016/j.jretconser.2024.103709")</f>
        <v>http://dx.doi.org/10.1016/j.jretconser.2024.103709</v>
      </c>
      <c r="BG530" t="s">
        <v>74</v>
      </c>
      <c r="BH530" t="s">
        <v>1377</v>
      </c>
      <c r="BI530">
        <v>17</v>
      </c>
      <c r="BJ530" t="s">
        <v>1597</v>
      </c>
      <c r="BK530" t="s">
        <v>99</v>
      </c>
      <c r="BL530" t="s">
        <v>480</v>
      </c>
      <c r="BM530" t="s">
        <v>9885</v>
      </c>
      <c r="BN530" t="s">
        <v>74</v>
      </c>
      <c r="BO530" t="s">
        <v>74</v>
      </c>
      <c r="BP530" t="s">
        <v>395</v>
      </c>
      <c r="BQ530" t="s">
        <v>396</v>
      </c>
      <c r="BR530" t="s">
        <v>102</v>
      </c>
      <c r="BS530" t="s">
        <v>9886</v>
      </c>
      <c r="BT530" t="str">
        <f>HYPERLINK("https%3A%2F%2Fwww.webofscience.com%2Fwos%2Fwoscc%2Ffull-record%2FWOS:001166237200001","View Full Record in Web of Science")</f>
        <v>View Full Record in Web of Science</v>
      </c>
    </row>
    <row r="531" spans="1:72" x14ac:dyDescent="0.35">
      <c r="A531" t="s">
        <v>72</v>
      </c>
      <c r="B531" t="s">
        <v>9887</v>
      </c>
      <c r="C531" t="s">
        <v>74</v>
      </c>
      <c r="D531" t="s">
        <v>74</v>
      </c>
      <c r="E531" t="s">
        <v>74</v>
      </c>
      <c r="F531" t="s">
        <v>9888</v>
      </c>
      <c r="G531" t="s">
        <v>74</v>
      </c>
      <c r="H531" t="s">
        <v>74</v>
      </c>
      <c r="I531" t="s">
        <v>9889</v>
      </c>
      <c r="J531" t="s">
        <v>506</v>
      </c>
      <c r="K531" t="s">
        <v>74</v>
      </c>
      <c r="L531" t="s">
        <v>74</v>
      </c>
      <c r="M531" t="s">
        <v>78</v>
      </c>
      <c r="N531" t="s">
        <v>108</v>
      </c>
      <c r="O531" t="s">
        <v>74</v>
      </c>
      <c r="P531" t="s">
        <v>74</v>
      </c>
      <c r="Q531" t="s">
        <v>74</v>
      </c>
      <c r="R531" t="s">
        <v>74</v>
      </c>
      <c r="S531" t="s">
        <v>74</v>
      </c>
      <c r="T531" t="s">
        <v>9890</v>
      </c>
      <c r="U531" t="s">
        <v>9891</v>
      </c>
      <c r="V531" t="s">
        <v>9892</v>
      </c>
      <c r="W531" t="s">
        <v>9893</v>
      </c>
      <c r="X531" t="s">
        <v>9894</v>
      </c>
      <c r="Y531" t="s">
        <v>9895</v>
      </c>
      <c r="Z531" t="s">
        <v>9896</v>
      </c>
      <c r="AA531" t="s">
        <v>9897</v>
      </c>
      <c r="AB531" t="s">
        <v>9898</v>
      </c>
      <c r="AC531" t="s">
        <v>74</v>
      </c>
      <c r="AD531" t="s">
        <v>74</v>
      </c>
      <c r="AE531" t="s">
        <v>74</v>
      </c>
      <c r="AF531" t="s">
        <v>74</v>
      </c>
      <c r="AG531">
        <v>79</v>
      </c>
      <c r="AH531">
        <v>15</v>
      </c>
      <c r="AI531">
        <v>15</v>
      </c>
      <c r="AJ531">
        <v>20</v>
      </c>
      <c r="AK531">
        <v>73</v>
      </c>
      <c r="AL531" t="s">
        <v>516</v>
      </c>
      <c r="AM531" t="s">
        <v>517</v>
      </c>
      <c r="AN531" t="s">
        <v>518</v>
      </c>
      <c r="AO531" t="s">
        <v>519</v>
      </c>
      <c r="AP531" t="s">
        <v>520</v>
      </c>
      <c r="AQ531" t="s">
        <v>74</v>
      </c>
      <c r="AR531" t="s">
        <v>521</v>
      </c>
      <c r="AS531" t="s">
        <v>522</v>
      </c>
      <c r="AT531" t="s">
        <v>297</v>
      </c>
      <c r="AU531">
        <v>2023</v>
      </c>
      <c r="AV531">
        <v>238</v>
      </c>
      <c r="AW531" t="s">
        <v>74</v>
      </c>
      <c r="AX531" t="s">
        <v>74</v>
      </c>
      <c r="AY531" t="s">
        <v>74</v>
      </c>
      <c r="AZ531" t="s">
        <v>74</v>
      </c>
      <c r="BA531" t="s">
        <v>74</v>
      </c>
      <c r="BB531" t="s">
        <v>74</v>
      </c>
      <c r="BC531" t="s">
        <v>74</v>
      </c>
      <c r="BD531">
        <v>103962</v>
      </c>
      <c r="BE531" t="s">
        <v>9899</v>
      </c>
      <c r="BF531" t="str">
        <f>HYPERLINK("http://dx.doi.org/10.1016/j.actpsy.2023.103962","http://dx.doi.org/10.1016/j.actpsy.2023.103962")</f>
        <v>http://dx.doi.org/10.1016/j.actpsy.2023.103962</v>
      </c>
      <c r="BG531" t="s">
        <v>74</v>
      </c>
      <c r="BH531" t="s">
        <v>1954</v>
      </c>
      <c r="BI531">
        <v>13</v>
      </c>
      <c r="BJ531" t="s">
        <v>525</v>
      </c>
      <c r="BK531" t="s">
        <v>99</v>
      </c>
      <c r="BL531" t="s">
        <v>301</v>
      </c>
      <c r="BM531" t="s">
        <v>9900</v>
      </c>
      <c r="BN531">
        <v>37356362</v>
      </c>
      <c r="BO531" t="s">
        <v>235</v>
      </c>
      <c r="BP531" t="s">
        <v>74</v>
      </c>
      <c r="BQ531" t="s">
        <v>74</v>
      </c>
      <c r="BR531" t="s">
        <v>102</v>
      </c>
      <c r="BS531" t="s">
        <v>9901</v>
      </c>
      <c r="BT531" t="str">
        <f>HYPERLINK("https%3A%2F%2Fwww.webofscience.com%2Fwos%2Fwoscc%2Ffull-record%2FWOS:001036943000001","View Full Record in Web of Science")</f>
        <v>View Full Record in Web of Science</v>
      </c>
    </row>
    <row r="532" spans="1:72" x14ac:dyDescent="0.35">
      <c r="A532" t="s">
        <v>72</v>
      </c>
      <c r="B532" t="s">
        <v>9902</v>
      </c>
      <c r="C532" t="s">
        <v>74</v>
      </c>
      <c r="D532" t="s">
        <v>74</v>
      </c>
      <c r="E532" t="s">
        <v>74</v>
      </c>
      <c r="F532" t="s">
        <v>9903</v>
      </c>
      <c r="G532" t="s">
        <v>74</v>
      </c>
      <c r="H532" t="s">
        <v>74</v>
      </c>
      <c r="I532" t="s">
        <v>9904</v>
      </c>
      <c r="J532" t="s">
        <v>9905</v>
      </c>
      <c r="K532" t="s">
        <v>74</v>
      </c>
      <c r="L532" t="s">
        <v>74</v>
      </c>
      <c r="M532" t="s">
        <v>78</v>
      </c>
      <c r="N532" t="s">
        <v>2042</v>
      </c>
      <c r="O532" t="s">
        <v>74</v>
      </c>
      <c r="P532" t="s">
        <v>74</v>
      </c>
      <c r="Q532" t="s">
        <v>74</v>
      </c>
      <c r="R532" t="s">
        <v>74</v>
      </c>
      <c r="S532" t="s">
        <v>74</v>
      </c>
      <c r="T532" t="s">
        <v>74</v>
      </c>
      <c r="U532" t="s">
        <v>74</v>
      </c>
      <c r="V532" t="s">
        <v>74</v>
      </c>
      <c r="W532" t="s">
        <v>9906</v>
      </c>
      <c r="X532" t="s">
        <v>74</v>
      </c>
      <c r="Y532" t="s">
        <v>9907</v>
      </c>
      <c r="Z532" t="s">
        <v>74</v>
      </c>
      <c r="AA532" t="s">
        <v>74</v>
      </c>
      <c r="AB532" t="s">
        <v>74</v>
      </c>
      <c r="AC532" t="s">
        <v>74</v>
      </c>
      <c r="AD532" t="s">
        <v>74</v>
      </c>
      <c r="AE532" t="s">
        <v>74</v>
      </c>
      <c r="AF532" t="s">
        <v>74</v>
      </c>
      <c r="AG532">
        <v>0</v>
      </c>
      <c r="AH532">
        <v>1</v>
      </c>
      <c r="AI532">
        <v>2</v>
      </c>
      <c r="AJ532">
        <v>0</v>
      </c>
      <c r="AK532">
        <v>4</v>
      </c>
      <c r="AL532" t="s">
        <v>171</v>
      </c>
      <c r="AM532" t="s">
        <v>172</v>
      </c>
      <c r="AN532" t="s">
        <v>173</v>
      </c>
      <c r="AO532" t="s">
        <v>9908</v>
      </c>
      <c r="AP532" t="s">
        <v>9909</v>
      </c>
      <c r="AQ532" t="s">
        <v>74</v>
      </c>
      <c r="AR532" t="s">
        <v>9905</v>
      </c>
      <c r="AS532" t="s">
        <v>9910</v>
      </c>
      <c r="AT532" t="s">
        <v>1275</v>
      </c>
      <c r="AU532">
        <v>2021</v>
      </c>
      <c r="AV532">
        <v>103</v>
      </c>
      <c r="AW532">
        <v>4</v>
      </c>
      <c r="AX532" t="s">
        <v>74</v>
      </c>
      <c r="AY532" t="s">
        <v>74</v>
      </c>
      <c r="AZ532" t="s">
        <v>74</v>
      </c>
      <c r="BA532" t="s">
        <v>74</v>
      </c>
      <c r="BB532">
        <v>66</v>
      </c>
      <c r="BC532">
        <v>67</v>
      </c>
      <c r="BD532" t="s">
        <v>74</v>
      </c>
      <c r="BE532" t="s">
        <v>9911</v>
      </c>
      <c r="BF532" t="str">
        <f>HYPERLINK("http://dx.doi.org/10.1177/00317217211065837","http://dx.doi.org/10.1177/00317217211065837")</f>
        <v>http://dx.doi.org/10.1177/00317217211065837</v>
      </c>
      <c r="BG532" t="s">
        <v>74</v>
      </c>
      <c r="BH532" t="s">
        <v>74</v>
      </c>
      <c r="BI532">
        <v>2</v>
      </c>
      <c r="BJ532" t="s">
        <v>787</v>
      </c>
      <c r="BK532" t="s">
        <v>99</v>
      </c>
      <c r="BL532" t="s">
        <v>787</v>
      </c>
      <c r="BM532" t="s">
        <v>9912</v>
      </c>
      <c r="BN532" t="s">
        <v>74</v>
      </c>
      <c r="BO532" t="s">
        <v>74</v>
      </c>
      <c r="BP532" t="s">
        <v>74</v>
      </c>
      <c r="BQ532" t="s">
        <v>74</v>
      </c>
      <c r="BR532" t="s">
        <v>102</v>
      </c>
      <c r="BS532" t="s">
        <v>9913</v>
      </c>
      <c r="BT532" t="str">
        <f>HYPERLINK("https%3A%2F%2Fwww.webofscience.com%2Fwos%2Fwoscc%2Ffull-record%2FWOS:000727554900016","View Full Record in Web of Science")</f>
        <v>View Full Record in Web of Science</v>
      </c>
    </row>
    <row r="533" spans="1:72" x14ac:dyDescent="0.35">
      <c r="A533" t="s">
        <v>72</v>
      </c>
      <c r="B533" t="s">
        <v>9914</v>
      </c>
      <c r="C533" t="s">
        <v>74</v>
      </c>
      <c r="D533" t="s">
        <v>74</v>
      </c>
      <c r="E533" t="s">
        <v>74</v>
      </c>
      <c r="F533" t="s">
        <v>9915</v>
      </c>
      <c r="G533" t="s">
        <v>74</v>
      </c>
      <c r="H533" t="s">
        <v>74</v>
      </c>
      <c r="I533" t="s">
        <v>9916</v>
      </c>
      <c r="J533" t="s">
        <v>9917</v>
      </c>
      <c r="K533" t="s">
        <v>74</v>
      </c>
      <c r="L533" t="s">
        <v>74</v>
      </c>
      <c r="M533" t="s">
        <v>78</v>
      </c>
      <c r="N533" t="s">
        <v>52</v>
      </c>
      <c r="O533" t="s">
        <v>74</v>
      </c>
      <c r="P533" t="s">
        <v>74</v>
      </c>
      <c r="Q533" t="s">
        <v>74</v>
      </c>
      <c r="R533" t="s">
        <v>74</v>
      </c>
      <c r="S533" t="s">
        <v>74</v>
      </c>
      <c r="T533" t="s">
        <v>74</v>
      </c>
      <c r="U533" t="s">
        <v>74</v>
      </c>
      <c r="V533" t="s">
        <v>74</v>
      </c>
      <c r="W533" t="s">
        <v>9918</v>
      </c>
      <c r="X533" t="s">
        <v>9919</v>
      </c>
      <c r="Y533" t="s">
        <v>74</v>
      </c>
      <c r="Z533" t="s">
        <v>9920</v>
      </c>
      <c r="AA533" t="s">
        <v>9921</v>
      </c>
      <c r="AB533" t="s">
        <v>74</v>
      </c>
      <c r="AC533" t="s">
        <v>74</v>
      </c>
      <c r="AD533" t="s">
        <v>74</v>
      </c>
      <c r="AE533" t="s">
        <v>74</v>
      </c>
      <c r="AF533" t="s">
        <v>74</v>
      </c>
      <c r="AG533">
        <v>0</v>
      </c>
      <c r="AH533">
        <v>0</v>
      </c>
      <c r="AI533">
        <v>0</v>
      </c>
      <c r="AJ533">
        <v>0</v>
      </c>
      <c r="AK533">
        <v>0</v>
      </c>
      <c r="AL533" t="s">
        <v>251</v>
      </c>
      <c r="AM533" t="s">
        <v>252</v>
      </c>
      <c r="AN533" t="s">
        <v>253</v>
      </c>
      <c r="AO533" t="s">
        <v>9922</v>
      </c>
      <c r="AP533" t="s">
        <v>9923</v>
      </c>
      <c r="AQ533" t="s">
        <v>74</v>
      </c>
      <c r="AR533" t="s">
        <v>9924</v>
      </c>
      <c r="AS533" t="s">
        <v>9925</v>
      </c>
      <c r="AT533" t="s">
        <v>523</v>
      </c>
      <c r="AU533">
        <v>2023</v>
      </c>
      <c r="AV533">
        <v>42</v>
      </c>
      <c r="AW533" t="s">
        <v>74</v>
      </c>
      <c r="AX533" t="s">
        <v>74</v>
      </c>
      <c r="AY533">
        <v>1</v>
      </c>
      <c r="AZ533" t="s">
        <v>74</v>
      </c>
      <c r="BA533">
        <v>77</v>
      </c>
      <c r="BB533" t="s">
        <v>9926</v>
      </c>
      <c r="BC533" t="s">
        <v>9927</v>
      </c>
      <c r="BD533" t="s">
        <v>74</v>
      </c>
      <c r="BE533" t="s">
        <v>74</v>
      </c>
      <c r="BF533" t="s">
        <v>74</v>
      </c>
      <c r="BG533" t="s">
        <v>74</v>
      </c>
      <c r="BH533" t="s">
        <v>74</v>
      </c>
      <c r="BI533">
        <v>2</v>
      </c>
      <c r="BJ533" t="s">
        <v>4614</v>
      </c>
      <c r="BK533" t="s">
        <v>99</v>
      </c>
      <c r="BL533" t="s">
        <v>4614</v>
      </c>
      <c r="BM533" t="s">
        <v>9928</v>
      </c>
      <c r="BN533" t="s">
        <v>74</v>
      </c>
      <c r="BO533" t="s">
        <v>74</v>
      </c>
      <c r="BP533" t="s">
        <v>74</v>
      </c>
      <c r="BQ533" t="s">
        <v>74</v>
      </c>
      <c r="BR533" t="s">
        <v>102</v>
      </c>
      <c r="BS533" t="s">
        <v>9929</v>
      </c>
      <c r="BT533" t="str">
        <f>HYPERLINK("https%3A%2F%2Fwww.webofscience.com%2Fwos%2Fwoscc%2Ffull-record%2FWOS:001166273900273","View Full Record in Web of Science")</f>
        <v>View Full Record in Web of Science</v>
      </c>
    </row>
    <row r="534" spans="1:72" x14ac:dyDescent="0.35">
      <c r="A534" t="s">
        <v>72</v>
      </c>
      <c r="B534" t="s">
        <v>9930</v>
      </c>
      <c r="C534" t="s">
        <v>74</v>
      </c>
      <c r="D534" t="s">
        <v>74</v>
      </c>
      <c r="E534" t="s">
        <v>74</v>
      </c>
      <c r="F534" t="s">
        <v>9931</v>
      </c>
      <c r="G534" t="s">
        <v>74</v>
      </c>
      <c r="H534" t="s">
        <v>74</v>
      </c>
      <c r="I534" t="s">
        <v>9932</v>
      </c>
      <c r="J534" t="s">
        <v>9933</v>
      </c>
      <c r="K534" t="s">
        <v>74</v>
      </c>
      <c r="L534" t="s">
        <v>74</v>
      </c>
      <c r="M534" t="s">
        <v>78</v>
      </c>
      <c r="N534" t="s">
        <v>374</v>
      </c>
      <c r="O534" t="s">
        <v>74</v>
      </c>
      <c r="P534" t="s">
        <v>74</v>
      </c>
      <c r="Q534" t="s">
        <v>74</v>
      </c>
      <c r="R534" t="s">
        <v>74</v>
      </c>
      <c r="S534" t="s">
        <v>74</v>
      </c>
      <c r="T534" t="s">
        <v>9934</v>
      </c>
      <c r="U534" t="s">
        <v>74</v>
      </c>
      <c r="V534" t="s">
        <v>9935</v>
      </c>
      <c r="W534" t="s">
        <v>9936</v>
      </c>
      <c r="X534" t="s">
        <v>9937</v>
      </c>
      <c r="Y534" t="s">
        <v>9938</v>
      </c>
      <c r="Z534" t="s">
        <v>9939</v>
      </c>
      <c r="AA534" t="s">
        <v>74</v>
      </c>
      <c r="AB534" t="s">
        <v>74</v>
      </c>
      <c r="AC534" t="s">
        <v>74</v>
      </c>
      <c r="AD534" t="s">
        <v>74</v>
      </c>
      <c r="AE534" t="s">
        <v>74</v>
      </c>
      <c r="AF534" t="s">
        <v>74</v>
      </c>
      <c r="AG534">
        <v>109</v>
      </c>
      <c r="AH534">
        <v>0</v>
      </c>
      <c r="AI534">
        <v>0</v>
      </c>
      <c r="AJ534">
        <v>9</v>
      </c>
      <c r="AK534">
        <v>9</v>
      </c>
      <c r="AL534" t="s">
        <v>88</v>
      </c>
      <c r="AM534" t="s">
        <v>89</v>
      </c>
      <c r="AN534" t="s">
        <v>90</v>
      </c>
      <c r="AO534" t="s">
        <v>9940</v>
      </c>
      <c r="AP534" t="s">
        <v>9941</v>
      </c>
      <c r="AQ534" t="s">
        <v>74</v>
      </c>
      <c r="AR534" t="s">
        <v>9942</v>
      </c>
      <c r="AS534" t="s">
        <v>9943</v>
      </c>
      <c r="AT534" t="s">
        <v>7454</v>
      </c>
      <c r="AU534">
        <v>2024</v>
      </c>
      <c r="AV534">
        <v>40</v>
      </c>
      <c r="AW534">
        <v>4</v>
      </c>
      <c r="AX534" t="s">
        <v>74</v>
      </c>
      <c r="AY534" t="s">
        <v>74</v>
      </c>
      <c r="AZ534" t="s">
        <v>74</v>
      </c>
      <c r="BA534" t="s">
        <v>74</v>
      </c>
      <c r="BB534">
        <v>491</v>
      </c>
      <c r="BC534">
        <v>508</v>
      </c>
      <c r="BD534" t="s">
        <v>74</v>
      </c>
      <c r="BE534" t="s">
        <v>9944</v>
      </c>
      <c r="BF534" t="str">
        <f>HYPERLINK("http://dx.doi.org/10.1080/02667363.2024.2409451","http://dx.doi.org/10.1080/02667363.2024.2409451")</f>
        <v>http://dx.doi.org/10.1080/02667363.2024.2409451</v>
      </c>
      <c r="BG534" t="s">
        <v>74</v>
      </c>
      <c r="BH534" t="s">
        <v>337</v>
      </c>
      <c r="BI534">
        <v>18</v>
      </c>
      <c r="BJ534" t="s">
        <v>9945</v>
      </c>
      <c r="BK534" t="s">
        <v>125</v>
      </c>
      <c r="BL534" t="s">
        <v>301</v>
      </c>
      <c r="BM534" t="s">
        <v>9946</v>
      </c>
      <c r="BN534" t="s">
        <v>74</v>
      </c>
      <c r="BO534" t="s">
        <v>156</v>
      </c>
      <c r="BP534" t="s">
        <v>74</v>
      </c>
      <c r="BQ534" t="s">
        <v>74</v>
      </c>
      <c r="BR534" t="s">
        <v>102</v>
      </c>
      <c r="BS534" t="s">
        <v>9947</v>
      </c>
      <c r="BT534" t="str">
        <f>HYPERLINK("https%3A%2F%2Fwww.webofscience.com%2Fwos%2Fwoscc%2Ffull-record%2FWOS:001322347900001","View Full Record in Web of Science")</f>
        <v>View Full Record in Web of Science</v>
      </c>
    </row>
    <row r="535" spans="1:72" x14ac:dyDescent="0.35">
      <c r="A535" t="s">
        <v>128</v>
      </c>
      <c r="B535" t="s">
        <v>9948</v>
      </c>
      <c r="C535" t="s">
        <v>74</v>
      </c>
      <c r="D535" t="s">
        <v>74</v>
      </c>
      <c r="E535" t="s">
        <v>702</v>
      </c>
      <c r="F535" t="s">
        <v>9949</v>
      </c>
      <c r="G535" t="s">
        <v>74</v>
      </c>
      <c r="H535" t="s">
        <v>74</v>
      </c>
      <c r="I535" t="s">
        <v>9950</v>
      </c>
      <c r="J535" t="s">
        <v>9951</v>
      </c>
      <c r="K535" t="s">
        <v>74</v>
      </c>
      <c r="L535" t="s">
        <v>74</v>
      </c>
      <c r="M535" t="s">
        <v>78</v>
      </c>
      <c r="N535" t="s">
        <v>135</v>
      </c>
      <c r="O535" t="s">
        <v>9952</v>
      </c>
      <c r="P535" t="s">
        <v>9953</v>
      </c>
      <c r="Q535" t="s">
        <v>9954</v>
      </c>
      <c r="R535" t="s">
        <v>9955</v>
      </c>
      <c r="S535" t="s">
        <v>9956</v>
      </c>
      <c r="T535" t="s">
        <v>9957</v>
      </c>
      <c r="U535" t="s">
        <v>74</v>
      </c>
      <c r="V535" t="s">
        <v>9958</v>
      </c>
      <c r="W535" t="s">
        <v>9959</v>
      </c>
      <c r="X535" t="s">
        <v>9960</v>
      </c>
      <c r="Y535" t="s">
        <v>9961</v>
      </c>
      <c r="Z535" t="s">
        <v>9962</v>
      </c>
      <c r="AA535" t="s">
        <v>74</v>
      </c>
      <c r="AB535" t="s">
        <v>9963</v>
      </c>
      <c r="AC535" t="s">
        <v>74</v>
      </c>
      <c r="AD535" t="s">
        <v>74</v>
      </c>
      <c r="AE535" t="s">
        <v>74</v>
      </c>
      <c r="AF535" t="s">
        <v>74</v>
      </c>
      <c r="AG535">
        <v>23</v>
      </c>
      <c r="AH535">
        <v>0</v>
      </c>
      <c r="AI535">
        <v>0</v>
      </c>
      <c r="AJ535">
        <v>8</v>
      </c>
      <c r="AK535">
        <v>8</v>
      </c>
      <c r="AL535" t="s">
        <v>718</v>
      </c>
      <c r="AM535" t="s">
        <v>666</v>
      </c>
      <c r="AN535" t="s">
        <v>719</v>
      </c>
      <c r="AO535" t="s">
        <v>74</v>
      </c>
      <c r="AP535" t="s">
        <v>74</v>
      </c>
      <c r="AQ535" t="s">
        <v>9964</v>
      </c>
      <c r="AR535" t="s">
        <v>74</v>
      </c>
      <c r="AS535" t="s">
        <v>74</v>
      </c>
      <c r="AT535" t="s">
        <v>74</v>
      </c>
      <c r="AU535">
        <v>2024</v>
      </c>
      <c r="AV535" t="s">
        <v>74</v>
      </c>
      <c r="AW535" t="s">
        <v>74</v>
      </c>
      <c r="AX535" t="s">
        <v>74</v>
      </c>
      <c r="AY535" t="s">
        <v>74</v>
      </c>
      <c r="AZ535" t="s">
        <v>74</v>
      </c>
      <c r="BA535" t="s">
        <v>74</v>
      </c>
      <c r="BB535">
        <v>323</v>
      </c>
      <c r="BC535">
        <v>329</v>
      </c>
      <c r="BD535" t="s">
        <v>74</v>
      </c>
      <c r="BE535" t="s">
        <v>9965</v>
      </c>
      <c r="BF535" t="str">
        <f>HYPERLINK("http://dx.doi.org/10.1145/3648188.3677048","http://dx.doi.org/10.1145/3648188.3677048")</f>
        <v>http://dx.doi.org/10.1145/3648188.3677048</v>
      </c>
      <c r="BG535" t="s">
        <v>74</v>
      </c>
      <c r="BH535" t="s">
        <v>74</v>
      </c>
      <c r="BI535">
        <v>7</v>
      </c>
      <c r="BJ535" t="s">
        <v>8821</v>
      </c>
      <c r="BK535" t="s">
        <v>723</v>
      </c>
      <c r="BL535" t="s">
        <v>210</v>
      </c>
      <c r="BM535" t="s">
        <v>9966</v>
      </c>
      <c r="BN535" t="s">
        <v>74</v>
      </c>
      <c r="BO535" t="s">
        <v>74</v>
      </c>
      <c r="BP535" t="s">
        <v>74</v>
      </c>
      <c r="BQ535" t="s">
        <v>74</v>
      </c>
      <c r="BR535" t="s">
        <v>102</v>
      </c>
      <c r="BS535" t="s">
        <v>9967</v>
      </c>
      <c r="BT535" t="str">
        <f>HYPERLINK("https%3A%2F%2Fwww.webofscience.com%2Fwos%2Fwoscc%2Ffull-record%2FWOS:001324611900045","View Full Record in Web of Science")</f>
        <v>View Full Record in Web of Science</v>
      </c>
    </row>
    <row r="536" spans="1:72" x14ac:dyDescent="0.35">
      <c r="A536" t="s">
        <v>72</v>
      </c>
      <c r="B536" t="s">
        <v>9968</v>
      </c>
      <c r="C536" t="s">
        <v>74</v>
      </c>
      <c r="D536" t="s">
        <v>74</v>
      </c>
      <c r="E536" t="s">
        <v>74</v>
      </c>
      <c r="F536" t="s">
        <v>9969</v>
      </c>
      <c r="G536" t="s">
        <v>74</v>
      </c>
      <c r="H536" t="s">
        <v>74</v>
      </c>
      <c r="I536" t="s">
        <v>9970</v>
      </c>
      <c r="J536" t="s">
        <v>9971</v>
      </c>
      <c r="K536" t="s">
        <v>74</v>
      </c>
      <c r="L536" t="s">
        <v>74</v>
      </c>
      <c r="M536" t="s">
        <v>78</v>
      </c>
      <c r="N536" t="s">
        <v>108</v>
      </c>
      <c r="O536" t="s">
        <v>74</v>
      </c>
      <c r="P536" t="s">
        <v>74</v>
      </c>
      <c r="Q536" t="s">
        <v>74</v>
      </c>
      <c r="R536" t="s">
        <v>74</v>
      </c>
      <c r="S536" t="s">
        <v>74</v>
      </c>
      <c r="T536" t="s">
        <v>9972</v>
      </c>
      <c r="U536" t="s">
        <v>74</v>
      </c>
      <c r="V536" t="s">
        <v>9973</v>
      </c>
      <c r="W536" t="s">
        <v>9974</v>
      </c>
      <c r="X536" t="s">
        <v>9975</v>
      </c>
      <c r="Y536" t="s">
        <v>9976</v>
      </c>
      <c r="Z536" t="s">
        <v>74</v>
      </c>
      <c r="AA536" t="s">
        <v>9977</v>
      </c>
      <c r="AB536" t="s">
        <v>74</v>
      </c>
      <c r="AC536" t="s">
        <v>74</v>
      </c>
      <c r="AD536" t="s">
        <v>74</v>
      </c>
      <c r="AE536" t="s">
        <v>74</v>
      </c>
      <c r="AF536" t="s">
        <v>74</v>
      </c>
      <c r="AG536">
        <v>59</v>
      </c>
      <c r="AH536">
        <v>0</v>
      </c>
      <c r="AI536">
        <v>0</v>
      </c>
      <c r="AJ536">
        <v>2</v>
      </c>
      <c r="AK536">
        <v>4</v>
      </c>
      <c r="AL536" t="s">
        <v>9978</v>
      </c>
      <c r="AM536" t="s">
        <v>6529</v>
      </c>
      <c r="AN536" t="s">
        <v>9979</v>
      </c>
      <c r="AO536" t="s">
        <v>9980</v>
      </c>
      <c r="AP536" t="s">
        <v>74</v>
      </c>
      <c r="AQ536" t="s">
        <v>74</v>
      </c>
      <c r="AR536" t="s">
        <v>9981</v>
      </c>
      <c r="AS536" t="s">
        <v>9982</v>
      </c>
      <c r="AT536" t="s">
        <v>3517</v>
      </c>
      <c r="AU536">
        <v>2024</v>
      </c>
      <c r="AV536">
        <v>22</v>
      </c>
      <c r="AW536">
        <v>1</v>
      </c>
      <c r="AX536" t="s">
        <v>74</v>
      </c>
      <c r="AY536" t="s">
        <v>74</v>
      </c>
      <c r="AZ536" t="s">
        <v>74</v>
      </c>
      <c r="BA536" t="s">
        <v>74</v>
      </c>
      <c r="BB536" t="s">
        <v>74</v>
      </c>
      <c r="BC536" t="s">
        <v>74</v>
      </c>
      <c r="BD536">
        <v>2088</v>
      </c>
      <c r="BE536" t="s">
        <v>9983</v>
      </c>
      <c r="BF536" t="str">
        <f>HYPERLINK("http://dx.doi.org/10.7195/ri14.v22i1.2088","http://dx.doi.org/10.7195/ri14.v22i1.2088")</f>
        <v>http://dx.doi.org/10.7195/ri14.v22i1.2088</v>
      </c>
      <c r="BG536" t="s">
        <v>74</v>
      </c>
      <c r="BH536" t="s">
        <v>74</v>
      </c>
      <c r="BI536">
        <v>20</v>
      </c>
      <c r="BJ536" t="s">
        <v>124</v>
      </c>
      <c r="BK536" t="s">
        <v>125</v>
      </c>
      <c r="BL536" t="s">
        <v>124</v>
      </c>
      <c r="BM536" t="s">
        <v>9984</v>
      </c>
      <c r="BN536" t="s">
        <v>74</v>
      </c>
      <c r="BO536" t="s">
        <v>2703</v>
      </c>
      <c r="BP536" t="s">
        <v>74</v>
      </c>
      <c r="BQ536" t="s">
        <v>74</v>
      </c>
      <c r="BR536" t="s">
        <v>102</v>
      </c>
      <c r="BS536" t="s">
        <v>9985</v>
      </c>
      <c r="BT536" t="str">
        <f>HYPERLINK("https%3A%2F%2Fwww.webofscience.com%2Fwos%2Fwoscc%2Ffull-record%2FWOS:001167358200001","View Full Record in Web of Science")</f>
        <v>View Full Record in Web of Science</v>
      </c>
    </row>
    <row r="537" spans="1:72" x14ac:dyDescent="0.35">
      <c r="A537" t="s">
        <v>72</v>
      </c>
      <c r="B537" t="s">
        <v>9986</v>
      </c>
      <c r="C537" t="s">
        <v>74</v>
      </c>
      <c r="D537" t="s">
        <v>74</v>
      </c>
      <c r="E537" t="s">
        <v>74</v>
      </c>
      <c r="F537" t="s">
        <v>9987</v>
      </c>
      <c r="G537" t="s">
        <v>74</v>
      </c>
      <c r="H537" t="s">
        <v>74</v>
      </c>
      <c r="I537" t="s">
        <v>9988</v>
      </c>
      <c r="J537" t="s">
        <v>9989</v>
      </c>
      <c r="K537" t="s">
        <v>74</v>
      </c>
      <c r="L537" t="s">
        <v>74</v>
      </c>
      <c r="M537" t="s">
        <v>78</v>
      </c>
      <c r="N537" t="s">
        <v>108</v>
      </c>
      <c r="O537" t="s">
        <v>74</v>
      </c>
      <c r="P537" t="s">
        <v>74</v>
      </c>
      <c r="Q537" t="s">
        <v>74</v>
      </c>
      <c r="R537" t="s">
        <v>74</v>
      </c>
      <c r="S537" t="s">
        <v>74</v>
      </c>
      <c r="T537" t="s">
        <v>9990</v>
      </c>
      <c r="U537" t="s">
        <v>74</v>
      </c>
      <c r="V537" t="s">
        <v>9991</v>
      </c>
      <c r="W537" t="s">
        <v>9992</v>
      </c>
      <c r="X537" t="s">
        <v>9993</v>
      </c>
      <c r="Y537" t="s">
        <v>9994</v>
      </c>
      <c r="Z537" t="s">
        <v>9995</v>
      </c>
      <c r="AA537" t="s">
        <v>9996</v>
      </c>
      <c r="AB537" t="s">
        <v>9997</v>
      </c>
      <c r="AC537" t="s">
        <v>74</v>
      </c>
      <c r="AD537" t="s">
        <v>74</v>
      </c>
      <c r="AE537" t="s">
        <v>74</v>
      </c>
      <c r="AF537" t="s">
        <v>74</v>
      </c>
      <c r="AG537">
        <v>4</v>
      </c>
      <c r="AH537">
        <v>2</v>
      </c>
      <c r="AI537">
        <v>2</v>
      </c>
      <c r="AJ537">
        <v>1</v>
      </c>
      <c r="AK537">
        <v>3</v>
      </c>
      <c r="AL537" t="s">
        <v>171</v>
      </c>
      <c r="AM537" t="s">
        <v>172</v>
      </c>
      <c r="AN537" t="s">
        <v>173</v>
      </c>
      <c r="AO537" t="s">
        <v>9998</v>
      </c>
      <c r="AP537" t="s">
        <v>9999</v>
      </c>
      <c r="AQ537" t="s">
        <v>74</v>
      </c>
      <c r="AR537" t="s">
        <v>10000</v>
      </c>
      <c r="AS537" t="s">
        <v>10001</v>
      </c>
      <c r="AT537" t="s">
        <v>745</v>
      </c>
      <c r="AU537">
        <v>2024</v>
      </c>
      <c r="AV537">
        <v>90</v>
      </c>
      <c r="AW537">
        <v>5</v>
      </c>
      <c r="AX537" t="s">
        <v>74</v>
      </c>
      <c r="AY537" t="s">
        <v>74</v>
      </c>
      <c r="AZ537" t="s">
        <v>74</v>
      </c>
      <c r="BA537" t="s">
        <v>74</v>
      </c>
      <c r="BB537">
        <v>1098</v>
      </c>
      <c r="BC537">
        <v>1099</v>
      </c>
      <c r="BD537" t="s">
        <v>74</v>
      </c>
      <c r="BE537" t="s">
        <v>10002</v>
      </c>
      <c r="BF537" t="str">
        <f>HYPERLINK("http://dx.doi.org/10.1177/00031348231220568","http://dx.doi.org/10.1177/00031348231220568")</f>
        <v>http://dx.doi.org/10.1177/00031348231220568</v>
      </c>
      <c r="BG537" t="s">
        <v>74</v>
      </c>
      <c r="BH537" t="s">
        <v>1449</v>
      </c>
      <c r="BI537">
        <v>2</v>
      </c>
      <c r="BJ537" t="s">
        <v>4994</v>
      </c>
      <c r="BK537" t="s">
        <v>209</v>
      </c>
      <c r="BL537" t="s">
        <v>4994</v>
      </c>
      <c r="BM537" t="s">
        <v>10003</v>
      </c>
      <c r="BN537">
        <v>38041613</v>
      </c>
      <c r="BO537" t="s">
        <v>74</v>
      </c>
      <c r="BP537" t="s">
        <v>74</v>
      </c>
      <c r="BQ537" t="s">
        <v>74</v>
      </c>
      <c r="BR537" t="s">
        <v>102</v>
      </c>
      <c r="BS537" t="s">
        <v>10004</v>
      </c>
      <c r="BT537" t="str">
        <f>HYPERLINK("https%3A%2F%2Fwww.webofscience.com%2Fwos%2Fwoscc%2Ffull-record%2FWOS:001112412400001","View Full Record in Web of Science")</f>
        <v>View Full Record in Web of Science</v>
      </c>
    </row>
    <row r="538" spans="1:72" x14ac:dyDescent="0.35">
      <c r="A538" t="s">
        <v>72</v>
      </c>
      <c r="B538" t="s">
        <v>10005</v>
      </c>
      <c r="C538" t="s">
        <v>74</v>
      </c>
      <c r="D538" t="s">
        <v>74</v>
      </c>
      <c r="E538" t="s">
        <v>74</v>
      </c>
      <c r="F538" t="s">
        <v>10006</v>
      </c>
      <c r="G538" t="s">
        <v>74</v>
      </c>
      <c r="H538" t="s">
        <v>74</v>
      </c>
      <c r="I538" t="s">
        <v>10007</v>
      </c>
      <c r="J538" t="s">
        <v>2649</v>
      </c>
      <c r="K538" t="s">
        <v>74</v>
      </c>
      <c r="L538" t="s">
        <v>74</v>
      </c>
      <c r="M538" t="s">
        <v>78</v>
      </c>
      <c r="N538" t="s">
        <v>108</v>
      </c>
      <c r="O538" t="s">
        <v>74</v>
      </c>
      <c r="P538" t="s">
        <v>74</v>
      </c>
      <c r="Q538" t="s">
        <v>74</v>
      </c>
      <c r="R538" t="s">
        <v>74</v>
      </c>
      <c r="S538" t="s">
        <v>74</v>
      </c>
      <c r="T538" t="s">
        <v>10008</v>
      </c>
      <c r="U538" t="s">
        <v>10009</v>
      </c>
      <c r="V538" t="s">
        <v>10010</v>
      </c>
      <c r="W538" t="s">
        <v>10011</v>
      </c>
      <c r="X538" t="s">
        <v>10012</v>
      </c>
      <c r="Y538" t="s">
        <v>10013</v>
      </c>
      <c r="Z538" t="s">
        <v>10014</v>
      </c>
      <c r="AA538" t="s">
        <v>10015</v>
      </c>
      <c r="AB538" t="s">
        <v>10016</v>
      </c>
      <c r="AC538" t="s">
        <v>10017</v>
      </c>
      <c r="AD538" t="s">
        <v>10018</v>
      </c>
      <c r="AE538" t="s">
        <v>10019</v>
      </c>
      <c r="AF538" t="s">
        <v>74</v>
      </c>
      <c r="AG538">
        <v>51</v>
      </c>
      <c r="AH538">
        <v>6</v>
      </c>
      <c r="AI538">
        <v>6</v>
      </c>
      <c r="AJ538">
        <v>12</v>
      </c>
      <c r="AK538">
        <v>44</v>
      </c>
      <c r="AL538" t="s">
        <v>2662</v>
      </c>
      <c r="AM538" t="s">
        <v>2663</v>
      </c>
      <c r="AN538" t="s">
        <v>2664</v>
      </c>
      <c r="AO538" t="s">
        <v>2665</v>
      </c>
      <c r="AP538" t="s">
        <v>74</v>
      </c>
      <c r="AQ538" t="s">
        <v>74</v>
      </c>
      <c r="AR538" t="s">
        <v>2666</v>
      </c>
      <c r="AS538" t="s">
        <v>2667</v>
      </c>
      <c r="AT538" t="s">
        <v>74</v>
      </c>
      <c r="AU538">
        <v>2023</v>
      </c>
      <c r="AV538">
        <v>11</v>
      </c>
      <c r="AW538">
        <v>2</v>
      </c>
      <c r="AX538" t="s">
        <v>74</v>
      </c>
      <c r="AY538" t="s">
        <v>74</v>
      </c>
      <c r="AZ538" t="s">
        <v>74</v>
      </c>
      <c r="BA538" t="s">
        <v>74</v>
      </c>
      <c r="BB538">
        <v>232</v>
      </c>
      <c r="BC538">
        <v>240</v>
      </c>
      <c r="BD538" t="s">
        <v>74</v>
      </c>
      <c r="BE538" t="s">
        <v>10020</v>
      </c>
      <c r="BF538" t="str">
        <f>HYPERLINK("http://dx.doi.org/10.17645/mac.v11i2.6358","http://dx.doi.org/10.17645/mac.v11i2.6358")</f>
        <v>http://dx.doi.org/10.17645/mac.v11i2.6358</v>
      </c>
      <c r="BG538" t="s">
        <v>74</v>
      </c>
      <c r="BH538" t="s">
        <v>74</v>
      </c>
      <c r="BI538">
        <v>9</v>
      </c>
      <c r="BJ538" t="s">
        <v>124</v>
      </c>
      <c r="BK538" t="s">
        <v>99</v>
      </c>
      <c r="BL538" t="s">
        <v>124</v>
      </c>
      <c r="BM538" t="s">
        <v>2669</v>
      </c>
      <c r="BN538" t="s">
        <v>74</v>
      </c>
      <c r="BO538" t="s">
        <v>394</v>
      </c>
      <c r="BP538" t="s">
        <v>74</v>
      </c>
      <c r="BQ538" t="s">
        <v>74</v>
      </c>
      <c r="BR538" t="s">
        <v>102</v>
      </c>
      <c r="BS538" t="s">
        <v>10021</v>
      </c>
      <c r="BT538" t="str">
        <f>HYPERLINK("https%3A%2F%2Fwww.webofscience.com%2Fwos%2Fwoscc%2Ffull-record%2FWOS:000996431600011","View Full Record in Web of Science")</f>
        <v>View Full Record in Web of Science</v>
      </c>
    </row>
    <row r="539" spans="1:72" x14ac:dyDescent="0.35">
      <c r="A539" t="s">
        <v>72</v>
      </c>
      <c r="B539" t="s">
        <v>10022</v>
      </c>
      <c r="C539" t="s">
        <v>74</v>
      </c>
      <c r="D539" t="s">
        <v>74</v>
      </c>
      <c r="E539" t="s">
        <v>74</v>
      </c>
      <c r="F539" t="s">
        <v>10023</v>
      </c>
      <c r="G539" t="s">
        <v>74</v>
      </c>
      <c r="H539" t="s">
        <v>74</v>
      </c>
      <c r="I539" t="s">
        <v>10024</v>
      </c>
      <c r="J539" t="s">
        <v>8249</v>
      </c>
      <c r="K539" t="s">
        <v>74</v>
      </c>
      <c r="L539" t="s">
        <v>74</v>
      </c>
      <c r="M539" t="s">
        <v>3503</v>
      </c>
      <c r="N539" t="s">
        <v>108</v>
      </c>
      <c r="O539" t="s">
        <v>74</v>
      </c>
      <c r="P539" t="s">
        <v>74</v>
      </c>
      <c r="Q539" t="s">
        <v>74</v>
      </c>
      <c r="R539" t="s">
        <v>74</v>
      </c>
      <c r="S539" t="s">
        <v>74</v>
      </c>
      <c r="T539" t="s">
        <v>10025</v>
      </c>
      <c r="U539" t="s">
        <v>10026</v>
      </c>
      <c r="V539" t="s">
        <v>10027</v>
      </c>
      <c r="W539" t="s">
        <v>10028</v>
      </c>
      <c r="X539" t="s">
        <v>10029</v>
      </c>
      <c r="Y539" t="s">
        <v>10030</v>
      </c>
      <c r="Z539" t="s">
        <v>10031</v>
      </c>
      <c r="AA539" t="s">
        <v>5672</v>
      </c>
      <c r="AB539" t="s">
        <v>5673</v>
      </c>
      <c r="AC539" t="s">
        <v>74</v>
      </c>
      <c r="AD539" t="s">
        <v>74</v>
      </c>
      <c r="AE539" t="s">
        <v>74</v>
      </c>
      <c r="AF539" t="s">
        <v>74</v>
      </c>
      <c r="AG539">
        <v>65</v>
      </c>
      <c r="AH539">
        <v>25</v>
      </c>
      <c r="AI539">
        <v>27</v>
      </c>
      <c r="AJ539">
        <v>12</v>
      </c>
      <c r="AK539">
        <v>96</v>
      </c>
      <c r="AL539" t="s">
        <v>10032</v>
      </c>
      <c r="AM539" t="s">
        <v>10033</v>
      </c>
      <c r="AN539" t="s">
        <v>10034</v>
      </c>
      <c r="AO539" t="s">
        <v>8259</v>
      </c>
      <c r="AP539" t="s">
        <v>74</v>
      </c>
      <c r="AQ539" t="s">
        <v>74</v>
      </c>
      <c r="AR539" t="s">
        <v>8260</v>
      </c>
      <c r="AS539" t="s">
        <v>8261</v>
      </c>
      <c r="AT539" t="s">
        <v>74</v>
      </c>
      <c r="AU539">
        <v>2021</v>
      </c>
      <c r="AV539">
        <v>79</v>
      </c>
      <c r="AW539" t="s">
        <v>74</v>
      </c>
      <c r="AX539" t="s">
        <v>74</v>
      </c>
      <c r="AY539" t="s">
        <v>74</v>
      </c>
      <c r="AZ539" t="s">
        <v>74</v>
      </c>
      <c r="BA539" t="s">
        <v>74</v>
      </c>
      <c r="BB539">
        <v>87</v>
      </c>
      <c r="BC539" t="s">
        <v>10035</v>
      </c>
      <c r="BD539" t="s">
        <v>74</v>
      </c>
      <c r="BE539" t="s">
        <v>10036</v>
      </c>
      <c r="BF539" t="str">
        <f>HYPERLINK("http://dx.doi.org/10.4185/RLCS-2021-1522","http://dx.doi.org/10.4185/RLCS-2021-1522")</f>
        <v>http://dx.doi.org/10.4185/RLCS-2021-1522</v>
      </c>
      <c r="BG539" t="s">
        <v>74</v>
      </c>
      <c r="BH539" t="s">
        <v>74</v>
      </c>
      <c r="BI539">
        <v>27</v>
      </c>
      <c r="BJ539" t="s">
        <v>124</v>
      </c>
      <c r="BK539" t="s">
        <v>125</v>
      </c>
      <c r="BL539" t="s">
        <v>124</v>
      </c>
      <c r="BM539" t="s">
        <v>10037</v>
      </c>
      <c r="BN539" t="s">
        <v>74</v>
      </c>
      <c r="BO539" t="s">
        <v>2703</v>
      </c>
      <c r="BP539" t="s">
        <v>74</v>
      </c>
      <c r="BQ539" t="s">
        <v>74</v>
      </c>
      <c r="BR539" t="s">
        <v>102</v>
      </c>
      <c r="BS539" t="s">
        <v>10038</v>
      </c>
      <c r="BT539" t="str">
        <f>HYPERLINK("https%3A%2F%2Fwww.webofscience.com%2Fwos%2Fwoscc%2Ffull-record%2FWOS:000762342900001","View Full Record in Web of Science")</f>
        <v>View Full Record in Web of Science</v>
      </c>
    </row>
    <row r="540" spans="1:72" x14ac:dyDescent="0.35">
      <c r="A540" t="s">
        <v>72</v>
      </c>
      <c r="B540" t="s">
        <v>10039</v>
      </c>
      <c r="C540" t="s">
        <v>74</v>
      </c>
      <c r="D540" t="s">
        <v>74</v>
      </c>
      <c r="E540" t="s">
        <v>74</v>
      </c>
      <c r="F540" t="s">
        <v>10040</v>
      </c>
      <c r="G540" t="s">
        <v>74</v>
      </c>
      <c r="H540" t="s">
        <v>74</v>
      </c>
      <c r="I540" t="s">
        <v>8267</v>
      </c>
      <c r="J540" t="s">
        <v>10041</v>
      </c>
      <c r="K540" t="s">
        <v>74</v>
      </c>
      <c r="L540" t="s">
        <v>74</v>
      </c>
      <c r="M540" t="s">
        <v>78</v>
      </c>
      <c r="N540" t="s">
        <v>8268</v>
      </c>
      <c r="O540" t="s">
        <v>74</v>
      </c>
      <c r="P540" t="s">
        <v>74</v>
      </c>
      <c r="Q540" t="s">
        <v>74</v>
      </c>
      <c r="R540" t="s">
        <v>74</v>
      </c>
      <c r="S540" t="s">
        <v>74</v>
      </c>
      <c r="T540" t="s">
        <v>74</v>
      </c>
      <c r="U540" t="s">
        <v>74</v>
      </c>
      <c r="V540" t="s">
        <v>74</v>
      </c>
      <c r="W540" t="s">
        <v>10042</v>
      </c>
      <c r="X540" t="s">
        <v>10043</v>
      </c>
      <c r="Y540" t="s">
        <v>10044</v>
      </c>
      <c r="Z540" t="s">
        <v>74</v>
      </c>
      <c r="AA540" t="s">
        <v>74</v>
      </c>
      <c r="AB540" t="s">
        <v>74</v>
      </c>
      <c r="AC540" t="s">
        <v>74</v>
      </c>
      <c r="AD540" t="s">
        <v>74</v>
      </c>
      <c r="AE540" t="s">
        <v>74</v>
      </c>
      <c r="AF540" t="s">
        <v>74</v>
      </c>
      <c r="AG540">
        <v>12</v>
      </c>
      <c r="AH540">
        <v>0</v>
      </c>
      <c r="AI540">
        <v>0</v>
      </c>
      <c r="AJ540">
        <v>2</v>
      </c>
      <c r="AK540">
        <v>29</v>
      </c>
      <c r="AL540" t="s">
        <v>226</v>
      </c>
      <c r="AM540" t="s">
        <v>227</v>
      </c>
      <c r="AN540" t="s">
        <v>228</v>
      </c>
      <c r="AO540" t="s">
        <v>10045</v>
      </c>
      <c r="AP540" t="s">
        <v>10046</v>
      </c>
      <c r="AQ540" t="s">
        <v>74</v>
      </c>
      <c r="AR540" t="s">
        <v>10047</v>
      </c>
      <c r="AS540" t="s">
        <v>10048</v>
      </c>
      <c r="AT540" t="s">
        <v>930</v>
      </c>
      <c r="AU540">
        <v>2023</v>
      </c>
      <c r="AV540">
        <v>38</v>
      </c>
      <c r="AW540">
        <v>2</v>
      </c>
      <c r="AX540" t="s">
        <v>74</v>
      </c>
      <c r="AY540" t="s">
        <v>74</v>
      </c>
      <c r="AZ540" t="s">
        <v>74</v>
      </c>
      <c r="BA540" t="s">
        <v>74</v>
      </c>
      <c r="BB540">
        <v>204</v>
      </c>
      <c r="BC540">
        <v>207</v>
      </c>
      <c r="BD540" t="s">
        <v>74</v>
      </c>
      <c r="BE540" t="s">
        <v>10049</v>
      </c>
      <c r="BF540" t="str">
        <f>HYPERLINK("http://dx.doi.org/10.1177/02673231231161738","http://dx.doi.org/10.1177/02673231231161738")</f>
        <v>http://dx.doi.org/10.1177/02673231231161738</v>
      </c>
      <c r="BG540" t="s">
        <v>74</v>
      </c>
      <c r="BH540" t="s">
        <v>1046</v>
      </c>
      <c r="BI540">
        <v>4</v>
      </c>
      <c r="BJ540" t="s">
        <v>124</v>
      </c>
      <c r="BK540" t="s">
        <v>99</v>
      </c>
      <c r="BL540" t="s">
        <v>124</v>
      </c>
      <c r="BM540" t="s">
        <v>10050</v>
      </c>
      <c r="BN540" t="s">
        <v>74</v>
      </c>
      <c r="BO540" t="s">
        <v>74</v>
      </c>
      <c r="BP540" t="s">
        <v>74</v>
      </c>
      <c r="BQ540" t="s">
        <v>74</v>
      </c>
      <c r="BR540" t="s">
        <v>102</v>
      </c>
      <c r="BS540" t="s">
        <v>10051</v>
      </c>
      <c r="BT540" t="str">
        <f>HYPERLINK("https%3A%2F%2Fwww.webofscience.com%2Fwos%2Fwoscc%2Ffull-record%2FWOS:000947169100001","View Full Record in Web of Science")</f>
        <v>View Full Record in Web of Science</v>
      </c>
    </row>
    <row r="541" spans="1:72" x14ac:dyDescent="0.35">
      <c r="A541" t="s">
        <v>72</v>
      </c>
      <c r="B541" t="s">
        <v>10052</v>
      </c>
      <c r="C541" t="s">
        <v>74</v>
      </c>
      <c r="D541" t="s">
        <v>74</v>
      </c>
      <c r="E541" t="s">
        <v>74</v>
      </c>
      <c r="F541" t="s">
        <v>10053</v>
      </c>
      <c r="G541" t="s">
        <v>74</v>
      </c>
      <c r="H541" t="s">
        <v>74</v>
      </c>
      <c r="I541" t="s">
        <v>8267</v>
      </c>
      <c r="J541" t="s">
        <v>401</v>
      </c>
      <c r="K541" t="s">
        <v>74</v>
      </c>
      <c r="L541" t="s">
        <v>74</v>
      </c>
      <c r="M541" t="s">
        <v>78</v>
      </c>
      <c r="N541" t="s">
        <v>8268</v>
      </c>
      <c r="O541" t="s">
        <v>74</v>
      </c>
      <c r="P541" t="s">
        <v>74</v>
      </c>
      <c r="Q541" t="s">
        <v>74</v>
      </c>
      <c r="R541" t="s">
        <v>74</v>
      </c>
      <c r="S541" t="s">
        <v>74</v>
      </c>
      <c r="T541" t="s">
        <v>74</v>
      </c>
      <c r="U541" t="s">
        <v>74</v>
      </c>
      <c r="V541" t="s">
        <v>74</v>
      </c>
      <c r="W541" t="s">
        <v>10054</v>
      </c>
      <c r="X541" t="s">
        <v>10055</v>
      </c>
      <c r="Y541" t="s">
        <v>10056</v>
      </c>
      <c r="Z541" t="s">
        <v>74</v>
      </c>
      <c r="AA541" t="s">
        <v>5111</v>
      </c>
      <c r="AB541" t="s">
        <v>74</v>
      </c>
      <c r="AC541" t="s">
        <v>74</v>
      </c>
      <c r="AD541" t="s">
        <v>74</v>
      </c>
      <c r="AE541" t="s">
        <v>74</v>
      </c>
      <c r="AF541" t="s">
        <v>74</v>
      </c>
      <c r="AG541">
        <v>3</v>
      </c>
      <c r="AH541">
        <v>0</v>
      </c>
      <c r="AI541">
        <v>0</v>
      </c>
      <c r="AJ541">
        <v>1</v>
      </c>
      <c r="AK541">
        <v>5</v>
      </c>
      <c r="AL541" t="s">
        <v>409</v>
      </c>
      <c r="AM541" t="s">
        <v>410</v>
      </c>
      <c r="AN541" t="s">
        <v>411</v>
      </c>
      <c r="AO541" t="s">
        <v>412</v>
      </c>
      <c r="AP541" t="s">
        <v>74</v>
      </c>
      <c r="AQ541" t="s">
        <v>74</v>
      </c>
      <c r="AR541" t="s">
        <v>413</v>
      </c>
      <c r="AS541" t="s">
        <v>414</v>
      </c>
      <c r="AT541" t="s">
        <v>74</v>
      </c>
      <c r="AU541">
        <v>2023</v>
      </c>
      <c r="AV541">
        <v>17</v>
      </c>
      <c r="AW541" t="s">
        <v>74</v>
      </c>
      <c r="AX541" t="s">
        <v>74</v>
      </c>
      <c r="AY541" t="s">
        <v>74</v>
      </c>
      <c r="AZ541" t="s">
        <v>74</v>
      </c>
      <c r="BA541" t="s">
        <v>74</v>
      </c>
      <c r="BB541">
        <v>6877</v>
      </c>
      <c r="BC541">
        <v>6880</v>
      </c>
      <c r="BD541" t="s">
        <v>74</v>
      </c>
      <c r="BE541" t="s">
        <v>74</v>
      </c>
      <c r="BF541" t="s">
        <v>74</v>
      </c>
      <c r="BG541" t="s">
        <v>74</v>
      </c>
      <c r="BH541" t="s">
        <v>74</v>
      </c>
      <c r="BI541">
        <v>4</v>
      </c>
      <c r="BJ541" t="s">
        <v>124</v>
      </c>
      <c r="BK541" t="s">
        <v>99</v>
      </c>
      <c r="BL541" t="s">
        <v>124</v>
      </c>
      <c r="BM541" t="s">
        <v>10057</v>
      </c>
      <c r="BN541" t="s">
        <v>74</v>
      </c>
      <c r="BO541" t="s">
        <v>74</v>
      </c>
      <c r="BP541" t="s">
        <v>74</v>
      </c>
      <c r="BQ541" t="s">
        <v>74</v>
      </c>
      <c r="BR541" t="s">
        <v>102</v>
      </c>
      <c r="BS541" t="s">
        <v>10058</v>
      </c>
      <c r="BT541" t="str">
        <f>HYPERLINK("https%3A%2F%2Fwww.webofscience.com%2Fwos%2Fwoscc%2Ffull-record%2FWOS:001111205800046","View Full Record in Web of Science")</f>
        <v>View Full Record in Web of Science</v>
      </c>
    </row>
    <row r="542" spans="1:72" x14ac:dyDescent="0.35">
      <c r="A542" t="s">
        <v>72</v>
      </c>
      <c r="B542" t="s">
        <v>10059</v>
      </c>
      <c r="C542" t="s">
        <v>74</v>
      </c>
      <c r="D542" t="s">
        <v>74</v>
      </c>
      <c r="E542" t="s">
        <v>74</v>
      </c>
      <c r="F542" t="s">
        <v>10060</v>
      </c>
      <c r="G542" t="s">
        <v>74</v>
      </c>
      <c r="H542" t="s">
        <v>74</v>
      </c>
      <c r="I542" t="s">
        <v>10061</v>
      </c>
      <c r="J542" t="s">
        <v>10062</v>
      </c>
      <c r="K542" t="s">
        <v>74</v>
      </c>
      <c r="L542" t="s">
        <v>74</v>
      </c>
      <c r="M542" t="s">
        <v>78</v>
      </c>
      <c r="N542" t="s">
        <v>108</v>
      </c>
      <c r="O542" t="s">
        <v>74</v>
      </c>
      <c r="P542" t="s">
        <v>74</v>
      </c>
      <c r="Q542" t="s">
        <v>74</v>
      </c>
      <c r="R542" t="s">
        <v>74</v>
      </c>
      <c r="S542" t="s">
        <v>74</v>
      </c>
      <c r="T542" t="s">
        <v>10063</v>
      </c>
      <c r="U542" t="s">
        <v>74</v>
      </c>
      <c r="V542" t="s">
        <v>10064</v>
      </c>
      <c r="W542" t="s">
        <v>10065</v>
      </c>
      <c r="X542" t="s">
        <v>2283</v>
      </c>
      <c r="Y542" t="s">
        <v>10066</v>
      </c>
      <c r="Z542" t="s">
        <v>74</v>
      </c>
      <c r="AA542" t="s">
        <v>10067</v>
      </c>
      <c r="AB542" t="s">
        <v>74</v>
      </c>
      <c r="AC542" t="s">
        <v>10068</v>
      </c>
      <c r="AD542" t="s">
        <v>10069</v>
      </c>
      <c r="AE542" t="s">
        <v>10070</v>
      </c>
      <c r="AF542" t="s">
        <v>74</v>
      </c>
      <c r="AG542">
        <v>31</v>
      </c>
      <c r="AH542">
        <v>0</v>
      </c>
      <c r="AI542">
        <v>0</v>
      </c>
      <c r="AJ542">
        <v>1</v>
      </c>
      <c r="AK542">
        <v>3</v>
      </c>
      <c r="AL542" t="s">
        <v>10071</v>
      </c>
      <c r="AM542" t="s">
        <v>10072</v>
      </c>
      <c r="AN542" t="s">
        <v>10073</v>
      </c>
      <c r="AO542" t="s">
        <v>10074</v>
      </c>
      <c r="AP542" t="s">
        <v>10075</v>
      </c>
      <c r="AQ542" t="s">
        <v>74</v>
      </c>
      <c r="AR542" t="s">
        <v>10076</v>
      </c>
      <c r="AS542" t="s">
        <v>10077</v>
      </c>
      <c r="AT542" t="s">
        <v>273</v>
      </c>
      <c r="AU542">
        <v>2023</v>
      </c>
      <c r="AV542">
        <v>14</v>
      </c>
      <c r="AW542">
        <v>7</v>
      </c>
      <c r="AX542" t="s">
        <v>74</v>
      </c>
      <c r="AY542" t="s">
        <v>74</v>
      </c>
      <c r="AZ542" t="s">
        <v>74</v>
      </c>
      <c r="BA542" t="s">
        <v>74</v>
      </c>
      <c r="BB542">
        <v>543</v>
      </c>
      <c r="BC542">
        <v>550</v>
      </c>
      <c r="BD542" t="s">
        <v>74</v>
      </c>
      <c r="BE542" t="s">
        <v>74</v>
      </c>
      <c r="BF542" t="s">
        <v>74</v>
      </c>
      <c r="BG542" t="s">
        <v>74</v>
      </c>
      <c r="BH542" t="s">
        <v>74</v>
      </c>
      <c r="BI542">
        <v>8</v>
      </c>
      <c r="BJ542" t="s">
        <v>6668</v>
      </c>
      <c r="BK542" t="s">
        <v>125</v>
      </c>
      <c r="BL542" t="s">
        <v>210</v>
      </c>
      <c r="BM542" t="s">
        <v>10078</v>
      </c>
      <c r="BN542" t="s">
        <v>74</v>
      </c>
      <c r="BO542" t="s">
        <v>74</v>
      </c>
      <c r="BP542" t="s">
        <v>74</v>
      </c>
      <c r="BQ542" t="s">
        <v>74</v>
      </c>
      <c r="BR542" t="s">
        <v>102</v>
      </c>
      <c r="BS542" t="s">
        <v>10079</v>
      </c>
      <c r="BT542" t="str">
        <f>HYPERLINK("https%3A%2F%2Fwww.webofscience.com%2Fwos%2Fwoscc%2Ffull-record%2FWOS:001046803400001","View Full Record in Web of Science")</f>
        <v>View Full Record in Web of Science</v>
      </c>
    </row>
    <row r="543" spans="1:72" x14ac:dyDescent="0.35">
      <c r="A543" t="s">
        <v>72</v>
      </c>
      <c r="B543" t="s">
        <v>5766</v>
      </c>
      <c r="C543" t="s">
        <v>74</v>
      </c>
      <c r="D543" t="s">
        <v>74</v>
      </c>
      <c r="E543" t="s">
        <v>74</v>
      </c>
      <c r="F543" t="s">
        <v>5767</v>
      </c>
      <c r="G543" t="s">
        <v>74</v>
      </c>
      <c r="H543" t="s">
        <v>74</v>
      </c>
      <c r="I543" t="s">
        <v>10080</v>
      </c>
      <c r="J543" t="s">
        <v>10081</v>
      </c>
      <c r="K543" t="s">
        <v>74</v>
      </c>
      <c r="L543" t="s">
        <v>74</v>
      </c>
      <c r="M543" t="s">
        <v>78</v>
      </c>
      <c r="N543" t="s">
        <v>108</v>
      </c>
      <c r="O543" t="s">
        <v>74</v>
      </c>
      <c r="P543" t="s">
        <v>74</v>
      </c>
      <c r="Q543" t="s">
        <v>74</v>
      </c>
      <c r="R543" t="s">
        <v>74</v>
      </c>
      <c r="S543" t="s">
        <v>74</v>
      </c>
      <c r="T543" t="s">
        <v>10082</v>
      </c>
      <c r="U543" t="s">
        <v>10083</v>
      </c>
      <c r="V543" t="s">
        <v>10084</v>
      </c>
      <c r="W543" t="s">
        <v>10085</v>
      </c>
      <c r="X543" t="s">
        <v>5774</v>
      </c>
      <c r="Y543" t="s">
        <v>10086</v>
      </c>
      <c r="Z543" t="s">
        <v>10087</v>
      </c>
      <c r="AA543" t="s">
        <v>10088</v>
      </c>
      <c r="AB543" t="s">
        <v>10089</v>
      </c>
      <c r="AC543" t="s">
        <v>74</v>
      </c>
      <c r="AD543" t="s">
        <v>74</v>
      </c>
      <c r="AE543" t="s">
        <v>74</v>
      </c>
      <c r="AF543" t="s">
        <v>74</v>
      </c>
      <c r="AG543">
        <v>74</v>
      </c>
      <c r="AH543">
        <v>9</v>
      </c>
      <c r="AI543">
        <v>9</v>
      </c>
      <c r="AJ543">
        <v>3</v>
      </c>
      <c r="AK543">
        <v>34</v>
      </c>
      <c r="AL543" t="s">
        <v>226</v>
      </c>
      <c r="AM543" t="s">
        <v>227</v>
      </c>
      <c r="AN543" t="s">
        <v>228</v>
      </c>
      <c r="AO543" t="s">
        <v>10090</v>
      </c>
      <c r="AP543" t="s">
        <v>10091</v>
      </c>
      <c r="AQ543" t="s">
        <v>74</v>
      </c>
      <c r="AR543" t="s">
        <v>10092</v>
      </c>
      <c r="AS543" t="s">
        <v>10093</v>
      </c>
      <c r="AT543" t="s">
        <v>594</v>
      </c>
      <c r="AU543">
        <v>2024</v>
      </c>
      <c r="AV543">
        <v>50</v>
      </c>
      <c r="AW543">
        <v>5</v>
      </c>
      <c r="AX543" t="s">
        <v>74</v>
      </c>
      <c r="AY543" t="s">
        <v>74</v>
      </c>
      <c r="AZ543" t="s">
        <v>74</v>
      </c>
      <c r="BA543" t="s">
        <v>74</v>
      </c>
      <c r="BB543">
        <v>1170</v>
      </c>
      <c r="BC543">
        <v>1194</v>
      </c>
      <c r="BD543" t="s">
        <v>74</v>
      </c>
      <c r="BE543" t="s">
        <v>10094</v>
      </c>
      <c r="BF543" t="str">
        <f>HYPERLINK("http://dx.doi.org/10.1177/01655515221116519","http://dx.doi.org/10.1177/01655515221116519")</f>
        <v>http://dx.doi.org/10.1177/01655515221116519</v>
      </c>
      <c r="BG543" t="s">
        <v>74</v>
      </c>
      <c r="BH543" t="s">
        <v>1527</v>
      </c>
      <c r="BI543">
        <v>25</v>
      </c>
      <c r="BJ543" t="s">
        <v>5995</v>
      </c>
      <c r="BK543" t="s">
        <v>182</v>
      </c>
      <c r="BL543" t="s">
        <v>5996</v>
      </c>
      <c r="BM543" t="s">
        <v>10095</v>
      </c>
      <c r="BN543" t="s">
        <v>74</v>
      </c>
      <c r="BO543" t="s">
        <v>2738</v>
      </c>
      <c r="BP543" t="s">
        <v>74</v>
      </c>
      <c r="BQ543" t="s">
        <v>74</v>
      </c>
      <c r="BR543" t="s">
        <v>102</v>
      </c>
      <c r="BS543" t="s">
        <v>10096</v>
      </c>
      <c r="BT543" t="str">
        <f>HYPERLINK("https%3A%2F%2Fwww.webofscience.com%2Fwos%2Fwoscc%2Ffull-record%2FWOS:000839871700001","View Full Record in Web of Science")</f>
        <v>View Full Record in Web of Science</v>
      </c>
    </row>
    <row r="544" spans="1:72" x14ac:dyDescent="0.35">
      <c r="A544" t="s">
        <v>72</v>
      </c>
      <c r="B544" t="s">
        <v>10097</v>
      </c>
      <c r="C544" t="s">
        <v>74</v>
      </c>
      <c r="D544" t="s">
        <v>74</v>
      </c>
      <c r="E544" t="s">
        <v>74</v>
      </c>
      <c r="F544" t="s">
        <v>10098</v>
      </c>
      <c r="G544" t="s">
        <v>74</v>
      </c>
      <c r="H544" t="s">
        <v>74</v>
      </c>
      <c r="I544" t="s">
        <v>10099</v>
      </c>
      <c r="J544" t="s">
        <v>10100</v>
      </c>
      <c r="K544" t="s">
        <v>74</v>
      </c>
      <c r="L544" t="s">
        <v>74</v>
      </c>
      <c r="M544" t="s">
        <v>78</v>
      </c>
      <c r="N544" t="s">
        <v>1328</v>
      </c>
      <c r="O544" t="s">
        <v>74</v>
      </c>
      <c r="P544" t="s">
        <v>74</v>
      </c>
      <c r="Q544" t="s">
        <v>74</v>
      </c>
      <c r="R544" t="s">
        <v>74</v>
      </c>
      <c r="S544" t="s">
        <v>74</v>
      </c>
      <c r="T544" t="s">
        <v>74</v>
      </c>
      <c r="U544" t="s">
        <v>74</v>
      </c>
      <c r="V544" t="s">
        <v>74</v>
      </c>
      <c r="W544" t="s">
        <v>10101</v>
      </c>
      <c r="X544" t="s">
        <v>10102</v>
      </c>
      <c r="Y544" t="s">
        <v>10103</v>
      </c>
      <c r="Z544" t="s">
        <v>10104</v>
      </c>
      <c r="AA544" t="s">
        <v>10105</v>
      </c>
      <c r="AB544" t="s">
        <v>10106</v>
      </c>
      <c r="AC544" t="s">
        <v>74</v>
      </c>
      <c r="AD544" t="s">
        <v>74</v>
      </c>
      <c r="AE544" t="s">
        <v>74</v>
      </c>
      <c r="AF544" t="s">
        <v>74</v>
      </c>
      <c r="AG544">
        <v>5</v>
      </c>
      <c r="AH544">
        <v>0</v>
      </c>
      <c r="AI544">
        <v>0</v>
      </c>
      <c r="AJ544">
        <v>0</v>
      </c>
      <c r="AK544">
        <v>1</v>
      </c>
      <c r="AL544" t="s">
        <v>1901</v>
      </c>
      <c r="AM544" t="s">
        <v>995</v>
      </c>
      <c r="AN544" t="s">
        <v>1902</v>
      </c>
      <c r="AO544" t="s">
        <v>10107</v>
      </c>
      <c r="AP544" t="s">
        <v>10108</v>
      </c>
      <c r="AQ544" t="s">
        <v>74</v>
      </c>
      <c r="AR544" t="s">
        <v>10100</v>
      </c>
      <c r="AS544" t="s">
        <v>10109</v>
      </c>
      <c r="AT544" t="s">
        <v>455</v>
      </c>
      <c r="AU544">
        <v>2023</v>
      </c>
      <c r="AV544">
        <v>107</v>
      </c>
      <c r="AW544">
        <v>9</v>
      </c>
      <c r="AX544" t="s">
        <v>74</v>
      </c>
      <c r="AY544" t="s">
        <v>74</v>
      </c>
      <c r="AZ544" t="s">
        <v>74</v>
      </c>
      <c r="BA544" t="s">
        <v>74</v>
      </c>
      <c r="BB544" t="s">
        <v>10110</v>
      </c>
      <c r="BC544" t="s">
        <v>10111</v>
      </c>
      <c r="BD544" t="s">
        <v>74</v>
      </c>
      <c r="BE544" t="s">
        <v>10112</v>
      </c>
      <c r="BF544" t="str">
        <f>HYPERLINK("http://dx.doi.org/10.1097/TP.0000000000004691","http://dx.doi.org/10.1097/TP.0000000000004691")</f>
        <v>http://dx.doi.org/10.1097/TP.0000000000004691</v>
      </c>
      <c r="BG544" t="s">
        <v>74</v>
      </c>
      <c r="BH544" t="s">
        <v>74</v>
      </c>
      <c r="BI544">
        <v>2</v>
      </c>
      <c r="BJ544" t="s">
        <v>10113</v>
      </c>
      <c r="BK544" t="s">
        <v>209</v>
      </c>
      <c r="BL544" t="s">
        <v>10113</v>
      </c>
      <c r="BM544" t="s">
        <v>10114</v>
      </c>
      <c r="BN544">
        <v>37287107</v>
      </c>
      <c r="BO544" t="s">
        <v>767</v>
      </c>
      <c r="BP544" t="s">
        <v>74</v>
      </c>
      <c r="BQ544" t="s">
        <v>74</v>
      </c>
      <c r="BR544" t="s">
        <v>102</v>
      </c>
      <c r="BS544" t="s">
        <v>10115</v>
      </c>
      <c r="BT544" t="str">
        <f>HYPERLINK("https%3A%2F%2Fwww.webofscience.com%2Fwos%2Fwoscc%2Ffull-record%2FWOS:001059612000002","View Full Record in Web of Science")</f>
        <v>View Full Record in Web of Science</v>
      </c>
    </row>
    <row r="545" spans="1:72" x14ac:dyDescent="0.35">
      <c r="A545" t="s">
        <v>72</v>
      </c>
      <c r="B545" t="s">
        <v>10116</v>
      </c>
      <c r="C545" t="s">
        <v>74</v>
      </c>
      <c r="D545" t="s">
        <v>74</v>
      </c>
      <c r="E545" t="s">
        <v>74</v>
      </c>
      <c r="F545" t="s">
        <v>10117</v>
      </c>
      <c r="G545" t="s">
        <v>74</v>
      </c>
      <c r="H545" t="s">
        <v>74</v>
      </c>
      <c r="I545" t="s">
        <v>10118</v>
      </c>
      <c r="J545" t="s">
        <v>9586</v>
      </c>
      <c r="K545" t="s">
        <v>74</v>
      </c>
      <c r="L545" t="s">
        <v>74</v>
      </c>
      <c r="M545" t="s">
        <v>78</v>
      </c>
      <c r="N545" t="s">
        <v>1328</v>
      </c>
      <c r="O545" t="s">
        <v>74</v>
      </c>
      <c r="P545" t="s">
        <v>74</v>
      </c>
      <c r="Q545" t="s">
        <v>74</v>
      </c>
      <c r="R545" t="s">
        <v>74</v>
      </c>
      <c r="S545" t="s">
        <v>74</v>
      </c>
      <c r="T545" t="s">
        <v>74</v>
      </c>
      <c r="U545" t="s">
        <v>74</v>
      </c>
      <c r="V545" t="s">
        <v>74</v>
      </c>
      <c r="W545" t="s">
        <v>10119</v>
      </c>
      <c r="X545" t="s">
        <v>10120</v>
      </c>
      <c r="Y545" t="s">
        <v>10121</v>
      </c>
      <c r="Z545" t="s">
        <v>10122</v>
      </c>
      <c r="AA545" t="s">
        <v>74</v>
      </c>
      <c r="AB545" t="s">
        <v>10123</v>
      </c>
      <c r="AC545" t="s">
        <v>74</v>
      </c>
      <c r="AD545" t="s">
        <v>74</v>
      </c>
      <c r="AE545" t="s">
        <v>74</v>
      </c>
      <c r="AF545" t="s">
        <v>74</v>
      </c>
      <c r="AG545">
        <v>4</v>
      </c>
      <c r="AH545">
        <v>1</v>
      </c>
      <c r="AI545">
        <v>1</v>
      </c>
      <c r="AJ545">
        <v>0</v>
      </c>
      <c r="AK545">
        <v>1</v>
      </c>
      <c r="AL545" t="s">
        <v>8334</v>
      </c>
      <c r="AM545" t="s">
        <v>291</v>
      </c>
      <c r="AN545" t="s">
        <v>8335</v>
      </c>
      <c r="AO545" t="s">
        <v>9595</v>
      </c>
      <c r="AP545" t="s">
        <v>9596</v>
      </c>
      <c r="AQ545" t="s">
        <v>74</v>
      </c>
      <c r="AR545" t="s">
        <v>9597</v>
      </c>
      <c r="AS545" t="s">
        <v>9598</v>
      </c>
      <c r="AT545" t="s">
        <v>10124</v>
      </c>
      <c r="AU545">
        <v>2023</v>
      </c>
      <c r="AV545">
        <v>48</v>
      </c>
      <c r="AW545">
        <v>4</v>
      </c>
      <c r="AX545" t="s">
        <v>74</v>
      </c>
      <c r="AY545" t="s">
        <v>74</v>
      </c>
      <c r="AZ545" t="s">
        <v>74</v>
      </c>
      <c r="BA545" t="s">
        <v>74</v>
      </c>
      <c r="BB545">
        <v>387</v>
      </c>
      <c r="BC545">
        <v>388</v>
      </c>
      <c r="BD545" t="s">
        <v>74</v>
      </c>
      <c r="BE545" t="s">
        <v>10125</v>
      </c>
      <c r="BF545" t="str">
        <f>HYPERLINK("http://dx.doi.org/10.1093/ced/llac080","http://dx.doi.org/10.1093/ced/llac080")</f>
        <v>http://dx.doi.org/10.1093/ced/llac080</v>
      </c>
      <c r="BG545" t="s">
        <v>74</v>
      </c>
      <c r="BH545" t="s">
        <v>3638</v>
      </c>
      <c r="BI545">
        <v>2</v>
      </c>
      <c r="BJ545" t="s">
        <v>1341</v>
      </c>
      <c r="BK545" t="s">
        <v>209</v>
      </c>
      <c r="BL545" t="s">
        <v>1341</v>
      </c>
      <c r="BM545" t="s">
        <v>10126</v>
      </c>
      <c r="BN545">
        <v>36630677</v>
      </c>
      <c r="BO545" t="s">
        <v>74</v>
      </c>
      <c r="BP545" t="s">
        <v>74</v>
      </c>
      <c r="BQ545" t="s">
        <v>74</v>
      </c>
      <c r="BR545" t="s">
        <v>102</v>
      </c>
      <c r="BS545" t="s">
        <v>10127</v>
      </c>
      <c r="BT545" t="str">
        <f>HYPERLINK("https%3A%2F%2Fwww.webofscience.com%2Fwos%2Fwoscc%2Ffull-record%2FWOS:000999495800021","View Full Record in Web of Science")</f>
        <v>View Full Record in Web of Science</v>
      </c>
    </row>
    <row r="546" spans="1:72" x14ac:dyDescent="0.35">
      <c r="A546" t="s">
        <v>72</v>
      </c>
      <c r="B546" t="s">
        <v>10128</v>
      </c>
      <c r="C546" t="s">
        <v>74</v>
      </c>
      <c r="D546" t="s">
        <v>74</v>
      </c>
      <c r="E546" t="s">
        <v>74</v>
      </c>
      <c r="F546" t="s">
        <v>10129</v>
      </c>
      <c r="G546" t="s">
        <v>74</v>
      </c>
      <c r="H546" t="s">
        <v>74</v>
      </c>
      <c r="I546" t="s">
        <v>10130</v>
      </c>
      <c r="J546" t="s">
        <v>10131</v>
      </c>
      <c r="K546" t="s">
        <v>74</v>
      </c>
      <c r="L546" t="s">
        <v>74</v>
      </c>
      <c r="M546" t="s">
        <v>78</v>
      </c>
      <c r="N546" t="s">
        <v>108</v>
      </c>
      <c r="O546" t="s">
        <v>74</v>
      </c>
      <c r="P546" t="s">
        <v>74</v>
      </c>
      <c r="Q546" t="s">
        <v>74</v>
      </c>
      <c r="R546" t="s">
        <v>74</v>
      </c>
      <c r="S546" t="s">
        <v>74</v>
      </c>
      <c r="T546" t="s">
        <v>10132</v>
      </c>
      <c r="U546" t="s">
        <v>2584</v>
      </c>
      <c r="V546" t="s">
        <v>10133</v>
      </c>
      <c r="W546" t="s">
        <v>10134</v>
      </c>
      <c r="X546" t="s">
        <v>3907</v>
      </c>
      <c r="Y546" t="s">
        <v>10135</v>
      </c>
      <c r="Z546" t="s">
        <v>10136</v>
      </c>
      <c r="AA546" t="s">
        <v>10137</v>
      </c>
      <c r="AB546" t="s">
        <v>10138</v>
      </c>
      <c r="AC546" t="s">
        <v>3907</v>
      </c>
      <c r="AD546" t="s">
        <v>3907</v>
      </c>
      <c r="AE546" t="s">
        <v>10139</v>
      </c>
      <c r="AF546" t="s">
        <v>74</v>
      </c>
      <c r="AG546">
        <v>28</v>
      </c>
      <c r="AH546">
        <v>28</v>
      </c>
      <c r="AI546">
        <v>30</v>
      </c>
      <c r="AJ546">
        <v>12</v>
      </c>
      <c r="AK546">
        <v>119</v>
      </c>
      <c r="AL546" t="s">
        <v>88</v>
      </c>
      <c r="AM546" t="s">
        <v>89</v>
      </c>
      <c r="AN546" t="s">
        <v>90</v>
      </c>
      <c r="AO546" t="s">
        <v>10140</v>
      </c>
      <c r="AP546" t="s">
        <v>10141</v>
      </c>
      <c r="AQ546" t="s">
        <v>74</v>
      </c>
      <c r="AR546" t="s">
        <v>10142</v>
      </c>
      <c r="AS546" t="s">
        <v>10143</v>
      </c>
      <c r="AT546" t="s">
        <v>10144</v>
      </c>
      <c r="AU546">
        <v>2023</v>
      </c>
      <c r="AV546">
        <v>17</v>
      </c>
      <c r="AW546">
        <v>2</v>
      </c>
      <c r="AX546" t="s">
        <v>74</v>
      </c>
      <c r="AY546" t="s">
        <v>74</v>
      </c>
      <c r="AZ546" t="s">
        <v>74</v>
      </c>
      <c r="BA546" t="s">
        <v>74</v>
      </c>
      <c r="BB546">
        <v>408</v>
      </c>
      <c r="BC546">
        <v>423</v>
      </c>
      <c r="BD546" t="s">
        <v>74</v>
      </c>
      <c r="BE546" t="s">
        <v>10145</v>
      </c>
      <c r="BF546" t="str">
        <f>HYPERLINK("http://dx.doi.org/10.1080/17501229.2022.2051517","http://dx.doi.org/10.1080/17501229.2022.2051517")</f>
        <v>http://dx.doi.org/10.1080/17501229.2022.2051517</v>
      </c>
      <c r="BG546" t="s">
        <v>74</v>
      </c>
      <c r="BH546" t="s">
        <v>4460</v>
      </c>
      <c r="BI546">
        <v>16</v>
      </c>
      <c r="BJ546" t="s">
        <v>7935</v>
      </c>
      <c r="BK546" t="s">
        <v>99</v>
      </c>
      <c r="BL546" t="s">
        <v>7935</v>
      </c>
      <c r="BM546" t="s">
        <v>10146</v>
      </c>
      <c r="BN546" t="s">
        <v>74</v>
      </c>
      <c r="BO546" t="s">
        <v>74</v>
      </c>
      <c r="BP546" t="s">
        <v>74</v>
      </c>
      <c r="BQ546" t="s">
        <v>74</v>
      </c>
      <c r="BR546" t="s">
        <v>102</v>
      </c>
      <c r="BS546" t="s">
        <v>10147</v>
      </c>
      <c r="BT546" t="str">
        <f>HYPERLINK("https%3A%2F%2Fwww.webofscience.com%2Fwos%2Fwoscc%2Ffull-record%2FWOS:000769295000001","View Full Record in Web of Science")</f>
        <v>View Full Record in Web of Science</v>
      </c>
    </row>
    <row r="547" spans="1:72" x14ac:dyDescent="0.35">
      <c r="A547" t="s">
        <v>72</v>
      </c>
      <c r="B547" t="s">
        <v>10148</v>
      </c>
      <c r="C547" t="s">
        <v>74</v>
      </c>
      <c r="D547" t="s">
        <v>74</v>
      </c>
      <c r="E547" t="s">
        <v>74</v>
      </c>
      <c r="F547" t="s">
        <v>10149</v>
      </c>
      <c r="G547" t="s">
        <v>74</v>
      </c>
      <c r="H547" t="s">
        <v>74</v>
      </c>
      <c r="I547" t="s">
        <v>10150</v>
      </c>
      <c r="J547" t="s">
        <v>1740</v>
      </c>
      <c r="K547" t="s">
        <v>74</v>
      </c>
      <c r="L547" t="s">
        <v>74</v>
      </c>
      <c r="M547" t="s">
        <v>78</v>
      </c>
      <c r="N547" t="s">
        <v>108</v>
      </c>
      <c r="O547" t="s">
        <v>74</v>
      </c>
      <c r="P547" t="s">
        <v>74</v>
      </c>
      <c r="Q547" t="s">
        <v>74</v>
      </c>
      <c r="R547" t="s">
        <v>74</v>
      </c>
      <c r="S547" t="s">
        <v>74</v>
      </c>
      <c r="T547" t="s">
        <v>10151</v>
      </c>
      <c r="U547" t="s">
        <v>10152</v>
      </c>
      <c r="V547" t="s">
        <v>10153</v>
      </c>
      <c r="W547" t="s">
        <v>10154</v>
      </c>
      <c r="X547" t="s">
        <v>3095</v>
      </c>
      <c r="Y547" t="s">
        <v>10155</v>
      </c>
      <c r="Z547" t="s">
        <v>10156</v>
      </c>
      <c r="AA547" t="s">
        <v>10157</v>
      </c>
      <c r="AB547" t="s">
        <v>10158</v>
      </c>
      <c r="AC547" t="s">
        <v>10159</v>
      </c>
      <c r="AD547" t="s">
        <v>10160</v>
      </c>
      <c r="AE547" t="s">
        <v>10161</v>
      </c>
      <c r="AF547" t="s">
        <v>74</v>
      </c>
      <c r="AG547">
        <v>68</v>
      </c>
      <c r="AH547">
        <v>12</v>
      </c>
      <c r="AI547">
        <v>16</v>
      </c>
      <c r="AJ547">
        <v>3</v>
      </c>
      <c r="AK547">
        <v>11</v>
      </c>
      <c r="AL547" t="s">
        <v>1195</v>
      </c>
      <c r="AM547" t="s">
        <v>1196</v>
      </c>
      <c r="AN547" t="s">
        <v>1197</v>
      </c>
      <c r="AO547" t="s">
        <v>74</v>
      </c>
      <c r="AP547" t="s">
        <v>1748</v>
      </c>
      <c r="AQ547" t="s">
        <v>74</v>
      </c>
      <c r="AR547" t="s">
        <v>1749</v>
      </c>
      <c r="AS547" t="s">
        <v>1750</v>
      </c>
      <c r="AT547" t="s">
        <v>1484</v>
      </c>
      <c r="AU547">
        <v>2021</v>
      </c>
      <c r="AV547">
        <v>2</v>
      </c>
      <c r="AW547">
        <v>1</v>
      </c>
      <c r="AX547" t="s">
        <v>74</v>
      </c>
      <c r="AY547" t="s">
        <v>74</v>
      </c>
      <c r="AZ547" t="s">
        <v>74</v>
      </c>
      <c r="BA547" t="s">
        <v>74</v>
      </c>
      <c r="BB547">
        <v>1</v>
      </c>
      <c r="BC547">
        <v>13</v>
      </c>
      <c r="BD547" t="s">
        <v>74</v>
      </c>
      <c r="BE547" t="s">
        <v>10162</v>
      </c>
      <c r="BF547" t="str">
        <f>HYPERLINK("http://dx.doi.org/10.3390/journalmedia2010001","http://dx.doi.org/10.3390/journalmedia2010001")</f>
        <v>http://dx.doi.org/10.3390/journalmedia2010001</v>
      </c>
      <c r="BG547" t="s">
        <v>74</v>
      </c>
      <c r="BH547" t="s">
        <v>74</v>
      </c>
      <c r="BI547">
        <v>13</v>
      </c>
      <c r="BJ547" t="s">
        <v>124</v>
      </c>
      <c r="BK547" t="s">
        <v>125</v>
      </c>
      <c r="BL547" t="s">
        <v>124</v>
      </c>
      <c r="BM547" t="s">
        <v>10163</v>
      </c>
      <c r="BN547" t="s">
        <v>74</v>
      </c>
      <c r="BO547" t="s">
        <v>394</v>
      </c>
      <c r="BP547" t="s">
        <v>74</v>
      </c>
      <c r="BQ547" t="s">
        <v>74</v>
      </c>
      <c r="BR547" t="s">
        <v>102</v>
      </c>
      <c r="BS547" t="s">
        <v>10164</v>
      </c>
      <c r="BT547" t="str">
        <f>HYPERLINK("https%3A%2F%2Fwww.webofscience.com%2Fwos%2Fwoscc%2Ffull-record%2FWOS:001118746200001","View Full Record in Web of Science")</f>
        <v>View Full Record in Web of Science</v>
      </c>
    </row>
    <row r="548" spans="1:72" x14ac:dyDescent="0.35">
      <c r="A548" t="s">
        <v>72</v>
      </c>
      <c r="B548" t="s">
        <v>10165</v>
      </c>
      <c r="C548" t="s">
        <v>74</v>
      </c>
      <c r="D548" t="s">
        <v>74</v>
      </c>
      <c r="E548" t="s">
        <v>74</v>
      </c>
      <c r="F548" t="s">
        <v>10166</v>
      </c>
      <c r="G548" t="s">
        <v>74</v>
      </c>
      <c r="H548" t="s">
        <v>74</v>
      </c>
      <c r="I548" t="s">
        <v>10167</v>
      </c>
      <c r="J548" t="s">
        <v>10168</v>
      </c>
      <c r="K548" t="s">
        <v>74</v>
      </c>
      <c r="L548" t="s">
        <v>74</v>
      </c>
      <c r="M548" t="s">
        <v>78</v>
      </c>
      <c r="N548" t="s">
        <v>108</v>
      </c>
      <c r="O548" t="s">
        <v>74</v>
      </c>
      <c r="P548" t="s">
        <v>74</v>
      </c>
      <c r="Q548" t="s">
        <v>74</v>
      </c>
      <c r="R548" t="s">
        <v>74</v>
      </c>
      <c r="S548" t="s">
        <v>74</v>
      </c>
      <c r="T548" t="s">
        <v>10169</v>
      </c>
      <c r="U548" t="s">
        <v>10170</v>
      </c>
      <c r="V548" t="s">
        <v>10171</v>
      </c>
      <c r="W548" t="s">
        <v>10172</v>
      </c>
      <c r="X548" t="s">
        <v>10173</v>
      </c>
      <c r="Y548" t="s">
        <v>10174</v>
      </c>
      <c r="Z548" t="s">
        <v>10175</v>
      </c>
      <c r="AA548" t="s">
        <v>10176</v>
      </c>
      <c r="AB548" t="s">
        <v>74</v>
      </c>
      <c r="AC548" t="s">
        <v>10177</v>
      </c>
      <c r="AD548" t="s">
        <v>10178</v>
      </c>
      <c r="AE548" t="s">
        <v>10179</v>
      </c>
      <c r="AF548" t="s">
        <v>74</v>
      </c>
      <c r="AG548">
        <v>37</v>
      </c>
      <c r="AH548">
        <v>0</v>
      </c>
      <c r="AI548">
        <v>0</v>
      </c>
      <c r="AJ548">
        <v>11</v>
      </c>
      <c r="AK548">
        <v>39</v>
      </c>
      <c r="AL548" t="s">
        <v>10180</v>
      </c>
      <c r="AM548" t="s">
        <v>10181</v>
      </c>
      <c r="AN548" t="s">
        <v>10182</v>
      </c>
      <c r="AO548" t="s">
        <v>10183</v>
      </c>
      <c r="AP548" t="s">
        <v>10184</v>
      </c>
      <c r="AQ548" t="s">
        <v>74</v>
      </c>
      <c r="AR548" t="s">
        <v>10185</v>
      </c>
      <c r="AS548" t="s">
        <v>10186</v>
      </c>
      <c r="AT548" t="s">
        <v>297</v>
      </c>
      <c r="AU548">
        <v>2023</v>
      </c>
      <c r="AV548">
        <v>57</v>
      </c>
      <c r="AW548">
        <v>4</v>
      </c>
      <c r="AX548" t="s">
        <v>74</v>
      </c>
      <c r="AY548" t="s">
        <v>74</v>
      </c>
      <c r="AZ548" t="s">
        <v>74</v>
      </c>
      <c r="BA548" t="s">
        <v>74</v>
      </c>
      <c r="BB548">
        <v>555</v>
      </c>
      <c r="BC548">
        <v>576</v>
      </c>
      <c r="BD548" t="s">
        <v>74</v>
      </c>
      <c r="BE548" t="s">
        <v>74</v>
      </c>
      <c r="BF548" t="s">
        <v>74</v>
      </c>
      <c r="BG548" t="s">
        <v>74</v>
      </c>
      <c r="BH548" t="s">
        <v>74</v>
      </c>
      <c r="BI548">
        <v>22</v>
      </c>
      <c r="BJ548" t="s">
        <v>10187</v>
      </c>
      <c r="BK548" t="s">
        <v>99</v>
      </c>
      <c r="BL548" t="s">
        <v>10188</v>
      </c>
      <c r="BM548" t="s">
        <v>10189</v>
      </c>
      <c r="BN548" t="s">
        <v>74</v>
      </c>
      <c r="BO548" t="s">
        <v>74</v>
      </c>
      <c r="BP548" t="s">
        <v>74</v>
      </c>
      <c r="BQ548" t="s">
        <v>74</v>
      </c>
      <c r="BR548" t="s">
        <v>102</v>
      </c>
      <c r="BS548" t="s">
        <v>10190</v>
      </c>
      <c r="BT548" t="str">
        <f>HYPERLINK("https%3A%2F%2Fwww.webofscience.com%2Fwos%2Fwoscc%2Ffull-record%2FWOS:001062683300001","View Full Record in Web of Science")</f>
        <v>View Full Record in Web of Science</v>
      </c>
    </row>
    <row r="549" spans="1:72" x14ac:dyDescent="0.35">
      <c r="A549" t="s">
        <v>128</v>
      </c>
      <c r="B549" t="s">
        <v>10191</v>
      </c>
      <c r="C549" t="s">
        <v>74</v>
      </c>
      <c r="D549" t="s">
        <v>10192</v>
      </c>
      <c r="E549" t="s">
        <v>74</v>
      </c>
      <c r="F549" t="s">
        <v>10193</v>
      </c>
      <c r="G549" t="s">
        <v>74</v>
      </c>
      <c r="H549" t="s">
        <v>74</v>
      </c>
      <c r="I549" t="s">
        <v>10194</v>
      </c>
      <c r="J549" t="s">
        <v>10195</v>
      </c>
      <c r="K549" t="s">
        <v>10196</v>
      </c>
      <c r="L549" t="s">
        <v>74</v>
      </c>
      <c r="M549" t="s">
        <v>78</v>
      </c>
      <c r="N549" t="s">
        <v>135</v>
      </c>
      <c r="O549" t="s">
        <v>10197</v>
      </c>
      <c r="P549" t="s">
        <v>10198</v>
      </c>
      <c r="Q549" t="s">
        <v>10199</v>
      </c>
      <c r="R549" t="s">
        <v>74</v>
      </c>
      <c r="S549" t="s">
        <v>74</v>
      </c>
      <c r="T549" t="s">
        <v>74</v>
      </c>
      <c r="U549" t="s">
        <v>74</v>
      </c>
      <c r="V549" t="s">
        <v>10200</v>
      </c>
      <c r="W549" t="s">
        <v>10201</v>
      </c>
      <c r="X549" t="s">
        <v>10202</v>
      </c>
      <c r="Y549" t="s">
        <v>10203</v>
      </c>
      <c r="Z549" t="s">
        <v>10204</v>
      </c>
      <c r="AA549" t="s">
        <v>10205</v>
      </c>
      <c r="AB549" t="s">
        <v>10206</v>
      </c>
      <c r="AC549" t="s">
        <v>74</v>
      </c>
      <c r="AD549" t="s">
        <v>74</v>
      </c>
      <c r="AE549" t="s">
        <v>74</v>
      </c>
      <c r="AF549" t="s">
        <v>74</v>
      </c>
      <c r="AG549">
        <v>25</v>
      </c>
      <c r="AH549">
        <v>3</v>
      </c>
      <c r="AI549">
        <v>3</v>
      </c>
      <c r="AJ549">
        <v>0</v>
      </c>
      <c r="AK549">
        <v>5</v>
      </c>
      <c r="AL549" t="s">
        <v>639</v>
      </c>
      <c r="AM549" t="s">
        <v>640</v>
      </c>
      <c r="AN549" t="s">
        <v>641</v>
      </c>
      <c r="AO549" t="s">
        <v>10207</v>
      </c>
      <c r="AP549" t="s">
        <v>10208</v>
      </c>
      <c r="AQ549" t="s">
        <v>10209</v>
      </c>
      <c r="AR549" t="s">
        <v>10210</v>
      </c>
      <c r="AS549" t="s">
        <v>74</v>
      </c>
      <c r="AT549" t="s">
        <v>74</v>
      </c>
      <c r="AU549">
        <v>2023</v>
      </c>
      <c r="AV549">
        <v>318</v>
      </c>
      <c r="AW549" t="s">
        <v>74</v>
      </c>
      <c r="AX549" t="s">
        <v>74</v>
      </c>
      <c r="AY549" t="s">
        <v>74</v>
      </c>
      <c r="AZ549" t="s">
        <v>74</v>
      </c>
      <c r="BA549" t="s">
        <v>74</v>
      </c>
      <c r="BB549">
        <v>259</v>
      </c>
      <c r="BC549">
        <v>268</v>
      </c>
      <c r="BD549" t="s">
        <v>74</v>
      </c>
      <c r="BE549" t="s">
        <v>10211</v>
      </c>
      <c r="BF549" t="str">
        <f>HYPERLINK("http://dx.doi.org/10.1007/978-981-19-6347-6_23","http://dx.doi.org/10.1007/978-981-19-6347-6_23")</f>
        <v>http://dx.doi.org/10.1007/978-981-19-6347-6_23</v>
      </c>
      <c r="BG549" t="s">
        <v>74</v>
      </c>
      <c r="BH549" t="s">
        <v>74</v>
      </c>
      <c r="BI549">
        <v>10</v>
      </c>
      <c r="BJ549" t="s">
        <v>10212</v>
      </c>
      <c r="BK549" t="s">
        <v>648</v>
      </c>
      <c r="BL549" t="s">
        <v>7740</v>
      </c>
      <c r="BM549" t="s">
        <v>10213</v>
      </c>
      <c r="BN549" t="s">
        <v>74</v>
      </c>
      <c r="BO549" t="s">
        <v>74</v>
      </c>
      <c r="BP549" t="s">
        <v>74</v>
      </c>
      <c r="BQ549" t="s">
        <v>74</v>
      </c>
      <c r="BR549" t="s">
        <v>102</v>
      </c>
      <c r="BS549" t="s">
        <v>10214</v>
      </c>
      <c r="BT549" t="str">
        <f>HYPERLINK("https%3A%2F%2Fwww.webofscience.com%2Fwos%2Fwoscc%2Ffull-record%2FWOS:000921943800023","View Full Record in Web of Science")</f>
        <v>View Full Record in Web of Science</v>
      </c>
    </row>
    <row r="550" spans="1:72" x14ac:dyDescent="0.35">
      <c r="A550" t="s">
        <v>72</v>
      </c>
      <c r="B550" t="s">
        <v>10215</v>
      </c>
      <c r="C550" t="s">
        <v>74</v>
      </c>
      <c r="D550" t="s">
        <v>74</v>
      </c>
      <c r="E550" t="s">
        <v>74</v>
      </c>
      <c r="F550" t="s">
        <v>10216</v>
      </c>
      <c r="G550" t="s">
        <v>74</v>
      </c>
      <c r="H550" t="s">
        <v>74</v>
      </c>
      <c r="I550" t="s">
        <v>10217</v>
      </c>
      <c r="J550" t="s">
        <v>10218</v>
      </c>
      <c r="K550" t="s">
        <v>74</v>
      </c>
      <c r="L550" t="s">
        <v>74</v>
      </c>
      <c r="M550" t="s">
        <v>78</v>
      </c>
      <c r="N550" t="s">
        <v>108</v>
      </c>
      <c r="O550" t="s">
        <v>74</v>
      </c>
      <c r="P550" t="s">
        <v>74</v>
      </c>
      <c r="Q550" t="s">
        <v>74</v>
      </c>
      <c r="R550" t="s">
        <v>74</v>
      </c>
      <c r="S550" t="s">
        <v>74</v>
      </c>
      <c r="T550" t="s">
        <v>74</v>
      </c>
      <c r="U550" t="s">
        <v>74</v>
      </c>
      <c r="V550" t="s">
        <v>74</v>
      </c>
      <c r="W550" t="s">
        <v>10219</v>
      </c>
      <c r="X550" t="s">
        <v>10220</v>
      </c>
      <c r="Y550" t="s">
        <v>10221</v>
      </c>
      <c r="Z550" t="s">
        <v>10222</v>
      </c>
      <c r="AA550" t="s">
        <v>74</v>
      </c>
      <c r="AB550" t="s">
        <v>74</v>
      </c>
      <c r="AC550" t="s">
        <v>74</v>
      </c>
      <c r="AD550" t="s">
        <v>74</v>
      </c>
      <c r="AE550" t="s">
        <v>74</v>
      </c>
      <c r="AF550" t="s">
        <v>74</v>
      </c>
      <c r="AG550">
        <v>5</v>
      </c>
      <c r="AH550">
        <v>0</v>
      </c>
      <c r="AI550">
        <v>0</v>
      </c>
      <c r="AJ550">
        <v>2</v>
      </c>
      <c r="AK550">
        <v>4</v>
      </c>
      <c r="AL550" t="s">
        <v>10223</v>
      </c>
      <c r="AM550" t="s">
        <v>10224</v>
      </c>
      <c r="AN550" t="s">
        <v>10225</v>
      </c>
      <c r="AO550" t="s">
        <v>10226</v>
      </c>
      <c r="AP550" t="s">
        <v>10227</v>
      </c>
      <c r="AQ550" t="s">
        <v>74</v>
      </c>
      <c r="AR550" t="s">
        <v>10228</v>
      </c>
      <c r="AS550" t="s">
        <v>10229</v>
      </c>
      <c r="AT550" t="s">
        <v>5690</v>
      </c>
      <c r="AU550">
        <v>2024</v>
      </c>
      <c r="AV550">
        <v>65</v>
      </c>
      <c r="AW550">
        <v>2</v>
      </c>
      <c r="AX550" t="s">
        <v>74</v>
      </c>
      <c r="AY550" t="s">
        <v>74</v>
      </c>
      <c r="AZ550" t="s">
        <v>74</v>
      </c>
      <c r="BA550" t="s">
        <v>74</v>
      </c>
      <c r="BB550">
        <v>382</v>
      </c>
      <c r="BC550">
        <v>383</v>
      </c>
      <c r="BD550" t="s">
        <v>74</v>
      </c>
      <c r="BE550" t="s">
        <v>10230</v>
      </c>
      <c r="BF550" t="str">
        <f>HYPERLINK("http://dx.doi.org/10.1086/729538","http://dx.doi.org/10.1086/729538")</f>
        <v>http://dx.doi.org/10.1086/729538</v>
      </c>
      <c r="BG550" t="s">
        <v>74</v>
      </c>
      <c r="BH550" t="s">
        <v>2410</v>
      </c>
      <c r="BI550">
        <v>2</v>
      </c>
      <c r="BJ550" t="s">
        <v>4834</v>
      </c>
      <c r="BK550" t="s">
        <v>99</v>
      </c>
      <c r="BL550" t="s">
        <v>4834</v>
      </c>
      <c r="BM550" t="s">
        <v>10231</v>
      </c>
      <c r="BN550" t="s">
        <v>74</v>
      </c>
      <c r="BO550" t="s">
        <v>74</v>
      </c>
      <c r="BP550" t="s">
        <v>74</v>
      </c>
      <c r="BQ550" t="s">
        <v>74</v>
      </c>
      <c r="BR550" t="s">
        <v>102</v>
      </c>
      <c r="BS550" t="s">
        <v>10232</v>
      </c>
      <c r="BT550" t="str">
        <f>HYPERLINK("https%3A%2F%2Fwww.webofscience.com%2Fwos%2Fwoscc%2Ffull-record%2FWOS:001194607100001","View Full Record in Web of Science")</f>
        <v>View Full Record in Web of Science</v>
      </c>
    </row>
    <row r="551" spans="1:72" x14ac:dyDescent="0.35">
      <c r="A551" t="s">
        <v>72</v>
      </c>
      <c r="B551" t="s">
        <v>10233</v>
      </c>
      <c r="C551" t="s">
        <v>74</v>
      </c>
      <c r="D551" t="s">
        <v>74</v>
      </c>
      <c r="E551" t="s">
        <v>74</v>
      </c>
      <c r="F551" t="s">
        <v>10234</v>
      </c>
      <c r="G551" t="s">
        <v>74</v>
      </c>
      <c r="H551" t="s">
        <v>74</v>
      </c>
      <c r="I551" t="s">
        <v>10235</v>
      </c>
      <c r="J551" t="s">
        <v>10236</v>
      </c>
      <c r="K551" t="s">
        <v>74</v>
      </c>
      <c r="L551" t="s">
        <v>74</v>
      </c>
      <c r="M551" t="s">
        <v>78</v>
      </c>
      <c r="N551" t="s">
        <v>108</v>
      </c>
      <c r="O551" t="s">
        <v>74</v>
      </c>
      <c r="P551" t="s">
        <v>74</v>
      </c>
      <c r="Q551" t="s">
        <v>74</v>
      </c>
      <c r="R551" t="s">
        <v>74</v>
      </c>
      <c r="S551" t="s">
        <v>74</v>
      </c>
      <c r="T551" t="s">
        <v>74</v>
      </c>
      <c r="U551" t="s">
        <v>74</v>
      </c>
      <c r="V551" t="s">
        <v>74</v>
      </c>
      <c r="W551" t="s">
        <v>10237</v>
      </c>
      <c r="X551" t="s">
        <v>10238</v>
      </c>
      <c r="Y551" t="s">
        <v>10239</v>
      </c>
      <c r="Z551" t="s">
        <v>10240</v>
      </c>
      <c r="AA551" t="s">
        <v>74</v>
      </c>
      <c r="AB551" t="s">
        <v>10241</v>
      </c>
      <c r="AC551" t="s">
        <v>74</v>
      </c>
      <c r="AD551" t="s">
        <v>74</v>
      </c>
      <c r="AE551" t="s">
        <v>74</v>
      </c>
      <c r="AF551" t="s">
        <v>74</v>
      </c>
      <c r="AG551">
        <v>15</v>
      </c>
      <c r="AH551">
        <v>2</v>
      </c>
      <c r="AI551">
        <v>2</v>
      </c>
      <c r="AJ551">
        <v>0</v>
      </c>
      <c r="AK551">
        <v>1</v>
      </c>
      <c r="AL551" t="s">
        <v>251</v>
      </c>
      <c r="AM551" t="s">
        <v>252</v>
      </c>
      <c r="AN551" t="s">
        <v>253</v>
      </c>
      <c r="AO551" t="s">
        <v>10242</v>
      </c>
      <c r="AP551" t="s">
        <v>10243</v>
      </c>
      <c r="AQ551" t="s">
        <v>74</v>
      </c>
      <c r="AR551" t="s">
        <v>10244</v>
      </c>
      <c r="AS551" t="s">
        <v>10245</v>
      </c>
      <c r="AT551" t="s">
        <v>10246</v>
      </c>
      <c r="AU551">
        <v>2023</v>
      </c>
      <c r="AV551" t="s">
        <v>74</v>
      </c>
      <c r="AW551" t="s">
        <v>74</v>
      </c>
      <c r="AX551" t="s">
        <v>74</v>
      </c>
      <c r="AY551" t="s">
        <v>74</v>
      </c>
      <c r="AZ551" t="s">
        <v>74</v>
      </c>
      <c r="BA551" t="s">
        <v>74</v>
      </c>
      <c r="BB551" t="s">
        <v>74</v>
      </c>
      <c r="BC551" t="s">
        <v>74</v>
      </c>
      <c r="BD551" t="s">
        <v>10247</v>
      </c>
      <c r="BE551" t="s">
        <v>10248</v>
      </c>
      <c r="BF551" t="str">
        <f>HYPERLINK("http://dx.doi.org/10.1111/tct.13636","http://dx.doi.org/10.1111/tct.13636")</f>
        <v>http://dx.doi.org/10.1111/tct.13636</v>
      </c>
      <c r="BG551" t="s">
        <v>74</v>
      </c>
      <c r="BH551" t="s">
        <v>74</v>
      </c>
      <c r="BI551">
        <v>6</v>
      </c>
      <c r="BJ551" t="s">
        <v>10249</v>
      </c>
      <c r="BK551" t="s">
        <v>125</v>
      </c>
      <c r="BL551" t="s">
        <v>10250</v>
      </c>
      <c r="BM551" t="s">
        <v>10251</v>
      </c>
      <c r="BN551">
        <v>37632321</v>
      </c>
      <c r="BO551" t="s">
        <v>156</v>
      </c>
      <c r="BP551" t="s">
        <v>74</v>
      </c>
      <c r="BQ551" t="s">
        <v>74</v>
      </c>
      <c r="BR551" t="s">
        <v>102</v>
      </c>
      <c r="BS551" t="s">
        <v>10252</v>
      </c>
      <c r="BT551" t="str">
        <f>HYPERLINK("https%3A%2F%2Fwww.webofscience.com%2Fwos%2Fwoscc%2Ffull-record%2FWOS:001093865100001","View Full Record in Web of Science")</f>
        <v>View Full Record in Web of Science</v>
      </c>
    </row>
    <row r="552" spans="1:72" x14ac:dyDescent="0.35">
      <c r="A552" t="s">
        <v>72</v>
      </c>
      <c r="B552" t="s">
        <v>10253</v>
      </c>
      <c r="C552" t="s">
        <v>74</v>
      </c>
      <c r="D552" t="s">
        <v>74</v>
      </c>
      <c r="E552" t="s">
        <v>74</v>
      </c>
      <c r="F552" t="s">
        <v>10254</v>
      </c>
      <c r="G552" t="s">
        <v>74</v>
      </c>
      <c r="H552" t="s">
        <v>74</v>
      </c>
      <c r="I552" t="s">
        <v>10255</v>
      </c>
      <c r="J552" t="s">
        <v>10256</v>
      </c>
      <c r="K552" t="s">
        <v>74</v>
      </c>
      <c r="L552" t="s">
        <v>74</v>
      </c>
      <c r="M552" t="s">
        <v>78</v>
      </c>
      <c r="N552" t="s">
        <v>52</v>
      </c>
      <c r="O552" t="s">
        <v>10257</v>
      </c>
      <c r="P552" t="s">
        <v>10258</v>
      </c>
      <c r="Q552" t="s">
        <v>6041</v>
      </c>
      <c r="R552" t="s">
        <v>74</v>
      </c>
      <c r="S552" t="s">
        <v>74</v>
      </c>
      <c r="T552" t="s">
        <v>74</v>
      </c>
      <c r="U552" t="s">
        <v>74</v>
      </c>
      <c r="V552" t="s">
        <v>74</v>
      </c>
      <c r="W552" t="s">
        <v>10259</v>
      </c>
      <c r="X552" t="s">
        <v>10260</v>
      </c>
      <c r="Y552" t="s">
        <v>74</v>
      </c>
      <c r="Z552" t="s">
        <v>74</v>
      </c>
      <c r="AA552" t="s">
        <v>74</v>
      </c>
      <c r="AB552" t="s">
        <v>74</v>
      </c>
      <c r="AC552" t="s">
        <v>74</v>
      </c>
      <c r="AD552" t="s">
        <v>74</v>
      </c>
      <c r="AE552" t="s">
        <v>74</v>
      </c>
      <c r="AF552" t="s">
        <v>74</v>
      </c>
      <c r="AG552">
        <v>0</v>
      </c>
      <c r="AH552">
        <v>0</v>
      </c>
      <c r="AI552">
        <v>0</v>
      </c>
      <c r="AJ552">
        <v>0</v>
      </c>
      <c r="AK552">
        <v>0</v>
      </c>
      <c r="AL552" t="s">
        <v>1965</v>
      </c>
      <c r="AM552" t="s">
        <v>666</v>
      </c>
      <c r="AN552" t="s">
        <v>1966</v>
      </c>
      <c r="AO552" t="s">
        <v>10261</v>
      </c>
      <c r="AP552" t="s">
        <v>10262</v>
      </c>
      <c r="AQ552" t="s">
        <v>74</v>
      </c>
      <c r="AR552" t="s">
        <v>10263</v>
      </c>
      <c r="AS552" t="s">
        <v>10264</v>
      </c>
      <c r="AT552" t="s">
        <v>257</v>
      </c>
      <c r="AU552">
        <v>2023</v>
      </c>
      <c r="AV552">
        <v>23</v>
      </c>
      <c r="AW552">
        <v>6</v>
      </c>
      <c r="AX552" t="s">
        <v>74</v>
      </c>
      <c r="AY552">
        <v>1</v>
      </c>
      <c r="AZ552" t="s">
        <v>74</v>
      </c>
      <c r="BA552" t="s">
        <v>10265</v>
      </c>
      <c r="BB552" t="s">
        <v>10266</v>
      </c>
      <c r="BC552" t="s">
        <v>10267</v>
      </c>
      <c r="BD552" t="s">
        <v>74</v>
      </c>
      <c r="BE552" t="s">
        <v>74</v>
      </c>
      <c r="BF552" t="s">
        <v>74</v>
      </c>
      <c r="BG552" t="s">
        <v>74</v>
      </c>
      <c r="BH552" t="s">
        <v>74</v>
      </c>
      <c r="BI552">
        <v>2</v>
      </c>
      <c r="BJ552" t="s">
        <v>10268</v>
      </c>
      <c r="BK552" t="s">
        <v>2257</v>
      </c>
      <c r="BL552" t="s">
        <v>10268</v>
      </c>
      <c r="BM552" t="s">
        <v>10269</v>
      </c>
      <c r="BN552" t="s">
        <v>74</v>
      </c>
      <c r="BO552" t="s">
        <v>74</v>
      </c>
      <c r="BP552" t="s">
        <v>74</v>
      </c>
      <c r="BQ552" t="s">
        <v>74</v>
      </c>
      <c r="BR552" t="s">
        <v>102</v>
      </c>
      <c r="BS552" t="s">
        <v>10270</v>
      </c>
      <c r="BT552" t="str">
        <f>HYPERLINK("https%3A%2F%2Fwww.webofscience.com%2Fwos%2Fwoscc%2Ffull-record%2FWOS:001087126902320","View Full Record in Web of Science")</f>
        <v>View Full Record in Web of Science</v>
      </c>
    </row>
    <row r="553" spans="1:72" x14ac:dyDescent="0.35">
      <c r="A553" t="s">
        <v>72</v>
      </c>
      <c r="B553" t="s">
        <v>10271</v>
      </c>
      <c r="C553" t="s">
        <v>74</v>
      </c>
      <c r="D553" t="s">
        <v>74</v>
      </c>
      <c r="E553" t="s">
        <v>74</v>
      </c>
      <c r="F553" t="s">
        <v>10272</v>
      </c>
      <c r="G553" t="s">
        <v>74</v>
      </c>
      <c r="H553" t="s">
        <v>74</v>
      </c>
      <c r="I553" t="s">
        <v>10273</v>
      </c>
      <c r="J553" t="s">
        <v>373</v>
      </c>
      <c r="K553" t="s">
        <v>74</v>
      </c>
      <c r="L553" t="s">
        <v>74</v>
      </c>
      <c r="M553" t="s">
        <v>78</v>
      </c>
      <c r="N553" t="s">
        <v>108</v>
      </c>
      <c r="O553" t="s">
        <v>74</v>
      </c>
      <c r="P553" t="s">
        <v>74</v>
      </c>
      <c r="Q553" t="s">
        <v>74</v>
      </c>
      <c r="R553" t="s">
        <v>74</v>
      </c>
      <c r="S553" t="s">
        <v>74</v>
      </c>
      <c r="T553" t="s">
        <v>10274</v>
      </c>
      <c r="U553" t="s">
        <v>2745</v>
      </c>
      <c r="V553" t="s">
        <v>10275</v>
      </c>
      <c r="W553" t="s">
        <v>10276</v>
      </c>
      <c r="X553" t="s">
        <v>74</v>
      </c>
      <c r="Y553" t="s">
        <v>10277</v>
      </c>
      <c r="Z553" t="s">
        <v>10278</v>
      </c>
      <c r="AA553" t="s">
        <v>74</v>
      </c>
      <c r="AB553" t="s">
        <v>74</v>
      </c>
      <c r="AC553" t="s">
        <v>74</v>
      </c>
      <c r="AD553" t="s">
        <v>74</v>
      </c>
      <c r="AE553" t="s">
        <v>74</v>
      </c>
      <c r="AF553" t="s">
        <v>74</v>
      </c>
      <c r="AG553">
        <v>32</v>
      </c>
      <c r="AH553">
        <v>0</v>
      </c>
      <c r="AI553">
        <v>0</v>
      </c>
      <c r="AJ553">
        <v>2</v>
      </c>
      <c r="AK553">
        <v>2</v>
      </c>
      <c r="AL553" t="s">
        <v>384</v>
      </c>
      <c r="AM553" t="s">
        <v>385</v>
      </c>
      <c r="AN553" t="s">
        <v>386</v>
      </c>
      <c r="AO553" t="s">
        <v>74</v>
      </c>
      <c r="AP553" t="s">
        <v>387</v>
      </c>
      <c r="AQ553" t="s">
        <v>74</v>
      </c>
      <c r="AR553" t="s">
        <v>388</v>
      </c>
      <c r="AS553" t="s">
        <v>389</v>
      </c>
      <c r="AT553" t="s">
        <v>4398</v>
      </c>
      <c r="AU553">
        <v>2024</v>
      </c>
      <c r="AV553">
        <v>12</v>
      </c>
      <c r="AW553" t="s">
        <v>74</v>
      </c>
      <c r="AX553" t="s">
        <v>74</v>
      </c>
      <c r="AY553" t="s">
        <v>74</v>
      </c>
      <c r="AZ553" t="s">
        <v>74</v>
      </c>
      <c r="BA553" t="s">
        <v>74</v>
      </c>
      <c r="BB553" t="s">
        <v>74</v>
      </c>
      <c r="BC553" t="s">
        <v>74</v>
      </c>
      <c r="BD553">
        <v>1446003</v>
      </c>
      <c r="BE553" t="s">
        <v>10279</v>
      </c>
      <c r="BF553" t="str">
        <f>HYPERLINK("http://dx.doi.org/10.3389/fpubh.2024.1446003","http://dx.doi.org/10.3389/fpubh.2024.1446003")</f>
        <v>http://dx.doi.org/10.3389/fpubh.2024.1446003</v>
      </c>
      <c r="BG553" t="s">
        <v>74</v>
      </c>
      <c r="BH553" t="s">
        <v>74</v>
      </c>
      <c r="BI553">
        <v>7</v>
      </c>
      <c r="BJ553" t="s">
        <v>392</v>
      </c>
      <c r="BK553" t="s">
        <v>182</v>
      </c>
      <c r="BL553" t="s">
        <v>392</v>
      </c>
      <c r="BM553" t="s">
        <v>10280</v>
      </c>
      <c r="BN553">
        <v>39296850</v>
      </c>
      <c r="BO553" t="s">
        <v>235</v>
      </c>
      <c r="BP553" t="s">
        <v>74</v>
      </c>
      <c r="BQ553" t="s">
        <v>74</v>
      </c>
      <c r="BR553" t="s">
        <v>102</v>
      </c>
      <c r="BS553" t="s">
        <v>10281</v>
      </c>
      <c r="BT553" t="str">
        <f>HYPERLINK("https%3A%2F%2Fwww.webofscience.com%2Fwos%2Fwoscc%2Ffull-record%2FWOS:001314637000001","View Full Record in Web of Science")</f>
        <v>View Full Record in Web of Science</v>
      </c>
    </row>
    <row r="554" spans="1:72" x14ac:dyDescent="0.35">
      <c r="A554" t="s">
        <v>72</v>
      </c>
      <c r="B554" t="s">
        <v>10282</v>
      </c>
      <c r="C554" t="s">
        <v>74</v>
      </c>
      <c r="D554" t="s">
        <v>74</v>
      </c>
      <c r="E554" t="s">
        <v>74</v>
      </c>
      <c r="F554" t="s">
        <v>10283</v>
      </c>
      <c r="G554" t="s">
        <v>74</v>
      </c>
      <c r="H554" t="s">
        <v>74</v>
      </c>
      <c r="I554" t="s">
        <v>10284</v>
      </c>
      <c r="J554" t="s">
        <v>9249</v>
      </c>
      <c r="K554" t="s">
        <v>74</v>
      </c>
      <c r="L554" t="s">
        <v>74</v>
      </c>
      <c r="M554" t="s">
        <v>78</v>
      </c>
      <c r="N554" t="s">
        <v>52</v>
      </c>
      <c r="O554" t="s">
        <v>9250</v>
      </c>
      <c r="P554" t="s">
        <v>9251</v>
      </c>
      <c r="Q554" t="s">
        <v>138</v>
      </c>
      <c r="R554" t="s">
        <v>9252</v>
      </c>
      <c r="S554" t="s">
        <v>74</v>
      </c>
      <c r="T554" t="s">
        <v>74</v>
      </c>
      <c r="U554" t="s">
        <v>74</v>
      </c>
      <c r="V554" t="s">
        <v>74</v>
      </c>
      <c r="W554" t="s">
        <v>10285</v>
      </c>
      <c r="X554" t="s">
        <v>74</v>
      </c>
      <c r="Y554" t="s">
        <v>74</v>
      </c>
      <c r="Z554" t="s">
        <v>10286</v>
      </c>
      <c r="AA554" t="s">
        <v>74</v>
      </c>
      <c r="AB554" t="s">
        <v>74</v>
      </c>
      <c r="AC554" t="s">
        <v>74</v>
      </c>
      <c r="AD554" t="s">
        <v>74</v>
      </c>
      <c r="AE554" t="s">
        <v>74</v>
      </c>
      <c r="AF554" t="s">
        <v>74</v>
      </c>
      <c r="AG554">
        <v>0</v>
      </c>
      <c r="AH554">
        <v>0</v>
      </c>
      <c r="AI554">
        <v>0</v>
      </c>
      <c r="AJ554">
        <v>0</v>
      </c>
      <c r="AK554">
        <v>8</v>
      </c>
      <c r="AL554" t="s">
        <v>1965</v>
      </c>
      <c r="AM554" t="s">
        <v>666</v>
      </c>
      <c r="AN554" t="s">
        <v>1966</v>
      </c>
      <c r="AO554" t="s">
        <v>9256</v>
      </c>
      <c r="AP554" t="s">
        <v>9257</v>
      </c>
      <c r="AQ554" t="s">
        <v>74</v>
      </c>
      <c r="AR554" t="s">
        <v>9258</v>
      </c>
      <c r="AS554" t="s">
        <v>9259</v>
      </c>
      <c r="AT554" t="s">
        <v>74</v>
      </c>
      <c r="AU554">
        <v>2021</v>
      </c>
      <c r="AV554">
        <v>60</v>
      </c>
      <c r="AW554">
        <v>10</v>
      </c>
      <c r="AX554" t="s">
        <v>74</v>
      </c>
      <c r="AY554" t="s">
        <v>4946</v>
      </c>
      <c r="AZ554" t="s">
        <v>74</v>
      </c>
      <c r="BA554">
        <v>53.4</v>
      </c>
      <c r="BB554" t="s">
        <v>10287</v>
      </c>
      <c r="BC554" t="s">
        <v>10287</v>
      </c>
      <c r="BD554" t="s">
        <v>74</v>
      </c>
      <c r="BE554" t="s">
        <v>10288</v>
      </c>
      <c r="BF554" t="str">
        <f>HYPERLINK("http://dx.doi.org/10.1016/j.jaac.2021.07.332","http://dx.doi.org/10.1016/j.jaac.2021.07.332")</f>
        <v>http://dx.doi.org/10.1016/j.jaac.2021.07.332</v>
      </c>
      <c r="BG554" t="s">
        <v>74</v>
      </c>
      <c r="BH554" t="s">
        <v>9169</v>
      </c>
      <c r="BI554">
        <v>1</v>
      </c>
      <c r="BJ554" t="s">
        <v>5098</v>
      </c>
      <c r="BK554" t="s">
        <v>3030</v>
      </c>
      <c r="BL554" t="s">
        <v>5099</v>
      </c>
      <c r="BM554" t="s">
        <v>9262</v>
      </c>
      <c r="BN554" t="s">
        <v>74</v>
      </c>
      <c r="BO554" t="s">
        <v>74</v>
      </c>
      <c r="BP554" t="s">
        <v>74</v>
      </c>
      <c r="BQ554" t="s">
        <v>74</v>
      </c>
      <c r="BR554" t="s">
        <v>102</v>
      </c>
      <c r="BS554" t="s">
        <v>10289</v>
      </c>
      <c r="BT554" t="str">
        <f>HYPERLINK("https%3A%2F%2Fwww.webofscience.com%2Fwos%2Fwoscc%2Ffull-record%2FWOS:000707082800268","View Full Record in Web of Science")</f>
        <v>View Full Record in Web of Science</v>
      </c>
    </row>
    <row r="555" spans="1:72" x14ac:dyDescent="0.35">
      <c r="A555" t="s">
        <v>72</v>
      </c>
      <c r="B555" t="s">
        <v>10290</v>
      </c>
      <c r="C555" t="s">
        <v>74</v>
      </c>
      <c r="D555" t="s">
        <v>74</v>
      </c>
      <c r="E555" t="s">
        <v>74</v>
      </c>
      <c r="F555" t="s">
        <v>10291</v>
      </c>
      <c r="G555" t="s">
        <v>74</v>
      </c>
      <c r="H555" t="s">
        <v>74</v>
      </c>
      <c r="I555" t="s">
        <v>10292</v>
      </c>
      <c r="J555" t="s">
        <v>10293</v>
      </c>
      <c r="K555" t="s">
        <v>74</v>
      </c>
      <c r="L555" t="s">
        <v>74</v>
      </c>
      <c r="M555" t="s">
        <v>78</v>
      </c>
      <c r="N555" t="s">
        <v>52</v>
      </c>
      <c r="O555" t="s">
        <v>10294</v>
      </c>
      <c r="P555" t="s">
        <v>10295</v>
      </c>
      <c r="Q555" t="s">
        <v>138</v>
      </c>
      <c r="R555" t="s">
        <v>10296</v>
      </c>
      <c r="S555" t="s">
        <v>74</v>
      </c>
      <c r="T555" t="s">
        <v>74</v>
      </c>
      <c r="U555" t="s">
        <v>74</v>
      </c>
      <c r="V555" t="s">
        <v>74</v>
      </c>
      <c r="W555" t="s">
        <v>10297</v>
      </c>
      <c r="X555" t="s">
        <v>10298</v>
      </c>
      <c r="Y555" t="s">
        <v>74</v>
      </c>
      <c r="Z555" t="s">
        <v>74</v>
      </c>
      <c r="AA555" t="s">
        <v>10299</v>
      </c>
      <c r="AB555" t="s">
        <v>74</v>
      </c>
      <c r="AC555" t="s">
        <v>74</v>
      </c>
      <c r="AD555" t="s">
        <v>74</v>
      </c>
      <c r="AE555" t="s">
        <v>74</v>
      </c>
      <c r="AF555" t="s">
        <v>74</v>
      </c>
      <c r="AG555">
        <v>0</v>
      </c>
      <c r="AH555">
        <v>1</v>
      </c>
      <c r="AI555">
        <v>1</v>
      </c>
      <c r="AJ555">
        <v>1</v>
      </c>
      <c r="AK555">
        <v>1</v>
      </c>
      <c r="AL555" t="s">
        <v>1901</v>
      </c>
      <c r="AM555" t="s">
        <v>995</v>
      </c>
      <c r="AN555" t="s">
        <v>1902</v>
      </c>
      <c r="AO555" t="s">
        <v>10300</v>
      </c>
      <c r="AP555" t="s">
        <v>10301</v>
      </c>
      <c r="AQ555" t="s">
        <v>74</v>
      </c>
      <c r="AR555" t="s">
        <v>10302</v>
      </c>
      <c r="AS555" t="s">
        <v>10303</v>
      </c>
      <c r="AT555" t="s">
        <v>2234</v>
      </c>
      <c r="AU555">
        <v>2022</v>
      </c>
      <c r="AV555">
        <v>40</v>
      </c>
      <c r="AW555">
        <v>16</v>
      </c>
      <c r="AX555" t="s">
        <v>74</v>
      </c>
      <c r="AY555" t="s">
        <v>4946</v>
      </c>
      <c r="AZ555" t="s">
        <v>74</v>
      </c>
      <c r="BA555">
        <v>11046</v>
      </c>
      <c r="BB555" t="s">
        <v>74</v>
      </c>
      <c r="BC555" t="s">
        <v>74</v>
      </c>
      <c r="BD555" t="s">
        <v>74</v>
      </c>
      <c r="BE555" t="s">
        <v>74</v>
      </c>
      <c r="BF555" t="s">
        <v>74</v>
      </c>
      <c r="BG555" t="s">
        <v>74</v>
      </c>
      <c r="BH555" t="s">
        <v>74</v>
      </c>
      <c r="BI555">
        <v>1</v>
      </c>
      <c r="BJ555" t="s">
        <v>10304</v>
      </c>
      <c r="BK555" t="s">
        <v>2257</v>
      </c>
      <c r="BL555" t="s">
        <v>10304</v>
      </c>
      <c r="BM555" t="s">
        <v>10305</v>
      </c>
      <c r="BN555" t="s">
        <v>74</v>
      </c>
      <c r="BO555" t="s">
        <v>74</v>
      </c>
      <c r="BP555" t="s">
        <v>74</v>
      </c>
      <c r="BQ555" t="s">
        <v>74</v>
      </c>
      <c r="BR555" t="s">
        <v>102</v>
      </c>
      <c r="BS555" t="s">
        <v>10306</v>
      </c>
      <c r="BT555" t="str">
        <f>HYPERLINK("https%3A%2F%2Fwww.webofscience.com%2Fwos%2Fwoscc%2Ffull-record%2FWOS:000863680300325","View Full Record in Web of Science")</f>
        <v>View Full Record in Web of Science</v>
      </c>
    </row>
    <row r="556" spans="1:72" x14ac:dyDescent="0.35">
      <c r="A556" t="s">
        <v>72</v>
      </c>
      <c r="B556" t="s">
        <v>10307</v>
      </c>
      <c r="C556" t="s">
        <v>74</v>
      </c>
      <c r="D556" t="s">
        <v>74</v>
      </c>
      <c r="E556" t="s">
        <v>74</v>
      </c>
      <c r="F556" t="s">
        <v>10308</v>
      </c>
      <c r="G556" t="s">
        <v>74</v>
      </c>
      <c r="H556" t="s">
        <v>74</v>
      </c>
      <c r="I556" t="s">
        <v>10309</v>
      </c>
      <c r="J556" t="s">
        <v>10310</v>
      </c>
      <c r="K556" t="s">
        <v>74</v>
      </c>
      <c r="L556" t="s">
        <v>74</v>
      </c>
      <c r="M556" t="s">
        <v>78</v>
      </c>
      <c r="N556" t="s">
        <v>108</v>
      </c>
      <c r="O556" t="s">
        <v>74</v>
      </c>
      <c r="P556" t="s">
        <v>74</v>
      </c>
      <c r="Q556" t="s">
        <v>74</v>
      </c>
      <c r="R556" t="s">
        <v>74</v>
      </c>
      <c r="S556" t="s">
        <v>74</v>
      </c>
      <c r="T556" t="s">
        <v>74</v>
      </c>
      <c r="U556" t="s">
        <v>74</v>
      </c>
      <c r="V556" t="s">
        <v>10311</v>
      </c>
      <c r="W556" t="s">
        <v>10312</v>
      </c>
      <c r="X556" t="s">
        <v>5390</v>
      </c>
      <c r="Y556" t="s">
        <v>10313</v>
      </c>
      <c r="Z556" t="s">
        <v>74</v>
      </c>
      <c r="AA556" t="s">
        <v>74</v>
      </c>
      <c r="AB556" t="s">
        <v>74</v>
      </c>
      <c r="AC556" t="s">
        <v>74</v>
      </c>
      <c r="AD556" t="s">
        <v>74</v>
      </c>
      <c r="AE556" t="s">
        <v>74</v>
      </c>
      <c r="AF556" t="s">
        <v>74</v>
      </c>
      <c r="AG556">
        <v>130</v>
      </c>
      <c r="AH556">
        <v>7</v>
      </c>
      <c r="AI556">
        <v>8</v>
      </c>
      <c r="AJ556">
        <v>1</v>
      </c>
      <c r="AK556">
        <v>29</v>
      </c>
      <c r="AL556" t="s">
        <v>10314</v>
      </c>
      <c r="AM556" t="s">
        <v>10315</v>
      </c>
      <c r="AN556" t="s">
        <v>10316</v>
      </c>
      <c r="AO556" t="s">
        <v>10317</v>
      </c>
      <c r="AP556" t="s">
        <v>74</v>
      </c>
      <c r="AQ556" t="s">
        <v>74</v>
      </c>
      <c r="AR556" t="s">
        <v>10318</v>
      </c>
      <c r="AS556" t="s">
        <v>10319</v>
      </c>
      <c r="AT556" t="s">
        <v>594</v>
      </c>
      <c r="AU556">
        <v>2021</v>
      </c>
      <c r="AV556">
        <v>96</v>
      </c>
      <c r="AW556">
        <v>3</v>
      </c>
      <c r="AX556" t="s">
        <v>74</v>
      </c>
      <c r="AY556" t="s">
        <v>74</v>
      </c>
      <c r="AZ556" t="s">
        <v>74</v>
      </c>
      <c r="BA556" t="s">
        <v>74</v>
      </c>
      <c r="BB556">
        <v>1225</v>
      </c>
      <c r="BC556">
        <v>1274</v>
      </c>
      <c r="BD556" t="s">
        <v>74</v>
      </c>
      <c r="BE556" t="s">
        <v>74</v>
      </c>
      <c r="BF556" t="s">
        <v>74</v>
      </c>
      <c r="BG556" t="s">
        <v>74</v>
      </c>
      <c r="BH556" t="s">
        <v>74</v>
      </c>
      <c r="BI556">
        <v>51</v>
      </c>
      <c r="BJ556" t="s">
        <v>10320</v>
      </c>
      <c r="BK556" t="s">
        <v>99</v>
      </c>
      <c r="BL556" t="s">
        <v>8015</v>
      </c>
      <c r="BM556" t="s">
        <v>10321</v>
      </c>
      <c r="BN556" t="s">
        <v>74</v>
      </c>
      <c r="BO556" t="s">
        <v>74</v>
      </c>
      <c r="BP556" t="s">
        <v>74</v>
      </c>
      <c r="BQ556" t="s">
        <v>74</v>
      </c>
      <c r="BR556" t="s">
        <v>102</v>
      </c>
      <c r="BS556" t="s">
        <v>10322</v>
      </c>
      <c r="BT556" t="str">
        <f>HYPERLINK("https%3A%2F%2Fwww.webofscience.com%2Fwos%2Fwoscc%2Ffull-record%2FWOS:000712454900009","View Full Record in Web of Science")</f>
        <v>View Full Record in Web of Science</v>
      </c>
    </row>
    <row r="557" spans="1:72" x14ac:dyDescent="0.35">
      <c r="A557" t="s">
        <v>72</v>
      </c>
      <c r="B557" t="s">
        <v>10323</v>
      </c>
      <c r="C557" t="s">
        <v>74</v>
      </c>
      <c r="D557" t="s">
        <v>74</v>
      </c>
      <c r="E557" t="s">
        <v>74</v>
      </c>
      <c r="F557" t="s">
        <v>10324</v>
      </c>
      <c r="G557" t="s">
        <v>74</v>
      </c>
      <c r="H557" t="s">
        <v>74</v>
      </c>
      <c r="I557" t="s">
        <v>10325</v>
      </c>
      <c r="J557" t="s">
        <v>2649</v>
      </c>
      <c r="K557" t="s">
        <v>74</v>
      </c>
      <c r="L557" t="s">
        <v>74</v>
      </c>
      <c r="M557" t="s">
        <v>78</v>
      </c>
      <c r="N557" t="s">
        <v>108</v>
      </c>
      <c r="O557" t="s">
        <v>74</v>
      </c>
      <c r="P557" t="s">
        <v>74</v>
      </c>
      <c r="Q557" t="s">
        <v>74</v>
      </c>
      <c r="R557" t="s">
        <v>74</v>
      </c>
      <c r="S557" t="s">
        <v>74</v>
      </c>
      <c r="T557" t="s">
        <v>10326</v>
      </c>
      <c r="U557" t="s">
        <v>10327</v>
      </c>
      <c r="V557" t="s">
        <v>10328</v>
      </c>
      <c r="W557" t="s">
        <v>10329</v>
      </c>
      <c r="X557" t="s">
        <v>10330</v>
      </c>
      <c r="Y557" t="s">
        <v>10331</v>
      </c>
      <c r="Z557" t="s">
        <v>10332</v>
      </c>
      <c r="AA557" t="s">
        <v>10333</v>
      </c>
      <c r="AB557" t="s">
        <v>10334</v>
      </c>
      <c r="AC557" t="s">
        <v>74</v>
      </c>
      <c r="AD557" t="s">
        <v>74</v>
      </c>
      <c r="AE557" t="s">
        <v>74</v>
      </c>
      <c r="AF557" t="s">
        <v>74</v>
      </c>
      <c r="AG557">
        <v>49</v>
      </c>
      <c r="AH557">
        <v>22</v>
      </c>
      <c r="AI557">
        <v>24</v>
      </c>
      <c r="AJ557">
        <v>27</v>
      </c>
      <c r="AK557">
        <v>228</v>
      </c>
      <c r="AL557" t="s">
        <v>2662</v>
      </c>
      <c r="AM557" t="s">
        <v>2663</v>
      </c>
      <c r="AN557" t="s">
        <v>2664</v>
      </c>
      <c r="AO557" t="s">
        <v>2665</v>
      </c>
      <c r="AP557" t="s">
        <v>74</v>
      </c>
      <c r="AQ557" t="s">
        <v>74</v>
      </c>
      <c r="AR557" t="s">
        <v>2666</v>
      </c>
      <c r="AS557" t="s">
        <v>2667</v>
      </c>
      <c r="AT557" t="s">
        <v>74</v>
      </c>
      <c r="AU557">
        <v>2022</v>
      </c>
      <c r="AV557">
        <v>10</v>
      </c>
      <c r="AW557">
        <v>1</v>
      </c>
      <c r="AX557" t="s">
        <v>74</v>
      </c>
      <c r="AY557" t="s">
        <v>74</v>
      </c>
      <c r="AZ557" t="s">
        <v>74</v>
      </c>
      <c r="BA557" t="s">
        <v>74</v>
      </c>
      <c r="BB557">
        <v>198</v>
      </c>
      <c r="BC557">
        <v>207</v>
      </c>
      <c r="BD557" t="s">
        <v>74</v>
      </c>
      <c r="BE557" t="s">
        <v>10335</v>
      </c>
      <c r="BF557" t="str">
        <f>HYPERLINK("http://dx.doi.org/10.17645/mac.v10i1.4737","http://dx.doi.org/10.17645/mac.v10i1.4737")</f>
        <v>http://dx.doi.org/10.17645/mac.v10i1.4737</v>
      </c>
      <c r="BG557" t="s">
        <v>74</v>
      </c>
      <c r="BH557" t="s">
        <v>74</v>
      </c>
      <c r="BI557">
        <v>10</v>
      </c>
      <c r="BJ557" t="s">
        <v>124</v>
      </c>
      <c r="BK557" t="s">
        <v>99</v>
      </c>
      <c r="BL557" t="s">
        <v>124</v>
      </c>
      <c r="BM557" t="s">
        <v>3104</v>
      </c>
      <c r="BN557" t="s">
        <v>74</v>
      </c>
      <c r="BO557" t="s">
        <v>394</v>
      </c>
      <c r="BP557" t="s">
        <v>74</v>
      </c>
      <c r="BQ557" t="s">
        <v>74</v>
      </c>
      <c r="BR557" t="s">
        <v>102</v>
      </c>
      <c r="BS557" t="s">
        <v>10336</v>
      </c>
      <c r="BT557" t="str">
        <f>HYPERLINK("https%3A%2F%2Fwww.webofscience.com%2Fwos%2Fwoscc%2Ffull-record%2FWOS:000762434300007","View Full Record in Web of Science")</f>
        <v>View Full Record in Web of Science</v>
      </c>
    </row>
    <row r="558" spans="1:72" x14ac:dyDescent="0.35">
      <c r="A558" t="s">
        <v>72</v>
      </c>
      <c r="B558" t="s">
        <v>7959</v>
      </c>
      <c r="C558" t="s">
        <v>74</v>
      </c>
      <c r="D558" t="s">
        <v>74</v>
      </c>
      <c r="E558" t="s">
        <v>74</v>
      </c>
      <c r="F558" t="s">
        <v>7959</v>
      </c>
      <c r="G558" t="s">
        <v>74</v>
      </c>
      <c r="H558" t="s">
        <v>74</v>
      </c>
      <c r="I558" t="s">
        <v>10337</v>
      </c>
      <c r="J558" t="s">
        <v>7961</v>
      </c>
      <c r="K558" t="s">
        <v>74</v>
      </c>
      <c r="L558" t="s">
        <v>74</v>
      </c>
      <c r="M558" t="s">
        <v>78</v>
      </c>
      <c r="N558" t="s">
        <v>2042</v>
      </c>
      <c r="O558" t="s">
        <v>74</v>
      </c>
      <c r="P558" t="s">
        <v>74</v>
      </c>
      <c r="Q558" t="s">
        <v>74</v>
      </c>
      <c r="R558" t="s">
        <v>74</v>
      </c>
      <c r="S558" t="s">
        <v>74</v>
      </c>
      <c r="T558" t="s">
        <v>74</v>
      </c>
      <c r="U558" t="s">
        <v>74</v>
      </c>
      <c r="V558" t="s">
        <v>74</v>
      </c>
      <c r="W558" t="s">
        <v>74</v>
      </c>
      <c r="X558" t="s">
        <v>74</v>
      </c>
      <c r="Y558" t="s">
        <v>74</v>
      </c>
      <c r="Z558" t="s">
        <v>74</v>
      </c>
      <c r="AA558" t="s">
        <v>74</v>
      </c>
      <c r="AB558" t="s">
        <v>74</v>
      </c>
      <c r="AC558" t="s">
        <v>74</v>
      </c>
      <c r="AD558" t="s">
        <v>74</v>
      </c>
      <c r="AE558" t="s">
        <v>74</v>
      </c>
      <c r="AF558" t="s">
        <v>74</v>
      </c>
      <c r="AG558">
        <v>0</v>
      </c>
      <c r="AH558">
        <v>0</v>
      </c>
      <c r="AI558">
        <v>0</v>
      </c>
      <c r="AJ558">
        <v>0</v>
      </c>
      <c r="AK558">
        <v>0</v>
      </c>
      <c r="AL558" t="s">
        <v>7962</v>
      </c>
      <c r="AM558" t="s">
        <v>7963</v>
      </c>
      <c r="AN558" t="s">
        <v>7964</v>
      </c>
      <c r="AO558" t="s">
        <v>7965</v>
      </c>
      <c r="AP558" t="s">
        <v>74</v>
      </c>
      <c r="AQ558" t="s">
        <v>74</v>
      </c>
      <c r="AR558" t="s">
        <v>7966</v>
      </c>
      <c r="AS558" t="s">
        <v>7967</v>
      </c>
      <c r="AT558" t="s">
        <v>10338</v>
      </c>
      <c r="AU558">
        <v>2023</v>
      </c>
      <c r="AV558">
        <v>50</v>
      </c>
      <c r="AW558" t="s">
        <v>4010</v>
      </c>
      <c r="AX558" t="s">
        <v>74</v>
      </c>
      <c r="AY558" t="s">
        <v>74</v>
      </c>
      <c r="AZ558" t="s">
        <v>74</v>
      </c>
      <c r="BA558" t="s">
        <v>74</v>
      </c>
      <c r="BB558">
        <v>185</v>
      </c>
      <c r="BC558">
        <v>185</v>
      </c>
      <c r="BD558" t="s">
        <v>74</v>
      </c>
      <c r="BE558" t="s">
        <v>74</v>
      </c>
      <c r="BF558" t="s">
        <v>74</v>
      </c>
      <c r="BG558" t="s">
        <v>74</v>
      </c>
      <c r="BH558" t="s">
        <v>74</v>
      </c>
      <c r="BI558">
        <v>1</v>
      </c>
      <c r="BJ558" t="s">
        <v>7970</v>
      </c>
      <c r="BK558" t="s">
        <v>316</v>
      </c>
      <c r="BL558" t="s">
        <v>7971</v>
      </c>
      <c r="BM558" t="s">
        <v>10339</v>
      </c>
      <c r="BN558" t="s">
        <v>74</v>
      </c>
      <c r="BO558" t="s">
        <v>74</v>
      </c>
      <c r="BP558" t="s">
        <v>74</v>
      </c>
      <c r="BQ558" t="s">
        <v>74</v>
      </c>
      <c r="BR558" t="s">
        <v>102</v>
      </c>
      <c r="BS558" t="s">
        <v>10340</v>
      </c>
      <c r="BT558" t="str">
        <f>HYPERLINK("https%3A%2F%2Fwww.webofscience.com%2Fwos%2Fwoscc%2Ffull-record%2FWOS:001314523300015","View Full Record in Web of Science")</f>
        <v>View Full Record in Web of Science</v>
      </c>
    </row>
    <row r="559" spans="1:72" x14ac:dyDescent="0.35">
      <c r="A559" t="s">
        <v>72</v>
      </c>
      <c r="B559" t="s">
        <v>10341</v>
      </c>
      <c r="C559" t="s">
        <v>74</v>
      </c>
      <c r="D559" t="s">
        <v>74</v>
      </c>
      <c r="E559" t="s">
        <v>74</v>
      </c>
      <c r="F559" t="s">
        <v>10342</v>
      </c>
      <c r="G559" t="s">
        <v>74</v>
      </c>
      <c r="H559" t="s">
        <v>74</v>
      </c>
      <c r="I559" t="s">
        <v>10343</v>
      </c>
      <c r="J559" t="s">
        <v>10344</v>
      </c>
      <c r="K559" t="s">
        <v>74</v>
      </c>
      <c r="L559" t="s">
        <v>74</v>
      </c>
      <c r="M559" t="s">
        <v>78</v>
      </c>
      <c r="N559" t="s">
        <v>52</v>
      </c>
      <c r="O559" t="s">
        <v>74</v>
      </c>
      <c r="P559" t="s">
        <v>74</v>
      </c>
      <c r="Q559" t="s">
        <v>74</v>
      </c>
      <c r="R559" t="s">
        <v>74</v>
      </c>
      <c r="S559" t="s">
        <v>74</v>
      </c>
      <c r="T559" t="s">
        <v>74</v>
      </c>
      <c r="U559" t="s">
        <v>74</v>
      </c>
      <c r="V559" t="s">
        <v>74</v>
      </c>
      <c r="W559" t="s">
        <v>10345</v>
      </c>
      <c r="X559" t="s">
        <v>10346</v>
      </c>
      <c r="Y559" t="s">
        <v>74</v>
      </c>
      <c r="Z559" t="s">
        <v>10347</v>
      </c>
      <c r="AA559" t="s">
        <v>74</v>
      </c>
      <c r="AB559" t="s">
        <v>74</v>
      </c>
      <c r="AC559" t="s">
        <v>74</v>
      </c>
      <c r="AD559" t="s">
        <v>74</v>
      </c>
      <c r="AE559" t="s">
        <v>74</v>
      </c>
      <c r="AF559" t="s">
        <v>74</v>
      </c>
      <c r="AG559">
        <v>0</v>
      </c>
      <c r="AH559">
        <v>0</v>
      </c>
      <c r="AI559">
        <v>0</v>
      </c>
      <c r="AJ559">
        <v>0</v>
      </c>
      <c r="AK559">
        <v>0</v>
      </c>
      <c r="AL559" t="s">
        <v>8334</v>
      </c>
      <c r="AM559" t="s">
        <v>291</v>
      </c>
      <c r="AN559" t="s">
        <v>8335</v>
      </c>
      <c r="AO559" t="s">
        <v>10348</v>
      </c>
      <c r="AP559" t="s">
        <v>10349</v>
      </c>
      <c r="AQ559" t="s">
        <v>74</v>
      </c>
      <c r="AR559" t="s">
        <v>10350</v>
      </c>
      <c r="AS559" t="s">
        <v>10351</v>
      </c>
      <c r="AT559" t="s">
        <v>594</v>
      </c>
      <c r="AU559">
        <v>2023</v>
      </c>
      <c r="AV559">
        <v>33</v>
      </c>
      <c r="AW559" t="s">
        <v>74</v>
      </c>
      <c r="AX559" t="s">
        <v>74</v>
      </c>
      <c r="AY559">
        <v>2</v>
      </c>
      <c r="AZ559" t="s">
        <v>74</v>
      </c>
      <c r="BA559" t="s">
        <v>10352</v>
      </c>
      <c r="BB559" t="s">
        <v>74</v>
      </c>
      <c r="BC559" t="s">
        <v>74</v>
      </c>
      <c r="BD559" t="s">
        <v>74</v>
      </c>
      <c r="BE559" t="s">
        <v>74</v>
      </c>
      <c r="BF559" t="s">
        <v>74</v>
      </c>
      <c r="BG559" t="s">
        <v>74</v>
      </c>
      <c r="BH559" t="s">
        <v>74</v>
      </c>
      <c r="BI559">
        <v>1</v>
      </c>
      <c r="BJ559" t="s">
        <v>392</v>
      </c>
      <c r="BK559" t="s">
        <v>182</v>
      </c>
      <c r="BL559" t="s">
        <v>392</v>
      </c>
      <c r="BM559" t="s">
        <v>10353</v>
      </c>
      <c r="BN559" t="s">
        <v>74</v>
      </c>
      <c r="BO559" t="s">
        <v>74</v>
      </c>
      <c r="BP559" t="s">
        <v>74</v>
      </c>
      <c r="BQ559" t="s">
        <v>74</v>
      </c>
      <c r="BR559" t="s">
        <v>102</v>
      </c>
      <c r="BS559" t="s">
        <v>10354</v>
      </c>
      <c r="BT559" t="str">
        <f>HYPERLINK("https%3A%2F%2Fwww.webofscience.com%2Fwos%2Fwoscc%2Ffull-record%2FWOS:001092365301437","View Full Record in Web of Science")</f>
        <v>View Full Record in Web of Science</v>
      </c>
    </row>
    <row r="560" spans="1:72" x14ac:dyDescent="0.35">
      <c r="A560" t="s">
        <v>72</v>
      </c>
      <c r="B560" t="s">
        <v>304</v>
      </c>
      <c r="C560" t="s">
        <v>74</v>
      </c>
      <c r="D560" t="s">
        <v>74</v>
      </c>
      <c r="E560" t="s">
        <v>74</v>
      </c>
      <c r="F560" t="s">
        <v>305</v>
      </c>
      <c r="G560" t="s">
        <v>74</v>
      </c>
      <c r="H560" t="s">
        <v>74</v>
      </c>
      <c r="I560" t="s">
        <v>10355</v>
      </c>
      <c r="J560" t="s">
        <v>3462</v>
      </c>
      <c r="K560" t="s">
        <v>74</v>
      </c>
      <c r="L560" t="s">
        <v>74</v>
      </c>
      <c r="M560" t="s">
        <v>78</v>
      </c>
      <c r="N560" t="s">
        <v>108</v>
      </c>
      <c r="O560" t="s">
        <v>74</v>
      </c>
      <c r="P560" t="s">
        <v>74</v>
      </c>
      <c r="Q560" t="s">
        <v>74</v>
      </c>
      <c r="R560" t="s">
        <v>74</v>
      </c>
      <c r="S560" t="s">
        <v>74</v>
      </c>
      <c r="T560" t="s">
        <v>10356</v>
      </c>
      <c r="U560" t="s">
        <v>74</v>
      </c>
      <c r="V560" t="s">
        <v>10357</v>
      </c>
      <c r="W560" t="s">
        <v>10358</v>
      </c>
      <c r="X560" t="s">
        <v>3466</v>
      </c>
      <c r="Y560" t="s">
        <v>10359</v>
      </c>
      <c r="Z560" t="s">
        <v>10360</v>
      </c>
      <c r="AA560" t="s">
        <v>74</v>
      </c>
      <c r="AB560" t="s">
        <v>74</v>
      </c>
      <c r="AC560" t="s">
        <v>74</v>
      </c>
      <c r="AD560" t="s">
        <v>74</v>
      </c>
      <c r="AE560" t="s">
        <v>74</v>
      </c>
      <c r="AF560" t="s">
        <v>74</v>
      </c>
      <c r="AG560">
        <v>25</v>
      </c>
      <c r="AH560">
        <v>0</v>
      </c>
      <c r="AI560">
        <v>1</v>
      </c>
      <c r="AJ560">
        <v>1</v>
      </c>
      <c r="AK560">
        <v>7</v>
      </c>
      <c r="AL560" t="s">
        <v>870</v>
      </c>
      <c r="AM560" t="s">
        <v>871</v>
      </c>
      <c r="AN560" t="s">
        <v>872</v>
      </c>
      <c r="AO560" t="s">
        <v>3469</v>
      </c>
      <c r="AP560" t="s">
        <v>3470</v>
      </c>
      <c r="AQ560" t="s">
        <v>74</v>
      </c>
      <c r="AR560" t="s">
        <v>3471</v>
      </c>
      <c r="AS560" t="s">
        <v>3472</v>
      </c>
      <c r="AT560" t="s">
        <v>1275</v>
      </c>
      <c r="AU560">
        <v>2021</v>
      </c>
      <c r="AV560">
        <v>15</v>
      </c>
      <c r="AW560">
        <v>3</v>
      </c>
      <c r="AX560" t="s">
        <v>74</v>
      </c>
      <c r="AY560" t="s">
        <v>74</v>
      </c>
      <c r="AZ560" t="s">
        <v>74</v>
      </c>
      <c r="BA560" t="s">
        <v>74</v>
      </c>
      <c r="BB560">
        <v>175</v>
      </c>
      <c r="BC560">
        <v>189</v>
      </c>
      <c r="BD560" t="s">
        <v>74</v>
      </c>
      <c r="BE560" t="s">
        <v>10361</v>
      </c>
      <c r="BF560" t="str">
        <f>HYPERLINK("http://dx.doi.org/10.1386/smt_00070_1","http://dx.doi.org/10.1386/smt_00070_1")</f>
        <v>http://dx.doi.org/10.1386/smt_00070_1</v>
      </c>
      <c r="BG560" t="s">
        <v>74</v>
      </c>
      <c r="BH560" t="s">
        <v>74</v>
      </c>
      <c r="BI560">
        <v>15</v>
      </c>
      <c r="BJ560" t="s">
        <v>315</v>
      </c>
      <c r="BK560" t="s">
        <v>125</v>
      </c>
      <c r="BL560" t="s">
        <v>315</v>
      </c>
      <c r="BM560" t="s">
        <v>10362</v>
      </c>
      <c r="BN560" t="s">
        <v>74</v>
      </c>
      <c r="BO560" t="s">
        <v>74</v>
      </c>
      <c r="BP560" t="s">
        <v>74</v>
      </c>
      <c r="BQ560" t="s">
        <v>74</v>
      </c>
      <c r="BR560" t="s">
        <v>102</v>
      </c>
      <c r="BS560" t="s">
        <v>10363</v>
      </c>
      <c r="BT560" t="str">
        <f>HYPERLINK("https%3A%2F%2Fwww.webofscience.com%2Fwos%2Fwoscc%2Ffull-record%2FWOS:000777054000002","View Full Record in Web of Science")</f>
        <v>View Full Record in Web of Science</v>
      </c>
    </row>
    <row r="561" spans="1:72" x14ac:dyDescent="0.35">
      <c r="A561" t="s">
        <v>72</v>
      </c>
      <c r="B561" t="s">
        <v>10364</v>
      </c>
      <c r="C561" t="s">
        <v>74</v>
      </c>
      <c r="D561" t="s">
        <v>74</v>
      </c>
      <c r="E561" t="s">
        <v>74</v>
      </c>
      <c r="F561" t="s">
        <v>10365</v>
      </c>
      <c r="G561" t="s">
        <v>74</v>
      </c>
      <c r="H561" t="s">
        <v>74</v>
      </c>
      <c r="I561" t="s">
        <v>10366</v>
      </c>
      <c r="J561" t="s">
        <v>10367</v>
      </c>
      <c r="K561" t="s">
        <v>74</v>
      </c>
      <c r="L561" t="s">
        <v>74</v>
      </c>
      <c r="M561" t="s">
        <v>78</v>
      </c>
      <c r="N561" t="s">
        <v>108</v>
      </c>
      <c r="O561" t="s">
        <v>74</v>
      </c>
      <c r="P561" t="s">
        <v>74</v>
      </c>
      <c r="Q561" t="s">
        <v>74</v>
      </c>
      <c r="R561" t="s">
        <v>74</v>
      </c>
      <c r="S561" t="s">
        <v>74</v>
      </c>
      <c r="T561" t="s">
        <v>10368</v>
      </c>
      <c r="U561" t="s">
        <v>74</v>
      </c>
      <c r="V561" t="s">
        <v>10369</v>
      </c>
      <c r="W561" t="s">
        <v>10370</v>
      </c>
      <c r="X561" t="s">
        <v>10371</v>
      </c>
      <c r="Y561" t="s">
        <v>10372</v>
      </c>
      <c r="Z561" t="s">
        <v>10373</v>
      </c>
      <c r="AA561" t="s">
        <v>74</v>
      </c>
      <c r="AB561" t="s">
        <v>74</v>
      </c>
      <c r="AC561" t="s">
        <v>74</v>
      </c>
      <c r="AD561" t="s">
        <v>74</v>
      </c>
      <c r="AE561" t="s">
        <v>74</v>
      </c>
      <c r="AF561" t="s">
        <v>74</v>
      </c>
      <c r="AG561">
        <v>16</v>
      </c>
      <c r="AH561">
        <v>0</v>
      </c>
      <c r="AI561">
        <v>0</v>
      </c>
      <c r="AJ561">
        <v>2</v>
      </c>
      <c r="AK561">
        <v>2</v>
      </c>
      <c r="AL561" t="s">
        <v>10374</v>
      </c>
      <c r="AM561" t="s">
        <v>10375</v>
      </c>
      <c r="AN561" t="s">
        <v>10376</v>
      </c>
      <c r="AO561" t="s">
        <v>10377</v>
      </c>
      <c r="AP561" t="s">
        <v>74</v>
      </c>
      <c r="AQ561" t="s">
        <v>74</v>
      </c>
      <c r="AR561" t="s">
        <v>10378</v>
      </c>
      <c r="AS561" t="s">
        <v>10379</v>
      </c>
      <c r="AT561" t="s">
        <v>74</v>
      </c>
      <c r="AU561">
        <v>2024</v>
      </c>
      <c r="AV561">
        <v>26</v>
      </c>
      <c r="AW561" t="s">
        <v>74</v>
      </c>
      <c r="AX561" t="s">
        <v>74</v>
      </c>
      <c r="AY561" t="s">
        <v>74</v>
      </c>
      <c r="AZ561" t="s">
        <v>74</v>
      </c>
      <c r="BA561" t="s">
        <v>74</v>
      </c>
      <c r="BB561" t="s">
        <v>74</v>
      </c>
      <c r="BC561" t="s">
        <v>74</v>
      </c>
      <c r="BD561" t="s">
        <v>10380</v>
      </c>
      <c r="BE561" t="s">
        <v>10381</v>
      </c>
      <c r="BF561" t="str">
        <f>HYPERLINK("http://dx.doi.org/10.20396/etd.v26i00.8667442","http://dx.doi.org/10.20396/etd.v26i00.8667442")</f>
        <v>http://dx.doi.org/10.20396/etd.v26i00.8667442</v>
      </c>
      <c r="BG561" t="s">
        <v>74</v>
      </c>
      <c r="BH561" t="s">
        <v>74</v>
      </c>
      <c r="BI561">
        <v>15</v>
      </c>
      <c r="BJ561" t="s">
        <v>787</v>
      </c>
      <c r="BK561" t="s">
        <v>125</v>
      </c>
      <c r="BL561" t="s">
        <v>787</v>
      </c>
      <c r="BM561" t="s">
        <v>10382</v>
      </c>
      <c r="BN561" t="s">
        <v>74</v>
      </c>
      <c r="BO561" t="s">
        <v>235</v>
      </c>
      <c r="BP561" t="s">
        <v>74</v>
      </c>
      <c r="BQ561" t="s">
        <v>74</v>
      </c>
      <c r="BR561" t="s">
        <v>102</v>
      </c>
      <c r="BS561" t="s">
        <v>10383</v>
      </c>
      <c r="BT561" t="str">
        <f>HYPERLINK("https%3A%2F%2Fwww.webofscience.com%2Fwos%2Fwoscc%2Ffull-record%2FWOS:001201824200010","View Full Record in Web of Science")</f>
        <v>View Full Record in Web of Science</v>
      </c>
    </row>
    <row r="562" spans="1:72" x14ac:dyDescent="0.35">
      <c r="A562" t="s">
        <v>72</v>
      </c>
      <c r="B562" t="s">
        <v>10384</v>
      </c>
      <c r="C562" t="s">
        <v>74</v>
      </c>
      <c r="D562" t="s">
        <v>74</v>
      </c>
      <c r="E562" t="s">
        <v>74</v>
      </c>
      <c r="F562" t="s">
        <v>10385</v>
      </c>
      <c r="G562" t="s">
        <v>74</v>
      </c>
      <c r="H562" t="s">
        <v>74</v>
      </c>
      <c r="I562" t="s">
        <v>10386</v>
      </c>
      <c r="J562" t="s">
        <v>10387</v>
      </c>
      <c r="K562" t="s">
        <v>74</v>
      </c>
      <c r="L562" t="s">
        <v>74</v>
      </c>
      <c r="M562" t="s">
        <v>78</v>
      </c>
      <c r="N562" t="s">
        <v>2042</v>
      </c>
      <c r="O562" t="s">
        <v>74</v>
      </c>
      <c r="P562" t="s">
        <v>74</v>
      </c>
      <c r="Q562" t="s">
        <v>74</v>
      </c>
      <c r="R562" t="s">
        <v>74</v>
      </c>
      <c r="S562" t="s">
        <v>74</v>
      </c>
      <c r="T562" t="s">
        <v>74</v>
      </c>
      <c r="U562" t="s">
        <v>74</v>
      </c>
      <c r="V562" t="s">
        <v>74</v>
      </c>
      <c r="W562" t="s">
        <v>10388</v>
      </c>
      <c r="X562" t="s">
        <v>10389</v>
      </c>
      <c r="Y562" t="s">
        <v>10390</v>
      </c>
      <c r="Z562" t="s">
        <v>10391</v>
      </c>
      <c r="AA562" t="s">
        <v>74</v>
      </c>
      <c r="AB562" t="s">
        <v>74</v>
      </c>
      <c r="AC562" t="s">
        <v>74</v>
      </c>
      <c r="AD562" t="s">
        <v>74</v>
      </c>
      <c r="AE562" t="s">
        <v>74</v>
      </c>
      <c r="AF562" t="s">
        <v>74</v>
      </c>
      <c r="AG562">
        <v>4</v>
      </c>
      <c r="AH562">
        <v>0</v>
      </c>
      <c r="AI562">
        <v>0</v>
      </c>
      <c r="AJ562">
        <v>0</v>
      </c>
      <c r="AK562">
        <v>1</v>
      </c>
      <c r="AL562" t="s">
        <v>10392</v>
      </c>
      <c r="AM562" t="s">
        <v>10393</v>
      </c>
      <c r="AN562" t="s">
        <v>10394</v>
      </c>
      <c r="AO562" t="s">
        <v>10395</v>
      </c>
      <c r="AP562" t="s">
        <v>10396</v>
      </c>
      <c r="AQ562" t="s">
        <v>74</v>
      </c>
      <c r="AR562" t="s">
        <v>10387</v>
      </c>
      <c r="AS562" t="s">
        <v>10397</v>
      </c>
      <c r="AT562" t="s">
        <v>594</v>
      </c>
      <c r="AU562">
        <v>2023</v>
      </c>
      <c r="AV562">
        <v>112</v>
      </c>
      <c r="AW562">
        <v>4</v>
      </c>
      <c r="AX562" t="s">
        <v>74</v>
      </c>
      <c r="AY562" t="s">
        <v>74</v>
      </c>
      <c r="AZ562" t="s">
        <v>74</v>
      </c>
      <c r="BA562" t="s">
        <v>74</v>
      </c>
      <c r="BB562">
        <v>154</v>
      </c>
      <c r="BC562">
        <v>155</v>
      </c>
      <c r="BD562" t="s">
        <v>74</v>
      </c>
      <c r="BE562" t="s">
        <v>10398</v>
      </c>
      <c r="BF562" t="str">
        <f>HYPERLINK("http://dx.doi.org/10.12788/cutis.0863","http://dx.doi.org/10.12788/cutis.0863")</f>
        <v>http://dx.doi.org/10.12788/cutis.0863</v>
      </c>
      <c r="BG562" t="s">
        <v>74</v>
      </c>
      <c r="BH562" t="s">
        <v>74</v>
      </c>
      <c r="BI562">
        <v>2</v>
      </c>
      <c r="BJ562" t="s">
        <v>1341</v>
      </c>
      <c r="BK562" t="s">
        <v>209</v>
      </c>
      <c r="BL562" t="s">
        <v>1341</v>
      </c>
      <c r="BM562" t="s">
        <v>10399</v>
      </c>
      <c r="BN562">
        <v>37988314</v>
      </c>
      <c r="BO562" t="s">
        <v>767</v>
      </c>
      <c r="BP562" t="s">
        <v>74</v>
      </c>
      <c r="BQ562" t="s">
        <v>74</v>
      </c>
      <c r="BR562" t="s">
        <v>102</v>
      </c>
      <c r="BS562" t="s">
        <v>10400</v>
      </c>
      <c r="BT562" t="str">
        <f>HYPERLINK("https%3A%2F%2Fwww.webofscience.com%2Fwos%2Fwoscc%2Ffull-record%2FWOS:001121020100009","View Full Record in Web of Science")</f>
        <v>View Full Record in Web of Science</v>
      </c>
    </row>
    <row r="563" spans="1:72" x14ac:dyDescent="0.35">
      <c r="A563" t="s">
        <v>72</v>
      </c>
      <c r="B563" t="s">
        <v>10401</v>
      </c>
      <c r="C563" t="s">
        <v>74</v>
      </c>
      <c r="D563" t="s">
        <v>74</v>
      </c>
      <c r="E563" t="s">
        <v>74</v>
      </c>
      <c r="F563" t="s">
        <v>10402</v>
      </c>
      <c r="G563" t="s">
        <v>74</v>
      </c>
      <c r="H563" t="s">
        <v>74</v>
      </c>
      <c r="I563" t="s">
        <v>10403</v>
      </c>
      <c r="J563" t="s">
        <v>10404</v>
      </c>
      <c r="K563" t="s">
        <v>74</v>
      </c>
      <c r="L563" t="s">
        <v>74</v>
      </c>
      <c r="M563" t="s">
        <v>78</v>
      </c>
      <c r="N563" t="s">
        <v>52</v>
      </c>
      <c r="O563" t="s">
        <v>10405</v>
      </c>
      <c r="P563" t="s">
        <v>10406</v>
      </c>
      <c r="Q563" t="s">
        <v>10407</v>
      </c>
      <c r="R563" t="s">
        <v>10408</v>
      </c>
      <c r="S563" t="s">
        <v>74</v>
      </c>
      <c r="T563" t="s">
        <v>74</v>
      </c>
      <c r="U563" t="s">
        <v>74</v>
      </c>
      <c r="V563" t="s">
        <v>74</v>
      </c>
      <c r="W563" t="s">
        <v>10409</v>
      </c>
      <c r="X563" t="s">
        <v>10410</v>
      </c>
      <c r="Y563" t="s">
        <v>74</v>
      </c>
      <c r="Z563" t="s">
        <v>74</v>
      </c>
      <c r="AA563" t="s">
        <v>74</v>
      </c>
      <c r="AB563" t="s">
        <v>74</v>
      </c>
      <c r="AC563" t="s">
        <v>74</v>
      </c>
      <c r="AD563" t="s">
        <v>74</v>
      </c>
      <c r="AE563" t="s">
        <v>74</v>
      </c>
      <c r="AF563" t="s">
        <v>74</v>
      </c>
      <c r="AG563">
        <v>0</v>
      </c>
      <c r="AH563">
        <v>0</v>
      </c>
      <c r="AI563">
        <v>0</v>
      </c>
      <c r="AJ563">
        <v>2</v>
      </c>
      <c r="AK563">
        <v>2</v>
      </c>
      <c r="AL563" t="s">
        <v>1901</v>
      </c>
      <c r="AM563" t="s">
        <v>995</v>
      </c>
      <c r="AN563" t="s">
        <v>1902</v>
      </c>
      <c r="AO563" t="s">
        <v>10411</v>
      </c>
      <c r="AP563" t="s">
        <v>74</v>
      </c>
      <c r="AQ563" t="s">
        <v>74</v>
      </c>
      <c r="AR563" t="s">
        <v>10412</v>
      </c>
      <c r="AS563" t="s">
        <v>10413</v>
      </c>
      <c r="AT563" t="s">
        <v>745</v>
      </c>
      <c r="AU563">
        <v>2024</v>
      </c>
      <c r="AV563">
        <v>143</v>
      </c>
      <c r="AW563" t="s">
        <v>10414</v>
      </c>
      <c r="AX563" t="s">
        <v>74</v>
      </c>
      <c r="AY563">
        <v>5</v>
      </c>
      <c r="AZ563" t="s">
        <v>74</v>
      </c>
      <c r="BA563">
        <v>2683621</v>
      </c>
      <c r="BB563" t="s">
        <v>10415</v>
      </c>
      <c r="BC563" t="s">
        <v>10415</v>
      </c>
      <c r="BD563" t="s">
        <v>74</v>
      </c>
      <c r="BE563" t="s">
        <v>10416</v>
      </c>
      <c r="BF563" t="str">
        <f>HYPERLINK("http://dx.doi.org/10.1097/01.AOG.0001013972.35214.d9","http://dx.doi.org/10.1097/01.AOG.0001013972.35214.d9")</f>
        <v>http://dx.doi.org/10.1097/01.AOG.0001013972.35214.d9</v>
      </c>
      <c r="BG563" t="s">
        <v>74</v>
      </c>
      <c r="BH563" t="s">
        <v>74</v>
      </c>
      <c r="BI563">
        <v>1</v>
      </c>
      <c r="BJ563" t="s">
        <v>1971</v>
      </c>
      <c r="BK563" t="s">
        <v>2257</v>
      </c>
      <c r="BL563" t="s">
        <v>1971</v>
      </c>
      <c r="BM563" t="s">
        <v>10417</v>
      </c>
      <c r="BN563" t="s">
        <v>74</v>
      </c>
      <c r="BO563" t="s">
        <v>767</v>
      </c>
      <c r="BP563" t="s">
        <v>74</v>
      </c>
      <c r="BQ563" t="s">
        <v>74</v>
      </c>
      <c r="BR563" t="s">
        <v>102</v>
      </c>
      <c r="BS563" t="s">
        <v>10418</v>
      </c>
      <c r="BT563" t="str">
        <f>HYPERLINK("https%3A%2F%2Fwww.webofscience.com%2Fwos%2Fwoscc%2Ffull-record%2FWOS:001258908200268","View Full Record in Web of Science")</f>
        <v>View Full Record in Web of Science</v>
      </c>
    </row>
    <row r="564" spans="1:72" x14ac:dyDescent="0.35">
      <c r="A564" t="s">
        <v>72</v>
      </c>
      <c r="B564" t="s">
        <v>10419</v>
      </c>
      <c r="C564" t="s">
        <v>74</v>
      </c>
      <c r="D564" t="s">
        <v>74</v>
      </c>
      <c r="E564" t="s">
        <v>74</v>
      </c>
      <c r="F564" t="s">
        <v>10420</v>
      </c>
      <c r="G564" t="s">
        <v>74</v>
      </c>
      <c r="H564" t="s">
        <v>74</v>
      </c>
      <c r="I564" t="s">
        <v>10421</v>
      </c>
      <c r="J564" t="s">
        <v>2493</v>
      </c>
      <c r="K564" t="s">
        <v>74</v>
      </c>
      <c r="L564" t="s">
        <v>74</v>
      </c>
      <c r="M564" t="s">
        <v>78</v>
      </c>
      <c r="N564" t="s">
        <v>1328</v>
      </c>
      <c r="O564" t="s">
        <v>74</v>
      </c>
      <c r="P564" t="s">
        <v>74</v>
      </c>
      <c r="Q564" t="s">
        <v>74</v>
      </c>
      <c r="R564" t="s">
        <v>74</v>
      </c>
      <c r="S564" t="s">
        <v>74</v>
      </c>
      <c r="T564" t="s">
        <v>74</v>
      </c>
      <c r="U564" t="s">
        <v>74</v>
      </c>
      <c r="V564" t="s">
        <v>74</v>
      </c>
      <c r="W564" t="s">
        <v>10422</v>
      </c>
      <c r="X564" t="s">
        <v>10423</v>
      </c>
      <c r="Y564" t="s">
        <v>2268</v>
      </c>
      <c r="Z564" t="s">
        <v>2269</v>
      </c>
      <c r="AA564" t="s">
        <v>74</v>
      </c>
      <c r="AB564" t="s">
        <v>10424</v>
      </c>
      <c r="AC564" t="s">
        <v>74</v>
      </c>
      <c r="AD564" t="s">
        <v>74</v>
      </c>
      <c r="AE564" t="s">
        <v>74</v>
      </c>
      <c r="AF564" t="s">
        <v>74</v>
      </c>
      <c r="AG564">
        <v>5</v>
      </c>
      <c r="AH564">
        <v>29</v>
      </c>
      <c r="AI564">
        <v>31</v>
      </c>
      <c r="AJ564">
        <v>1</v>
      </c>
      <c r="AK564">
        <v>9</v>
      </c>
      <c r="AL564" t="s">
        <v>2027</v>
      </c>
      <c r="AM564" t="s">
        <v>666</v>
      </c>
      <c r="AN564" t="s">
        <v>2028</v>
      </c>
      <c r="AO564" t="s">
        <v>2498</v>
      </c>
      <c r="AP564" t="s">
        <v>2499</v>
      </c>
      <c r="AQ564" t="s">
        <v>74</v>
      </c>
      <c r="AR564" t="s">
        <v>2500</v>
      </c>
      <c r="AS564" t="s">
        <v>2501</v>
      </c>
      <c r="AT564" t="s">
        <v>273</v>
      </c>
      <c r="AU564">
        <v>2021</v>
      </c>
      <c r="AV564">
        <v>85</v>
      </c>
      <c r="AW564">
        <v>1</v>
      </c>
      <c r="AX564" t="s">
        <v>74</v>
      </c>
      <c r="AY564" t="s">
        <v>74</v>
      </c>
      <c r="AZ564" t="s">
        <v>74</v>
      </c>
      <c r="BA564" t="s">
        <v>74</v>
      </c>
      <c r="BB564" t="s">
        <v>10425</v>
      </c>
      <c r="BC564" t="s">
        <v>10426</v>
      </c>
      <c r="BD564" t="s">
        <v>74</v>
      </c>
      <c r="BE564" t="s">
        <v>10427</v>
      </c>
      <c r="BF564" t="str">
        <f>HYPERLINK("http://dx.doi.org/10.1016/j.jaad.2020.12.091","http://dx.doi.org/10.1016/j.jaad.2020.12.091")</f>
        <v>http://dx.doi.org/10.1016/j.jaad.2020.12.091</v>
      </c>
      <c r="BG564" t="s">
        <v>74</v>
      </c>
      <c r="BH564" t="s">
        <v>2090</v>
      </c>
      <c r="BI564">
        <v>2</v>
      </c>
      <c r="BJ564" t="s">
        <v>1341</v>
      </c>
      <c r="BK564" t="s">
        <v>209</v>
      </c>
      <c r="BL564" t="s">
        <v>1341</v>
      </c>
      <c r="BM564" t="s">
        <v>2505</v>
      </c>
      <c r="BN564">
        <v>33639245</v>
      </c>
      <c r="BO564" t="s">
        <v>767</v>
      </c>
      <c r="BP564" t="s">
        <v>74</v>
      </c>
      <c r="BQ564" t="s">
        <v>74</v>
      </c>
      <c r="BR564" t="s">
        <v>102</v>
      </c>
      <c r="BS564" t="s">
        <v>10428</v>
      </c>
      <c r="BT564" t="str">
        <f>HYPERLINK("https%3A%2F%2Fwww.webofscience.com%2Fwos%2Fwoscc%2Ffull-record%2FWOS:000659921800015","View Full Record in Web of Science")</f>
        <v>View Full Record in Web of Science</v>
      </c>
    </row>
    <row r="565" spans="1:72" x14ac:dyDescent="0.35">
      <c r="A565" t="s">
        <v>72</v>
      </c>
      <c r="B565" t="s">
        <v>10429</v>
      </c>
      <c r="C565" t="s">
        <v>74</v>
      </c>
      <c r="D565" t="s">
        <v>74</v>
      </c>
      <c r="E565" t="s">
        <v>74</v>
      </c>
      <c r="F565" t="s">
        <v>10430</v>
      </c>
      <c r="G565" t="s">
        <v>74</v>
      </c>
      <c r="H565" t="s">
        <v>74</v>
      </c>
      <c r="I565" t="s">
        <v>10431</v>
      </c>
      <c r="J565" t="s">
        <v>10432</v>
      </c>
      <c r="K565" t="s">
        <v>74</v>
      </c>
      <c r="L565" t="s">
        <v>74</v>
      </c>
      <c r="M565" t="s">
        <v>78</v>
      </c>
      <c r="N565" t="s">
        <v>52</v>
      </c>
      <c r="O565" t="s">
        <v>74</v>
      </c>
      <c r="P565" t="s">
        <v>74</v>
      </c>
      <c r="Q565" t="s">
        <v>74</v>
      </c>
      <c r="R565" t="s">
        <v>74</v>
      </c>
      <c r="S565" t="s">
        <v>74</v>
      </c>
      <c r="T565" t="s">
        <v>74</v>
      </c>
      <c r="U565" t="s">
        <v>74</v>
      </c>
      <c r="V565" t="s">
        <v>74</v>
      </c>
      <c r="W565" t="s">
        <v>10433</v>
      </c>
      <c r="X565" t="s">
        <v>10434</v>
      </c>
      <c r="Y565" t="s">
        <v>74</v>
      </c>
      <c r="Z565" t="s">
        <v>74</v>
      </c>
      <c r="AA565" t="s">
        <v>10435</v>
      </c>
      <c r="AB565" t="s">
        <v>74</v>
      </c>
      <c r="AC565" t="s">
        <v>74</v>
      </c>
      <c r="AD565" t="s">
        <v>74</v>
      </c>
      <c r="AE565" t="s">
        <v>74</v>
      </c>
      <c r="AF565" t="s">
        <v>74</v>
      </c>
      <c r="AG565">
        <v>0</v>
      </c>
      <c r="AH565">
        <v>16</v>
      </c>
      <c r="AI565">
        <v>17</v>
      </c>
      <c r="AJ565">
        <v>2</v>
      </c>
      <c r="AK565">
        <v>13</v>
      </c>
      <c r="AL565" t="s">
        <v>1965</v>
      </c>
      <c r="AM565" t="s">
        <v>666</v>
      </c>
      <c r="AN565" t="s">
        <v>1966</v>
      </c>
      <c r="AO565" t="s">
        <v>10436</v>
      </c>
      <c r="AP565" t="s">
        <v>10437</v>
      </c>
      <c r="AQ565" t="s">
        <v>74</v>
      </c>
      <c r="AR565" t="s">
        <v>10438</v>
      </c>
      <c r="AS565" t="s">
        <v>10439</v>
      </c>
      <c r="AT565" t="s">
        <v>745</v>
      </c>
      <c r="AU565">
        <v>2021</v>
      </c>
      <c r="AV565">
        <v>141</v>
      </c>
      <c r="AW565">
        <v>5</v>
      </c>
      <c r="AX565" t="s">
        <v>74</v>
      </c>
      <c r="AY565" t="s">
        <v>4946</v>
      </c>
      <c r="AZ565" t="s">
        <v>74</v>
      </c>
      <c r="BA565">
        <v>252</v>
      </c>
      <c r="BB565" t="s">
        <v>10440</v>
      </c>
      <c r="BC565" t="s">
        <v>10440</v>
      </c>
      <c r="BD565" t="s">
        <v>74</v>
      </c>
      <c r="BE565" t="s">
        <v>74</v>
      </c>
      <c r="BF565" t="s">
        <v>74</v>
      </c>
      <c r="BG565" t="s">
        <v>74</v>
      </c>
      <c r="BH565" t="s">
        <v>74</v>
      </c>
      <c r="BI565">
        <v>1</v>
      </c>
      <c r="BJ565" t="s">
        <v>1341</v>
      </c>
      <c r="BK565" t="s">
        <v>209</v>
      </c>
      <c r="BL565" t="s">
        <v>1341</v>
      </c>
      <c r="BM565" t="s">
        <v>10441</v>
      </c>
      <c r="BN565">
        <v>34621965</v>
      </c>
      <c r="BO565" t="s">
        <v>552</v>
      </c>
      <c r="BP565" t="s">
        <v>74</v>
      </c>
      <c r="BQ565" t="s">
        <v>74</v>
      </c>
      <c r="BR565" t="s">
        <v>102</v>
      </c>
      <c r="BS565" t="s">
        <v>10442</v>
      </c>
      <c r="BT565" t="str">
        <f>HYPERLINK("https%3A%2F%2Fwww.webofscience.com%2Fwos%2Fwoscc%2Ffull-record%2FWOS:000641872800252","View Full Record in Web of Science")</f>
        <v>View Full Record in Web of Science</v>
      </c>
    </row>
    <row r="566" spans="1:72" x14ac:dyDescent="0.35">
      <c r="A566" t="s">
        <v>128</v>
      </c>
      <c r="B566" t="s">
        <v>10443</v>
      </c>
      <c r="C566" t="s">
        <v>74</v>
      </c>
      <c r="D566" t="s">
        <v>10444</v>
      </c>
      <c r="E566" t="s">
        <v>74</v>
      </c>
      <c r="F566" t="s">
        <v>10445</v>
      </c>
      <c r="G566" t="s">
        <v>74</v>
      </c>
      <c r="H566" t="s">
        <v>74</v>
      </c>
      <c r="I566" t="s">
        <v>10446</v>
      </c>
      <c r="J566" t="s">
        <v>10447</v>
      </c>
      <c r="K566" t="s">
        <v>8364</v>
      </c>
      <c r="L566" t="s">
        <v>74</v>
      </c>
      <c r="M566" t="s">
        <v>78</v>
      </c>
      <c r="N566" t="s">
        <v>135</v>
      </c>
      <c r="O566" t="s">
        <v>10448</v>
      </c>
      <c r="P566" t="s">
        <v>10449</v>
      </c>
      <c r="Q566" t="s">
        <v>6828</v>
      </c>
      <c r="R566" t="s">
        <v>74</v>
      </c>
      <c r="S566" t="s">
        <v>74</v>
      </c>
      <c r="T566" t="s">
        <v>10450</v>
      </c>
      <c r="U566" t="s">
        <v>10451</v>
      </c>
      <c r="V566" t="s">
        <v>10452</v>
      </c>
      <c r="W566" t="s">
        <v>10453</v>
      </c>
      <c r="X566" t="s">
        <v>10454</v>
      </c>
      <c r="Y566" t="s">
        <v>10455</v>
      </c>
      <c r="Z566" t="s">
        <v>10456</v>
      </c>
      <c r="AA566" t="s">
        <v>74</v>
      </c>
      <c r="AB566" t="s">
        <v>74</v>
      </c>
      <c r="AC566" t="s">
        <v>74</v>
      </c>
      <c r="AD566" t="s">
        <v>74</v>
      </c>
      <c r="AE566" t="s">
        <v>74</v>
      </c>
      <c r="AF566" t="s">
        <v>74</v>
      </c>
      <c r="AG566">
        <v>21</v>
      </c>
      <c r="AH566">
        <v>0</v>
      </c>
      <c r="AI566">
        <v>0</v>
      </c>
      <c r="AJ566">
        <v>4</v>
      </c>
      <c r="AK566">
        <v>4</v>
      </c>
      <c r="AL566" t="s">
        <v>639</v>
      </c>
      <c r="AM566" t="s">
        <v>640</v>
      </c>
      <c r="AN566" t="s">
        <v>641</v>
      </c>
      <c r="AO566" t="s">
        <v>8380</v>
      </c>
      <c r="AP566" t="s">
        <v>8381</v>
      </c>
      <c r="AQ566" t="s">
        <v>10457</v>
      </c>
      <c r="AR566" t="s">
        <v>8383</v>
      </c>
      <c r="AS566" t="s">
        <v>74</v>
      </c>
      <c r="AT566" t="s">
        <v>74</v>
      </c>
      <c r="AU566">
        <v>2024</v>
      </c>
      <c r="AV566">
        <v>14687</v>
      </c>
      <c r="AW566" t="s">
        <v>74</v>
      </c>
      <c r="AX566" t="s">
        <v>74</v>
      </c>
      <c r="AY566" t="s">
        <v>74</v>
      </c>
      <c r="AZ566" t="s">
        <v>74</v>
      </c>
      <c r="BA566" t="s">
        <v>74</v>
      </c>
      <c r="BB566">
        <v>208</v>
      </c>
      <c r="BC566">
        <v>218</v>
      </c>
      <c r="BD566" t="s">
        <v>74</v>
      </c>
      <c r="BE566" t="s">
        <v>10458</v>
      </c>
      <c r="BF566" t="str">
        <f>HYPERLINK("http://dx.doi.org/10.1007/978-3-031-60441-6_14","http://dx.doi.org/10.1007/978-3-031-60441-6_14")</f>
        <v>http://dx.doi.org/10.1007/978-3-031-60441-6_14</v>
      </c>
      <c r="BG566" t="s">
        <v>74</v>
      </c>
      <c r="BH566" t="s">
        <v>74</v>
      </c>
      <c r="BI566">
        <v>11</v>
      </c>
      <c r="BJ566" t="s">
        <v>10459</v>
      </c>
      <c r="BK566" t="s">
        <v>723</v>
      </c>
      <c r="BL566" t="s">
        <v>210</v>
      </c>
      <c r="BM566" t="s">
        <v>10460</v>
      </c>
      <c r="BN566" t="s">
        <v>74</v>
      </c>
      <c r="BO566" t="s">
        <v>74</v>
      </c>
      <c r="BP566" t="s">
        <v>74</v>
      </c>
      <c r="BQ566" t="s">
        <v>74</v>
      </c>
      <c r="BR566" t="s">
        <v>102</v>
      </c>
      <c r="BS566" t="s">
        <v>10461</v>
      </c>
      <c r="BT566" t="str">
        <f>HYPERLINK("https%3A%2F%2Fwww.webofscience.com%2Fwos%2Fwoscc%2Ffull-record%2FWOS:001283866900014","View Full Record in Web of Science")</f>
        <v>View Full Record in Web of Science</v>
      </c>
    </row>
    <row r="567" spans="1:72" x14ac:dyDescent="0.35">
      <c r="A567" t="s">
        <v>72</v>
      </c>
      <c r="B567" t="s">
        <v>10462</v>
      </c>
      <c r="C567" t="s">
        <v>74</v>
      </c>
      <c r="D567" t="s">
        <v>74</v>
      </c>
      <c r="E567" t="s">
        <v>74</v>
      </c>
      <c r="F567" t="s">
        <v>10463</v>
      </c>
      <c r="G567" t="s">
        <v>74</v>
      </c>
      <c r="H567" t="s">
        <v>74</v>
      </c>
      <c r="I567" t="s">
        <v>10464</v>
      </c>
      <c r="J567" t="s">
        <v>1054</v>
      </c>
      <c r="K567" t="s">
        <v>74</v>
      </c>
      <c r="L567" t="s">
        <v>74</v>
      </c>
      <c r="M567" t="s">
        <v>78</v>
      </c>
      <c r="N567" t="s">
        <v>52</v>
      </c>
      <c r="O567" t="s">
        <v>74</v>
      </c>
      <c r="P567" t="s">
        <v>74</v>
      </c>
      <c r="Q567" t="s">
        <v>74</v>
      </c>
      <c r="R567" t="s">
        <v>74</v>
      </c>
      <c r="S567" t="s">
        <v>74</v>
      </c>
      <c r="T567" t="s">
        <v>74</v>
      </c>
      <c r="U567" t="s">
        <v>74</v>
      </c>
      <c r="V567" t="s">
        <v>74</v>
      </c>
      <c r="W567" t="s">
        <v>10465</v>
      </c>
      <c r="X567" t="s">
        <v>10466</v>
      </c>
      <c r="Y567" t="s">
        <v>10467</v>
      </c>
      <c r="Z567" t="s">
        <v>74</v>
      </c>
      <c r="AA567" t="s">
        <v>1058</v>
      </c>
      <c r="AB567" t="s">
        <v>74</v>
      </c>
      <c r="AC567" t="s">
        <v>74</v>
      </c>
      <c r="AD567" t="s">
        <v>74</v>
      </c>
      <c r="AE567" t="s">
        <v>74</v>
      </c>
      <c r="AF567" t="s">
        <v>74</v>
      </c>
      <c r="AG567">
        <v>3</v>
      </c>
      <c r="AH567">
        <v>0</v>
      </c>
      <c r="AI567">
        <v>0</v>
      </c>
      <c r="AJ567">
        <v>0</v>
      </c>
      <c r="AK567">
        <v>2</v>
      </c>
      <c r="AL567" t="s">
        <v>1061</v>
      </c>
      <c r="AM567" t="s">
        <v>1062</v>
      </c>
      <c r="AN567" t="s">
        <v>1063</v>
      </c>
      <c r="AO567" t="s">
        <v>1064</v>
      </c>
      <c r="AP567" t="s">
        <v>1065</v>
      </c>
      <c r="AQ567" t="s">
        <v>74</v>
      </c>
      <c r="AR567" t="s">
        <v>1066</v>
      </c>
      <c r="AS567" t="s">
        <v>1067</v>
      </c>
      <c r="AT567" t="s">
        <v>74</v>
      </c>
      <c r="AU567">
        <v>2023</v>
      </c>
      <c r="AV567">
        <v>82</v>
      </c>
      <c r="AW567" t="s">
        <v>10468</v>
      </c>
      <c r="AX567" t="s">
        <v>74</v>
      </c>
      <c r="AY567" t="s">
        <v>74</v>
      </c>
      <c r="AZ567" t="s">
        <v>456</v>
      </c>
      <c r="BA567" t="s">
        <v>74</v>
      </c>
      <c r="BB567" t="s">
        <v>74</v>
      </c>
      <c r="BC567" t="s">
        <v>74</v>
      </c>
      <c r="BD567" t="s">
        <v>10469</v>
      </c>
      <c r="BE567" t="s">
        <v>10470</v>
      </c>
      <c r="BF567" t="str">
        <f>HYPERLINK("http://dx.doi.org/10.1017/S002966512300157X","http://dx.doi.org/10.1017/S002966512300157X")</f>
        <v>http://dx.doi.org/10.1017/S002966512300157X</v>
      </c>
      <c r="BG567" t="s">
        <v>74</v>
      </c>
      <c r="BH567" t="s">
        <v>74</v>
      </c>
      <c r="BI567">
        <v>1</v>
      </c>
      <c r="BJ567" t="s">
        <v>1071</v>
      </c>
      <c r="BK567" t="s">
        <v>209</v>
      </c>
      <c r="BL567" t="s">
        <v>1071</v>
      </c>
      <c r="BM567" t="s">
        <v>10471</v>
      </c>
      <c r="BN567" t="s">
        <v>74</v>
      </c>
      <c r="BO567" t="s">
        <v>767</v>
      </c>
      <c r="BP567" t="s">
        <v>74</v>
      </c>
      <c r="BQ567" t="s">
        <v>74</v>
      </c>
      <c r="BR567" t="s">
        <v>102</v>
      </c>
      <c r="BS567" t="s">
        <v>10472</v>
      </c>
      <c r="BT567" t="str">
        <f>HYPERLINK("https%3A%2F%2Fwww.webofscience.com%2Fwos%2Fwoscc%2Ffull-record%2FWOS:000969942500111","View Full Record in Web of Science")</f>
        <v>View Full Record in Web of Science</v>
      </c>
    </row>
    <row r="568" spans="1:72" x14ac:dyDescent="0.35">
      <c r="A568" t="s">
        <v>72</v>
      </c>
      <c r="B568" t="s">
        <v>10473</v>
      </c>
      <c r="C568" t="s">
        <v>74</v>
      </c>
      <c r="D568" t="s">
        <v>74</v>
      </c>
      <c r="E568" t="s">
        <v>74</v>
      </c>
      <c r="F568" t="s">
        <v>10474</v>
      </c>
      <c r="G568" t="s">
        <v>74</v>
      </c>
      <c r="H568" t="s">
        <v>74</v>
      </c>
      <c r="I568" t="s">
        <v>10475</v>
      </c>
      <c r="J568" t="s">
        <v>10041</v>
      </c>
      <c r="K568" t="s">
        <v>74</v>
      </c>
      <c r="L568" t="s">
        <v>74</v>
      </c>
      <c r="M568" t="s">
        <v>78</v>
      </c>
      <c r="N568" t="s">
        <v>8268</v>
      </c>
      <c r="O568" t="s">
        <v>74</v>
      </c>
      <c r="P568" t="s">
        <v>74</v>
      </c>
      <c r="Q568" t="s">
        <v>74</v>
      </c>
      <c r="R568" t="s">
        <v>74</v>
      </c>
      <c r="S568" t="s">
        <v>74</v>
      </c>
      <c r="T568" t="s">
        <v>74</v>
      </c>
      <c r="U568" t="s">
        <v>74</v>
      </c>
      <c r="V568" t="s">
        <v>74</v>
      </c>
      <c r="W568" t="s">
        <v>10476</v>
      </c>
      <c r="X568" t="s">
        <v>10477</v>
      </c>
      <c r="Y568" t="s">
        <v>10478</v>
      </c>
      <c r="Z568" t="s">
        <v>74</v>
      </c>
      <c r="AA568" t="s">
        <v>74</v>
      </c>
      <c r="AB568" t="s">
        <v>74</v>
      </c>
      <c r="AC568" t="s">
        <v>74</v>
      </c>
      <c r="AD568" t="s">
        <v>74</v>
      </c>
      <c r="AE568" t="s">
        <v>74</v>
      </c>
      <c r="AF568" t="s">
        <v>74</v>
      </c>
      <c r="AG568">
        <v>0</v>
      </c>
      <c r="AH568">
        <v>0</v>
      </c>
      <c r="AI568">
        <v>0</v>
      </c>
      <c r="AJ568">
        <v>3</v>
      </c>
      <c r="AK568">
        <v>3</v>
      </c>
      <c r="AL568" t="s">
        <v>226</v>
      </c>
      <c r="AM568" t="s">
        <v>227</v>
      </c>
      <c r="AN568" t="s">
        <v>228</v>
      </c>
      <c r="AO568" t="s">
        <v>10045</v>
      </c>
      <c r="AP568" t="s">
        <v>10046</v>
      </c>
      <c r="AQ568" t="s">
        <v>74</v>
      </c>
      <c r="AR568" t="s">
        <v>10047</v>
      </c>
      <c r="AS568" t="s">
        <v>10048</v>
      </c>
      <c r="AT568" t="s">
        <v>297</v>
      </c>
      <c r="AU568">
        <v>2024</v>
      </c>
      <c r="AV568">
        <v>39</v>
      </c>
      <c r="AW568">
        <v>4</v>
      </c>
      <c r="AX568" t="s">
        <v>74</v>
      </c>
      <c r="AY568" t="s">
        <v>74</v>
      </c>
      <c r="AZ568" t="s">
        <v>74</v>
      </c>
      <c r="BA568" t="s">
        <v>74</v>
      </c>
      <c r="BB568">
        <v>395</v>
      </c>
      <c r="BC568">
        <v>396</v>
      </c>
      <c r="BD568" t="s">
        <v>74</v>
      </c>
      <c r="BE568" t="s">
        <v>10479</v>
      </c>
      <c r="BF568" t="str">
        <f>HYPERLINK("http://dx.doi.org/10.1177/02673231241266655","http://dx.doi.org/10.1177/02673231241266655")</f>
        <v>http://dx.doi.org/10.1177/02673231241266655</v>
      </c>
      <c r="BG568" t="s">
        <v>74</v>
      </c>
      <c r="BH568" t="s">
        <v>2444</v>
      </c>
      <c r="BI568">
        <v>2</v>
      </c>
      <c r="BJ568" t="s">
        <v>124</v>
      </c>
      <c r="BK568" t="s">
        <v>99</v>
      </c>
      <c r="BL568" t="s">
        <v>124</v>
      </c>
      <c r="BM568" t="s">
        <v>10480</v>
      </c>
      <c r="BN568" t="s">
        <v>74</v>
      </c>
      <c r="BO568" t="s">
        <v>74</v>
      </c>
      <c r="BP568" t="s">
        <v>74</v>
      </c>
      <c r="BQ568" t="s">
        <v>74</v>
      </c>
      <c r="BR568" t="s">
        <v>102</v>
      </c>
      <c r="BS568" t="s">
        <v>10481</v>
      </c>
      <c r="BT568" t="str">
        <f>HYPERLINK("https%3A%2F%2Fwww.webofscience.com%2Fwos%2Fwoscc%2Ffull-record%2FWOS:001284987500001","View Full Record in Web of Science")</f>
        <v>View Full Record in Web of Science</v>
      </c>
    </row>
    <row r="569" spans="1:72" x14ac:dyDescent="0.35">
      <c r="A569" t="s">
        <v>72</v>
      </c>
      <c r="B569" t="s">
        <v>10482</v>
      </c>
      <c r="C569" t="s">
        <v>74</v>
      </c>
      <c r="D569" t="s">
        <v>74</v>
      </c>
      <c r="E569" t="s">
        <v>74</v>
      </c>
      <c r="F569" t="s">
        <v>10483</v>
      </c>
      <c r="G569" t="s">
        <v>74</v>
      </c>
      <c r="H569" t="s">
        <v>74</v>
      </c>
      <c r="I569" t="s">
        <v>10484</v>
      </c>
      <c r="J569" t="s">
        <v>10485</v>
      </c>
      <c r="K569" t="s">
        <v>74</v>
      </c>
      <c r="L569" t="s">
        <v>74</v>
      </c>
      <c r="M569" t="s">
        <v>78</v>
      </c>
      <c r="N569" t="s">
        <v>108</v>
      </c>
      <c r="O569" t="s">
        <v>74</v>
      </c>
      <c r="P569" t="s">
        <v>74</v>
      </c>
      <c r="Q569" t="s">
        <v>74</v>
      </c>
      <c r="R569" t="s">
        <v>74</v>
      </c>
      <c r="S569" t="s">
        <v>74</v>
      </c>
      <c r="T569" t="s">
        <v>10486</v>
      </c>
      <c r="U569" t="s">
        <v>10487</v>
      </c>
      <c r="V569" t="s">
        <v>10488</v>
      </c>
      <c r="W569" t="s">
        <v>10489</v>
      </c>
      <c r="X569" t="s">
        <v>10490</v>
      </c>
      <c r="Y569" t="s">
        <v>10491</v>
      </c>
      <c r="Z569" t="s">
        <v>74</v>
      </c>
      <c r="AA569" t="s">
        <v>10492</v>
      </c>
      <c r="AB569" t="s">
        <v>74</v>
      </c>
      <c r="AC569" t="s">
        <v>10493</v>
      </c>
      <c r="AD569" t="s">
        <v>10494</v>
      </c>
      <c r="AE569" t="s">
        <v>10495</v>
      </c>
      <c r="AF569" t="s">
        <v>74</v>
      </c>
      <c r="AG569">
        <v>42</v>
      </c>
      <c r="AH569">
        <v>0</v>
      </c>
      <c r="AI569">
        <v>0</v>
      </c>
      <c r="AJ569">
        <v>3</v>
      </c>
      <c r="AK569">
        <v>3</v>
      </c>
      <c r="AL569" t="s">
        <v>3256</v>
      </c>
      <c r="AM569" t="s">
        <v>3169</v>
      </c>
      <c r="AN569" t="s">
        <v>3257</v>
      </c>
      <c r="AO569" t="s">
        <v>10496</v>
      </c>
      <c r="AP569" t="s">
        <v>10497</v>
      </c>
      <c r="AQ569" t="s">
        <v>74</v>
      </c>
      <c r="AR569" t="s">
        <v>10498</v>
      </c>
      <c r="AS569" t="s">
        <v>10499</v>
      </c>
      <c r="AT569" t="s">
        <v>594</v>
      </c>
      <c r="AU569">
        <v>2024</v>
      </c>
      <c r="AV569">
        <v>141</v>
      </c>
      <c r="AW569" t="s">
        <v>74</v>
      </c>
      <c r="AX569" t="s">
        <v>74</v>
      </c>
      <c r="AY569" t="s">
        <v>74</v>
      </c>
      <c r="AZ569" t="s">
        <v>74</v>
      </c>
      <c r="BA569" t="s">
        <v>74</v>
      </c>
      <c r="BB569" t="s">
        <v>74</v>
      </c>
      <c r="BC569" t="s">
        <v>74</v>
      </c>
      <c r="BD569">
        <v>106328</v>
      </c>
      <c r="BE569" t="s">
        <v>10500</v>
      </c>
      <c r="BF569" t="str">
        <f>HYPERLINK("http://dx.doi.org/10.1016/j.nedt.2024.106328","http://dx.doi.org/10.1016/j.nedt.2024.106328")</f>
        <v>http://dx.doi.org/10.1016/j.nedt.2024.106328</v>
      </c>
      <c r="BG569" t="s">
        <v>74</v>
      </c>
      <c r="BH569" t="s">
        <v>2444</v>
      </c>
      <c r="BI569">
        <v>7</v>
      </c>
      <c r="BJ569" t="s">
        <v>10501</v>
      </c>
      <c r="BK569" t="s">
        <v>182</v>
      </c>
      <c r="BL569" t="s">
        <v>10502</v>
      </c>
      <c r="BM569" t="s">
        <v>10503</v>
      </c>
      <c r="BN569">
        <v>39111216</v>
      </c>
      <c r="BO569" t="s">
        <v>156</v>
      </c>
      <c r="BP569" t="s">
        <v>74</v>
      </c>
      <c r="BQ569" t="s">
        <v>74</v>
      </c>
      <c r="BR569" t="s">
        <v>102</v>
      </c>
      <c r="BS569" t="s">
        <v>10504</v>
      </c>
      <c r="BT569" t="str">
        <f>HYPERLINK("https%3A%2F%2Fwww.webofscience.com%2Fwos%2Fwoscc%2Ffull-record%2FWOS:001291057300001","View Full Record in Web of Science")</f>
        <v>View Full Record in Web of Science</v>
      </c>
    </row>
    <row r="570" spans="1:72" x14ac:dyDescent="0.35">
      <c r="A570" t="s">
        <v>72</v>
      </c>
      <c r="B570" t="s">
        <v>10505</v>
      </c>
      <c r="C570" t="s">
        <v>74</v>
      </c>
      <c r="D570" t="s">
        <v>74</v>
      </c>
      <c r="E570" t="s">
        <v>74</v>
      </c>
      <c r="F570" t="s">
        <v>10506</v>
      </c>
      <c r="G570" t="s">
        <v>74</v>
      </c>
      <c r="H570" t="s">
        <v>74</v>
      </c>
      <c r="I570" t="s">
        <v>10507</v>
      </c>
      <c r="J570" t="s">
        <v>373</v>
      </c>
      <c r="K570" t="s">
        <v>74</v>
      </c>
      <c r="L570" t="s">
        <v>74</v>
      </c>
      <c r="M570" t="s">
        <v>78</v>
      </c>
      <c r="N570" t="s">
        <v>108</v>
      </c>
      <c r="O570" t="s">
        <v>74</v>
      </c>
      <c r="P570" t="s">
        <v>74</v>
      </c>
      <c r="Q570" t="s">
        <v>74</v>
      </c>
      <c r="R570" t="s">
        <v>74</v>
      </c>
      <c r="S570" t="s">
        <v>74</v>
      </c>
      <c r="T570" t="s">
        <v>10508</v>
      </c>
      <c r="U570" t="s">
        <v>10509</v>
      </c>
      <c r="V570" t="s">
        <v>10510</v>
      </c>
      <c r="W570" t="s">
        <v>10511</v>
      </c>
      <c r="X570" t="s">
        <v>10512</v>
      </c>
      <c r="Y570" t="s">
        <v>10513</v>
      </c>
      <c r="Z570" t="s">
        <v>10514</v>
      </c>
      <c r="AA570" t="s">
        <v>10515</v>
      </c>
      <c r="AB570" t="s">
        <v>10516</v>
      </c>
      <c r="AC570" t="s">
        <v>74</v>
      </c>
      <c r="AD570" t="s">
        <v>74</v>
      </c>
      <c r="AE570" t="s">
        <v>74</v>
      </c>
      <c r="AF570" t="s">
        <v>74</v>
      </c>
      <c r="AG570">
        <v>36</v>
      </c>
      <c r="AH570">
        <v>3</v>
      </c>
      <c r="AI570">
        <v>3</v>
      </c>
      <c r="AJ570">
        <v>4</v>
      </c>
      <c r="AK570">
        <v>8</v>
      </c>
      <c r="AL570" t="s">
        <v>384</v>
      </c>
      <c r="AM570" t="s">
        <v>385</v>
      </c>
      <c r="AN570" t="s">
        <v>386</v>
      </c>
      <c r="AO570" t="s">
        <v>74</v>
      </c>
      <c r="AP570" t="s">
        <v>387</v>
      </c>
      <c r="AQ570" t="s">
        <v>74</v>
      </c>
      <c r="AR570" t="s">
        <v>388</v>
      </c>
      <c r="AS570" t="s">
        <v>389</v>
      </c>
      <c r="AT570" t="s">
        <v>10517</v>
      </c>
      <c r="AU570">
        <v>2023</v>
      </c>
      <c r="AV570">
        <v>11</v>
      </c>
      <c r="AW570" t="s">
        <v>74</v>
      </c>
      <c r="AX570" t="s">
        <v>74</v>
      </c>
      <c r="AY570" t="s">
        <v>74</v>
      </c>
      <c r="AZ570" t="s">
        <v>74</v>
      </c>
      <c r="BA570" t="s">
        <v>74</v>
      </c>
      <c r="BB570" t="s">
        <v>74</v>
      </c>
      <c r="BC570" t="s">
        <v>74</v>
      </c>
      <c r="BD570">
        <v>1266415</v>
      </c>
      <c r="BE570" t="s">
        <v>10518</v>
      </c>
      <c r="BF570" t="str">
        <f>HYPERLINK("http://dx.doi.org/10.3389/fpubh.2023.1266415","http://dx.doi.org/10.3389/fpubh.2023.1266415")</f>
        <v>http://dx.doi.org/10.3389/fpubh.2023.1266415</v>
      </c>
      <c r="BG570" t="s">
        <v>74</v>
      </c>
      <c r="BH570" t="s">
        <v>74</v>
      </c>
      <c r="BI570">
        <v>8</v>
      </c>
      <c r="BJ570" t="s">
        <v>392</v>
      </c>
      <c r="BK570" t="s">
        <v>182</v>
      </c>
      <c r="BL570" t="s">
        <v>392</v>
      </c>
      <c r="BM570" t="s">
        <v>10519</v>
      </c>
      <c r="BN570">
        <v>38089039</v>
      </c>
      <c r="BO570" t="s">
        <v>235</v>
      </c>
      <c r="BP570" t="s">
        <v>74</v>
      </c>
      <c r="BQ570" t="s">
        <v>74</v>
      </c>
      <c r="BR570" t="s">
        <v>102</v>
      </c>
      <c r="BS570" t="s">
        <v>10520</v>
      </c>
      <c r="BT570" t="str">
        <f>HYPERLINK("https%3A%2F%2Fwww.webofscience.com%2Fwos%2Fwoscc%2Ffull-record%2FWOS:001120879200001","View Full Record in Web of Science")</f>
        <v>View Full Record in Web of Science</v>
      </c>
    </row>
    <row r="571" spans="1:72" x14ac:dyDescent="0.35">
      <c r="A571" t="s">
        <v>72</v>
      </c>
      <c r="B571" t="s">
        <v>10521</v>
      </c>
      <c r="C571" t="s">
        <v>74</v>
      </c>
      <c r="D571" t="s">
        <v>74</v>
      </c>
      <c r="E571" t="s">
        <v>74</v>
      </c>
      <c r="F571" t="s">
        <v>10522</v>
      </c>
      <c r="G571" t="s">
        <v>74</v>
      </c>
      <c r="H571" t="s">
        <v>74</v>
      </c>
      <c r="I571" t="s">
        <v>8706</v>
      </c>
      <c r="J571" t="s">
        <v>10523</v>
      </c>
      <c r="K571" t="s">
        <v>74</v>
      </c>
      <c r="L571" t="s">
        <v>74</v>
      </c>
      <c r="M571" t="s">
        <v>78</v>
      </c>
      <c r="N571" t="s">
        <v>8268</v>
      </c>
      <c r="O571" t="s">
        <v>74</v>
      </c>
      <c r="P571" t="s">
        <v>74</v>
      </c>
      <c r="Q571" t="s">
        <v>74</v>
      </c>
      <c r="R571" t="s">
        <v>74</v>
      </c>
      <c r="S571" t="s">
        <v>74</v>
      </c>
      <c r="T571" t="s">
        <v>74</v>
      </c>
      <c r="U571" t="s">
        <v>74</v>
      </c>
      <c r="V571" t="s">
        <v>74</v>
      </c>
      <c r="W571" t="s">
        <v>10524</v>
      </c>
      <c r="X571" t="s">
        <v>10525</v>
      </c>
      <c r="Y571" t="s">
        <v>10526</v>
      </c>
      <c r="Z571" t="s">
        <v>74</v>
      </c>
      <c r="AA571" t="s">
        <v>74</v>
      </c>
      <c r="AB571" t="s">
        <v>10527</v>
      </c>
      <c r="AC571" t="s">
        <v>74</v>
      </c>
      <c r="AD571" t="s">
        <v>74</v>
      </c>
      <c r="AE571" t="s">
        <v>74</v>
      </c>
      <c r="AF571" t="s">
        <v>74</v>
      </c>
      <c r="AG571">
        <v>1</v>
      </c>
      <c r="AH571">
        <v>0</v>
      </c>
      <c r="AI571">
        <v>0</v>
      </c>
      <c r="AJ571">
        <v>0</v>
      </c>
      <c r="AK571">
        <v>1</v>
      </c>
      <c r="AL571" t="s">
        <v>7016</v>
      </c>
      <c r="AM571" t="s">
        <v>7017</v>
      </c>
      <c r="AN571" t="s">
        <v>7018</v>
      </c>
      <c r="AO571" t="s">
        <v>10528</v>
      </c>
      <c r="AP571" t="s">
        <v>10529</v>
      </c>
      <c r="AQ571" t="s">
        <v>74</v>
      </c>
      <c r="AR571" t="s">
        <v>10530</v>
      </c>
      <c r="AS571" t="s">
        <v>10531</v>
      </c>
      <c r="AT571" t="s">
        <v>455</v>
      </c>
      <c r="AU571">
        <v>2021</v>
      </c>
      <c r="AV571">
        <v>73</v>
      </c>
      <c r="AW571">
        <v>3</v>
      </c>
      <c r="AX571" t="s">
        <v>74</v>
      </c>
      <c r="AY571" t="s">
        <v>74</v>
      </c>
      <c r="AZ571" t="s">
        <v>74</v>
      </c>
      <c r="BA571" t="s">
        <v>74</v>
      </c>
      <c r="BB571">
        <v>432</v>
      </c>
      <c r="BC571">
        <v>433</v>
      </c>
      <c r="BD571" t="s">
        <v>74</v>
      </c>
      <c r="BE571" t="s">
        <v>10532</v>
      </c>
      <c r="BF571" t="str">
        <f>HYPERLINK("http://dx.doi.org/10.1353/tj.2021.0087","http://dx.doi.org/10.1353/tj.2021.0087")</f>
        <v>http://dx.doi.org/10.1353/tj.2021.0087</v>
      </c>
      <c r="BG571" t="s">
        <v>74</v>
      </c>
      <c r="BH571" t="s">
        <v>74</v>
      </c>
      <c r="BI571">
        <v>3</v>
      </c>
      <c r="BJ571" t="s">
        <v>315</v>
      </c>
      <c r="BK571" t="s">
        <v>316</v>
      </c>
      <c r="BL571" t="s">
        <v>315</v>
      </c>
      <c r="BM571" t="s">
        <v>10533</v>
      </c>
      <c r="BN571" t="s">
        <v>74</v>
      </c>
      <c r="BO571" t="s">
        <v>74</v>
      </c>
      <c r="BP571" t="s">
        <v>74</v>
      </c>
      <c r="BQ571" t="s">
        <v>74</v>
      </c>
      <c r="BR571" t="s">
        <v>102</v>
      </c>
      <c r="BS571" t="s">
        <v>10534</v>
      </c>
      <c r="BT571" t="str">
        <f>HYPERLINK("https%3A%2F%2Fwww.webofscience.com%2Fwos%2Fwoscc%2Ffull-record%2FWOS:000743513600003","View Full Record in Web of Science")</f>
        <v>View Full Record in Web of Science</v>
      </c>
    </row>
    <row r="572" spans="1:72" x14ac:dyDescent="0.35">
      <c r="A572" t="s">
        <v>72</v>
      </c>
      <c r="B572" t="s">
        <v>10535</v>
      </c>
      <c r="C572" t="s">
        <v>74</v>
      </c>
      <c r="D572" t="s">
        <v>74</v>
      </c>
      <c r="E572" t="s">
        <v>74</v>
      </c>
      <c r="F572" t="s">
        <v>10536</v>
      </c>
      <c r="G572" t="s">
        <v>74</v>
      </c>
      <c r="H572" t="s">
        <v>74</v>
      </c>
      <c r="I572" t="s">
        <v>10537</v>
      </c>
      <c r="J572" t="s">
        <v>10538</v>
      </c>
      <c r="K572" t="s">
        <v>74</v>
      </c>
      <c r="L572" t="s">
        <v>74</v>
      </c>
      <c r="M572" t="s">
        <v>78</v>
      </c>
      <c r="N572" t="s">
        <v>2042</v>
      </c>
      <c r="O572" t="s">
        <v>74</v>
      </c>
      <c r="P572" t="s">
        <v>74</v>
      </c>
      <c r="Q572" t="s">
        <v>74</v>
      </c>
      <c r="R572" t="s">
        <v>74</v>
      </c>
      <c r="S572" t="s">
        <v>74</v>
      </c>
      <c r="T572" t="s">
        <v>74</v>
      </c>
      <c r="U572" t="s">
        <v>74</v>
      </c>
      <c r="V572" t="s">
        <v>74</v>
      </c>
      <c r="W572" t="s">
        <v>10539</v>
      </c>
      <c r="X572" t="s">
        <v>10540</v>
      </c>
      <c r="Y572" t="s">
        <v>10541</v>
      </c>
      <c r="Z572" t="s">
        <v>10542</v>
      </c>
      <c r="AA572" t="s">
        <v>10543</v>
      </c>
      <c r="AB572" t="s">
        <v>10544</v>
      </c>
      <c r="AC572" t="s">
        <v>74</v>
      </c>
      <c r="AD572" t="s">
        <v>74</v>
      </c>
      <c r="AE572" t="s">
        <v>74</v>
      </c>
      <c r="AF572" t="s">
        <v>74</v>
      </c>
      <c r="AG572">
        <v>4</v>
      </c>
      <c r="AH572">
        <v>10</v>
      </c>
      <c r="AI572">
        <v>10</v>
      </c>
      <c r="AJ572">
        <v>1</v>
      </c>
      <c r="AK572">
        <v>14</v>
      </c>
      <c r="AL572" t="s">
        <v>9222</v>
      </c>
      <c r="AM572" t="s">
        <v>227</v>
      </c>
      <c r="AN572" t="s">
        <v>9223</v>
      </c>
      <c r="AO572" t="s">
        <v>10545</v>
      </c>
      <c r="AP572" t="s">
        <v>10546</v>
      </c>
      <c r="AQ572" t="s">
        <v>74</v>
      </c>
      <c r="AR572" t="s">
        <v>10547</v>
      </c>
      <c r="AS572" t="s">
        <v>10548</v>
      </c>
      <c r="AT572" t="s">
        <v>745</v>
      </c>
      <c r="AU572">
        <v>2021</v>
      </c>
      <c r="AV572">
        <v>106</v>
      </c>
      <c r="AW572">
        <v>5</v>
      </c>
      <c r="AX572" t="s">
        <v>74</v>
      </c>
      <c r="AY572" t="s">
        <v>74</v>
      </c>
      <c r="AZ572" t="s">
        <v>74</v>
      </c>
      <c r="BA572" t="s">
        <v>74</v>
      </c>
      <c r="BB572">
        <v>417</v>
      </c>
      <c r="BC572">
        <v>417</v>
      </c>
      <c r="BD572" t="s">
        <v>74</v>
      </c>
      <c r="BE572" t="s">
        <v>10549</v>
      </c>
      <c r="BF572" t="str">
        <f>HYPERLINK("http://dx.doi.org/10.1136/archdischild-2021-321885","http://dx.doi.org/10.1136/archdischild-2021-321885")</f>
        <v>http://dx.doi.org/10.1136/archdischild-2021-321885</v>
      </c>
      <c r="BG572" t="s">
        <v>74</v>
      </c>
      <c r="BH572" t="s">
        <v>74</v>
      </c>
      <c r="BI572">
        <v>1</v>
      </c>
      <c r="BJ572" t="s">
        <v>6641</v>
      </c>
      <c r="BK572" t="s">
        <v>209</v>
      </c>
      <c r="BL572" t="s">
        <v>6641</v>
      </c>
      <c r="BM572" t="s">
        <v>10550</v>
      </c>
      <c r="BN572">
        <v>33712433</v>
      </c>
      <c r="BO572" t="s">
        <v>74</v>
      </c>
      <c r="BP572" t="s">
        <v>74</v>
      </c>
      <c r="BQ572" t="s">
        <v>74</v>
      </c>
      <c r="BR572" t="s">
        <v>102</v>
      </c>
      <c r="BS572" t="s">
        <v>10551</v>
      </c>
      <c r="BT572" t="str">
        <f>HYPERLINK("https%3A%2F%2Fwww.webofscience.com%2Fwos%2Fwoscc%2Ffull-record%2FWOS:000643740100002","View Full Record in Web of Science")</f>
        <v>View Full Record in Web of Science</v>
      </c>
    </row>
    <row r="573" spans="1:72" x14ac:dyDescent="0.35">
      <c r="A573" t="s">
        <v>72</v>
      </c>
      <c r="B573" t="s">
        <v>10552</v>
      </c>
      <c r="C573" t="s">
        <v>74</v>
      </c>
      <c r="D573" t="s">
        <v>74</v>
      </c>
      <c r="E573" t="s">
        <v>74</v>
      </c>
      <c r="F573" t="s">
        <v>10553</v>
      </c>
      <c r="G573" t="s">
        <v>74</v>
      </c>
      <c r="H573" t="s">
        <v>74</v>
      </c>
      <c r="I573" t="s">
        <v>10554</v>
      </c>
      <c r="J573" t="s">
        <v>10555</v>
      </c>
      <c r="K573" t="s">
        <v>74</v>
      </c>
      <c r="L573" t="s">
        <v>74</v>
      </c>
      <c r="M573" t="s">
        <v>78</v>
      </c>
      <c r="N573" t="s">
        <v>108</v>
      </c>
      <c r="O573" t="s">
        <v>74</v>
      </c>
      <c r="P573" t="s">
        <v>74</v>
      </c>
      <c r="Q573" t="s">
        <v>74</v>
      </c>
      <c r="R573" t="s">
        <v>74</v>
      </c>
      <c r="S573" t="s">
        <v>74</v>
      </c>
      <c r="T573" t="s">
        <v>74</v>
      </c>
      <c r="U573" t="s">
        <v>74</v>
      </c>
      <c r="V573" t="s">
        <v>74</v>
      </c>
      <c r="W573" t="s">
        <v>10556</v>
      </c>
      <c r="X573" t="s">
        <v>74</v>
      </c>
      <c r="Y573" t="s">
        <v>10557</v>
      </c>
      <c r="Z573" t="s">
        <v>74</v>
      </c>
      <c r="AA573" t="s">
        <v>74</v>
      </c>
      <c r="AB573" t="s">
        <v>74</v>
      </c>
      <c r="AC573" t="s">
        <v>74</v>
      </c>
      <c r="AD573" t="s">
        <v>74</v>
      </c>
      <c r="AE573" t="s">
        <v>74</v>
      </c>
      <c r="AF573" t="s">
        <v>74</v>
      </c>
      <c r="AG573">
        <v>0</v>
      </c>
      <c r="AH573">
        <v>2</v>
      </c>
      <c r="AI573">
        <v>2</v>
      </c>
      <c r="AJ573">
        <v>0</v>
      </c>
      <c r="AK573">
        <v>16</v>
      </c>
      <c r="AL573" t="s">
        <v>10558</v>
      </c>
      <c r="AM573" t="s">
        <v>666</v>
      </c>
      <c r="AN573" t="s">
        <v>10559</v>
      </c>
      <c r="AO573" t="s">
        <v>10560</v>
      </c>
      <c r="AP573" t="s">
        <v>74</v>
      </c>
      <c r="AQ573" t="s">
        <v>74</v>
      </c>
      <c r="AR573" t="s">
        <v>10561</v>
      </c>
      <c r="AS573" t="s">
        <v>10562</v>
      </c>
      <c r="AT573" t="s">
        <v>232</v>
      </c>
      <c r="AU573">
        <v>2021</v>
      </c>
      <c r="AV573">
        <v>95</v>
      </c>
      <c r="AW573">
        <v>1</v>
      </c>
      <c r="AX573" t="s">
        <v>74</v>
      </c>
      <c r="AY573" t="s">
        <v>74</v>
      </c>
      <c r="AZ573" t="s">
        <v>74</v>
      </c>
      <c r="BA573" t="s">
        <v>74</v>
      </c>
      <c r="BB573">
        <v>52</v>
      </c>
      <c r="BC573">
        <v>55</v>
      </c>
      <c r="BD573" t="s">
        <v>74</v>
      </c>
      <c r="BE573" t="s">
        <v>74</v>
      </c>
      <c r="BF573" t="s">
        <v>74</v>
      </c>
      <c r="BG573" t="s">
        <v>74</v>
      </c>
      <c r="BH573" t="s">
        <v>74</v>
      </c>
      <c r="BI573">
        <v>4</v>
      </c>
      <c r="BJ573" t="s">
        <v>2344</v>
      </c>
      <c r="BK573" t="s">
        <v>316</v>
      </c>
      <c r="BL573" t="s">
        <v>2344</v>
      </c>
      <c r="BM573" t="s">
        <v>10563</v>
      </c>
      <c r="BN573" t="s">
        <v>74</v>
      </c>
      <c r="BO573" t="s">
        <v>74</v>
      </c>
      <c r="BP573" t="s">
        <v>74</v>
      </c>
      <c r="BQ573" t="s">
        <v>74</v>
      </c>
      <c r="BR573" t="s">
        <v>102</v>
      </c>
      <c r="BS573" t="s">
        <v>10564</v>
      </c>
      <c r="BT573" t="str">
        <f>HYPERLINK("https%3A%2F%2Fwww.webofscience.com%2Fwos%2Fwoscc%2Ffull-record%2FWOS:000608592700009","View Full Record in Web of Science")</f>
        <v>View Full Record in Web of Science</v>
      </c>
    </row>
    <row r="574" spans="1:72" x14ac:dyDescent="0.35">
      <c r="A574" t="s">
        <v>72</v>
      </c>
      <c r="B574" t="s">
        <v>10565</v>
      </c>
      <c r="C574" t="s">
        <v>74</v>
      </c>
      <c r="D574" t="s">
        <v>74</v>
      </c>
      <c r="E574" t="s">
        <v>74</v>
      </c>
      <c r="F574" t="s">
        <v>10566</v>
      </c>
      <c r="G574" t="s">
        <v>74</v>
      </c>
      <c r="H574" t="s">
        <v>74</v>
      </c>
      <c r="I574" t="s">
        <v>10567</v>
      </c>
      <c r="J574" t="s">
        <v>10568</v>
      </c>
      <c r="K574" t="s">
        <v>74</v>
      </c>
      <c r="L574" t="s">
        <v>74</v>
      </c>
      <c r="M574" t="s">
        <v>78</v>
      </c>
      <c r="N574" t="s">
        <v>108</v>
      </c>
      <c r="O574" t="s">
        <v>74</v>
      </c>
      <c r="P574" t="s">
        <v>74</v>
      </c>
      <c r="Q574" t="s">
        <v>74</v>
      </c>
      <c r="R574" t="s">
        <v>74</v>
      </c>
      <c r="S574" t="s">
        <v>74</v>
      </c>
      <c r="T574" t="s">
        <v>10569</v>
      </c>
      <c r="U574" t="s">
        <v>10570</v>
      </c>
      <c r="V574" t="s">
        <v>10571</v>
      </c>
      <c r="W574" t="s">
        <v>10572</v>
      </c>
      <c r="X574" t="s">
        <v>10573</v>
      </c>
      <c r="Y574" t="s">
        <v>10574</v>
      </c>
      <c r="Z574" t="s">
        <v>10575</v>
      </c>
      <c r="AA574" t="s">
        <v>2356</v>
      </c>
      <c r="AB574" t="s">
        <v>10576</v>
      </c>
      <c r="AC574" t="s">
        <v>74</v>
      </c>
      <c r="AD574" t="s">
        <v>74</v>
      </c>
      <c r="AE574" t="s">
        <v>74</v>
      </c>
      <c r="AF574" t="s">
        <v>74</v>
      </c>
      <c r="AG574">
        <v>4</v>
      </c>
      <c r="AH574">
        <v>5</v>
      </c>
      <c r="AI574">
        <v>5</v>
      </c>
      <c r="AJ574">
        <v>0</v>
      </c>
      <c r="AK574">
        <v>7</v>
      </c>
      <c r="AL574" t="s">
        <v>1021</v>
      </c>
      <c r="AM574" t="s">
        <v>1022</v>
      </c>
      <c r="AN574" t="s">
        <v>1023</v>
      </c>
      <c r="AO574" t="s">
        <v>10577</v>
      </c>
      <c r="AP574" t="s">
        <v>10578</v>
      </c>
      <c r="AQ574" t="s">
        <v>74</v>
      </c>
      <c r="AR574" t="s">
        <v>10579</v>
      </c>
      <c r="AS574" t="s">
        <v>10580</v>
      </c>
      <c r="AT574" t="s">
        <v>455</v>
      </c>
      <c r="AU574">
        <v>2022</v>
      </c>
      <c r="AV574">
        <v>49</v>
      </c>
      <c r="AW574">
        <v>5</v>
      </c>
      <c r="AX574" t="s">
        <v>74</v>
      </c>
      <c r="AY574" t="s">
        <v>74</v>
      </c>
      <c r="AZ574" t="s">
        <v>74</v>
      </c>
      <c r="BA574" t="s">
        <v>74</v>
      </c>
      <c r="BB574">
        <v>614</v>
      </c>
      <c r="BC574">
        <v>616</v>
      </c>
      <c r="BD574" t="s">
        <v>74</v>
      </c>
      <c r="BE574" t="s">
        <v>10581</v>
      </c>
      <c r="BF574" t="str">
        <f>HYPERLINK("http://dx.doi.org/10.1055/s-0042-1756296","http://dx.doi.org/10.1055/s-0042-1756296")</f>
        <v>http://dx.doi.org/10.1055/s-0042-1756296</v>
      </c>
      <c r="BG574" t="s">
        <v>74</v>
      </c>
      <c r="BH574" t="s">
        <v>74</v>
      </c>
      <c r="BI574">
        <v>3</v>
      </c>
      <c r="BJ574" t="s">
        <v>4994</v>
      </c>
      <c r="BK574" t="s">
        <v>125</v>
      </c>
      <c r="BL574" t="s">
        <v>4994</v>
      </c>
      <c r="BM574" t="s">
        <v>10582</v>
      </c>
      <c r="BN574">
        <v>36159384</v>
      </c>
      <c r="BO574" t="s">
        <v>394</v>
      </c>
      <c r="BP574" t="s">
        <v>74</v>
      </c>
      <c r="BQ574" t="s">
        <v>74</v>
      </c>
      <c r="BR574" t="s">
        <v>102</v>
      </c>
      <c r="BS574" t="s">
        <v>10583</v>
      </c>
      <c r="BT574" t="str">
        <f>HYPERLINK("https%3A%2F%2Fwww.webofscience.com%2Fwos%2Fwoscc%2Ffull-record%2FWOS:000859659200010","View Full Record in Web of Science")</f>
        <v>View Full Record in Web of Science</v>
      </c>
    </row>
    <row r="575" spans="1:72" x14ac:dyDescent="0.35">
      <c r="A575" t="s">
        <v>72</v>
      </c>
      <c r="B575" t="s">
        <v>10584</v>
      </c>
      <c r="C575" t="s">
        <v>74</v>
      </c>
      <c r="D575" t="s">
        <v>74</v>
      </c>
      <c r="E575" t="s">
        <v>74</v>
      </c>
      <c r="F575" t="s">
        <v>10585</v>
      </c>
      <c r="G575" t="s">
        <v>74</v>
      </c>
      <c r="H575" t="s">
        <v>74</v>
      </c>
      <c r="I575" t="s">
        <v>10586</v>
      </c>
      <c r="J575" t="s">
        <v>10587</v>
      </c>
      <c r="K575" t="s">
        <v>74</v>
      </c>
      <c r="L575" t="s">
        <v>74</v>
      </c>
      <c r="M575" t="s">
        <v>78</v>
      </c>
      <c r="N575" t="s">
        <v>79</v>
      </c>
      <c r="O575" t="s">
        <v>74</v>
      </c>
      <c r="P575" t="s">
        <v>74</v>
      </c>
      <c r="Q575" t="s">
        <v>74</v>
      </c>
      <c r="R575" t="s">
        <v>74</v>
      </c>
      <c r="S575" t="s">
        <v>74</v>
      </c>
      <c r="T575" t="s">
        <v>74</v>
      </c>
      <c r="U575" t="s">
        <v>74</v>
      </c>
      <c r="V575" t="s">
        <v>74</v>
      </c>
      <c r="W575" t="s">
        <v>10588</v>
      </c>
      <c r="X575" t="s">
        <v>10589</v>
      </c>
      <c r="Y575" t="s">
        <v>10590</v>
      </c>
      <c r="Z575" t="s">
        <v>10591</v>
      </c>
      <c r="AA575" t="s">
        <v>74</v>
      </c>
      <c r="AB575" t="s">
        <v>74</v>
      </c>
      <c r="AC575" t="s">
        <v>74</v>
      </c>
      <c r="AD575" t="s">
        <v>74</v>
      </c>
      <c r="AE575" t="s">
        <v>74</v>
      </c>
      <c r="AF575" t="s">
        <v>74</v>
      </c>
      <c r="AG575">
        <v>10</v>
      </c>
      <c r="AH575">
        <v>0</v>
      </c>
      <c r="AI575">
        <v>0</v>
      </c>
      <c r="AJ575">
        <v>0</v>
      </c>
      <c r="AK575">
        <v>0</v>
      </c>
      <c r="AL575" t="s">
        <v>10592</v>
      </c>
      <c r="AM575" t="s">
        <v>10224</v>
      </c>
      <c r="AN575" t="s">
        <v>10593</v>
      </c>
      <c r="AO575" t="s">
        <v>10594</v>
      </c>
      <c r="AP575" t="s">
        <v>10595</v>
      </c>
      <c r="AQ575" t="s">
        <v>74</v>
      </c>
      <c r="AR575" t="s">
        <v>10596</v>
      </c>
      <c r="AS575" t="s">
        <v>10597</v>
      </c>
      <c r="AT575" t="s">
        <v>4090</v>
      </c>
      <c r="AU575">
        <v>2024</v>
      </c>
      <c r="AV575" t="s">
        <v>74</v>
      </c>
      <c r="AW575" t="s">
        <v>74</v>
      </c>
      <c r="AX575" t="s">
        <v>74</v>
      </c>
      <c r="AY575" t="s">
        <v>74</v>
      </c>
      <c r="AZ575" t="s">
        <v>74</v>
      </c>
      <c r="BA575" t="s">
        <v>74</v>
      </c>
      <c r="BB575" t="s">
        <v>74</v>
      </c>
      <c r="BC575" t="s">
        <v>74</v>
      </c>
      <c r="BD575" t="s">
        <v>74</v>
      </c>
      <c r="BE575" t="s">
        <v>10598</v>
      </c>
      <c r="BF575" t="str">
        <f>HYPERLINK("http://dx.doi.org/10.1001/jamapsychiatry.2024.3522","http://dx.doi.org/10.1001/jamapsychiatry.2024.3522")</f>
        <v>http://dx.doi.org/10.1001/jamapsychiatry.2024.3522</v>
      </c>
      <c r="BG575" t="s">
        <v>74</v>
      </c>
      <c r="BH575" t="s">
        <v>4092</v>
      </c>
      <c r="BI575">
        <v>2</v>
      </c>
      <c r="BJ575" t="s">
        <v>1847</v>
      </c>
      <c r="BK575" t="s">
        <v>182</v>
      </c>
      <c r="BL575" t="s">
        <v>1847</v>
      </c>
      <c r="BM575" t="s">
        <v>10599</v>
      </c>
      <c r="BN575">
        <v>39503998</v>
      </c>
      <c r="BO575" t="s">
        <v>74</v>
      </c>
      <c r="BP575" t="s">
        <v>74</v>
      </c>
      <c r="BQ575" t="s">
        <v>74</v>
      </c>
      <c r="BR575" t="s">
        <v>102</v>
      </c>
      <c r="BS575" t="s">
        <v>10600</v>
      </c>
      <c r="BT575" t="str">
        <f>HYPERLINK("https%3A%2F%2Fwww.webofscience.com%2Fwos%2Fwoscc%2Ffull-record%2FWOS:001350990100003","View Full Record in Web of Science")</f>
        <v>View Full Record in Web of Science</v>
      </c>
    </row>
    <row r="576" spans="1:72" x14ac:dyDescent="0.35">
      <c r="A576" t="s">
        <v>72</v>
      </c>
      <c r="B576" t="s">
        <v>10601</v>
      </c>
      <c r="C576" t="s">
        <v>74</v>
      </c>
      <c r="D576" t="s">
        <v>74</v>
      </c>
      <c r="E576" t="s">
        <v>74</v>
      </c>
      <c r="F576" t="s">
        <v>10602</v>
      </c>
      <c r="G576" t="s">
        <v>74</v>
      </c>
      <c r="H576" t="s">
        <v>74</v>
      </c>
      <c r="I576" t="s">
        <v>10603</v>
      </c>
      <c r="J576" t="s">
        <v>10404</v>
      </c>
      <c r="K576" t="s">
        <v>74</v>
      </c>
      <c r="L576" t="s">
        <v>74</v>
      </c>
      <c r="M576" t="s">
        <v>78</v>
      </c>
      <c r="N576" t="s">
        <v>52</v>
      </c>
      <c r="O576" t="s">
        <v>10405</v>
      </c>
      <c r="P576" t="s">
        <v>10406</v>
      </c>
      <c r="Q576" t="s">
        <v>10407</v>
      </c>
      <c r="R576" t="s">
        <v>10408</v>
      </c>
      <c r="S576" t="s">
        <v>74</v>
      </c>
      <c r="T576" t="s">
        <v>74</v>
      </c>
      <c r="U576" t="s">
        <v>74</v>
      </c>
      <c r="V576" t="s">
        <v>74</v>
      </c>
      <c r="W576" t="s">
        <v>10604</v>
      </c>
      <c r="X576" t="s">
        <v>10605</v>
      </c>
      <c r="Y576" t="s">
        <v>74</v>
      </c>
      <c r="Z576" t="s">
        <v>74</v>
      </c>
      <c r="AA576" t="s">
        <v>74</v>
      </c>
      <c r="AB576" t="s">
        <v>74</v>
      </c>
      <c r="AC576" t="s">
        <v>74</v>
      </c>
      <c r="AD576" t="s">
        <v>74</v>
      </c>
      <c r="AE576" t="s">
        <v>74</v>
      </c>
      <c r="AF576" t="s">
        <v>74</v>
      </c>
      <c r="AG576">
        <v>0</v>
      </c>
      <c r="AH576">
        <v>0</v>
      </c>
      <c r="AI576">
        <v>0</v>
      </c>
      <c r="AJ576">
        <v>0</v>
      </c>
      <c r="AK576">
        <v>0</v>
      </c>
      <c r="AL576" t="s">
        <v>1901</v>
      </c>
      <c r="AM576" t="s">
        <v>995</v>
      </c>
      <c r="AN576" t="s">
        <v>1902</v>
      </c>
      <c r="AO576" t="s">
        <v>10411</v>
      </c>
      <c r="AP576" t="s">
        <v>74</v>
      </c>
      <c r="AQ576" t="s">
        <v>74</v>
      </c>
      <c r="AR576" t="s">
        <v>10412</v>
      </c>
      <c r="AS576" t="s">
        <v>10413</v>
      </c>
      <c r="AT576" t="s">
        <v>745</v>
      </c>
      <c r="AU576">
        <v>2024</v>
      </c>
      <c r="AV576">
        <v>143</v>
      </c>
      <c r="AW576" t="s">
        <v>10414</v>
      </c>
      <c r="AX576" t="s">
        <v>74</v>
      </c>
      <c r="AY576">
        <v>5</v>
      </c>
      <c r="AZ576" t="s">
        <v>74</v>
      </c>
      <c r="BA576">
        <v>2683630</v>
      </c>
      <c r="BB576" t="s">
        <v>10606</v>
      </c>
      <c r="BC576" t="s">
        <v>10606</v>
      </c>
      <c r="BD576" t="s">
        <v>74</v>
      </c>
      <c r="BE576" t="s">
        <v>10607</v>
      </c>
      <c r="BF576" t="str">
        <f>HYPERLINK("http://dx.doi.org/10.1097/01.AOG.0001013088.85668.66","http://dx.doi.org/10.1097/01.AOG.0001013088.85668.66")</f>
        <v>http://dx.doi.org/10.1097/01.AOG.0001013088.85668.66</v>
      </c>
      <c r="BG576" t="s">
        <v>74</v>
      </c>
      <c r="BH576" t="s">
        <v>74</v>
      </c>
      <c r="BI576">
        <v>1</v>
      </c>
      <c r="BJ576" t="s">
        <v>1971</v>
      </c>
      <c r="BK576" t="s">
        <v>2257</v>
      </c>
      <c r="BL576" t="s">
        <v>1971</v>
      </c>
      <c r="BM576" t="s">
        <v>10417</v>
      </c>
      <c r="BN576" t="s">
        <v>74</v>
      </c>
      <c r="BO576" t="s">
        <v>767</v>
      </c>
      <c r="BP576" t="s">
        <v>74</v>
      </c>
      <c r="BQ576" t="s">
        <v>74</v>
      </c>
      <c r="BR576" t="s">
        <v>102</v>
      </c>
      <c r="BS576" t="s">
        <v>10608</v>
      </c>
      <c r="BT576" t="str">
        <f>HYPERLINK("https%3A%2F%2Fwww.webofscience.com%2Fwos%2Fwoscc%2Ffull-record%2FWOS:001258908200030","View Full Record in Web of Science")</f>
        <v>View Full Record in Web of Science</v>
      </c>
    </row>
    <row r="577" spans="1:72" x14ac:dyDescent="0.35">
      <c r="A577" t="s">
        <v>72</v>
      </c>
      <c r="B577" t="s">
        <v>10609</v>
      </c>
      <c r="C577" t="s">
        <v>74</v>
      </c>
      <c r="D577" t="s">
        <v>74</v>
      </c>
      <c r="E577" t="s">
        <v>74</v>
      </c>
      <c r="F577" t="s">
        <v>10610</v>
      </c>
      <c r="G577" t="s">
        <v>74</v>
      </c>
      <c r="H577" t="s">
        <v>74</v>
      </c>
      <c r="I577" t="s">
        <v>10611</v>
      </c>
      <c r="J577" t="s">
        <v>10612</v>
      </c>
      <c r="K577" t="s">
        <v>74</v>
      </c>
      <c r="L577" t="s">
        <v>74</v>
      </c>
      <c r="M577" t="s">
        <v>78</v>
      </c>
      <c r="N577" t="s">
        <v>2042</v>
      </c>
      <c r="O577" t="s">
        <v>74</v>
      </c>
      <c r="P577" t="s">
        <v>74</v>
      </c>
      <c r="Q577" t="s">
        <v>74</v>
      </c>
      <c r="R577" t="s">
        <v>74</v>
      </c>
      <c r="S577" t="s">
        <v>74</v>
      </c>
      <c r="T577" t="s">
        <v>74</v>
      </c>
      <c r="U577" t="s">
        <v>74</v>
      </c>
      <c r="V577" t="s">
        <v>74</v>
      </c>
      <c r="W577" t="s">
        <v>10613</v>
      </c>
      <c r="X577" t="s">
        <v>10614</v>
      </c>
      <c r="Y577" t="s">
        <v>10615</v>
      </c>
      <c r="Z577" t="s">
        <v>10616</v>
      </c>
      <c r="AA577" t="s">
        <v>74</v>
      </c>
      <c r="AB577" t="s">
        <v>10617</v>
      </c>
      <c r="AC577" t="s">
        <v>10618</v>
      </c>
      <c r="AD577" t="s">
        <v>10619</v>
      </c>
      <c r="AE577" t="s">
        <v>74</v>
      </c>
      <c r="AF577" t="s">
        <v>74</v>
      </c>
      <c r="AG577">
        <v>5</v>
      </c>
      <c r="AH577">
        <v>7</v>
      </c>
      <c r="AI577">
        <v>8</v>
      </c>
      <c r="AJ577">
        <v>0</v>
      </c>
      <c r="AK577">
        <v>0</v>
      </c>
      <c r="AL577" t="s">
        <v>1901</v>
      </c>
      <c r="AM577" t="s">
        <v>995</v>
      </c>
      <c r="AN577" t="s">
        <v>1902</v>
      </c>
      <c r="AO577" t="s">
        <v>10620</v>
      </c>
      <c r="AP577" t="s">
        <v>74</v>
      </c>
      <c r="AQ577" t="s">
        <v>74</v>
      </c>
      <c r="AR577" t="s">
        <v>10621</v>
      </c>
      <c r="AS577" t="s">
        <v>10622</v>
      </c>
      <c r="AT577" t="s">
        <v>455</v>
      </c>
      <c r="AU577">
        <v>2022</v>
      </c>
      <c r="AV577">
        <v>10</v>
      </c>
      <c r="AW577">
        <v>9</v>
      </c>
      <c r="AX577" t="s">
        <v>74</v>
      </c>
      <c r="AY577" t="s">
        <v>74</v>
      </c>
      <c r="AZ577" t="s">
        <v>74</v>
      </c>
      <c r="BA577" t="s">
        <v>74</v>
      </c>
      <c r="BB577" t="s">
        <v>74</v>
      </c>
      <c r="BC577" t="s">
        <v>74</v>
      </c>
      <c r="BD577" t="s">
        <v>10623</v>
      </c>
      <c r="BE577" t="s">
        <v>10624</v>
      </c>
      <c r="BF577" t="str">
        <f>HYPERLINK("http://dx.doi.org/10.1097/GOX.0000000000004519","http://dx.doi.org/10.1097/GOX.0000000000004519")</f>
        <v>http://dx.doi.org/10.1097/GOX.0000000000004519</v>
      </c>
      <c r="BG577" t="s">
        <v>74</v>
      </c>
      <c r="BH577" t="s">
        <v>74</v>
      </c>
      <c r="BI577">
        <v>2</v>
      </c>
      <c r="BJ577" t="s">
        <v>4994</v>
      </c>
      <c r="BK577" t="s">
        <v>125</v>
      </c>
      <c r="BL577" t="s">
        <v>4994</v>
      </c>
      <c r="BM577" t="s">
        <v>10625</v>
      </c>
      <c r="BN577">
        <v>36168605</v>
      </c>
      <c r="BO577" t="s">
        <v>394</v>
      </c>
      <c r="BP577" t="s">
        <v>74</v>
      </c>
      <c r="BQ577" t="s">
        <v>74</v>
      </c>
      <c r="BR577" t="s">
        <v>102</v>
      </c>
      <c r="BS577" t="s">
        <v>10626</v>
      </c>
      <c r="BT577" t="str">
        <f>HYPERLINK("https%3A%2F%2Fwww.webofscience.com%2Fwos%2Fwoscc%2Ffull-record%2FWOS:000855495800002","View Full Record in Web of Science")</f>
        <v>View Full Record in Web of Science</v>
      </c>
    </row>
    <row r="578" spans="1:72" x14ac:dyDescent="0.35">
      <c r="A578" t="s">
        <v>72</v>
      </c>
      <c r="B578" t="s">
        <v>10627</v>
      </c>
      <c r="C578" t="s">
        <v>74</v>
      </c>
      <c r="D578" t="s">
        <v>74</v>
      </c>
      <c r="E578" t="s">
        <v>74</v>
      </c>
      <c r="F578" t="s">
        <v>10628</v>
      </c>
      <c r="G578" t="s">
        <v>74</v>
      </c>
      <c r="H578" t="s">
        <v>74</v>
      </c>
      <c r="I578" t="s">
        <v>10629</v>
      </c>
      <c r="J578" t="s">
        <v>10630</v>
      </c>
      <c r="K578" t="s">
        <v>74</v>
      </c>
      <c r="L578" t="s">
        <v>74</v>
      </c>
      <c r="M578" t="s">
        <v>78</v>
      </c>
      <c r="N578" t="s">
        <v>108</v>
      </c>
      <c r="O578" t="s">
        <v>74</v>
      </c>
      <c r="P578" t="s">
        <v>74</v>
      </c>
      <c r="Q578" t="s">
        <v>74</v>
      </c>
      <c r="R578" t="s">
        <v>74</v>
      </c>
      <c r="S578" t="s">
        <v>74</v>
      </c>
      <c r="T578" t="s">
        <v>10631</v>
      </c>
      <c r="U578" t="s">
        <v>10632</v>
      </c>
      <c r="V578" t="s">
        <v>10633</v>
      </c>
      <c r="W578" t="s">
        <v>10634</v>
      </c>
      <c r="X578" t="s">
        <v>10635</v>
      </c>
      <c r="Y578" t="s">
        <v>10636</v>
      </c>
      <c r="Z578" t="s">
        <v>10637</v>
      </c>
      <c r="AA578" t="s">
        <v>74</v>
      </c>
      <c r="AB578" t="s">
        <v>10638</v>
      </c>
      <c r="AC578" t="s">
        <v>74</v>
      </c>
      <c r="AD578" t="s">
        <v>74</v>
      </c>
      <c r="AE578" t="s">
        <v>74</v>
      </c>
      <c r="AF578" t="s">
        <v>74</v>
      </c>
      <c r="AG578">
        <v>20</v>
      </c>
      <c r="AH578">
        <v>0</v>
      </c>
      <c r="AI578">
        <v>0</v>
      </c>
      <c r="AJ578">
        <v>2</v>
      </c>
      <c r="AK578">
        <v>2</v>
      </c>
      <c r="AL578" t="s">
        <v>665</v>
      </c>
      <c r="AM578" t="s">
        <v>666</v>
      </c>
      <c r="AN578" t="s">
        <v>667</v>
      </c>
      <c r="AO578" t="s">
        <v>10639</v>
      </c>
      <c r="AP578" t="s">
        <v>10640</v>
      </c>
      <c r="AQ578" t="s">
        <v>74</v>
      </c>
      <c r="AR578" t="s">
        <v>10641</v>
      </c>
      <c r="AS578" t="s">
        <v>10642</v>
      </c>
      <c r="AT578" t="s">
        <v>1275</v>
      </c>
      <c r="AU578">
        <v>2024</v>
      </c>
      <c r="AV578">
        <v>39</v>
      </c>
      <c r="AW578">
        <v>12</v>
      </c>
      <c r="AX578" t="s">
        <v>74</v>
      </c>
      <c r="AY578" t="s">
        <v>74</v>
      </c>
      <c r="AZ578" t="s">
        <v>74</v>
      </c>
      <c r="BA578" t="s">
        <v>74</v>
      </c>
      <c r="BB578">
        <v>3505</v>
      </c>
      <c r="BC578">
        <v>3511</v>
      </c>
      <c r="BD578" t="s">
        <v>74</v>
      </c>
      <c r="BE578" t="s">
        <v>10643</v>
      </c>
      <c r="BF578" t="str">
        <f>HYPERLINK("http://dx.doi.org/10.1007/s00467-024-06462-x","http://dx.doi.org/10.1007/s00467-024-06462-x")</f>
        <v>http://dx.doi.org/10.1007/s00467-024-06462-x</v>
      </c>
      <c r="BG578" t="s">
        <v>74</v>
      </c>
      <c r="BH578" t="s">
        <v>478</v>
      </c>
      <c r="BI578">
        <v>7</v>
      </c>
      <c r="BJ578" t="s">
        <v>5215</v>
      </c>
      <c r="BK578" t="s">
        <v>209</v>
      </c>
      <c r="BL578" t="s">
        <v>5215</v>
      </c>
      <c r="BM578" t="s">
        <v>10644</v>
      </c>
      <c r="BN578">
        <v>39078507</v>
      </c>
      <c r="BO578" t="s">
        <v>74</v>
      </c>
      <c r="BP578" t="s">
        <v>74</v>
      </c>
      <c r="BQ578" t="s">
        <v>74</v>
      </c>
      <c r="BR578" t="s">
        <v>102</v>
      </c>
      <c r="BS578" t="s">
        <v>10645</v>
      </c>
      <c r="BT578" t="str">
        <f>HYPERLINK("https%3A%2F%2Fwww.webofscience.com%2Fwos%2Fwoscc%2Ffull-record%2FWOS:001280820500001","View Full Record in Web of Science")</f>
        <v>View Full Record in Web of Science</v>
      </c>
    </row>
    <row r="579" spans="1:72" x14ac:dyDescent="0.35">
      <c r="A579" t="s">
        <v>128</v>
      </c>
      <c r="B579" t="s">
        <v>10646</v>
      </c>
      <c r="C579" t="s">
        <v>74</v>
      </c>
      <c r="D579" t="s">
        <v>10647</v>
      </c>
      <c r="E579" t="s">
        <v>74</v>
      </c>
      <c r="F579" t="s">
        <v>10648</v>
      </c>
      <c r="G579" t="s">
        <v>74</v>
      </c>
      <c r="H579" t="s">
        <v>74</v>
      </c>
      <c r="I579" t="s">
        <v>10649</v>
      </c>
      <c r="J579" t="s">
        <v>10650</v>
      </c>
      <c r="K579" t="s">
        <v>10651</v>
      </c>
      <c r="L579" t="s">
        <v>74</v>
      </c>
      <c r="M579" t="s">
        <v>78</v>
      </c>
      <c r="N579" t="s">
        <v>135</v>
      </c>
      <c r="O579" t="s">
        <v>10652</v>
      </c>
      <c r="P579" t="s">
        <v>10653</v>
      </c>
      <c r="Q579" t="s">
        <v>10654</v>
      </c>
      <c r="R579" t="s">
        <v>74</v>
      </c>
      <c r="S579" t="s">
        <v>10655</v>
      </c>
      <c r="T579" t="s">
        <v>10656</v>
      </c>
      <c r="U579" t="s">
        <v>218</v>
      </c>
      <c r="V579" t="s">
        <v>10657</v>
      </c>
      <c r="W579" t="s">
        <v>10658</v>
      </c>
      <c r="X579" t="s">
        <v>10659</v>
      </c>
      <c r="Y579" t="s">
        <v>10660</v>
      </c>
      <c r="Z579" t="s">
        <v>10661</v>
      </c>
      <c r="AA579" t="s">
        <v>10662</v>
      </c>
      <c r="AB579" t="s">
        <v>7338</v>
      </c>
      <c r="AC579" t="s">
        <v>10663</v>
      </c>
      <c r="AD579" t="s">
        <v>10664</v>
      </c>
      <c r="AE579" t="s">
        <v>10665</v>
      </c>
      <c r="AF579" t="s">
        <v>74</v>
      </c>
      <c r="AG579">
        <v>28</v>
      </c>
      <c r="AH579">
        <v>0</v>
      </c>
      <c r="AI579">
        <v>0</v>
      </c>
      <c r="AJ579">
        <v>3</v>
      </c>
      <c r="AK579">
        <v>3</v>
      </c>
      <c r="AL579" t="s">
        <v>639</v>
      </c>
      <c r="AM579" t="s">
        <v>640</v>
      </c>
      <c r="AN579" t="s">
        <v>641</v>
      </c>
      <c r="AO579" t="s">
        <v>10666</v>
      </c>
      <c r="AP579" t="s">
        <v>10667</v>
      </c>
      <c r="AQ579" t="s">
        <v>10668</v>
      </c>
      <c r="AR579" t="s">
        <v>10669</v>
      </c>
      <c r="AS579" t="s">
        <v>74</v>
      </c>
      <c r="AT579" t="s">
        <v>74</v>
      </c>
      <c r="AU579">
        <v>2024</v>
      </c>
      <c r="AV579">
        <v>990</v>
      </c>
      <c r="AW579" t="s">
        <v>74</v>
      </c>
      <c r="AX579" t="s">
        <v>74</v>
      </c>
      <c r="AY579" t="s">
        <v>74</v>
      </c>
      <c r="AZ579" t="s">
        <v>74</v>
      </c>
      <c r="BA579" t="s">
        <v>74</v>
      </c>
      <c r="BB579">
        <v>117</v>
      </c>
      <c r="BC579">
        <v>126</v>
      </c>
      <c r="BD579" t="s">
        <v>74</v>
      </c>
      <c r="BE579" t="s">
        <v>10670</v>
      </c>
      <c r="BF579" t="str">
        <f>HYPERLINK("http://dx.doi.org/10.1007/978-3-031-60328-0_12","http://dx.doi.org/10.1007/978-3-031-60328-0_12")</f>
        <v>http://dx.doi.org/10.1007/978-3-031-60328-0_12</v>
      </c>
      <c r="BG579" t="s">
        <v>74</v>
      </c>
      <c r="BH579" t="s">
        <v>74</v>
      </c>
      <c r="BI579">
        <v>10</v>
      </c>
      <c r="BJ579" t="s">
        <v>10671</v>
      </c>
      <c r="BK579" t="s">
        <v>723</v>
      </c>
      <c r="BL579" t="s">
        <v>1699</v>
      </c>
      <c r="BM579" t="s">
        <v>10672</v>
      </c>
      <c r="BN579" t="s">
        <v>74</v>
      </c>
      <c r="BO579" t="s">
        <v>74</v>
      </c>
      <c r="BP579" t="s">
        <v>74</v>
      </c>
      <c r="BQ579" t="s">
        <v>74</v>
      </c>
      <c r="BR579" t="s">
        <v>102</v>
      </c>
      <c r="BS579" t="s">
        <v>10673</v>
      </c>
      <c r="BT579" t="str">
        <f>HYPERLINK("https%3A%2F%2Fwww.webofscience.com%2Fwos%2Fwoscc%2Ffull-record%2FWOS:001267244400012","View Full Record in Web of Science")</f>
        <v>View Full Record in Web of Science</v>
      </c>
    </row>
    <row r="580" spans="1:72" x14ac:dyDescent="0.35">
      <c r="A580" t="s">
        <v>72</v>
      </c>
      <c r="B580" t="s">
        <v>10674</v>
      </c>
      <c r="C580" t="s">
        <v>74</v>
      </c>
      <c r="D580" t="s">
        <v>74</v>
      </c>
      <c r="E580" t="s">
        <v>74</v>
      </c>
      <c r="F580" t="s">
        <v>10675</v>
      </c>
      <c r="G580" t="s">
        <v>74</v>
      </c>
      <c r="H580" t="s">
        <v>74</v>
      </c>
      <c r="I580" t="s">
        <v>10676</v>
      </c>
      <c r="J580" t="s">
        <v>10677</v>
      </c>
      <c r="K580" t="s">
        <v>74</v>
      </c>
      <c r="L580" t="s">
        <v>74</v>
      </c>
      <c r="M580" t="s">
        <v>78</v>
      </c>
      <c r="N580" t="s">
        <v>9221</v>
      </c>
      <c r="O580" t="s">
        <v>74</v>
      </c>
      <c r="P580" t="s">
        <v>74</v>
      </c>
      <c r="Q580" t="s">
        <v>74</v>
      </c>
      <c r="R580" t="s">
        <v>74</v>
      </c>
      <c r="S580" t="s">
        <v>74</v>
      </c>
      <c r="T580" t="s">
        <v>74</v>
      </c>
      <c r="U580" t="s">
        <v>74</v>
      </c>
      <c r="V580" t="s">
        <v>74</v>
      </c>
      <c r="W580" t="s">
        <v>10678</v>
      </c>
      <c r="X580" t="s">
        <v>10679</v>
      </c>
      <c r="Y580" t="s">
        <v>10680</v>
      </c>
      <c r="Z580" t="s">
        <v>10681</v>
      </c>
      <c r="AA580" t="s">
        <v>10682</v>
      </c>
      <c r="AB580" t="s">
        <v>10683</v>
      </c>
      <c r="AC580" t="s">
        <v>74</v>
      </c>
      <c r="AD580" t="s">
        <v>74</v>
      </c>
      <c r="AE580" t="s">
        <v>74</v>
      </c>
      <c r="AF580" t="s">
        <v>74</v>
      </c>
      <c r="AG580">
        <v>0</v>
      </c>
      <c r="AH580">
        <v>1</v>
      </c>
      <c r="AI580">
        <v>1</v>
      </c>
      <c r="AJ580">
        <v>1</v>
      </c>
      <c r="AK580">
        <v>1</v>
      </c>
      <c r="AL580" t="s">
        <v>1061</v>
      </c>
      <c r="AM580" t="s">
        <v>1062</v>
      </c>
      <c r="AN580" t="s">
        <v>1063</v>
      </c>
      <c r="AO580" t="s">
        <v>10684</v>
      </c>
      <c r="AP580" t="s">
        <v>10685</v>
      </c>
      <c r="AQ580" t="s">
        <v>74</v>
      </c>
      <c r="AR580" t="s">
        <v>10677</v>
      </c>
      <c r="AS580" t="s">
        <v>10686</v>
      </c>
      <c r="AT580" t="s">
        <v>273</v>
      </c>
      <c r="AU580">
        <v>2023</v>
      </c>
      <c r="AV580">
        <v>57</v>
      </c>
      <c r="AW580">
        <v>4</v>
      </c>
      <c r="AX580" t="s">
        <v>74</v>
      </c>
      <c r="AY580" t="s">
        <v>74</v>
      </c>
      <c r="AZ580" t="s">
        <v>74</v>
      </c>
      <c r="BA580" t="s">
        <v>74</v>
      </c>
      <c r="BB580">
        <v>420</v>
      </c>
      <c r="BC580">
        <v>421</v>
      </c>
      <c r="BD580" t="s">
        <v>74</v>
      </c>
      <c r="BE580" t="s">
        <v>10687</v>
      </c>
      <c r="BF580" t="str">
        <f>HYPERLINK("http://dx.doi.org/10.1017/S0030605323000510","http://dx.doi.org/10.1017/S0030605323000510")</f>
        <v>http://dx.doi.org/10.1017/S0030605323000510</v>
      </c>
      <c r="BG580" t="s">
        <v>74</v>
      </c>
      <c r="BH580" t="s">
        <v>74</v>
      </c>
      <c r="BI580">
        <v>2</v>
      </c>
      <c r="BJ580" t="s">
        <v>10688</v>
      </c>
      <c r="BK580" t="s">
        <v>209</v>
      </c>
      <c r="BL580" t="s">
        <v>10689</v>
      </c>
      <c r="BM580" t="s">
        <v>10690</v>
      </c>
      <c r="BN580" t="s">
        <v>74</v>
      </c>
      <c r="BO580" t="s">
        <v>235</v>
      </c>
      <c r="BP580" t="s">
        <v>74</v>
      </c>
      <c r="BQ580" t="s">
        <v>74</v>
      </c>
      <c r="BR580" t="s">
        <v>102</v>
      </c>
      <c r="BS580" t="s">
        <v>10691</v>
      </c>
      <c r="BT580" t="str">
        <f>HYPERLINK("https%3A%2F%2Fwww.webofscience.com%2Fwos%2Fwoscc%2Ffull-record%2FWOS:001093462900010","View Full Record in Web of Science")</f>
        <v>View Full Record in Web of Science</v>
      </c>
    </row>
    <row r="581" spans="1:72" x14ac:dyDescent="0.35">
      <c r="A581" t="s">
        <v>72</v>
      </c>
      <c r="B581" t="s">
        <v>10692</v>
      </c>
      <c r="C581" t="s">
        <v>74</v>
      </c>
      <c r="D581" t="s">
        <v>74</v>
      </c>
      <c r="E581" t="s">
        <v>74</v>
      </c>
      <c r="F581" t="s">
        <v>10693</v>
      </c>
      <c r="G581" t="s">
        <v>74</v>
      </c>
      <c r="H581" t="s">
        <v>74</v>
      </c>
      <c r="I581" t="s">
        <v>10694</v>
      </c>
      <c r="J581" t="s">
        <v>10695</v>
      </c>
      <c r="K581" t="s">
        <v>74</v>
      </c>
      <c r="L581" t="s">
        <v>74</v>
      </c>
      <c r="M581" t="s">
        <v>78</v>
      </c>
      <c r="N581" t="s">
        <v>108</v>
      </c>
      <c r="O581" t="s">
        <v>74</v>
      </c>
      <c r="P581" t="s">
        <v>74</v>
      </c>
      <c r="Q581" t="s">
        <v>74</v>
      </c>
      <c r="R581" t="s">
        <v>74</v>
      </c>
      <c r="S581" t="s">
        <v>74</v>
      </c>
      <c r="T581" t="s">
        <v>74</v>
      </c>
      <c r="U581" t="s">
        <v>4975</v>
      </c>
      <c r="V581" t="s">
        <v>74</v>
      </c>
      <c r="W581" t="s">
        <v>10696</v>
      </c>
      <c r="X581" t="s">
        <v>10697</v>
      </c>
      <c r="Y581" t="s">
        <v>10698</v>
      </c>
      <c r="Z581" t="s">
        <v>10699</v>
      </c>
      <c r="AA581" t="s">
        <v>10700</v>
      </c>
      <c r="AB581" t="s">
        <v>10701</v>
      </c>
      <c r="AC581" t="s">
        <v>74</v>
      </c>
      <c r="AD581" t="s">
        <v>74</v>
      </c>
      <c r="AE581" t="s">
        <v>74</v>
      </c>
      <c r="AF581" t="s">
        <v>74</v>
      </c>
      <c r="AG581">
        <v>9</v>
      </c>
      <c r="AH581">
        <v>2</v>
      </c>
      <c r="AI581">
        <v>3</v>
      </c>
      <c r="AJ581">
        <v>1</v>
      </c>
      <c r="AK581">
        <v>1</v>
      </c>
      <c r="AL581" t="s">
        <v>357</v>
      </c>
      <c r="AM581" t="s">
        <v>358</v>
      </c>
      <c r="AN581" t="s">
        <v>359</v>
      </c>
      <c r="AO581" t="s">
        <v>10702</v>
      </c>
      <c r="AP581" t="s">
        <v>10703</v>
      </c>
      <c r="AQ581" t="s">
        <v>74</v>
      </c>
      <c r="AR581" t="s">
        <v>10704</v>
      </c>
      <c r="AS581" t="s">
        <v>10705</v>
      </c>
      <c r="AT581" t="s">
        <v>10706</v>
      </c>
      <c r="AU581">
        <v>2024</v>
      </c>
      <c r="AV581">
        <v>33</v>
      </c>
      <c r="AW581">
        <v>5</v>
      </c>
      <c r="AX581" t="s">
        <v>74</v>
      </c>
      <c r="AY581" t="s">
        <v>74</v>
      </c>
      <c r="AZ581" t="s">
        <v>74</v>
      </c>
      <c r="BA581" t="s">
        <v>74</v>
      </c>
      <c r="BB581">
        <v>563</v>
      </c>
      <c r="BC581">
        <v>564</v>
      </c>
      <c r="BD581" t="s">
        <v>74</v>
      </c>
      <c r="BE581" t="s">
        <v>10707</v>
      </c>
      <c r="BF581" t="str">
        <f>HYPERLINK("http://dx.doi.org/10.1089/jwh.2023.1152","http://dx.doi.org/10.1089/jwh.2023.1152")</f>
        <v>http://dx.doi.org/10.1089/jwh.2023.1152</v>
      </c>
      <c r="BG581" t="s">
        <v>74</v>
      </c>
      <c r="BH581" t="s">
        <v>786</v>
      </c>
      <c r="BI581">
        <v>2</v>
      </c>
      <c r="BJ581" t="s">
        <v>10708</v>
      </c>
      <c r="BK581" t="s">
        <v>182</v>
      </c>
      <c r="BL581" t="s">
        <v>10709</v>
      </c>
      <c r="BM581" t="s">
        <v>10710</v>
      </c>
      <c r="BN581">
        <v>38386797</v>
      </c>
      <c r="BO581" t="s">
        <v>74</v>
      </c>
      <c r="BP581" t="s">
        <v>74</v>
      </c>
      <c r="BQ581" t="s">
        <v>74</v>
      </c>
      <c r="BR581" t="s">
        <v>102</v>
      </c>
      <c r="BS581" t="s">
        <v>10711</v>
      </c>
      <c r="BT581" t="str">
        <f>HYPERLINK("https%3A%2F%2Fwww.webofscience.com%2Fwos%2Fwoscc%2Ffull-record%2FWOS:001173873500003","View Full Record in Web of Science")</f>
        <v>View Full Record in Web of Science</v>
      </c>
    </row>
    <row r="582" spans="1:72" x14ac:dyDescent="0.35">
      <c r="A582" t="s">
        <v>72</v>
      </c>
      <c r="B582" t="s">
        <v>10712</v>
      </c>
      <c r="C582" t="s">
        <v>74</v>
      </c>
      <c r="D582" t="s">
        <v>74</v>
      </c>
      <c r="E582" t="s">
        <v>74</v>
      </c>
      <c r="F582" t="s">
        <v>10713</v>
      </c>
      <c r="G582" t="s">
        <v>74</v>
      </c>
      <c r="H582" t="s">
        <v>74</v>
      </c>
      <c r="I582" t="s">
        <v>10714</v>
      </c>
      <c r="J582" t="s">
        <v>10715</v>
      </c>
      <c r="K582" t="s">
        <v>74</v>
      </c>
      <c r="L582" t="s">
        <v>74</v>
      </c>
      <c r="M582" t="s">
        <v>78</v>
      </c>
      <c r="N582" t="s">
        <v>108</v>
      </c>
      <c r="O582" t="s">
        <v>74</v>
      </c>
      <c r="P582" t="s">
        <v>74</v>
      </c>
      <c r="Q582" t="s">
        <v>74</v>
      </c>
      <c r="R582" t="s">
        <v>74</v>
      </c>
      <c r="S582" t="s">
        <v>74</v>
      </c>
      <c r="T582" t="s">
        <v>74</v>
      </c>
      <c r="U582" t="s">
        <v>10716</v>
      </c>
      <c r="V582" t="s">
        <v>74</v>
      </c>
      <c r="W582" t="s">
        <v>10717</v>
      </c>
      <c r="X582" t="s">
        <v>10718</v>
      </c>
      <c r="Y582" t="s">
        <v>10719</v>
      </c>
      <c r="Z582" t="s">
        <v>10720</v>
      </c>
      <c r="AA582" t="s">
        <v>10721</v>
      </c>
      <c r="AB582" t="s">
        <v>10722</v>
      </c>
      <c r="AC582" t="s">
        <v>74</v>
      </c>
      <c r="AD582" t="s">
        <v>74</v>
      </c>
      <c r="AE582" t="s">
        <v>74</v>
      </c>
      <c r="AF582" t="s">
        <v>74</v>
      </c>
      <c r="AG582">
        <v>25</v>
      </c>
      <c r="AH582">
        <v>98</v>
      </c>
      <c r="AI582">
        <v>102</v>
      </c>
      <c r="AJ582">
        <v>2</v>
      </c>
      <c r="AK582">
        <v>34</v>
      </c>
      <c r="AL582" t="s">
        <v>251</v>
      </c>
      <c r="AM582" t="s">
        <v>252</v>
      </c>
      <c r="AN582" t="s">
        <v>253</v>
      </c>
      <c r="AO582" t="s">
        <v>74</v>
      </c>
      <c r="AP582" t="s">
        <v>10723</v>
      </c>
      <c r="AQ582" t="s">
        <v>74</v>
      </c>
      <c r="AR582" t="s">
        <v>10724</v>
      </c>
      <c r="AS582" t="s">
        <v>10725</v>
      </c>
      <c r="AT582" t="s">
        <v>273</v>
      </c>
      <c r="AU582">
        <v>2021</v>
      </c>
      <c r="AV582">
        <v>5</v>
      </c>
      <c r="AW582">
        <v>3</v>
      </c>
      <c r="AX582" t="s">
        <v>74</v>
      </c>
      <c r="AY582" t="s">
        <v>74</v>
      </c>
      <c r="AZ582" t="s">
        <v>74</v>
      </c>
      <c r="BA582" t="s">
        <v>74</v>
      </c>
      <c r="BB582" t="s">
        <v>74</v>
      </c>
      <c r="BC582" t="s">
        <v>74</v>
      </c>
      <c r="BD582" t="s">
        <v>74</v>
      </c>
      <c r="BE582" t="s">
        <v>10726</v>
      </c>
      <c r="BF582" t="str">
        <f>HYPERLINK("http://dx.doi.org/10.1002/aet2.10532","http://dx.doi.org/10.1002/aet2.10532")</f>
        <v>http://dx.doi.org/10.1002/aet2.10532</v>
      </c>
      <c r="BG582" t="s">
        <v>74</v>
      </c>
      <c r="BH582" t="s">
        <v>74</v>
      </c>
      <c r="BI582">
        <v>4</v>
      </c>
      <c r="BJ582" t="s">
        <v>10727</v>
      </c>
      <c r="BK582" t="s">
        <v>125</v>
      </c>
      <c r="BL582" t="s">
        <v>10728</v>
      </c>
      <c r="BM582" t="s">
        <v>10729</v>
      </c>
      <c r="BN582">
        <v>34095694</v>
      </c>
      <c r="BO582" t="s">
        <v>2194</v>
      </c>
      <c r="BP582" t="s">
        <v>74</v>
      </c>
      <c r="BQ582" t="s">
        <v>74</v>
      </c>
      <c r="BR582" t="s">
        <v>102</v>
      </c>
      <c r="BS582" t="s">
        <v>10730</v>
      </c>
      <c r="BT582" t="str">
        <f>HYPERLINK("https%3A%2F%2Fwww.webofscience.com%2Fwos%2Fwoscc%2Ffull-record%2FWOS:000704623000087","View Full Record in Web of Science")</f>
        <v>View Full Record in Web of Science</v>
      </c>
    </row>
    <row r="583" spans="1:72" x14ac:dyDescent="0.35">
      <c r="A583" t="s">
        <v>72</v>
      </c>
      <c r="B583" t="s">
        <v>10731</v>
      </c>
      <c r="C583" t="s">
        <v>74</v>
      </c>
      <c r="D583" t="s">
        <v>74</v>
      </c>
      <c r="E583" t="s">
        <v>74</v>
      </c>
      <c r="F583" t="s">
        <v>10732</v>
      </c>
      <c r="G583" t="s">
        <v>74</v>
      </c>
      <c r="H583" t="s">
        <v>74</v>
      </c>
      <c r="I583" t="s">
        <v>10733</v>
      </c>
      <c r="J583" t="s">
        <v>10734</v>
      </c>
      <c r="K583" t="s">
        <v>74</v>
      </c>
      <c r="L583" t="s">
        <v>74</v>
      </c>
      <c r="M583" t="s">
        <v>78</v>
      </c>
      <c r="N583" t="s">
        <v>52</v>
      </c>
      <c r="O583" t="s">
        <v>74</v>
      </c>
      <c r="P583" t="s">
        <v>74</v>
      </c>
      <c r="Q583" t="s">
        <v>74</v>
      </c>
      <c r="R583" t="s">
        <v>74</v>
      </c>
      <c r="S583" t="s">
        <v>74</v>
      </c>
      <c r="T583" t="s">
        <v>74</v>
      </c>
      <c r="U583" t="s">
        <v>74</v>
      </c>
      <c r="V583" t="s">
        <v>74</v>
      </c>
      <c r="W583" t="s">
        <v>10735</v>
      </c>
      <c r="X583" t="s">
        <v>10736</v>
      </c>
      <c r="Y583" t="s">
        <v>74</v>
      </c>
      <c r="Z583" t="s">
        <v>74</v>
      </c>
      <c r="AA583" t="s">
        <v>74</v>
      </c>
      <c r="AB583" t="s">
        <v>74</v>
      </c>
      <c r="AC583" t="s">
        <v>74</v>
      </c>
      <c r="AD583" t="s">
        <v>74</v>
      </c>
      <c r="AE583" t="s">
        <v>74</v>
      </c>
      <c r="AF583" t="s">
        <v>74</v>
      </c>
      <c r="AG583">
        <v>0</v>
      </c>
      <c r="AH583">
        <v>0</v>
      </c>
      <c r="AI583">
        <v>0</v>
      </c>
      <c r="AJ583">
        <v>0</v>
      </c>
      <c r="AK583">
        <v>0</v>
      </c>
      <c r="AL583" t="s">
        <v>8334</v>
      </c>
      <c r="AM583" t="s">
        <v>291</v>
      </c>
      <c r="AN583" t="s">
        <v>8335</v>
      </c>
      <c r="AO583" t="s">
        <v>10737</v>
      </c>
      <c r="AP583" t="s">
        <v>10738</v>
      </c>
      <c r="AQ583" t="s">
        <v>74</v>
      </c>
      <c r="AR583" t="s">
        <v>10739</v>
      </c>
      <c r="AS583" t="s">
        <v>10740</v>
      </c>
      <c r="AT583" t="s">
        <v>10741</v>
      </c>
      <c r="AU583">
        <v>2023</v>
      </c>
      <c r="AV583">
        <v>20</v>
      </c>
      <c r="AW583" t="s">
        <v>74</v>
      </c>
      <c r="AX583" t="s">
        <v>74</v>
      </c>
      <c r="AY583">
        <v>1</v>
      </c>
      <c r="AZ583" t="s">
        <v>74</v>
      </c>
      <c r="BA583">
        <v>238</v>
      </c>
      <c r="BB583" t="s">
        <v>74</v>
      </c>
      <c r="BC583" t="s">
        <v>74</v>
      </c>
      <c r="BD583" t="s">
        <v>10742</v>
      </c>
      <c r="BE583" t="s">
        <v>74</v>
      </c>
      <c r="BF583" t="s">
        <v>74</v>
      </c>
      <c r="BG583" t="s">
        <v>74</v>
      </c>
      <c r="BH583" t="s">
        <v>74</v>
      </c>
      <c r="BI583">
        <v>1</v>
      </c>
      <c r="BJ583" t="s">
        <v>1908</v>
      </c>
      <c r="BK583" t="s">
        <v>209</v>
      </c>
      <c r="BL583" t="s">
        <v>1908</v>
      </c>
      <c r="BM583" t="s">
        <v>10743</v>
      </c>
      <c r="BN583" t="s">
        <v>74</v>
      </c>
      <c r="BO583" t="s">
        <v>74</v>
      </c>
      <c r="BP583" t="s">
        <v>74</v>
      </c>
      <c r="BQ583" t="s">
        <v>74</v>
      </c>
      <c r="BR583" t="s">
        <v>102</v>
      </c>
      <c r="BS583" t="s">
        <v>10744</v>
      </c>
      <c r="BT583" t="str">
        <f>HYPERLINK("https%3A%2F%2Fwww.webofscience.com%2Fwos%2Fwoscc%2Ffull-record%2FWOS:001052285000224","View Full Record in Web of Science")</f>
        <v>View Full Record in Web of Science</v>
      </c>
    </row>
    <row r="584" spans="1:72" x14ac:dyDescent="0.35">
      <c r="A584" t="s">
        <v>72</v>
      </c>
      <c r="B584" t="s">
        <v>10745</v>
      </c>
      <c r="C584" t="s">
        <v>74</v>
      </c>
      <c r="D584" t="s">
        <v>74</v>
      </c>
      <c r="E584" t="s">
        <v>74</v>
      </c>
      <c r="F584" t="s">
        <v>10746</v>
      </c>
      <c r="G584" t="s">
        <v>74</v>
      </c>
      <c r="H584" t="s">
        <v>74</v>
      </c>
      <c r="I584" t="s">
        <v>10747</v>
      </c>
      <c r="J584" t="s">
        <v>10748</v>
      </c>
      <c r="K584" t="s">
        <v>74</v>
      </c>
      <c r="L584" t="s">
        <v>74</v>
      </c>
      <c r="M584" t="s">
        <v>78</v>
      </c>
      <c r="N584" t="s">
        <v>1328</v>
      </c>
      <c r="O584" t="s">
        <v>74</v>
      </c>
      <c r="P584" t="s">
        <v>74</v>
      </c>
      <c r="Q584" t="s">
        <v>74</v>
      </c>
      <c r="R584" t="s">
        <v>74</v>
      </c>
      <c r="S584" t="s">
        <v>74</v>
      </c>
      <c r="T584" t="s">
        <v>74</v>
      </c>
      <c r="U584" t="s">
        <v>74</v>
      </c>
      <c r="V584" t="s">
        <v>74</v>
      </c>
      <c r="W584" t="s">
        <v>10749</v>
      </c>
      <c r="X584" t="s">
        <v>10679</v>
      </c>
      <c r="Y584" t="s">
        <v>10750</v>
      </c>
      <c r="Z584" t="s">
        <v>10751</v>
      </c>
      <c r="AA584" t="s">
        <v>74</v>
      </c>
      <c r="AB584" t="s">
        <v>10752</v>
      </c>
      <c r="AC584" t="s">
        <v>74</v>
      </c>
      <c r="AD584" t="s">
        <v>74</v>
      </c>
      <c r="AE584" t="s">
        <v>74</v>
      </c>
      <c r="AF584" t="s">
        <v>74</v>
      </c>
      <c r="AG584">
        <v>3</v>
      </c>
      <c r="AH584">
        <v>10</v>
      </c>
      <c r="AI584">
        <v>11</v>
      </c>
      <c r="AJ584">
        <v>0</v>
      </c>
      <c r="AK584">
        <v>13</v>
      </c>
      <c r="AL584" t="s">
        <v>3256</v>
      </c>
      <c r="AM584" t="s">
        <v>3169</v>
      </c>
      <c r="AN584" t="s">
        <v>3257</v>
      </c>
      <c r="AO584" t="s">
        <v>10753</v>
      </c>
      <c r="AP584" t="s">
        <v>10754</v>
      </c>
      <c r="AQ584" t="s">
        <v>74</v>
      </c>
      <c r="AR584" t="s">
        <v>10755</v>
      </c>
      <c r="AS584" t="s">
        <v>10756</v>
      </c>
      <c r="AT584" t="s">
        <v>594</v>
      </c>
      <c r="AU584">
        <v>2020</v>
      </c>
      <c r="AV584">
        <v>58</v>
      </c>
      <c r="AW584">
        <v>8</v>
      </c>
      <c r="AX584" t="s">
        <v>74</v>
      </c>
      <c r="AY584" t="s">
        <v>74</v>
      </c>
      <c r="AZ584" t="s">
        <v>74</v>
      </c>
      <c r="BA584" t="s">
        <v>74</v>
      </c>
      <c r="BB584">
        <v>1054</v>
      </c>
      <c r="BC584">
        <v>1054</v>
      </c>
      <c r="BD584" t="s">
        <v>74</v>
      </c>
      <c r="BE584" t="s">
        <v>74</v>
      </c>
      <c r="BF584" t="s">
        <v>74</v>
      </c>
      <c r="BG584" t="s">
        <v>74</v>
      </c>
      <c r="BH584" t="s">
        <v>74</v>
      </c>
      <c r="BI584">
        <v>1</v>
      </c>
      <c r="BJ584" t="s">
        <v>10757</v>
      </c>
      <c r="BK584" t="s">
        <v>209</v>
      </c>
      <c r="BL584" t="s">
        <v>10757</v>
      </c>
      <c r="BM584" t="s">
        <v>10758</v>
      </c>
      <c r="BN584">
        <v>32376039</v>
      </c>
      <c r="BO584" t="s">
        <v>74</v>
      </c>
      <c r="BP584" t="s">
        <v>74</v>
      </c>
      <c r="BQ584" t="s">
        <v>74</v>
      </c>
      <c r="BR584" t="s">
        <v>102</v>
      </c>
      <c r="BS584" t="s">
        <v>10759</v>
      </c>
      <c r="BT584" t="str">
        <f>HYPERLINK("https%3A%2F%2Fwww.webofscience.com%2Fwos%2Fwoscc%2Ffull-record%2FWOS:000573422900033","View Full Record in Web of Science")</f>
        <v>View Full Record in Web of Science</v>
      </c>
    </row>
    <row r="585" spans="1:72" x14ac:dyDescent="0.35">
      <c r="A585" t="s">
        <v>72</v>
      </c>
      <c r="B585" t="s">
        <v>10760</v>
      </c>
      <c r="C585" t="s">
        <v>74</v>
      </c>
      <c r="D585" t="s">
        <v>74</v>
      </c>
      <c r="E585" t="s">
        <v>74</v>
      </c>
      <c r="F585" t="s">
        <v>10761</v>
      </c>
      <c r="G585" t="s">
        <v>74</v>
      </c>
      <c r="H585" t="s">
        <v>74</v>
      </c>
      <c r="I585" t="s">
        <v>10762</v>
      </c>
      <c r="J585" t="s">
        <v>3329</v>
      </c>
      <c r="K585" t="s">
        <v>74</v>
      </c>
      <c r="L585" t="s">
        <v>74</v>
      </c>
      <c r="M585" t="s">
        <v>78</v>
      </c>
      <c r="N585" t="s">
        <v>79</v>
      </c>
      <c r="O585" t="s">
        <v>74</v>
      </c>
      <c r="P585" t="s">
        <v>74</v>
      </c>
      <c r="Q585" t="s">
        <v>74</v>
      </c>
      <c r="R585" t="s">
        <v>74</v>
      </c>
      <c r="S585" t="s">
        <v>74</v>
      </c>
      <c r="T585" t="s">
        <v>10763</v>
      </c>
      <c r="U585" t="s">
        <v>10764</v>
      </c>
      <c r="V585" t="s">
        <v>10765</v>
      </c>
      <c r="W585" t="s">
        <v>10766</v>
      </c>
      <c r="X585" t="s">
        <v>10767</v>
      </c>
      <c r="Y585" t="s">
        <v>10768</v>
      </c>
      <c r="Z585" t="s">
        <v>10769</v>
      </c>
      <c r="AA585" t="s">
        <v>74</v>
      </c>
      <c r="AB585" t="s">
        <v>1274</v>
      </c>
      <c r="AC585" t="s">
        <v>74</v>
      </c>
      <c r="AD585" t="s">
        <v>74</v>
      </c>
      <c r="AE585" t="s">
        <v>74</v>
      </c>
      <c r="AF585" t="s">
        <v>74</v>
      </c>
      <c r="AG585">
        <v>61</v>
      </c>
      <c r="AH585">
        <v>0</v>
      </c>
      <c r="AI585">
        <v>0</v>
      </c>
      <c r="AJ585">
        <v>2</v>
      </c>
      <c r="AK585">
        <v>2</v>
      </c>
      <c r="AL585" t="s">
        <v>171</v>
      </c>
      <c r="AM585" t="s">
        <v>172</v>
      </c>
      <c r="AN585" t="s">
        <v>173</v>
      </c>
      <c r="AO585" t="s">
        <v>3336</v>
      </c>
      <c r="AP585" t="s">
        <v>3337</v>
      </c>
      <c r="AQ585" t="s">
        <v>74</v>
      </c>
      <c r="AR585" t="s">
        <v>3338</v>
      </c>
      <c r="AS585" t="s">
        <v>3339</v>
      </c>
      <c r="AT585" t="s">
        <v>10770</v>
      </c>
      <c r="AU585">
        <v>2024</v>
      </c>
      <c r="AV585" t="s">
        <v>74</v>
      </c>
      <c r="AW585" t="s">
        <v>74</v>
      </c>
      <c r="AX585" t="s">
        <v>74</v>
      </c>
      <c r="AY585" t="s">
        <v>74</v>
      </c>
      <c r="AZ585" t="s">
        <v>74</v>
      </c>
      <c r="BA585" t="s">
        <v>74</v>
      </c>
      <c r="BB585" t="s">
        <v>74</v>
      </c>
      <c r="BC585" t="s">
        <v>74</v>
      </c>
      <c r="BD585" t="s">
        <v>74</v>
      </c>
      <c r="BE585" t="s">
        <v>10771</v>
      </c>
      <c r="BF585" t="str">
        <f>HYPERLINK("http://dx.doi.org/10.1177/13678779241288619","http://dx.doi.org/10.1177/13678779241288619")</f>
        <v>http://dx.doi.org/10.1177/13678779241288619</v>
      </c>
      <c r="BG585" t="s">
        <v>74</v>
      </c>
      <c r="BH585" t="s">
        <v>1721</v>
      </c>
      <c r="BI585">
        <v>20</v>
      </c>
      <c r="BJ585" t="s">
        <v>2124</v>
      </c>
      <c r="BK585" t="s">
        <v>2125</v>
      </c>
      <c r="BL585" t="s">
        <v>2124</v>
      </c>
      <c r="BM585" t="s">
        <v>10772</v>
      </c>
      <c r="BN585" t="s">
        <v>74</v>
      </c>
      <c r="BO585" t="s">
        <v>156</v>
      </c>
      <c r="BP585" t="s">
        <v>74</v>
      </c>
      <c r="BQ585" t="s">
        <v>74</v>
      </c>
      <c r="BR585" t="s">
        <v>102</v>
      </c>
      <c r="BS585" t="s">
        <v>10773</v>
      </c>
      <c r="BT585" t="str">
        <f>HYPERLINK("https%3A%2F%2Fwww.webofscience.com%2Fwos%2Fwoscc%2Ffull-record%2FWOS:001339900300001","View Full Record in Web of Science")</f>
        <v>View Full Record in Web of Science</v>
      </c>
    </row>
    <row r="586" spans="1:72" x14ac:dyDescent="0.35">
      <c r="A586" t="s">
        <v>72</v>
      </c>
      <c r="B586" t="s">
        <v>10774</v>
      </c>
      <c r="C586" t="s">
        <v>74</v>
      </c>
      <c r="D586" t="s">
        <v>74</v>
      </c>
      <c r="E586" t="s">
        <v>74</v>
      </c>
      <c r="F586" t="s">
        <v>10775</v>
      </c>
      <c r="G586" t="s">
        <v>74</v>
      </c>
      <c r="H586" t="s">
        <v>74</v>
      </c>
      <c r="I586" t="s">
        <v>10776</v>
      </c>
      <c r="J586" t="s">
        <v>438</v>
      </c>
      <c r="K586" t="s">
        <v>74</v>
      </c>
      <c r="L586" t="s">
        <v>74</v>
      </c>
      <c r="M586" t="s">
        <v>78</v>
      </c>
      <c r="N586" t="s">
        <v>79</v>
      </c>
      <c r="O586" t="s">
        <v>74</v>
      </c>
      <c r="P586" t="s">
        <v>74</v>
      </c>
      <c r="Q586" t="s">
        <v>74</v>
      </c>
      <c r="R586" t="s">
        <v>74</v>
      </c>
      <c r="S586" t="s">
        <v>74</v>
      </c>
      <c r="T586" t="s">
        <v>10777</v>
      </c>
      <c r="U586" t="s">
        <v>10778</v>
      </c>
      <c r="V586" t="s">
        <v>10779</v>
      </c>
      <c r="W586" t="s">
        <v>10780</v>
      </c>
      <c r="X586" t="s">
        <v>10781</v>
      </c>
      <c r="Y586" t="s">
        <v>10782</v>
      </c>
      <c r="Z586" t="s">
        <v>10783</v>
      </c>
      <c r="AA586" t="s">
        <v>10784</v>
      </c>
      <c r="AB586" t="s">
        <v>10785</v>
      </c>
      <c r="AC586" t="s">
        <v>74</v>
      </c>
      <c r="AD586" t="s">
        <v>74</v>
      </c>
      <c r="AE586" t="s">
        <v>74</v>
      </c>
      <c r="AF586" t="s">
        <v>74</v>
      </c>
      <c r="AG586">
        <v>49</v>
      </c>
      <c r="AH586">
        <v>1</v>
      </c>
      <c r="AI586">
        <v>1</v>
      </c>
      <c r="AJ586">
        <v>41</v>
      </c>
      <c r="AK586">
        <v>41</v>
      </c>
      <c r="AL586" t="s">
        <v>226</v>
      </c>
      <c r="AM586" t="s">
        <v>227</v>
      </c>
      <c r="AN586" t="s">
        <v>228</v>
      </c>
      <c r="AO586" t="s">
        <v>451</v>
      </c>
      <c r="AP586" t="s">
        <v>452</v>
      </c>
      <c r="AQ586" t="s">
        <v>74</v>
      </c>
      <c r="AR586" t="s">
        <v>453</v>
      </c>
      <c r="AS586" t="s">
        <v>454</v>
      </c>
      <c r="AT586" t="s">
        <v>10786</v>
      </c>
      <c r="AU586">
        <v>2024</v>
      </c>
      <c r="AV586" t="s">
        <v>74</v>
      </c>
      <c r="AW586" t="s">
        <v>74</v>
      </c>
      <c r="AX586" t="s">
        <v>74</v>
      </c>
      <c r="AY586" t="s">
        <v>74</v>
      </c>
      <c r="AZ586" t="s">
        <v>74</v>
      </c>
      <c r="BA586" t="s">
        <v>74</v>
      </c>
      <c r="BB586" t="s">
        <v>74</v>
      </c>
      <c r="BC586" t="s">
        <v>74</v>
      </c>
      <c r="BD586" t="s">
        <v>74</v>
      </c>
      <c r="BE586" t="s">
        <v>10787</v>
      </c>
      <c r="BF586" t="str">
        <f>HYPERLINK("http://dx.doi.org/10.1177/14614448241255955","http://dx.doi.org/10.1177/14614448241255955")</f>
        <v>http://dx.doi.org/10.1177/14614448241255955</v>
      </c>
      <c r="BG586" t="s">
        <v>74</v>
      </c>
      <c r="BH586" t="s">
        <v>1467</v>
      </c>
      <c r="BI586">
        <v>19</v>
      </c>
      <c r="BJ586" t="s">
        <v>124</v>
      </c>
      <c r="BK586" t="s">
        <v>99</v>
      </c>
      <c r="BL586" t="s">
        <v>124</v>
      </c>
      <c r="BM586" t="s">
        <v>10788</v>
      </c>
      <c r="BN586" t="s">
        <v>74</v>
      </c>
      <c r="BO586" t="s">
        <v>156</v>
      </c>
      <c r="BP586" t="s">
        <v>74</v>
      </c>
      <c r="BQ586" t="s">
        <v>74</v>
      </c>
      <c r="BR586" t="s">
        <v>102</v>
      </c>
      <c r="BS586" t="s">
        <v>10789</v>
      </c>
      <c r="BT586" t="str">
        <f>HYPERLINK("https%3A%2F%2Fwww.webofscience.com%2Fwos%2Fwoscc%2Ffull-record%2FWOS:001235910400001","View Full Record in Web of Science")</f>
        <v>View Full Record in Web of Science</v>
      </c>
    </row>
    <row r="587" spans="1:72" x14ac:dyDescent="0.35">
      <c r="A587" t="s">
        <v>72</v>
      </c>
      <c r="B587" t="s">
        <v>10790</v>
      </c>
      <c r="C587" t="s">
        <v>74</v>
      </c>
      <c r="D587" t="s">
        <v>74</v>
      </c>
      <c r="E587" t="s">
        <v>74</v>
      </c>
      <c r="F587" t="s">
        <v>10791</v>
      </c>
      <c r="G587" t="s">
        <v>74</v>
      </c>
      <c r="H587" t="s">
        <v>74</v>
      </c>
      <c r="I587" t="s">
        <v>10792</v>
      </c>
      <c r="J587" t="s">
        <v>10793</v>
      </c>
      <c r="K587" t="s">
        <v>74</v>
      </c>
      <c r="L587" t="s">
        <v>74</v>
      </c>
      <c r="M587" t="s">
        <v>78</v>
      </c>
      <c r="N587" t="s">
        <v>2042</v>
      </c>
      <c r="O587" t="s">
        <v>74</v>
      </c>
      <c r="P587" t="s">
        <v>74</v>
      </c>
      <c r="Q587" t="s">
        <v>74</v>
      </c>
      <c r="R587" t="s">
        <v>74</v>
      </c>
      <c r="S587" t="s">
        <v>74</v>
      </c>
      <c r="T587" t="s">
        <v>74</v>
      </c>
      <c r="U587" t="s">
        <v>74</v>
      </c>
      <c r="V587" t="s">
        <v>10794</v>
      </c>
      <c r="W587" t="s">
        <v>74</v>
      </c>
      <c r="X587" t="s">
        <v>74</v>
      </c>
      <c r="Y587" t="s">
        <v>74</v>
      </c>
      <c r="Z587" t="s">
        <v>74</v>
      </c>
      <c r="AA587" t="s">
        <v>74</v>
      </c>
      <c r="AB587" t="s">
        <v>74</v>
      </c>
      <c r="AC587" t="s">
        <v>74</v>
      </c>
      <c r="AD587" t="s">
        <v>74</v>
      </c>
      <c r="AE587" t="s">
        <v>74</v>
      </c>
      <c r="AF587" t="s">
        <v>74</v>
      </c>
      <c r="AG587">
        <v>0</v>
      </c>
      <c r="AH587">
        <v>4</v>
      </c>
      <c r="AI587">
        <v>4</v>
      </c>
      <c r="AJ587">
        <v>7</v>
      </c>
      <c r="AK587">
        <v>122</v>
      </c>
      <c r="AL587" t="s">
        <v>1294</v>
      </c>
      <c r="AM587" t="s">
        <v>1062</v>
      </c>
      <c r="AN587" t="s">
        <v>1295</v>
      </c>
      <c r="AO587" t="s">
        <v>10795</v>
      </c>
      <c r="AP587" t="s">
        <v>10796</v>
      </c>
      <c r="AQ587" t="s">
        <v>74</v>
      </c>
      <c r="AR587" t="s">
        <v>10793</v>
      </c>
      <c r="AS587" t="s">
        <v>10797</v>
      </c>
      <c r="AT587" t="s">
        <v>6118</v>
      </c>
      <c r="AU587">
        <v>2022</v>
      </c>
      <c r="AV587">
        <v>185</v>
      </c>
      <c r="AW587">
        <v>17</v>
      </c>
      <c r="AX587" t="s">
        <v>74</v>
      </c>
      <c r="AY587" t="s">
        <v>74</v>
      </c>
      <c r="AZ587" t="s">
        <v>74</v>
      </c>
      <c r="BA587" t="s">
        <v>74</v>
      </c>
      <c r="BB587">
        <v>3066</v>
      </c>
      <c r="BC587">
        <v>3069</v>
      </c>
      <c r="BD587" t="s">
        <v>74</v>
      </c>
      <c r="BE587" t="s">
        <v>10798</v>
      </c>
      <c r="BF587" t="str">
        <f>HYPERLINK("http://dx.doi.org/10.1069/cell.87.023","http://dx.doi.org/10.1069/cell.87.023")</f>
        <v>http://dx.doi.org/10.1069/cell.87.023</v>
      </c>
      <c r="BG587" t="s">
        <v>74</v>
      </c>
      <c r="BH587" t="s">
        <v>74</v>
      </c>
      <c r="BI587">
        <v>4</v>
      </c>
      <c r="BJ587" t="s">
        <v>10799</v>
      </c>
      <c r="BK587" t="s">
        <v>209</v>
      </c>
      <c r="BL587" t="s">
        <v>10799</v>
      </c>
      <c r="BM587" t="s">
        <v>10800</v>
      </c>
      <c r="BN587">
        <v>35985281</v>
      </c>
      <c r="BO587" t="s">
        <v>74</v>
      </c>
      <c r="BP587" t="s">
        <v>74</v>
      </c>
      <c r="BQ587" t="s">
        <v>74</v>
      </c>
      <c r="BR587" t="s">
        <v>102</v>
      </c>
      <c r="BS587" t="s">
        <v>10801</v>
      </c>
      <c r="BT587" t="str">
        <f>HYPERLINK("https%3A%2F%2Fwww.webofscience.com%2Fwos%2Fwoscc%2Ffull-record%2FWOS:000848609200002","View Full Record in Web of Science")</f>
        <v>View Full Record in Web of Science</v>
      </c>
    </row>
    <row r="588" spans="1:72" x14ac:dyDescent="0.35">
      <c r="A588" t="s">
        <v>72</v>
      </c>
      <c r="B588" t="s">
        <v>10802</v>
      </c>
      <c r="C588" t="s">
        <v>74</v>
      </c>
      <c r="D588" t="s">
        <v>74</v>
      </c>
      <c r="E588" t="s">
        <v>74</v>
      </c>
      <c r="F588" t="s">
        <v>10803</v>
      </c>
      <c r="G588" t="s">
        <v>74</v>
      </c>
      <c r="H588" t="s">
        <v>74</v>
      </c>
      <c r="I588" t="s">
        <v>10804</v>
      </c>
      <c r="J588" t="s">
        <v>10805</v>
      </c>
      <c r="K588" t="s">
        <v>74</v>
      </c>
      <c r="L588" t="s">
        <v>74</v>
      </c>
      <c r="M588" t="s">
        <v>78</v>
      </c>
      <c r="N588" t="s">
        <v>5592</v>
      </c>
      <c r="O588" t="s">
        <v>10806</v>
      </c>
      <c r="P588" t="s">
        <v>10807</v>
      </c>
      <c r="Q588" t="s">
        <v>10808</v>
      </c>
      <c r="R588" t="s">
        <v>74</v>
      </c>
      <c r="S588" t="s">
        <v>74</v>
      </c>
      <c r="T588" t="s">
        <v>74</v>
      </c>
      <c r="U588" t="s">
        <v>10809</v>
      </c>
      <c r="V588" t="s">
        <v>10810</v>
      </c>
      <c r="W588" t="s">
        <v>10811</v>
      </c>
      <c r="X588" t="s">
        <v>10812</v>
      </c>
      <c r="Y588" t="s">
        <v>10813</v>
      </c>
      <c r="Z588" t="s">
        <v>10814</v>
      </c>
      <c r="AA588" t="s">
        <v>10815</v>
      </c>
      <c r="AB588" t="s">
        <v>74</v>
      </c>
      <c r="AC588" t="s">
        <v>74</v>
      </c>
      <c r="AD588" t="s">
        <v>74</v>
      </c>
      <c r="AE588" t="s">
        <v>74</v>
      </c>
      <c r="AF588" t="s">
        <v>74</v>
      </c>
      <c r="AG588">
        <v>12</v>
      </c>
      <c r="AH588">
        <v>9</v>
      </c>
      <c r="AI588">
        <v>9</v>
      </c>
      <c r="AJ588">
        <v>0</v>
      </c>
      <c r="AK588">
        <v>7</v>
      </c>
      <c r="AL588" t="s">
        <v>1901</v>
      </c>
      <c r="AM588" t="s">
        <v>995</v>
      </c>
      <c r="AN588" t="s">
        <v>1902</v>
      </c>
      <c r="AO588" t="s">
        <v>10816</v>
      </c>
      <c r="AP588" t="s">
        <v>10817</v>
      </c>
      <c r="AQ588" t="s">
        <v>74</v>
      </c>
      <c r="AR588" t="s">
        <v>10818</v>
      </c>
      <c r="AS588" t="s">
        <v>10819</v>
      </c>
      <c r="AT588" t="s">
        <v>257</v>
      </c>
      <c r="AU588">
        <v>2023</v>
      </c>
      <c r="AV588">
        <v>151</v>
      </c>
      <c r="AW588">
        <v>6</v>
      </c>
      <c r="AX588" t="s">
        <v>74</v>
      </c>
      <c r="AY588" t="s">
        <v>74</v>
      </c>
      <c r="AZ588" t="s">
        <v>74</v>
      </c>
      <c r="BA588" t="s">
        <v>74</v>
      </c>
      <c r="BB588" t="s">
        <v>10820</v>
      </c>
      <c r="BC588" t="s">
        <v>10821</v>
      </c>
      <c r="BD588" t="s">
        <v>74</v>
      </c>
      <c r="BE588" t="s">
        <v>10822</v>
      </c>
      <c r="BF588" t="str">
        <f>HYPERLINK("http://dx.doi.org/10.1097/PRS.0000000000010121","http://dx.doi.org/10.1097/PRS.0000000000010121")</f>
        <v>http://dx.doi.org/10.1097/PRS.0000000000010121</v>
      </c>
      <c r="BG588" t="s">
        <v>74</v>
      </c>
      <c r="BH588" t="s">
        <v>74</v>
      </c>
      <c r="BI588">
        <v>8</v>
      </c>
      <c r="BJ588" t="s">
        <v>4994</v>
      </c>
      <c r="BK588" t="s">
        <v>2257</v>
      </c>
      <c r="BL588" t="s">
        <v>4994</v>
      </c>
      <c r="BM588" t="s">
        <v>10823</v>
      </c>
      <c r="BN588">
        <v>36728791</v>
      </c>
      <c r="BO588" t="s">
        <v>74</v>
      </c>
      <c r="BP588" t="s">
        <v>74</v>
      </c>
      <c r="BQ588" t="s">
        <v>74</v>
      </c>
      <c r="BR588" t="s">
        <v>102</v>
      </c>
      <c r="BS588" t="s">
        <v>10824</v>
      </c>
      <c r="BT588" t="str">
        <f>HYPERLINK("https%3A%2F%2Fwww.webofscience.com%2Fwos%2Fwoscc%2Ffull-record%2FWOS:000994409400016","View Full Record in Web of Science")</f>
        <v>View Full Record in Web of Science</v>
      </c>
    </row>
    <row r="589" spans="1:72" x14ac:dyDescent="0.35">
      <c r="A589" t="s">
        <v>72</v>
      </c>
      <c r="B589" t="s">
        <v>10825</v>
      </c>
      <c r="C589" t="s">
        <v>74</v>
      </c>
      <c r="D589" t="s">
        <v>74</v>
      </c>
      <c r="E589" t="s">
        <v>74</v>
      </c>
      <c r="F589" t="s">
        <v>10826</v>
      </c>
      <c r="G589" t="s">
        <v>74</v>
      </c>
      <c r="H589" t="s">
        <v>74</v>
      </c>
      <c r="I589" t="s">
        <v>10827</v>
      </c>
      <c r="J589" t="s">
        <v>10555</v>
      </c>
      <c r="K589" t="s">
        <v>74</v>
      </c>
      <c r="L589" t="s">
        <v>74</v>
      </c>
      <c r="M589" t="s">
        <v>78</v>
      </c>
      <c r="N589" t="s">
        <v>108</v>
      </c>
      <c r="O589" t="s">
        <v>74</v>
      </c>
      <c r="P589" t="s">
        <v>74</v>
      </c>
      <c r="Q589" t="s">
        <v>74</v>
      </c>
      <c r="R589" t="s">
        <v>74</v>
      </c>
      <c r="S589" t="s">
        <v>74</v>
      </c>
      <c r="T589" t="s">
        <v>74</v>
      </c>
      <c r="U589" t="s">
        <v>74</v>
      </c>
      <c r="V589" t="s">
        <v>74</v>
      </c>
      <c r="W589" t="s">
        <v>74</v>
      </c>
      <c r="X589" t="s">
        <v>74</v>
      </c>
      <c r="Y589" t="s">
        <v>74</v>
      </c>
      <c r="Z589" t="s">
        <v>74</v>
      </c>
      <c r="AA589" t="s">
        <v>74</v>
      </c>
      <c r="AB589" t="s">
        <v>74</v>
      </c>
      <c r="AC589" t="s">
        <v>74</v>
      </c>
      <c r="AD589" t="s">
        <v>74</v>
      </c>
      <c r="AE589" t="s">
        <v>74</v>
      </c>
      <c r="AF589" t="s">
        <v>74</v>
      </c>
      <c r="AG589">
        <v>0</v>
      </c>
      <c r="AH589">
        <v>0</v>
      </c>
      <c r="AI589">
        <v>0</v>
      </c>
      <c r="AJ589">
        <v>0</v>
      </c>
      <c r="AK589">
        <v>0</v>
      </c>
      <c r="AL589" t="s">
        <v>10558</v>
      </c>
      <c r="AM589" t="s">
        <v>666</v>
      </c>
      <c r="AN589" t="s">
        <v>10559</v>
      </c>
      <c r="AO589" t="s">
        <v>10560</v>
      </c>
      <c r="AP589" t="s">
        <v>74</v>
      </c>
      <c r="AQ589" t="s">
        <v>74</v>
      </c>
      <c r="AR589" t="s">
        <v>10561</v>
      </c>
      <c r="AS589" t="s">
        <v>10562</v>
      </c>
      <c r="AT589" t="s">
        <v>232</v>
      </c>
      <c r="AU589">
        <v>2024</v>
      </c>
      <c r="AV589">
        <v>98</v>
      </c>
      <c r="AW589">
        <v>1</v>
      </c>
      <c r="AX589" t="s">
        <v>74</v>
      </c>
      <c r="AY589" t="s">
        <v>74</v>
      </c>
      <c r="AZ589" t="s">
        <v>74</v>
      </c>
      <c r="BA589" t="s">
        <v>74</v>
      </c>
      <c r="BB589">
        <v>62</v>
      </c>
      <c r="BC589">
        <v>65</v>
      </c>
      <c r="BD589" t="s">
        <v>74</v>
      </c>
      <c r="BE589" t="s">
        <v>74</v>
      </c>
      <c r="BF589" t="s">
        <v>74</v>
      </c>
      <c r="BG589" t="s">
        <v>74</v>
      </c>
      <c r="BH589" t="s">
        <v>74</v>
      </c>
      <c r="BI589">
        <v>4</v>
      </c>
      <c r="BJ589" t="s">
        <v>2344</v>
      </c>
      <c r="BK589" t="s">
        <v>316</v>
      </c>
      <c r="BL589" t="s">
        <v>2344</v>
      </c>
      <c r="BM589" t="s">
        <v>10828</v>
      </c>
      <c r="BN589" t="s">
        <v>74</v>
      </c>
      <c r="BO589" t="s">
        <v>74</v>
      </c>
      <c r="BP589" t="s">
        <v>74</v>
      </c>
      <c r="BQ589" t="s">
        <v>74</v>
      </c>
      <c r="BR589" t="s">
        <v>102</v>
      </c>
      <c r="BS589" t="s">
        <v>10829</v>
      </c>
      <c r="BT589" t="str">
        <f>HYPERLINK("https%3A%2F%2Fwww.webofscience.com%2Fwos%2Fwoscc%2Ffull-record%2FWOS:001132411200039","View Full Record in Web of Science")</f>
        <v>View Full Record in Web of Science</v>
      </c>
    </row>
    <row r="590" spans="1:72" x14ac:dyDescent="0.35">
      <c r="A590" t="s">
        <v>72</v>
      </c>
      <c r="B590" t="s">
        <v>10830</v>
      </c>
      <c r="C590" t="s">
        <v>74</v>
      </c>
      <c r="D590" t="s">
        <v>74</v>
      </c>
      <c r="E590" t="s">
        <v>74</v>
      </c>
      <c r="F590" t="s">
        <v>10831</v>
      </c>
      <c r="G590" t="s">
        <v>74</v>
      </c>
      <c r="H590" t="s">
        <v>74</v>
      </c>
      <c r="I590" t="s">
        <v>10832</v>
      </c>
      <c r="J590" t="s">
        <v>9220</v>
      </c>
      <c r="K590" t="s">
        <v>74</v>
      </c>
      <c r="L590" t="s">
        <v>74</v>
      </c>
      <c r="M590" t="s">
        <v>78</v>
      </c>
      <c r="N590" t="s">
        <v>2042</v>
      </c>
      <c r="O590" t="s">
        <v>74</v>
      </c>
      <c r="P590" t="s">
        <v>74</v>
      </c>
      <c r="Q590" t="s">
        <v>74</v>
      </c>
      <c r="R590" t="s">
        <v>74</v>
      </c>
      <c r="S590" t="s">
        <v>74</v>
      </c>
      <c r="T590" t="s">
        <v>74</v>
      </c>
      <c r="U590" t="s">
        <v>74</v>
      </c>
      <c r="V590" t="s">
        <v>74</v>
      </c>
      <c r="W590" t="s">
        <v>10833</v>
      </c>
      <c r="X590" t="s">
        <v>6241</v>
      </c>
      <c r="Y590" t="s">
        <v>10834</v>
      </c>
      <c r="Z590" t="s">
        <v>10835</v>
      </c>
      <c r="AA590" t="s">
        <v>74</v>
      </c>
      <c r="AB590" t="s">
        <v>74</v>
      </c>
      <c r="AC590" t="s">
        <v>74</v>
      </c>
      <c r="AD590" t="s">
        <v>74</v>
      </c>
      <c r="AE590" t="s">
        <v>74</v>
      </c>
      <c r="AF590" t="s">
        <v>74</v>
      </c>
      <c r="AG590">
        <v>3</v>
      </c>
      <c r="AH590">
        <v>0</v>
      </c>
      <c r="AI590">
        <v>0</v>
      </c>
      <c r="AJ590">
        <v>0</v>
      </c>
      <c r="AK590">
        <v>5</v>
      </c>
      <c r="AL590" t="s">
        <v>9222</v>
      </c>
      <c r="AM590" t="s">
        <v>227</v>
      </c>
      <c r="AN590" t="s">
        <v>9223</v>
      </c>
      <c r="AO590" t="s">
        <v>9224</v>
      </c>
      <c r="AP590" t="s">
        <v>9225</v>
      </c>
      <c r="AQ590" t="s">
        <v>74</v>
      </c>
      <c r="AR590" t="s">
        <v>9226</v>
      </c>
      <c r="AS590" t="s">
        <v>9227</v>
      </c>
      <c r="AT590" t="s">
        <v>10836</v>
      </c>
      <c r="AU590">
        <v>2023</v>
      </c>
      <c r="AV590">
        <v>380</v>
      </c>
      <c r="AW590" t="s">
        <v>74</v>
      </c>
      <c r="AX590" t="s">
        <v>74</v>
      </c>
      <c r="AY590" t="s">
        <v>74</v>
      </c>
      <c r="AZ590" t="s">
        <v>74</v>
      </c>
      <c r="BA590" t="s">
        <v>74</v>
      </c>
      <c r="BB590" t="s">
        <v>74</v>
      </c>
      <c r="BC590" t="s">
        <v>74</v>
      </c>
      <c r="BD590" t="s">
        <v>10837</v>
      </c>
      <c r="BE590" t="s">
        <v>10838</v>
      </c>
      <c r="BF590" t="str">
        <f>HYPERLINK("http://dx.doi.org/10.1136/bmj.p499","http://dx.doi.org/10.1136/bmj.p499")</f>
        <v>http://dx.doi.org/10.1136/bmj.p499</v>
      </c>
      <c r="BG590" t="s">
        <v>74</v>
      </c>
      <c r="BH590" t="s">
        <v>74</v>
      </c>
      <c r="BI590">
        <v>2</v>
      </c>
      <c r="BJ590" t="s">
        <v>811</v>
      </c>
      <c r="BK590" t="s">
        <v>209</v>
      </c>
      <c r="BL590" t="s">
        <v>812</v>
      </c>
      <c r="BM590" t="s">
        <v>10839</v>
      </c>
      <c r="BN590">
        <v>36931637</v>
      </c>
      <c r="BO590" t="s">
        <v>74</v>
      </c>
      <c r="BP590" t="s">
        <v>74</v>
      </c>
      <c r="BQ590" t="s">
        <v>74</v>
      </c>
      <c r="BR590" t="s">
        <v>102</v>
      </c>
      <c r="BS590" t="s">
        <v>10840</v>
      </c>
      <c r="BT590" t="str">
        <f>HYPERLINK("https%3A%2F%2Fwww.webofscience.com%2Fwos%2Fwoscc%2Ffull-record%2FWOS:001012625400005","View Full Record in Web of Science")</f>
        <v>View Full Record in Web of Science</v>
      </c>
    </row>
    <row r="591" spans="1:72" x14ac:dyDescent="0.35">
      <c r="A591" t="s">
        <v>72</v>
      </c>
      <c r="B591" t="s">
        <v>10841</v>
      </c>
      <c r="C591" t="s">
        <v>74</v>
      </c>
      <c r="D591" t="s">
        <v>74</v>
      </c>
      <c r="E591" t="s">
        <v>74</v>
      </c>
      <c r="F591" t="s">
        <v>10842</v>
      </c>
      <c r="G591" t="s">
        <v>74</v>
      </c>
      <c r="H591" t="s">
        <v>74</v>
      </c>
      <c r="I591" t="s">
        <v>10843</v>
      </c>
      <c r="J591" t="s">
        <v>9586</v>
      </c>
      <c r="K591" t="s">
        <v>74</v>
      </c>
      <c r="L591" t="s">
        <v>74</v>
      </c>
      <c r="M591" t="s">
        <v>78</v>
      </c>
      <c r="N591" t="s">
        <v>1328</v>
      </c>
      <c r="O591" t="s">
        <v>74</v>
      </c>
      <c r="P591" t="s">
        <v>74</v>
      </c>
      <c r="Q591" t="s">
        <v>74</v>
      </c>
      <c r="R591" t="s">
        <v>74</v>
      </c>
      <c r="S591" t="s">
        <v>74</v>
      </c>
      <c r="T591" t="s">
        <v>74</v>
      </c>
      <c r="U591" t="s">
        <v>74</v>
      </c>
      <c r="V591" t="s">
        <v>74</v>
      </c>
      <c r="W591" t="s">
        <v>10844</v>
      </c>
      <c r="X591" t="s">
        <v>74</v>
      </c>
      <c r="Y591" t="s">
        <v>10845</v>
      </c>
      <c r="Z591" t="s">
        <v>10846</v>
      </c>
      <c r="AA591" t="s">
        <v>74</v>
      </c>
      <c r="AB591" t="s">
        <v>74</v>
      </c>
      <c r="AC591" t="s">
        <v>74</v>
      </c>
      <c r="AD591" t="s">
        <v>74</v>
      </c>
      <c r="AE591" t="s">
        <v>74</v>
      </c>
      <c r="AF591" t="s">
        <v>74</v>
      </c>
      <c r="AG591">
        <v>5</v>
      </c>
      <c r="AH591">
        <v>20</v>
      </c>
      <c r="AI591">
        <v>20</v>
      </c>
      <c r="AJ591">
        <v>1</v>
      </c>
      <c r="AK591">
        <v>12</v>
      </c>
      <c r="AL591" t="s">
        <v>251</v>
      </c>
      <c r="AM591" t="s">
        <v>252</v>
      </c>
      <c r="AN591" t="s">
        <v>253</v>
      </c>
      <c r="AO591" t="s">
        <v>9595</v>
      </c>
      <c r="AP591" t="s">
        <v>9596</v>
      </c>
      <c r="AQ591" t="s">
        <v>74</v>
      </c>
      <c r="AR591" t="s">
        <v>9597</v>
      </c>
      <c r="AS591" t="s">
        <v>9598</v>
      </c>
      <c r="AT591" t="s">
        <v>257</v>
      </c>
      <c r="AU591">
        <v>2021</v>
      </c>
      <c r="AV591">
        <v>46</v>
      </c>
      <c r="AW591">
        <v>4</v>
      </c>
      <c r="AX591" t="s">
        <v>74</v>
      </c>
      <c r="AY591" t="s">
        <v>74</v>
      </c>
      <c r="AZ591" t="s">
        <v>74</v>
      </c>
      <c r="BA591" t="s">
        <v>74</v>
      </c>
      <c r="BB591">
        <v>737</v>
      </c>
      <c r="BC591">
        <v>739</v>
      </c>
      <c r="BD591" t="s">
        <v>74</v>
      </c>
      <c r="BE591" t="s">
        <v>10847</v>
      </c>
      <c r="BF591" t="str">
        <f>HYPERLINK("http://dx.doi.org/10.1111/ced.14529","http://dx.doi.org/10.1111/ced.14529")</f>
        <v>http://dx.doi.org/10.1111/ced.14529</v>
      </c>
      <c r="BG591" t="s">
        <v>74</v>
      </c>
      <c r="BH591" t="s">
        <v>4780</v>
      </c>
      <c r="BI591">
        <v>3</v>
      </c>
      <c r="BJ591" t="s">
        <v>1341</v>
      </c>
      <c r="BK591" t="s">
        <v>209</v>
      </c>
      <c r="BL591" t="s">
        <v>1341</v>
      </c>
      <c r="BM591" t="s">
        <v>10848</v>
      </c>
      <c r="BN591">
        <v>33258146</v>
      </c>
      <c r="BO591" t="s">
        <v>74</v>
      </c>
      <c r="BP591" t="s">
        <v>74</v>
      </c>
      <c r="BQ591" t="s">
        <v>74</v>
      </c>
      <c r="BR591" t="s">
        <v>102</v>
      </c>
      <c r="BS591" t="s">
        <v>10849</v>
      </c>
      <c r="BT591" t="str">
        <f>HYPERLINK("https%3A%2F%2Fwww.webofscience.com%2Fwos%2Fwoscc%2Ffull-record%2FWOS:000603671900001","View Full Record in Web of Science")</f>
        <v>View Full Record in Web of Science</v>
      </c>
    </row>
    <row r="592" spans="1:72" x14ac:dyDescent="0.35">
      <c r="A592" t="s">
        <v>72</v>
      </c>
      <c r="B592" t="s">
        <v>10850</v>
      </c>
      <c r="C592" t="s">
        <v>74</v>
      </c>
      <c r="D592" t="s">
        <v>74</v>
      </c>
      <c r="E592" t="s">
        <v>74</v>
      </c>
      <c r="F592" t="s">
        <v>10851</v>
      </c>
      <c r="G592" t="s">
        <v>74</v>
      </c>
      <c r="H592" t="s">
        <v>74</v>
      </c>
      <c r="I592" t="s">
        <v>10852</v>
      </c>
      <c r="J592" t="s">
        <v>7352</v>
      </c>
      <c r="K592" t="s">
        <v>74</v>
      </c>
      <c r="L592" t="s">
        <v>74</v>
      </c>
      <c r="M592" t="s">
        <v>78</v>
      </c>
      <c r="N592" t="s">
        <v>108</v>
      </c>
      <c r="O592" t="s">
        <v>74</v>
      </c>
      <c r="P592" t="s">
        <v>74</v>
      </c>
      <c r="Q592" t="s">
        <v>74</v>
      </c>
      <c r="R592" t="s">
        <v>74</v>
      </c>
      <c r="S592" t="s">
        <v>74</v>
      </c>
      <c r="T592" t="s">
        <v>10853</v>
      </c>
      <c r="U592" t="s">
        <v>74</v>
      </c>
      <c r="V592" t="s">
        <v>10854</v>
      </c>
      <c r="W592" t="s">
        <v>10855</v>
      </c>
      <c r="X592" t="s">
        <v>3004</v>
      </c>
      <c r="Y592" t="s">
        <v>10856</v>
      </c>
      <c r="Z592" t="s">
        <v>10857</v>
      </c>
      <c r="AA592" t="s">
        <v>10858</v>
      </c>
      <c r="AB592" t="s">
        <v>10859</v>
      </c>
      <c r="AC592" t="s">
        <v>74</v>
      </c>
      <c r="AD592" t="s">
        <v>74</v>
      </c>
      <c r="AE592" t="s">
        <v>74</v>
      </c>
      <c r="AF592" t="s">
        <v>74</v>
      </c>
      <c r="AG592">
        <v>26</v>
      </c>
      <c r="AH592">
        <v>1</v>
      </c>
      <c r="AI592">
        <v>1</v>
      </c>
      <c r="AJ592">
        <v>3</v>
      </c>
      <c r="AK592">
        <v>4</v>
      </c>
      <c r="AL592" t="s">
        <v>251</v>
      </c>
      <c r="AM592" t="s">
        <v>252</v>
      </c>
      <c r="AN592" t="s">
        <v>253</v>
      </c>
      <c r="AO592" t="s">
        <v>7360</v>
      </c>
      <c r="AP592" t="s">
        <v>74</v>
      </c>
      <c r="AQ592" t="s">
        <v>74</v>
      </c>
      <c r="AR592" t="s">
        <v>7361</v>
      </c>
      <c r="AS592" t="s">
        <v>7362</v>
      </c>
      <c r="AT592" t="s">
        <v>1275</v>
      </c>
      <c r="AU592">
        <v>2023</v>
      </c>
      <c r="AV592">
        <v>8</v>
      </c>
      <c r="AW592">
        <v>6</v>
      </c>
      <c r="AX592" t="s">
        <v>74</v>
      </c>
      <c r="AY592" t="s">
        <v>74</v>
      </c>
      <c r="AZ592" t="s">
        <v>74</v>
      </c>
      <c r="BA592" t="s">
        <v>74</v>
      </c>
      <c r="BB592">
        <v>1685</v>
      </c>
      <c r="BC592">
        <v>1691</v>
      </c>
      <c r="BD592" t="s">
        <v>74</v>
      </c>
      <c r="BE592" t="s">
        <v>10860</v>
      </c>
      <c r="BF592" t="str">
        <f>HYPERLINK("http://dx.doi.org/10.1002/lio2.1174","http://dx.doi.org/10.1002/lio2.1174")</f>
        <v>http://dx.doi.org/10.1002/lio2.1174</v>
      </c>
      <c r="BG592" t="s">
        <v>74</v>
      </c>
      <c r="BH592" t="s">
        <v>207</v>
      </c>
      <c r="BI592">
        <v>7</v>
      </c>
      <c r="BJ592" t="s">
        <v>2057</v>
      </c>
      <c r="BK592" t="s">
        <v>209</v>
      </c>
      <c r="BL592" t="s">
        <v>2057</v>
      </c>
      <c r="BM592" t="s">
        <v>10861</v>
      </c>
      <c r="BN592">
        <v>38130243</v>
      </c>
      <c r="BO592" t="s">
        <v>394</v>
      </c>
      <c r="BP592" t="s">
        <v>74</v>
      </c>
      <c r="BQ592" t="s">
        <v>74</v>
      </c>
      <c r="BR592" t="s">
        <v>102</v>
      </c>
      <c r="BS592" t="s">
        <v>10862</v>
      </c>
      <c r="BT592" t="str">
        <f>HYPERLINK("https%3A%2F%2Fwww.webofscience.com%2Fwos%2Fwoscc%2Ffull-record%2FWOS:001095581600001","View Full Record in Web of Science")</f>
        <v>View Full Record in Web of Science</v>
      </c>
    </row>
    <row r="593" spans="1:72" x14ac:dyDescent="0.35">
      <c r="A593" t="s">
        <v>72</v>
      </c>
      <c r="B593" t="s">
        <v>10863</v>
      </c>
      <c r="C593" t="s">
        <v>74</v>
      </c>
      <c r="D593" t="s">
        <v>74</v>
      </c>
      <c r="E593" t="s">
        <v>74</v>
      </c>
      <c r="F593" t="s">
        <v>10864</v>
      </c>
      <c r="G593" t="s">
        <v>74</v>
      </c>
      <c r="H593" t="s">
        <v>74</v>
      </c>
      <c r="I593" t="s">
        <v>10865</v>
      </c>
      <c r="J593" t="s">
        <v>10866</v>
      </c>
      <c r="K593" t="s">
        <v>74</v>
      </c>
      <c r="L593" t="s">
        <v>74</v>
      </c>
      <c r="M593" t="s">
        <v>78</v>
      </c>
      <c r="N593" t="s">
        <v>79</v>
      </c>
      <c r="O593" t="s">
        <v>74</v>
      </c>
      <c r="P593" t="s">
        <v>74</v>
      </c>
      <c r="Q593" t="s">
        <v>74</v>
      </c>
      <c r="R593" t="s">
        <v>74</v>
      </c>
      <c r="S593" t="s">
        <v>74</v>
      </c>
      <c r="T593" t="s">
        <v>10867</v>
      </c>
      <c r="U593" t="s">
        <v>10868</v>
      </c>
      <c r="V593" t="s">
        <v>10869</v>
      </c>
      <c r="W593" t="s">
        <v>10870</v>
      </c>
      <c r="X593" t="s">
        <v>10871</v>
      </c>
      <c r="Y593" t="s">
        <v>10872</v>
      </c>
      <c r="Z593" t="s">
        <v>10873</v>
      </c>
      <c r="AA593" t="s">
        <v>10874</v>
      </c>
      <c r="AB593" t="s">
        <v>10875</v>
      </c>
      <c r="AC593" t="s">
        <v>10876</v>
      </c>
      <c r="AD593" t="s">
        <v>10877</v>
      </c>
      <c r="AE593" t="s">
        <v>10878</v>
      </c>
      <c r="AF593" t="s">
        <v>74</v>
      </c>
      <c r="AG593">
        <v>39</v>
      </c>
      <c r="AH593">
        <v>1</v>
      </c>
      <c r="AI593">
        <v>1</v>
      </c>
      <c r="AJ593">
        <v>7</v>
      </c>
      <c r="AK593">
        <v>26</v>
      </c>
      <c r="AL593" t="s">
        <v>88</v>
      </c>
      <c r="AM593" t="s">
        <v>89</v>
      </c>
      <c r="AN593" t="s">
        <v>90</v>
      </c>
      <c r="AO593" t="s">
        <v>10879</v>
      </c>
      <c r="AP593" t="s">
        <v>10880</v>
      </c>
      <c r="AQ593" t="s">
        <v>74</v>
      </c>
      <c r="AR593" t="s">
        <v>10881</v>
      </c>
      <c r="AS593" t="s">
        <v>10882</v>
      </c>
      <c r="AT593" t="s">
        <v>10883</v>
      </c>
      <c r="AU593">
        <v>2023</v>
      </c>
      <c r="AV593" t="s">
        <v>74</v>
      </c>
      <c r="AW593" t="s">
        <v>74</v>
      </c>
      <c r="AX593" t="s">
        <v>74</v>
      </c>
      <c r="AY593" t="s">
        <v>74</v>
      </c>
      <c r="AZ593" t="s">
        <v>74</v>
      </c>
      <c r="BA593" t="s">
        <v>74</v>
      </c>
      <c r="BB593" t="s">
        <v>74</v>
      </c>
      <c r="BC593" t="s">
        <v>74</v>
      </c>
      <c r="BD593" t="s">
        <v>74</v>
      </c>
      <c r="BE593" t="s">
        <v>10884</v>
      </c>
      <c r="BF593" t="str">
        <f>HYPERLINK("http://dx.doi.org/10.1080/10494820.2023.2249045","http://dx.doi.org/10.1080/10494820.2023.2249045")</f>
        <v>http://dx.doi.org/10.1080/10494820.2023.2249045</v>
      </c>
      <c r="BG593" t="s">
        <v>74</v>
      </c>
      <c r="BH593" t="s">
        <v>2929</v>
      </c>
      <c r="BI593">
        <v>18</v>
      </c>
      <c r="BJ593" t="s">
        <v>787</v>
      </c>
      <c r="BK593" t="s">
        <v>99</v>
      </c>
      <c r="BL593" t="s">
        <v>787</v>
      </c>
      <c r="BM593" t="s">
        <v>10885</v>
      </c>
      <c r="BN593" t="s">
        <v>74</v>
      </c>
      <c r="BO593" t="s">
        <v>74</v>
      </c>
      <c r="BP593" t="s">
        <v>74</v>
      </c>
      <c r="BQ593" t="s">
        <v>74</v>
      </c>
      <c r="BR593" t="s">
        <v>102</v>
      </c>
      <c r="BS593" t="s">
        <v>10886</v>
      </c>
      <c r="BT593" t="str">
        <f>HYPERLINK("https%3A%2F%2Fwww.webofscience.com%2Fwos%2Fwoscc%2Ffull-record%2FWOS:001063091400001","View Full Record in Web of Science")</f>
        <v>View Full Record in Web of Science</v>
      </c>
    </row>
    <row r="594" spans="1:72" x14ac:dyDescent="0.35">
      <c r="A594" t="s">
        <v>128</v>
      </c>
      <c r="B594" t="s">
        <v>10887</v>
      </c>
      <c r="C594" t="s">
        <v>74</v>
      </c>
      <c r="D594" t="s">
        <v>10888</v>
      </c>
      <c r="E594" t="s">
        <v>74</v>
      </c>
      <c r="F594" t="s">
        <v>10889</v>
      </c>
      <c r="G594" t="s">
        <v>74</v>
      </c>
      <c r="H594" t="s">
        <v>74</v>
      </c>
      <c r="I594" t="s">
        <v>10890</v>
      </c>
      <c r="J594" t="s">
        <v>10891</v>
      </c>
      <c r="K594" t="s">
        <v>10892</v>
      </c>
      <c r="L594" t="s">
        <v>74</v>
      </c>
      <c r="M594" t="s">
        <v>78</v>
      </c>
      <c r="N594" t="s">
        <v>135</v>
      </c>
      <c r="O594" t="s">
        <v>10893</v>
      </c>
      <c r="P594" t="s">
        <v>10449</v>
      </c>
      <c r="Q594" t="s">
        <v>6828</v>
      </c>
      <c r="R594" t="s">
        <v>74</v>
      </c>
      <c r="S594" t="s">
        <v>74</v>
      </c>
      <c r="T594" t="s">
        <v>10894</v>
      </c>
      <c r="U594" t="s">
        <v>10895</v>
      </c>
      <c r="V594" t="s">
        <v>10896</v>
      </c>
      <c r="W594" t="s">
        <v>10897</v>
      </c>
      <c r="X594" t="s">
        <v>10898</v>
      </c>
      <c r="Y594" t="s">
        <v>10899</v>
      </c>
      <c r="Z594" t="s">
        <v>10900</v>
      </c>
      <c r="AA594" t="s">
        <v>74</v>
      </c>
      <c r="AB594" t="s">
        <v>10901</v>
      </c>
      <c r="AC594" t="s">
        <v>74</v>
      </c>
      <c r="AD594" t="s">
        <v>74</v>
      </c>
      <c r="AE594" t="s">
        <v>74</v>
      </c>
      <c r="AF594" t="s">
        <v>74</v>
      </c>
      <c r="AG594">
        <v>60</v>
      </c>
      <c r="AH594">
        <v>0</v>
      </c>
      <c r="AI594">
        <v>0</v>
      </c>
      <c r="AJ594">
        <v>1</v>
      </c>
      <c r="AK594">
        <v>1</v>
      </c>
      <c r="AL594" t="s">
        <v>639</v>
      </c>
      <c r="AM594" t="s">
        <v>640</v>
      </c>
      <c r="AN594" t="s">
        <v>641</v>
      </c>
      <c r="AO594" t="s">
        <v>10902</v>
      </c>
      <c r="AP594" t="s">
        <v>10903</v>
      </c>
      <c r="AQ594" t="s">
        <v>10904</v>
      </c>
      <c r="AR594" t="s">
        <v>10905</v>
      </c>
      <c r="AS594" t="s">
        <v>74</v>
      </c>
      <c r="AT594" t="s">
        <v>74</v>
      </c>
      <c r="AU594">
        <v>2024</v>
      </c>
      <c r="AV594">
        <v>2119</v>
      </c>
      <c r="AW594" t="s">
        <v>74</v>
      </c>
      <c r="AX594" t="s">
        <v>74</v>
      </c>
      <c r="AY594" t="s">
        <v>74</v>
      </c>
      <c r="AZ594" t="s">
        <v>74</v>
      </c>
      <c r="BA594" t="s">
        <v>74</v>
      </c>
      <c r="BB594">
        <v>109</v>
      </c>
      <c r="BC594">
        <v>120</v>
      </c>
      <c r="BD594" t="s">
        <v>74</v>
      </c>
      <c r="BE594" t="s">
        <v>10906</v>
      </c>
      <c r="BF594" t="str">
        <f>HYPERLINK("http://dx.doi.org/10.1007/978-3-031-61966-3_13","http://dx.doi.org/10.1007/978-3-031-61966-3_13")</f>
        <v>http://dx.doi.org/10.1007/978-3-031-61966-3_13</v>
      </c>
      <c r="BG594" t="s">
        <v>74</v>
      </c>
      <c r="BH594" t="s">
        <v>74</v>
      </c>
      <c r="BI594">
        <v>12</v>
      </c>
      <c r="BJ594" t="s">
        <v>894</v>
      </c>
      <c r="BK594" t="s">
        <v>723</v>
      </c>
      <c r="BL594" t="s">
        <v>210</v>
      </c>
      <c r="BM594" t="s">
        <v>10907</v>
      </c>
      <c r="BN594" t="s">
        <v>74</v>
      </c>
      <c r="BO594" t="s">
        <v>74</v>
      </c>
      <c r="BP594" t="s">
        <v>74</v>
      </c>
      <c r="BQ594" t="s">
        <v>74</v>
      </c>
      <c r="BR594" t="s">
        <v>102</v>
      </c>
      <c r="BS594" t="s">
        <v>10908</v>
      </c>
      <c r="BT594" t="str">
        <f>HYPERLINK("https%3A%2F%2Fwww.webofscience.com%2Fwos%2Fwoscc%2Ffull-record%2FWOS:001267657300013","View Full Record in Web of Science")</f>
        <v>View Full Record in Web of Science</v>
      </c>
    </row>
    <row r="595" spans="1:72" x14ac:dyDescent="0.35">
      <c r="A595" t="s">
        <v>72</v>
      </c>
      <c r="B595" t="s">
        <v>10909</v>
      </c>
      <c r="C595" t="s">
        <v>74</v>
      </c>
      <c r="D595" t="s">
        <v>74</v>
      </c>
      <c r="E595" t="s">
        <v>74</v>
      </c>
      <c r="F595" t="s">
        <v>10910</v>
      </c>
      <c r="G595" t="s">
        <v>74</v>
      </c>
      <c r="H595" t="s">
        <v>74</v>
      </c>
      <c r="I595" t="s">
        <v>10911</v>
      </c>
      <c r="J595" t="s">
        <v>10912</v>
      </c>
      <c r="K595" t="s">
        <v>74</v>
      </c>
      <c r="L595" t="s">
        <v>74</v>
      </c>
      <c r="M595" t="s">
        <v>78</v>
      </c>
      <c r="N595" t="s">
        <v>52</v>
      </c>
      <c r="O595" t="s">
        <v>10913</v>
      </c>
      <c r="P595" t="s">
        <v>10914</v>
      </c>
      <c r="Q595" t="s">
        <v>10915</v>
      </c>
      <c r="R595" t="s">
        <v>10916</v>
      </c>
      <c r="S595" t="s">
        <v>74</v>
      </c>
      <c r="T595" t="s">
        <v>74</v>
      </c>
      <c r="U595" t="s">
        <v>74</v>
      </c>
      <c r="V595" t="s">
        <v>74</v>
      </c>
      <c r="W595" t="s">
        <v>10917</v>
      </c>
      <c r="X595" t="s">
        <v>10918</v>
      </c>
      <c r="Y595" t="s">
        <v>74</v>
      </c>
      <c r="Z595" t="s">
        <v>74</v>
      </c>
      <c r="AA595" t="s">
        <v>74</v>
      </c>
      <c r="AB595" t="s">
        <v>74</v>
      </c>
      <c r="AC595" t="s">
        <v>74</v>
      </c>
      <c r="AD595" t="s">
        <v>74</v>
      </c>
      <c r="AE595" t="s">
        <v>74</v>
      </c>
      <c r="AF595" t="s">
        <v>74</v>
      </c>
      <c r="AG595">
        <v>0</v>
      </c>
      <c r="AH595">
        <v>0</v>
      </c>
      <c r="AI595">
        <v>0</v>
      </c>
      <c r="AJ595">
        <v>0</v>
      </c>
      <c r="AK595">
        <v>0</v>
      </c>
      <c r="AL595" t="s">
        <v>1901</v>
      </c>
      <c r="AM595" t="s">
        <v>995</v>
      </c>
      <c r="AN595" t="s">
        <v>1902</v>
      </c>
      <c r="AO595" t="s">
        <v>10919</v>
      </c>
      <c r="AP595" t="s">
        <v>10920</v>
      </c>
      <c r="AQ595" t="s">
        <v>74</v>
      </c>
      <c r="AR595" t="s">
        <v>10921</v>
      </c>
      <c r="AS595" t="s">
        <v>10922</v>
      </c>
      <c r="AT595" t="s">
        <v>455</v>
      </c>
      <c r="AU595">
        <v>2023</v>
      </c>
      <c r="AV595">
        <v>55</v>
      </c>
      <c r="AW595">
        <v>9</v>
      </c>
      <c r="AX595" t="s">
        <v>74</v>
      </c>
      <c r="AY595" t="s">
        <v>4946</v>
      </c>
      <c r="AZ595" t="s">
        <v>74</v>
      </c>
      <c r="BA595">
        <v>1188</v>
      </c>
      <c r="BB595">
        <v>383</v>
      </c>
      <c r="BC595">
        <v>383</v>
      </c>
      <c r="BD595" t="s">
        <v>74</v>
      </c>
      <c r="BE595" t="s">
        <v>74</v>
      </c>
      <c r="BF595" t="s">
        <v>74</v>
      </c>
      <c r="BG595" t="s">
        <v>74</v>
      </c>
      <c r="BH595" t="s">
        <v>74</v>
      </c>
      <c r="BI595">
        <v>1</v>
      </c>
      <c r="BJ595" t="s">
        <v>1321</v>
      </c>
      <c r="BK595" t="s">
        <v>2257</v>
      </c>
      <c r="BL595" t="s">
        <v>1321</v>
      </c>
      <c r="BM595" t="s">
        <v>10923</v>
      </c>
      <c r="BN595" t="s">
        <v>74</v>
      </c>
      <c r="BO595" t="s">
        <v>74</v>
      </c>
      <c r="BP595" t="s">
        <v>74</v>
      </c>
      <c r="BQ595" t="s">
        <v>74</v>
      </c>
      <c r="BR595" t="s">
        <v>102</v>
      </c>
      <c r="BS595" t="s">
        <v>10924</v>
      </c>
      <c r="BT595" t="str">
        <f>HYPERLINK("https%3A%2F%2Fwww.webofscience.com%2Fwos%2Fwoscc%2Ffull-record%2FWOS:001158156601203","View Full Record in Web of Science")</f>
        <v>View Full Record in Web of Science</v>
      </c>
    </row>
    <row r="596" spans="1:72" x14ac:dyDescent="0.35">
      <c r="A596" t="s">
        <v>72</v>
      </c>
      <c r="B596" t="s">
        <v>10925</v>
      </c>
      <c r="C596" t="s">
        <v>74</v>
      </c>
      <c r="D596" t="s">
        <v>74</v>
      </c>
      <c r="E596" t="s">
        <v>74</v>
      </c>
      <c r="F596" t="s">
        <v>10926</v>
      </c>
      <c r="G596" t="s">
        <v>74</v>
      </c>
      <c r="H596" t="s">
        <v>74</v>
      </c>
      <c r="I596" t="s">
        <v>10927</v>
      </c>
      <c r="J596" t="s">
        <v>2814</v>
      </c>
      <c r="K596" t="s">
        <v>74</v>
      </c>
      <c r="L596" t="s">
        <v>74</v>
      </c>
      <c r="M596" t="s">
        <v>78</v>
      </c>
      <c r="N596" t="s">
        <v>108</v>
      </c>
      <c r="O596" t="s">
        <v>74</v>
      </c>
      <c r="P596" t="s">
        <v>74</v>
      </c>
      <c r="Q596" t="s">
        <v>74</v>
      </c>
      <c r="R596" t="s">
        <v>74</v>
      </c>
      <c r="S596" t="s">
        <v>74</v>
      </c>
      <c r="T596" t="s">
        <v>10928</v>
      </c>
      <c r="U596" t="s">
        <v>10929</v>
      </c>
      <c r="V596" t="s">
        <v>10930</v>
      </c>
      <c r="W596" t="s">
        <v>10931</v>
      </c>
      <c r="X596" t="s">
        <v>10932</v>
      </c>
      <c r="Y596" t="s">
        <v>10933</v>
      </c>
      <c r="Z596" t="s">
        <v>10934</v>
      </c>
      <c r="AA596" t="s">
        <v>10935</v>
      </c>
      <c r="AB596" t="s">
        <v>10936</v>
      </c>
      <c r="AC596" t="s">
        <v>74</v>
      </c>
      <c r="AD596" t="s">
        <v>74</v>
      </c>
      <c r="AE596" t="s">
        <v>74</v>
      </c>
      <c r="AF596" t="s">
        <v>74</v>
      </c>
      <c r="AG596">
        <v>85</v>
      </c>
      <c r="AH596">
        <v>0</v>
      </c>
      <c r="AI596">
        <v>0</v>
      </c>
      <c r="AJ596">
        <v>9</v>
      </c>
      <c r="AK596">
        <v>9</v>
      </c>
      <c r="AL596" t="s">
        <v>543</v>
      </c>
      <c r="AM596" t="s">
        <v>544</v>
      </c>
      <c r="AN596" t="s">
        <v>545</v>
      </c>
      <c r="AO596" t="s">
        <v>2821</v>
      </c>
      <c r="AP596" t="s">
        <v>74</v>
      </c>
      <c r="AQ596" t="s">
        <v>74</v>
      </c>
      <c r="AR596" t="s">
        <v>2822</v>
      </c>
      <c r="AS596" t="s">
        <v>2823</v>
      </c>
      <c r="AT596" t="s">
        <v>8900</v>
      </c>
      <c r="AU596">
        <v>2024</v>
      </c>
      <c r="AV596">
        <v>26</v>
      </c>
      <c r="AW596" t="s">
        <v>74</v>
      </c>
      <c r="AX596" t="s">
        <v>74</v>
      </c>
      <c r="AY596" t="s">
        <v>74</v>
      </c>
      <c r="AZ596" t="s">
        <v>74</v>
      </c>
      <c r="BA596" t="s">
        <v>74</v>
      </c>
      <c r="BB596" t="s">
        <v>74</v>
      </c>
      <c r="BC596" t="s">
        <v>74</v>
      </c>
      <c r="BD596" t="s">
        <v>10937</v>
      </c>
      <c r="BE596" t="s">
        <v>10938</v>
      </c>
      <c r="BF596" t="str">
        <f>HYPERLINK("http://dx.doi.org/10.2196/55591","http://dx.doi.org/10.2196/55591")</f>
        <v>http://dx.doi.org/10.2196/55591</v>
      </c>
      <c r="BG596" t="s">
        <v>74</v>
      </c>
      <c r="BH596" t="s">
        <v>74</v>
      </c>
      <c r="BI596">
        <v>20</v>
      </c>
      <c r="BJ596" t="s">
        <v>550</v>
      </c>
      <c r="BK596" t="s">
        <v>209</v>
      </c>
      <c r="BL596" t="s">
        <v>550</v>
      </c>
      <c r="BM596" t="s">
        <v>10939</v>
      </c>
      <c r="BN596">
        <v>39259963</v>
      </c>
      <c r="BO596" t="s">
        <v>235</v>
      </c>
      <c r="BP596" t="s">
        <v>74</v>
      </c>
      <c r="BQ596" t="s">
        <v>74</v>
      </c>
      <c r="BR596" t="s">
        <v>102</v>
      </c>
      <c r="BS596" t="s">
        <v>10940</v>
      </c>
      <c r="BT596" t="str">
        <f>HYPERLINK("https%3A%2F%2Fwww.webofscience.com%2Fwos%2Fwoscc%2Ffull-record%2FWOS:001318683100001","View Full Record in Web of Science")</f>
        <v>View Full Record in Web of Science</v>
      </c>
    </row>
    <row r="597" spans="1:72" x14ac:dyDescent="0.35">
      <c r="A597" t="s">
        <v>128</v>
      </c>
      <c r="B597" t="s">
        <v>10941</v>
      </c>
      <c r="C597" t="s">
        <v>74</v>
      </c>
      <c r="D597" t="s">
        <v>74</v>
      </c>
      <c r="E597" t="s">
        <v>702</v>
      </c>
      <c r="F597" t="s">
        <v>10942</v>
      </c>
      <c r="G597" t="s">
        <v>74</v>
      </c>
      <c r="H597" t="s">
        <v>74</v>
      </c>
      <c r="I597" t="s">
        <v>10943</v>
      </c>
      <c r="J597" t="s">
        <v>10944</v>
      </c>
      <c r="K597" t="s">
        <v>74</v>
      </c>
      <c r="L597" t="s">
        <v>74</v>
      </c>
      <c r="M597" t="s">
        <v>78</v>
      </c>
      <c r="N597" t="s">
        <v>135</v>
      </c>
      <c r="O597" t="s">
        <v>10945</v>
      </c>
      <c r="P597" t="s">
        <v>10946</v>
      </c>
      <c r="Q597" t="s">
        <v>138</v>
      </c>
      <c r="R597" t="s">
        <v>10947</v>
      </c>
      <c r="S597" t="s">
        <v>74</v>
      </c>
      <c r="T597" t="s">
        <v>10948</v>
      </c>
      <c r="U597" t="s">
        <v>10949</v>
      </c>
      <c r="V597" t="s">
        <v>10950</v>
      </c>
      <c r="W597" t="s">
        <v>10951</v>
      </c>
      <c r="X597" t="s">
        <v>10952</v>
      </c>
      <c r="Y597" t="s">
        <v>10953</v>
      </c>
      <c r="Z597" t="s">
        <v>10954</v>
      </c>
      <c r="AA597" t="s">
        <v>74</v>
      </c>
      <c r="AB597" t="s">
        <v>74</v>
      </c>
      <c r="AC597" t="s">
        <v>74</v>
      </c>
      <c r="AD597" t="s">
        <v>74</v>
      </c>
      <c r="AE597" t="s">
        <v>74</v>
      </c>
      <c r="AF597" t="s">
        <v>74</v>
      </c>
      <c r="AG597">
        <v>53</v>
      </c>
      <c r="AH597">
        <v>96</v>
      </c>
      <c r="AI597">
        <v>102</v>
      </c>
      <c r="AJ597">
        <v>8</v>
      </c>
      <c r="AK597">
        <v>26</v>
      </c>
      <c r="AL597" t="s">
        <v>718</v>
      </c>
      <c r="AM597" t="s">
        <v>666</v>
      </c>
      <c r="AN597" t="s">
        <v>719</v>
      </c>
      <c r="AO597" t="s">
        <v>74</v>
      </c>
      <c r="AP597" t="s">
        <v>74</v>
      </c>
      <c r="AQ597" t="s">
        <v>10955</v>
      </c>
      <c r="AR597" t="s">
        <v>74</v>
      </c>
      <c r="AS597" t="s">
        <v>74</v>
      </c>
      <c r="AT597" t="s">
        <v>74</v>
      </c>
      <c r="AU597">
        <v>2020</v>
      </c>
      <c r="AV597" t="s">
        <v>74</v>
      </c>
      <c r="AW597" t="s">
        <v>74</v>
      </c>
      <c r="AX597" t="s">
        <v>74</v>
      </c>
      <c r="AY597" t="s">
        <v>74</v>
      </c>
      <c r="AZ597" t="s">
        <v>74</v>
      </c>
      <c r="BA597" t="s">
        <v>74</v>
      </c>
      <c r="BB597">
        <v>257</v>
      </c>
      <c r="BC597">
        <v>266</v>
      </c>
      <c r="BD597" t="s">
        <v>74</v>
      </c>
      <c r="BE597" t="s">
        <v>10956</v>
      </c>
      <c r="BF597" t="str">
        <f>HYPERLINK("http://dx.doi.org/10.1145/3394231.3397916","http://dx.doi.org/10.1145/3394231.3397916")</f>
        <v>http://dx.doi.org/10.1145/3394231.3397916</v>
      </c>
      <c r="BG597" t="s">
        <v>74</v>
      </c>
      <c r="BH597" t="s">
        <v>74</v>
      </c>
      <c r="BI597">
        <v>10</v>
      </c>
      <c r="BJ597" t="s">
        <v>4230</v>
      </c>
      <c r="BK597" t="s">
        <v>648</v>
      </c>
      <c r="BL597" t="s">
        <v>4231</v>
      </c>
      <c r="BM597" t="s">
        <v>10957</v>
      </c>
      <c r="BN597" t="s">
        <v>74</v>
      </c>
      <c r="BO597" t="s">
        <v>2738</v>
      </c>
      <c r="BP597" t="s">
        <v>74</v>
      </c>
      <c r="BQ597" t="s">
        <v>74</v>
      </c>
      <c r="BR597" t="s">
        <v>102</v>
      </c>
      <c r="BS597" t="s">
        <v>10958</v>
      </c>
      <c r="BT597" t="str">
        <f>HYPERLINK("https%3A%2F%2Fwww.webofscience.com%2Fwos%2Fwoscc%2Ffull-record%2FWOS:001119019000028","View Full Record in Web of Science")</f>
        <v>View Full Record in Web of Science</v>
      </c>
    </row>
    <row r="598" spans="1:72" x14ac:dyDescent="0.35">
      <c r="A598" t="s">
        <v>72</v>
      </c>
      <c r="B598" t="s">
        <v>10959</v>
      </c>
      <c r="C598" t="s">
        <v>74</v>
      </c>
      <c r="D598" t="s">
        <v>74</v>
      </c>
      <c r="E598" t="s">
        <v>74</v>
      </c>
      <c r="F598" t="s">
        <v>10960</v>
      </c>
      <c r="G598" t="s">
        <v>74</v>
      </c>
      <c r="H598" t="s">
        <v>74</v>
      </c>
      <c r="I598" t="s">
        <v>10961</v>
      </c>
      <c r="J598" t="s">
        <v>8487</v>
      </c>
      <c r="K598" t="s">
        <v>74</v>
      </c>
      <c r="L598" t="s">
        <v>74</v>
      </c>
      <c r="M598" t="s">
        <v>78</v>
      </c>
      <c r="N598" t="s">
        <v>108</v>
      </c>
      <c r="O598" t="s">
        <v>74</v>
      </c>
      <c r="P598" t="s">
        <v>74</v>
      </c>
      <c r="Q598" t="s">
        <v>74</v>
      </c>
      <c r="R598" t="s">
        <v>74</v>
      </c>
      <c r="S598" t="s">
        <v>74</v>
      </c>
      <c r="T598" t="s">
        <v>8488</v>
      </c>
      <c r="U598" t="s">
        <v>8489</v>
      </c>
      <c r="V598" t="s">
        <v>8490</v>
      </c>
      <c r="W598" t="s">
        <v>10962</v>
      </c>
      <c r="X598" t="s">
        <v>8492</v>
      </c>
      <c r="Y598" t="s">
        <v>10963</v>
      </c>
      <c r="Z598" t="s">
        <v>10964</v>
      </c>
      <c r="AA598" t="s">
        <v>8495</v>
      </c>
      <c r="AB598" t="s">
        <v>74</v>
      </c>
      <c r="AC598" t="s">
        <v>74</v>
      </c>
      <c r="AD598" t="s">
        <v>74</v>
      </c>
      <c r="AE598" t="s">
        <v>74</v>
      </c>
      <c r="AF598" t="s">
        <v>74</v>
      </c>
      <c r="AG598">
        <v>29</v>
      </c>
      <c r="AH598">
        <v>0</v>
      </c>
      <c r="AI598">
        <v>0</v>
      </c>
      <c r="AJ598">
        <v>1</v>
      </c>
      <c r="AK598">
        <v>1</v>
      </c>
      <c r="AL598" t="s">
        <v>8496</v>
      </c>
      <c r="AM598" t="s">
        <v>8497</v>
      </c>
      <c r="AN598" t="s">
        <v>8498</v>
      </c>
      <c r="AO598" t="s">
        <v>8499</v>
      </c>
      <c r="AP598" t="s">
        <v>8500</v>
      </c>
      <c r="AQ598" t="s">
        <v>74</v>
      </c>
      <c r="AR598" t="s">
        <v>8501</v>
      </c>
      <c r="AS598" t="s">
        <v>8502</v>
      </c>
      <c r="AT598" t="s">
        <v>74</v>
      </c>
      <c r="AU598">
        <v>2023</v>
      </c>
      <c r="AV598" t="s">
        <v>74</v>
      </c>
      <c r="AW598">
        <v>56</v>
      </c>
      <c r="AX598" t="s">
        <v>74</v>
      </c>
      <c r="AY598" t="s">
        <v>74</v>
      </c>
      <c r="AZ598" t="s">
        <v>74</v>
      </c>
      <c r="BA598" t="s">
        <v>74</v>
      </c>
      <c r="BB598">
        <v>117</v>
      </c>
      <c r="BC598">
        <v>142</v>
      </c>
      <c r="BD598" t="s">
        <v>74</v>
      </c>
      <c r="BE598" t="s">
        <v>10965</v>
      </c>
      <c r="BF598" t="str">
        <f>HYPERLINK("http://dx.doi.org/10.7764/cdi.55.63663","http://dx.doi.org/10.7764/cdi.55.63663")</f>
        <v>http://dx.doi.org/10.7764/cdi.55.63663</v>
      </c>
      <c r="BG598" t="s">
        <v>74</v>
      </c>
      <c r="BH598" t="s">
        <v>74</v>
      </c>
      <c r="BI598">
        <v>26</v>
      </c>
      <c r="BJ598" t="s">
        <v>124</v>
      </c>
      <c r="BK598" t="s">
        <v>125</v>
      </c>
      <c r="BL598" t="s">
        <v>124</v>
      </c>
      <c r="BM598" t="s">
        <v>10966</v>
      </c>
      <c r="BN598" t="s">
        <v>74</v>
      </c>
      <c r="BO598" t="s">
        <v>74</v>
      </c>
      <c r="BP598" t="s">
        <v>74</v>
      </c>
      <c r="BQ598" t="s">
        <v>74</v>
      </c>
      <c r="BR598" t="s">
        <v>102</v>
      </c>
      <c r="BS598" t="s">
        <v>10967</v>
      </c>
      <c r="BT598" t="str">
        <f>HYPERLINK("https%3A%2F%2Fwww.webofscience.com%2Fwos%2Fwoscc%2Ffull-record%2FWOS:001164652200003","View Full Record in Web of Science")</f>
        <v>View Full Record in Web of Science</v>
      </c>
    </row>
    <row r="599" spans="1:72" x14ac:dyDescent="0.35">
      <c r="A599" t="s">
        <v>72</v>
      </c>
      <c r="B599" t="s">
        <v>10968</v>
      </c>
      <c r="C599" t="s">
        <v>74</v>
      </c>
      <c r="D599" t="s">
        <v>74</v>
      </c>
      <c r="E599" t="s">
        <v>74</v>
      </c>
      <c r="F599" t="s">
        <v>10969</v>
      </c>
      <c r="G599" t="s">
        <v>74</v>
      </c>
      <c r="H599" t="s">
        <v>74</v>
      </c>
      <c r="I599" t="s">
        <v>10970</v>
      </c>
      <c r="J599" t="s">
        <v>2814</v>
      </c>
      <c r="K599" t="s">
        <v>74</v>
      </c>
      <c r="L599" t="s">
        <v>74</v>
      </c>
      <c r="M599" t="s">
        <v>78</v>
      </c>
      <c r="N599" t="s">
        <v>108</v>
      </c>
      <c r="O599" t="s">
        <v>74</v>
      </c>
      <c r="P599" t="s">
        <v>74</v>
      </c>
      <c r="Q599" t="s">
        <v>74</v>
      </c>
      <c r="R599" t="s">
        <v>74</v>
      </c>
      <c r="S599" t="s">
        <v>74</v>
      </c>
      <c r="T599" t="s">
        <v>10971</v>
      </c>
      <c r="U599" t="s">
        <v>74</v>
      </c>
      <c r="V599" t="s">
        <v>10972</v>
      </c>
      <c r="W599" t="s">
        <v>10973</v>
      </c>
      <c r="X599" t="s">
        <v>10974</v>
      </c>
      <c r="Y599" t="s">
        <v>10975</v>
      </c>
      <c r="Z599" t="s">
        <v>10976</v>
      </c>
      <c r="AA599" t="s">
        <v>10977</v>
      </c>
      <c r="AB599" t="s">
        <v>10978</v>
      </c>
      <c r="AC599" t="s">
        <v>10979</v>
      </c>
      <c r="AD599" t="s">
        <v>10980</v>
      </c>
      <c r="AE599" t="s">
        <v>10981</v>
      </c>
      <c r="AF599" t="s">
        <v>74</v>
      </c>
      <c r="AG599">
        <v>36</v>
      </c>
      <c r="AH599">
        <v>11</v>
      </c>
      <c r="AI599">
        <v>13</v>
      </c>
      <c r="AJ599">
        <v>1</v>
      </c>
      <c r="AK599">
        <v>25</v>
      </c>
      <c r="AL599" t="s">
        <v>543</v>
      </c>
      <c r="AM599" t="s">
        <v>544</v>
      </c>
      <c r="AN599" t="s">
        <v>545</v>
      </c>
      <c r="AO599" t="s">
        <v>2821</v>
      </c>
      <c r="AP599" t="s">
        <v>74</v>
      </c>
      <c r="AQ599" t="s">
        <v>74</v>
      </c>
      <c r="AR599" t="s">
        <v>2822</v>
      </c>
      <c r="AS599" t="s">
        <v>2823</v>
      </c>
      <c r="AT599" t="s">
        <v>10982</v>
      </c>
      <c r="AU599">
        <v>2022</v>
      </c>
      <c r="AV599">
        <v>24</v>
      </c>
      <c r="AW599">
        <v>3</v>
      </c>
      <c r="AX599" t="s">
        <v>74</v>
      </c>
      <c r="AY599" t="s">
        <v>74</v>
      </c>
      <c r="AZ599" t="s">
        <v>74</v>
      </c>
      <c r="BA599" t="s">
        <v>74</v>
      </c>
      <c r="BB599" t="s">
        <v>74</v>
      </c>
      <c r="BC599" t="s">
        <v>74</v>
      </c>
      <c r="BD599" t="s">
        <v>10983</v>
      </c>
      <c r="BE599" t="s">
        <v>10984</v>
      </c>
      <c r="BF599" t="str">
        <f>HYPERLINK("http://dx.doi.org/10.2196/34050","http://dx.doi.org/10.2196/34050")</f>
        <v>http://dx.doi.org/10.2196/34050</v>
      </c>
      <c r="BG599" t="s">
        <v>74</v>
      </c>
      <c r="BH599" t="s">
        <v>74</v>
      </c>
      <c r="BI599">
        <v>8</v>
      </c>
      <c r="BJ599" t="s">
        <v>550</v>
      </c>
      <c r="BK599" t="s">
        <v>182</v>
      </c>
      <c r="BL599" t="s">
        <v>550</v>
      </c>
      <c r="BM599" t="s">
        <v>10985</v>
      </c>
      <c r="BN599">
        <v>35353056</v>
      </c>
      <c r="BO599" t="s">
        <v>7897</v>
      </c>
      <c r="BP599" t="s">
        <v>74</v>
      </c>
      <c r="BQ599" t="s">
        <v>74</v>
      </c>
      <c r="BR599" t="s">
        <v>102</v>
      </c>
      <c r="BS599" t="s">
        <v>10986</v>
      </c>
      <c r="BT599" t="str">
        <f>HYPERLINK("https%3A%2F%2Fwww.webofscience.com%2Fwos%2Fwoscc%2Ffull-record%2FWOS:000784001500014","View Full Record in Web of Science")</f>
        <v>View Full Record in Web of Science</v>
      </c>
    </row>
    <row r="600" spans="1:72" x14ac:dyDescent="0.35">
      <c r="A600" t="s">
        <v>72</v>
      </c>
      <c r="B600" t="s">
        <v>10987</v>
      </c>
      <c r="C600" t="s">
        <v>74</v>
      </c>
      <c r="D600" t="s">
        <v>74</v>
      </c>
      <c r="E600" t="s">
        <v>74</v>
      </c>
      <c r="F600" t="s">
        <v>10988</v>
      </c>
      <c r="G600" t="s">
        <v>74</v>
      </c>
      <c r="H600" t="s">
        <v>74</v>
      </c>
      <c r="I600" t="s">
        <v>10989</v>
      </c>
      <c r="J600" t="s">
        <v>2493</v>
      </c>
      <c r="K600" t="s">
        <v>74</v>
      </c>
      <c r="L600" t="s">
        <v>74</v>
      </c>
      <c r="M600" t="s">
        <v>78</v>
      </c>
      <c r="N600" t="s">
        <v>52</v>
      </c>
      <c r="O600" t="s">
        <v>9678</v>
      </c>
      <c r="P600" t="s">
        <v>10990</v>
      </c>
      <c r="Q600" t="s">
        <v>5386</v>
      </c>
      <c r="R600" t="s">
        <v>9680</v>
      </c>
      <c r="S600" t="s">
        <v>74</v>
      </c>
      <c r="T600" t="s">
        <v>74</v>
      </c>
      <c r="U600" t="s">
        <v>74</v>
      </c>
      <c r="V600" t="s">
        <v>74</v>
      </c>
      <c r="W600" t="s">
        <v>10991</v>
      </c>
      <c r="X600" t="s">
        <v>10992</v>
      </c>
      <c r="Y600" t="s">
        <v>74</v>
      </c>
      <c r="Z600" t="s">
        <v>74</v>
      </c>
      <c r="AA600" t="s">
        <v>74</v>
      </c>
      <c r="AB600" t="s">
        <v>74</v>
      </c>
      <c r="AC600" t="s">
        <v>74</v>
      </c>
      <c r="AD600" t="s">
        <v>74</v>
      </c>
      <c r="AE600" t="s">
        <v>74</v>
      </c>
      <c r="AF600" t="s">
        <v>74</v>
      </c>
      <c r="AG600">
        <v>0</v>
      </c>
      <c r="AH600">
        <v>0</v>
      </c>
      <c r="AI600">
        <v>0</v>
      </c>
      <c r="AJ600">
        <v>0</v>
      </c>
      <c r="AK600">
        <v>0</v>
      </c>
      <c r="AL600" t="s">
        <v>2027</v>
      </c>
      <c r="AM600" t="s">
        <v>666</v>
      </c>
      <c r="AN600" t="s">
        <v>2028</v>
      </c>
      <c r="AO600" t="s">
        <v>2498</v>
      </c>
      <c r="AP600" t="s">
        <v>2499</v>
      </c>
      <c r="AQ600" t="s">
        <v>74</v>
      </c>
      <c r="AR600" t="s">
        <v>2500</v>
      </c>
      <c r="AS600" t="s">
        <v>2501</v>
      </c>
      <c r="AT600" t="s">
        <v>455</v>
      </c>
      <c r="AU600">
        <v>2022</v>
      </c>
      <c r="AV600">
        <v>87</v>
      </c>
      <c r="AW600">
        <v>3</v>
      </c>
      <c r="AX600" t="s">
        <v>74</v>
      </c>
      <c r="AY600" t="s">
        <v>4946</v>
      </c>
      <c r="AZ600" t="s">
        <v>74</v>
      </c>
      <c r="BA600">
        <v>33330</v>
      </c>
      <c r="BB600" t="s">
        <v>10993</v>
      </c>
      <c r="BC600" t="s">
        <v>10993</v>
      </c>
      <c r="BD600" t="s">
        <v>74</v>
      </c>
      <c r="BE600" t="s">
        <v>74</v>
      </c>
      <c r="BF600" t="s">
        <v>74</v>
      </c>
      <c r="BG600" t="s">
        <v>74</v>
      </c>
      <c r="BH600" t="s">
        <v>74</v>
      </c>
      <c r="BI600">
        <v>1</v>
      </c>
      <c r="BJ600" t="s">
        <v>1341</v>
      </c>
      <c r="BK600" t="s">
        <v>2257</v>
      </c>
      <c r="BL600" t="s">
        <v>1341</v>
      </c>
      <c r="BM600" t="s">
        <v>10994</v>
      </c>
      <c r="BN600" t="s">
        <v>74</v>
      </c>
      <c r="BO600" t="s">
        <v>74</v>
      </c>
      <c r="BP600" t="s">
        <v>74</v>
      </c>
      <c r="BQ600" t="s">
        <v>74</v>
      </c>
      <c r="BR600" t="s">
        <v>102</v>
      </c>
      <c r="BS600" t="s">
        <v>10995</v>
      </c>
      <c r="BT600" t="str">
        <f>HYPERLINK("https%3A%2F%2Fwww.webofscience.com%2Fwos%2Fwoscc%2Ffull-record%2FWOS:000891793200683","View Full Record in Web of Science")</f>
        <v>View Full Record in Web of Science</v>
      </c>
    </row>
    <row r="601" spans="1:72" x14ac:dyDescent="0.35">
      <c r="A601" t="s">
        <v>72</v>
      </c>
      <c r="B601" t="s">
        <v>10996</v>
      </c>
      <c r="C601" t="s">
        <v>74</v>
      </c>
      <c r="D601" t="s">
        <v>74</v>
      </c>
      <c r="E601" t="s">
        <v>74</v>
      </c>
      <c r="F601" t="s">
        <v>10997</v>
      </c>
      <c r="G601" t="s">
        <v>74</v>
      </c>
      <c r="H601" t="s">
        <v>74</v>
      </c>
      <c r="I601" t="s">
        <v>10998</v>
      </c>
      <c r="J601" t="s">
        <v>10432</v>
      </c>
      <c r="K601" t="s">
        <v>74</v>
      </c>
      <c r="L601" t="s">
        <v>74</v>
      </c>
      <c r="M601" t="s">
        <v>78</v>
      </c>
      <c r="N601" t="s">
        <v>52</v>
      </c>
      <c r="O601" t="s">
        <v>10999</v>
      </c>
      <c r="P601" t="s">
        <v>11000</v>
      </c>
      <c r="Q601" t="s">
        <v>11001</v>
      </c>
      <c r="R601" t="s">
        <v>11002</v>
      </c>
      <c r="S601" t="s">
        <v>74</v>
      </c>
      <c r="T601" t="s">
        <v>74</v>
      </c>
      <c r="U601" t="s">
        <v>74</v>
      </c>
      <c r="V601" t="s">
        <v>74</v>
      </c>
      <c r="W601" t="s">
        <v>11003</v>
      </c>
      <c r="X601" t="s">
        <v>11004</v>
      </c>
      <c r="Y601" t="s">
        <v>74</v>
      </c>
      <c r="Z601" t="s">
        <v>74</v>
      </c>
      <c r="AA601" t="s">
        <v>74</v>
      </c>
      <c r="AB601" t="s">
        <v>74</v>
      </c>
      <c r="AC601" t="s">
        <v>74</v>
      </c>
      <c r="AD601" t="s">
        <v>74</v>
      </c>
      <c r="AE601" t="s">
        <v>74</v>
      </c>
      <c r="AF601" t="s">
        <v>74</v>
      </c>
      <c r="AG601">
        <v>0</v>
      </c>
      <c r="AH601">
        <v>0</v>
      </c>
      <c r="AI601">
        <v>0</v>
      </c>
      <c r="AJ601">
        <v>1</v>
      </c>
      <c r="AK601">
        <v>1</v>
      </c>
      <c r="AL601" t="s">
        <v>1965</v>
      </c>
      <c r="AM601" t="s">
        <v>666</v>
      </c>
      <c r="AN601" t="s">
        <v>1966</v>
      </c>
      <c r="AO601" t="s">
        <v>10436</v>
      </c>
      <c r="AP601" t="s">
        <v>10437</v>
      </c>
      <c r="AQ601" t="s">
        <v>74</v>
      </c>
      <c r="AR601" t="s">
        <v>10438</v>
      </c>
      <c r="AS601" t="s">
        <v>10439</v>
      </c>
      <c r="AT601" t="s">
        <v>297</v>
      </c>
      <c r="AU601">
        <v>2024</v>
      </c>
      <c r="AV601">
        <v>144</v>
      </c>
      <c r="AW601">
        <v>8</v>
      </c>
      <c r="AX601" t="s">
        <v>74</v>
      </c>
      <c r="AY601">
        <v>1</v>
      </c>
      <c r="AZ601" t="s">
        <v>74</v>
      </c>
      <c r="BA601">
        <v>299</v>
      </c>
      <c r="BB601" t="s">
        <v>11005</v>
      </c>
      <c r="BC601" t="s">
        <v>11005</v>
      </c>
      <c r="BD601" t="s">
        <v>74</v>
      </c>
      <c r="BE601" t="s">
        <v>74</v>
      </c>
      <c r="BF601" t="s">
        <v>74</v>
      </c>
      <c r="BG601" t="s">
        <v>74</v>
      </c>
      <c r="BH601" t="s">
        <v>74</v>
      </c>
      <c r="BI601">
        <v>1</v>
      </c>
      <c r="BJ601" t="s">
        <v>1341</v>
      </c>
      <c r="BK601" t="s">
        <v>2257</v>
      </c>
      <c r="BL601" t="s">
        <v>1341</v>
      </c>
      <c r="BM601" t="s">
        <v>11006</v>
      </c>
      <c r="BN601" t="s">
        <v>74</v>
      </c>
      <c r="BO601" t="s">
        <v>74</v>
      </c>
      <c r="BP601" t="s">
        <v>74</v>
      </c>
      <c r="BQ601" t="s">
        <v>74</v>
      </c>
      <c r="BR601" t="s">
        <v>102</v>
      </c>
      <c r="BS601" t="s">
        <v>11007</v>
      </c>
      <c r="BT601" t="str">
        <f>HYPERLINK("https%3A%2F%2Fwww.webofscience.com%2Fwos%2Fwoscc%2Ffull-record%2FWOS:001276879001065","View Full Record in Web of Science")</f>
        <v>View Full Record in Web of Science</v>
      </c>
    </row>
    <row r="602" spans="1:72" x14ac:dyDescent="0.35">
      <c r="A602" t="s">
        <v>72</v>
      </c>
      <c r="B602" t="s">
        <v>11008</v>
      </c>
      <c r="C602" t="s">
        <v>74</v>
      </c>
      <c r="D602" t="s">
        <v>74</v>
      </c>
      <c r="E602" t="s">
        <v>74</v>
      </c>
      <c r="F602" t="s">
        <v>11009</v>
      </c>
      <c r="G602" t="s">
        <v>74</v>
      </c>
      <c r="H602" t="s">
        <v>74</v>
      </c>
      <c r="I602" t="s">
        <v>11010</v>
      </c>
      <c r="J602" t="s">
        <v>11011</v>
      </c>
      <c r="K602" t="s">
        <v>74</v>
      </c>
      <c r="L602" t="s">
        <v>74</v>
      </c>
      <c r="M602" t="s">
        <v>78</v>
      </c>
      <c r="N602" t="s">
        <v>108</v>
      </c>
      <c r="O602" t="s">
        <v>74</v>
      </c>
      <c r="P602" t="s">
        <v>74</v>
      </c>
      <c r="Q602" t="s">
        <v>74</v>
      </c>
      <c r="R602" t="s">
        <v>74</v>
      </c>
      <c r="S602" t="s">
        <v>74</v>
      </c>
      <c r="T602" t="s">
        <v>11012</v>
      </c>
      <c r="U602" t="s">
        <v>11013</v>
      </c>
      <c r="V602" t="s">
        <v>11014</v>
      </c>
      <c r="W602" t="s">
        <v>11015</v>
      </c>
      <c r="X602" t="s">
        <v>11016</v>
      </c>
      <c r="Y602" t="s">
        <v>11017</v>
      </c>
      <c r="Z602" t="s">
        <v>11018</v>
      </c>
      <c r="AA602" t="s">
        <v>74</v>
      </c>
      <c r="AB602" t="s">
        <v>11019</v>
      </c>
      <c r="AC602" t="s">
        <v>74</v>
      </c>
      <c r="AD602" t="s">
        <v>74</v>
      </c>
      <c r="AE602" t="s">
        <v>74</v>
      </c>
      <c r="AF602" t="s">
        <v>74</v>
      </c>
      <c r="AG602">
        <v>56</v>
      </c>
      <c r="AH602">
        <v>0</v>
      </c>
      <c r="AI602">
        <v>0</v>
      </c>
      <c r="AJ602">
        <v>4</v>
      </c>
      <c r="AK602">
        <v>14</v>
      </c>
      <c r="AL602" t="s">
        <v>171</v>
      </c>
      <c r="AM602" t="s">
        <v>172</v>
      </c>
      <c r="AN602" t="s">
        <v>173</v>
      </c>
      <c r="AO602" t="s">
        <v>11020</v>
      </c>
      <c r="AP602" t="s">
        <v>11021</v>
      </c>
      <c r="AQ602" t="s">
        <v>74</v>
      </c>
      <c r="AR602" t="s">
        <v>11011</v>
      </c>
      <c r="AS602" t="s">
        <v>11022</v>
      </c>
      <c r="AT602" t="s">
        <v>523</v>
      </c>
      <c r="AU602">
        <v>2024</v>
      </c>
      <c r="AV602">
        <v>29</v>
      </c>
      <c r="AW602">
        <v>4</v>
      </c>
      <c r="AX602" t="s">
        <v>74</v>
      </c>
      <c r="AY602" t="s">
        <v>74</v>
      </c>
      <c r="AZ602" t="s">
        <v>74</v>
      </c>
      <c r="BA602" t="s">
        <v>74</v>
      </c>
      <c r="BB602">
        <v>587</v>
      </c>
      <c r="BC602">
        <v>600</v>
      </c>
      <c r="BD602" t="s">
        <v>74</v>
      </c>
      <c r="BE602" t="s">
        <v>11023</v>
      </c>
      <c r="BF602" t="str">
        <f>HYPERLINK("http://dx.doi.org/10.1177/10775595231211616","http://dx.doi.org/10.1177/10775595231211616")</f>
        <v>http://dx.doi.org/10.1177/10775595231211616</v>
      </c>
      <c r="BG602" t="s">
        <v>74</v>
      </c>
      <c r="BH602" t="s">
        <v>674</v>
      </c>
      <c r="BI602">
        <v>14</v>
      </c>
      <c r="BJ602" t="s">
        <v>11024</v>
      </c>
      <c r="BK602" t="s">
        <v>99</v>
      </c>
      <c r="BL602" t="s">
        <v>11024</v>
      </c>
      <c r="BM602" t="s">
        <v>11025</v>
      </c>
      <c r="BN602">
        <v>37956869</v>
      </c>
      <c r="BO602" t="s">
        <v>767</v>
      </c>
      <c r="BP602" t="s">
        <v>74</v>
      </c>
      <c r="BQ602" t="s">
        <v>74</v>
      </c>
      <c r="BR602" t="s">
        <v>102</v>
      </c>
      <c r="BS602" t="s">
        <v>11026</v>
      </c>
      <c r="BT602" t="str">
        <f>HYPERLINK("https%3A%2F%2Fwww.webofscience.com%2Fwos%2Fwoscc%2Ffull-record%2FWOS:001101969900001","View Full Record in Web of Science")</f>
        <v>View Full Record in Web of Science</v>
      </c>
    </row>
    <row r="603" spans="1:72" x14ac:dyDescent="0.35">
      <c r="A603" t="s">
        <v>72</v>
      </c>
      <c r="B603" t="s">
        <v>11027</v>
      </c>
      <c r="C603" t="s">
        <v>74</v>
      </c>
      <c r="D603" t="s">
        <v>74</v>
      </c>
      <c r="E603" t="s">
        <v>74</v>
      </c>
      <c r="F603" t="s">
        <v>11028</v>
      </c>
      <c r="G603" t="s">
        <v>74</v>
      </c>
      <c r="H603" t="s">
        <v>74</v>
      </c>
      <c r="I603" t="s">
        <v>11029</v>
      </c>
      <c r="J603" t="s">
        <v>506</v>
      </c>
      <c r="K603" t="s">
        <v>74</v>
      </c>
      <c r="L603" t="s">
        <v>74</v>
      </c>
      <c r="M603" t="s">
        <v>78</v>
      </c>
      <c r="N603" t="s">
        <v>108</v>
      </c>
      <c r="O603" t="s">
        <v>74</v>
      </c>
      <c r="P603" t="s">
        <v>74</v>
      </c>
      <c r="Q603" t="s">
        <v>74</v>
      </c>
      <c r="R603" t="s">
        <v>74</v>
      </c>
      <c r="S603" t="s">
        <v>74</v>
      </c>
      <c r="T603" t="s">
        <v>11030</v>
      </c>
      <c r="U603" t="s">
        <v>11031</v>
      </c>
      <c r="V603" t="s">
        <v>11032</v>
      </c>
      <c r="W603" t="s">
        <v>11033</v>
      </c>
      <c r="X603" t="s">
        <v>11034</v>
      </c>
      <c r="Y603" t="s">
        <v>11035</v>
      </c>
      <c r="Z603" t="s">
        <v>11036</v>
      </c>
      <c r="AA603" t="s">
        <v>74</v>
      </c>
      <c r="AB603" t="s">
        <v>5227</v>
      </c>
      <c r="AC603" t="s">
        <v>11037</v>
      </c>
      <c r="AD603" t="s">
        <v>11038</v>
      </c>
      <c r="AE603" t="s">
        <v>11039</v>
      </c>
      <c r="AF603" t="s">
        <v>74</v>
      </c>
      <c r="AG603">
        <v>83</v>
      </c>
      <c r="AH603">
        <v>0</v>
      </c>
      <c r="AI603">
        <v>0</v>
      </c>
      <c r="AJ603">
        <v>34</v>
      </c>
      <c r="AK603">
        <v>34</v>
      </c>
      <c r="AL603" t="s">
        <v>516</v>
      </c>
      <c r="AM603" t="s">
        <v>517</v>
      </c>
      <c r="AN603" t="s">
        <v>518</v>
      </c>
      <c r="AO603" t="s">
        <v>519</v>
      </c>
      <c r="AP603" t="s">
        <v>520</v>
      </c>
      <c r="AQ603" t="s">
        <v>74</v>
      </c>
      <c r="AR603" t="s">
        <v>521</v>
      </c>
      <c r="AS603" t="s">
        <v>522</v>
      </c>
      <c r="AT603" t="s">
        <v>297</v>
      </c>
      <c r="AU603">
        <v>2024</v>
      </c>
      <c r="AV603">
        <v>248</v>
      </c>
      <c r="AW603" t="s">
        <v>74</v>
      </c>
      <c r="AX603" t="s">
        <v>74</v>
      </c>
      <c r="AY603" t="s">
        <v>74</v>
      </c>
      <c r="AZ603" t="s">
        <v>74</v>
      </c>
      <c r="BA603" t="s">
        <v>74</v>
      </c>
      <c r="BB603" t="s">
        <v>74</v>
      </c>
      <c r="BC603" t="s">
        <v>74</v>
      </c>
      <c r="BD603">
        <v>104369</v>
      </c>
      <c r="BE603" t="s">
        <v>11040</v>
      </c>
      <c r="BF603" t="str">
        <f>HYPERLINK("http://dx.doi.org/10.1016/j.actpsy.2024.104369","http://dx.doi.org/10.1016/j.actpsy.2024.104369")</f>
        <v>http://dx.doi.org/10.1016/j.actpsy.2024.104369</v>
      </c>
      <c r="BG603" t="s">
        <v>74</v>
      </c>
      <c r="BH603" t="s">
        <v>500</v>
      </c>
      <c r="BI603">
        <v>8</v>
      </c>
      <c r="BJ603" t="s">
        <v>525</v>
      </c>
      <c r="BK603" t="s">
        <v>99</v>
      </c>
      <c r="BL603" t="s">
        <v>301</v>
      </c>
      <c r="BM603" t="s">
        <v>11041</v>
      </c>
      <c r="BN603">
        <v>38936231</v>
      </c>
      <c r="BO603" t="s">
        <v>235</v>
      </c>
      <c r="BP603" t="s">
        <v>74</v>
      </c>
      <c r="BQ603" t="s">
        <v>74</v>
      </c>
      <c r="BR603" t="s">
        <v>102</v>
      </c>
      <c r="BS603" t="s">
        <v>11042</v>
      </c>
      <c r="BT603" t="str">
        <f>HYPERLINK("https%3A%2F%2Fwww.webofscience.com%2Fwos%2Fwoscc%2Ffull-record%2FWOS:001261329700001","View Full Record in Web of Science")</f>
        <v>View Full Record in Web of Science</v>
      </c>
    </row>
    <row r="604" spans="1:72" x14ac:dyDescent="0.35">
      <c r="A604" t="s">
        <v>72</v>
      </c>
      <c r="B604" t="s">
        <v>11043</v>
      </c>
      <c r="C604" t="s">
        <v>74</v>
      </c>
      <c r="D604" t="s">
        <v>74</v>
      </c>
      <c r="E604" t="s">
        <v>74</v>
      </c>
      <c r="F604" t="s">
        <v>11044</v>
      </c>
      <c r="G604" t="s">
        <v>74</v>
      </c>
      <c r="H604" t="s">
        <v>74</v>
      </c>
      <c r="I604" t="s">
        <v>11045</v>
      </c>
      <c r="J604" t="s">
        <v>11046</v>
      </c>
      <c r="K604" t="s">
        <v>74</v>
      </c>
      <c r="L604" t="s">
        <v>74</v>
      </c>
      <c r="M604" t="s">
        <v>78</v>
      </c>
      <c r="N604" t="s">
        <v>8268</v>
      </c>
      <c r="O604" t="s">
        <v>74</v>
      </c>
      <c r="P604" t="s">
        <v>74</v>
      </c>
      <c r="Q604" t="s">
        <v>74</v>
      </c>
      <c r="R604" t="s">
        <v>74</v>
      </c>
      <c r="S604" t="s">
        <v>74</v>
      </c>
      <c r="T604" t="s">
        <v>74</v>
      </c>
      <c r="U604" t="s">
        <v>74</v>
      </c>
      <c r="V604" t="s">
        <v>74</v>
      </c>
      <c r="W604" t="s">
        <v>74</v>
      </c>
      <c r="X604" t="s">
        <v>74</v>
      </c>
      <c r="Y604" t="s">
        <v>74</v>
      </c>
      <c r="Z604" t="s">
        <v>11047</v>
      </c>
      <c r="AA604" t="s">
        <v>74</v>
      </c>
      <c r="AB604" t="s">
        <v>74</v>
      </c>
      <c r="AC604" t="s">
        <v>74</v>
      </c>
      <c r="AD604" t="s">
        <v>74</v>
      </c>
      <c r="AE604" t="s">
        <v>74</v>
      </c>
      <c r="AF604" t="s">
        <v>74</v>
      </c>
      <c r="AG604">
        <v>3</v>
      </c>
      <c r="AH604">
        <v>0</v>
      </c>
      <c r="AI604">
        <v>0</v>
      </c>
      <c r="AJ604">
        <v>1</v>
      </c>
      <c r="AK604">
        <v>1</v>
      </c>
      <c r="AL604" t="s">
        <v>88</v>
      </c>
      <c r="AM604" t="s">
        <v>89</v>
      </c>
      <c r="AN604" t="s">
        <v>90</v>
      </c>
      <c r="AO604" t="s">
        <v>11048</v>
      </c>
      <c r="AP604" t="s">
        <v>11049</v>
      </c>
      <c r="AQ604" t="s">
        <v>74</v>
      </c>
      <c r="AR604" t="s">
        <v>11050</v>
      </c>
      <c r="AS604" t="s">
        <v>11051</v>
      </c>
      <c r="AT604" t="s">
        <v>3554</v>
      </c>
      <c r="AU604">
        <v>2024</v>
      </c>
      <c r="AV604">
        <v>37</v>
      </c>
      <c r="AW604">
        <v>5</v>
      </c>
      <c r="AX604" t="s">
        <v>74</v>
      </c>
      <c r="AY604" t="s">
        <v>74</v>
      </c>
      <c r="AZ604" t="s">
        <v>74</v>
      </c>
      <c r="BA604" t="s">
        <v>74</v>
      </c>
      <c r="BB604">
        <v>713</v>
      </c>
      <c r="BC604">
        <v>715</v>
      </c>
      <c r="BD604" t="s">
        <v>74</v>
      </c>
      <c r="BE604" t="s">
        <v>11052</v>
      </c>
      <c r="BF604" t="str">
        <f>HYPERLINK("http://dx.doi.org/10.1080/09557571.2024.2390265","http://dx.doi.org/10.1080/09557571.2024.2390265")</f>
        <v>http://dx.doi.org/10.1080/09557571.2024.2390265</v>
      </c>
      <c r="BG604" t="s">
        <v>74</v>
      </c>
      <c r="BH604" t="s">
        <v>2444</v>
      </c>
      <c r="BI604">
        <v>3</v>
      </c>
      <c r="BJ604" t="s">
        <v>1004</v>
      </c>
      <c r="BK604" t="s">
        <v>99</v>
      </c>
      <c r="BL604" t="s">
        <v>1005</v>
      </c>
      <c r="BM604" t="s">
        <v>11053</v>
      </c>
      <c r="BN604" t="s">
        <v>74</v>
      </c>
      <c r="BO604" t="s">
        <v>74</v>
      </c>
      <c r="BP604" t="s">
        <v>74</v>
      </c>
      <c r="BQ604" t="s">
        <v>74</v>
      </c>
      <c r="BR604" t="s">
        <v>102</v>
      </c>
      <c r="BS604" t="s">
        <v>11054</v>
      </c>
      <c r="BT604" t="str">
        <f>HYPERLINK("https%3A%2F%2Fwww.webofscience.com%2Fwos%2Fwoscc%2Ffull-record%2FWOS:001308053100001","View Full Record in Web of Science")</f>
        <v>View Full Record in Web of Science</v>
      </c>
    </row>
    <row r="605" spans="1:72" x14ac:dyDescent="0.35">
      <c r="A605" t="s">
        <v>72</v>
      </c>
      <c r="B605" t="s">
        <v>11055</v>
      </c>
      <c r="C605" t="s">
        <v>74</v>
      </c>
      <c r="D605" t="s">
        <v>74</v>
      </c>
      <c r="E605" t="s">
        <v>74</v>
      </c>
      <c r="F605" t="s">
        <v>11056</v>
      </c>
      <c r="G605" t="s">
        <v>74</v>
      </c>
      <c r="H605" t="s">
        <v>74</v>
      </c>
      <c r="I605" t="s">
        <v>11057</v>
      </c>
      <c r="J605" t="s">
        <v>8420</v>
      </c>
      <c r="K605" t="s">
        <v>74</v>
      </c>
      <c r="L605" t="s">
        <v>74</v>
      </c>
      <c r="M605" t="s">
        <v>78</v>
      </c>
      <c r="N605" t="s">
        <v>1328</v>
      </c>
      <c r="O605" t="s">
        <v>74</v>
      </c>
      <c r="P605" t="s">
        <v>74</v>
      </c>
      <c r="Q605" t="s">
        <v>74</v>
      </c>
      <c r="R605" t="s">
        <v>74</v>
      </c>
      <c r="S605" t="s">
        <v>74</v>
      </c>
      <c r="T605" t="s">
        <v>74</v>
      </c>
      <c r="U605" t="s">
        <v>74</v>
      </c>
      <c r="V605" t="s">
        <v>74</v>
      </c>
      <c r="W605" t="s">
        <v>11058</v>
      </c>
      <c r="X605" t="s">
        <v>11059</v>
      </c>
      <c r="Y605" t="s">
        <v>11060</v>
      </c>
      <c r="Z605" t="s">
        <v>11061</v>
      </c>
      <c r="AA605" t="s">
        <v>11062</v>
      </c>
      <c r="AB605" t="s">
        <v>11063</v>
      </c>
      <c r="AC605" t="s">
        <v>11064</v>
      </c>
      <c r="AD605" t="s">
        <v>11065</v>
      </c>
      <c r="AE605" t="s">
        <v>11066</v>
      </c>
      <c r="AF605" t="s">
        <v>74</v>
      </c>
      <c r="AG605">
        <v>5</v>
      </c>
      <c r="AH605">
        <v>4</v>
      </c>
      <c r="AI605">
        <v>4</v>
      </c>
      <c r="AJ605">
        <v>0</v>
      </c>
      <c r="AK605">
        <v>7</v>
      </c>
      <c r="AL605" t="s">
        <v>2027</v>
      </c>
      <c r="AM605" t="s">
        <v>666</v>
      </c>
      <c r="AN605" t="s">
        <v>2028</v>
      </c>
      <c r="AO605" t="s">
        <v>8426</v>
      </c>
      <c r="AP605" t="s">
        <v>8427</v>
      </c>
      <c r="AQ605" t="s">
        <v>74</v>
      </c>
      <c r="AR605" t="s">
        <v>8428</v>
      </c>
      <c r="AS605" t="s">
        <v>8429</v>
      </c>
      <c r="AT605" t="s">
        <v>257</v>
      </c>
      <c r="AU605">
        <v>2023</v>
      </c>
      <c r="AV605">
        <v>228</v>
      </c>
      <c r="AW605">
        <v>6</v>
      </c>
      <c r="AX605" t="s">
        <v>74</v>
      </c>
      <c r="AY605" t="s">
        <v>74</v>
      </c>
      <c r="AZ605" t="s">
        <v>74</v>
      </c>
      <c r="BA605" t="s">
        <v>74</v>
      </c>
      <c r="BB605">
        <v>749</v>
      </c>
      <c r="BC605">
        <v>751</v>
      </c>
      <c r="BD605" t="s">
        <v>74</v>
      </c>
      <c r="BE605" t="s">
        <v>11067</v>
      </c>
      <c r="BF605" t="str">
        <f>HYPERLINK("http://dx.doi.org/10.1016/j.ajog.2023.01.023","http://dx.doi.org/10.1016/j.ajog.2023.01.023")</f>
        <v>http://dx.doi.org/10.1016/j.ajog.2023.01.023</v>
      </c>
      <c r="BG605" t="s">
        <v>74</v>
      </c>
      <c r="BH605" t="s">
        <v>1954</v>
      </c>
      <c r="BI605">
        <v>3</v>
      </c>
      <c r="BJ605" t="s">
        <v>1971</v>
      </c>
      <c r="BK605" t="s">
        <v>209</v>
      </c>
      <c r="BL605" t="s">
        <v>1971</v>
      </c>
      <c r="BM605" t="s">
        <v>11068</v>
      </c>
      <c r="BN605">
        <v>36736679</v>
      </c>
      <c r="BO605" t="s">
        <v>11069</v>
      </c>
      <c r="BP605" t="s">
        <v>74</v>
      </c>
      <c r="BQ605" t="s">
        <v>74</v>
      </c>
      <c r="BR605" t="s">
        <v>102</v>
      </c>
      <c r="BS605" t="s">
        <v>11070</v>
      </c>
      <c r="BT605" t="str">
        <f>HYPERLINK("https%3A%2F%2Fwww.webofscience.com%2Fwos%2Fwoscc%2Ffull-record%2FWOS:001018655500001","View Full Record in Web of Science")</f>
        <v>View Full Record in Web of Science</v>
      </c>
    </row>
    <row r="606" spans="1:72" x14ac:dyDescent="0.35">
      <c r="A606" t="s">
        <v>72</v>
      </c>
      <c r="B606" t="s">
        <v>11071</v>
      </c>
      <c r="C606" t="s">
        <v>74</v>
      </c>
      <c r="D606" t="s">
        <v>74</v>
      </c>
      <c r="E606" t="s">
        <v>74</v>
      </c>
      <c r="F606" t="s">
        <v>11072</v>
      </c>
      <c r="G606" t="s">
        <v>74</v>
      </c>
      <c r="H606" t="s">
        <v>74</v>
      </c>
      <c r="I606" t="s">
        <v>11073</v>
      </c>
      <c r="J606" t="s">
        <v>4892</v>
      </c>
      <c r="K606" t="s">
        <v>74</v>
      </c>
      <c r="L606" t="s">
        <v>74</v>
      </c>
      <c r="M606" t="s">
        <v>78</v>
      </c>
      <c r="N606" t="s">
        <v>108</v>
      </c>
      <c r="O606" t="s">
        <v>74</v>
      </c>
      <c r="P606" t="s">
        <v>74</v>
      </c>
      <c r="Q606" t="s">
        <v>74</v>
      </c>
      <c r="R606" t="s">
        <v>74</v>
      </c>
      <c r="S606" t="s">
        <v>74</v>
      </c>
      <c r="T606" t="s">
        <v>11074</v>
      </c>
      <c r="U606" t="s">
        <v>11075</v>
      </c>
      <c r="V606" t="s">
        <v>11076</v>
      </c>
      <c r="W606" t="s">
        <v>11077</v>
      </c>
      <c r="X606" t="s">
        <v>9400</v>
      </c>
      <c r="Y606" t="s">
        <v>11078</v>
      </c>
      <c r="Z606" t="s">
        <v>11079</v>
      </c>
      <c r="AA606" t="s">
        <v>11080</v>
      </c>
      <c r="AB606" t="s">
        <v>74</v>
      </c>
      <c r="AC606" t="s">
        <v>74</v>
      </c>
      <c r="AD606" t="s">
        <v>74</v>
      </c>
      <c r="AE606" t="s">
        <v>74</v>
      </c>
      <c r="AF606" t="s">
        <v>74</v>
      </c>
      <c r="AG606">
        <v>56</v>
      </c>
      <c r="AH606">
        <v>4</v>
      </c>
      <c r="AI606">
        <v>4</v>
      </c>
      <c r="AJ606">
        <v>3</v>
      </c>
      <c r="AK606">
        <v>33</v>
      </c>
      <c r="AL606" t="s">
        <v>4900</v>
      </c>
      <c r="AM606" t="s">
        <v>4901</v>
      </c>
      <c r="AN606" t="s">
        <v>4902</v>
      </c>
      <c r="AO606" t="s">
        <v>4903</v>
      </c>
      <c r="AP606" t="s">
        <v>74</v>
      </c>
      <c r="AQ606" t="s">
        <v>74</v>
      </c>
      <c r="AR606" t="s">
        <v>4904</v>
      </c>
      <c r="AS606" t="s">
        <v>4905</v>
      </c>
      <c r="AT606" t="s">
        <v>232</v>
      </c>
      <c r="AU606">
        <v>2023</v>
      </c>
      <c r="AV606" t="s">
        <v>74</v>
      </c>
      <c r="AW606">
        <v>40</v>
      </c>
      <c r="AX606" t="s">
        <v>74</v>
      </c>
      <c r="AY606" t="s">
        <v>74</v>
      </c>
      <c r="AZ606" t="s">
        <v>74</v>
      </c>
      <c r="BA606" t="s">
        <v>74</v>
      </c>
      <c r="BB606">
        <v>262</v>
      </c>
      <c r="BC606">
        <v>288</v>
      </c>
      <c r="BD606" t="s">
        <v>74</v>
      </c>
      <c r="BE606" t="s">
        <v>74</v>
      </c>
      <c r="BF606" t="s">
        <v>74</v>
      </c>
      <c r="BG606" t="s">
        <v>74</v>
      </c>
      <c r="BH606" t="s">
        <v>74</v>
      </c>
      <c r="BI606">
        <v>27</v>
      </c>
      <c r="BJ606" t="s">
        <v>98</v>
      </c>
      <c r="BK606" t="s">
        <v>125</v>
      </c>
      <c r="BL606" t="s">
        <v>100</v>
      </c>
      <c r="BM606" t="s">
        <v>9404</v>
      </c>
      <c r="BN606" t="s">
        <v>74</v>
      </c>
      <c r="BO606" t="s">
        <v>74</v>
      </c>
      <c r="BP606" t="s">
        <v>74</v>
      </c>
      <c r="BQ606" t="s">
        <v>74</v>
      </c>
      <c r="BR606" t="s">
        <v>102</v>
      </c>
      <c r="BS606" t="s">
        <v>11081</v>
      </c>
      <c r="BT606" t="str">
        <f>HYPERLINK("https%3A%2F%2Fwww.webofscience.com%2Fwos%2Fwoscc%2Ffull-record%2FWOS:000928070100012","View Full Record in Web of Science")</f>
        <v>View Full Record in Web of Science</v>
      </c>
    </row>
    <row r="607" spans="1:72" x14ac:dyDescent="0.35">
      <c r="A607" t="s">
        <v>8845</v>
      </c>
      <c r="B607" t="s">
        <v>11082</v>
      </c>
      <c r="C607" t="s">
        <v>74</v>
      </c>
      <c r="D607" t="s">
        <v>11083</v>
      </c>
      <c r="E607" t="s">
        <v>74</v>
      </c>
      <c r="F607" t="s">
        <v>11084</v>
      </c>
      <c r="G607" t="s">
        <v>74</v>
      </c>
      <c r="H607" t="s">
        <v>74</v>
      </c>
      <c r="I607" t="s">
        <v>11085</v>
      </c>
      <c r="J607" t="s">
        <v>11086</v>
      </c>
      <c r="K607" t="s">
        <v>11087</v>
      </c>
      <c r="L607" t="s">
        <v>74</v>
      </c>
      <c r="M607" t="s">
        <v>78</v>
      </c>
      <c r="N607" t="s">
        <v>4953</v>
      </c>
      <c r="O607" t="s">
        <v>74</v>
      </c>
      <c r="P607" t="s">
        <v>74</v>
      </c>
      <c r="Q607" t="s">
        <v>74</v>
      </c>
      <c r="R607" t="s">
        <v>74</v>
      </c>
      <c r="S607" t="s">
        <v>74</v>
      </c>
      <c r="T607" t="s">
        <v>74</v>
      </c>
      <c r="U607" t="s">
        <v>11088</v>
      </c>
      <c r="V607" t="s">
        <v>74</v>
      </c>
      <c r="W607" t="s">
        <v>11089</v>
      </c>
      <c r="X607" t="s">
        <v>11090</v>
      </c>
      <c r="Y607" t="s">
        <v>11091</v>
      </c>
      <c r="Z607" t="s">
        <v>74</v>
      </c>
      <c r="AA607" t="s">
        <v>11092</v>
      </c>
      <c r="AB607" t="s">
        <v>74</v>
      </c>
      <c r="AC607" t="s">
        <v>74</v>
      </c>
      <c r="AD607" t="s">
        <v>74</v>
      </c>
      <c r="AE607" t="s">
        <v>74</v>
      </c>
      <c r="AF607" t="s">
        <v>74</v>
      </c>
      <c r="AG607">
        <v>52</v>
      </c>
      <c r="AH607">
        <v>0</v>
      </c>
      <c r="AI607">
        <v>0</v>
      </c>
      <c r="AJ607">
        <v>0</v>
      </c>
      <c r="AK607">
        <v>0</v>
      </c>
      <c r="AL607" t="s">
        <v>8855</v>
      </c>
      <c r="AM607" t="s">
        <v>89</v>
      </c>
      <c r="AN607" t="s">
        <v>8856</v>
      </c>
      <c r="AO607" t="s">
        <v>74</v>
      </c>
      <c r="AP607" t="s">
        <v>74</v>
      </c>
      <c r="AQ607" t="s">
        <v>11093</v>
      </c>
      <c r="AR607" t="s">
        <v>11094</v>
      </c>
      <c r="AS607" t="s">
        <v>74</v>
      </c>
      <c r="AT607" t="s">
        <v>74</v>
      </c>
      <c r="AU607">
        <v>2024</v>
      </c>
      <c r="AV607" t="s">
        <v>74</v>
      </c>
      <c r="AW607" t="s">
        <v>74</v>
      </c>
      <c r="AX607" t="s">
        <v>74</v>
      </c>
      <c r="AY607" t="s">
        <v>74</v>
      </c>
      <c r="AZ607" t="s">
        <v>74</v>
      </c>
      <c r="BA607" t="s">
        <v>74</v>
      </c>
      <c r="BB607">
        <v>369</v>
      </c>
      <c r="BC607">
        <v>379</v>
      </c>
      <c r="BD607" t="s">
        <v>74</v>
      </c>
      <c r="BE607" t="s">
        <v>11095</v>
      </c>
      <c r="BF607" t="str">
        <f>HYPERLINK("http://dx.doi.org/10.4324/9781003200871-41","http://dx.doi.org/10.4324/9781003200871-41")</f>
        <v>http://dx.doi.org/10.4324/9781003200871-41</v>
      </c>
      <c r="BG607" t="s">
        <v>11096</v>
      </c>
      <c r="BH607" t="s">
        <v>74</v>
      </c>
      <c r="BI607">
        <v>11</v>
      </c>
      <c r="BJ607" t="s">
        <v>11097</v>
      </c>
      <c r="BK607" t="s">
        <v>8862</v>
      </c>
      <c r="BL607" t="s">
        <v>11097</v>
      </c>
      <c r="BM607" t="s">
        <v>11098</v>
      </c>
      <c r="BN607" t="s">
        <v>74</v>
      </c>
      <c r="BO607" t="s">
        <v>74</v>
      </c>
      <c r="BP607" t="s">
        <v>74</v>
      </c>
      <c r="BQ607" t="s">
        <v>74</v>
      </c>
      <c r="BR607" t="s">
        <v>102</v>
      </c>
      <c r="BS607" t="s">
        <v>11099</v>
      </c>
      <c r="BT607" t="str">
        <f>HYPERLINK("https%3A%2F%2Fwww.webofscience.com%2Fwos%2Fwoscc%2Ffull-record%2FWOS:001216393200038","View Full Record in Web of Science")</f>
        <v>View Full Record in Web of Science</v>
      </c>
    </row>
    <row r="608" spans="1:72" x14ac:dyDescent="0.35">
      <c r="A608" t="s">
        <v>72</v>
      </c>
      <c r="B608" t="s">
        <v>11100</v>
      </c>
      <c r="C608" t="s">
        <v>74</v>
      </c>
      <c r="D608" t="s">
        <v>74</v>
      </c>
      <c r="E608" t="s">
        <v>74</v>
      </c>
      <c r="F608" t="s">
        <v>11101</v>
      </c>
      <c r="G608" t="s">
        <v>74</v>
      </c>
      <c r="H608" t="s">
        <v>74</v>
      </c>
      <c r="I608" t="s">
        <v>11102</v>
      </c>
      <c r="J608" t="s">
        <v>2649</v>
      </c>
      <c r="K608" t="s">
        <v>74</v>
      </c>
      <c r="L608" t="s">
        <v>74</v>
      </c>
      <c r="M608" t="s">
        <v>78</v>
      </c>
      <c r="N608" t="s">
        <v>108</v>
      </c>
      <c r="O608" t="s">
        <v>74</v>
      </c>
      <c r="P608" t="s">
        <v>74</v>
      </c>
      <c r="Q608" t="s">
        <v>74</v>
      </c>
      <c r="R608" t="s">
        <v>74</v>
      </c>
      <c r="S608" t="s">
        <v>74</v>
      </c>
      <c r="T608" t="s">
        <v>11103</v>
      </c>
      <c r="U608" t="s">
        <v>11104</v>
      </c>
      <c r="V608" t="s">
        <v>11105</v>
      </c>
      <c r="W608" t="s">
        <v>11106</v>
      </c>
      <c r="X608" t="s">
        <v>11107</v>
      </c>
      <c r="Y608" t="s">
        <v>11108</v>
      </c>
      <c r="Z608" t="s">
        <v>6870</v>
      </c>
      <c r="AA608" t="s">
        <v>74</v>
      </c>
      <c r="AB608" t="s">
        <v>11109</v>
      </c>
      <c r="AC608" t="s">
        <v>11110</v>
      </c>
      <c r="AD608" t="s">
        <v>11110</v>
      </c>
      <c r="AE608" t="s">
        <v>11111</v>
      </c>
      <c r="AF608" t="s">
        <v>74</v>
      </c>
      <c r="AG608">
        <v>81</v>
      </c>
      <c r="AH608">
        <v>12</v>
      </c>
      <c r="AI608">
        <v>14</v>
      </c>
      <c r="AJ608">
        <v>2</v>
      </c>
      <c r="AK608">
        <v>43</v>
      </c>
      <c r="AL608" t="s">
        <v>2662</v>
      </c>
      <c r="AM608" t="s">
        <v>2663</v>
      </c>
      <c r="AN608" t="s">
        <v>2664</v>
      </c>
      <c r="AO608" t="s">
        <v>2665</v>
      </c>
      <c r="AP608" t="s">
        <v>74</v>
      </c>
      <c r="AQ608" t="s">
        <v>74</v>
      </c>
      <c r="AR608" t="s">
        <v>2666</v>
      </c>
      <c r="AS608" t="s">
        <v>2667</v>
      </c>
      <c r="AT608" t="s">
        <v>74</v>
      </c>
      <c r="AU608">
        <v>2022</v>
      </c>
      <c r="AV608">
        <v>10</v>
      </c>
      <c r="AW608">
        <v>2</v>
      </c>
      <c r="AX608" t="s">
        <v>74</v>
      </c>
      <c r="AY608" t="s">
        <v>74</v>
      </c>
      <c r="AZ608" t="s">
        <v>74</v>
      </c>
      <c r="BA608" t="s">
        <v>74</v>
      </c>
      <c r="BB608">
        <v>180</v>
      </c>
      <c r="BC608">
        <v>191</v>
      </c>
      <c r="BD608" t="s">
        <v>74</v>
      </c>
      <c r="BE608" t="s">
        <v>11112</v>
      </c>
      <c r="BF608" t="str">
        <f>HYPERLINK("http://dx.doi.org/10.17645/mac.v10i2.5154","http://dx.doi.org/10.17645/mac.v10i2.5154")</f>
        <v>http://dx.doi.org/10.17645/mac.v10i2.5154</v>
      </c>
      <c r="BG608" t="s">
        <v>74</v>
      </c>
      <c r="BH608" t="s">
        <v>74</v>
      </c>
      <c r="BI608">
        <v>12</v>
      </c>
      <c r="BJ608" t="s">
        <v>124</v>
      </c>
      <c r="BK608" t="s">
        <v>99</v>
      </c>
      <c r="BL608" t="s">
        <v>124</v>
      </c>
      <c r="BM608" t="s">
        <v>11113</v>
      </c>
      <c r="BN608" t="s">
        <v>74</v>
      </c>
      <c r="BO608" t="s">
        <v>394</v>
      </c>
      <c r="BP608" t="s">
        <v>74</v>
      </c>
      <c r="BQ608" t="s">
        <v>74</v>
      </c>
      <c r="BR608" t="s">
        <v>102</v>
      </c>
      <c r="BS608" t="s">
        <v>11114</v>
      </c>
      <c r="BT608" t="str">
        <f>HYPERLINK("https%3A%2F%2Fwww.webofscience.com%2Fwos%2Fwoscc%2Ffull-record%2FWOS:000807714800006","View Full Record in Web of Science")</f>
        <v>View Full Record in Web of Science</v>
      </c>
    </row>
    <row r="609" spans="1:72" x14ac:dyDescent="0.35">
      <c r="A609" t="s">
        <v>72</v>
      </c>
      <c r="B609" t="s">
        <v>11115</v>
      </c>
      <c r="C609" t="s">
        <v>74</v>
      </c>
      <c r="D609" t="s">
        <v>74</v>
      </c>
      <c r="E609" t="s">
        <v>74</v>
      </c>
      <c r="F609" t="s">
        <v>11116</v>
      </c>
      <c r="G609" t="s">
        <v>74</v>
      </c>
      <c r="H609" t="s">
        <v>74</v>
      </c>
      <c r="I609" t="s">
        <v>11117</v>
      </c>
      <c r="J609" t="s">
        <v>11118</v>
      </c>
      <c r="K609" t="s">
        <v>74</v>
      </c>
      <c r="L609" t="s">
        <v>74</v>
      </c>
      <c r="M609" t="s">
        <v>78</v>
      </c>
      <c r="N609" t="s">
        <v>79</v>
      </c>
      <c r="O609" t="s">
        <v>74</v>
      </c>
      <c r="P609" t="s">
        <v>74</v>
      </c>
      <c r="Q609" t="s">
        <v>74</v>
      </c>
      <c r="R609" t="s">
        <v>74</v>
      </c>
      <c r="S609" t="s">
        <v>74</v>
      </c>
      <c r="T609" t="s">
        <v>11119</v>
      </c>
      <c r="U609" t="s">
        <v>11120</v>
      </c>
      <c r="V609" t="s">
        <v>11121</v>
      </c>
      <c r="W609" t="s">
        <v>11122</v>
      </c>
      <c r="X609" t="s">
        <v>11123</v>
      </c>
      <c r="Y609" t="s">
        <v>11124</v>
      </c>
      <c r="Z609" t="s">
        <v>11125</v>
      </c>
      <c r="AA609" t="s">
        <v>11126</v>
      </c>
      <c r="AB609" t="s">
        <v>11127</v>
      </c>
      <c r="AC609" t="s">
        <v>74</v>
      </c>
      <c r="AD609" t="s">
        <v>74</v>
      </c>
      <c r="AE609" t="s">
        <v>74</v>
      </c>
      <c r="AF609" t="s">
        <v>74</v>
      </c>
      <c r="AG609">
        <v>20</v>
      </c>
      <c r="AH609">
        <v>18</v>
      </c>
      <c r="AI609">
        <v>18</v>
      </c>
      <c r="AJ609">
        <v>8</v>
      </c>
      <c r="AK609">
        <v>17</v>
      </c>
      <c r="AL609" t="s">
        <v>11128</v>
      </c>
      <c r="AM609" t="s">
        <v>666</v>
      </c>
      <c r="AN609" t="s">
        <v>11129</v>
      </c>
      <c r="AO609" t="s">
        <v>11130</v>
      </c>
      <c r="AP609" t="s">
        <v>11131</v>
      </c>
      <c r="AQ609" t="s">
        <v>74</v>
      </c>
      <c r="AR609" t="s">
        <v>11132</v>
      </c>
      <c r="AS609" t="s">
        <v>11133</v>
      </c>
      <c r="AT609" t="s">
        <v>11134</v>
      </c>
      <c r="AU609">
        <v>2023</v>
      </c>
      <c r="AV609" t="s">
        <v>74</v>
      </c>
      <c r="AW609" t="s">
        <v>74</v>
      </c>
      <c r="AX609" t="s">
        <v>74</v>
      </c>
      <c r="AY609" t="s">
        <v>74</v>
      </c>
      <c r="AZ609" t="s">
        <v>74</v>
      </c>
      <c r="BA609" t="s">
        <v>74</v>
      </c>
      <c r="BB609" t="s">
        <v>74</v>
      </c>
      <c r="BC609" t="s">
        <v>74</v>
      </c>
      <c r="BD609" t="s">
        <v>74</v>
      </c>
      <c r="BE609" t="s">
        <v>11135</v>
      </c>
      <c r="BF609" t="str">
        <f>HYPERLINK("http://dx.doi.org/10.1007/s10803-023-06084-6","http://dx.doi.org/10.1007/s10803-023-06084-6")</f>
        <v>http://dx.doi.org/10.1007/s10803-023-06084-6</v>
      </c>
      <c r="BG609" t="s">
        <v>74</v>
      </c>
      <c r="BH609" t="s">
        <v>3138</v>
      </c>
      <c r="BI609">
        <v>6</v>
      </c>
      <c r="BJ609" t="s">
        <v>11136</v>
      </c>
      <c r="BK609" t="s">
        <v>99</v>
      </c>
      <c r="BL609" t="s">
        <v>301</v>
      </c>
      <c r="BM609" t="s">
        <v>11137</v>
      </c>
      <c r="BN609">
        <v>37544970</v>
      </c>
      <c r="BO609" t="s">
        <v>74</v>
      </c>
      <c r="BP609" t="s">
        <v>74</v>
      </c>
      <c r="BQ609" t="s">
        <v>74</v>
      </c>
      <c r="BR609" t="s">
        <v>102</v>
      </c>
      <c r="BS609" t="s">
        <v>11138</v>
      </c>
      <c r="BT609" t="str">
        <f>HYPERLINK("https%3A%2F%2Fwww.webofscience.com%2Fwos%2Fwoscc%2Ffull-record%2FWOS:001043556800002","View Full Record in Web of Science")</f>
        <v>View Full Record in Web of Science</v>
      </c>
    </row>
    <row r="610" spans="1:72" x14ac:dyDescent="0.35">
      <c r="A610" t="s">
        <v>72</v>
      </c>
      <c r="B610" t="s">
        <v>11139</v>
      </c>
      <c r="C610" t="s">
        <v>74</v>
      </c>
      <c r="D610" t="s">
        <v>74</v>
      </c>
      <c r="E610" t="s">
        <v>74</v>
      </c>
      <c r="F610" t="s">
        <v>11140</v>
      </c>
      <c r="G610" t="s">
        <v>74</v>
      </c>
      <c r="H610" t="s">
        <v>74</v>
      </c>
      <c r="I610" t="s">
        <v>11141</v>
      </c>
      <c r="J610" t="s">
        <v>11142</v>
      </c>
      <c r="K610" t="s">
        <v>74</v>
      </c>
      <c r="L610" t="s">
        <v>74</v>
      </c>
      <c r="M610" t="s">
        <v>78</v>
      </c>
      <c r="N610" t="s">
        <v>108</v>
      </c>
      <c r="O610" t="s">
        <v>74</v>
      </c>
      <c r="P610" t="s">
        <v>74</v>
      </c>
      <c r="Q610" t="s">
        <v>74</v>
      </c>
      <c r="R610" t="s">
        <v>74</v>
      </c>
      <c r="S610" t="s">
        <v>74</v>
      </c>
      <c r="T610" t="s">
        <v>74</v>
      </c>
      <c r="U610" t="s">
        <v>74</v>
      </c>
      <c r="V610" t="s">
        <v>74</v>
      </c>
      <c r="W610" t="s">
        <v>11143</v>
      </c>
      <c r="X610" t="s">
        <v>11144</v>
      </c>
      <c r="Y610" t="s">
        <v>11145</v>
      </c>
      <c r="Z610" t="s">
        <v>11146</v>
      </c>
      <c r="AA610" t="s">
        <v>11147</v>
      </c>
      <c r="AB610" t="s">
        <v>74</v>
      </c>
      <c r="AC610" t="s">
        <v>74</v>
      </c>
      <c r="AD610" t="s">
        <v>74</v>
      </c>
      <c r="AE610" t="s">
        <v>74</v>
      </c>
      <c r="AF610" t="s">
        <v>74</v>
      </c>
      <c r="AG610">
        <v>18</v>
      </c>
      <c r="AH610">
        <v>8</v>
      </c>
      <c r="AI610">
        <v>8</v>
      </c>
      <c r="AJ610">
        <v>0</v>
      </c>
      <c r="AK610">
        <v>5</v>
      </c>
      <c r="AL610" t="s">
        <v>11148</v>
      </c>
      <c r="AM610" t="s">
        <v>11149</v>
      </c>
      <c r="AN610" t="s">
        <v>11150</v>
      </c>
      <c r="AO610" t="s">
        <v>11151</v>
      </c>
      <c r="AP610" t="s">
        <v>11152</v>
      </c>
      <c r="AQ610" t="s">
        <v>74</v>
      </c>
      <c r="AR610" t="s">
        <v>11153</v>
      </c>
      <c r="AS610" t="s">
        <v>11154</v>
      </c>
      <c r="AT610" t="s">
        <v>1275</v>
      </c>
      <c r="AU610">
        <v>2022</v>
      </c>
      <c r="AV610">
        <v>44</v>
      </c>
      <c r="AW610">
        <v>3</v>
      </c>
      <c r="AX610" t="s">
        <v>74</v>
      </c>
      <c r="AY610" t="s">
        <v>74</v>
      </c>
      <c r="AZ610" t="s">
        <v>74</v>
      </c>
      <c r="BA610" t="s">
        <v>74</v>
      </c>
      <c r="BB610">
        <v>389</v>
      </c>
      <c r="BC610">
        <v>395</v>
      </c>
      <c r="BD610" t="s">
        <v>74</v>
      </c>
      <c r="BE610" t="s">
        <v>74</v>
      </c>
      <c r="BF610" t="s">
        <v>74</v>
      </c>
      <c r="BG610" t="s">
        <v>74</v>
      </c>
      <c r="BH610" t="s">
        <v>74</v>
      </c>
      <c r="BI610">
        <v>8</v>
      </c>
      <c r="BJ610" t="s">
        <v>11155</v>
      </c>
      <c r="BK610" t="s">
        <v>99</v>
      </c>
      <c r="BL610" t="s">
        <v>11156</v>
      </c>
      <c r="BM610" t="s">
        <v>11157</v>
      </c>
      <c r="BN610" t="s">
        <v>74</v>
      </c>
      <c r="BO610" t="s">
        <v>74</v>
      </c>
      <c r="BP610" t="s">
        <v>74</v>
      </c>
      <c r="BQ610" t="s">
        <v>74</v>
      </c>
      <c r="BR610" t="s">
        <v>102</v>
      </c>
      <c r="BS610" t="s">
        <v>11158</v>
      </c>
      <c r="BT610" t="str">
        <f>HYPERLINK("https%3A%2F%2Fwww.webofscience.com%2Fwos%2Fwoscc%2Ffull-record%2FWOS:000986527700005","View Full Record in Web of Science")</f>
        <v>View Full Record in Web of Science</v>
      </c>
    </row>
    <row r="611" spans="1:72" x14ac:dyDescent="0.35">
      <c r="A611" t="s">
        <v>72</v>
      </c>
      <c r="B611" t="s">
        <v>11159</v>
      </c>
      <c r="C611" t="s">
        <v>74</v>
      </c>
      <c r="D611" t="s">
        <v>74</v>
      </c>
      <c r="E611" t="s">
        <v>74</v>
      </c>
      <c r="F611" t="s">
        <v>11160</v>
      </c>
      <c r="G611" t="s">
        <v>74</v>
      </c>
      <c r="H611" t="s">
        <v>74</v>
      </c>
      <c r="I611" t="s">
        <v>11161</v>
      </c>
      <c r="J611" t="s">
        <v>11162</v>
      </c>
      <c r="K611" t="s">
        <v>74</v>
      </c>
      <c r="L611" t="s">
        <v>74</v>
      </c>
      <c r="M611" t="s">
        <v>8769</v>
      </c>
      <c r="N611" t="s">
        <v>108</v>
      </c>
      <c r="O611" t="s">
        <v>74</v>
      </c>
      <c r="P611" t="s">
        <v>74</v>
      </c>
      <c r="Q611" t="s">
        <v>74</v>
      </c>
      <c r="R611" t="s">
        <v>74</v>
      </c>
      <c r="S611" t="s">
        <v>74</v>
      </c>
      <c r="T611" t="s">
        <v>74</v>
      </c>
      <c r="U611" t="s">
        <v>74</v>
      </c>
      <c r="V611" t="s">
        <v>74</v>
      </c>
      <c r="W611" t="s">
        <v>11163</v>
      </c>
      <c r="X611" t="s">
        <v>11164</v>
      </c>
      <c r="Y611" t="s">
        <v>11165</v>
      </c>
      <c r="Z611" t="s">
        <v>74</v>
      </c>
      <c r="AA611" t="s">
        <v>11166</v>
      </c>
      <c r="AB611" t="s">
        <v>74</v>
      </c>
      <c r="AC611" t="s">
        <v>74</v>
      </c>
      <c r="AD611" t="s">
        <v>74</v>
      </c>
      <c r="AE611" t="s">
        <v>74</v>
      </c>
      <c r="AF611" t="s">
        <v>74</v>
      </c>
      <c r="AG611">
        <v>19</v>
      </c>
      <c r="AH611">
        <v>0</v>
      </c>
      <c r="AI611">
        <v>0</v>
      </c>
      <c r="AJ611">
        <v>0</v>
      </c>
      <c r="AK611">
        <v>2</v>
      </c>
      <c r="AL611" t="s">
        <v>8773</v>
      </c>
      <c r="AM611" t="s">
        <v>8774</v>
      </c>
      <c r="AN611" t="s">
        <v>8775</v>
      </c>
      <c r="AO611" t="s">
        <v>11167</v>
      </c>
      <c r="AP611" t="s">
        <v>74</v>
      </c>
      <c r="AQ611" t="s">
        <v>74</v>
      </c>
      <c r="AR611" t="s">
        <v>11168</v>
      </c>
      <c r="AS611" t="s">
        <v>11169</v>
      </c>
      <c r="AT611" t="s">
        <v>74</v>
      </c>
      <c r="AU611">
        <v>2022</v>
      </c>
      <c r="AV611">
        <v>14</v>
      </c>
      <c r="AW611">
        <v>2</v>
      </c>
      <c r="AX611" t="s">
        <v>74</v>
      </c>
      <c r="AY611" t="s">
        <v>74</v>
      </c>
      <c r="AZ611" t="s">
        <v>74</v>
      </c>
      <c r="BA611" t="s">
        <v>74</v>
      </c>
      <c r="BB611">
        <v>131</v>
      </c>
      <c r="BC611">
        <v>139</v>
      </c>
      <c r="BD611" t="s">
        <v>74</v>
      </c>
      <c r="BE611" t="s">
        <v>74</v>
      </c>
      <c r="BF611" t="s">
        <v>74</v>
      </c>
      <c r="BG611" t="s">
        <v>74</v>
      </c>
      <c r="BH611" t="s">
        <v>74</v>
      </c>
      <c r="BI611">
        <v>9</v>
      </c>
      <c r="BJ611" t="s">
        <v>3284</v>
      </c>
      <c r="BK611" t="s">
        <v>125</v>
      </c>
      <c r="BL611" t="s">
        <v>3285</v>
      </c>
      <c r="BM611" t="s">
        <v>11170</v>
      </c>
      <c r="BN611" t="s">
        <v>74</v>
      </c>
      <c r="BO611" t="s">
        <v>74</v>
      </c>
      <c r="BP611" t="s">
        <v>74</v>
      </c>
      <c r="BQ611" t="s">
        <v>74</v>
      </c>
      <c r="BR611" t="s">
        <v>102</v>
      </c>
      <c r="BS611" t="s">
        <v>11171</v>
      </c>
      <c r="BT611" t="str">
        <f>HYPERLINK("https%3A%2F%2Fwww.webofscience.com%2Fwos%2Fwoscc%2Ffull-record%2FWOS:000967999800007","View Full Record in Web of Science")</f>
        <v>View Full Record in Web of Science</v>
      </c>
    </row>
    <row r="612" spans="1:72" x14ac:dyDescent="0.35">
      <c r="A612" t="s">
        <v>72</v>
      </c>
      <c r="B612" t="s">
        <v>11172</v>
      </c>
      <c r="C612" t="s">
        <v>74</v>
      </c>
      <c r="D612" t="s">
        <v>74</v>
      </c>
      <c r="E612" t="s">
        <v>74</v>
      </c>
      <c r="F612" t="s">
        <v>11173</v>
      </c>
      <c r="G612" t="s">
        <v>74</v>
      </c>
      <c r="H612" t="s">
        <v>74</v>
      </c>
      <c r="I612" t="s">
        <v>11174</v>
      </c>
      <c r="J612" t="s">
        <v>8784</v>
      </c>
      <c r="K612" t="s">
        <v>74</v>
      </c>
      <c r="L612" t="s">
        <v>74</v>
      </c>
      <c r="M612" t="s">
        <v>78</v>
      </c>
      <c r="N612" t="s">
        <v>108</v>
      </c>
      <c r="O612" t="s">
        <v>74</v>
      </c>
      <c r="P612" t="s">
        <v>74</v>
      </c>
      <c r="Q612" t="s">
        <v>74</v>
      </c>
      <c r="R612" t="s">
        <v>74</v>
      </c>
      <c r="S612" t="s">
        <v>74</v>
      </c>
      <c r="T612" t="s">
        <v>74</v>
      </c>
      <c r="U612" t="s">
        <v>74</v>
      </c>
      <c r="V612" t="s">
        <v>74</v>
      </c>
      <c r="W612" t="s">
        <v>11175</v>
      </c>
      <c r="X612" t="s">
        <v>11176</v>
      </c>
      <c r="Y612" t="s">
        <v>11177</v>
      </c>
      <c r="Z612" t="s">
        <v>11178</v>
      </c>
      <c r="AA612" t="s">
        <v>8789</v>
      </c>
      <c r="AB612" t="s">
        <v>74</v>
      </c>
      <c r="AC612" t="s">
        <v>74</v>
      </c>
      <c r="AD612" t="s">
        <v>74</v>
      </c>
      <c r="AE612" t="s">
        <v>74</v>
      </c>
      <c r="AF612" t="s">
        <v>74</v>
      </c>
      <c r="AG612">
        <v>22</v>
      </c>
      <c r="AH612">
        <v>2</v>
      </c>
      <c r="AI612">
        <v>2</v>
      </c>
      <c r="AJ612">
        <v>1</v>
      </c>
      <c r="AK612">
        <v>2</v>
      </c>
      <c r="AL612" t="s">
        <v>1901</v>
      </c>
      <c r="AM612" t="s">
        <v>995</v>
      </c>
      <c r="AN612" t="s">
        <v>1902</v>
      </c>
      <c r="AO612" t="s">
        <v>8791</v>
      </c>
      <c r="AP612" t="s">
        <v>8792</v>
      </c>
      <c r="AQ612" t="s">
        <v>74</v>
      </c>
      <c r="AR612" t="s">
        <v>8793</v>
      </c>
      <c r="AS612" t="s">
        <v>8794</v>
      </c>
      <c r="AT612" t="s">
        <v>273</v>
      </c>
      <c r="AU612">
        <v>2024</v>
      </c>
      <c r="AV612">
        <v>31</v>
      </c>
      <c r="AW612">
        <v>4</v>
      </c>
      <c r="AX612" t="s">
        <v>74</v>
      </c>
      <c r="AY612" t="s">
        <v>74</v>
      </c>
      <c r="AZ612" t="s">
        <v>74</v>
      </c>
      <c r="BA612" t="s">
        <v>74</v>
      </c>
      <c r="BB612">
        <v>278</v>
      </c>
      <c r="BC612">
        <v>280</v>
      </c>
      <c r="BD612" t="s">
        <v>74</v>
      </c>
      <c r="BE612" t="s">
        <v>11179</v>
      </c>
      <c r="BF612" t="str">
        <f>HYPERLINK("http://dx.doi.org/10.1097/PAP.0000000000000437","http://dx.doi.org/10.1097/PAP.0000000000000437")</f>
        <v>http://dx.doi.org/10.1097/PAP.0000000000000437</v>
      </c>
      <c r="BG612" t="s">
        <v>74</v>
      </c>
      <c r="BH612" t="s">
        <v>74</v>
      </c>
      <c r="BI612">
        <v>3</v>
      </c>
      <c r="BJ612" t="s">
        <v>8796</v>
      </c>
      <c r="BK612" t="s">
        <v>209</v>
      </c>
      <c r="BL612" t="s">
        <v>8796</v>
      </c>
      <c r="BM612" t="s">
        <v>11180</v>
      </c>
      <c r="BN612">
        <v>38314570</v>
      </c>
      <c r="BO612" t="s">
        <v>74</v>
      </c>
      <c r="BP612" t="s">
        <v>74</v>
      </c>
      <c r="BQ612" t="s">
        <v>74</v>
      </c>
      <c r="BR612" t="s">
        <v>102</v>
      </c>
      <c r="BS612" t="s">
        <v>11181</v>
      </c>
      <c r="BT612" t="str">
        <f>HYPERLINK("https%3A%2F%2Fwww.webofscience.com%2Fwos%2Fwoscc%2Ffull-record%2FWOS:001241593800008","View Full Record in Web of Science")</f>
        <v>View Full Record in Web of Science</v>
      </c>
    </row>
    <row r="613" spans="1:72" x14ac:dyDescent="0.35">
      <c r="A613" t="s">
        <v>72</v>
      </c>
      <c r="B613" t="s">
        <v>11182</v>
      </c>
      <c r="C613" t="s">
        <v>74</v>
      </c>
      <c r="D613" t="s">
        <v>74</v>
      </c>
      <c r="E613" t="s">
        <v>74</v>
      </c>
      <c r="F613" t="s">
        <v>11183</v>
      </c>
      <c r="G613" t="s">
        <v>74</v>
      </c>
      <c r="H613" t="s">
        <v>74</v>
      </c>
      <c r="I613" t="s">
        <v>11184</v>
      </c>
      <c r="J613" t="s">
        <v>11185</v>
      </c>
      <c r="K613" t="s">
        <v>74</v>
      </c>
      <c r="L613" t="s">
        <v>74</v>
      </c>
      <c r="M613" t="s">
        <v>78</v>
      </c>
      <c r="N613" t="s">
        <v>79</v>
      </c>
      <c r="O613" t="s">
        <v>74</v>
      </c>
      <c r="P613" t="s">
        <v>74</v>
      </c>
      <c r="Q613" t="s">
        <v>74</v>
      </c>
      <c r="R613" t="s">
        <v>74</v>
      </c>
      <c r="S613" t="s">
        <v>74</v>
      </c>
      <c r="T613" t="s">
        <v>11186</v>
      </c>
      <c r="U613" t="s">
        <v>74</v>
      </c>
      <c r="V613" t="s">
        <v>11187</v>
      </c>
      <c r="W613" t="s">
        <v>11188</v>
      </c>
      <c r="X613" t="s">
        <v>11189</v>
      </c>
      <c r="Y613" t="s">
        <v>11190</v>
      </c>
      <c r="Z613" t="s">
        <v>11191</v>
      </c>
      <c r="AA613" t="s">
        <v>74</v>
      </c>
      <c r="AB613" t="s">
        <v>74</v>
      </c>
      <c r="AC613" t="s">
        <v>11192</v>
      </c>
      <c r="AD613" t="s">
        <v>11193</v>
      </c>
      <c r="AE613" t="s">
        <v>11194</v>
      </c>
      <c r="AF613" t="s">
        <v>74</v>
      </c>
      <c r="AG613">
        <v>25</v>
      </c>
      <c r="AH613">
        <v>0</v>
      </c>
      <c r="AI613">
        <v>0</v>
      </c>
      <c r="AJ613">
        <v>0</v>
      </c>
      <c r="AK613">
        <v>0</v>
      </c>
      <c r="AL613" t="s">
        <v>88</v>
      </c>
      <c r="AM613" t="s">
        <v>89</v>
      </c>
      <c r="AN613" t="s">
        <v>90</v>
      </c>
      <c r="AO613" t="s">
        <v>11195</v>
      </c>
      <c r="AP613" t="s">
        <v>11196</v>
      </c>
      <c r="AQ613" t="s">
        <v>74</v>
      </c>
      <c r="AR613" t="s">
        <v>11197</v>
      </c>
      <c r="AS613" t="s">
        <v>11198</v>
      </c>
      <c r="AT613" t="s">
        <v>11199</v>
      </c>
      <c r="AU613">
        <v>2024</v>
      </c>
      <c r="AV613" t="s">
        <v>74</v>
      </c>
      <c r="AW613" t="s">
        <v>74</v>
      </c>
      <c r="AX613" t="s">
        <v>74</v>
      </c>
      <c r="AY613" t="s">
        <v>74</v>
      </c>
      <c r="AZ613" t="s">
        <v>74</v>
      </c>
      <c r="BA613" t="s">
        <v>74</v>
      </c>
      <c r="BB613" t="s">
        <v>74</v>
      </c>
      <c r="BC613" t="s">
        <v>74</v>
      </c>
      <c r="BD613" t="s">
        <v>74</v>
      </c>
      <c r="BE613" t="s">
        <v>11200</v>
      </c>
      <c r="BF613" t="str">
        <f>HYPERLINK("http://dx.doi.org/10.1080/13696815.2024.2415355","http://dx.doi.org/10.1080/13696815.2024.2415355")</f>
        <v>http://dx.doi.org/10.1080/13696815.2024.2415355</v>
      </c>
      <c r="BG613" t="s">
        <v>74</v>
      </c>
      <c r="BH613" t="s">
        <v>4092</v>
      </c>
      <c r="BI613">
        <v>18</v>
      </c>
      <c r="BJ613" t="s">
        <v>2124</v>
      </c>
      <c r="BK613" t="s">
        <v>2125</v>
      </c>
      <c r="BL613" t="s">
        <v>2124</v>
      </c>
      <c r="BM613" t="s">
        <v>11201</v>
      </c>
      <c r="BN613" t="s">
        <v>74</v>
      </c>
      <c r="BO613" t="s">
        <v>74</v>
      </c>
      <c r="BP613" t="s">
        <v>74</v>
      </c>
      <c r="BQ613" t="s">
        <v>74</v>
      </c>
      <c r="BR613" t="s">
        <v>102</v>
      </c>
      <c r="BS613" t="s">
        <v>11202</v>
      </c>
      <c r="BT613" t="str">
        <f>HYPERLINK("https%3A%2F%2Fwww.webofscience.com%2Fwos%2Fwoscc%2Ffull-record%2FWOS:001355025100001","View Full Record in Web of Science")</f>
        <v>View Full Record in Web of Science</v>
      </c>
    </row>
    <row r="614" spans="1:72" x14ac:dyDescent="0.35">
      <c r="A614" t="s">
        <v>72</v>
      </c>
      <c r="B614" t="s">
        <v>11203</v>
      </c>
      <c r="C614" t="s">
        <v>74</v>
      </c>
      <c r="D614" t="s">
        <v>74</v>
      </c>
      <c r="E614" t="s">
        <v>74</v>
      </c>
      <c r="F614" t="s">
        <v>11204</v>
      </c>
      <c r="G614" t="s">
        <v>74</v>
      </c>
      <c r="H614" t="s">
        <v>74</v>
      </c>
      <c r="I614" t="s">
        <v>11205</v>
      </c>
      <c r="J614" t="s">
        <v>8197</v>
      </c>
      <c r="K614" t="s">
        <v>74</v>
      </c>
      <c r="L614" t="s">
        <v>74</v>
      </c>
      <c r="M614" t="s">
        <v>78</v>
      </c>
      <c r="N614" t="s">
        <v>108</v>
      </c>
      <c r="O614" t="s">
        <v>74</v>
      </c>
      <c r="P614" t="s">
        <v>74</v>
      </c>
      <c r="Q614" t="s">
        <v>74</v>
      </c>
      <c r="R614" t="s">
        <v>74</v>
      </c>
      <c r="S614" t="s">
        <v>74</v>
      </c>
      <c r="T614" t="s">
        <v>74</v>
      </c>
      <c r="U614" t="s">
        <v>11206</v>
      </c>
      <c r="V614" t="s">
        <v>11207</v>
      </c>
      <c r="W614" t="s">
        <v>11208</v>
      </c>
      <c r="X614" t="s">
        <v>11209</v>
      </c>
      <c r="Y614" t="s">
        <v>11210</v>
      </c>
      <c r="Z614" t="s">
        <v>11211</v>
      </c>
      <c r="AA614" t="s">
        <v>74</v>
      </c>
      <c r="AB614" t="s">
        <v>11212</v>
      </c>
      <c r="AC614" t="s">
        <v>74</v>
      </c>
      <c r="AD614" t="s">
        <v>74</v>
      </c>
      <c r="AE614" t="s">
        <v>74</v>
      </c>
      <c r="AF614" t="s">
        <v>74</v>
      </c>
      <c r="AG614">
        <v>76</v>
      </c>
      <c r="AH614">
        <v>1</v>
      </c>
      <c r="AI614">
        <v>1</v>
      </c>
      <c r="AJ614">
        <v>11</v>
      </c>
      <c r="AK614">
        <v>11</v>
      </c>
      <c r="AL614" t="s">
        <v>994</v>
      </c>
      <c r="AM614" t="s">
        <v>995</v>
      </c>
      <c r="AN614" t="s">
        <v>996</v>
      </c>
      <c r="AO614" t="s">
        <v>8209</v>
      </c>
      <c r="AP614" t="s">
        <v>8210</v>
      </c>
      <c r="AQ614" t="s">
        <v>74</v>
      </c>
      <c r="AR614" t="s">
        <v>8211</v>
      </c>
      <c r="AS614" t="s">
        <v>8212</v>
      </c>
      <c r="AT614" t="s">
        <v>9212</v>
      </c>
      <c r="AU614">
        <v>2024</v>
      </c>
      <c r="AV614">
        <v>29</v>
      </c>
      <c r="AW614">
        <v>9</v>
      </c>
      <c r="AX614" t="s">
        <v>74</v>
      </c>
      <c r="AY614" t="s">
        <v>74</v>
      </c>
      <c r="AZ614" t="s">
        <v>74</v>
      </c>
      <c r="BA614" t="s">
        <v>74</v>
      </c>
      <c r="BB614">
        <v>590</v>
      </c>
      <c r="BC614">
        <v>601</v>
      </c>
      <c r="BD614" t="s">
        <v>74</v>
      </c>
      <c r="BE614" t="s">
        <v>11213</v>
      </c>
      <c r="BF614" t="str">
        <f>HYPERLINK("http://dx.doi.org/10.1080/10810730.2024.2394774","http://dx.doi.org/10.1080/10810730.2024.2394774")</f>
        <v>http://dx.doi.org/10.1080/10810730.2024.2394774</v>
      </c>
      <c r="BG614" t="s">
        <v>74</v>
      </c>
      <c r="BH614" t="s">
        <v>2444</v>
      </c>
      <c r="BI614">
        <v>12</v>
      </c>
      <c r="BJ614" t="s">
        <v>5240</v>
      </c>
      <c r="BK614" t="s">
        <v>99</v>
      </c>
      <c r="BL614" t="s">
        <v>5240</v>
      </c>
      <c r="BM614" t="s">
        <v>11214</v>
      </c>
      <c r="BN614">
        <v>39186489</v>
      </c>
      <c r="BO614" t="s">
        <v>156</v>
      </c>
      <c r="BP614" t="s">
        <v>74</v>
      </c>
      <c r="BQ614" t="s">
        <v>74</v>
      </c>
      <c r="BR614" t="s">
        <v>102</v>
      </c>
      <c r="BS614" t="s">
        <v>11215</v>
      </c>
      <c r="BT614" t="str">
        <f>HYPERLINK("https%3A%2F%2Fwww.webofscience.com%2Fwos%2Fwoscc%2Ffull-record%2FWOS:001298440900001","View Full Record in Web of Science")</f>
        <v>View Full Record in Web of Science</v>
      </c>
    </row>
    <row r="615" spans="1:72" x14ac:dyDescent="0.35">
      <c r="A615" t="s">
        <v>72</v>
      </c>
      <c r="B615" t="s">
        <v>11216</v>
      </c>
      <c r="C615" t="s">
        <v>74</v>
      </c>
      <c r="D615" t="s">
        <v>74</v>
      </c>
      <c r="E615" t="s">
        <v>74</v>
      </c>
      <c r="F615" t="s">
        <v>11217</v>
      </c>
      <c r="G615" t="s">
        <v>74</v>
      </c>
      <c r="H615" t="s">
        <v>74</v>
      </c>
      <c r="I615" t="s">
        <v>11218</v>
      </c>
      <c r="J615" t="s">
        <v>3109</v>
      </c>
      <c r="K615" t="s">
        <v>74</v>
      </c>
      <c r="L615" t="s">
        <v>74</v>
      </c>
      <c r="M615" t="s">
        <v>78</v>
      </c>
      <c r="N615" t="s">
        <v>108</v>
      </c>
      <c r="O615" t="s">
        <v>74</v>
      </c>
      <c r="P615" t="s">
        <v>74</v>
      </c>
      <c r="Q615" t="s">
        <v>74</v>
      </c>
      <c r="R615" t="s">
        <v>74</v>
      </c>
      <c r="S615" t="s">
        <v>74</v>
      </c>
      <c r="T615" t="s">
        <v>11219</v>
      </c>
      <c r="U615" t="s">
        <v>11220</v>
      </c>
      <c r="V615" t="s">
        <v>11221</v>
      </c>
      <c r="W615" t="s">
        <v>11222</v>
      </c>
      <c r="X615" t="s">
        <v>11223</v>
      </c>
      <c r="Y615" t="s">
        <v>11224</v>
      </c>
      <c r="Z615" t="s">
        <v>11225</v>
      </c>
      <c r="AA615" t="s">
        <v>74</v>
      </c>
      <c r="AB615" t="s">
        <v>74</v>
      </c>
      <c r="AC615" t="s">
        <v>74</v>
      </c>
      <c r="AD615" t="s">
        <v>74</v>
      </c>
      <c r="AE615" t="s">
        <v>74</v>
      </c>
      <c r="AF615" t="s">
        <v>74</v>
      </c>
      <c r="AG615">
        <v>49</v>
      </c>
      <c r="AH615">
        <v>2</v>
      </c>
      <c r="AI615">
        <v>2</v>
      </c>
      <c r="AJ615">
        <v>4</v>
      </c>
      <c r="AK615">
        <v>26</v>
      </c>
      <c r="AL615" t="s">
        <v>226</v>
      </c>
      <c r="AM615" t="s">
        <v>227</v>
      </c>
      <c r="AN615" t="s">
        <v>228</v>
      </c>
      <c r="AO615" t="s">
        <v>3118</v>
      </c>
      <c r="AP615" t="s">
        <v>3119</v>
      </c>
      <c r="AQ615" t="s">
        <v>74</v>
      </c>
      <c r="AR615" t="s">
        <v>3120</v>
      </c>
      <c r="AS615" t="s">
        <v>3121</v>
      </c>
      <c r="AT615" t="s">
        <v>1275</v>
      </c>
      <c r="AU615">
        <v>2022</v>
      </c>
      <c r="AV615">
        <v>7</v>
      </c>
      <c r="AW615">
        <v>4</v>
      </c>
      <c r="AX615" t="s">
        <v>74</v>
      </c>
      <c r="AY615" t="s">
        <v>74</v>
      </c>
      <c r="AZ615" t="s">
        <v>74</v>
      </c>
      <c r="BA615" t="s">
        <v>74</v>
      </c>
      <c r="BB615">
        <v>400</v>
      </c>
      <c r="BC615">
        <v>421</v>
      </c>
      <c r="BD615" t="s">
        <v>74</v>
      </c>
      <c r="BE615" t="s">
        <v>11226</v>
      </c>
      <c r="BF615" t="str">
        <f>HYPERLINK("http://dx.doi.org/10.1177/20594364221131134","http://dx.doi.org/10.1177/20594364221131134")</f>
        <v>http://dx.doi.org/10.1177/20594364221131134</v>
      </c>
      <c r="BG615" t="s">
        <v>74</v>
      </c>
      <c r="BH615" t="s">
        <v>74</v>
      </c>
      <c r="BI615">
        <v>22</v>
      </c>
      <c r="BJ615" t="s">
        <v>124</v>
      </c>
      <c r="BK615" t="s">
        <v>125</v>
      </c>
      <c r="BL615" t="s">
        <v>124</v>
      </c>
      <c r="BM615" t="s">
        <v>11227</v>
      </c>
      <c r="BN615" t="s">
        <v>74</v>
      </c>
      <c r="BO615" t="s">
        <v>235</v>
      </c>
      <c r="BP615" t="s">
        <v>74</v>
      </c>
      <c r="BQ615" t="s">
        <v>74</v>
      </c>
      <c r="BR615" t="s">
        <v>102</v>
      </c>
      <c r="BS615" t="s">
        <v>11228</v>
      </c>
      <c r="BT615" t="str">
        <f>HYPERLINK("https%3A%2F%2Fwww.webofscience.com%2Fwos%2Fwoscc%2Ffull-record%2FWOS:000892958800002","View Full Record in Web of Science")</f>
        <v>View Full Record in Web of Science</v>
      </c>
    </row>
    <row r="616" spans="1:72" x14ac:dyDescent="0.35">
      <c r="A616" t="s">
        <v>72</v>
      </c>
      <c r="B616" t="s">
        <v>11229</v>
      </c>
      <c r="C616" t="s">
        <v>74</v>
      </c>
      <c r="D616" t="s">
        <v>74</v>
      </c>
      <c r="E616" t="s">
        <v>74</v>
      </c>
      <c r="F616" t="s">
        <v>11230</v>
      </c>
      <c r="G616" t="s">
        <v>74</v>
      </c>
      <c r="H616" t="s">
        <v>74</v>
      </c>
      <c r="I616" t="s">
        <v>11231</v>
      </c>
      <c r="J616" t="s">
        <v>6288</v>
      </c>
      <c r="K616" t="s">
        <v>74</v>
      </c>
      <c r="L616" t="s">
        <v>74</v>
      </c>
      <c r="M616" t="s">
        <v>78</v>
      </c>
      <c r="N616" t="s">
        <v>108</v>
      </c>
      <c r="O616" t="s">
        <v>74</v>
      </c>
      <c r="P616" t="s">
        <v>74</v>
      </c>
      <c r="Q616" t="s">
        <v>74</v>
      </c>
      <c r="R616" t="s">
        <v>74</v>
      </c>
      <c r="S616" t="s">
        <v>74</v>
      </c>
      <c r="T616" t="s">
        <v>11232</v>
      </c>
      <c r="U616" t="s">
        <v>11233</v>
      </c>
      <c r="V616" t="s">
        <v>11234</v>
      </c>
      <c r="W616" t="s">
        <v>11235</v>
      </c>
      <c r="X616" t="s">
        <v>11236</v>
      </c>
      <c r="Y616" t="s">
        <v>11237</v>
      </c>
      <c r="Z616" t="s">
        <v>11238</v>
      </c>
      <c r="AA616" t="s">
        <v>74</v>
      </c>
      <c r="AB616" t="s">
        <v>11239</v>
      </c>
      <c r="AC616" t="s">
        <v>74</v>
      </c>
      <c r="AD616" t="s">
        <v>74</v>
      </c>
      <c r="AE616" t="s">
        <v>74</v>
      </c>
      <c r="AF616" t="s">
        <v>74</v>
      </c>
      <c r="AG616">
        <v>36</v>
      </c>
      <c r="AH616">
        <v>2</v>
      </c>
      <c r="AI616">
        <v>2</v>
      </c>
      <c r="AJ616">
        <v>27</v>
      </c>
      <c r="AK616">
        <v>27</v>
      </c>
      <c r="AL616" t="s">
        <v>1965</v>
      </c>
      <c r="AM616" t="s">
        <v>666</v>
      </c>
      <c r="AN616" t="s">
        <v>1966</v>
      </c>
      <c r="AO616" t="s">
        <v>6297</v>
      </c>
      <c r="AP616" t="s">
        <v>6298</v>
      </c>
      <c r="AQ616" t="s">
        <v>74</v>
      </c>
      <c r="AR616" t="s">
        <v>6299</v>
      </c>
      <c r="AS616" t="s">
        <v>6300</v>
      </c>
      <c r="AT616" t="s">
        <v>257</v>
      </c>
      <c r="AU616">
        <v>2024</v>
      </c>
      <c r="AV616">
        <v>74</v>
      </c>
      <c r="AW616">
        <v>6</v>
      </c>
      <c r="AX616" t="s">
        <v>74</v>
      </c>
      <c r="AY616" t="s">
        <v>74</v>
      </c>
      <c r="AZ616" t="s">
        <v>74</v>
      </c>
      <c r="BA616" t="s">
        <v>74</v>
      </c>
      <c r="BB616">
        <v>1184</v>
      </c>
      <c r="BC616">
        <v>1190</v>
      </c>
      <c r="BD616" t="s">
        <v>74</v>
      </c>
      <c r="BE616" t="s">
        <v>11240</v>
      </c>
      <c r="BF616" t="str">
        <f>HYPERLINK("http://dx.doi.org/10.1016/j.jadohealth.2024.02.002","http://dx.doi.org/10.1016/j.jadohealth.2024.02.002")</f>
        <v>http://dx.doi.org/10.1016/j.jadohealth.2024.02.002</v>
      </c>
      <c r="BG616" t="s">
        <v>74</v>
      </c>
      <c r="BH616" t="s">
        <v>1467</v>
      </c>
      <c r="BI616">
        <v>7</v>
      </c>
      <c r="BJ616" t="s">
        <v>6302</v>
      </c>
      <c r="BK616" t="s">
        <v>182</v>
      </c>
      <c r="BL616" t="s">
        <v>6303</v>
      </c>
      <c r="BM616" t="s">
        <v>11241</v>
      </c>
      <c r="BN616">
        <v>38493396</v>
      </c>
      <c r="BO616" t="s">
        <v>74</v>
      </c>
      <c r="BP616" t="s">
        <v>74</v>
      </c>
      <c r="BQ616" t="s">
        <v>74</v>
      </c>
      <c r="BR616" t="s">
        <v>102</v>
      </c>
      <c r="BS616" t="s">
        <v>11242</v>
      </c>
      <c r="BT616" t="str">
        <f>HYPERLINK("https%3A%2F%2Fwww.webofscience.com%2Fwos%2Fwoscc%2Ffull-record%2FWOS:001242819300002","View Full Record in Web of Science")</f>
        <v>View Full Record in Web of Science</v>
      </c>
    </row>
    <row r="617" spans="1:72" x14ac:dyDescent="0.35">
      <c r="A617" t="s">
        <v>72</v>
      </c>
      <c r="B617" t="s">
        <v>11243</v>
      </c>
      <c r="C617" t="s">
        <v>74</v>
      </c>
      <c r="D617" t="s">
        <v>74</v>
      </c>
      <c r="E617" t="s">
        <v>74</v>
      </c>
      <c r="F617" t="s">
        <v>11244</v>
      </c>
      <c r="G617" t="s">
        <v>74</v>
      </c>
      <c r="H617" t="s">
        <v>74</v>
      </c>
      <c r="I617" t="s">
        <v>11245</v>
      </c>
      <c r="J617" t="s">
        <v>11246</v>
      </c>
      <c r="K617" t="s">
        <v>74</v>
      </c>
      <c r="L617" t="s">
        <v>74</v>
      </c>
      <c r="M617" t="s">
        <v>78</v>
      </c>
      <c r="N617" t="s">
        <v>108</v>
      </c>
      <c r="O617" t="s">
        <v>74</v>
      </c>
      <c r="P617" t="s">
        <v>74</v>
      </c>
      <c r="Q617" t="s">
        <v>74</v>
      </c>
      <c r="R617" t="s">
        <v>74</v>
      </c>
      <c r="S617" t="s">
        <v>74</v>
      </c>
      <c r="T617" t="s">
        <v>11247</v>
      </c>
      <c r="U617" t="s">
        <v>11248</v>
      </c>
      <c r="V617" t="s">
        <v>11249</v>
      </c>
      <c r="W617" t="s">
        <v>11250</v>
      </c>
      <c r="X617" t="s">
        <v>11251</v>
      </c>
      <c r="Y617" t="s">
        <v>11252</v>
      </c>
      <c r="Z617" t="s">
        <v>11253</v>
      </c>
      <c r="AA617" t="s">
        <v>74</v>
      </c>
      <c r="AB617" t="s">
        <v>11254</v>
      </c>
      <c r="AC617" t="s">
        <v>74</v>
      </c>
      <c r="AD617" t="s">
        <v>74</v>
      </c>
      <c r="AE617" t="s">
        <v>74</v>
      </c>
      <c r="AF617" t="s">
        <v>74</v>
      </c>
      <c r="AG617">
        <v>44</v>
      </c>
      <c r="AH617">
        <v>7</v>
      </c>
      <c r="AI617">
        <v>7</v>
      </c>
      <c r="AJ617">
        <v>11</v>
      </c>
      <c r="AK617">
        <v>42</v>
      </c>
      <c r="AL617" t="s">
        <v>357</v>
      </c>
      <c r="AM617" t="s">
        <v>358</v>
      </c>
      <c r="AN617" t="s">
        <v>359</v>
      </c>
      <c r="AO617" t="s">
        <v>11255</v>
      </c>
      <c r="AP617" t="s">
        <v>11256</v>
      </c>
      <c r="AQ617" t="s">
        <v>74</v>
      </c>
      <c r="AR617" t="s">
        <v>11257</v>
      </c>
      <c r="AS617" t="s">
        <v>11258</v>
      </c>
      <c r="AT617" t="s">
        <v>11259</v>
      </c>
      <c r="AU617">
        <v>2024</v>
      </c>
      <c r="AV617">
        <v>6</v>
      </c>
      <c r="AW617">
        <v>1</v>
      </c>
      <c r="AX617" t="s">
        <v>74</v>
      </c>
      <c r="AY617" t="s">
        <v>74</v>
      </c>
      <c r="AZ617" t="s">
        <v>74</v>
      </c>
      <c r="BA617" t="s">
        <v>74</v>
      </c>
      <c r="BB617">
        <v>95</v>
      </c>
      <c r="BC617">
        <v>105</v>
      </c>
      <c r="BD617" t="s">
        <v>74</v>
      </c>
      <c r="BE617" t="s">
        <v>11260</v>
      </c>
      <c r="BF617" t="str">
        <f>HYPERLINK("http://dx.doi.org/10.1089/aut.2023.0019","http://dx.doi.org/10.1089/aut.2023.0019")</f>
        <v>http://dx.doi.org/10.1089/aut.2023.0019</v>
      </c>
      <c r="BG617" t="s">
        <v>74</v>
      </c>
      <c r="BH617" t="s">
        <v>1180</v>
      </c>
      <c r="BI617">
        <v>11</v>
      </c>
      <c r="BJ617" t="s">
        <v>11261</v>
      </c>
      <c r="BK617" t="s">
        <v>125</v>
      </c>
      <c r="BL617" t="s">
        <v>11262</v>
      </c>
      <c r="BM617" t="s">
        <v>11263</v>
      </c>
      <c r="BN617">
        <v>38435322</v>
      </c>
      <c r="BO617" t="s">
        <v>74</v>
      </c>
      <c r="BP617" t="s">
        <v>74</v>
      </c>
      <c r="BQ617" t="s">
        <v>74</v>
      </c>
      <c r="BR617" t="s">
        <v>102</v>
      </c>
      <c r="BS617" t="s">
        <v>11264</v>
      </c>
      <c r="BT617" t="str">
        <f>HYPERLINK("https%3A%2F%2Fwww.webofscience.com%2Fwos%2Fwoscc%2Ffull-record%2FWOS:001020532300001","View Full Record in Web of Science")</f>
        <v>View Full Record in Web of Science</v>
      </c>
    </row>
    <row r="618" spans="1:72" x14ac:dyDescent="0.35">
      <c r="A618" t="s">
        <v>72</v>
      </c>
      <c r="B618" t="s">
        <v>11265</v>
      </c>
      <c r="C618" t="s">
        <v>74</v>
      </c>
      <c r="D618" t="s">
        <v>74</v>
      </c>
      <c r="E618" t="s">
        <v>74</v>
      </c>
      <c r="F618" t="s">
        <v>11266</v>
      </c>
      <c r="G618" t="s">
        <v>74</v>
      </c>
      <c r="H618" t="s">
        <v>74</v>
      </c>
      <c r="I618" t="s">
        <v>11267</v>
      </c>
      <c r="J618" t="s">
        <v>10387</v>
      </c>
      <c r="K618" t="s">
        <v>74</v>
      </c>
      <c r="L618" t="s">
        <v>74</v>
      </c>
      <c r="M618" t="s">
        <v>78</v>
      </c>
      <c r="N618" t="s">
        <v>2042</v>
      </c>
      <c r="O618" t="s">
        <v>74</v>
      </c>
      <c r="P618" t="s">
        <v>74</v>
      </c>
      <c r="Q618" t="s">
        <v>74</v>
      </c>
      <c r="R618" t="s">
        <v>74</v>
      </c>
      <c r="S618" t="s">
        <v>74</v>
      </c>
      <c r="T618" t="s">
        <v>74</v>
      </c>
      <c r="U618" t="s">
        <v>74</v>
      </c>
      <c r="V618" t="s">
        <v>74</v>
      </c>
      <c r="W618" t="s">
        <v>11268</v>
      </c>
      <c r="X618" t="s">
        <v>11269</v>
      </c>
      <c r="Y618" t="s">
        <v>11270</v>
      </c>
      <c r="Z618" t="s">
        <v>11271</v>
      </c>
      <c r="AA618" t="s">
        <v>74</v>
      </c>
      <c r="AB618" t="s">
        <v>74</v>
      </c>
      <c r="AC618" t="s">
        <v>74</v>
      </c>
      <c r="AD618" t="s">
        <v>74</v>
      </c>
      <c r="AE618" t="s">
        <v>74</v>
      </c>
      <c r="AF618" t="s">
        <v>74</v>
      </c>
      <c r="AG618">
        <v>11</v>
      </c>
      <c r="AH618">
        <v>0</v>
      </c>
      <c r="AI618">
        <v>0</v>
      </c>
      <c r="AJ618">
        <v>0</v>
      </c>
      <c r="AK618">
        <v>0</v>
      </c>
      <c r="AL618" t="s">
        <v>10392</v>
      </c>
      <c r="AM618" t="s">
        <v>10393</v>
      </c>
      <c r="AN618" t="s">
        <v>10394</v>
      </c>
      <c r="AO618" t="s">
        <v>10395</v>
      </c>
      <c r="AP618" t="s">
        <v>10396</v>
      </c>
      <c r="AQ618" t="s">
        <v>74</v>
      </c>
      <c r="AR618" t="s">
        <v>10387</v>
      </c>
      <c r="AS618" t="s">
        <v>10397</v>
      </c>
      <c r="AT618" t="s">
        <v>232</v>
      </c>
      <c r="AU618">
        <v>2024</v>
      </c>
      <c r="AV618">
        <v>113</v>
      </c>
      <c r="AW618">
        <v>1</v>
      </c>
      <c r="AX618" t="s">
        <v>74</v>
      </c>
      <c r="AY618" t="s">
        <v>74</v>
      </c>
      <c r="AZ618" t="s">
        <v>74</v>
      </c>
      <c r="BA618" t="s">
        <v>74</v>
      </c>
      <c r="BB618" t="s">
        <v>11272</v>
      </c>
      <c r="BC618" t="s">
        <v>11273</v>
      </c>
      <c r="BD618" t="s">
        <v>74</v>
      </c>
      <c r="BE618" t="s">
        <v>11274</v>
      </c>
      <c r="BF618" t="str">
        <f>HYPERLINK("http://dx.doi.org/10.12788/cutis.0933","http://dx.doi.org/10.12788/cutis.0933")</f>
        <v>http://dx.doi.org/10.12788/cutis.0933</v>
      </c>
      <c r="BG618" t="s">
        <v>74</v>
      </c>
      <c r="BH618" t="s">
        <v>74</v>
      </c>
      <c r="BI618">
        <v>2</v>
      </c>
      <c r="BJ618" t="s">
        <v>1341</v>
      </c>
      <c r="BK618" t="s">
        <v>209</v>
      </c>
      <c r="BL618" t="s">
        <v>1341</v>
      </c>
      <c r="BM618" t="s">
        <v>11275</v>
      </c>
      <c r="BN618">
        <v>38478952</v>
      </c>
      <c r="BO618" t="s">
        <v>767</v>
      </c>
      <c r="BP618" t="s">
        <v>74</v>
      </c>
      <c r="BQ618" t="s">
        <v>74</v>
      </c>
      <c r="BR618" t="s">
        <v>102</v>
      </c>
      <c r="BS618" t="s">
        <v>11276</v>
      </c>
      <c r="BT618" t="str">
        <f>HYPERLINK("https%3A%2F%2Fwww.webofscience.com%2Fwos%2Fwoscc%2Ffull-record%2FWOS:001145987400002","View Full Record in Web of Science")</f>
        <v>View Full Record in Web of Science</v>
      </c>
    </row>
    <row r="619" spans="1:72" x14ac:dyDescent="0.35">
      <c r="A619" t="s">
        <v>72</v>
      </c>
      <c r="B619" t="s">
        <v>11277</v>
      </c>
      <c r="C619" t="s">
        <v>74</v>
      </c>
      <c r="D619" t="s">
        <v>74</v>
      </c>
      <c r="E619" t="s">
        <v>74</v>
      </c>
      <c r="F619" t="s">
        <v>11278</v>
      </c>
      <c r="G619" t="s">
        <v>74</v>
      </c>
      <c r="H619" t="s">
        <v>74</v>
      </c>
      <c r="I619" t="s">
        <v>11279</v>
      </c>
      <c r="J619" t="s">
        <v>11280</v>
      </c>
      <c r="K619" t="s">
        <v>74</v>
      </c>
      <c r="L619" t="s">
        <v>74</v>
      </c>
      <c r="M619" t="s">
        <v>78</v>
      </c>
      <c r="N619" t="s">
        <v>108</v>
      </c>
      <c r="O619" t="s">
        <v>74</v>
      </c>
      <c r="P619" t="s">
        <v>74</v>
      </c>
      <c r="Q619" t="s">
        <v>74</v>
      </c>
      <c r="R619" t="s">
        <v>74</v>
      </c>
      <c r="S619" t="s">
        <v>74</v>
      </c>
      <c r="T619" t="s">
        <v>11281</v>
      </c>
      <c r="U619" t="s">
        <v>11282</v>
      </c>
      <c r="V619" t="s">
        <v>11283</v>
      </c>
      <c r="W619" t="s">
        <v>11284</v>
      </c>
      <c r="X619" t="s">
        <v>11285</v>
      </c>
      <c r="Y619" t="s">
        <v>11286</v>
      </c>
      <c r="Z619" t="s">
        <v>11287</v>
      </c>
      <c r="AA619" t="s">
        <v>74</v>
      </c>
      <c r="AB619" t="s">
        <v>74</v>
      </c>
      <c r="AC619" t="s">
        <v>11288</v>
      </c>
      <c r="AD619" t="s">
        <v>11289</v>
      </c>
      <c r="AE619" t="s">
        <v>11290</v>
      </c>
      <c r="AF619" t="s">
        <v>74</v>
      </c>
      <c r="AG619">
        <v>81</v>
      </c>
      <c r="AH619">
        <v>0</v>
      </c>
      <c r="AI619">
        <v>0</v>
      </c>
      <c r="AJ619">
        <v>1</v>
      </c>
      <c r="AK619">
        <v>1</v>
      </c>
      <c r="AL619" t="s">
        <v>516</v>
      </c>
      <c r="AM619" t="s">
        <v>517</v>
      </c>
      <c r="AN619" t="s">
        <v>518</v>
      </c>
      <c r="AO619" t="s">
        <v>11291</v>
      </c>
      <c r="AP619" t="s">
        <v>74</v>
      </c>
      <c r="AQ619" t="s">
        <v>74</v>
      </c>
      <c r="AR619" t="s">
        <v>11292</v>
      </c>
      <c r="AS619" t="s">
        <v>11293</v>
      </c>
      <c r="AT619" t="s">
        <v>1275</v>
      </c>
      <c r="AU619">
        <v>2024</v>
      </c>
      <c r="AV619">
        <v>6</v>
      </c>
      <c r="AW619" t="s">
        <v>74</v>
      </c>
      <c r="AX619" t="s">
        <v>74</v>
      </c>
      <c r="AY619" t="s">
        <v>74</v>
      </c>
      <c r="AZ619" t="s">
        <v>74</v>
      </c>
      <c r="BA619" t="s">
        <v>74</v>
      </c>
      <c r="BB619" t="s">
        <v>74</v>
      </c>
      <c r="BC619" t="s">
        <v>74</v>
      </c>
      <c r="BD619">
        <v>100471</v>
      </c>
      <c r="BE619" t="s">
        <v>11294</v>
      </c>
      <c r="BF619" t="str">
        <f>HYPERLINK("http://dx.doi.org/10.1016/j.ssmqr.2024.100471","http://dx.doi.org/10.1016/j.ssmqr.2024.100471")</f>
        <v>http://dx.doi.org/10.1016/j.ssmqr.2024.100471</v>
      </c>
      <c r="BG619" t="s">
        <v>74</v>
      </c>
      <c r="BH619" t="s">
        <v>2444</v>
      </c>
      <c r="BI619">
        <v>9</v>
      </c>
      <c r="BJ619" t="s">
        <v>11295</v>
      </c>
      <c r="BK619" t="s">
        <v>125</v>
      </c>
      <c r="BL619" t="s">
        <v>11296</v>
      </c>
      <c r="BM619" t="s">
        <v>11297</v>
      </c>
      <c r="BN619" t="s">
        <v>74</v>
      </c>
      <c r="BO619" t="s">
        <v>156</v>
      </c>
      <c r="BP619" t="s">
        <v>74</v>
      </c>
      <c r="BQ619" t="s">
        <v>74</v>
      </c>
      <c r="BR619" t="s">
        <v>102</v>
      </c>
      <c r="BS619" t="s">
        <v>11298</v>
      </c>
      <c r="BT619" t="str">
        <f>HYPERLINK("https%3A%2F%2Fwww.webofscience.com%2Fwos%2Fwoscc%2Ffull-record%2FWOS:001345272900001","View Full Record in Web of Science")</f>
        <v>View Full Record in Web of Science</v>
      </c>
    </row>
    <row r="620" spans="1:72" x14ac:dyDescent="0.35">
      <c r="A620" t="s">
        <v>72</v>
      </c>
      <c r="B620" t="s">
        <v>11299</v>
      </c>
      <c r="C620" t="s">
        <v>74</v>
      </c>
      <c r="D620" t="s">
        <v>74</v>
      </c>
      <c r="E620" t="s">
        <v>74</v>
      </c>
      <c r="F620" t="s">
        <v>11300</v>
      </c>
      <c r="G620" t="s">
        <v>74</v>
      </c>
      <c r="H620" t="s">
        <v>74</v>
      </c>
      <c r="I620" t="s">
        <v>11301</v>
      </c>
      <c r="J620" t="s">
        <v>11302</v>
      </c>
      <c r="K620" t="s">
        <v>74</v>
      </c>
      <c r="L620" t="s">
        <v>74</v>
      </c>
      <c r="M620" t="s">
        <v>78</v>
      </c>
      <c r="N620" t="s">
        <v>108</v>
      </c>
      <c r="O620" t="s">
        <v>74</v>
      </c>
      <c r="P620" t="s">
        <v>74</v>
      </c>
      <c r="Q620" t="s">
        <v>74</v>
      </c>
      <c r="R620" t="s">
        <v>74</v>
      </c>
      <c r="S620" t="s">
        <v>74</v>
      </c>
      <c r="T620" t="s">
        <v>11303</v>
      </c>
      <c r="U620" t="s">
        <v>11304</v>
      </c>
      <c r="V620" t="s">
        <v>11305</v>
      </c>
      <c r="W620" t="s">
        <v>11306</v>
      </c>
      <c r="X620" t="s">
        <v>11307</v>
      </c>
      <c r="Y620" t="s">
        <v>11308</v>
      </c>
      <c r="Z620" t="s">
        <v>11309</v>
      </c>
      <c r="AA620" t="s">
        <v>3376</v>
      </c>
      <c r="AB620" t="s">
        <v>3377</v>
      </c>
      <c r="AC620" t="s">
        <v>74</v>
      </c>
      <c r="AD620" t="s">
        <v>74</v>
      </c>
      <c r="AE620" t="s">
        <v>74</v>
      </c>
      <c r="AF620" t="s">
        <v>74</v>
      </c>
      <c r="AG620">
        <v>57</v>
      </c>
      <c r="AH620">
        <v>11</v>
      </c>
      <c r="AI620">
        <v>12</v>
      </c>
      <c r="AJ620">
        <v>10</v>
      </c>
      <c r="AK620">
        <v>43</v>
      </c>
      <c r="AL620" t="s">
        <v>226</v>
      </c>
      <c r="AM620" t="s">
        <v>227</v>
      </c>
      <c r="AN620" t="s">
        <v>228</v>
      </c>
      <c r="AO620" t="s">
        <v>11310</v>
      </c>
      <c r="AP620" t="s">
        <v>11311</v>
      </c>
      <c r="AQ620" t="s">
        <v>74</v>
      </c>
      <c r="AR620" t="s">
        <v>11312</v>
      </c>
      <c r="AS620" t="s">
        <v>11313</v>
      </c>
      <c r="AT620" t="s">
        <v>455</v>
      </c>
      <c r="AU620">
        <v>2023</v>
      </c>
      <c r="AV620">
        <v>59</v>
      </c>
      <c r="AW620">
        <v>3</v>
      </c>
      <c r="AX620" t="s">
        <v>74</v>
      </c>
      <c r="AY620" t="s">
        <v>74</v>
      </c>
      <c r="AZ620" t="s">
        <v>74</v>
      </c>
      <c r="BA620" t="s">
        <v>74</v>
      </c>
      <c r="BB620">
        <v>610</v>
      </c>
      <c r="BC620">
        <v>627</v>
      </c>
      <c r="BD620" t="s">
        <v>74</v>
      </c>
      <c r="BE620" t="s">
        <v>11314</v>
      </c>
      <c r="BF620" t="str">
        <f>HYPERLINK("http://dx.doi.org/10.1177/14407833221135209","http://dx.doi.org/10.1177/14407833221135209")</f>
        <v>http://dx.doi.org/10.1177/14407833221135209</v>
      </c>
      <c r="BG620" t="s">
        <v>74</v>
      </c>
      <c r="BH620" t="s">
        <v>366</v>
      </c>
      <c r="BI620">
        <v>18</v>
      </c>
      <c r="BJ620" t="s">
        <v>4573</v>
      </c>
      <c r="BK620" t="s">
        <v>99</v>
      </c>
      <c r="BL620" t="s">
        <v>4573</v>
      </c>
      <c r="BM620" t="s">
        <v>11315</v>
      </c>
      <c r="BN620" t="s">
        <v>74</v>
      </c>
      <c r="BO620" t="s">
        <v>2738</v>
      </c>
      <c r="BP620" t="s">
        <v>74</v>
      </c>
      <c r="BQ620" t="s">
        <v>74</v>
      </c>
      <c r="BR620" t="s">
        <v>102</v>
      </c>
      <c r="BS620" t="s">
        <v>11316</v>
      </c>
      <c r="BT620" t="str">
        <f>HYPERLINK("https%3A%2F%2Fwww.webofscience.com%2Fwos%2Fwoscc%2Ffull-record%2FWOS:000883207700001","View Full Record in Web of Science")</f>
        <v>View Full Record in Web of Science</v>
      </c>
    </row>
    <row r="621" spans="1:72" x14ac:dyDescent="0.35">
      <c r="A621" t="s">
        <v>72</v>
      </c>
      <c r="B621" t="s">
        <v>11317</v>
      </c>
      <c r="C621" t="s">
        <v>74</v>
      </c>
      <c r="D621" t="s">
        <v>74</v>
      </c>
      <c r="E621" t="s">
        <v>74</v>
      </c>
      <c r="F621" t="s">
        <v>11318</v>
      </c>
      <c r="G621" t="s">
        <v>74</v>
      </c>
      <c r="H621" t="s">
        <v>74</v>
      </c>
      <c r="I621" t="s">
        <v>11319</v>
      </c>
      <c r="J621" t="s">
        <v>11320</v>
      </c>
      <c r="K621" t="s">
        <v>74</v>
      </c>
      <c r="L621" t="s">
        <v>74</v>
      </c>
      <c r="M621" t="s">
        <v>78</v>
      </c>
      <c r="N621" t="s">
        <v>108</v>
      </c>
      <c r="O621" t="s">
        <v>74</v>
      </c>
      <c r="P621" t="s">
        <v>74</v>
      </c>
      <c r="Q621" t="s">
        <v>74</v>
      </c>
      <c r="R621" t="s">
        <v>74</v>
      </c>
      <c r="S621" t="s">
        <v>74</v>
      </c>
      <c r="T621" t="s">
        <v>11321</v>
      </c>
      <c r="U621" t="s">
        <v>11322</v>
      </c>
      <c r="V621" t="s">
        <v>11323</v>
      </c>
      <c r="W621" t="s">
        <v>11324</v>
      </c>
      <c r="X621" t="s">
        <v>11325</v>
      </c>
      <c r="Y621" t="s">
        <v>11326</v>
      </c>
      <c r="Z621" t="s">
        <v>11327</v>
      </c>
      <c r="AA621" t="s">
        <v>11328</v>
      </c>
      <c r="AB621" t="s">
        <v>74</v>
      </c>
      <c r="AC621" t="s">
        <v>11329</v>
      </c>
      <c r="AD621" t="s">
        <v>11329</v>
      </c>
      <c r="AE621" t="s">
        <v>11330</v>
      </c>
      <c r="AF621" t="s">
        <v>74</v>
      </c>
      <c r="AG621">
        <v>71</v>
      </c>
      <c r="AH621">
        <v>9</v>
      </c>
      <c r="AI621">
        <v>9</v>
      </c>
      <c r="AJ621">
        <v>7</v>
      </c>
      <c r="AK621">
        <v>35</v>
      </c>
      <c r="AL621" t="s">
        <v>88</v>
      </c>
      <c r="AM621" t="s">
        <v>89</v>
      </c>
      <c r="AN621" t="s">
        <v>90</v>
      </c>
      <c r="AO621" t="s">
        <v>11331</v>
      </c>
      <c r="AP621" t="s">
        <v>11332</v>
      </c>
      <c r="AQ621" t="s">
        <v>74</v>
      </c>
      <c r="AR621" t="s">
        <v>11333</v>
      </c>
      <c r="AS621" t="s">
        <v>11334</v>
      </c>
      <c r="AT621" t="s">
        <v>9505</v>
      </c>
      <c r="AU621">
        <v>2024</v>
      </c>
      <c r="AV621">
        <v>25</v>
      </c>
      <c r="AW621">
        <v>5</v>
      </c>
      <c r="AX621" t="s">
        <v>74</v>
      </c>
      <c r="AY621" t="s">
        <v>74</v>
      </c>
      <c r="AZ621" t="s">
        <v>456</v>
      </c>
      <c r="BA621" t="s">
        <v>74</v>
      </c>
      <c r="BB621">
        <v>795</v>
      </c>
      <c r="BC621">
        <v>813</v>
      </c>
      <c r="BD621" t="s">
        <v>74</v>
      </c>
      <c r="BE621" t="s">
        <v>11335</v>
      </c>
      <c r="BF621" t="str">
        <f>HYPERLINK("http://dx.doi.org/10.1080/14649365.2023.2230943","http://dx.doi.org/10.1080/14649365.2023.2230943")</f>
        <v>http://dx.doi.org/10.1080/14649365.2023.2230943</v>
      </c>
      <c r="BG621" t="s">
        <v>74</v>
      </c>
      <c r="BH621" t="s">
        <v>1180</v>
      </c>
      <c r="BI621">
        <v>19</v>
      </c>
      <c r="BJ621" t="s">
        <v>260</v>
      </c>
      <c r="BK621" t="s">
        <v>99</v>
      </c>
      <c r="BL621" t="s">
        <v>260</v>
      </c>
      <c r="BM621" t="s">
        <v>11336</v>
      </c>
      <c r="BN621" t="s">
        <v>74</v>
      </c>
      <c r="BO621" t="s">
        <v>74</v>
      </c>
      <c r="BP621" t="s">
        <v>74</v>
      </c>
      <c r="BQ621" t="s">
        <v>74</v>
      </c>
      <c r="BR621" t="s">
        <v>102</v>
      </c>
      <c r="BS621" t="s">
        <v>11337</v>
      </c>
      <c r="BT621" t="str">
        <f>HYPERLINK("https%3A%2F%2Fwww.webofscience.com%2Fwos%2Fwoscc%2Ffull-record%2FWOS:001019842900001","View Full Record in Web of Science")</f>
        <v>View Full Record in Web of Science</v>
      </c>
    </row>
    <row r="622" spans="1:72" x14ac:dyDescent="0.35">
      <c r="A622" t="s">
        <v>72</v>
      </c>
      <c r="B622" t="s">
        <v>11338</v>
      </c>
      <c r="C622" t="s">
        <v>74</v>
      </c>
      <c r="D622" t="s">
        <v>74</v>
      </c>
      <c r="E622" t="s">
        <v>74</v>
      </c>
      <c r="F622" t="s">
        <v>11339</v>
      </c>
      <c r="G622" t="s">
        <v>74</v>
      </c>
      <c r="H622" t="s">
        <v>74</v>
      </c>
      <c r="I622" t="s">
        <v>11340</v>
      </c>
      <c r="J622" t="s">
        <v>1119</v>
      </c>
      <c r="K622" t="s">
        <v>74</v>
      </c>
      <c r="L622" t="s">
        <v>74</v>
      </c>
      <c r="M622" t="s">
        <v>78</v>
      </c>
      <c r="N622" t="s">
        <v>108</v>
      </c>
      <c r="O622" t="s">
        <v>74</v>
      </c>
      <c r="P622" t="s">
        <v>74</v>
      </c>
      <c r="Q622" t="s">
        <v>74</v>
      </c>
      <c r="R622" t="s">
        <v>74</v>
      </c>
      <c r="S622" t="s">
        <v>74</v>
      </c>
      <c r="T622" t="s">
        <v>11341</v>
      </c>
      <c r="U622" t="s">
        <v>11342</v>
      </c>
      <c r="V622" t="s">
        <v>11343</v>
      </c>
      <c r="W622" t="s">
        <v>11344</v>
      </c>
      <c r="X622" t="s">
        <v>11345</v>
      </c>
      <c r="Y622" t="s">
        <v>11346</v>
      </c>
      <c r="Z622" t="s">
        <v>11347</v>
      </c>
      <c r="AA622" t="s">
        <v>74</v>
      </c>
      <c r="AB622" t="s">
        <v>74</v>
      </c>
      <c r="AC622" t="s">
        <v>11348</v>
      </c>
      <c r="AD622" t="s">
        <v>4847</v>
      </c>
      <c r="AE622" t="s">
        <v>11349</v>
      </c>
      <c r="AF622" t="s">
        <v>74</v>
      </c>
      <c r="AG622">
        <v>68</v>
      </c>
      <c r="AH622">
        <v>1</v>
      </c>
      <c r="AI622">
        <v>1</v>
      </c>
      <c r="AJ622">
        <v>1</v>
      </c>
      <c r="AK622">
        <v>28</v>
      </c>
      <c r="AL622" t="s">
        <v>1129</v>
      </c>
      <c r="AM622" t="s">
        <v>89</v>
      </c>
      <c r="AN622" t="s">
        <v>1130</v>
      </c>
      <c r="AO622" t="s">
        <v>1131</v>
      </c>
      <c r="AP622" t="s">
        <v>1132</v>
      </c>
      <c r="AQ622" t="s">
        <v>74</v>
      </c>
      <c r="AR622" t="s">
        <v>1133</v>
      </c>
      <c r="AS622" t="s">
        <v>1134</v>
      </c>
      <c r="AT622" t="s">
        <v>1447</v>
      </c>
      <c r="AU622">
        <v>2024</v>
      </c>
      <c r="AV622">
        <v>43</v>
      </c>
      <c r="AW622">
        <v>9</v>
      </c>
      <c r="AX622" t="s">
        <v>74</v>
      </c>
      <c r="AY622" t="s">
        <v>74</v>
      </c>
      <c r="AZ622" t="s">
        <v>74</v>
      </c>
      <c r="BA622" t="s">
        <v>74</v>
      </c>
      <c r="BB622">
        <v>1827</v>
      </c>
      <c r="BC622">
        <v>1841</v>
      </c>
      <c r="BD622" t="s">
        <v>74</v>
      </c>
      <c r="BE622" t="s">
        <v>11350</v>
      </c>
      <c r="BF622" t="str">
        <f>HYPERLINK("http://dx.doi.org/10.1080/0144929X.2023.2230305","http://dx.doi.org/10.1080/0144929X.2023.2230305")</f>
        <v>http://dx.doi.org/10.1080/0144929X.2023.2230305</v>
      </c>
      <c r="BG622" t="s">
        <v>74</v>
      </c>
      <c r="BH622" t="s">
        <v>1180</v>
      </c>
      <c r="BI622">
        <v>15</v>
      </c>
      <c r="BJ622" t="s">
        <v>1137</v>
      </c>
      <c r="BK622" t="s">
        <v>182</v>
      </c>
      <c r="BL622" t="s">
        <v>1113</v>
      </c>
      <c r="BM622" t="s">
        <v>11351</v>
      </c>
      <c r="BN622" t="s">
        <v>74</v>
      </c>
      <c r="BO622" t="s">
        <v>74</v>
      </c>
      <c r="BP622" t="s">
        <v>74</v>
      </c>
      <c r="BQ622" t="s">
        <v>74</v>
      </c>
      <c r="BR622" t="s">
        <v>102</v>
      </c>
      <c r="BS622" t="s">
        <v>11352</v>
      </c>
      <c r="BT622" t="str">
        <f>HYPERLINK("https%3A%2F%2Fwww.webofscience.com%2Fwos%2Fwoscc%2Ffull-record%2FWOS:001020010900001","View Full Record in Web of Science")</f>
        <v>View Full Record in Web of Science</v>
      </c>
    </row>
    <row r="623" spans="1:72" x14ac:dyDescent="0.35">
      <c r="A623" t="s">
        <v>72</v>
      </c>
      <c r="B623" t="s">
        <v>8731</v>
      </c>
      <c r="C623" t="s">
        <v>74</v>
      </c>
      <c r="D623" t="s">
        <v>74</v>
      </c>
      <c r="E623" t="s">
        <v>74</v>
      </c>
      <c r="F623" t="s">
        <v>8732</v>
      </c>
      <c r="G623" t="s">
        <v>74</v>
      </c>
      <c r="H623" t="s">
        <v>74</v>
      </c>
      <c r="I623" t="s">
        <v>11353</v>
      </c>
      <c r="J623" t="s">
        <v>8734</v>
      </c>
      <c r="K623" t="s">
        <v>74</v>
      </c>
      <c r="L623" t="s">
        <v>74</v>
      </c>
      <c r="M623" t="s">
        <v>78</v>
      </c>
      <c r="N623" t="s">
        <v>9221</v>
      </c>
      <c r="O623" t="s">
        <v>74</v>
      </c>
      <c r="P623" t="s">
        <v>74</v>
      </c>
      <c r="Q623" t="s">
        <v>74</v>
      </c>
      <c r="R623" t="s">
        <v>74</v>
      </c>
      <c r="S623" t="s">
        <v>74</v>
      </c>
      <c r="T623" t="s">
        <v>74</v>
      </c>
      <c r="U623" t="s">
        <v>74</v>
      </c>
      <c r="V623" t="s">
        <v>74</v>
      </c>
      <c r="W623" t="s">
        <v>74</v>
      </c>
      <c r="X623" t="s">
        <v>74</v>
      </c>
      <c r="Y623" t="s">
        <v>74</v>
      </c>
      <c r="Z623" t="s">
        <v>74</v>
      </c>
      <c r="AA623" t="s">
        <v>74</v>
      </c>
      <c r="AB623" t="s">
        <v>74</v>
      </c>
      <c r="AC623" t="s">
        <v>74</v>
      </c>
      <c r="AD623" t="s">
        <v>74</v>
      </c>
      <c r="AE623" t="s">
        <v>74</v>
      </c>
      <c r="AF623" t="s">
        <v>74</v>
      </c>
      <c r="AG623">
        <v>0</v>
      </c>
      <c r="AH623">
        <v>0</v>
      </c>
      <c r="AI623">
        <v>0</v>
      </c>
      <c r="AJ623">
        <v>0</v>
      </c>
      <c r="AK623">
        <v>33</v>
      </c>
      <c r="AL623" t="s">
        <v>8735</v>
      </c>
      <c r="AM623" t="s">
        <v>8736</v>
      </c>
      <c r="AN623" t="s">
        <v>8737</v>
      </c>
      <c r="AO623" t="s">
        <v>8738</v>
      </c>
      <c r="AP623" t="s">
        <v>74</v>
      </c>
      <c r="AQ623" t="s">
        <v>74</v>
      </c>
      <c r="AR623" t="s">
        <v>8739</v>
      </c>
      <c r="AS623" t="s">
        <v>8740</v>
      </c>
      <c r="AT623" t="s">
        <v>7894</v>
      </c>
      <c r="AU623">
        <v>2019</v>
      </c>
      <c r="AV623">
        <v>244</v>
      </c>
      <c r="AW623">
        <v>3260</v>
      </c>
      <c r="AX623" t="s">
        <v>74</v>
      </c>
      <c r="AY623" t="s">
        <v>74</v>
      </c>
      <c r="AZ623" t="s">
        <v>456</v>
      </c>
      <c r="BA623" t="s">
        <v>74</v>
      </c>
      <c r="BB623">
        <v>14</v>
      </c>
      <c r="BC623">
        <v>14</v>
      </c>
      <c r="BD623" t="s">
        <v>74</v>
      </c>
      <c r="BE623" t="s">
        <v>74</v>
      </c>
      <c r="BF623" t="s">
        <v>74</v>
      </c>
      <c r="BG623" t="s">
        <v>74</v>
      </c>
      <c r="BH623" t="s">
        <v>74</v>
      </c>
      <c r="BI623">
        <v>1</v>
      </c>
      <c r="BJ623" t="s">
        <v>1301</v>
      </c>
      <c r="BK623" t="s">
        <v>209</v>
      </c>
      <c r="BL623" t="s">
        <v>1302</v>
      </c>
      <c r="BM623" t="s">
        <v>11354</v>
      </c>
      <c r="BN623" t="s">
        <v>74</v>
      </c>
      <c r="BO623" t="s">
        <v>74</v>
      </c>
      <c r="BP623" t="s">
        <v>74</v>
      </c>
      <c r="BQ623" t="s">
        <v>74</v>
      </c>
      <c r="BR623" t="s">
        <v>102</v>
      </c>
      <c r="BS623" t="s">
        <v>11355</v>
      </c>
      <c r="BT623" t="str">
        <f>HYPERLINK("https%3A%2F%2Fwww.webofscience.com%2Fwos%2Fwoscc%2Ffull-record%2FWOS:000502688200012","View Full Record in Web of Science")</f>
        <v>View Full Record in Web of Science</v>
      </c>
    </row>
    <row r="624" spans="1:72" x14ac:dyDescent="0.35">
      <c r="A624" t="s">
        <v>72</v>
      </c>
      <c r="B624" t="s">
        <v>11356</v>
      </c>
      <c r="C624" t="s">
        <v>74</v>
      </c>
      <c r="D624" t="s">
        <v>74</v>
      </c>
      <c r="E624" t="s">
        <v>74</v>
      </c>
      <c r="F624" t="s">
        <v>11357</v>
      </c>
      <c r="G624" t="s">
        <v>74</v>
      </c>
      <c r="H624" t="s">
        <v>74</v>
      </c>
      <c r="I624" t="s">
        <v>11358</v>
      </c>
      <c r="J624" t="s">
        <v>2493</v>
      </c>
      <c r="K624" t="s">
        <v>74</v>
      </c>
      <c r="L624" t="s">
        <v>74</v>
      </c>
      <c r="M624" t="s">
        <v>78</v>
      </c>
      <c r="N624" t="s">
        <v>1328</v>
      </c>
      <c r="O624" t="s">
        <v>74</v>
      </c>
      <c r="P624" t="s">
        <v>74</v>
      </c>
      <c r="Q624" t="s">
        <v>74</v>
      </c>
      <c r="R624" t="s">
        <v>74</v>
      </c>
      <c r="S624" t="s">
        <v>74</v>
      </c>
      <c r="T624" t="s">
        <v>74</v>
      </c>
      <c r="U624" t="s">
        <v>74</v>
      </c>
      <c r="V624" t="s">
        <v>74</v>
      </c>
      <c r="W624" t="s">
        <v>11359</v>
      </c>
      <c r="X624" t="s">
        <v>11360</v>
      </c>
      <c r="Y624" t="s">
        <v>11361</v>
      </c>
      <c r="Z624" t="s">
        <v>11362</v>
      </c>
      <c r="AA624" t="s">
        <v>11363</v>
      </c>
      <c r="AB624" t="s">
        <v>11364</v>
      </c>
      <c r="AC624" t="s">
        <v>11365</v>
      </c>
      <c r="AD624" t="s">
        <v>11366</v>
      </c>
      <c r="AE624" t="s">
        <v>11367</v>
      </c>
      <c r="AF624" t="s">
        <v>74</v>
      </c>
      <c r="AG624">
        <v>5</v>
      </c>
      <c r="AH624">
        <v>12</v>
      </c>
      <c r="AI624">
        <v>15</v>
      </c>
      <c r="AJ624">
        <v>4</v>
      </c>
      <c r="AK624">
        <v>58</v>
      </c>
      <c r="AL624" t="s">
        <v>2027</v>
      </c>
      <c r="AM624" t="s">
        <v>666</v>
      </c>
      <c r="AN624" t="s">
        <v>2028</v>
      </c>
      <c r="AO624" t="s">
        <v>2498</v>
      </c>
      <c r="AP624" t="s">
        <v>2499</v>
      </c>
      <c r="AQ624" t="s">
        <v>74</v>
      </c>
      <c r="AR624" t="s">
        <v>2500</v>
      </c>
      <c r="AS624" t="s">
        <v>2501</v>
      </c>
      <c r="AT624" t="s">
        <v>455</v>
      </c>
      <c r="AU624">
        <v>2021</v>
      </c>
      <c r="AV624">
        <v>85</v>
      </c>
      <c r="AW624">
        <v>3</v>
      </c>
      <c r="AX624" t="s">
        <v>74</v>
      </c>
      <c r="AY624" t="s">
        <v>74</v>
      </c>
      <c r="AZ624" t="s">
        <v>74</v>
      </c>
      <c r="BA624" t="s">
        <v>74</v>
      </c>
      <c r="BB624" t="s">
        <v>11368</v>
      </c>
      <c r="BC624" t="s">
        <v>11369</v>
      </c>
      <c r="BD624" t="s">
        <v>74</v>
      </c>
      <c r="BE624" t="s">
        <v>11370</v>
      </c>
      <c r="BF624" t="str">
        <f>HYPERLINK("http://dx.doi.org/10.1016/j.jaad.2021.04.052","http://dx.doi.org/10.1016/j.jaad.2021.04.052")</f>
        <v>http://dx.doi.org/10.1016/j.jaad.2021.04.052</v>
      </c>
      <c r="BG624" t="s">
        <v>74</v>
      </c>
      <c r="BH624" t="s">
        <v>97</v>
      </c>
      <c r="BI624">
        <v>4</v>
      </c>
      <c r="BJ624" t="s">
        <v>1341</v>
      </c>
      <c r="BK624" t="s">
        <v>209</v>
      </c>
      <c r="BL624" t="s">
        <v>1341</v>
      </c>
      <c r="BM624" t="s">
        <v>11371</v>
      </c>
      <c r="BN624">
        <v>33905784</v>
      </c>
      <c r="BO624" t="s">
        <v>74</v>
      </c>
      <c r="BP624" t="s">
        <v>74</v>
      </c>
      <c r="BQ624" t="s">
        <v>74</v>
      </c>
      <c r="BR624" t="s">
        <v>102</v>
      </c>
      <c r="BS624" t="s">
        <v>11372</v>
      </c>
      <c r="BT624" t="str">
        <f>HYPERLINK("https%3A%2F%2Fwww.webofscience.com%2Fwos%2Fwoscc%2Ffull-record%2FWOS:000684282000023","View Full Record in Web of Science")</f>
        <v>View Full Record in Web of Science</v>
      </c>
    </row>
    <row r="625" spans="1:72" x14ac:dyDescent="0.35">
      <c r="A625" t="s">
        <v>72</v>
      </c>
      <c r="B625" t="s">
        <v>11373</v>
      </c>
      <c r="C625" t="s">
        <v>74</v>
      </c>
      <c r="D625" t="s">
        <v>74</v>
      </c>
      <c r="E625" t="s">
        <v>74</v>
      </c>
      <c r="F625" t="s">
        <v>11374</v>
      </c>
      <c r="G625" t="s">
        <v>74</v>
      </c>
      <c r="H625" t="s">
        <v>74</v>
      </c>
      <c r="I625" t="s">
        <v>11375</v>
      </c>
      <c r="J625" t="s">
        <v>11376</v>
      </c>
      <c r="K625" t="s">
        <v>74</v>
      </c>
      <c r="L625" t="s">
        <v>74</v>
      </c>
      <c r="M625" t="s">
        <v>78</v>
      </c>
      <c r="N625" t="s">
        <v>52</v>
      </c>
      <c r="O625" t="s">
        <v>74</v>
      </c>
      <c r="P625" t="s">
        <v>74</v>
      </c>
      <c r="Q625" t="s">
        <v>74</v>
      </c>
      <c r="R625" t="s">
        <v>74</v>
      </c>
      <c r="S625" t="s">
        <v>74</v>
      </c>
      <c r="T625" t="s">
        <v>74</v>
      </c>
      <c r="U625" t="s">
        <v>74</v>
      </c>
      <c r="V625" t="s">
        <v>74</v>
      </c>
      <c r="W625" t="s">
        <v>11377</v>
      </c>
      <c r="X625" t="s">
        <v>11378</v>
      </c>
      <c r="Y625" t="s">
        <v>74</v>
      </c>
      <c r="Z625" t="s">
        <v>7153</v>
      </c>
      <c r="AA625" t="s">
        <v>74</v>
      </c>
      <c r="AB625" t="s">
        <v>74</v>
      </c>
      <c r="AC625" t="s">
        <v>74</v>
      </c>
      <c r="AD625" t="s">
        <v>74</v>
      </c>
      <c r="AE625" t="s">
        <v>74</v>
      </c>
      <c r="AF625" t="s">
        <v>74</v>
      </c>
      <c r="AG625">
        <v>2</v>
      </c>
      <c r="AH625">
        <v>0</v>
      </c>
      <c r="AI625">
        <v>0</v>
      </c>
      <c r="AJ625">
        <v>0</v>
      </c>
      <c r="AK625">
        <v>1</v>
      </c>
      <c r="AL625" t="s">
        <v>11379</v>
      </c>
      <c r="AM625" t="s">
        <v>11380</v>
      </c>
      <c r="AN625" t="s">
        <v>11381</v>
      </c>
      <c r="AO625" t="s">
        <v>11382</v>
      </c>
      <c r="AP625" t="s">
        <v>11383</v>
      </c>
      <c r="AQ625" t="s">
        <v>74</v>
      </c>
      <c r="AR625" t="s">
        <v>11384</v>
      </c>
      <c r="AS625" t="s">
        <v>11385</v>
      </c>
      <c r="AT625" t="s">
        <v>6965</v>
      </c>
      <c r="AU625">
        <v>2023</v>
      </c>
      <c r="AV625">
        <v>77</v>
      </c>
      <c r="AW625" t="s">
        <v>74</v>
      </c>
      <c r="AX625" t="s">
        <v>74</v>
      </c>
      <c r="AY625">
        <v>2</v>
      </c>
      <c r="AZ625" t="s">
        <v>74</v>
      </c>
      <c r="BA625" t="s">
        <v>74</v>
      </c>
      <c r="BB625" t="s">
        <v>74</v>
      </c>
      <c r="BC625" t="s">
        <v>74</v>
      </c>
      <c r="BD625" t="s">
        <v>74</v>
      </c>
      <c r="BE625" t="s">
        <v>11386</v>
      </c>
      <c r="BF625" t="str">
        <f>HYPERLINK("http://dx.doi.org/10.5014/ajot.2023.77S2-PO216","http://dx.doi.org/10.5014/ajot.2023.77S2-PO216")</f>
        <v>http://dx.doi.org/10.5014/ajot.2023.77S2-PO216</v>
      </c>
      <c r="BG625" t="s">
        <v>74</v>
      </c>
      <c r="BH625" t="s">
        <v>74</v>
      </c>
      <c r="BI625">
        <v>1</v>
      </c>
      <c r="BJ625" t="s">
        <v>11387</v>
      </c>
      <c r="BK625" t="s">
        <v>99</v>
      </c>
      <c r="BL625" t="s">
        <v>11387</v>
      </c>
      <c r="BM625" t="s">
        <v>11388</v>
      </c>
      <c r="BN625" t="s">
        <v>74</v>
      </c>
      <c r="BO625" t="s">
        <v>767</v>
      </c>
      <c r="BP625" t="s">
        <v>74</v>
      </c>
      <c r="BQ625" t="s">
        <v>74</v>
      </c>
      <c r="BR625" t="s">
        <v>102</v>
      </c>
      <c r="BS625" t="s">
        <v>11389</v>
      </c>
      <c r="BT625" t="str">
        <f>HYPERLINK("https%3A%2F%2Fwww.webofscience.com%2Fwos%2Fwoscc%2Ffull-record%2FWOS:001067944100217","View Full Record in Web of Science")</f>
        <v>View Full Record in Web of Science</v>
      </c>
    </row>
    <row r="626" spans="1:72" x14ac:dyDescent="0.35">
      <c r="A626" t="s">
        <v>72</v>
      </c>
      <c r="B626" t="s">
        <v>11390</v>
      </c>
      <c r="C626" t="s">
        <v>74</v>
      </c>
      <c r="D626" t="s">
        <v>74</v>
      </c>
      <c r="E626" t="s">
        <v>74</v>
      </c>
      <c r="F626" t="s">
        <v>11391</v>
      </c>
      <c r="G626" t="s">
        <v>74</v>
      </c>
      <c r="H626" t="s">
        <v>74</v>
      </c>
      <c r="I626" t="s">
        <v>11392</v>
      </c>
      <c r="J626" t="s">
        <v>11393</v>
      </c>
      <c r="K626" t="s">
        <v>74</v>
      </c>
      <c r="L626" t="s">
        <v>74</v>
      </c>
      <c r="M626" t="s">
        <v>78</v>
      </c>
      <c r="N626" t="s">
        <v>1328</v>
      </c>
      <c r="O626" t="s">
        <v>74</v>
      </c>
      <c r="P626" t="s">
        <v>74</v>
      </c>
      <c r="Q626" t="s">
        <v>74</v>
      </c>
      <c r="R626" t="s">
        <v>74</v>
      </c>
      <c r="S626" t="s">
        <v>74</v>
      </c>
      <c r="T626" t="s">
        <v>74</v>
      </c>
      <c r="U626" t="s">
        <v>74</v>
      </c>
      <c r="V626" t="s">
        <v>74</v>
      </c>
      <c r="W626" t="s">
        <v>11394</v>
      </c>
      <c r="X626" t="s">
        <v>11395</v>
      </c>
      <c r="Y626" t="s">
        <v>11396</v>
      </c>
      <c r="Z626" t="s">
        <v>11397</v>
      </c>
      <c r="AA626" t="s">
        <v>11398</v>
      </c>
      <c r="AB626" t="s">
        <v>11399</v>
      </c>
      <c r="AC626" t="s">
        <v>74</v>
      </c>
      <c r="AD626" t="s">
        <v>74</v>
      </c>
      <c r="AE626" t="s">
        <v>74</v>
      </c>
      <c r="AF626" t="s">
        <v>74</v>
      </c>
      <c r="AG626">
        <v>4</v>
      </c>
      <c r="AH626">
        <v>2</v>
      </c>
      <c r="AI626">
        <v>2</v>
      </c>
      <c r="AJ626">
        <v>0</v>
      </c>
      <c r="AK626">
        <v>0</v>
      </c>
      <c r="AL626" t="s">
        <v>3489</v>
      </c>
      <c r="AM626" t="s">
        <v>3490</v>
      </c>
      <c r="AN626" t="s">
        <v>3491</v>
      </c>
      <c r="AO626" t="s">
        <v>11400</v>
      </c>
      <c r="AP626" t="s">
        <v>11401</v>
      </c>
      <c r="AQ626" t="s">
        <v>74</v>
      </c>
      <c r="AR626" t="s">
        <v>11402</v>
      </c>
      <c r="AS626" t="s">
        <v>11403</v>
      </c>
      <c r="AT626" t="s">
        <v>594</v>
      </c>
      <c r="AU626">
        <v>2023</v>
      </c>
      <c r="AV626">
        <v>30</v>
      </c>
      <c r="AW626">
        <v>10</v>
      </c>
      <c r="AX626" t="s">
        <v>74</v>
      </c>
      <c r="AY626" t="s">
        <v>74</v>
      </c>
      <c r="AZ626" t="s">
        <v>74</v>
      </c>
      <c r="BA626" t="s">
        <v>74</v>
      </c>
      <c r="BB626">
        <v>2889</v>
      </c>
      <c r="BC626">
        <v>2892</v>
      </c>
      <c r="BD626" t="s">
        <v>74</v>
      </c>
      <c r="BE626" t="s">
        <v>11404</v>
      </c>
      <c r="BF626" t="str">
        <f>HYPERLINK("http://dx.doi.org/10.1007/s43032-023-01274-0","http://dx.doi.org/10.1007/s43032-023-01274-0")</f>
        <v>http://dx.doi.org/10.1007/s43032-023-01274-0</v>
      </c>
      <c r="BG626" t="s">
        <v>74</v>
      </c>
      <c r="BH626" t="s">
        <v>180</v>
      </c>
      <c r="BI626">
        <v>4</v>
      </c>
      <c r="BJ626" t="s">
        <v>11405</v>
      </c>
      <c r="BK626" t="s">
        <v>209</v>
      </c>
      <c r="BL626" t="s">
        <v>11405</v>
      </c>
      <c r="BM626" t="s">
        <v>11406</v>
      </c>
      <c r="BN626">
        <v>37253936</v>
      </c>
      <c r="BO626" t="s">
        <v>74</v>
      </c>
      <c r="BP626" t="s">
        <v>74</v>
      </c>
      <c r="BQ626" t="s">
        <v>74</v>
      </c>
      <c r="BR626" t="s">
        <v>102</v>
      </c>
      <c r="BS626" t="s">
        <v>11407</v>
      </c>
      <c r="BT626" t="str">
        <f>HYPERLINK("https%3A%2F%2Fwww.webofscience.com%2Fwos%2Fwoscc%2Ffull-record%2FWOS:000999630100004","View Full Record in Web of Science")</f>
        <v>View Full Record in Web of Science</v>
      </c>
    </row>
    <row r="627" spans="1:72" x14ac:dyDescent="0.35">
      <c r="A627" t="s">
        <v>72</v>
      </c>
      <c r="B627" t="s">
        <v>11408</v>
      </c>
      <c r="C627" t="s">
        <v>74</v>
      </c>
      <c r="D627" t="s">
        <v>74</v>
      </c>
      <c r="E627" t="s">
        <v>74</v>
      </c>
      <c r="F627" t="s">
        <v>11409</v>
      </c>
      <c r="G627" t="s">
        <v>74</v>
      </c>
      <c r="H627" t="s">
        <v>74</v>
      </c>
      <c r="I627" t="s">
        <v>11410</v>
      </c>
      <c r="J627" t="s">
        <v>4112</v>
      </c>
      <c r="K627" t="s">
        <v>74</v>
      </c>
      <c r="L627" t="s">
        <v>74</v>
      </c>
      <c r="M627" t="s">
        <v>78</v>
      </c>
      <c r="N627" t="s">
        <v>108</v>
      </c>
      <c r="O627" t="s">
        <v>74</v>
      </c>
      <c r="P627" t="s">
        <v>74</v>
      </c>
      <c r="Q627" t="s">
        <v>74</v>
      </c>
      <c r="R627" t="s">
        <v>74</v>
      </c>
      <c r="S627" t="s">
        <v>74</v>
      </c>
      <c r="T627" t="s">
        <v>11411</v>
      </c>
      <c r="U627" t="s">
        <v>11412</v>
      </c>
      <c r="V627" t="s">
        <v>11413</v>
      </c>
      <c r="W627" t="s">
        <v>11414</v>
      </c>
      <c r="X627" t="s">
        <v>10974</v>
      </c>
      <c r="Y627" t="s">
        <v>11415</v>
      </c>
      <c r="Z627" t="s">
        <v>10976</v>
      </c>
      <c r="AA627" t="s">
        <v>10977</v>
      </c>
      <c r="AB627" t="s">
        <v>11416</v>
      </c>
      <c r="AC627" t="s">
        <v>11417</v>
      </c>
      <c r="AD627" t="s">
        <v>11418</v>
      </c>
      <c r="AE627" t="s">
        <v>11419</v>
      </c>
      <c r="AF627" t="s">
        <v>74</v>
      </c>
      <c r="AG627">
        <v>33</v>
      </c>
      <c r="AH627">
        <v>0</v>
      </c>
      <c r="AI627">
        <v>0</v>
      </c>
      <c r="AJ627">
        <v>1</v>
      </c>
      <c r="AK627">
        <v>3</v>
      </c>
      <c r="AL627" t="s">
        <v>543</v>
      </c>
      <c r="AM627" t="s">
        <v>544</v>
      </c>
      <c r="AN627" t="s">
        <v>545</v>
      </c>
      <c r="AO627" t="s">
        <v>74</v>
      </c>
      <c r="AP627" t="s">
        <v>4124</v>
      </c>
      <c r="AQ627" t="s">
        <v>74</v>
      </c>
      <c r="AR627" t="s">
        <v>4125</v>
      </c>
      <c r="AS627" t="s">
        <v>4126</v>
      </c>
      <c r="AT627" t="s">
        <v>3517</v>
      </c>
      <c r="AU627">
        <v>2022</v>
      </c>
      <c r="AV627">
        <v>2</v>
      </c>
      <c r="AW627">
        <v>1</v>
      </c>
      <c r="AX627" t="s">
        <v>74</v>
      </c>
      <c r="AY627" t="s">
        <v>74</v>
      </c>
      <c r="AZ627" t="s">
        <v>74</v>
      </c>
      <c r="BA627" t="s">
        <v>74</v>
      </c>
      <c r="BB627" t="s">
        <v>74</v>
      </c>
      <c r="BC627" t="s">
        <v>74</v>
      </c>
      <c r="BD627" t="s">
        <v>11420</v>
      </c>
      <c r="BE627" t="s">
        <v>11421</v>
      </c>
      <c r="BF627" t="str">
        <f>HYPERLINK("http://dx.doi.org/10.2196/37632","http://dx.doi.org/10.2196/37632")</f>
        <v>http://dx.doi.org/10.2196/37632</v>
      </c>
      <c r="BG627" t="s">
        <v>74</v>
      </c>
      <c r="BH627" t="s">
        <v>74</v>
      </c>
      <c r="BI627">
        <v>7</v>
      </c>
      <c r="BJ627" t="s">
        <v>4129</v>
      </c>
      <c r="BK627" t="s">
        <v>125</v>
      </c>
      <c r="BL627" t="s">
        <v>4129</v>
      </c>
      <c r="BM627" t="s">
        <v>11422</v>
      </c>
      <c r="BN627">
        <v>37113804</v>
      </c>
      <c r="BO627" t="s">
        <v>235</v>
      </c>
      <c r="BP627" t="s">
        <v>74</v>
      </c>
      <c r="BQ627" t="s">
        <v>74</v>
      </c>
      <c r="BR627" t="s">
        <v>102</v>
      </c>
      <c r="BS627" t="s">
        <v>11423</v>
      </c>
      <c r="BT627" t="str">
        <f>HYPERLINK("https%3A%2F%2Fwww.webofscience.com%2Fwos%2Fwoscc%2Ffull-record%2FWOS:001126839400027","View Full Record in Web of Science")</f>
        <v>View Full Record in Web of Science</v>
      </c>
    </row>
    <row r="628" spans="1:72" x14ac:dyDescent="0.35">
      <c r="A628" t="s">
        <v>72</v>
      </c>
      <c r="B628" t="s">
        <v>11424</v>
      </c>
      <c r="C628" t="s">
        <v>74</v>
      </c>
      <c r="D628" t="s">
        <v>74</v>
      </c>
      <c r="E628" t="s">
        <v>74</v>
      </c>
      <c r="F628" t="s">
        <v>11425</v>
      </c>
      <c r="G628" t="s">
        <v>74</v>
      </c>
      <c r="H628" t="s">
        <v>74</v>
      </c>
      <c r="I628" t="s">
        <v>11426</v>
      </c>
      <c r="J628" t="s">
        <v>11427</v>
      </c>
      <c r="K628" t="s">
        <v>74</v>
      </c>
      <c r="L628" t="s">
        <v>74</v>
      </c>
      <c r="M628" t="s">
        <v>78</v>
      </c>
      <c r="N628" t="s">
        <v>108</v>
      </c>
      <c r="O628" t="s">
        <v>74</v>
      </c>
      <c r="P628" t="s">
        <v>74</v>
      </c>
      <c r="Q628" t="s">
        <v>74</v>
      </c>
      <c r="R628" t="s">
        <v>74</v>
      </c>
      <c r="S628" t="s">
        <v>74</v>
      </c>
      <c r="T628" t="s">
        <v>11428</v>
      </c>
      <c r="U628" t="s">
        <v>11429</v>
      </c>
      <c r="V628" t="s">
        <v>11430</v>
      </c>
      <c r="W628" t="s">
        <v>11431</v>
      </c>
      <c r="X628" t="s">
        <v>11432</v>
      </c>
      <c r="Y628" t="s">
        <v>11433</v>
      </c>
      <c r="Z628" t="s">
        <v>11434</v>
      </c>
      <c r="AA628" t="s">
        <v>74</v>
      </c>
      <c r="AB628" t="s">
        <v>74</v>
      </c>
      <c r="AC628" t="s">
        <v>74</v>
      </c>
      <c r="AD628" t="s">
        <v>74</v>
      </c>
      <c r="AE628" t="s">
        <v>74</v>
      </c>
      <c r="AF628" t="s">
        <v>74</v>
      </c>
      <c r="AG628">
        <v>83</v>
      </c>
      <c r="AH628">
        <v>0</v>
      </c>
      <c r="AI628">
        <v>0</v>
      </c>
      <c r="AJ628">
        <v>7</v>
      </c>
      <c r="AK628">
        <v>7</v>
      </c>
      <c r="AL628" t="s">
        <v>171</v>
      </c>
      <c r="AM628" t="s">
        <v>172</v>
      </c>
      <c r="AN628" t="s">
        <v>173</v>
      </c>
      <c r="AO628" t="s">
        <v>11435</v>
      </c>
      <c r="AP628" t="s">
        <v>11436</v>
      </c>
      <c r="AQ628" t="s">
        <v>74</v>
      </c>
      <c r="AR628" t="s">
        <v>11437</v>
      </c>
      <c r="AS628" t="s">
        <v>11438</v>
      </c>
      <c r="AT628" t="s">
        <v>297</v>
      </c>
      <c r="AU628">
        <v>2024</v>
      </c>
      <c r="AV628">
        <v>86</v>
      </c>
      <c r="AW628">
        <v>5</v>
      </c>
      <c r="AX628" t="s">
        <v>74</v>
      </c>
      <c r="AY628" t="s">
        <v>74</v>
      </c>
      <c r="AZ628" t="s">
        <v>456</v>
      </c>
      <c r="BA628" t="s">
        <v>74</v>
      </c>
      <c r="BB628">
        <v>399</v>
      </c>
      <c r="BC628">
        <v>419</v>
      </c>
      <c r="BD628" t="s">
        <v>74</v>
      </c>
      <c r="BE628" t="s">
        <v>11439</v>
      </c>
      <c r="BF628" t="str">
        <f>HYPERLINK("http://dx.doi.org/10.1177/17480485241259836","http://dx.doi.org/10.1177/17480485241259836")</f>
        <v>http://dx.doi.org/10.1177/17480485241259836</v>
      </c>
      <c r="BG628" t="s">
        <v>74</v>
      </c>
      <c r="BH628" t="s">
        <v>2444</v>
      </c>
      <c r="BI628">
        <v>21</v>
      </c>
      <c r="BJ628" t="s">
        <v>124</v>
      </c>
      <c r="BK628" t="s">
        <v>99</v>
      </c>
      <c r="BL628" t="s">
        <v>124</v>
      </c>
      <c r="BM628" t="s">
        <v>11440</v>
      </c>
      <c r="BN628" t="s">
        <v>74</v>
      </c>
      <c r="BO628" t="s">
        <v>74</v>
      </c>
      <c r="BP628" t="s">
        <v>74</v>
      </c>
      <c r="BQ628" t="s">
        <v>74</v>
      </c>
      <c r="BR628" t="s">
        <v>102</v>
      </c>
      <c r="BS628" t="s">
        <v>11441</v>
      </c>
      <c r="BT628" t="str">
        <f>HYPERLINK("https%3A%2F%2Fwww.webofscience.com%2Fwos%2Fwoscc%2Ffull-record%2FWOS:001290581200001","View Full Record in Web of Science")</f>
        <v>View Full Record in Web of Science</v>
      </c>
    </row>
    <row r="629" spans="1:72" x14ac:dyDescent="0.35">
      <c r="A629" t="s">
        <v>72</v>
      </c>
      <c r="B629" t="s">
        <v>11442</v>
      </c>
      <c r="C629" t="s">
        <v>74</v>
      </c>
      <c r="D629" t="s">
        <v>74</v>
      </c>
      <c r="E629" t="s">
        <v>74</v>
      </c>
      <c r="F629" t="s">
        <v>11443</v>
      </c>
      <c r="G629" t="s">
        <v>74</v>
      </c>
      <c r="H629" t="s">
        <v>74</v>
      </c>
      <c r="I629" t="s">
        <v>11444</v>
      </c>
      <c r="J629" t="s">
        <v>11445</v>
      </c>
      <c r="K629" t="s">
        <v>74</v>
      </c>
      <c r="L629" t="s">
        <v>74</v>
      </c>
      <c r="M629" t="s">
        <v>78</v>
      </c>
      <c r="N629" t="s">
        <v>108</v>
      </c>
      <c r="O629" t="s">
        <v>74</v>
      </c>
      <c r="P629" t="s">
        <v>74</v>
      </c>
      <c r="Q629" t="s">
        <v>74</v>
      </c>
      <c r="R629" t="s">
        <v>74</v>
      </c>
      <c r="S629" t="s">
        <v>74</v>
      </c>
      <c r="T629" t="s">
        <v>11446</v>
      </c>
      <c r="U629" t="s">
        <v>11447</v>
      </c>
      <c r="V629" t="s">
        <v>11448</v>
      </c>
      <c r="W629" t="s">
        <v>11449</v>
      </c>
      <c r="X629" t="s">
        <v>11450</v>
      </c>
      <c r="Y629" t="s">
        <v>11451</v>
      </c>
      <c r="Z629" t="s">
        <v>11452</v>
      </c>
      <c r="AA629" t="s">
        <v>11453</v>
      </c>
      <c r="AB629" t="s">
        <v>11454</v>
      </c>
      <c r="AC629" t="s">
        <v>74</v>
      </c>
      <c r="AD629" t="s">
        <v>74</v>
      </c>
      <c r="AE629" t="s">
        <v>74</v>
      </c>
      <c r="AF629" t="s">
        <v>74</v>
      </c>
      <c r="AG629">
        <v>63</v>
      </c>
      <c r="AH629">
        <v>0</v>
      </c>
      <c r="AI629">
        <v>1</v>
      </c>
      <c r="AJ629">
        <v>3</v>
      </c>
      <c r="AK629">
        <v>19</v>
      </c>
      <c r="AL629" t="s">
        <v>88</v>
      </c>
      <c r="AM629" t="s">
        <v>89</v>
      </c>
      <c r="AN629" t="s">
        <v>90</v>
      </c>
      <c r="AO629" t="s">
        <v>11455</v>
      </c>
      <c r="AP629" t="s">
        <v>11456</v>
      </c>
      <c r="AQ629" t="s">
        <v>74</v>
      </c>
      <c r="AR629" t="s">
        <v>11457</v>
      </c>
      <c r="AS629" t="s">
        <v>11458</v>
      </c>
      <c r="AT629" t="s">
        <v>11459</v>
      </c>
      <c r="AU629">
        <v>2024</v>
      </c>
      <c r="AV629">
        <v>39</v>
      </c>
      <c r="AW629">
        <v>3</v>
      </c>
      <c r="AX629" t="s">
        <v>74</v>
      </c>
      <c r="AY629" t="s">
        <v>74</v>
      </c>
      <c r="AZ629" t="s">
        <v>74</v>
      </c>
      <c r="BA629" t="s">
        <v>74</v>
      </c>
      <c r="BB629">
        <v>377</v>
      </c>
      <c r="BC629">
        <v>391</v>
      </c>
      <c r="BD629" t="s">
        <v>74</v>
      </c>
      <c r="BE629" t="s">
        <v>11460</v>
      </c>
      <c r="BF629" t="str">
        <f>HYPERLINK("http://dx.doi.org/10.1080/09647775.2023.2269123","http://dx.doi.org/10.1080/09647775.2023.2269123")</f>
        <v>http://dx.doi.org/10.1080/09647775.2023.2269123</v>
      </c>
      <c r="BG629" t="s">
        <v>74</v>
      </c>
      <c r="BH629" t="s">
        <v>207</v>
      </c>
      <c r="BI629">
        <v>15</v>
      </c>
      <c r="BJ629" t="s">
        <v>4461</v>
      </c>
      <c r="BK629" t="s">
        <v>316</v>
      </c>
      <c r="BL629" t="s">
        <v>4462</v>
      </c>
      <c r="BM629" t="s">
        <v>11461</v>
      </c>
      <c r="BN629" t="s">
        <v>74</v>
      </c>
      <c r="BO629" t="s">
        <v>74</v>
      </c>
      <c r="BP629" t="s">
        <v>74</v>
      </c>
      <c r="BQ629" t="s">
        <v>74</v>
      </c>
      <c r="BR629" t="s">
        <v>102</v>
      </c>
      <c r="BS629" t="s">
        <v>11462</v>
      </c>
      <c r="BT629" t="str">
        <f>HYPERLINK("https%3A%2F%2Fwww.webofscience.com%2Fwos%2Fwoscc%2Ffull-record%2FWOS:001091951800001","View Full Record in Web of Science")</f>
        <v>View Full Record in Web of Science</v>
      </c>
    </row>
    <row r="630" spans="1:72" x14ac:dyDescent="0.35">
      <c r="A630" t="s">
        <v>72</v>
      </c>
      <c r="B630" t="s">
        <v>11463</v>
      </c>
      <c r="C630" t="s">
        <v>74</v>
      </c>
      <c r="D630" t="s">
        <v>74</v>
      </c>
      <c r="E630" t="s">
        <v>74</v>
      </c>
      <c r="F630" t="s">
        <v>11464</v>
      </c>
      <c r="G630" t="s">
        <v>74</v>
      </c>
      <c r="H630" t="s">
        <v>74</v>
      </c>
      <c r="I630" t="s">
        <v>11465</v>
      </c>
      <c r="J630" t="s">
        <v>1034</v>
      </c>
      <c r="K630" t="s">
        <v>74</v>
      </c>
      <c r="L630" t="s">
        <v>74</v>
      </c>
      <c r="M630" t="s">
        <v>78</v>
      </c>
      <c r="N630" t="s">
        <v>108</v>
      </c>
      <c r="O630" t="s">
        <v>74</v>
      </c>
      <c r="P630" t="s">
        <v>74</v>
      </c>
      <c r="Q630" t="s">
        <v>74</v>
      </c>
      <c r="R630" t="s">
        <v>74</v>
      </c>
      <c r="S630" t="s">
        <v>74</v>
      </c>
      <c r="T630" t="s">
        <v>11466</v>
      </c>
      <c r="U630" t="s">
        <v>11467</v>
      </c>
      <c r="V630" t="s">
        <v>11468</v>
      </c>
      <c r="W630" t="s">
        <v>11469</v>
      </c>
      <c r="X630" t="s">
        <v>11470</v>
      </c>
      <c r="Y630" t="s">
        <v>11471</v>
      </c>
      <c r="Z630" t="s">
        <v>11472</v>
      </c>
      <c r="AA630" t="s">
        <v>11473</v>
      </c>
      <c r="AB630" t="s">
        <v>74</v>
      </c>
      <c r="AC630" t="s">
        <v>74</v>
      </c>
      <c r="AD630" t="s">
        <v>74</v>
      </c>
      <c r="AE630" t="s">
        <v>74</v>
      </c>
      <c r="AF630" t="s">
        <v>74</v>
      </c>
      <c r="AG630">
        <v>64</v>
      </c>
      <c r="AH630">
        <v>1</v>
      </c>
      <c r="AI630">
        <v>1</v>
      </c>
      <c r="AJ630">
        <v>14</v>
      </c>
      <c r="AK630">
        <v>45</v>
      </c>
      <c r="AL630" t="s">
        <v>226</v>
      </c>
      <c r="AM630" t="s">
        <v>227</v>
      </c>
      <c r="AN630" t="s">
        <v>228</v>
      </c>
      <c r="AO630" t="s">
        <v>1041</v>
      </c>
      <c r="AP630" t="s">
        <v>1042</v>
      </c>
      <c r="AQ630" t="s">
        <v>74</v>
      </c>
      <c r="AR630" t="s">
        <v>1043</v>
      </c>
      <c r="AS630" t="s">
        <v>1044</v>
      </c>
      <c r="AT630" t="s">
        <v>1484</v>
      </c>
      <c r="AU630">
        <v>2024</v>
      </c>
      <c r="AV630">
        <v>46</v>
      </c>
      <c r="AW630">
        <v>2</v>
      </c>
      <c r="AX630" t="s">
        <v>74</v>
      </c>
      <c r="AY630" t="s">
        <v>74</v>
      </c>
      <c r="AZ630" t="s">
        <v>74</v>
      </c>
      <c r="BA630" t="s">
        <v>74</v>
      </c>
      <c r="BB630">
        <v>272</v>
      </c>
      <c r="BC630">
        <v>291</v>
      </c>
      <c r="BD630" t="s">
        <v>74</v>
      </c>
      <c r="BE630" t="s">
        <v>11474</v>
      </c>
      <c r="BF630" t="str">
        <f>HYPERLINK("http://dx.doi.org/10.1177/01634437231191413","http://dx.doi.org/10.1177/01634437231191413")</f>
        <v>http://dx.doi.org/10.1177/01634437231191413</v>
      </c>
      <c r="BG630" t="s">
        <v>74</v>
      </c>
      <c r="BH630" t="s">
        <v>3138</v>
      </c>
      <c r="BI630">
        <v>20</v>
      </c>
      <c r="BJ630" t="s">
        <v>1047</v>
      </c>
      <c r="BK630" t="s">
        <v>99</v>
      </c>
      <c r="BL630" t="s">
        <v>1047</v>
      </c>
      <c r="BM630" t="s">
        <v>11475</v>
      </c>
      <c r="BN630" t="s">
        <v>74</v>
      </c>
      <c r="BO630" t="s">
        <v>6798</v>
      </c>
      <c r="BP630" t="s">
        <v>74</v>
      </c>
      <c r="BQ630" t="s">
        <v>74</v>
      </c>
      <c r="BR630" t="s">
        <v>102</v>
      </c>
      <c r="BS630" t="s">
        <v>11476</v>
      </c>
      <c r="BT630" t="str">
        <f>HYPERLINK("https%3A%2F%2Fwww.webofscience.com%2Fwos%2Fwoscc%2Ffull-record%2FWOS:001047345100001","View Full Record in Web of Science")</f>
        <v>View Full Record in Web of Science</v>
      </c>
    </row>
    <row r="631" spans="1:72" x14ac:dyDescent="0.35">
      <c r="A631" t="s">
        <v>72</v>
      </c>
      <c r="B631" t="s">
        <v>11477</v>
      </c>
      <c r="C631" t="s">
        <v>74</v>
      </c>
      <c r="D631" t="s">
        <v>74</v>
      </c>
      <c r="E631" t="s">
        <v>74</v>
      </c>
      <c r="F631" t="s">
        <v>11478</v>
      </c>
      <c r="G631" t="s">
        <v>74</v>
      </c>
      <c r="H631" t="s">
        <v>74</v>
      </c>
      <c r="I631" t="s">
        <v>11479</v>
      </c>
      <c r="J631" t="s">
        <v>11480</v>
      </c>
      <c r="K631" t="s">
        <v>74</v>
      </c>
      <c r="L631" t="s">
        <v>74</v>
      </c>
      <c r="M631" t="s">
        <v>78</v>
      </c>
      <c r="N631" t="s">
        <v>108</v>
      </c>
      <c r="O631" t="s">
        <v>74</v>
      </c>
      <c r="P631" t="s">
        <v>74</v>
      </c>
      <c r="Q631" t="s">
        <v>74</v>
      </c>
      <c r="R631" t="s">
        <v>74</v>
      </c>
      <c r="S631" t="s">
        <v>74</v>
      </c>
      <c r="T631" t="s">
        <v>11481</v>
      </c>
      <c r="U631" t="s">
        <v>74</v>
      </c>
      <c r="V631" t="s">
        <v>11482</v>
      </c>
      <c r="W631" t="s">
        <v>11483</v>
      </c>
      <c r="X631" t="s">
        <v>11484</v>
      </c>
      <c r="Y631" t="s">
        <v>11485</v>
      </c>
      <c r="Z631" t="s">
        <v>11486</v>
      </c>
      <c r="AA631" t="s">
        <v>74</v>
      </c>
      <c r="AB631" t="s">
        <v>74</v>
      </c>
      <c r="AC631" t="s">
        <v>74</v>
      </c>
      <c r="AD631" t="s">
        <v>74</v>
      </c>
      <c r="AE631" t="s">
        <v>74</v>
      </c>
      <c r="AF631" t="s">
        <v>74</v>
      </c>
      <c r="AG631">
        <v>31</v>
      </c>
      <c r="AH631">
        <v>0</v>
      </c>
      <c r="AI631">
        <v>0</v>
      </c>
      <c r="AJ631">
        <v>1</v>
      </c>
      <c r="AK631">
        <v>3</v>
      </c>
      <c r="AL631" t="s">
        <v>171</v>
      </c>
      <c r="AM631" t="s">
        <v>172</v>
      </c>
      <c r="AN631" t="s">
        <v>173</v>
      </c>
      <c r="AO631" t="s">
        <v>11487</v>
      </c>
      <c r="AP631" t="s">
        <v>11488</v>
      </c>
      <c r="AQ631" t="s">
        <v>74</v>
      </c>
      <c r="AR631" t="s">
        <v>11489</v>
      </c>
      <c r="AS631" t="s">
        <v>11490</v>
      </c>
      <c r="AT631" t="s">
        <v>1275</v>
      </c>
      <c r="AU631">
        <v>2022</v>
      </c>
      <c r="AV631">
        <v>21</v>
      </c>
      <c r="AW631">
        <v>3</v>
      </c>
      <c r="AX631" t="s">
        <v>74</v>
      </c>
      <c r="AY631" t="s">
        <v>74</v>
      </c>
      <c r="AZ631" t="s">
        <v>74</v>
      </c>
      <c r="BA631" t="s">
        <v>74</v>
      </c>
      <c r="BB631">
        <v>390</v>
      </c>
      <c r="BC631">
        <v>409</v>
      </c>
      <c r="BD631" t="s">
        <v>74</v>
      </c>
      <c r="BE631" t="s">
        <v>11491</v>
      </c>
      <c r="BF631" t="str">
        <f>HYPERLINK("http://dx.doi.org/10.1177/14704129221141922","http://dx.doi.org/10.1177/14704129221141922")</f>
        <v>http://dx.doi.org/10.1177/14704129221141922</v>
      </c>
      <c r="BG631" t="s">
        <v>74</v>
      </c>
      <c r="BH631" t="s">
        <v>74</v>
      </c>
      <c r="BI631">
        <v>20</v>
      </c>
      <c r="BJ631" t="s">
        <v>11492</v>
      </c>
      <c r="BK631" t="s">
        <v>2125</v>
      </c>
      <c r="BL631" t="s">
        <v>11492</v>
      </c>
      <c r="BM631" t="s">
        <v>11493</v>
      </c>
      <c r="BN631" t="s">
        <v>74</v>
      </c>
      <c r="BO631" t="s">
        <v>74</v>
      </c>
      <c r="BP631" t="s">
        <v>74</v>
      </c>
      <c r="BQ631" t="s">
        <v>74</v>
      </c>
      <c r="BR631" t="s">
        <v>102</v>
      </c>
      <c r="BS631" t="s">
        <v>11494</v>
      </c>
      <c r="BT631" t="str">
        <f>HYPERLINK("https%3A%2F%2Fwww.webofscience.com%2Fwos%2Fwoscc%2Ffull-record%2FWOS:000988513800001","View Full Record in Web of Science")</f>
        <v>View Full Record in Web of Science</v>
      </c>
    </row>
    <row r="632" spans="1:72" x14ac:dyDescent="0.35">
      <c r="A632" t="s">
        <v>72</v>
      </c>
      <c r="B632" t="s">
        <v>11495</v>
      </c>
      <c r="C632" t="s">
        <v>74</v>
      </c>
      <c r="D632" t="s">
        <v>74</v>
      </c>
      <c r="E632" t="s">
        <v>74</v>
      </c>
      <c r="F632" t="s">
        <v>11496</v>
      </c>
      <c r="G632" t="s">
        <v>74</v>
      </c>
      <c r="H632" t="s">
        <v>74</v>
      </c>
      <c r="I632" t="s">
        <v>8267</v>
      </c>
      <c r="J632" t="s">
        <v>438</v>
      </c>
      <c r="K632" t="s">
        <v>74</v>
      </c>
      <c r="L632" t="s">
        <v>74</v>
      </c>
      <c r="M632" t="s">
        <v>78</v>
      </c>
      <c r="N632" t="s">
        <v>8268</v>
      </c>
      <c r="O632" t="s">
        <v>74</v>
      </c>
      <c r="P632" t="s">
        <v>74</v>
      </c>
      <c r="Q632" t="s">
        <v>74</v>
      </c>
      <c r="R632" t="s">
        <v>74</v>
      </c>
      <c r="S632" t="s">
        <v>74</v>
      </c>
      <c r="T632" t="s">
        <v>74</v>
      </c>
      <c r="U632" t="s">
        <v>74</v>
      </c>
      <c r="V632" t="s">
        <v>74</v>
      </c>
      <c r="W632" t="s">
        <v>11497</v>
      </c>
      <c r="X632" t="s">
        <v>11498</v>
      </c>
      <c r="Y632" t="s">
        <v>11499</v>
      </c>
      <c r="Z632" t="s">
        <v>74</v>
      </c>
      <c r="AA632" t="s">
        <v>11500</v>
      </c>
      <c r="AB632" t="s">
        <v>11501</v>
      </c>
      <c r="AC632" t="s">
        <v>74</v>
      </c>
      <c r="AD632" t="s">
        <v>74</v>
      </c>
      <c r="AE632" t="s">
        <v>74</v>
      </c>
      <c r="AF632" t="s">
        <v>74</v>
      </c>
      <c r="AG632">
        <v>1</v>
      </c>
      <c r="AH632">
        <v>0</v>
      </c>
      <c r="AI632">
        <v>0</v>
      </c>
      <c r="AJ632">
        <v>6</v>
      </c>
      <c r="AK632">
        <v>33</v>
      </c>
      <c r="AL632" t="s">
        <v>226</v>
      </c>
      <c r="AM632" t="s">
        <v>227</v>
      </c>
      <c r="AN632" t="s">
        <v>228</v>
      </c>
      <c r="AO632" t="s">
        <v>451</v>
      </c>
      <c r="AP632" t="s">
        <v>452</v>
      </c>
      <c r="AQ632" t="s">
        <v>74</v>
      </c>
      <c r="AR632" t="s">
        <v>453</v>
      </c>
      <c r="AS632" t="s">
        <v>454</v>
      </c>
      <c r="AT632" t="s">
        <v>455</v>
      </c>
      <c r="AU632">
        <v>2023</v>
      </c>
      <c r="AV632">
        <v>25</v>
      </c>
      <c r="AW632">
        <v>9</v>
      </c>
      <c r="AX632" t="s">
        <v>74</v>
      </c>
      <c r="AY632" t="s">
        <v>74</v>
      </c>
      <c r="AZ632" t="s">
        <v>74</v>
      </c>
      <c r="BA632" t="s">
        <v>74</v>
      </c>
      <c r="BB632">
        <v>2541</v>
      </c>
      <c r="BC632">
        <v>2543</v>
      </c>
      <c r="BD632" t="s">
        <v>74</v>
      </c>
      <c r="BE632" t="s">
        <v>11502</v>
      </c>
      <c r="BF632" t="str">
        <f>HYPERLINK("http://dx.doi.org/10.1177/14614448231172430","http://dx.doi.org/10.1177/14614448231172430")</f>
        <v>http://dx.doi.org/10.1177/14614448231172430</v>
      </c>
      <c r="BG632" t="s">
        <v>74</v>
      </c>
      <c r="BH632" t="s">
        <v>180</v>
      </c>
      <c r="BI632">
        <v>3</v>
      </c>
      <c r="BJ632" t="s">
        <v>124</v>
      </c>
      <c r="BK632" t="s">
        <v>99</v>
      </c>
      <c r="BL632" t="s">
        <v>124</v>
      </c>
      <c r="BM632" t="s">
        <v>11503</v>
      </c>
      <c r="BN632" t="s">
        <v>74</v>
      </c>
      <c r="BO632" t="s">
        <v>74</v>
      </c>
      <c r="BP632" t="s">
        <v>74</v>
      </c>
      <c r="BQ632" t="s">
        <v>74</v>
      </c>
      <c r="BR632" t="s">
        <v>102</v>
      </c>
      <c r="BS632" t="s">
        <v>11504</v>
      </c>
      <c r="BT632" t="str">
        <f>HYPERLINK("https%3A%2F%2Fwww.webofscience.com%2Fwos%2Fwoscc%2Ffull-record%2FWOS:000988191900001","View Full Record in Web of Science")</f>
        <v>View Full Record in Web of Science</v>
      </c>
    </row>
    <row r="633" spans="1:72" x14ac:dyDescent="0.35">
      <c r="A633" t="s">
        <v>72</v>
      </c>
      <c r="B633" t="s">
        <v>11505</v>
      </c>
      <c r="C633" t="s">
        <v>74</v>
      </c>
      <c r="D633" t="s">
        <v>74</v>
      </c>
      <c r="E633" t="s">
        <v>74</v>
      </c>
      <c r="F633" t="s">
        <v>11506</v>
      </c>
      <c r="G633" t="s">
        <v>74</v>
      </c>
      <c r="H633" t="s">
        <v>74</v>
      </c>
      <c r="I633" t="s">
        <v>11507</v>
      </c>
      <c r="J633" t="s">
        <v>10404</v>
      </c>
      <c r="K633" t="s">
        <v>74</v>
      </c>
      <c r="L633" t="s">
        <v>74</v>
      </c>
      <c r="M633" t="s">
        <v>78</v>
      </c>
      <c r="N633" t="s">
        <v>52</v>
      </c>
      <c r="O633" t="s">
        <v>10405</v>
      </c>
      <c r="P633" t="s">
        <v>10406</v>
      </c>
      <c r="Q633" t="s">
        <v>10407</v>
      </c>
      <c r="R633" t="s">
        <v>10408</v>
      </c>
      <c r="S633" t="s">
        <v>74</v>
      </c>
      <c r="T633" t="s">
        <v>74</v>
      </c>
      <c r="U633" t="s">
        <v>74</v>
      </c>
      <c r="V633" t="s">
        <v>74</v>
      </c>
      <c r="W633" t="s">
        <v>11508</v>
      </c>
      <c r="X633" t="s">
        <v>10918</v>
      </c>
      <c r="Y633" t="s">
        <v>74</v>
      </c>
      <c r="Z633" t="s">
        <v>74</v>
      </c>
      <c r="AA633" t="s">
        <v>74</v>
      </c>
      <c r="AB633" t="s">
        <v>74</v>
      </c>
      <c r="AC633" t="s">
        <v>74</v>
      </c>
      <c r="AD633" t="s">
        <v>74</v>
      </c>
      <c r="AE633" t="s">
        <v>74</v>
      </c>
      <c r="AF633" t="s">
        <v>74</v>
      </c>
      <c r="AG633">
        <v>0</v>
      </c>
      <c r="AH633">
        <v>0</v>
      </c>
      <c r="AI633">
        <v>0</v>
      </c>
      <c r="AJ633">
        <v>0</v>
      </c>
      <c r="AK633">
        <v>0</v>
      </c>
      <c r="AL633" t="s">
        <v>1901</v>
      </c>
      <c r="AM633" t="s">
        <v>995</v>
      </c>
      <c r="AN633" t="s">
        <v>1902</v>
      </c>
      <c r="AO633" t="s">
        <v>10411</v>
      </c>
      <c r="AP633" t="s">
        <v>74</v>
      </c>
      <c r="AQ633" t="s">
        <v>74</v>
      </c>
      <c r="AR633" t="s">
        <v>10412</v>
      </c>
      <c r="AS633" t="s">
        <v>10413</v>
      </c>
      <c r="AT633" t="s">
        <v>745</v>
      </c>
      <c r="AU633">
        <v>2024</v>
      </c>
      <c r="AV633">
        <v>143</v>
      </c>
      <c r="AW633" t="s">
        <v>10414</v>
      </c>
      <c r="AX633" t="s">
        <v>74</v>
      </c>
      <c r="AY633">
        <v>5</v>
      </c>
      <c r="AZ633" t="s">
        <v>74</v>
      </c>
      <c r="BA633">
        <v>2683389</v>
      </c>
      <c r="BB633" t="s">
        <v>11509</v>
      </c>
      <c r="BC633" t="s">
        <v>11510</v>
      </c>
      <c r="BD633" t="s">
        <v>74</v>
      </c>
      <c r="BE633" t="s">
        <v>11511</v>
      </c>
      <c r="BF633" t="str">
        <f>HYPERLINK("http://dx.doi.org/10.1097/01.AOG.0001012864.97060.c3","http://dx.doi.org/10.1097/01.AOG.0001012864.97060.c3")</f>
        <v>http://dx.doi.org/10.1097/01.AOG.0001012864.97060.c3</v>
      </c>
      <c r="BG633" t="s">
        <v>74</v>
      </c>
      <c r="BH633" t="s">
        <v>74</v>
      </c>
      <c r="BI633">
        <v>2</v>
      </c>
      <c r="BJ633" t="s">
        <v>1971</v>
      </c>
      <c r="BK633" t="s">
        <v>2257</v>
      </c>
      <c r="BL633" t="s">
        <v>1971</v>
      </c>
      <c r="BM633" t="s">
        <v>10417</v>
      </c>
      <c r="BN633" t="s">
        <v>74</v>
      </c>
      <c r="BO633" t="s">
        <v>767</v>
      </c>
      <c r="BP633" t="s">
        <v>74</v>
      </c>
      <c r="BQ633" t="s">
        <v>74</v>
      </c>
      <c r="BR633" t="s">
        <v>102</v>
      </c>
      <c r="BS633" t="s">
        <v>11512</v>
      </c>
      <c r="BT633" t="str">
        <f>HYPERLINK("https%3A%2F%2Fwww.webofscience.com%2Fwos%2Fwoscc%2Ffull-record%2FWOS:001258908200083","View Full Record in Web of Science")</f>
        <v>View Full Record in Web of Science</v>
      </c>
    </row>
    <row r="634" spans="1:72" x14ac:dyDescent="0.35">
      <c r="A634" t="s">
        <v>72</v>
      </c>
      <c r="B634" t="s">
        <v>11513</v>
      </c>
      <c r="C634" t="s">
        <v>74</v>
      </c>
      <c r="D634" t="s">
        <v>74</v>
      </c>
      <c r="E634" t="s">
        <v>74</v>
      </c>
      <c r="F634" t="s">
        <v>11514</v>
      </c>
      <c r="G634" t="s">
        <v>74</v>
      </c>
      <c r="H634" t="s">
        <v>74</v>
      </c>
      <c r="I634" t="s">
        <v>11515</v>
      </c>
      <c r="J634" t="s">
        <v>11516</v>
      </c>
      <c r="K634" t="s">
        <v>74</v>
      </c>
      <c r="L634" t="s">
        <v>74</v>
      </c>
      <c r="M634" t="s">
        <v>78</v>
      </c>
      <c r="N634" t="s">
        <v>108</v>
      </c>
      <c r="O634" t="s">
        <v>74</v>
      </c>
      <c r="P634" t="s">
        <v>74</v>
      </c>
      <c r="Q634" t="s">
        <v>74</v>
      </c>
      <c r="R634" t="s">
        <v>74</v>
      </c>
      <c r="S634" t="s">
        <v>74</v>
      </c>
      <c r="T634" t="s">
        <v>11517</v>
      </c>
      <c r="U634" t="s">
        <v>11518</v>
      </c>
      <c r="V634" t="s">
        <v>11519</v>
      </c>
      <c r="W634" t="s">
        <v>11520</v>
      </c>
      <c r="X634" t="s">
        <v>11521</v>
      </c>
      <c r="Y634" t="s">
        <v>11522</v>
      </c>
      <c r="Z634" t="s">
        <v>11523</v>
      </c>
      <c r="AA634" t="s">
        <v>9727</v>
      </c>
      <c r="AB634" t="s">
        <v>11524</v>
      </c>
      <c r="AC634" t="s">
        <v>74</v>
      </c>
      <c r="AD634" t="s">
        <v>74</v>
      </c>
      <c r="AE634" t="s">
        <v>74</v>
      </c>
      <c r="AF634" t="s">
        <v>74</v>
      </c>
      <c r="AG634">
        <v>37</v>
      </c>
      <c r="AH634">
        <v>3</v>
      </c>
      <c r="AI634">
        <v>3</v>
      </c>
      <c r="AJ634">
        <v>3</v>
      </c>
      <c r="AK634">
        <v>7</v>
      </c>
      <c r="AL634" t="s">
        <v>171</v>
      </c>
      <c r="AM634" t="s">
        <v>172</v>
      </c>
      <c r="AN634" t="s">
        <v>173</v>
      </c>
      <c r="AO634" t="s">
        <v>74</v>
      </c>
      <c r="AP634" t="s">
        <v>11525</v>
      </c>
      <c r="AQ634" t="s">
        <v>74</v>
      </c>
      <c r="AR634" t="s">
        <v>11526</v>
      </c>
      <c r="AS634" t="s">
        <v>11527</v>
      </c>
      <c r="AT634" t="s">
        <v>1275</v>
      </c>
      <c r="AU634">
        <v>2023</v>
      </c>
      <c r="AV634">
        <v>11</v>
      </c>
      <c r="AW634">
        <v>12</v>
      </c>
      <c r="AX634" t="s">
        <v>74</v>
      </c>
      <c r="AY634" t="s">
        <v>74</v>
      </c>
      <c r="AZ634" t="s">
        <v>74</v>
      </c>
      <c r="BA634" t="s">
        <v>74</v>
      </c>
      <c r="BB634" t="s">
        <v>74</v>
      </c>
      <c r="BC634" t="s">
        <v>74</v>
      </c>
      <c r="BD634">
        <v>2.3259671231218668E+16</v>
      </c>
      <c r="BE634" t="s">
        <v>11528</v>
      </c>
      <c r="BF634" t="str">
        <f>HYPERLINK("http://dx.doi.org/10.1177/23259671231218668","http://dx.doi.org/10.1177/23259671231218668")</f>
        <v>http://dx.doi.org/10.1177/23259671231218668</v>
      </c>
      <c r="BG634" t="s">
        <v>74</v>
      </c>
      <c r="BH634" t="s">
        <v>74</v>
      </c>
      <c r="BI634">
        <v>7</v>
      </c>
      <c r="BJ634" t="s">
        <v>11529</v>
      </c>
      <c r="BK634" t="s">
        <v>209</v>
      </c>
      <c r="BL634" t="s">
        <v>11529</v>
      </c>
      <c r="BM634" t="s">
        <v>11530</v>
      </c>
      <c r="BN634">
        <v>38145222</v>
      </c>
      <c r="BO634" t="s">
        <v>552</v>
      </c>
      <c r="BP634" t="s">
        <v>74</v>
      </c>
      <c r="BQ634" t="s">
        <v>74</v>
      </c>
      <c r="BR634" t="s">
        <v>102</v>
      </c>
      <c r="BS634" t="s">
        <v>11531</v>
      </c>
      <c r="BT634" t="str">
        <f>HYPERLINK("https%3A%2F%2Fwww.webofscience.com%2Fwos%2Fwoscc%2Ffull-record%2FWOS:001129048200001","View Full Record in Web of Science")</f>
        <v>View Full Record in Web of Science</v>
      </c>
    </row>
    <row r="635" spans="1:72" x14ac:dyDescent="0.35">
      <c r="A635" t="s">
        <v>72</v>
      </c>
      <c r="B635" t="s">
        <v>11532</v>
      </c>
      <c r="C635" t="s">
        <v>74</v>
      </c>
      <c r="D635" t="s">
        <v>74</v>
      </c>
      <c r="E635" t="s">
        <v>74</v>
      </c>
      <c r="F635" t="s">
        <v>11533</v>
      </c>
      <c r="G635" t="s">
        <v>74</v>
      </c>
      <c r="H635" t="s">
        <v>74</v>
      </c>
      <c r="I635" t="s">
        <v>11534</v>
      </c>
      <c r="J635" t="s">
        <v>1327</v>
      </c>
      <c r="K635" t="s">
        <v>74</v>
      </c>
      <c r="L635" t="s">
        <v>74</v>
      </c>
      <c r="M635" t="s">
        <v>78</v>
      </c>
      <c r="N635" t="s">
        <v>1328</v>
      </c>
      <c r="O635" t="s">
        <v>74</v>
      </c>
      <c r="P635" t="s">
        <v>74</v>
      </c>
      <c r="Q635" t="s">
        <v>74</v>
      </c>
      <c r="R635" t="s">
        <v>74</v>
      </c>
      <c r="S635" t="s">
        <v>74</v>
      </c>
      <c r="T635" t="s">
        <v>74</v>
      </c>
      <c r="U635" t="s">
        <v>74</v>
      </c>
      <c r="V635" t="s">
        <v>74</v>
      </c>
      <c r="W635" t="s">
        <v>11535</v>
      </c>
      <c r="X635" t="s">
        <v>11536</v>
      </c>
      <c r="Y635" t="s">
        <v>11537</v>
      </c>
      <c r="Z635" t="s">
        <v>11538</v>
      </c>
      <c r="AA635" t="s">
        <v>11539</v>
      </c>
      <c r="AB635" t="s">
        <v>11540</v>
      </c>
      <c r="AC635" t="s">
        <v>74</v>
      </c>
      <c r="AD635" t="s">
        <v>74</v>
      </c>
      <c r="AE635" t="s">
        <v>74</v>
      </c>
      <c r="AF635" t="s">
        <v>74</v>
      </c>
      <c r="AG635">
        <v>7</v>
      </c>
      <c r="AH635">
        <v>1</v>
      </c>
      <c r="AI635">
        <v>1</v>
      </c>
      <c r="AJ635">
        <v>0</v>
      </c>
      <c r="AK635">
        <v>0</v>
      </c>
      <c r="AL635" t="s">
        <v>251</v>
      </c>
      <c r="AM635" t="s">
        <v>252</v>
      </c>
      <c r="AN635" t="s">
        <v>253</v>
      </c>
      <c r="AO635" t="s">
        <v>1335</v>
      </c>
      <c r="AP635" t="s">
        <v>1336</v>
      </c>
      <c r="AQ635" t="s">
        <v>74</v>
      </c>
      <c r="AR635" t="s">
        <v>1337</v>
      </c>
      <c r="AS635" t="s">
        <v>1338</v>
      </c>
      <c r="AT635" t="s">
        <v>257</v>
      </c>
      <c r="AU635">
        <v>2024</v>
      </c>
      <c r="AV635">
        <v>30</v>
      </c>
      <c r="AW635">
        <v>6</v>
      </c>
      <c r="AX635" t="s">
        <v>74</v>
      </c>
      <c r="AY635" t="s">
        <v>74</v>
      </c>
      <c r="AZ635" t="s">
        <v>74</v>
      </c>
      <c r="BA635" t="s">
        <v>74</v>
      </c>
      <c r="BB635" t="s">
        <v>74</v>
      </c>
      <c r="BC635" t="s">
        <v>74</v>
      </c>
      <c r="BD635" t="s">
        <v>11541</v>
      </c>
      <c r="BE635" t="s">
        <v>11542</v>
      </c>
      <c r="BF635" t="str">
        <f>HYPERLINK("http://dx.doi.org/10.1111/srt.13734","http://dx.doi.org/10.1111/srt.13734")</f>
        <v>http://dx.doi.org/10.1111/srt.13734</v>
      </c>
      <c r="BG635" t="s">
        <v>74</v>
      </c>
      <c r="BH635" t="s">
        <v>74</v>
      </c>
      <c r="BI635">
        <v>3</v>
      </c>
      <c r="BJ635" t="s">
        <v>1341</v>
      </c>
      <c r="BK635" t="s">
        <v>209</v>
      </c>
      <c r="BL635" t="s">
        <v>1341</v>
      </c>
      <c r="BM635" t="s">
        <v>11543</v>
      </c>
      <c r="BN635">
        <v>38896018</v>
      </c>
      <c r="BO635" t="s">
        <v>156</v>
      </c>
      <c r="BP635" t="s">
        <v>74</v>
      </c>
      <c r="BQ635" t="s">
        <v>74</v>
      </c>
      <c r="BR635" t="s">
        <v>102</v>
      </c>
      <c r="BS635" t="s">
        <v>11544</v>
      </c>
      <c r="BT635" t="str">
        <f>HYPERLINK("https%3A%2F%2Fwww.webofscience.com%2Fwos%2Fwoscc%2Ffull-record%2FWOS:001250649500001","View Full Record in Web of Science")</f>
        <v>View Full Record in Web of Science</v>
      </c>
    </row>
    <row r="636" spans="1:72" x14ac:dyDescent="0.35">
      <c r="A636" t="s">
        <v>72</v>
      </c>
      <c r="B636" t="s">
        <v>5243</v>
      </c>
      <c r="C636" t="s">
        <v>74</v>
      </c>
      <c r="D636" t="s">
        <v>74</v>
      </c>
      <c r="E636" t="s">
        <v>74</v>
      </c>
      <c r="F636" t="s">
        <v>5244</v>
      </c>
      <c r="G636" t="s">
        <v>74</v>
      </c>
      <c r="H636" t="s">
        <v>74</v>
      </c>
      <c r="I636" t="s">
        <v>11545</v>
      </c>
      <c r="J636" t="s">
        <v>793</v>
      </c>
      <c r="K636" t="s">
        <v>74</v>
      </c>
      <c r="L636" t="s">
        <v>74</v>
      </c>
      <c r="M636" t="s">
        <v>78</v>
      </c>
      <c r="N636" t="s">
        <v>108</v>
      </c>
      <c r="O636" t="s">
        <v>74</v>
      </c>
      <c r="P636" t="s">
        <v>74</v>
      </c>
      <c r="Q636" t="s">
        <v>74</v>
      </c>
      <c r="R636" t="s">
        <v>74</v>
      </c>
      <c r="S636" t="s">
        <v>74</v>
      </c>
      <c r="T636" t="s">
        <v>11546</v>
      </c>
      <c r="U636" t="s">
        <v>218</v>
      </c>
      <c r="V636" t="s">
        <v>11547</v>
      </c>
      <c r="W636" t="s">
        <v>5249</v>
      </c>
      <c r="X636" t="s">
        <v>5250</v>
      </c>
      <c r="Y636" t="s">
        <v>5251</v>
      </c>
      <c r="Z636" t="s">
        <v>5252</v>
      </c>
      <c r="AA636" t="s">
        <v>5253</v>
      </c>
      <c r="AB636" t="s">
        <v>5254</v>
      </c>
      <c r="AC636" t="s">
        <v>74</v>
      </c>
      <c r="AD636" t="s">
        <v>74</v>
      </c>
      <c r="AE636" t="s">
        <v>74</v>
      </c>
      <c r="AF636" t="s">
        <v>74</v>
      </c>
      <c r="AG636">
        <v>23</v>
      </c>
      <c r="AH636">
        <v>2</v>
      </c>
      <c r="AI636">
        <v>2</v>
      </c>
      <c r="AJ636">
        <v>3</v>
      </c>
      <c r="AK636">
        <v>5</v>
      </c>
      <c r="AL636" t="s">
        <v>803</v>
      </c>
      <c r="AM636" t="s">
        <v>227</v>
      </c>
      <c r="AN636" t="s">
        <v>804</v>
      </c>
      <c r="AO636" t="s">
        <v>74</v>
      </c>
      <c r="AP636" t="s">
        <v>805</v>
      </c>
      <c r="AQ636" t="s">
        <v>74</v>
      </c>
      <c r="AR636" t="s">
        <v>806</v>
      </c>
      <c r="AS636" t="s">
        <v>807</v>
      </c>
      <c r="AT636" t="s">
        <v>11548</v>
      </c>
      <c r="AU636">
        <v>2024</v>
      </c>
      <c r="AV636">
        <v>16</v>
      </c>
      <c r="AW636">
        <v>2</v>
      </c>
      <c r="AX636" t="s">
        <v>74</v>
      </c>
      <c r="AY636" t="s">
        <v>74</v>
      </c>
      <c r="AZ636" t="s">
        <v>74</v>
      </c>
      <c r="BA636" t="s">
        <v>74</v>
      </c>
      <c r="BB636" t="s">
        <v>74</v>
      </c>
      <c r="BC636" t="s">
        <v>74</v>
      </c>
      <c r="BD636" t="s">
        <v>11549</v>
      </c>
      <c r="BE636" t="s">
        <v>11550</v>
      </c>
      <c r="BF636" t="str">
        <f>HYPERLINK("http://dx.doi.org/10.7759/cureus.54247","http://dx.doi.org/10.7759/cureus.54247")</f>
        <v>http://dx.doi.org/10.7759/cureus.54247</v>
      </c>
      <c r="BG636" t="s">
        <v>74</v>
      </c>
      <c r="BH636" t="s">
        <v>74</v>
      </c>
      <c r="BI636">
        <v>9</v>
      </c>
      <c r="BJ636" t="s">
        <v>811</v>
      </c>
      <c r="BK636" t="s">
        <v>125</v>
      </c>
      <c r="BL636" t="s">
        <v>812</v>
      </c>
      <c r="BM636" t="s">
        <v>11551</v>
      </c>
      <c r="BN636">
        <v>38496081</v>
      </c>
      <c r="BO636" t="s">
        <v>552</v>
      </c>
      <c r="BP636" t="s">
        <v>74</v>
      </c>
      <c r="BQ636" t="s">
        <v>74</v>
      </c>
      <c r="BR636" t="s">
        <v>102</v>
      </c>
      <c r="BS636" t="s">
        <v>11552</v>
      </c>
      <c r="BT636" t="str">
        <f>HYPERLINK("https%3A%2F%2Fwww.webofscience.com%2Fwos%2Fwoscc%2Ffull-record%2FWOS:001198234200009","View Full Record in Web of Science")</f>
        <v>View Full Record in Web of Science</v>
      </c>
    </row>
    <row r="637" spans="1:72" x14ac:dyDescent="0.35">
      <c r="A637" t="s">
        <v>72</v>
      </c>
      <c r="B637" t="s">
        <v>11553</v>
      </c>
      <c r="C637" t="s">
        <v>74</v>
      </c>
      <c r="D637" t="s">
        <v>74</v>
      </c>
      <c r="E637" t="s">
        <v>74</v>
      </c>
      <c r="F637" t="s">
        <v>11554</v>
      </c>
      <c r="G637" t="s">
        <v>74</v>
      </c>
      <c r="H637" t="s">
        <v>74</v>
      </c>
      <c r="I637" t="s">
        <v>11555</v>
      </c>
      <c r="J637" t="s">
        <v>2524</v>
      </c>
      <c r="K637" t="s">
        <v>74</v>
      </c>
      <c r="L637" t="s">
        <v>74</v>
      </c>
      <c r="M637" t="s">
        <v>78</v>
      </c>
      <c r="N637" t="s">
        <v>52</v>
      </c>
      <c r="O637" t="s">
        <v>74</v>
      </c>
      <c r="P637" t="s">
        <v>74</v>
      </c>
      <c r="Q637" t="s">
        <v>74</v>
      </c>
      <c r="R637" t="s">
        <v>74</v>
      </c>
      <c r="S637" t="s">
        <v>74</v>
      </c>
      <c r="T637" t="s">
        <v>74</v>
      </c>
      <c r="U637" t="s">
        <v>74</v>
      </c>
      <c r="V637" t="s">
        <v>74</v>
      </c>
      <c r="W637" t="s">
        <v>11556</v>
      </c>
      <c r="X637" t="s">
        <v>11557</v>
      </c>
      <c r="Y637" t="s">
        <v>74</v>
      </c>
      <c r="Z637" t="s">
        <v>74</v>
      </c>
      <c r="AA637" t="s">
        <v>74</v>
      </c>
      <c r="AB637" t="s">
        <v>74</v>
      </c>
      <c r="AC637" t="s">
        <v>74</v>
      </c>
      <c r="AD637" t="s">
        <v>74</v>
      </c>
      <c r="AE637" t="s">
        <v>74</v>
      </c>
      <c r="AF637" t="s">
        <v>74</v>
      </c>
      <c r="AG637">
        <v>0</v>
      </c>
      <c r="AH637">
        <v>0</v>
      </c>
      <c r="AI637">
        <v>0</v>
      </c>
      <c r="AJ637">
        <v>2</v>
      </c>
      <c r="AK637">
        <v>13</v>
      </c>
      <c r="AL637" t="s">
        <v>9222</v>
      </c>
      <c r="AM637" t="s">
        <v>227</v>
      </c>
      <c r="AN637" t="s">
        <v>9223</v>
      </c>
      <c r="AO637" t="s">
        <v>2530</v>
      </c>
      <c r="AP637" t="s">
        <v>2531</v>
      </c>
      <c r="AQ637" t="s">
        <v>74</v>
      </c>
      <c r="AR637" t="s">
        <v>2532</v>
      </c>
      <c r="AS637" t="s">
        <v>11558</v>
      </c>
      <c r="AT637" t="s">
        <v>232</v>
      </c>
      <c r="AU637">
        <v>2022</v>
      </c>
      <c r="AV637">
        <v>70</v>
      </c>
      <c r="AW637">
        <v>1</v>
      </c>
      <c r="AX637" t="s">
        <v>74</v>
      </c>
      <c r="AY637" t="s">
        <v>74</v>
      </c>
      <c r="AZ637" t="s">
        <v>74</v>
      </c>
      <c r="BA637">
        <v>218</v>
      </c>
      <c r="BB637">
        <v>220</v>
      </c>
      <c r="BC637">
        <v>220</v>
      </c>
      <c r="BD637" t="s">
        <v>74</v>
      </c>
      <c r="BE637" t="s">
        <v>11559</v>
      </c>
      <c r="BF637" t="str">
        <f>HYPERLINK("http://dx.doi.org/10.1136/jim-2022-WRMC.215","http://dx.doi.org/10.1136/jim-2022-WRMC.215")</f>
        <v>http://dx.doi.org/10.1136/jim-2022-WRMC.215</v>
      </c>
      <c r="BG637" t="s">
        <v>74</v>
      </c>
      <c r="BH637" t="s">
        <v>74</v>
      </c>
      <c r="BI637">
        <v>1</v>
      </c>
      <c r="BJ637" t="s">
        <v>2535</v>
      </c>
      <c r="BK637" t="s">
        <v>209</v>
      </c>
      <c r="BL637" t="s">
        <v>2536</v>
      </c>
      <c r="BM637" t="s">
        <v>11560</v>
      </c>
      <c r="BN637" t="s">
        <v>74</v>
      </c>
      <c r="BO637" t="s">
        <v>74</v>
      </c>
      <c r="BP637" t="s">
        <v>74</v>
      </c>
      <c r="BQ637" t="s">
        <v>74</v>
      </c>
      <c r="BR637" t="s">
        <v>102</v>
      </c>
      <c r="BS637" t="s">
        <v>11561</v>
      </c>
      <c r="BT637" t="str">
        <f>HYPERLINK("https%3A%2F%2Fwww.webofscience.com%2Fwos%2Fwoscc%2Ffull-record%2FWOS:000737295900236","View Full Record in Web of Science")</f>
        <v>View Full Record in Web of Science</v>
      </c>
    </row>
    <row r="638" spans="1:72" x14ac:dyDescent="0.35">
      <c r="A638" t="s">
        <v>72</v>
      </c>
      <c r="B638" t="s">
        <v>11562</v>
      </c>
      <c r="C638" t="s">
        <v>74</v>
      </c>
      <c r="D638" t="s">
        <v>74</v>
      </c>
      <c r="E638" t="s">
        <v>74</v>
      </c>
      <c r="F638" t="s">
        <v>11563</v>
      </c>
      <c r="G638" t="s">
        <v>74</v>
      </c>
      <c r="H638" t="s">
        <v>74</v>
      </c>
      <c r="I638" t="s">
        <v>11564</v>
      </c>
      <c r="J638" t="s">
        <v>8249</v>
      </c>
      <c r="K638" t="s">
        <v>74</v>
      </c>
      <c r="L638" t="s">
        <v>74</v>
      </c>
      <c r="M638" t="s">
        <v>3503</v>
      </c>
      <c r="N638" t="s">
        <v>108</v>
      </c>
      <c r="O638" t="s">
        <v>74</v>
      </c>
      <c r="P638" t="s">
        <v>74</v>
      </c>
      <c r="Q638" t="s">
        <v>74</v>
      </c>
      <c r="R638" t="s">
        <v>74</v>
      </c>
      <c r="S638" t="s">
        <v>74</v>
      </c>
      <c r="T638" t="s">
        <v>11565</v>
      </c>
      <c r="U638" t="s">
        <v>1036</v>
      </c>
      <c r="V638" t="s">
        <v>11566</v>
      </c>
      <c r="W638" t="s">
        <v>11567</v>
      </c>
      <c r="X638" t="s">
        <v>11568</v>
      </c>
      <c r="Y638" t="s">
        <v>11569</v>
      </c>
      <c r="Z638" t="s">
        <v>11570</v>
      </c>
      <c r="AA638" t="s">
        <v>11571</v>
      </c>
      <c r="AB638" t="s">
        <v>74</v>
      </c>
      <c r="AC638" t="s">
        <v>74</v>
      </c>
      <c r="AD638" t="s">
        <v>74</v>
      </c>
      <c r="AE638" t="s">
        <v>74</v>
      </c>
      <c r="AF638" t="s">
        <v>74</v>
      </c>
      <c r="AG638">
        <v>35</v>
      </c>
      <c r="AH638">
        <v>0</v>
      </c>
      <c r="AI638">
        <v>0</v>
      </c>
      <c r="AJ638">
        <v>10</v>
      </c>
      <c r="AK638">
        <v>14</v>
      </c>
      <c r="AL638" t="s">
        <v>8256</v>
      </c>
      <c r="AM638" t="s">
        <v>8257</v>
      </c>
      <c r="AN638" t="s">
        <v>8258</v>
      </c>
      <c r="AO638" t="s">
        <v>8259</v>
      </c>
      <c r="AP638" t="s">
        <v>74</v>
      </c>
      <c r="AQ638" t="s">
        <v>74</v>
      </c>
      <c r="AR638" t="s">
        <v>8260</v>
      </c>
      <c r="AS638" t="s">
        <v>8261</v>
      </c>
      <c r="AT638" t="s">
        <v>74</v>
      </c>
      <c r="AU638">
        <v>2024</v>
      </c>
      <c r="AV638">
        <v>82</v>
      </c>
      <c r="AW638" t="s">
        <v>74</v>
      </c>
      <c r="AX638" t="s">
        <v>74</v>
      </c>
      <c r="AY638" t="s">
        <v>74</v>
      </c>
      <c r="AZ638" t="s">
        <v>74</v>
      </c>
      <c r="BA638" t="s">
        <v>74</v>
      </c>
      <c r="BB638" t="s">
        <v>74</v>
      </c>
      <c r="BC638" t="s">
        <v>74</v>
      </c>
      <c r="BD638">
        <v>2232</v>
      </c>
      <c r="BE638" t="s">
        <v>11572</v>
      </c>
      <c r="BF638" t="str">
        <f>HYPERLINK("http://dx.doi.org/10.4185/RLCS-2024-2232","http://dx.doi.org/10.4185/RLCS-2024-2232")</f>
        <v>http://dx.doi.org/10.4185/RLCS-2024-2232</v>
      </c>
      <c r="BG638" t="s">
        <v>74</v>
      </c>
      <c r="BH638" t="s">
        <v>74</v>
      </c>
      <c r="BI638">
        <v>19</v>
      </c>
      <c r="BJ638" t="s">
        <v>124</v>
      </c>
      <c r="BK638" t="s">
        <v>125</v>
      </c>
      <c r="BL638" t="s">
        <v>124</v>
      </c>
      <c r="BM638" t="s">
        <v>11573</v>
      </c>
      <c r="BN638" t="s">
        <v>74</v>
      </c>
      <c r="BO638" t="s">
        <v>235</v>
      </c>
      <c r="BP638" t="s">
        <v>74</v>
      </c>
      <c r="BQ638" t="s">
        <v>74</v>
      </c>
      <c r="BR638" t="s">
        <v>102</v>
      </c>
      <c r="BS638" t="s">
        <v>11574</v>
      </c>
      <c r="BT638" t="str">
        <f>HYPERLINK("https%3A%2F%2Fwww.webofscience.com%2Fwos%2Fwoscc%2Ffull-record%2FWOS:001179110900001","View Full Record in Web of Science")</f>
        <v>View Full Record in Web of Science</v>
      </c>
    </row>
    <row r="639" spans="1:72" x14ac:dyDescent="0.35">
      <c r="A639" t="s">
        <v>72</v>
      </c>
      <c r="B639" t="s">
        <v>11575</v>
      </c>
      <c r="C639" t="s">
        <v>74</v>
      </c>
      <c r="D639" t="s">
        <v>74</v>
      </c>
      <c r="E639" t="s">
        <v>74</v>
      </c>
      <c r="F639" t="s">
        <v>11576</v>
      </c>
      <c r="G639" t="s">
        <v>74</v>
      </c>
      <c r="H639" t="s">
        <v>74</v>
      </c>
      <c r="I639" t="s">
        <v>11577</v>
      </c>
      <c r="J639" t="s">
        <v>9586</v>
      </c>
      <c r="K639" t="s">
        <v>74</v>
      </c>
      <c r="L639" t="s">
        <v>74</v>
      </c>
      <c r="M639" t="s">
        <v>78</v>
      </c>
      <c r="N639" t="s">
        <v>1328</v>
      </c>
      <c r="O639" t="s">
        <v>74</v>
      </c>
      <c r="P639" t="s">
        <v>74</v>
      </c>
      <c r="Q639" t="s">
        <v>74</v>
      </c>
      <c r="R639" t="s">
        <v>74</v>
      </c>
      <c r="S639" t="s">
        <v>74</v>
      </c>
      <c r="T639" t="s">
        <v>74</v>
      </c>
      <c r="U639" t="s">
        <v>74</v>
      </c>
      <c r="V639" t="s">
        <v>74</v>
      </c>
      <c r="W639" t="s">
        <v>11578</v>
      </c>
      <c r="X639" t="s">
        <v>11579</v>
      </c>
      <c r="Y639" t="s">
        <v>11580</v>
      </c>
      <c r="Z639" t="s">
        <v>11581</v>
      </c>
      <c r="AA639" t="s">
        <v>11582</v>
      </c>
      <c r="AB639" t="s">
        <v>11583</v>
      </c>
      <c r="AC639" t="s">
        <v>74</v>
      </c>
      <c r="AD639" t="s">
        <v>74</v>
      </c>
      <c r="AE639" t="s">
        <v>74</v>
      </c>
      <c r="AF639" t="s">
        <v>74</v>
      </c>
      <c r="AG639">
        <v>5</v>
      </c>
      <c r="AH639">
        <v>14</v>
      </c>
      <c r="AI639">
        <v>14</v>
      </c>
      <c r="AJ639">
        <v>0</v>
      </c>
      <c r="AK639">
        <v>12</v>
      </c>
      <c r="AL639" t="s">
        <v>251</v>
      </c>
      <c r="AM639" t="s">
        <v>252</v>
      </c>
      <c r="AN639" t="s">
        <v>253</v>
      </c>
      <c r="AO639" t="s">
        <v>9595</v>
      </c>
      <c r="AP639" t="s">
        <v>9596</v>
      </c>
      <c r="AQ639" t="s">
        <v>74</v>
      </c>
      <c r="AR639" t="s">
        <v>9597</v>
      </c>
      <c r="AS639" t="s">
        <v>9598</v>
      </c>
      <c r="AT639" t="s">
        <v>273</v>
      </c>
      <c r="AU639">
        <v>2021</v>
      </c>
      <c r="AV639">
        <v>46</v>
      </c>
      <c r="AW639">
        <v>5</v>
      </c>
      <c r="AX639" t="s">
        <v>74</v>
      </c>
      <c r="AY639" t="s">
        <v>74</v>
      </c>
      <c r="AZ639" t="s">
        <v>74</v>
      </c>
      <c r="BA639" t="s">
        <v>74</v>
      </c>
      <c r="BB639">
        <v>952</v>
      </c>
      <c r="BC639">
        <v>953</v>
      </c>
      <c r="BD639" t="s">
        <v>74</v>
      </c>
      <c r="BE639" t="s">
        <v>11584</v>
      </c>
      <c r="BF639" t="str">
        <f>HYPERLINK("http://dx.doi.org/10.1111/ced.14624","http://dx.doi.org/10.1111/ced.14624")</f>
        <v>http://dx.doi.org/10.1111/ced.14624</v>
      </c>
      <c r="BG639" t="s">
        <v>74</v>
      </c>
      <c r="BH639" t="s">
        <v>8463</v>
      </c>
      <c r="BI639">
        <v>2</v>
      </c>
      <c r="BJ639" t="s">
        <v>1341</v>
      </c>
      <c r="BK639" t="s">
        <v>209</v>
      </c>
      <c r="BL639" t="s">
        <v>1341</v>
      </c>
      <c r="BM639" t="s">
        <v>11585</v>
      </c>
      <c r="BN639">
        <v>33638998</v>
      </c>
      <c r="BO639" t="s">
        <v>74</v>
      </c>
      <c r="BP639" t="s">
        <v>74</v>
      </c>
      <c r="BQ639" t="s">
        <v>74</v>
      </c>
      <c r="BR639" t="s">
        <v>102</v>
      </c>
      <c r="BS639" t="s">
        <v>11586</v>
      </c>
      <c r="BT639" t="str">
        <f>HYPERLINK("https%3A%2F%2Fwww.webofscience.com%2Fwos%2Fwoscc%2Ffull-record%2FWOS:000630537500001","View Full Record in Web of Science")</f>
        <v>View Full Record in Web of Science</v>
      </c>
    </row>
    <row r="640" spans="1:72" x14ac:dyDescent="0.35">
      <c r="A640" t="s">
        <v>72</v>
      </c>
      <c r="B640" t="s">
        <v>1430</v>
      </c>
      <c r="C640" t="s">
        <v>74</v>
      </c>
      <c r="D640" t="s">
        <v>74</v>
      </c>
      <c r="E640" t="s">
        <v>74</v>
      </c>
      <c r="F640" t="s">
        <v>1431</v>
      </c>
      <c r="G640" t="s">
        <v>74</v>
      </c>
      <c r="H640" t="s">
        <v>74</v>
      </c>
      <c r="I640" t="s">
        <v>11587</v>
      </c>
      <c r="J640" t="s">
        <v>438</v>
      </c>
      <c r="K640" t="s">
        <v>74</v>
      </c>
      <c r="L640" t="s">
        <v>74</v>
      </c>
      <c r="M640" t="s">
        <v>78</v>
      </c>
      <c r="N640" t="s">
        <v>108</v>
      </c>
      <c r="O640" t="s">
        <v>74</v>
      </c>
      <c r="P640" t="s">
        <v>74</v>
      </c>
      <c r="Q640" t="s">
        <v>74</v>
      </c>
      <c r="R640" t="s">
        <v>74</v>
      </c>
      <c r="S640" t="s">
        <v>74</v>
      </c>
      <c r="T640" t="s">
        <v>11588</v>
      </c>
      <c r="U640" t="s">
        <v>74</v>
      </c>
      <c r="V640" t="s">
        <v>11589</v>
      </c>
      <c r="W640" t="s">
        <v>11590</v>
      </c>
      <c r="X640" t="s">
        <v>4452</v>
      </c>
      <c r="Y640" t="s">
        <v>11591</v>
      </c>
      <c r="Z640" t="s">
        <v>11592</v>
      </c>
      <c r="AA640" t="s">
        <v>1441</v>
      </c>
      <c r="AB640" t="s">
        <v>74</v>
      </c>
      <c r="AC640" t="s">
        <v>74</v>
      </c>
      <c r="AD640" t="s">
        <v>74</v>
      </c>
      <c r="AE640" t="s">
        <v>74</v>
      </c>
      <c r="AF640" t="s">
        <v>74</v>
      </c>
      <c r="AG640">
        <v>53</v>
      </c>
      <c r="AH640">
        <v>14</v>
      </c>
      <c r="AI640">
        <v>17</v>
      </c>
      <c r="AJ640">
        <v>11</v>
      </c>
      <c r="AK640">
        <v>88</v>
      </c>
      <c r="AL640" t="s">
        <v>226</v>
      </c>
      <c r="AM640" t="s">
        <v>227</v>
      </c>
      <c r="AN640" t="s">
        <v>228</v>
      </c>
      <c r="AO640" t="s">
        <v>451</v>
      </c>
      <c r="AP640" t="s">
        <v>452</v>
      </c>
      <c r="AQ640" t="s">
        <v>74</v>
      </c>
      <c r="AR640" t="s">
        <v>453</v>
      </c>
      <c r="AS640" t="s">
        <v>454</v>
      </c>
      <c r="AT640" t="s">
        <v>745</v>
      </c>
      <c r="AU640">
        <v>2024</v>
      </c>
      <c r="AV640">
        <v>26</v>
      </c>
      <c r="AW640">
        <v>5</v>
      </c>
      <c r="AX640" t="s">
        <v>74</v>
      </c>
      <c r="AY640" t="s">
        <v>74</v>
      </c>
      <c r="AZ640" t="s">
        <v>74</v>
      </c>
      <c r="BA640" t="s">
        <v>74</v>
      </c>
      <c r="BB640">
        <v>2387</v>
      </c>
      <c r="BC640">
        <v>2406</v>
      </c>
      <c r="BD640">
        <v>1.461444822108048E+16</v>
      </c>
      <c r="BE640" t="s">
        <v>11593</v>
      </c>
      <c r="BF640" t="str">
        <f>HYPERLINK("http://dx.doi.org/10.1177/14614448221080480","http://dx.doi.org/10.1177/14614448221080480")</f>
        <v>http://dx.doi.org/10.1177/14614448221080480</v>
      </c>
      <c r="BG640" t="s">
        <v>74</v>
      </c>
      <c r="BH640" t="s">
        <v>4941</v>
      </c>
      <c r="BI640">
        <v>20</v>
      </c>
      <c r="BJ640" t="s">
        <v>124</v>
      </c>
      <c r="BK640" t="s">
        <v>99</v>
      </c>
      <c r="BL640" t="s">
        <v>124</v>
      </c>
      <c r="BM640" t="s">
        <v>11594</v>
      </c>
      <c r="BN640" t="s">
        <v>74</v>
      </c>
      <c r="BO640" t="s">
        <v>74</v>
      </c>
      <c r="BP640" t="s">
        <v>74</v>
      </c>
      <c r="BQ640" t="s">
        <v>74</v>
      </c>
      <c r="BR640" t="s">
        <v>102</v>
      </c>
      <c r="BS640" t="s">
        <v>11595</v>
      </c>
      <c r="BT640" t="str">
        <f>HYPERLINK("https%3A%2F%2Fwww.webofscience.com%2Fwos%2Fwoscc%2Ffull-record%2FWOS:000780141700001","View Full Record in Web of Science")</f>
        <v>View Full Record in Web of Science</v>
      </c>
    </row>
    <row r="641" spans="1:72" x14ac:dyDescent="0.35">
      <c r="A641" t="s">
        <v>72</v>
      </c>
      <c r="B641" t="s">
        <v>11596</v>
      </c>
      <c r="C641" t="s">
        <v>74</v>
      </c>
      <c r="D641" t="s">
        <v>74</v>
      </c>
      <c r="E641" t="s">
        <v>74</v>
      </c>
      <c r="F641" t="s">
        <v>11597</v>
      </c>
      <c r="G641" t="s">
        <v>74</v>
      </c>
      <c r="H641" t="s">
        <v>74</v>
      </c>
      <c r="I641" t="s">
        <v>11598</v>
      </c>
      <c r="J641" t="s">
        <v>11599</v>
      </c>
      <c r="K641" t="s">
        <v>74</v>
      </c>
      <c r="L641" t="s">
        <v>74</v>
      </c>
      <c r="M641" t="s">
        <v>78</v>
      </c>
      <c r="N641" t="s">
        <v>52</v>
      </c>
      <c r="O641" t="s">
        <v>74</v>
      </c>
      <c r="P641" t="s">
        <v>74</v>
      </c>
      <c r="Q641" t="s">
        <v>74</v>
      </c>
      <c r="R641" t="s">
        <v>74</v>
      </c>
      <c r="S641" t="s">
        <v>74</v>
      </c>
      <c r="T641" t="s">
        <v>74</v>
      </c>
      <c r="U641" t="s">
        <v>74</v>
      </c>
      <c r="V641" t="s">
        <v>74</v>
      </c>
      <c r="W641" t="s">
        <v>74</v>
      </c>
      <c r="X641" t="s">
        <v>74</v>
      </c>
      <c r="Y641" t="s">
        <v>74</v>
      </c>
      <c r="Z641" t="s">
        <v>74</v>
      </c>
      <c r="AA641" t="s">
        <v>74</v>
      </c>
      <c r="AB641" t="s">
        <v>74</v>
      </c>
      <c r="AC641" t="s">
        <v>74</v>
      </c>
      <c r="AD641" t="s">
        <v>74</v>
      </c>
      <c r="AE641" t="s">
        <v>74</v>
      </c>
      <c r="AF641" t="s">
        <v>74</v>
      </c>
      <c r="AG641">
        <v>0</v>
      </c>
      <c r="AH641">
        <v>0</v>
      </c>
      <c r="AI641">
        <v>0</v>
      </c>
      <c r="AJ641">
        <v>0</v>
      </c>
      <c r="AK641">
        <v>2</v>
      </c>
      <c r="AL641" t="s">
        <v>1901</v>
      </c>
      <c r="AM641" t="s">
        <v>995</v>
      </c>
      <c r="AN641" t="s">
        <v>1902</v>
      </c>
      <c r="AO641" t="s">
        <v>11600</v>
      </c>
      <c r="AP641" t="s">
        <v>11601</v>
      </c>
      <c r="AQ641" t="s">
        <v>74</v>
      </c>
      <c r="AR641" t="s">
        <v>11602</v>
      </c>
      <c r="AS641" t="s">
        <v>11603</v>
      </c>
      <c r="AT641" t="s">
        <v>455</v>
      </c>
      <c r="AU641">
        <v>2021</v>
      </c>
      <c r="AV641">
        <v>206</v>
      </c>
      <c r="AW641" t="s">
        <v>74</v>
      </c>
      <c r="AX641" t="s">
        <v>74</v>
      </c>
      <c r="AY641">
        <v>3</v>
      </c>
      <c r="AZ641" t="s">
        <v>74</v>
      </c>
      <c r="BA641" t="s">
        <v>11604</v>
      </c>
      <c r="BB641" t="s">
        <v>11605</v>
      </c>
      <c r="BC641" t="s">
        <v>11605</v>
      </c>
      <c r="BD641" t="s">
        <v>74</v>
      </c>
      <c r="BE641" t="s">
        <v>74</v>
      </c>
      <c r="BF641" t="s">
        <v>74</v>
      </c>
      <c r="BG641" t="s">
        <v>74</v>
      </c>
      <c r="BH641" t="s">
        <v>74</v>
      </c>
      <c r="BI641">
        <v>1</v>
      </c>
      <c r="BJ641" t="s">
        <v>1908</v>
      </c>
      <c r="BK641" t="s">
        <v>209</v>
      </c>
      <c r="BL641" t="s">
        <v>1908</v>
      </c>
      <c r="BM641" t="s">
        <v>11606</v>
      </c>
      <c r="BN641" t="s">
        <v>74</v>
      </c>
      <c r="BO641" t="s">
        <v>74</v>
      </c>
      <c r="BP641" t="s">
        <v>74</v>
      </c>
      <c r="BQ641" t="s">
        <v>74</v>
      </c>
      <c r="BR641" t="s">
        <v>102</v>
      </c>
      <c r="BS641" t="s">
        <v>11607</v>
      </c>
      <c r="BT641" t="str">
        <f>HYPERLINK("https%3A%2F%2Fwww.webofscience.com%2Fwos%2Fwoscc%2Ffull-record%2FWOS:000693688500353","View Full Record in Web of Science")</f>
        <v>View Full Record in Web of Science</v>
      </c>
    </row>
    <row r="642" spans="1:72" x14ac:dyDescent="0.35">
      <c r="A642" t="s">
        <v>72</v>
      </c>
      <c r="B642" t="s">
        <v>11608</v>
      </c>
      <c r="C642" t="s">
        <v>74</v>
      </c>
      <c r="D642" t="s">
        <v>74</v>
      </c>
      <c r="E642" t="s">
        <v>74</v>
      </c>
      <c r="F642" t="s">
        <v>11609</v>
      </c>
      <c r="G642" t="s">
        <v>74</v>
      </c>
      <c r="H642" t="s">
        <v>74</v>
      </c>
      <c r="I642" t="s">
        <v>11610</v>
      </c>
      <c r="J642" t="s">
        <v>11611</v>
      </c>
      <c r="K642" t="s">
        <v>74</v>
      </c>
      <c r="L642" t="s">
        <v>74</v>
      </c>
      <c r="M642" t="s">
        <v>78</v>
      </c>
      <c r="N642" t="s">
        <v>108</v>
      </c>
      <c r="O642" t="s">
        <v>74</v>
      </c>
      <c r="P642" t="s">
        <v>74</v>
      </c>
      <c r="Q642" t="s">
        <v>74</v>
      </c>
      <c r="R642" t="s">
        <v>74</v>
      </c>
      <c r="S642" t="s">
        <v>74</v>
      </c>
      <c r="T642" t="s">
        <v>11612</v>
      </c>
      <c r="U642" t="s">
        <v>11613</v>
      </c>
      <c r="V642" t="s">
        <v>11614</v>
      </c>
      <c r="W642" t="s">
        <v>11615</v>
      </c>
      <c r="X642" t="s">
        <v>74</v>
      </c>
      <c r="Y642" t="s">
        <v>11616</v>
      </c>
      <c r="Z642" t="s">
        <v>11617</v>
      </c>
      <c r="AA642" t="s">
        <v>74</v>
      </c>
      <c r="AB642" t="s">
        <v>11618</v>
      </c>
      <c r="AC642" t="s">
        <v>74</v>
      </c>
      <c r="AD642" t="s">
        <v>74</v>
      </c>
      <c r="AE642" t="s">
        <v>74</v>
      </c>
      <c r="AF642" t="s">
        <v>74</v>
      </c>
      <c r="AG642">
        <v>26</v>
      </c>
      <c r="AH642">
        <v>4</v>
      </c>
      <c r="AI642">
        <v>4</v>
      </c>
      <c r="AJ642">
        <v>3</v>
      </c>
      <c r="AK642">
        <v>6</v>
      </c>
      <c r="AL642" t="s">
        <v>226</v>
      </c>
      <c r="AM642" t="s">
        <v>227</v>
      </c>
      <c r="AN642" t="s">
        <v>228</v>
      </c>
      <c r="AO642" t="s">
        <v>11619</v>
      </c>
      <c r="AP642" t="s">
        <v>11620</v>
      </c>
      <c r="AQ642" t="s">
        <v>74</v>
      </c>
      <c r="AR642" t="s">
        <v>11621</v>
      </c>
      <c r="AS642" t="s">
        <v>11622</v>
      </c>
      <c r="AT642" t="s">
        <v>1484</v>
      </c>
      <c r="AU642">
        <v>2024</v>
      </c>
      <c r="AV642">
        <v>16</v>
      </c>
      <c r="AW642">
        <v>1</v>
      </c>
      <c r="AX642" t="s">
        <v>74</v>
      </c>
      <c r="AY642" t="s">
        <v>74</v>
      </c>
      <c r="AZ642" t="s">
        <v>74</v>
      </c>
      <c r="BA642" t="s">
        <v>74</v>
      </c>
      <c r="BB642">
        <v>3</v>
      </c>
      <c r="BC642">
        <v>9</v>
      </c>
      <c r="BD642" t="s">
        <v>74</v>
      </c>
      <c r="BE642" t="s">
        <v>11623</v>
      </c>
      <c r="BF642" t="str">
        <f>HYPERLINK("http://dx.doi.org/10.1177/22840265231220089","http://dx.doi.org/10.1177/22840265231220089")</f>
        <v>http://dx.doi.org/10.1177/22840265231220089</v>
      </c>
      <c r="BG642" t="s">
        <v>74</v>
      </c>
      <c r="BH642" t="s">
        <v>1377</v>
      </c>
      <c r="BI642">
        <v>7</v>
      </c>
      <c r="BJ642" t="s">
        <v>1971</v>
      </c>
      <c r="BK642" t="s">
        <v>125</v>
      </c>
      <c r="BL642" t="s">
        <v>1971</v>
      </c>
      <c r="BM642" t="s">
        <v>11624</v>
      </c>
      <c r="BN642" t="s">
        <v>74</v>
      </c>
      <c r="BO642" t="s">
        <v>74</v>
      </c>
      <c r="BP642" t="s">
        <v>74</v>
      </c>
      <c r="BQ642" t="s">
        <v>74</v>
      </c>
      <c r="BR642" t="s">
        <v>102</v>
      </c>
      <c r="BS642" t="s">
        <v>11625</v>
      </c>
      <c r="BT642" t="str">
        <f>HYPERLINK("https%3A%2F%2Fwww.webofscience.com%2Fwos%2Fwoscc%2Ffull-record%2FWOS:001140048700001","View Full Record in Web of Science")</f>
        <v>View Full Record in Web of Science</v>
      </c>
    </row>
    <row r="643" spans="1:72" x14ac:dyDescent="0.35">
      <c r="A643" t="s">
        <v>72</v>
      </c>
      <c r="B643" t="s">
        <v>8731</v>
      </c>
      <c r="C643" t="s">
        <v>74</v>
      </c>
      <c r="D643" t="s">
        <v>74</v>
      </c>
      <c r="E643" t="s">
        <v>74</v>
      </c>
      <c r="F643" t="s">
        <v>8732</v>
      </c>
      <c r="G643" t="s">
        <v>74</v>
      </c>
      <c r="H643" t="s">
        <v>74</v>
      </c>
      <c r="I643" t="s">
        <v>11626</v>
      </c>
      <c r="J643" t="s">
        <v>8734</v>
      </c>
      <c r="K643" t="s">
        <v>74</v>
      </c>
      <c r="L643" t="s">
        <v>74</v>
      </c>
      <c r="M643" t="s">
        <v>78</v>
      </c>
      <c r="N643" t="s">
        <v>9221</v>
      </c>
      <c r="O643" t="s">
        <v>74</v>
      </c>
      <c r="P643" t="s">
        <v>74</v>
      </c>
      <c r="Q643" t="s">
        <v>74</v>
      </c>
      <c r="R643" t="s">
        <v>74</v>
      </c>
      <c r="S643" t="s">
        <v>74</v>
      </c>
      <c r="T643" t="s">
        <v>74</v>
      </c>
      <c r="U643" t="s">
        <v>74</v>
      </c>
      <c r="V643" t="s">
        <v>74</v>
      </c>
      <c r="W643" t="s">
        <v>74</v>
      </c>
      <c r="X643" t="s">
        <v>74</v>
      </c>
      <c r="Y643" t="s">
        <v>74</v>
      </c>
      <c r="Z643" t="s">
        <v>74</v>
      </c>
      <c r="AA643" t="s">
        <v>74</v>
      </c>
      <c r="AB643" t="s">
        <v>74</v>
      </c>
      <c r="AC643" t="s">
        <v>74</v>
      </c>
      <c r="AD643" t="s">
        <v>74</v>
      </c>
      <c r="AE643" t="s">
        <v>74</v>
      </c>
      <c r="AF643" t="s">
        <v>74</v>
      </c>
      <c r="AG643">
        <v>0</v>
      </c>
      <c r="AH643">
        <v>0</v>
      </c>
      <c r="AI643">
        <v>0</v>
      </c>
      <c r="AJ643">
        <v>0</v>
      </c>
      <c r="AK643">
        <v>4</v>
      </c>
      <c r="AL643" t="s">
        <v>11627</v>
      </c>
      <c r="AM643" t="s">
        <v>227</v>
      </c>
      <c r="AN643" t="s">
        <v>11628</v>
      </c>
      <c r="AO643" t="s">
        <v>8738</v>
      </c>
      <c r="AP643" t="s">
        <v>74</v>
      </c>
      <c r="AQ643" t="s">
        <v>74</v>
      </c>
      <c r="AR643" t="s">
        <v>8739</v>
      </c>
      <c r="AS643" t="s">
        <v>8740</v>
      </c>
      <c r="AT643" t="s">
        <v>11629</v>
      </c>
      <c r="AU643">
        <v>2021</v>
      </c>
      <c r="AV643">
        <v>245</v>
      </c>
      <c r="AW643">
        <v>3353</v>
      </c>
      <c r="AX643" t="s">
        <v>74</v>
      </c>
      <c r="AY643" t="s">
        <v>74</v>
      </c>
      <c r="AZ643" t="s">
        <v>74</v>
      </c>
      <c r="BA643" t="s">
        <v>74</v>
      </c>
      <c r="BB643">
        <v>19</v>
      </c>
      <c r="BC643">
        <v>19</v>
      </c>
      <c r="BD643" t="s">
        <v>74</v>
      </c>
      <c r="BE643" t="s">
        <v>74</v>
      </c>
      <c r="BF643" t="s">
        <v>74</v>
      </c>
      <c r="BG643" t="s">
        <v>74</v>
      </c>
      <c r="BH643" t="s">
        <v>74</v>
      </c>
      <c r="BI643">
        <v>1</v>
      </c>
      <c r="BJ643" t="s">
        <v>1301</v>
      </c>
      <c r="BK643" t="s">
        <v>209</v>
      </c>
      <c r="BL643" t="s">
        <v>1302</v>
      </c>
      <c r="BM643" t="s">
        <v>11630</v>
      </c>
      <c r="BN643" t="s">
        <v>74</v>
      </c>
      <c r="BO643" t="s">
        <v>74</v>
      </c>
      <c r="BP643" t="s">
        <v>74</v>
      </c>
      <c r="BQ643" t="s">
        <v>74</v>
      </c>
      <c r="BR643" t="s">
        <v>102</v>
      </c>
      <c r="BS643" t="s">
        <v>11631</v>
      </c>
      <c r="BT643" t="str">
        <f>HYPERLINK("https%3A%2F%2Fwww.webofscience.com%2Fwos%2Fwoscc%2Ffull-record%2FWOS:000700598500021","View Full Record in Web of Science")</f>
        <v>View Full Record in Web of Science</v>
      </c>
    </row>
    <row r="644" spans="1:72" x14ac:dyDescent="0.35">
      <c r="A644" t="s">
        <v>72</v>
      </c>
      <c r="B644" t="s">
        <v>11632</v>
      </c>
      <c r="C644" t="s">
        <v>74</v>
      </c>
      <c r="D644" t="s">
        <v>74</v>
      </c>
      <c r="E644" t="s">
        <v>74</v>
      </c>
      <c r="F644" t="s">
        <v>11633</v>
      </c>
      <c r="G644" t="s">
        <v>74</v>
      </c>
      <c r="H644" t="s">
        <v>74</v>
      </c>
      <c r="I644" t="s">
        <v>11634</v>
      </c>
      <c r="J644" t="s">
        <v>10432</v>
      </c>
      <c r="K644" t="s">
        <v>74</v>
      </c>
      <c r="L644" t="s">
        <v>74</v>
      </c>
      <c r="M644" t="s">
        <v>78</v>
      </c>
      <c r="N644" t="s">
        <v>52</v>
      </c>
      <c r="O644" t="s">
        <v>74</v>
      </c>
      <c r="P644" t="s">
        <v>74</v>
      </c>
      <c r="Q644" t="s">
        <v>74</v>
      </c>
      <c r="R644" t="s">
        <v>74</v>
      </c>
      <c r="S644" t="s">
        <v>74</v>
      </c>
      <c r="T644" t="s">
        <v>74</v>
      </c>
      <c r="U644" t="s">
        <v>74</v>
      </c>
      <c r="V644" t="s">
        <v>74</v>
      </c>
      <c r="W644" t="s">
        <v>11635</v>
      </c>
      <c r="X644" t="s">
        <v>11636</v>
      </c>
      <c r="Y644" t="s">
        <v>74</v>
      </c>
      <c r="Z644" t="s">
        <v>74</v>
      </c>
      <c r="AA644" t="s">
        <v>11637</v>
      </c>
      <c r="AB644" t="s">
        <v>74</v>
      </c>
      <c r="AC644" t="s">
        <v>74</v>
      </c>
      <c r="AD644" t="s">
        <v>74</v>
      </c>
      <c r="AE644" t="s">
        <v>74</v>
      </c>
      <c r="AF644" t="s">
        <v>74</v>
      </c>
      <c r="AG644">
        <v>0</v>
      </c>
      <c r="AH644">
        <v>0</v>
      </c>
      <c r="AI644">
        <v>0</v>
      </c>
      <c r="AJ644">
        <v>0</v>
      </c>
      <c r="AK644">
        <v>2</v>
      </c>
      <c r="AL644" t="s">
        <v>1965</v>
      </c>
      <c r="AM644" t="s">
        <v>666</v>
      </c>
      <c r="AN644" t="s">
        <v>1966</v>
      </c>
      <c r="AO644" t="s">
        <v>10436</v>
      </c>
      <c r="AP644" t="s">
        <v>10437</v>
      </c>
      <c r="AQ644" t="s">
        <v>74</v>
      </c>
      <c r="AR644" t="s">
        <v>10438</v>
      </c>
      <c r="AS644" t="s">
        <v>10439</v>
      </c>
      <c r="AT644" t="s">
        <v>745</v>
      </c>
      <c r="AU644">
        <v>2021</v>
      </c>
      <c r="AV644">
        <v>141</v>
      </c>
      <c r="AW644">
        <v>5</v>
      </c>
      <c r="AX644" t="s">
        <v>74</v>
      </c>
      <c r="AY644" t="s">
        <v>4946</v>
      </c>
      <c r="AZ644" t="s">
        <v>74</v>
      </c>
      <c r="BA644">
        <v>370</v>
      </c>
      <c r="BB644" t="s">
        <v>11638</v>
      </c>
      <c r="BC644" t="s">
        <v>11638</v>
      </c>
      <c r="BD644" t="s">
        <v>74</v>
      </c>
      <c r="BE644" t="s">
        <v>74</v>
      </c>
      <c r="BF644" t="s">
        <v>74</v>
      </c>
      <c r="BG644" t="s">
        <v>74</v>
      </c>
      <c r="BH644" t="s">
        <v>74</v>
      </c>
      <c r="BI644">
        <v>1</v>
      </c>
      <c r="BJ644" t="s">
        <v>1341</v>
      </c>
      <c r="BK644" t="s">
        <v>209</v>
      </c>
      <c r="BL644" t="s">
        <v>1341</v>
      </c>
      <c r="BM644" t="s">
        <v>10441</v>
      </c>
      <c r="BN644" t="s">
        <v>74</v>
      </c>
      <c r="BO644" t="s">
        <v>74</v>
      </c>
      <c r="BP644" t="s">
        <v>74</v>
      </c>
      <c r="BQ644" t="s">
        <v>74</v>
      </c>
      <c r="BR644" t="s">
        <v>102</v>
      </c>
      <c r="BS644" t="s">
        <v>11639</v>
      </c>
      <c r="BT644" t="str">
        <f>HYPERLINK("https%3A%2F%2Fwww.webofscience.com%2Fwos%2Fwoscc%2Ffull-record%2FWOS:000641872800369","View Full Record in Web of Science")</f>
        <v>View Full Record in Web of Science</v>
      </c>
    </row>
    <row r="645" spans="1:72" x14ac:dyDescent="0.35">
      <c r="A645" t="s">
        <v>72</v>
      </c>
      <c r="B645" t="s">
        <v>11640</v>
      </c>
      <c r="C645" t="s">
        <v>74</v>
      </c>
      <c r="D645" t="s">
        <v>74</v>
      </c>
      <c r="E645" t="s">
        <v>74</v>
      </c>
      <c r="F645" t="s">
        <v>11641</v>
      </c>
      <c r="G645" t="s">
        <v>74</v>
      </c>
      <c r="H645" t="s">
        <v>74</v>
      </c>
      <c r="I645" t="s">
        <v>11642</v>
      </c>
      <c r="J645" t="s">
        <v>11643</v>
      </c>
      <c r="K645" t="s">
        <v>74</v>
      </c>
      <c r="L645" t="s">
        <v>74</v>
      </c>
      <c r="M645" t="s">
        <v>78</v>
      </c>
      <c r="N645" t="s">
        <v>108</v>
      </c>
      <c r="O645" t="s">
        <v>74</v>
      </c>
      <c r="P645" t="s">
        <v>74</v>
      </c>
      <c r="Q645" t="s">
        <v>74</v>
      </c>
      <c r="R645" t="s">
        <v>74</v>
      </c>
      <c r="S645" t="s">
        <v>74</v>
      </c>
      <c r="T645" t="s">
        <v>74</v>
      </c>
      <c r="U645" t="s">
        <v>74</v>
      </c>
      <c r="V645" t="s">
        <v>74</v>
      </c>
      <c r="W645" t="s">
        <v>74</v>
      </c>
      <c r="X645" t="s">
        <v>74</v>
      </c>
      <c r="Y645" t="s">
        <v>74</v>
      </c>
      <c r="Z645" t="s">
        <v>74</v>
      </c>
      <c r="AA645" t="s">
        <v>74</v>
      </c>
      <c r="AB645" t="s">
        <v>74</v>
      </c>
      <c r="AC645" t="s">
        <v>74</v>
      </c>
      <c r="AD645" t="s">
        <v>74</v>
      </c>
      <c r="AE645" t="s">
        <v>74</v>
      </c>
      <c r="AF645" t="s">
        <v>74</v>
      </c>
      <c r="AG645">
        <v>22</v>
      </c>
      <c r="AH645">
        <v>0</v>
      </c>
      <c r="AI645">
        <v>0</v>
      </c>
      <c r="AJ645">
        <v>0</v>
      </c>
      <c r="AK645">
        <v>0</v>
      </c>
      <c r="AL645" t="s">
        <v>11644</v>
      </c>
      <c r="AM645" t="s">
        <v>11645</v>
      </c>
      <c r="AN645" t="s">
        <v>11646</v>
      </c>
      <c r="AO645" t="s">
        <v>11647</v>
      </c>
      <c r="AP645" t="s">
        <v>74</v>
      </c>
      <c r="AQ645" t="s">
        <v>74</v>
      </c>
      <c r="AR645" t="s">
        <v>11643</v>
      </c>
      <c r="AS645" t="s">
        <v>11648</v>
      </c>
      <c r="AT645" t="s">
        <v>74</v>
      </c>
      <c r="AU645">
        <v>2022</v>
      </c>
      <c r="AV645" t="s">
        <v>74</v>
      </c>
      <c r="AW645">
        <v>214</v>
      </c>
      <c r="AX645" t="s">
        <v>74</v>
      </c>
      <c r="AY645" t="s">
        <v>74</v>
      </c>
      <c r="AZ645" t="s">
        <v>74</v>
      </c>
      <c r="BA645" t="s">
        <v>74</v>
      </c>
      <c r="BB645">
        <v>108</v>
      </c>
      <c r="BC645">
        <v>113</v>
      </c>
      <c r="BD645" t="s">
        <v>74</v>
      </c>
      <c r="BE645" t="s">
        <v>74</v>
      </c>
      <c r="BF645" t="s">
        <v>74</v>
      </c>
      <c r="BG645" t="s">
        <v>74</v>
      </c>
      <c r="BH645" t="s">
        <v>74</v>
      </c>
      <c r="BI645">
        <v>6</v>
      </c>
      <c r="BJ645" t="s">
        <v>1571</v>
      </c>
      <c r="BK645" t="s">
        <v>125</v>
      </c>
      <c r="BL645" t="s">
        <v>1572</v>
      </c>
      <c r="BM645" t="s">
        <v>11649</v>
      </c>
      <c r="BN645" t="s">
        <v>74</v>
      </c>
      <c r="BO645" t="s">
        <v>74</v>
      </c>
      <c r="BP645" t="s">
        <v>74</v>
      </c>
      <c r="BQ645" t="s">
        <v>74</v>
      </c>
      <c r="BR645" t="s">
        <v>102</v>
      </c>
      <c r="BS645" t="s">
        <v>11650</v>
      </c>
      <c r="BT645" t="str">
        <f>HYPERLINK("https%3A%2F%2Fwww.webofscience.com%2Fwos%2Fwoscc%2Ffull-record%2FWOS:000927876100022","View Full Record in Web of Science")</f>
        <v>View Full Record in Web of Science</v>
      </c>
    </row>
    <row r="646" spans="1:72" x14ac:dyDescent="0.35">
      <c r="A646" t="s">
        <v>72</v>
      </c>
      <c r="B646" t="s">
        <v>11651</v>
      </c>
      <c r="C646" t="s">
        <v>74</v>
      </c>
      <c r="D646" t="s">
        <v>74</v>
      </c>
      <c r="E646" t="s">
        <v>74</v>
      </c>
      <c r="F646" t="s">
        <v>11652</v>
      </c>
      <c r="G646" t="s">
        <v>74</v>
      </c>
      <c r="H646" t="s">
        <v>74</v>
      </c>
      <c r="I646" t="s">
        <v>11653</v>
      </c>
      <c r="J646" t="s">
        <v>11654</v>
      </c>
      <c r="K646" t="s">
        <v>74</v>
      </c>
      <c r="L646" t="s">
        <v>74</v>
      </c>
      <c r="M646" t="s">
        <v>78</v>
      </c>
      <c r="N646" t="s">
        <v>52</v>
      </c>
      <c r="O646" t="s">
        <v>74</v>
      </c>
      <c r="P646" t="s">
        <v>74</v>
      </c>
      <c r="Q646" t="s">
        <v>74</v>
      </c>
      <c r="R646" t="s">
        <v>74</v>
      </c>
      <c r="S646" t="s">
        <v>74</v>
      </c>
      <c r="T646" t="s">
        <v>74</v>
      </c>
      <c r="U646" t="s">
        <v>74</v>
      </c>
      <c r="V646" t="s">
        <v>74</v>
      </c>
      <c r="W646" t="s">
        <v>11655</v>
      </c>
      <c r="X646" t="s">
        <v>74</v>
      </c>
      <c r="Y646" t="s">
        <v>74</v>
      </c>
      <c r="Z646" t="s">
        <v>74</v>
      </c>
      <c r="AA646" t="s">
        <v>74</v>
      </c>
      <c r="AB646" t="s">
        <v>74</v>
      </c>
      <c r="AC646" t="s">
        <v>74</v>
      </c>
      <c r="AD646" t="s">
        <v>74</v>
      </c>
      <c r="AE646" t="s">
        <v>74</v>
      </c>
      <c r="AF646" t="s">
        <v>74</v>
      </c>
      <c r="AG646">
        <v>0</v>
      </c>
      <c r="AH646">
        <v>0</v>
      </c>
      <c r="AI646">
        <v>0</v>
      </c>
      <c r="AJ646">
        <v>0</v>
      </c>
      <c r="AK646">
        <v>5</v>
      </c>
      <c r="AL646" t="s">
        <v>8334</v>
      </c>
      <c r="AM646" t="s">
        <v>291</v>
      </c>
      <c r="AN646" t="s">
        <v>8335</v>
      </c>
      <c r="AO646" t="s">
        <v>74</v>
      </c>
      <c r="AP646" t="s">
        <v>11656</v>
      </c>
      <c r="AQ646" t="s">
        <v>74</v>
      </c>
      <c r="AR646" t="s">
        <v>11657</v>
      </c>
      <c r="AS646" t="s">
        <v>11658</v>
      </c>
      <c r="AT646" t="s">
        <v>74</v>
      </c>
      <c r="AU646">
        <v>2021</v>
      </c>
      <c r="AV646">
        <v>5</v>
      </c>
      <c r="AW646" t="s">
        <v>74</v>
      </c>
      <c r="AX646" t="s">
        <v>74</v>
      </c>
      <c r="AY646">
        <v>1</v>
      </c>
      <c r="AZ646" t="s">
        <v>74</v>
      </c>
      <c r="BA646" t="s">
        <v>74</v>
      </c>
      <c r="BB646">
        <v>193</v>
      </c>
      <c r="BC646">
        <v>193</v>
      </c>
      <c r="BD646" t="s">
        <v>74</v>
      </c>
      <c r="BE646" t="s">
        <v>74</v>
      </c>
      <c r="BF646" t="s">
        <v>74</v>
      </c>
      <c r="BG646" t="s">
        <v>74</v>
      </c>
      <c r="BH646" t="s">
        <v>74</v>
      </c>
      <c r="BI646">
        <v>1</v>
      </c>
      <c r="BJ646" t="s">
        <v>11659</v>
      </c>
      <c r="BK646" t="s">
        <v>182</v>
      </c>
      <c r="BL646" t="s">
        <v>9084</v>
      </c>
      <c r="BM646" t="s">
        <v>11660</v>
      </c>
      <c r="BN646" t="s">
        <v>74</v>
      </c>
      <c r="BO646" t="s">
        <v>74</v>
      </c>
      <c r="BP646" t="s">
        <v>74</v>
      </c>
      <c r="BQ646" t="s">
        <v>74</v>
      </c>
      <c r="BR646" t="s">
        <v>102</v>
      </c>
      <c r="BS646" t="s">
        <v>11661</v>
      </c>
      <c r="BT646" t="str">
        <f>HYPERLINK("https%3A%2F%2Fwww.webofscience.com%2Fwos%2Fwoscc%2Ffull-record%2FWOS:000842009900740","View Full Record in Web of Science")</f>
        <v>View Full Record in Web of Science</v>
      </c>
    </row>
    <row r="647" spans="1:72" x14ac:dyDescent="0.35">
      <c r="A647" t="s">
        <v>72</v>
      </c>
      <c r="B647" t="s">
        <v>11662</v>
      </c>
      <c r="C647" t="s">
        <v>74</v>
      </c>
      <c r="D647" t="s">
        <v>74</v>
      </c>
      <c r="E647" t="s">
        <v>74</v>
      </c>
      <c r="F647" t="s">
        <v>11663</v>
      </c>
      <c r="G647" t="s">
        <v>74</v>
      </c>
      <c r="H647" t="s">
        <v>74</v>
      </c>
      <c r="I647" t="s">
        <v>11664</v>
      </c>
      <c r="J647" t="s">
        <v>11665</v>
      </c>
      <c r="K647" t="s">
        <v>74</v>
      </c>
      <c r="L647" t="s">
        <v>74</v>
      </c>
      <c r="M647" t="s">
        <v>78</v>
      </c>
      <c r="N647" t="s">
        <v>52</v>
      </c>
      <c r="O647" t="s">
        <v>74</v>
      </c>
      <c r="P647" t="s">
        <v>74</v>
      </c>
      <c r="Q647" t="s">
        <v>74</v>
      </c>
      <c r="R647" t="s">
        <v>74</v>
      </c>
      <c r="S647" t="s">
        <v>74</v>
      </c>
      <c r="T647" t="s">
        <v>74</v>
      </c>
      <c r="U647" t="s">
        <v>74</v>
      </c>
      <c r="V647" t="s">
        <v>74</v>
      </c>
      <c r="W647" t="s">
        <v>11666</v>
      </c>
      <c r="X647" t="s">
        <v>11667</v>
      </c>
      <c r="Y647" t="s">
        <v>74</v>
      </c>
      <c r="Z647" t="s">
        <v>74</v>
      </c>
      <c r="AA647" t="s">
        <v>11668</v>
      </c>
      <c r="AB647" t="s">
        <v>74</v>
      </c>
      <c r="AC647" t="s">
        <v>74</v>
      </c>
      <c r="AD647" t="s">
        <v>74</v>
      </c>
      <c r="AE647" t="s">
        <v>74</v>
      </c>
      <c r="AF647" t="s">
        <v>74</v>
      </c>
      <c r="AG647">
        <v>0</v>
      </c>
      <c r="AH647">
        <v>1</v>
      </c>
      <c r="AI647">
        <v>1</v>
      </c>
      <c r="AJ647">
        <v>0</v>
      </c>
      <c r="AK647">
        <v>0</v>
      </c>
      <c r="AL647" t="s">
        <v>11669</v>
      </c>
      <c r="AM647" t="s">
        <v>1196</v>
      </c>
      <c r="AN647" t="s">
        <v>11670</v>
      </c>
      <c r="AO647" t="s">
        <v>11671</v>
      </c>
      <c r="AP647" t="s">
        <v>11672</v>
      </c>
      <c r="AQ647" t="s">
        <v>74</v>
      </c>
      <c r="AR647" t="s">
        <v>11673</v>
      </c>
      <c r="AS647" t="s">
        <v>11674</v>
      </c>
      <c r="AT647" t="s">
        <v>178</v>
      </c>
      <c r="AU647">
        <v>2023</v>
      </c>
      <c r="AV647">
        <v>96</v>
      </c>
      <c r="AW647" t="s">
        <v>11675</v>
      </c>
      <c r="AX647" t="s">
        <v>74</v>
      </c>
      <c r="AY647">
        <v>2</v>
      </c>
      <c r="AZ647" t="s">
        <v>74</v>
      </c>
      <c r="BA647" t="s">
        <v>11676</v>
      </c>
      <c r="BB647">
        <v>127</v>
      </c>
      <c r="BC647">
        <v>128</v>
      </c>
      <c r="BD647" t="s">
        <v>74</v>
      </c>
      <c r="BE647" t="s">
        <v>74</v>
      </c>
      <c r="BF647" t="s">
        <v>74</v>
      </c>
      <c r="BG647" t="s">
        <v>74</v>
      </c>
      <c r="BH647" t="s">
        <v>74</v>
      </c>
      <c r="BI647">
        <v>2</v>
      </c>
      <c r="BJ647" t="s">
        <v>11677</v>
      </c>
      <c r="BK647" t="s">
        <v>209</v>
      </c>
      <c r="BL647" t="s">
        <v>11677</v>
      </c>
      <c r="BM647" t="s">
        <v>11678</v>
      </c>
      <c r="BN647" t="s">
        <v>74</v>
      </c>
      <c r="BO647" t="s">
        <v>74</v>
      </c>
      <c r="BP647" t="s">
        <v>74</v>
      </c>
      <c r="BQ647" t="s">
        <v>74</v>
      </c>
      <c r="BR647" t="s">
        <v>102</v>
      </c>
      <c r="BS647" t="s">
        <v>11679</v>
      </c>
      <c r="BT647" t="str">
        <f>HYPERLINK("https%3A%2F%2Fwww.webofscience.com%2Fwos%2Fwoscc%2Ffull-record%2FWOS:000948452600222","View Full Record in Web of Science")</f>
        <v>View Full Record in Web of Science</v>
      </c>
    </row>
    <row r="648" spans="1:72" x14ac:dyDescent="0.35">
      <c r="A648" t="s">
        <v>72</v>
      </c>
      <c r="B648" t="s">
        <v>11680</v>
      </c>
      <c r="C648" t="s">
        <v>74</v>
      </c>
      <c r="D648" t="s">
        <v>74</v>
      </c>
      <c r="E648" t="s">
        <v>74</v>
      </c>
      <c r="F648" t="s">
        <v>11681</v>
      </c>
      <c r="G648" t="s">
        <v>74</v>
      </c>
      <c r="H648" t="s">
        <v>74</v>
      </c>
      <c r="I648" t="s">
        <v>11682</v>
      </c>
      <c r="J648" t="s">
        <v>11683</v>
      </c>
      <c r="K648" t="s">
        <v>74</v>
      </c>
      <c r="L648" t="s">
        <v>74</v>
      </c>
      <c r="M648" t="s">
        <v>78</v>
      </c>
      <c r="N648" t="s">
        <v>52</v>
      </c>
      <c r="O648" t="s">
        <v>74</v>
      </c>
      <c r="P648" t="s">
        <v>74</v>
      </c>
      <c r="Q648" t="s">
        <v>74</v>
      </c>
      <c r="R648" t="s">
        <v>74</v>
      </c>
      <c r="S648" t="s">
        <v>74</v>
      </c>
      <c r="T648" t="s">
        <v>74</v>
      </c>
      <c r="U648" t="s">
        <v>74</v>
      </c>
      <c r="V648" t="s">
        <v>74</v>
      </c>
      <c r="W648" t="s">
        <v>11684</v>
      </c>
      <c r="X648" t="s">
        <v>11685</v>
      </c>
      <c r="Y648" t="s">
        <v>74</v>
      </c>
      <c r="Z648" t="s">
        <v>74</v>
      </c>
      <c r="AA648" t="s">
        <v>11686</v>
      </c>
      <c r="AB648" t="s">
        <v>11687</v>
      </c>
      <c r="AC648" t="s">
        <v>74</v>
      </c>
      <c r="AD648" t="s">
        <v>74</v>
      </c>
      <c r="AE648" t="s">
        <v>74</v>
      </c>
      <c r="AF648" t="s">
        <v>74</v>
      </c>
      <c r="AG648">
        <v>0</v>
      </c>
      <c r="AH648">
        <v>5</v>
      </c>
      <c r="AI648">
        <v>5</v>
      </c>
      <c r="AJ648">
        <v>1</v>
      </c>
      <c r="AK648">
        <v>5</v>
      </c>
      <c r="AL648" t="s">
        <v>1061</v>
      </c>
      <c r="AM648" t="s">
        <v>1062</v>
      </c>
      <c r="AN648" t="s">
        <v>1063</v>
      </c>
      <c r="AO648" t="s">
        <v>11688</v>
      </c>
      <c r="AP648" t="s">
        <v>74</v>
      </c>
      <c r="AQ648" t="s">
        <v>74</v>
      </c>
      <c r="AR648" t="s">
        <v>11683</v>
      </c>
      <c r="AS648" t="s">
        <v>11689</v>
      </c>
      <c r="AT648" t="s">
        <v>257</v>
      </c>
      <c r="AU648">
        <v>2021</v>
      </c>
      <c r="AV648">
        <v>7</v>
      </c>
      <c r="AW648" t="s">
        <v>74</v>
      </c>
      <c r="AX648" t="s">
        <v>74</v>
      </c>
      <c r="AY648">
        <v>1</v>
      </c>
      <c r="AZ648" t="s">
        <v>74</v>
      </c>
      <c r="BA648" t="s">
        <v>74</v>
      </c>
      <c r="BB648" t="s">
        <v>11690</v>
      </c>
      <c r="BC648" t="s">
        <v>11691</v>
      </c>
      <c r="BD648" t="s">
        <v>74</v>
      </c>
      <c r="BE648" t="s">
        <v>11692</v>
      </c>
      <c r="BF648" t="str">
        <f>HYPERLINK("http://dx.doi.org/10.1192/bjo.2021.645","http://dx.doi.org/10.1192/bjo.2021.645")</f>
        <v>http://dx.doi.org/10.1192/bjo.2021.645</v>
      </c>
      <c r="BG648" t="s">
        <v>74</v>
      </c>
      <c r="BH648" t="s">
        <v>74</v>
      </c>
      <c r="BI648">
        <v>3</v>
      </c>
      <c r="BJ648" t="s">
        <v>1847</v>
      </c>
      <c r="BK648" t="s">
        <v>182</v>
      </c>
      <c r="BL648" t="s">
        <v>1847</v>
      </c>
      <c r="BM648" t="s">
        <v>11693</v>
      </c>
      <c r="BN648" t="s">
        <v>74</v>
      </c>
      <c r="BO648" t="s">
        <v>1888</v>
      </c>
      <c r="BP648" t="s">
        <v>74</v>
      </c>
      <c r="BQ648" t="s">
        <v>74</v>
      </c>
      <c r="BR648" t="s">
        <v>102</v>
      </c>
      <c r="BS648" t="s">
        <v>11694</v>
      </c>
      <c r="BT648" t="str">
        <f>HYPERLINK("https%3A%2F%2Fwww.webofscience.com%2Fwos%2Fwoscc%2Ffull-record%2FWOS:000672583402128","View Full Record in Web of Science")</f>
        <v>View Full Record in Web of Science</v>
      </c>
    </row>
    <row r="649" spans="1:72" x14ac:dyDescent="0.35">
      <c r="A649" t="s">
        <v>72</v>
      </c>
      <c r="B649" t="s">
        <v>11695</v>
      </c>
      <c r="C649" t="s">
        <v>74</v>
      </c>
      <c r="D649" t="s">
        <v>74</v>
      </c>
      <c r="E649" t="s">
        <v>74</v>
      </c>
      <c r="F649" t="s">
        <v>11696</v>
      </c>
      <c r="G649" t="s">
        <v>74</v>
      </c>
      <c r="H649" t="s">
        <v>74</v>
      </c>
      <c r="I649" t="s">
        <v>11697</v>
      </c>
      <c r="J649" t="s">
        <v>11698</v>
      </c>
      <c r="K649" t="s">
        <v>74</v>
      </c>
      <c r="L649" t="s">
        <v>74</v>
      </c>
      <c r="M649" t="s">
        <v>78</v>
      </c>
      <c r="N649" t="s">
        <v>108</v>
      </c>
      <c r="O649" t="s">
        <v>74</v>
      </c>
      <c r="P649" t="s">
        <v>74</v>
      </c>
      <c r="Q649" t="s">
        <v>74</v>
      </c>
      <c r="R649" t="s">
        <v>74</v>
      </c>
      <c r="S649" t="s">
        <v>74</v>
      </c>
      <c r="T649" t="s">
        <v>11699</v>
      </c>
      <c r="U649" t="s">
        <v>11700</v>
      </c>
      <c r="V649" t="s">
        <v>11701</v>
      </c>
      <c r="W649" t="s">
        <v>11702</v>
      </c>
      <c r="X649" t="s">
        <v>11703</v>
      </c>
      <c r="Y649" t="s">
        <v>11704</v>
      </c>
      <c r="Z649" t="s">
        <v>11705</v>
      </c>
      <c r="AA649" t="s">
        <v>11706</v>
      </c>
      <c r="AB649" t="s">
        <v>11707</v>
      </c>
      <c r="AC649" t="s">
        <v>74</v>
      </c>
      <c r="AD649" t="s">
        <v>74</v>
      </c>
      <c r="AE649" t="s">
        <v>74</v>
      </c>
      <c r="AF649" t="s">
        <v>74</v>
      </c>
      <c r="AG649">
        <v>34</v>
      </c>
      <c r="AH649">
        <v>6</v>
      </c>
      <c r="AI649">
        <v>6</v>
      </c>
      <c r="AJ649">
        <v>3</v>
      </c>
      <c r="AK649">
        <v>22</v>
      </c>
      <c r="AL649" t="s">
        <v>1901</v>
      </c>
      <c r="AM649" t="s">
        <v>995</v>
      </c>
      <c r="AN649" t="s">
        <v>1902</v>
      </c>
      <c r="AO649" t="s">
        <v>11708</v>
      </c>
      <c r="AP649" t="s">
        <v>11709</v>
      </c>
      <c r="AQ649" t="s">
        <v>74</v>
      </c>
      <c r="AR649" t="s">
        <v>11710</v>
      </c>
      <c r="AS649" t="s">
        <v>11711</v>
      </c>
      <c r="AT649" t="s">
        <v>232</v>
      </c>
      <c r="AU649">
        <v>2023</v>
      </c>
      <c r="AV649">
        <v>44</v>
      </c>
      <c r="AW649">
        <v>1</v>
      </c>
      <c r="AX649" t="s">
        <v>74</v>
      </c>
      <c r="AY649" t="s">
        <v>74</v>
      </c>
      <c r="AZ649" t="s">
        <v>74</v>
      </c>
      <c r="BA649" t="s">
        <v>74</v>
      </c>
      <c r="BB649" t="s">
        <v>11712</v>
      </c>
      <c r="BC649" t="s">
        <v>11713</v>
      </c>
      <c r="BD649" t="s">
        <v>74</v>
      </c>
      <c r="BE649" t="s">
        <v>11714</v>
      </c>
      <c r="BF649" t="str">
        <f>HYPERLINK("http://dx.doi.org/10.1097/MAO.0000000000003744","http://dx.doi.org/10.1097/MAO.0000000000003744")</f>
        <v>http://dx.doi.org/10.1097/MAO.0000000000003744</v>
      </c>
      <c r="BG649" t="s">
        <v>74</v>
      </c>
      <c r="BH649" t="s">
        <v>74</v>
      </c>
      <c r="BI649">
        <v>9</v>
      </c>
      <c r="BJ649" t="s">
        <v>11715</v>
      </c>
      <c r="BK649" t="s">
        <v>209</v>
      </c>
      <c r="BL649" t="s">
        <v>11716</v>
      </c>
      <c r="BM649" t="s">
        <v>11717</v>
      </c>
      <c r="BN649">
        <v>36509437</v>
      </c>
      <c r="BO649" t="s">
        <v>74</v>
      </c>
      <c r="BP649" t="s">
        <v>74</v>
      </c>
      <c r="BQ649" t="s">
        <v>74</v>
      </c>
      <c r="BR649" t="s">
        <v>102</v>
      </c>
      <c r="BS649" t="s">
        <v>11718</v>
      </c>
      <c r="BT649" t="str">
        <f>HYPERLINK("https%3A%2F%2Fwww.webofscience.com%2Fwos%2Fwoscc%2Ffull-record%2FWOS:000898291800006","View Full Record in Web of Science")</f>
        <v>View Full Record in Web of Science</v>
      </c>
    </row>
    <row r="650" spans="1:72" x14ac:dyDescent="0.35">
      <c r="A650" t="s">
        <v>72</v>
      </c>
      <c r="B650" t="s">
        <v>11719</v>
      </c>
      <c r="C650" t="s">
        <v>74</v>
      </c>
      <c r="D650" t="s">
        <v>74</v>
      </c>
      <c r="E650" t="s">
        <v>74</v>
      </c>
      <c r="F650" t="s">
        <v>11720</v>
      </c>
      <c r="G650" t="s">
        <v>74</v>
      </c>
      <c r="H650" t="s">
        <v>74</v>
      </c>
      <c r="I650" t="s">
        <v>11721</v>
      </c>
      <c r="J650" t="s">
        <v>11722</v>
      </c>
      <c r="K650" t="s">
        <v>74</v>
      </c>
      <c r="L650" t="s">
        <v>74</v>
      </c>
      <c r="M650" t="s">
        <v>78</v>
      </c>
      <c r="N650" t="s">
        <v>79</v>
      </c>
      <c r="O650" t="s">
        <v>74</v>
      </c>
      <c r="P650" t="s">
        <v>74</v>
      </c>
      <c r="Q650" t="s">
        <v>74</v>
      </c>
      <c r="R650" t="s">
        <v>74</v>
      </c>
      <c r="S650" t="s">
        <v>74</v>
      </c>
      <c r="T650" t="s">
        <v>11723</v>
      </c>
      <c r="U650" t="s">
        <v>11724</v>
      </c>
      <c r="V650" t="s">
        <v>11725</v>
      </c>
      <c r="W650" t="s">
        <v>11726</v>
      </c>
      <c r="X650" t="s">
        <v>11727</v>
      </c>
      <c r="Y650" t="s">
        <v>11728</v>
      </c>
      <c r="Z650" t="s">
        <v>11729</v>
      </c>
      <c r="AA650" t="s">
        <v>74</v>
      </c>
      <c r="AB650" t="s">
        <v>11730</v>
      </c>
      <c r="AC650" t="s">
        <v>74</v>
      </c>
      <c r="AD650" t="s">
        <v>74</v>
      </c>
      <c r="AE650" t="s">
        <v>74</v>
      </c>
      <c r="AF650" t="s">
        <v>74</v>
      </c>
      <c r="AG650">
        <v>43</v>
      </c>
      <c r="AH650">
        <v>0</v>
      </c>
      <c r="AI650">
        <v>0</v>
      </c>
      <c r="AJ650">
        <v>0</v>
      </c>
      <c r="AK650">
        <v>0</v>
      </c>
      <c r="AL650" t="s">
        <v>171</v>
      </c>
      <c r="AM650" t="s">
        <v>172</v>
      </c>
      <c r="AN650" t="s">
        <v>173</v>
      </c>
      <c r="AO650" t="s">
        <v>11731</v>
      </c>
      <c r="AP650" t="s">
        <v>11732</v>
      </c>
      <c r="AQ650" t="s">
        <v>74</v>
      </c>
      <c r="AR650" t="s">
        <v>11733</v>
      </c>
      <c r="AS650" t="s">
        <v>11734</v>
      </c>
      <c r="AT650" t="s">
        <v>11735</v>
      </c>
      <c r="AU650">
        <v>2024</v>
      </c>
      <c r="AV650" t="s">
        <v>74</v>
      </c>
      <c r="AW650" t="s">
        <v>74</v>
      </c>
      <c r="AX650" t="s">
        <v>74</v>
      </c>
      <c r="AY650" t="s">
        <v>74</v>
      </c>
      <c r="AZ650" t="s">
        <v>74</v>
      </c>
      <c r="BA650" t="s">
        <v>74</v>
      </c>
      <c r="BB650" t="s">
        <v>74</v>
      </c>
      <c r="BC650" t="s">
        <v>74</v>
      </c>
      <c r="BD650" t="s">
        <v>74</v>
      </c>
      <c r="BE650" t="s">
        <v>11736</v>
      </c>
      <c r="BF650" t="str">
        <f>HYPERLINK("http://dx.doi.org/10.1177/00914150241297895","http://dx.doi.org/10.1177/00914150241297895")</f>
        <v>http://dx.doi.org/10.1177/00914150241297895</v>
      </c>
      <c r="BG650" t="s">
        <v>74</v>
      </c>
      <c r="BH650" t="s">
        <v>4092</v>
      </c>
      <c r="BI650">
        <v>20</v>
      </c>
      <c r="BJ650" t="s">
        <v>11737</v>
      </c>
      <c r="BK650" t="s">
        <v>99</v>
      </c>
      <c r="BL650" t="s">
        <v>11738</v>
      </c>
      <c r="BM650" t="s">
        <v>11739</v>
      </c>
      <c r="BN650">
        <v>39552301</v>
      </c>
      <c r="BO650" t="s">
        <v>74</v>
      </c>
      <c r="BP650" t="s">
        <v>74</v>
      </c>
      <c r="BQ650" t="s">
        <v>74</v>
      </c>
      <c r="BR650" t="s">
        <v>102</v>
      </c>
      <c r="BS650" t="s">
        <v>11740</v>
      </c>
      <c r="BT650" t="str">
        <f>HYPERLINK("https%3A%2F%2Fwww.webofscience.com%2Fwos%2Fwoscc%2Ffull-record%2FWOS:001356696000001","View Full Record in Web of Science")</f>
        <v>View Full Record in Web of Science</v>
      </c>
    </row>
    <row r="651" spans="1:72" x14ac:dyDescent="0.35">
      <c r="A651" t="s">
        <v>72</v>
      </c>
      <c r="B651" t="s">
        <v>11741</v>
      </c>
      <c r="C651" t="s">
        <v>74</v>
      </c>
      <c r="D651" t="s">
        <v>74</v>
      </c>
      <c r="E651" t="s">
        <v>74</v>
      </c>
      <c r="F651" t="s">
        <v>11742</v>
      </c>
      <c r="G651" t="s">
        <v>74</v>
      </c>
      <c r="H651" t="s">
        <v>74</v>
      </c>
      <c r="I651" t="s">
        <v>11743</v>
      </c>
      <c r="J651" t="s">
        <v>11744</v>
      </c>
      <c r="K651" t="s">
        <v>74</v>
      </c>
      <c r="L651" t="s">
        <v>74</v>
      </c>
      <c r="M651" t="s">
        <v>78</v>
      </c>
      <c r="N651" t="s">
        <v>108</v>
      </c>
      <c r="O651" t="s">
        <v>74</v>
      </c>
      <c r="P651" t="s">
        <v>74</v>
      </c>
      <c r="Q651" t="s">
        <v>74</v>
      </c>
      <c r="R651" t="s">
        <v>74</v>
      </c>
      <c r="S651" t="s">
        <v>74</v>
      </c>
      <c r="T651" t="s">
        <v>11745</v>
      </c>
      <c r="U651" t="s">
        <v>74</v>
      </c>
      <c r="V651" t="s">
        <v>11746</v>
      </c>
      <c r="W651" t="s">
        <v>11747</v>
      </c>
      <c r="X651" t="s">
        <v>11748</v>
      </c>
      <c r="Y651" t="s">
        <v>11749</v>
      </c>
      <c r="Z651" t="s">
        <v>11750</v>
      </c>
      <c r="AA651" t="s">
        <v>74</v>
      </c>
      <c r="AB651" t="s">
        <v>11751</v>
      </c>
      <c r="AC651" t="s">
        <v>74</v>
      </c>
      <c r="AD651" t="s">
        <v>74</v>
      </c>
      <c r="AE651" t="s">
        <v>74</v>
      </c>
      <c r="AF651" t="s">
        <v>74</v>
      </c>
      <c r="AG651">
        <v>42</v>
      </c>
      <c r="AH651">
        <v>2</v>
      </c>
      <c r="AI651">
        <v>2</v>
      </c>
      <c r="AJ651">
        <v>8</v>
      </c>
      <c r="AK651">
        <v>41</v>
      </c>
      <c r="AL651" t="s">
        <v>3632</v>
      </c>
      <c r="AM651" t="s">
        <v>148</v>
      </c>
      <c r="AN651" t="s">
        <v>5053</v>
      </c>
      <c r="AO651" t="s">
        <v>11752</v>
      </c>
      <c r="AP651" t="s">
        <v>11753</v>
      </c>
      <c r="AQ651" t="s">
        <v>74</v>
      </c>
      <c r="AR651" t="s">
        <v>11754</v>
      </c>
      <c r="AS651" t="s">
        <v>11755</v>
      </c>
      <c r="AT651" t="s">
        <v>297</v>
      </c>
      <c r="AU651">
        <v>2023</v>
      </c>
      <c r="AV651">
        <v>54</v>
      </c>
      <c r="AW651" t="s">
        <v>74</v>
      </c>
      <c r="AX651" t="s">
        <v>74</v>
      </c>
      <c r="AY651" t="s">
        <v>74</v>
      </c>
      <c r="AZ651" t="s">
        <v>74</v>
      </c>
      <c r="BA651" t="s">
        <v>74</v>
      </c>
      <c r="BB651" t="s">
        <v>74</v>
      </c>
      <c r="BC651" t="s">
        <v>74</v>
      </c>
      <c r="BD651">
        <v>100711</v>
      </c>
      <c r="BE651" t="s">
        <v>11756</v>
      </c>
      <c r="BF651" t="str">
        <f>HYPERLINK("http://dx.doi.org/10.1016/j.dcm.2023.100711","http://dx.doi.org/10.1016/j.dcm.2023.100711")</f>
        <v>http://dx.doi.org/10.1016/j.dcm.2023.100711</v>
      </c>
      <c r="BG651" t="s">
        <v>74</v>
      </c>
      <c r="BH651" t="s">
        <v>1954</v>
      </c>
      <c r="BI651">
        <v>11</v>
      </c>
      <c r="BJ651" t="s">
        <v>124</v>
      </c>
      <c r="BK651" t="s">
        <v>99</v>
      </c>
      <c r="BL651" t="s">
        <v>124</v>
      </c>
      <c r="BM651" t="s">
        <v>11757</v>
      </c>
      <c r="BN651" t="s">
        <v>74</v>
      </c>
      <c r="BO651" t="s">
        <v>767</v>
      </c>
      <c r="BP651" t="s">
        <v>74</v>
      </c>
      <c r="BQ651" t="s">
        <v>74</v>
      </c>
      <c r="BR651" t="s">
        <v>102</v>
      </c>
      <c r="BS651" t="s">
        <v>11758</v>
      </c>
      <c r="BT651" t="str">
        <f>HYPERLINK("https%3A%2F%2Fwww.webofscience.com%2Fwos%2Fwoscc%2Ffull-record%2FWOS:001037067000001","View Full Record in Web of Science")</f>
        <v>View Full Record in Web of Science</v>
      </c>
    </row>
    <row r="652" spans="1:72" x14ac:dyDescent="0.35">
      <c r="A652" t="s">
        <v>72</v>
      </c>
      <c r="B652" t="s">
        <v>11759</v>
      </c>
      <c r="C652" t="s">
        <v>74</v>
      </c>
      <c r="D652" t="s">
        <v>74</v>
      </c>
      <c r="E652" t="s">
        <v>74</v>
      </c>
      <c r="F652" t="s">
        <v>11760</v>
      </c>
      <c r="G652" t="s">
        <v>74</v>
      </c>
      <c r="H652" t="s">
        <v>74</v>
      </c>
      <c r="I652" t="s">
        <v>11761</v>
      </c>
      <c r="J652" t="s">
        <v>7101</v>
      </c>
      <c r="K652" t="s">
        <v>74</v>
      </c>
      <c r="L652" t="s">
        <v>74</v>
      </c>
      <c r="M652" t="s">
        <v>78</v>
      </c>
      <c r="N652" t="s">
        <v>108</v>
      </c>
      <c r="O652" t="s">
        <v>74</v>
      </c>
      <c r="P652" t="s">
        <v>74</v>
      </c>
      <c r="Q652" t="s">
        <v>74</v>
      </c>
      <c r="R652" t="s">
        <v>74</v>
      </c>
      <c r="S652" t="s">
        <v>74</v>
      </c>
      <c r="T652" t="s">
        <v>11762</v>
      </c>
      <c r="U652" t="s">
        <v>11763</v>
      </c>
      <c r="V652" t="s">
        <v>11764</v>
      </c>
      <c r="W652" t="s">
        <v>11765</v>
      </c>
      <c r="X652" t="s">
        <v>11766</v>
      </c>
      <c r="Y652" t="s">
        <v>11767</v>
      </c>
      <c r="Z652" t="s">
        <v>11768</v>
      </c>
      <c r="AA652" t="s">
        <v>74</v>
      </c>
      <c r="AB652" t="s">
        <v>11769</v>
      </c>
      <c r="AC652" t="s">
        <v>11770</v>
      </c>
      <c r="AD652" t="s">
        <v>11771</v>
      </c>
      <c r="AE652" t="s">
        <v>11772</v>
      </c>
      <c r="AF652" t="s">
        <v>74</v>
      </c>
      <c r="AG652">
        <v>71</v>
      </c>
      <c r="AH652">
        <v>53</v>
      </c>
      <c r="AI652">
        <v>54</v>
      </c>
      <c r="AJ652">
        <v>140</v>
      </c>
      <c r="AK652">
        <v>510</v>
      </c>
      <c r="AL652" t="s">
        <v>2248</v>
      </c>
      <c r="AM652" t="s">
        <v>2249</v>
      </c>
      <c r="AN652" t="s">
        <v>2250</v>
      </c>
      <c r="AO652" t="s">
        <v>7110</v>
      </c>
      <c r="AP652" t="s">
        <v>74</v>
      </c>
      <c r="AQ652" t="s">
        <v>74</v>
      </c>
      <c r="AR652" t="s">
        <v>7111</v>
      </c>
      <c r="AS652" t="s">
        <v>7112</v>
      </c>
      <c r="AT652" t="s">
        <v>6118</v>
      </c>
      <c r="AU652">
        <v>2022</v>
      </c>
      <c r="AV652">
        <v>27</v>
      </c>
      <c r="AW652">
        <v>5</v>
      </c>
      <c r="AX652" t="s">
        <v>74</v>
      </c>
      <c r="AY652" t="s">
        <v>74</v>
      </c>
      <c r="AZ652" t="s">
        <v>74</v>
      </c>
      <c r="BA652" t="s">
        <v>74</v>
      </c>
      <c r="BB652" t="s">
        <v>74</v>
      </c>
      <c r="BC652" t="s">
        <v>74</v>
      </c>
      <c r="BD652" t="s">
        <v>11773</v>
      </c>
      <c r="BE652" t="s">
        <v>11774</v>
      </c>
      <c r="BF652" t="str">
        <f>HYPERLINK("http://dx.doi.org/10.1093/jcmc/zmac014","http://dx.doi.org/10.1093/jcmc/zmac014")</f>
        <v>http://dx.doi.org/10.1093/jcmc/zmac014</v>
      </c>
      <c r="BG652" t="s">
        <v>74</v>
      </c>
      <c r="BH652" t="s">
        <v>74</v>
      </c>
      <c r="BI652">
        <v>13</v>
      </c>
      <c r="BJ652" t="s">
        <v>5240</v>
      </c>
      <c r="BK652" t="s">
        <v>99</v>
      </c>
      <c r="BL652" t="s">
        <v>5240</v>
      </c>
      <c r="BM652" t="s">
        <v>11775</v>
      </c>
      <c r="BN652" t="s">
        <v>74</v>
      </c>
      <c r="BO652" t="s">
        <v>2194</v>
      </c>
      <c r="BP652" t="s">
        <v>74</v>
      </c>
      <c r="BQ652" t="s">
        <v>74</v>
      </c>
      <c r="BR652" t="s">
        <v>102</v>
      </c>
      <c r="BS652" t="s">
        <v>11776</v>
      </c>
      <c r="BT652" t="str">
        <f>HYPERLINK("https%3A%2F%2Fwww.webofscience.com%2Fwos%2Fwoscc%2Ffull-record%2FWOS:000841532700001","View Full Record in Web of Science")</f>
        <v>View Full Record in Web of Science</v>
      </c>
    </row>
    <row r="653" spans="1:72" x14ac:dyDescent="0.35">
      <c r="A653" t="s">
        <v>72</v>
      </c>
      <c r="B653" t="s">
        <v>11777</v>
      </c>
      <c r="C653" t="s">
        <v>74</v>
      </c>
      <c r="D653" t="s">
        <v>74</v>
      </c>
      <c r="E653" t="s">
        <v>74</v>
      </c>
      <c r="F653" t="s">
        <v>11778</v>
      </c>
      <c r="G653" t="s">
        <v>74</v>
      </c>
      <c r="H653" t="s">
        <v>74</v>
      </c>
      <c r="I653" t="s">
        <v>11779</v>
      </c>
      <c r="J653" t="s">
        <v>11780</v>
      </c>
      <c r="K653" t="s">
        <v>74</v>
      </c>
      <c r="L653" t="s">
        <v>74</v>
      </c>
      <c r="M653" t="s">
        <v>78</v>
      </c>
      <c r="N653" t="s">
        <v>108</v>
      </c>
      <c r="O653" t="s">
        <v>74</v>
      </c>
      <c r="P653" t="s">
        <v>74</v>
      </c>
      <c r="Q653" t="s">
        <v>74</v>
      </c>
      <c r="R653" t="s">
        <v>74</v>
      </c>
      <c r="S653" t="s">
        <v>74</v>
      </c>
      <c r="T653" t="s">
        <v>11781</v>
      </c>
      <c r="U653" t="s">
        <v>11782</v>
      </c>
      <c r="V653" t="s">
        <v>11783</v>
      </c>
      <c r="W653" t="s">
        <v>11784</v>
      </c>
      <c r="X653" t="s">
        <v>11785</v>
      </c>
      <c r="Y653" t="s">
        <v>11786</v>
      </c>
      <c r="Z653" t="s">
        <v>11787</v>
      </c>
      <c r="AA653" t="s">
        <v>11788</v>
      </c>
      <c r="AB653" t="s">
        <v>11789</v>
      </c>
      <c r="AC653" t="s">
        <v>74</v>
      </c>
      <c r="AD653" t="s">
        <v>74</v>
      </c>
      <c r="AE653" t="s">
        <v>74</v>
      </c>
      <c r="AF653" t="s">
        <v>74</v>
      </c>
      <c r="AG653">
        <v>30</v>
      </c>
      <c r="AH653">
        <v>10</v>
      </c>
      <c r="AI653">
        <v>11</v>
      </c>
      <c r="AJ653">
        <v>2</v>
      </c>
      <c r="AK653">
        <v>3</v>
      </c>
      <c r="AL653" t="s">
        <v>516</v>
      </c>
      <c r="AM653" t="s">
        <v>517</v>
      </c>
      <c r="AN653" t="s">
        <v>518</v>
      </c>
      <c r="AO653" t="s">
        <v>11790</v>
      </c>
      <c r="AP653" t="s">
        <v>74</v>
      </c>
      <c r="AQ653" t="s">
        <v>74</v>
      </c>
      <c r="AR653" t="s">
        <v>11791</v>
      </c>
      <c r="AS653" t="s">
        <v>11792</v>
      </c>
      <c r="AT653" t="s">
        <v>594</v>
      </c>
      <c r="AU653">
        <v>2022</v>
      </c>
      <c r="AV653">
        <v>11</v>
      </c>
      <c r="AW653">
        <v>5</v>
      </c>
      <c r="AX653" t="s">
        <v>74</v>
      </c>
      <c r="AY653" t="s">
        <v>74</v>
      </c>
      <c r="AZ653" t="s">
        <v>74</v>
      </c>
      <c r="BA653" t="s">
        <v>74</v>
      </c>
      <c r="BB653">
        <v>170</v>
      </c>
      <c r="BC653">
        <v>175</v>
      </c>
      <c r="BD653" t="s">
        <v>74</v>
      </c>
      <c r="BE653" t="s">
        <v>11793</v>
      </c>
      <c r="BF653" t="str">
        <f>HYPERLINK("http://dx.doi.org/10.1016/j.ejwf.2022.06.001","http://dx.doi.org/10.1016/j.ejwf.2022.06.001")</f>
        <v>http://dx.doi.org/10.1016/j.ejwf.2022.06.001</v>
      </c>
      <c r="BG653" t="s">
        <v>74</v>
      </c>
      <c r="BH653" t="s">
        <v>598</v>
      </c>
      <c r="BI653">
        <v>6</v>
      </c>
      <c r="BJ653" t="s">
        <v>599</v>
      </c>
      <c r="BK653" t="s">
        <v>125</v>
      </c>
      <c r="BL653" t="s">
        <v>599</v>
      </c>
      <c r="BM653" t="s">
        <v>11794</v>
      </c>
      <c r="BN653">
        <v>35872147</v>
      </c>
      <c r="BO653" t="s">
        <v>74</v>
      </c>
      <c r="BP653" t="s">
        <v>74</v>
      </c>
      <c r="BQ653" t="s">
        <v>74</v>
      </c>
      <c r="BR653" t="s">
        <v>102</v>
      </c>
      <c r="BS653" t="s">
        <v>11795</v>
      </c>
      <c r="BT653" t="str">
        <f>HYPERLINK("https%3A%2F%2Fwww.webofscience.com%2Fwos%2Fwoscc%2Ffull-record%2FWOS:000871072200006","View Full Record in Web of Science")</f>
        <v>View Full Record in Web of Science</v>
      </c>
    </row>
    <row r="654" spans="1:72" x14ac:dyDescent="0.35">
      <c r="A654" t="s">
        <v>72</v>
      </c>
      <c r="B654" t="s">
        <v>11796</v>
      </c>
      <c r="C654" t="s">
        <v>74</v>
      </c>
      <c r="D654" t="s">
        <v>74</v>
      </c>
      <c r="E654" t="s">
        <v>74</v>
      </c>
      <c r="F654" t="s">
        <v>11797</v>
      </c>
      <c r="G654" t="s">
        <v>74</v>
      </c>
      <c r="H654" t="s">
        <v>74</v>
      </c>
      <c r="I654" t="s">
        <v>11798</v>
      </c>
      <c r="J654" t="s">
        <v>11799</v>
      </c>
      <c r="K654" t="s">
        <v>74</v>
      </c>
      <c r="L654" t="s">
        <v>74</v>
      </c>
      <c r="M654" t="s">
        <v>78</v>
      </c>
      <c r="N654" t="s">
        <v>108</v>
      </c>
      <c r="O654" t="s">
        <v>74</v>
      </c>
      <c r="P654" t="s">
        <v>74</v>
      </c>
      <c r="Q654" t="s">
        <v>74</v>
      </c>
      <c r="R654" t="s">
        <v>74</v>
      </c>
      <c r="S654" t="s">
        <v>74</v>
      </c>
      <c r="T654" t="s">
        <v>11800</v>
      </c>
      <c r="U654" t="s">
        <v>11801</v>
      </c>
      <c r="V654" t="s">
        <v>11802</v>
      </c>
      <c r="W654" t="s">
        <v>11803</v>
      </c>
      <c r="X654" t="s">
        <v>11804</v>
      </c>
      <c r="Y654" t="s">
        <v>11805</v>
      </c>
      <c r="Z654" t="s">
        <v>11806</v>
      </c>
      <c r="AA654" t="s">
        <v>11807</v>
      </c>
      <c r="AB654" t="s">
        <v>11808</v>
      </c>
      <c r="AC654" t="s">
        <v>74</v>
      </c>
      <c r="AD654" t="s">
        <v>74</v>
      </c>
      <c r="AE654" t="s">
        <v>74</v>
      </c>
      <c r="AF654" t="s">
        <v>74</v>
      </c>
      <c r="AG654">
        <v>60</v>
      </c>
      <c r="AH654">
        <v>4</v>
      </c>
      <c r="AI654">
        <v>5</v>
      </c>
      <c r="AJ654">
        <v>11</v>
      </c>
      <c r="AK654">
        <v>13</v>
      </c>
      <c r="AL654" t="s">
        <v>11809</v>
      </c>
      <c r="AM654" t="s">
        <v>2853</v>
      </c>
      <c r="AN654" t="s">
        <v>11810</v>
      </c>
      <c r="AO654" t="s">
        <v>11811</v>
      </c>
      <c r="AP654" t="s">
        <v>11812</v>
      </c>
      <c r="AQ654" t="s">
        <v>74</v>
      </c>
      <c r="AR654" t="s">
        <v>11813</v>
      </c>
      <c r="AS654" t="s">
        <v>11814</v>
      </c>
      <c r="AT654" t="s">
        <v>594</v>
      </c>
      <c r="AU654">
        <v>2023</v>
      </c>
      <c r="AV654">
        <v>10</v>
      </c>
      <c r="AW654">
        <v>3</v>
      </c>
      <c r="AX654" t="s">
        <v>74</v>
      </c>
      <c r="AY654" t="s">
        <v>74</v>
      </c>
      <c r="AZ654" t="s">
        <v>74</v>
      </c>
      <c r="BA654" t="s">
        <v>74</v>
      </c>
      <c r="BB654">
        <v>420</v>
      </c>
      <c r="BC654">
        <v>434</v>
      </c>
      <c r="BD654" t="s">
        <v>74</v>
      </c>
      <c r="BE654" t="s">
        <v>11815</v>
      </c>
      <c r="BF654" t="str">
        <f>HYPERLINK("http://dx.doi.org/10.1037/qup0000248","http://dx.doi.org/10.1037/qup0000248")</f>
        <v>http://dx.doi.org/10.1037/qup0000248</v>
      </c>
      <c r="BG654" t="s">
        <v>74</v>
      </c>
      <c r="BH654" t="s">
        <v>74</v>
      </c>
      <c r="BI654">
        <v>15</v>
      </c>
      <c r="BJ654" t="s">
        <v>698</v>
      </c>
      <c r="BK654" t="s">
        <v>125</v>
      </c>
      <c r="BL654" t="s">
        <v>301</v>
      </c>
      <c r="BM654" t="s">
        <v>11816</v>
      </c>
      <c r="BN654" t="s">
        <v>74</v>
      </c>
      <c r="BO654" t="s">
        <v>74</v>
      </c>
      <c r="BP654" t="s">
        <v>74</v>
      </c>
      <c r="BQ654" t="s">
        <v>74</v>
      </c>
      <c r="BR654" t="s">
        <v>102</v>
      </c>
      <c r="BS654" t="s">
        <v>11817</v>
      </c>
      <c r="BT654" t="str">
        <f>HYPERLINK("https%3A%2F%2Fwww.webofscience.com%2Fwos%2Fwoscc%2Ffull-record%2FWOS:001159368200015","View Full Record in Web of Science")</f>
        <v>View Full Record in Web of Science</v>
      </c>
    </row>
    <row r="655" spans="1:72" x14ac:dyDescent="0.35">
      <c r="A655" t="s">
        <v>72</v>
      </c>
      <c r="B655" t="s">
        <v>11818</v>
      </c>
      <c r="C655" t="s">
        <v>74</v>
      </c>
      <c r="D655" t="s">
        <v>74</v>
      </c>
      <c r="E655" t="s">
        <v>74</v>
      </c>
      <c r="F655" t="s">
        <v>11819</v>
      </c>
      <c r="G655" t="s">
        <v>74</v>
      </c>
      <c r="H655" t="s">
        <v>74</v>
      </c>
      <c r="I655" t="s">
        <v>11820</v>
      </c>
      <c r="J655" t="s">
        <v>6082</v>
      </c>
      <c r="K655" t="s">
        <v>74</v>
      </c>
      <c r="L655" t="s">
        <v>74</v>
      </c>
      <c r="M655" t="s">
        <v>78</v>
      </c>
      <c r="N655" t="s">
        <v>108</v>
      </c>
      <c r="O655" t="s">
        <v>74</v>
      </c>
      <c r="P655" t="s">
        <v>74</v>
      </c>
      <c r="Q655" t="s">
        <v>74</v>
      </c>
      <c r="R655" t="s">
        <v>74</v>
      </c>
      <c r="S655" t="s">
        <v>74</v>
      </c>
      <c r="T655" t="s">
        <v>11821</v>
      </c>
      <c r="U655" t="s">
        <v>74</v>
      </c>
      <c r="V655" t="s">
        <v>11822</v>
      </c>
      <c r="W655" t="s">
        <v>11823</v>
      </c>
      <c r="X655" t="s">
        <v>11824</v>
      </c>
      <c r="Y655" t="s">
        <v>11825</v>
      </c>
      <c r="Z655" t="s">
        <v>11826</v>
      </c>
      <c r="AA655" t="s">
        <v>74</v>
      </c>
      <c r="AB655" t="s">
        <v>11827</v>
      </c>
      <c r="AC655" t="s">
        <v>74</v>
      </c>
      <c r="AD655" t="s">
        <v>74</v>
      </c>
      <c r="AE655" t="s">
        <v>74</v>
      </c>
      <c r="AF655" t="s">
        <v>74</v>
      </c>
      <c r="AG655">
        <v>28</v>
      </c>
      <c r="AH655">
        <v>1</v>
      </c>
      <c r="AI655">
        <v>1</v>
      </c>
      <c r="AJ655">
        <v>2</v>
      </c>
      <c r="AK655">
        <v>9</v>
      </c>
      <c r="AL655" t="s">
        <v>226</v>
      </c>
      <c r="AM655" t="s">
        <v>227</v>
      </c>
      <c r="AN655" t="s">
        <v>228</v>
      </c>
      <c r="AO655" t="s">
        <v>6092</v>
      </c>
      <c r="AP655" t="s">
        <v>74</v>
      </c>
      <c r="AQ655" t="s">
        <v>74</v>
      </c>
      <c r="AR655" t="s">
        <v>6093</v>
      </c>
      <c r="AS655" t="s">
        <v>6094</v>
      </c>
      <c r="AT655" t="s">
        <v>74</v>
      </c>
      <c r="AU655">
        <v>2023</v>
      </c>
      <c r="AV655">
        <v>9</v>
      </c>
      <c r="AW655" t="s">
        <v>74</v>
      </c>
      <c r="AX655" t="s">
        <v>74</v>
      </c>
      <c r="AY655" t="s">
        <v>74</v>
      </c>
      <c r="AZ655" t="s">
        <v>74</v>
      </c>
      <c r="BA655" t="s">
        <v>74</v>
      </c>
      <c r="BB655" t="s">
        <v>74</v>
      </c>
      <c r="BC655" t="s">
        <v>74</v>
      </c>
      <c r="BD655">
        <v>2.0552076231152768E+16</v>
      </c>
      <c r="BE655" t="s">
        <v>11828</v>
      </c>
      <c r="BF655" t="str">
        <f>HYPERLINK("http://dx.doi.org/10.1177/20552076231152766","http://dx.doi.org/10.1177/20552076231152766")</f>
        <v>http://dx.doi.org/10.1177/20552076231152766</v>
      </c>
      <c r="BG655" t="s">
        <v>74</v>
      </c>
      <c r="BH655" t="s">
        <v>74</v>
      </c>
      <c r="BI655">
        <v>8</v>
      </c>
      <c r="BJ655" t="s">
        <v>6096</v>
      </c>
      <c r="BK655" t="s">
        <v>182</v>
      </c>
      <c r="BL655" t="s">
        <v>6097</v>
      </c>
      <c r="BM655" t="s">
        <v>11829</v>
      </c>
      <c r="BN655">
        <v>36776404</v>
      </c>
      <c r="BO655" t="s">
        <v>394</v>
      </c>
      <c r="BP655" t="s">
        <v>74</v>
      </c>
      <c r="BQ655" t="s">
        <v>74</v>
      </c>
      <c r="BR655" t="s">
        <v>102</v>
      </c>
      <c r="BS655" t="s">
        <v>11830</v>
      </c>
      <c r="BT655" t="str">
        <f>HYPERLINK("https%3A%2F%2Fwww.webofscience.com%2Fwos%2Fwoscc%2Ffull-record%2FWOS:000928748600001","View Full Record in Web of Science")</f>
        <v>View Full Record in Web of Science</v>
      </c>
    </row>
    <row r="656" spans="1:72" x14ac:dyDescent="0.35">
      <c r="A656" t="s">
        <v>72</v>
      </c>
      <c r="B656" t="s">
        <v>11831</v>
      </c>
      <c r="C656" t="s">
        <v>74</v>
      </c>
      <c r="D656" t="s">
        <v>74</v>
      </c>
      <c r="E656" t="s">
        <v>74</v>
      </c>
      <c r="F656" t="s">
        <v>11832</v>
      </c>
      <c r="G656" t="s">
        <v>74</v>
      </c>
      <c r="H656" t="s">
        <v>74</v>
      </c>
      <c r="I656" t="s">
        <v>11833</v>
      </c>
      <c r="J656" t="s">
        <v>11834</v>
      </c>
      <c r="K656" t="s">
        <v>74</v>
      </c>
      <c r="L656" t="s">
        <v>74</v>
      </c>
      <c r="M656" t="s">
        <v>78</v>
      </c>
      <c r="N656" t="s">
        <v>52</v>
      </c>
      <c r="O656" t="s">
        <v>11835</v>
      </c>
      <c r="P656" t="s">
        <v>11836</v>
      </c>
      <c r="Q656" t="s">
        <v>11837</v>
      </c>
      <c r="R656" t="s">
        <v>11838</v>
      </c>
      <c r="S656" t="s">
        <v>74</v>
      </c>
      <c r="T656" t="s">
        <v>74</v>
      </c>
      <c r="U656" t="s">
        <v>74</v>
      </c>
      <c r="V656" t="s">
        <v>74</v>
      </c>
      <c r="W656" t="s">
        <v>11839</v>
      </c>
      <c r="X656" t="s">
        <v>74</v>
      </c>
      <c r="Y656" t="s">
        <v>74</v>
      </c>
      <c r="Z656" t="s">
        <v>74</v>
      </c>
      <c r="AA656" t="s">
        <v>74</v>
      </c>
      <c r="AB656" t="s">
        <v>74</v>
      </c>
      <c r="AC656" t="s">
        <v>74</v>
      </c>
      <c r="AD656" t="s">
        <v>74</v>
      </c>
      <c r="AE656" t="s">
        <v>74</v>
      </c>
      <c r="AF656" t="s">
        <v>74</v>
      </c>
      <c r="AG656">
        <v>0</v>
      </c>
      <c r="AH656">
        <v>0</v>
      </c>
      <c r="AI656">
        <v>0</v>
      </c>
      <c r="AJ656">
        <v>0</v>
      </c>
      <c r="AK656">
        <v>0</v>
      </c>
      <c r="AL656" t="s">
        <v>8334</v>
      </c>
      <c r="AM656" t="s">
        <v>291</v>
      </c>
      <c r="AN656" t="s">
        <v>8335</v>
      </c>
      <c r="AO656" t="s">
        <v>11840</v>
      </c>
      <c r="AP656" t="s">
        <v>11841</v>
      </c>
      <c r="AQ656" t="s">
        <v>74</v>
      </c>
      <c r="AR656" t="s">
        <v>11842</v>
      </c>
      <c r="AS656" t="s">
        <v>11843</v>
      </c>
      <c r="AT656" t="s">
        <v>11844</v>
      </c>
      <c r="AU656">
        <v>2024</v>
      </c>
      <c r="AV656">
        <v>111</v>
      </c>
      <c r="AW656" t="s">
        <v>74</v>
      </c>
      <c r="AX656" t="s">
        <v>74</v>
      </c>
      <c r="AY656" t="s">
        <v>11845</v>
      </c>
      <c r="AZ656" t="s">
        <v>456</v>
      </c>
      <c r="BA656">
        <v>473</v>
      </c>
      <c r="BB656" t="s">
        <v>74</v>
      </c>
      <c r="BC656" t="s">
        <v>74</v>
      </c>
      <c r="BD656" t="s">
        <v>74</v>
      </c>
      <c r="BE656" t="s">
        <v>11846</v>
      </c>
      <c r="BF656" t="str">
        <f>HYPERLINK("http://dx.doi.org/10.1093/bjs/znae163.512","http://dx.doi.org/10.1093/bjs/znae163.512")</f>
        <v>http://dx.doi.org/10.1093/bjs/znae163.512</v>
      </c>
      <c r="BG656" t="s">
        <v>74</v>
      </c>
      <c r="BH656" t="s">
        <v>74</v>
      </c>
      <c r="BI656">
        <v>1</v>
      </c>
      <c r="BJ656" t="s">
        <v>4994</v>
      </c>
      <c r="BK656" t="s">
        <v>2257</v>
      </c>
      <c r="BL656" t="s">
        <v>4994</v>
      </c>
      <c r="BM656" t="s">
        <v>11847</v>
      </c>
      <c r="BN656" t="s">
        <v>74</v>
      </c>
      <c r="BO656" t="s">
        <v>74</v>
      </c>
      <c r="BP656" t="s">
        <v>74</v>
      </c>
      <c r="BQ656" t="s">
        <v>74</v>
      </c>
      <c r="BR656" t="s">
        <v>102</v>
      </c>
      <c r="BS656" t="s">
        <v>11848</v>
      </c>
      <c r="BT656" t="str">
        <f>HYPERLINK("https%3A%2F%2Fwww.webofscience.com%2Fwos%2Fwoscc%2Ffull-record%2FWOS:001306492400290","View Full Record in Web of Science")</f>
        <v>View Full Record in Web of Science</v>
      </c>
    </row>
    <row r="657" spans="1:72" x14ac:dyDescent="0.35">
      <c r="A657" t="s">
        <v>72</v>
      </c>
      <c r="B657" t="s">
        <v>11849</v>
      </c>
      <c r="C657" t="s">
        <v>74</v>
      </c>
      <c r="D657" t="s">
        <v>74</v>
      </c>
      <c r="E657" t="s">
        <v>74</v>
      </c>
      <c r="F657" t="s">
        <v>11850</v>
      </c>
      <c r="G657" t="s">
        <v>74</v>
      </c>
      <c r="H657" t="s">
        <v>74</v>
      </c>
      <c r="I657" t="s">
        <v>11851</v>
      </c>
      <c r="J657" t="s">
        <v>2524</v>
      </c>
      <c r="K657" t="s">
        <v>74</v>
      </c>
      <c r="L657" t="s">
        <v>74</v>
      </c>
      <c r="M657" t="s">
        <v>78</v>
      </c>
      <c r="N657" t="s">
        <v>52</v>
      </c>
      <c r="O657" t="s">
        <v>11852</v>
      </c>
      <c r="P657" t="s">
        <v>11853</v>
      </c>
      <c r="Q657" t="s">
        <v>11854</v>
      </c>
      <c r="R657" t="s">
        <v>74</v>
      </c>
      <c r="S657" t="s">
        <v>74</v>
      </c>
      <c r="T657" t="s">
        <v>74</v>
      </c>
      <c r="U657" t="s">
        <v>74</v>
      </c>
      <c r="V657" t="s">
        <v>74</v>
      </c>
      <c r="W657" t="s">
        <v>11855</v>
      </c>
      <c r="X657" t="s">
        <v>11856</v>
      </c>
      <c r="Y657" t="s">
        <v>74</v>
      </c>
      <c r="Z657" t="s">
        <v>74</v>
      </c>
      <c r="AA657" t="s">
        <v>11857</v>
      </c>
      <c r="AB657" t="s">
        <v>74</v>
      </c>
      <c r="AC657" t="s">
        <v>74</v>
      </c>
      <c r="AD657" t="s">
        <v>74</v>
      </c>
      <c r="AE657" t="s">
        <v>74</v>
      </c>
      <c r="AF657" t="s">
        <v>74</v>
      </c>
      <c r="AG657">
        <v>0</v>
      </c>
      <c r="AH657">
        <v>0</v>
      </c>
      <c r="AI657">
        <v>0</v>
      </c>
      <c r="AJ657">
        <v>0</v>
      </c>
      <c r="AK657">
        <v>0</v>
      </c>
      <c r="AL657" t="s">
        <v>226</v>
      </c>
      <c r="AM657" t="s">
        <v>227</v>
      </c>
      <c r="AN657" t="s">
        <v>228</v>
      </c>
      <c r="AO657" t="s">
        <v>2530</v>
      </c>
      <c r="AP657" t="s">
        <v>2531</v>
      </c>
      <c r="AQ657" t="s">
        <v>74</v>
      </c>
      <c r="AR657" t="s">
        <v>2532</v>
      </c>
      <c r="AS657" t="s">
        <v>2533</v>
      </c>
      <c r="AT657" t="s">
        <v>232</v>
      </c>
      <c r="AU657">
        <v>2024</v>
      </c>
      <c r="AV657">
        <v>72</v>
      </c>
      <c r="AW657">
        <v>1</v>
      </c>
      <c r="AX657" t="s">
        <v>74</v>
      </c>
      <c r="AY657" t="s">
        <v>74</v>
      </c>
      <c r="AZ657" t="s">
        <v>74</v>
      </c>
      <c r="BA657" t="s">
        <v>11858</v>
      </c>
      <c r="BB657" t="s">
        <v>74</v>
      </c>
      <c r="BC657" t="s">
        <v>74</v>
      </c>
      <c r="BD657" t="s">
        <v>74</v>
      </c>
      <c r="BE657" t="s">
        <v>74</v>
      </c>
      <c r="BF657" t="s">
        <v>74</v>
      </c>
      <c r="BG657" t="s">
        <v>74</v>
      </c>
      <c r="BH657" t="s">
        <v>74</v>
      </c>
      <c r="BI657">
        <v>1</v>
      </c>
      <c r="BJ657" t="s">
        <v>2535</v>
      </c>
      <c r="BK657" t="s">
        <v>2257</v>
      </c>
      <c r="BL657" t="s">
        <v>2536</v>
      </c>
      <c r="BM657" t="s">
        <v>11859</v>
      </c>
      <c r="BN657" t="s">
        <v>74</v>
      </c>
      <c r="BO657" t="s">
        <v>74</v>
      </c>
      <c r="BP657" t="s">
        <v>74</v>
      </c>
      <c r="BQ657" t="s">
        <v>74</v>
      </c>
      <c r="BR657" t="s">
        <v>102</v>
      </c>
      <c r="BS657" t="s">
        <v>11860</v>
      </c>
      <c r="BT657" t="str">
        <f>HYPERLINK("https%3A%2F%2Fwww.webofscience.com%2Fwos%2Fwoscc%2Ffull-record%2FWOS:001307337600035","View Full Record in Web of Science")</f>
        <v>View Full Record in Web of Science</v>
      </c>
    </row>
    <row r="658" spans="1:72" x14ac:dyDescent="0.35">
      <c r="A658" t="s">
        <v>72</v>
      </c>
      <c r="B658" t="s">
        <v>11861</v>
      </c>
      <c r="C658" t="s">
        <v>74</v>
      </c>
      <c r="D658" t="s">
        <v>74</v>
      </c>
      <c r="E658" t="s">
        <v>74</v>
      </c>
      <c r="F658" t="s">
        <v>11862</v>
      </c>
      <c r="G658" t="s">
        <v>74</v>
      </c>
      <c r="H658" t="s">
        <v>74</v>
      </c>
      <c r="I658" t="s">
        <v>11863</v>
      </c>
      <c r="J658" t="s">
        <v>11864</v>
      </c>
      <c r="K658" t="s">
        <v>74</v>
      </c>
      <c r="L658" t="s">
        <v>74</v>
      </c>
      <c r="M658" t="s">
        <v>78</v>
      </c>
      <c r="N658" t="s">
        <v>79</v>
      </c>
      <c r="O658" t="s">
        <v>74</v>
      </c>
      <c r="P658" t="s">
        <v>74</v>
      </c>
      <c r="Q658" t="s">
        <v>74</v>
      </c>
      <c r="R658" t="s">
        <v>74</v>
      </c>
      <c r="S658" t="s">
        <v>74</v>
      </c>
      <c r="T658" t="s">
        <v>74</v>
      </c>
      <c r="U658" t="s">
        <v>11865</v>
      </c>
      <c r="V658" t="s">
        <v>11866</v>
      </c>
      <c r="W658" t="s">
        <v>11867</v>
      </c>
      <c r="X658" t="s">
        <v>11868</v>
      </c>
      <c r="Y658" t="s">
        <v>11869</v>
      </c>
      <c r="Z658" t="s">
        <v>11870</v>
      </c>
      <c r="AA658" t="s">
        <v>1944</v>
      </c>
      <c r="AB658" t="s">
        <v>11871</v>
      </c>
      <c r="AC658" t="s">
        <v>11872</v>
      </c>
      <c r="AD658" t="s">
        <v>11873</v>
      </c>
      <c r="AE658" t="s">
        <v>11874</v>
      </c>
      <c r="AF658" t="s">
        <v>74</v>
      </c>
      <c r="AG658">
        <v>46</v>
      </c>
      <c r="AH658">
        <v>0</v>
      </c>
      <c r="AI658">
        <v>0</v>
      </c>
      <c r="AJ658">
        <v>3</v>
      </c>
      <c r="AK658">
        <v>3</v>
      </c>
      <c r="AL658" t="s">
        <v>88</v>
      </c>
      <c r="AM658" t="s">
        <v>89</v>
      </c>
      <c r="AN658" t="s">
        <v>90</v>
      </c>
      <c r="AO658" t="s">
        <v>11875</v>
      </c>
      <c r="AP658" t="s">
        <v>11876</v>
      </c>
      <c r="AQ658" t="s">
        <v>74</v>
      </c>
      <c r="AR658" t="s">
        <v>11877</v>
      </c>
      <c r="AS658" t="s">
        <v>11878</v>
      </c>
      <c r="AT658" t="s">
        <v>11879</v>
      </c>
      <c r="AU658">
        <v>2024</v>
      </c>
      <c r="AV658" t="s">
        <v>74</v>
      </c>
      <c r="AW658" t="s">
        <v>74</v>
      </c>
      <c r="AX658" t="s">
        <v>74</v>
      </c>
      <c r="AY658" t="s">
        <v>74</v>
      </c>
      <c r="AZ658" t="s">
        <v>74</v>
      </c>
      <c r="BA658" t="s">
        <v>74</v>
      </c>
      <c r="BB658" t="s">
        <v>74</v>
      </c>
      <c r="BC658" t="s">
        <v>74</v>
      </c>
      <c r="BD658" t="s">
        <v>74</v>
      </c>
      <c r="BE658" t="s">
        <v>11880</v>
      </c>
      <c r="BF658" t="str">
        <f>HYPERLINK("http://dx.doi.org/10.1080/10640266.2024.2401669","http://dx.doi.org/10.1080/10640266.2024.2401669")</f>
        <v>http://dx.doi.org/10.1080/10640266.2024.2401669</v>
      </c>
      <c r="BG658" t="s">
        <v>74</v>
      </c>
      <c r="BH658" t="s">
        <v>337</v>
      </c>
      <c r="BI658">
        <v>19</v>
      </c>
      <c r="BJ658" t="s">
        <v>11881</v>
      </c>
      <c r="BK658" t="s">
        <v>182</v>
      </c>
      <c r="BL658" t="s">
        <v>1617</v>
      </c>
      <c r="BM658" t="s">
        <v>11882</v>
      </c>
      <c r="BN658">
        <v>39312503</v>
      </c>
      <c r="BO658" t="s">
        <v>74</v>
      </c>
      <c r="BP658" t="s">
        <v>74</v>
      </c>
      <c r="BQ658" t="s">
        <v>74</v>
      </c>
      <c r="BR658" t="s">
        <v>102</v>
      </c>
      <c r="BS658" t="s">
        <v>11883</v>
      </c>
      <c r="BT658" t="str">
        <f>HYPERLINK("https%3A%2F%2Fwww.webofscience.com%2Fwos%2Fwoscc%2Ffull-record%2FWOS:001320255400001","View Full Record in Web of Science")</f>
        <v>View Full Record in Web of Science</v>
      </c>
    </row>
    <row r="659" spans="1:72" x14ac:dyDescent="0.35">
      <c r="A659" t="s">
        <v>72</v>
      </c>
      <c r="B659" t="s">
        <v>11884</v>
      </c>
      <c r="C659" t="s">
        <v>74</v>
      </c>
      <c r="D659" t="s">
        <v>74</v>
      </c>
      <c r="E659" t="s">
        <v>74</v>
      </c>
      <c r="F659" t="s">
        <v>11885</v>
      </c>
      <c r="G659" t="s">
        <v>74</v>
      </c>
      <c r="H659" t="s">
        <v>74</v>
      </c>
      <c r="I659" t="s">
        <v>11886</v>
      </c>
      <c r="J659" t="s">
        <v>401</v>
      </c>
      <c r="K659" t="s">
        <v>74</v>
      </c>
      <c r="L659" t="s">
        <v>74</v>
      </c>
      <c r="M659" t="s">
        <v>78</v>
      </c>
      <c r="N659" t="s">
        <v>108</v>
      </c>
      <c r="O659" t="s">
        <v>74</v>
      </c>
      <c r="P659" t="s">
        <v>74</v>
      </c>
      <c r="Q659" t="s">
        <v>74</v>
      </c>
      <c r="R659" t="s">
        <v>74</v>
      </c>
      <c r="S659" t="s">
        <v>74</v>
      </c>
      <c r="T659" t="s">
        <v>11887</v>
      </c>
      <c r="U659" t="s">
        <v>11888</v>
      </c>
      <c r="V659" t="s">
        <v>11889</v>
      </c>
      <c r="W659" t="s">
        <v>11890</v>
      </c>
      <c r="X659" t="s">
        <v>11891</v>
      </c>
      <c r="Y659" t="s">
        <v>11892</v>
      </c>
      <c r="Z659" t="s">
        <v>11893</v>
      </c>
      <c r="AA659" t="s">
        <v>5570</v>
      </c>
      <c r="AB659" t="s">
        <v>5571</v>
      </c>
      <c r="AC659" t="s">
        <v>11894</v>
      </c>
      <c r="AD659" t="s">
        <v>11895</v>
      </c>
      <c r="AE659" t="s">
        <v>11896</v>
      </c>
      <c r="AF659" t="s">
        <v>74</v>
      </c>
      <c r="AG659">
        <v>55</v>
      </c>
      <c r="AH659">
        <v>31</v>
      </c>
      <c r="AI659">
        <v>32</v>
      </c>
      <c r="AJ659">
        <v>13</v>
      </c>
      <c r="AK659">
        <v>72</v>
      </c>
      <c r="AL659" t="s">
        <v>409</v>
      </c>
      <c r="AM659" t="s">
        <v>410</v>
      </c>
      <c r="AN659" t="s">
        <v>411</v>
      </c>
      <c r="AO659" t="s">
        <v>412</v>
      </c>
      <c r="AP659" t="s">
        <v>74</v>
      </c>
      <c r="AQ659" t="s">
        <v>74</v>
      </c>
      <c r="AR659" t="s">
        <v>413</v>
      </c>
      <c r="AS659" t="s">
        <v>414</v>
      </c>
      <c r="AT659" t="s">
        <v>74</v>
      </c>
      <c r="AU659">
        <v>2022</v>
      </c>
      <c r="AV659">
        <v>16</v>
      </c>
      <c r="AW659" t="s">
        <v>74</v>
      </c>
      <c r="AX659" t="s">
        <v>74</v>
      </c>
      <c r="AY659" t="s">
        <v>74</v>
      </c>
      <c r="AZ659" t="s">
        <v>74</v>
      </c>
      <c r="BA659" t="s">
        <v>74</v>
      </c>
      <c r="BB659">
        <v>883</v>
      </c>
      <c r="BC659">
        <v>908</v>
      </c>
      <c r="BD659" t="s">
        <v>74</v>
      </c>
      <c r="BE659" t="s">
        <v>74</v>
      </c>
      <c r="BF659" t="s">
        <v>74</v>
      </c>
      <c r="BG659" t="s">
        <v>74</v>
      </c>
      <c r="BH659" t="s">
        <v>74</v>
      </c>
      <c r="BI659">
        <v>26</v>
      </c>
      <c r="BJ659" t="s">
        <v>124</v>
      </c>
      <c r="BK659" t="s">
        <v>99</v>
      </c>
      <c r="BL659" t="s">
        <v>124</v>
      </c>
      <c r="BM659" t="s">
        <v>2310</v>
      </c>
      <c r="BN659" t="s">
        <v>74</v>
      </c>
      <c r="BO659" t="s">
        <v>74</v>
      </c>
      <c r="BP659" t="s">
        <v>74</v>
      </c>
      <c r="BQ659" t="s">
        <v>74</v>
      </c>
      <c r="BR659" t="s">
        <v>102</v>
      </c>
      <c r="BS659" t="s">
        <v>11897</v>
      </c>
      <c r="BT659" t="str">
        <f>HYPERLINK("https%3A%2F%2Fwww.webofscience.com%2Fwos%2Fwoscc%2Ffull-record%2FWOS:000789589100056","View Full Record in Web of Science")</f>
        <v>View Full Record in Web of Science</v>
      </c>
    </row>
    <row r="660" spans="1:72" x14ac:dyDescent="0.35">
      <c r="A660" t="s">
        <v>72</v>
      </c>
      <c r="B660" t="s">
        <v>11898</v>
      </c>
      <c r="C660" t="s">
        <v>74</v>
      </c>
      <c r="D660" t="s">
        <v>74</v>
      </c>
      <c r="E660" t="s">
        <v>74</v>
      </c>
      <c r="F660" t="s">
        <v>11899</v>
      </c>
      <c r="G660" t="s">
        <v>74</v>
      </c>
      <c r="H660" t="s">
        <v>74</v>
      </c>
      <c r="I660" t="s">
        <v>11900</v>
      </c>
      <c r="J660" t="s">
        <v>11901</v>
      </c>
      <c r="K660" t="s">
        <v>74</v>
      </c>
      <c r="L660" t="s">
        <v>74</v>
      </c>
      <c r="M660" t="s">
        <v>78</v>
      </c>
      <c r="N660" t="s">
        <v>79</v>
      </c>
      <c r="O660" t="s">
        <v>74</v>
      </c>
      <c r="P660" t="s">
        <v>74</v>
      </c>
      <c r="Q660" t="s">
        <v>74</v>
      </c>
      <c r="R660" t="s">
        <v>74</v>
      </c>
      <c r="S660" t="s">
        <v>74</v>
      </c>
      <c r="T660" t="s">
        <v>11902</v>
      </c>
      <c r="U660" t="s">
        <v>74</v>
      </c>
      <c r="V660" t="s">
        <v>11903</v>
      </c>
      <c r="W660" t="s">
        <v>11904</v>
      </c>
      <c r="X660" t="s">
        <v>74</v>
      </c>
      <c r="Y660" t="s">
        <v>11905</v>
      </c>
      <c r="Z660" t="s">
        <v>11906</v>
      </c>
      <c r="AA660" t="s">
        <v>74</v>
      </c>
      <c r="AB660" t="s">
        <v>74</v>
      </c>
      <c r="AC660" t="s">
        <v>74</v>
      </c>
      <c r="AD660" t="s">
        <v>74</v>
      </c>
      <c r="AE660" t="s">
        <v>74</v>
      </c>
      <c r="AF660" t="s">
        <v>74</v>
      </c>
      <c r="AG660">
        <v>26</v>
      </c>
      <c r="AH660">
        <v>0</v>
      </c>
      <c r="AI660">
        <v>0</v>
      </c>
      <c r="AJ660">
        <v>0</v>
      </c>
      <c r="AK660">
        <v>0</v>
      </c>
      <c r="AL660" t="s">
        <v>1129</v>
      </c>
      <c r="AM660" t="s">
        <v>89</v>
      </c>
      <c r="AN660" t="s">
        <v>1130</v>
      </c>
      <c r="AO660" t="s">
        <v>11907</v>
      </c>
      <c r="AP660" t="s">
        <v>11908</v>
      </c>
      <c r="AQ660" t="s">
        <v>74</v>
      </c>
      <c r="AR660" t="s">
        <v>11909</v>
      </c>
      <c r="AS660" t="s">
        <v>11910</v>
      </c>
      <c r="AT660" t="s">
        <v>11911</v>
      </c>
      <c r="AU660">
        <v>2024</v>
      </c>
      <c r="AV660" t="s">
        <v>74</v>
      </c>
      <c r="AW660" t="s">
        <v>74</v>
      </c>
      <c r="AX660" t="s">
        <v>74</v>
      </c>
      <c r="AY660" t="s">
        <v>74</v>
      </c>
      <c r="AZ660" t="s">
        <v>74</v>
      </c>
      <c r="BA660" t="s">
        <v>74</v>
      </c>
      <c r="BB660" t="s">
        <v>74</v>
      </c>
      <c r="BC660" t="s">
        <v>74</v>
      </c>
      <c r="BD660" t="s">
        <v>74</v>
      </c>
      <c r="BE660" t="s">
        <v>11912</v>
      </c>
      <c r="BF660" t="str">
        <f>HYPERLINK("http://dx.doi.org/10.1080/13614568.2024.2420107","http://dx.doi.org/10.1080/13614568.2024.2420107")</f>
        <v>http://dx.doi.org/10.1080/13614568.2024.2420107</v>
      </c>
      <c r="BG660" t="s">
        <v>74</v>
      </c>
      <c r="BH660" t="s">
        <v>1721</v>
      </c>
      <c r="BI660">
        <v>15</v>
      </c>
      <c r="BJ660" t="s">
        <v>5789</v>
      </c>
      <c r="BK660" t="s">
        <v>209</v>
      </c>
      <c r="BL660" t="s">
        <v>210</v>
      </c>
      <c r="BM660" t="s">
        <v>11913</v>
      </c>
      <c r="BN660" t="s">
        <v>74</v>
      </c>
      <c r="BO660" t="s">
        <v>74</v>
      </c>
      <c r="BP660" t="s">
        <v>74</v>
      </c>
      <c r="BQ660" t="s">
        <v>74</v>
      </c>
      <c r="BR660" t="s">
        <v>102</v>
      </c>
      <c r="BS660" t="s">
        <v>11914</v>
      </c>
      <c r="BT660" t="str">
        <f>HYPERLINK("https%3A%2F%2Fwww.webofscience.com%2Fwos%2Fwoscc%2Ffull-record%2FWOS:001347759600001","View Full Record in Web of Science")</f>
        <v>View Full Record in Web of Science</v>
      </c>
    </row>
    <row r="661" spans="1:72" x14ac:dyDescent="0.35">
      <c r="A661" t="s">
        <v>72</v>
      </c>
      <c r="B661" t="s">
        <v>11915</v>
      </c>
      <c r="C661" t="s">
        <v>74</v>
      </c>
      <c r="D661" t="s">
        <v>74</v>
      </c>
      <c r="E661" t="s">
        <v>74</v>
      </c>
      <c r="F661" t="s">
        <v>11916</v>
      </c>
      <c r="G661" t="s">
        <v>74</v>
      </c>
      <c r="H661" t="s">
        <v>74</v>
      </c>
      <c r="I661" t="s">
        <v>11917</v>
      </c>
      <c r="J661" t="s">
        <v>11918</v>
      </c>
      <c r="K661" t="s">
        <v>74</v>
      </c>
      <c r="L661" t="s">
        <v>74</v>
      </c>
      <c r="M661" t="s">
        <v>78</v>
      </c>
      <c r="N661" t="s">
        <v>108</v>
      </c>
      <c r="O661" t="s">
        <v>74</v>
      </c>
      <c r="P661" t="s">
        <v>74</v>
      </c>
      <c r="Q661" t="s">
        <v>74</v>
      </c>
      <c r="R661" t="s">
        <v>74</v>
      </c>
      <c r="S661" t="s">
        <v>74</v>
      </c>
      <c r="T661" t="s">
        <v>11919</v>
      </c>
      <c r="U661" t="s">
        <v>1036</v>
      </c>
      <c r="V661" t="s">
        <v>11920</v>
      </c>
      <c r="W661" t="s">
        <v>11921</v>
      </c>
      <c r="X661" t="s">
        <v>11922</v>
      </c>
      <c r="Y661" t="s">
        <v>11923</v>
      </c>
      <c r="Z661" t="s">
        <v>11924</v>
      </c>
      <c r="AA661" t="s">
        <v>74</v>
      </c>
      <c r="AB661" t="s">
        <v>11925</v>
      </c>
      <c r="AC661" t="s">
        <v>74</v>
      </c>
      <c r="AD661" t="s">
        <v>74</v>
      </c>
      <c r="AE661" t="s">
        <v>74</v>
      </c>
      <c r="AF661" t="s">
        <v>74</v>
      </c>
      <c r="AG661">
        <v>39</v>
      </c>
      <c r="AH661">
        <v>16</v>
      </c>
      <c r="AI661">
        <v>17</v>
      </c>
      <c r="AJ661">
        <v>7</v>
      </c>
      <c r="AK661">
        <v>45</v>
      </c>
      <c r="AL661" t="s">
        <v>88</v>
      </c>
      <c r="AM661" t="s">
        <v>89</v>
      </c>
      <c r="AN661" t="s">
        <v>90</v>
      </c>
      <c r="AO661" t="s">
        <v>11926</v>
      </c>
      <c r="AP661" t="s">
        <v>11927</v>
      </c>
      <c r="AQ661" t="s">
        <v>74</v>
      </c>
      <c r="AR661" t="s">
        <v>11928</v>
      </c>
      <c r="AS661" t="s">
        <v>11929</v>
      </c>
      <c r="AT661" t="s">
        <v>2323</v>
      </c>
      <c r="AU661">
        <v>2023</v>
      </c>
      <c r="AV661">
        <v>23</v>
      </c>
      <c r="AW661">
        <v>1</v>
      </c>
      <c r="AX661" t="s">
        <v>74</v>
      </c>
      <c r="AY661" t="s">
        <v>74</v>
      </c>
      <c r="AZ661" t="s">
        <v>74</v>
      </c>
      <c r="BA661" t="s">
        <v>74</v>
      </c>
      <c r="BB661">
        <v>81</v>
      </c>
      <c r="BC661">
        <v>95</v>
      </c>
      <c r="BD661" t="s">
        <v>74</v>
      </c>
      <c r="BE661" t="s">
        <v>11930</v>
      </c>
      <c r="BF661" t="str">
        <f>HYPERLINK("http://dx.doi.org/10.1080/14681811.2022.2028614","http://dx.doi.org/10.1080/14681811.2022.2028614")</f>
        <v>http://dx.doi.org/10.1080/14681811.2022.2028614</v>
      </c>
      <c r="BG661" t="s">
        <v>74</v>
      </c>
      <c r="BH661" t="s">
        <v>2076</v>
      </c>
      <c r="BI661">
        <v>15</v>
      </c>
      <c r="BJ661" t="s">
        <v>8464</v>
      </c>
      <c r="BK661" t="s">
        <v>99</v>
      </c>
      <c r="BL661" t="s">
        <v>8464</v>
      </c>
      <c r="BM661" t="s">
        <v>11931</v>
      </c>
      <c r="BN661" t="s">
        <v>74</v>
      </c>
      <c r="BO661" t="s">
        <v>74</v>
      </c>
      <c r="BP661" t="s">
        <v>74</v>
      </c>
      <c r="BQ661" t="s">
        <v>74</v>
      </c>
      <c r="BR661" t="s">
        <v>102</v>
      </c>
      <c r="BS661" t="s">
        <v>11932</v>
      </c>
      <c r="BT661" t="str">
        <f>HYPERLINK("https%3A%2F%2Fwww.webofscience.com%2Fwos%2Fwoscc%2Ffull-record%2FWOS:000745358200001","View Full Record in Web of Science")</f>
        <v>View Full Record in Web of Science</v>
      </c>
    </row>
    <row r="662" spans="1:72" x14ac:dyDescent="0.35">
      <c r="A662" t="s">
        <v>72</v>
      </c>
      <c r="B662" t="s">
        <v>11933</v>
      </c>
      <c r="C662" t="s">
        <v>74</v>
      </c>
      <c r="D662" t="s">
        <v>74</v>
      </c>
      <c r="E662" t="s">
        <v>74</v>
      </c>
      <c r="F662" t="s">
        <v>11934</v>
      </c>
      <c r="G662" t="s">
        <v>74</v>
      </c>
      <c r="H662" t="s">
        <v>74</v>
      </c>
      <c r="I662" t="s">
        <v>11935</v>
      </c>
      <c r="J662" t="s">
        <v>11936</v>
      </c>
      <c r="K662" t="s">
        <v>74</v>
      </c>
      <c r="L662" t="s">
        <v>74</v>
      </c>
      <c r="M662" t="s">
        <v>78</v>
      </c>
      <c r="N662" t="s">
        <v>52</v>
      </c>
      <c r="O662" t="s">
        <v>74</v>
      </c>
      <c r="P662" t="s">
        <v>74</v>
      </c>
      <c r="Q662" t="s">
        <v>74</v>
      </c>
      <c r="R662" t="s">
        <v>74</v>
      </c>
      <c r="S662" t="s">
        <v>74</v>
      </c>
      <c r="T662" t="s">
        <v>74</v>
      </c>
      <c r="U662" t="s">
        <v>74</v>
      </c>
      <c r="V662" t="s">
        <v>74</v>
      </c>
      <c r="W662" t="s">
        <v>11937</v>
      </c>
      <c r="X662" t="s">
        <v>11938</v>
      </c>
      <c r="Y662" t="s">
        <v>74</v>
      </c>
      <c r="Z662" t="s">
        <v>74</v>
      </c>
      <c r="AA662" t="s">
        <v>11939</v>
      </c>
      <c r="AB662" t="s">
        <v>74</v>
      </c>
      <c r="AC662" t="s">
        <v>74</v>
      </c>
      <c r="AD662" t="s">
        <v>74</v>
      </c>
      <c r="AE662" t="s">
        <v>74</v>
      </c>
      <c r="AF662" t="s">
        <v>74</v>
      </c>
      <c r="AG662">
        <v>0</v>
      </c>
      <c r="AH662">
        <v>0</v>
      </c>
      <c r="AI662">
        <v>0</v>
      </c>
      <c r="AJ662">
        <v>0</v>
      </c>
      <c r="AK662">
        <v>2</v>
      </c>
      <c r="AL662" t="s">
        <v>251</v>
      </c>
      <c r="AM662" t="s">
        <v>252</v>
      </c>
      <c r="AN662" t="s">
        <v>253</v>
      </c>
      <c r="AO662" t="s">
        <v>11940</v>
      </c>
      <c r="AP662" t="s">
        <v>11941</v>
      </c>
      <c r="AQ662" t="s">
        <v>74</v>
      </c>
      <c r="AR662" t="s">
        <v>11942</v>
      </c>
      <c r="AS662" t="s">
        <v>11943</v>
      </c>
      <c r="AT662" t="s">
        <v>257</v>
      </c>
      <c r="AU662">
        <v>2021</v>
      </c>
      <c r="AV662">
        <v>45</v>
      </c>
      <c r="AW662" t="s">
        <v>74</v>
      </c>
      <c r="AX662" t="s">
        <v>74</v>
      </c>
      <c r="AY662">
        <v>1</v>
      </c>
      <c r="AZ662" t="s">
        <v>456</v>
      </c>
      <c r="BA662">
        <v>698</v>
      </c>
      <c r="BB662" t="s">
        <v>11944</v>
      </c>
      <c r="BC662" t="s">
        <v>11944</v>
      </c>
      <c r="BD662" t="s">
        <v>74</v>
      </c>
      <c r="BE662" t="s">
        <v>74</v>
      </c>
      <c r="BF662" t="s">
        <v>74</v>
      </c>
      <c r="BG662" t="s">
        <v>74</v>
      </c>
      <c r="BH662" t="s">
        <v>74</v>
      </c>
      <c r="BI662">
        <v>1</v>
      </c>
      <c r="BJ662" t="s">
        <v>4614</v>
      </c>
      <c r="BK662" t="s">
        <v>209</v>
      </c>
      <c r="BL662" t="s">
        <v>4614</v>
      </c>
      <c r="BM662" t="s">
        <v>11945</v>
      </c>
      <c r="BN662" t="s">
        <v>74</v>
      </c>
      <c r="BO662" t="s">
        <v>74</v>
      </c>
      <c r="BP662" t="s">
        <v>74</v>
      </c>
      <c r="BQ662" t="s">
        <v>74</v>
      </c>
      <c r="BR662" t="s">
        <v>102</v>
      </c>
      <c r="BS662" t="s">
        <v>11946</v>
      </c>
      <c r="BT662" t="str">
        <f>HYPERLINK("https%3A%2F%2Fwww.webofscience.com%2Fwos%2Fwoscc%2Ffull-record%2FWOS:000661449201477","View Full Record in Web of Science")</f>
        <v>View Full Record in Web of Science</v>
      </c>
    </row>
    <row r="663" spans="1:72" x14ac:dyDescent="0.35">
      <c r="A663" t="s">
        <v>72</v>
      </c>
      <c r="B663" t="s">
        <v>11947</v>
      </c>
      <c r="C663" t="s">
        <v>74</v>
      </c>
      <c r="D663" t="s">
        <v>74</v>
      </c>
      <c r="E663" t="s">
        <v>74</v>
      </c>
      <c r="F663" t="s">
        <v>11948</v>
      </c>
      <c r="G663" t="s">
        <v>74</v>
      </c>
      <c r="H663" t="s">
        <v>74</v>
      </c>
      <c r="I663" t="s">
        <v>11949</v>
      </c>
      <c r="J663" t="s">
        <v>6288</v>
      </c>
      <c r="K663" t="s">
        <v>74</v>
      </c>
      <c r="L663" t="s">
        <v>74</v>
      </c>
      <c r="M663" t="s">
        <v>78</v>
      </c>
      <c r="N663" t="s">
        <v>1328</v>
      </c>
      <c r="O663" t="s">
        <v>74</v>
      </c>
      <c r="P663" t="s">
        <v>74</v>
      </c>
      <c r="Q663" t="s">
        <v>74</v>
      </c>
      <c r="R663" t="s">
        <v>74</v>
      </c>
      <c r="S663" t="s">
        <v>74</v>
      </c>
      <c r="T663" t="s">
        <v>74</v>
      </c>
      <c r="U663" t="s">
        <v>74</v>
      </c>
      <c r="V663" t="s">
        <v>74</v>
      </c>
      <c r="W663" t="s">
        <v>11950</v>
      </c>
      <c r="X663" t="s">
        <v>11951</v>
      </c>
      <c r="Y663" t="s">
        <v>11952</v>
      </c>
      <c r="Z663" t="s">
        <v>74</v>
      </c>
      <c r="AA663" t="s">
        <v>74</v>
      </c>
      <c r="AB663" t="s">
        <v>11953</v>
      </c>
      <c r="AC663" t="s">
        <v>74</v>
      </c>
      <c r="AD663" t="s">
        <v>74</v>
      </c>
      <c r="AE663" t="s">
        <v>74</v>
      </c>
      <c r="AF663" t="s">
        <v>74</v>
      </c>
      <c r="AG663">
        <v>6</v>
      </c>
      <c r="AH663">
        <v>69</v>
      </c>
      <c r="AI663">
        <v>73</v>
      </c>
      <c r="AJ663">
        <v>2</v>
      </c>
      <c r="AK663">
        <v>70</v>
      </c>
      <c r="AL663" t="s">
        <v>1965</v>
      </c>
      <c r="AM663" t="s">
        <v>666</v>
      </c>
      <c r="AN663" t="s">
        <v>1966</v>
      </c>
      <c r="AO663" t="s">
        <v>6297</v>
      </c>
      <c r="AP663" t="s">
        <v>6298</v>
      </c>
      <c r="AQ663" t="s">
        <v>74</v>
      </c>
      <c r="AR663" t="s">
        <v>6299</v>
      </c>
      <c r="AS663" t="s">
        <v>6300</v>
      </c>
      <c r="AT663" t="s">
        <v>523</v>
      </c>
      <c r="AU663">
        <v>2020</v>
      </c>
      <c r="AV663">
        <v>67</v>
      </c>
      <c r="AW663">
        <v>5</v>
      </c>
      <c r="AX663" t="s">
        <v>74</v>
      </c>
      <c r="AY663" t="s">
        <v>74</v>
      </c>
      <c r="AZ663" t="s">
        <v>74</v>
      </c>
      <c r="BA663" t="s">
        <v>74</v>
      </c>
      <c r="BB663">
        <v>730</v>
      </c>
      <c r="BC663">
        <v>730</v>
      </c>
      <c r="BD663" t="s">
        <v>74</v>
      </c>
      <c r="BE663" t="s">
        <v>11954</v>
      </c>
      <c r="BF663" t="str">
        <f>HYPERLINK("http://dx.doi.org/10.1016/j.jadohealth.2020.07.039","http://dx.doi.org/10.1016/j.jadohealth.2020.07.039")</f>
        <v>http://dx.doi.org/10.1016/j.jadohealth.2020.07.039</v>
      </c>
      <c r="BG663" t="s">
        <v>74</v>
      </c>
      <c r="BH663" t="s">
        <v>74</v>
      </c>
      <c r="BI663">
        <v>1</v>
      </c>
      <c r="BJ663" t="s">
        <v>6302</v>
      </c>
      <c r="BK663" t="s">
        <v>182</v>
      </c>
      <c r="BL663" t="s">
        <v>6303</v>
      </c>
      <c r="BM663" t="s">
        <v>11955</v>
      </c>
      <c r="BN663">
        <v>32873499</v>
      </c>
      <c r="BO663" t="s">
        <v>2194</v>
      </c>
      <c r="BP663" t="s">
        <v>74</v>
      </c>
      <c r="BQ663" t="s">
        <v>74</v>
      </c>
      <c r="BR663" t="s">
        <v>102</v>
      </c>
      <c r="BS663" t="s">
        <v>11956</v>
      </c>
      <c r="BT663" t="str">
        <f>HYPERLINK("https%3A%2F%2Fwww.webofscience.com%2Fwos%2Fwoscc%2Ffull-record%2FWOS:000580644600023","View Full Record in Web of Science")</f>
        <v>View Full Record in Web of Science</v>
      </c>
    </row>
    <row r="664" spans="1:72" x14ac:dyDescent="0.35">
      <c r="A664" t="s">
        <v>72</v>
      </c>
      <c r="B664" t="s">
        <v>11957</v>
      </c>
      <c r="C664" t="s">
        <v>74</v>
      </c>
      <c r="D664" t="s">
        <v>74</v>
      </c>
      <c r="E664" t="s">
        <v>74</v>
      </c>
      <c r="F664" t="s">
        <v>11958</v>
      </c>
      <c r="G664" t="s">
        <v>74</v>
      </c>
      <c r="H664" t="s">
        <v>74</v>
      </c>
      <c r="I664" t="s">
        <v>11959</v>
      </c>
      <c r="J664" t="s">
        <v>11960</v>
      </c>
      <c r="K664" t="s">
        <v>74</v>
      </c>
      <c r="L664" t="s">
        <v>74</v>
      </c>
      <c r="M664" t="s">
        <v>78</v>
      </c>
      <c r="N664" t="s">
        <v>108</v>
      </c>
      <c r="O664" t="s">
        <v>74</v>
      </c>
      <c r="P664" t="s">
        <v>74</v>
      </c>
      <c r="Q664" t="s">
        <v>74</v>
      </c>
      <c r="R664" t="s">
        <v>74</v>
      </c>
      <c r="S664" t="s">
        <v>74</v>
      </c>
      <c r="T664" t="s">
        <v>11961</v>
      </c>
      <c r="U664" t="s">
        <v>8065</v>
      </c>
      <c r="V664" t="s">
        <v>11962</v>
      </c>
      <c r="W664" t="s">
        <v>11963</v>
      </c>
      <c r="X664" t="s">
        <v>11964</v>
      </c>
      <c r="Y664" t="s">
        <v>11965</v>
      </c>
      <c r="Z664" t="s">
        <v>11966</v>
      </c>
      <c r="AA664" t="s">
        <v>11967</v>
      </c>
      <c r="AB664" t="s">
        <v>11968</v>
      </c>
      <c r="AC664" t="s">
        <v>74</v>
      </c>
      <c r="AD664" t="s">
        <v>74</v>
      </c>
      <c r="AE664" t="s">
        <v>74</v>
      </c>
      <c r="AF664" t="s">
        <v>74</v>
      </c>
      <c r="AG664">
        <v>18</v>
      </c>
      <c r="AH664">
        <v>4</v>
      </c>
      <c r="AI664">
        <v>4</v>
      </c>
      <c r="AJ664">
        <v>1</v>
      </c>
      <c r="AK664">
        <v>17</v>
      </c>
      <c r="AL664" t="s">
        <v>357</v>
      </c>
      <c r="AM664" t="s">
        <v>358</v>
      </c>
      <c r="AN664" t="s">
        <v>359</v>
      </c>
      <c r="AO664" t="s">
        <v>11969</v>
      </c>
      <c r="AP664" t="s">
        <v>11970</v>
      </c>
      <c r="AQ664" t="s">
        <v>74</v>
      </c>
      <c r="AR664" t="s">
        <v>11971</v>
      </c>
      <c r="AS664" t="s">
        <v>11972</v>
      </c>
      <c r="AT664" t="s">
        <v>11259</v>
      </c>
      <c r="AU664">
        <v>2023</v>
      </c>
      <c r="AV664">
        <v>26</v>
      </c>
      <c r="AW664">
        <v>3</v>
      </c>
      <c r="AX664" t="s">
        <v>74</v>
      </c>
      <c r="AY664" t="s">
        <v>74</v>
      </c>
      <c r="AZ664" t="s">
        <v>74</v>
      </c>
      <c r="BA664" t="s">
        <v>74</v>
      </c>
      <c r="BB664">
        <v>360</v>
      </c>
      <c r="BC664">
        <v>365</v>
      </c>
      <c r="BD664" t="s">
        <v>74</v>
      </c>
      <c r="BE664" t="s">
        <v>11973</v>
      </c>
      <c r="BF664" t="str">
        <f>HYPERLINK("http://dx.doi.org/10.1089/jpm.2022.0250","http://dx.doi.org/10.1089/jpm.2022.0250")</f>
        <v>http://dx.doi.org/10.1089/jpm.2022.0250</v>
      </c>
      <c r="BG664" t="s">
        <v>74</v>
      </c>
      <c r="BH664" t="s">
        <v>598</v>
      </c>
      <c r="BI664">
        <v>6</v>
      </c>
      <c r="BJ664" t="s">
        <v>4358</v>
      </c>
      <c r="BK664" t="s">
        <v>209</v>
      </c>
      <c r="BL664" t="s">
        <v>4358</v>
      </c>
      <c r="BM664" t="s">
        <v>11974</v>
      </c>
      <c r="BN664">
        <v>36112152</v>
      </c>
      <c r="BO664" t="s">
        <v>74</v>
      </c>
      <c r="BP664" t="s">
        <v>74</v>
      </c>
      <c r="BQ664" t="s">
        <v>74</v>
      </c>
      <c r="BR664" t="s">
        <v>102</v>
      </c>
      <c r="BS664" t="s">
        <v>11975</v>
      </c>
      <c r="BT664" t="str">
        <f>HYPERLINK("https%3A%2F%2Fwww.webofscience.com%2Fwos%2Fwoscc%2Ffull-record%2FWOS:000856575300001","View Full Record in Web of Science")</f>
        <v>View Full Record in Web of Science</v>
      </c>
    </row>
    <row r="665" spans="1:72" x14ac:dyDescent="0.35">
      <c r="A665" t="s">
        <v>72</v>
      </c>
      <c r="B665" t="s">
        <v>11976</v>
      </c>
      <c r="C665" t="s">
        <v>74</v>
      </c>
      <c r="D665" t="s">
        <v>74</v>
      </c>
      <c r="E665" t="s">
        <v>74</v>
      </c>
      <c r="F665" t="s">
        <v>11977</v>
      </c>
      <c r="G665" t="s">
        <v>74</v>
      </c>
      <c r="H665" t="s">
        <v>74</v>
      </c>
      <c r="I665" t="s">
        <v>11978</v>
      </c>
      <c r="J665" t="s">
        <v>11979</v>
      </c>
      <c r="K665" t="s">
        <v>74</v>
      </c>
      <c r="L665" t="s">
        <v>74</v>
      </c>
      <c r="M665" t="s">
        <v>78</v>
      </c>
      <c r="N665" t="s">
        <v>52</v>
      </c>
      <c r="O665" t="s">
        <v>74</v>
      </c>
      <c r="P665" t="s">
        <v>74</v>
      </c>
      <c r="Q665" t="s">
        <v>74</v>
      </c>
      <c r="R665" t="s">
        <v>74</v>
      </c>
      <c r="S665" t="s">
        <v>74</v>
      </c>
      <c r="T665" t="s">
        <v>74</v>
      </c>
      <c r="U665" t="s">
        <v>74</v>
      </c>
      <c r="V665" t="s">
        <v>74</v>
      </c>
      <c r="W665" t="s">
        <v>11980</v>
      </c>
      <c r="X665" t="s">
        <v>11981</v>
      </c>
      <c r="Y665" t="s">
        <v>74</v>
      </c>
      <c r="Z665" t="s">
        <v>74</v>
      </c>
      <c r="AA665" t="s">
        <v>11982</v>
      </c>
      <c r="AB665" t="s">
        <v>74</v>
      </c>
      <c r="AC665" t="s">
        <v>74</v>
      </c>
      <c r="AD665" t="s">
        <v>74</v>
      </c>
      <c r="AE665" t="s">
        <v>74</v>
      </c>
      <c r="AF665" t="s">
        <v>74</v>
      </c>
      <c r="AG665">
        <v>0</v>
      </c>
      <c r="AH665">
        <v>0</v>
      </c>
      <c r="AI665">
        <v>0</v>
      </c>
      <c r="AJ665">
        <v>0</v>
      </c>
      <c r="AK665">
        <v>2</v>
      </c>
      <c r="AL665" t="s">
        <v>1965</v>
      </c>
      <c r="AM665" t="s">
        <v>666</v>
      </c>
      <c r="AN665" t="s">
        <v>1966</v>
      </c>
      <c r="AO665" t="s">
        <v>11983</v>
      </c>
      <c r="AP665" t="s">
        <v>11984</v>
      </c>
      <c r="AQ665" t="s">
        <v>74</v>
      </c>
      <c r="AR665" t="s">
        <v>11985</v>
      </c>
      <c r="AS665" t="s">
        <v>11986</v>
      </c>
      <c r="AT665" t="s">
        <v>11987</v>
      </c>
      <c r="AU665">
        <v>2022</v>
      </c>
      <c r="AV665">
        <v>79</v>
      </c>
      <c r="AW665">
        <v>9</v>
      </c>
      <c r="AX665" t="s">
        <v>74</v>
      </c>
      <c r="AY665" t="s">
        <v>4946</v>
      </c>
      <c r="AZ665" t="s">
        <v>74</v>
      </c>
      <c r="BA665" t="s">
        <v>74</v>
      </c>
      <c r="BB665">
        <v>1578</v>
      </c>
      <c r="BC665">
        <v>1578</v>
      </c>
      <c r="BD665" t="s">
        <v>74</v>
      </c>
      <c r="BE665" t="s">
        <v>74</v>
      </c>
      <c r="BF665" t="s">
        <v>74</v>
      </c>
      <c r="BG665" t="s">
        <v>74</v>
      </c>
      <c r="BH665" t="s">
        <v>74</v>
      </c>
      <c r="BI665">
        <v>1</v>
      </c>
      <c r="BJ665" t="s">
        <v>11988</v>
      </c>
      <c r="BK665" t="s">
        <v>209</v>
      </c>
      <c r="BL665" t="s">
        <v>3844</v>
      </c>
      <c r="BM665" t="s">
        <v>11989</v>
      </c>
      <c r="BN665" t="s">
        <v>74</v>
      </c>
      <c r="BO665" t="s">
        <v>74</v>
      </c>
      <c r="BP665" t="s">
        <v>74</v>
      </c>
      <c r="BQ665" t="s">
        <v>74</v>
      </c>
      <c r="BR665" t="s">
        <v>102</v>
      </c>
      <c r="BS665" t="s">
        <v>11990</v>
      </c>
      <c r="BT665" t="str">
        <f>HYPERLINK("https%3A%2F%2Fwww.webofscience.com%2Fwos%2Fwoscc%2Ffull-record%2FWOS:000781026601677","View Full Record in Web of Science")</f>
        <v>View Full Record in Web of Science</v>
      </c>
    </row>
    <row r="666" spans="1:72" x14ac:dyDescent="0.35">
      <c r="A666" t="s">
        <v>72</v>
      </c>
      <c r="B666" t="s">
        <v>4073</v>
      </c>
      <c r="C666" t="s">
        <v>74</v>
      </c>
      <c r="D666" t="s">
        <v>74</v>
      </c>
      <c r="E666" t="s">
        <v>74</v>
      </c>
      <c r="F666" t="s">
        <v>11991</v>
      </c>
      <c r="G666" t="s">
        <v>74</v>
      </c>
      <c r="H666" t="s">
        <v>74</v>
      </c>
      <c r="I666" t="s">
        <v>11992</v>
      </c>
      <c r="J666" t="s">
        <v>11993</v>
      </c>
      <c r="K666" t="s">
        <v>74</v>
      </c>
      <c r="L666" t="s">
        <v>74</v>
      </c>
      <c r="M666" t="s">
        <v>78</v>
      </c>
      <c r="N666" t="s">
        <v>108</v>
      </c>
      <c r="O666" t="s">
        <v>74</v>
      </c>
      <c r="P666" t="s">
        <v>74</v>
      </c>
      <c r="Q666" t="s">
        <v>74</v>
      </c>
      <c r="R666" t="s">
        <v>74</v>
      </c>
      <c r="S666" t="s">
        <v>74</v>
      </c>
      <c r="T666" t="s">
        <v>11994</v>
      </c>
      <c r="U666" t="s">
        <v>11995</v>
      </c>
      <c r="V666" t="s">
        <v>11996</v>
      </c>
      <c r="W666" t="s">
        <v>11997</v>
      </c>
      <c r="X666" t="s">
        <v>11998</v>
      </c>
      <c r="Y666" t="s">
        <v>11999</v>
      </c>
      <c r="Z666" t="s">
        <v>12000</v>
      </c>
      <c r="AA666" t="s">
        <v>4084</v>
      </c>
      <c r="AB666" t="s">
        <v>4085</v>
      </c>
      <c r="AC666" t="s">
        <v>74</v>
      </c>
      <c r="AD666" t="s">
        <v>74</v>
      </c>
      <c r="AE666" t="s">
        <v>74</v>
      </c>
      <c r="AF666" t="s">
        <v>74</v>
      </c>
      <c r="AG666">
        <v>73</v>
      </c>
      <c r="AH666">
        <v>27</v>
      </c>
      <c r="AI666">
        <v>30</v>
      </c>
      <c r="AJ666">
        <v>24</v>
      </c>
      <c r="AK666">
        <v>201</v>
      </c>
      <c r="AL666" t="s">
        <v>1965</v>
      </c>
      <c r="AM666" t="s">
        <v>666</v>
      </c>
      <c r="AN666" t="s">
        <v>1966</v>
      </c>
      <c r="AO666" t="s">
        <v>12001</v>
      </c>
      <c r="AP666" t="s">
        <v>12002</v>
      </c>
      <c r="AQ666" t="s">
        <v>74</v>
      </c>
      <c r="AR666" t="s">
        <v>12003</v>
      </c>
      <c r="AS666" t="s">
        <v>12004</v>
      </c>
      <c r="AT666" t="s">
        <v>930</v>
      </c>
      <c r="AU666">
        <v>2021</v>
      </c>
      <c r="AV666">
        <v>43</v>
      </c>
      <c r="AW666">
        <v>2</v>
      </c>
      <c r="AX666" t="s">
        <v>74</v>
      </c>
      <c r="AY666" t="s">
        <v>74</v>
      </c>
      <c r="AZ666" t="s">
        <v>74</v>
      </c>
      <c r="BA666" t="s">
        <v>74</v>
      </c>
      <c r="BB666" t="s">
        <v>74</v>
      </c>
      <c r="BC666" t="s">
        <v>74</v>
      </c>
      <c r="BD666">
        <v>101091</v>
      </c>
      <c r="BE666" t="s">
        <v>12005</v>
      </c>
      <c r="BF666" t="str">
        <f>HYPERLINK("http://dx.doi.org/10.1016/j.lisr.2021.101091","http://dx.doi.org/10.1016/j.lisr.2021.101091")</f>
        <v>http://dx.doi.org/10.1016/j.lisr.2021.101091</v>
      </c>
      <c r="BG666" t="s">
        <v>74</v>
      </c>
      <c r="BH666" t="s">
        <v>2090</v>
      </c>
      <c r="BI666">
        <v>10</v>
      </c>
      <c r="BJ666" t="s">
        <v>1162</v>
      </c>
      <c r="BK666" t="s">
        <v>99</v>
      </c>
      <c r="BL666" t="s">
        <v>1162</v>
      </c>
      <c r="BM666" t="s">
        <v>12006</v>
      </c>
      <c r="BN666" t="s">
        <v>74</v>
      </c>
      <c r="BO666" t="s">
        <v>74</v>
      </c>
      <c r="BP666" t="s">
        <v>74</v>
      </c>
      <c r="BQ666" t="s">
        <v>74</v>
      </c>
      <c r="BR666" t="s">
        <v>102</v>
      </c>
      <c r="BS666" t="s">
        <v>12007</v>
      </c>
      <c r="BT666" t="str">
        <f>HYPERLINK("https%3A%2F%2Fwww.webofscience.com%2Fwos%2Fwoscc%2Ffull-record%2FWOS:000658519200003","View Full Record in Web of Science")</f>
        <v>View Full Record in Web of Science</v>
      </c>
    </row>
    <row r="667" spans="1:72" x14ac:dyDescent="0.35">
      <c r="A667" t="s">
        <v>72</v>
      </c>
      <c r="B667" t="s">
        <v>12008</v>
      </c>
      <c r="C667" t="s">
        <v>74</v>
      </c>
      <c r="D667" t="s">
        <v>74</v>
      </c>
      <c r="E667" t="s">
        <v>74</v>
      </c>
      <c r="F667" t="s">
        <v>12009</v>
      </c>
      <c r="G667" t="s">
        <v>74</v>
      </c>
      <c r="H667" t="s">
        <v>74</v>
      </c>
      <c r="I667" t="s">
        <v>12010</v>
      </c>
      <c r="J667" t="s">
        <v>12011</v>
      </c>
      <c r="K667" t="s">
        <v>74</v>
      </c>
      <c r="L667" t="s">
        <v>74</v>
      </c>
      <c r="M667" t="s">
        <v>78</v>
      </c>
      <c r="N667" t="s">
        <v>1328</v>
      </c>
      <c r="O667" t="s">
        <v>74</v>
      </c>
      <c r="P667" t="s">
        <v>74</v>
      </c>
      <c r="Q667" t="s">
        <v>74</v>
      </c>
      <c r="R667" t="s">
        <v>74</v>
      </c>
      <c r="S667" t="s">
        <v>74</v>
      </c>
      <c r="T667" t="s">
        <v>74</v>
      </c>
      <c r="U667" t="s">
        <v>74</v>
      </c>
      <c r="V667" t="s">
        <v>74</v>
      </c>
      <c r="W667" t="s">
        <v>12012</v>
      </c>
      <c r="X667" t="s">
        <v>12013</v>
      </c>
      <c r="Y667" t="s">
        <v>12014</v>
      </c>
      <c r="Z667" t="s">
        <v>12015</v>
      </c>
      <c r="AA667" t="s">
        <v>74</v>
      </c>
      <c r="AB667" t="s">
        <v>74</v>
      </c>
      <c r="AC667" t="s">
        <v>74</v>
      </c>
      <c r="AD667" t="s">
        <v>74</v>
      </c>
      <c r="AE667" t="s">
        <v>74</v>
      </c>
      <c r="AF667" t="s">
        <v>74</v>
      </c>
      <c r="AG667">
        <v>5</v>
      </c>
      <c r="AH667">
        <v>1</v>
      </c>
      <c r="AI667">
        <v>1</v>
      </c>
      <c r="AJ667">
        <v>0</v>
      </c>
      <c r="AK667">
        <v>0</v>
      </c>
      <c r="AL667" t="s">
        <v>357</v>
      </c>
      <c r="AM667" t="s">
        <v>358</v>
      </c>
      <c r="AN667" t="s">
        <v>359</v>
      </c>
      <c r="AO667" t="s">
        <v>12016</v>
      </c>
      <c r="AP667" t="s">
        <v>12017</v>
      </c>
      <c r="AQ667" t="s">
        <v>74</v>
      </c>
      <c r="AR667" t="s">
        <v>12011</v>
      </c>
      <c r="AS667" t="s">
        <v>12018</v>
      </c>
      <c r="AT667" t="s">
        <v>2032</v>
      </c>
      <c r="AU667">
        <v>2022</v>
      </c>
      <c r="AV667">
        <v>33</v>
      </c>
      <c r="AW667">
        <v>6</v>
      </c>
      <c r="AX667" t="s">
        <v>74</v>
      </c>
      <c r="AY667" t="s">
        <v>74</v>
      </c>
      <c r="AZ667" t="s">
        <v>74</v>
      </c>
      <c r="BA667" t="s">
        <v>74</v>
      </c>
      <c r="BB667" t="s">
        <v>12019</v>
      </c>
      <c r="BC667" t="s">
        <v>12020</v>
      </c>
      <c r="BD667" t="s">
        <v>74</v>
      </c>
      <c r="BE667" t="s">
        <v>12021</v>
      </c>
      <c r="BF667" t="str">
        <f>HYPERLINK("http://dx.doi.org/10.1097/DER.0000000000000816","http://dx.doi.org/10.1097/DER.0000000000000816")</f>
        <v>http://dx.doi.org/10.1097/DER.0000000000000816</v>
      </c>
      <c r="BG667" t="s">
        <v>74</v>
      </c>
      <c r="BH667" t="s">
        <v>74</v>
      </c>
      <c r="BI667">
        <v>3</v>
      </c>
      <c r="BJ667" t="s">
        <v>1341</v>
      </c>
      <c r="BK667" t="s">
        <v>209</v>
      </c>
      <c r="BL667" t="s">
        <v>1341</v>
      </c>
      <c r="BM667" t="s">
        <v>12022</v>
      </c>
      <c r="BN667">
        <v>34967771</v>
      </c>
      <c r="BO667" t="s">
        <v>74</v>
      </c>
      <c r="BP667" t="s">
        <v>74</v>
      </c>
      <c r="BQ667" t="s">
        <v>74</v>
      </c>
      <c r="BR667" t="s">
        <v>102</v>
      </c>
      <c r="BS667" t="s">
        <v>12023</v>
      </c>
      <c r="BT667" t="str">
        <f>HYPERLINK("https%3A%2F%2Fwww.webofscience.com%2Fwos%2Fwoscc%2Ffull-record%2FWOS:000886917500006","View Full Record in Web of Science")</f>
        <v>View Full Record in Web of Science</v>
      </c>
    </row>
    <row r="668" spans="1:72" x14ac:dyDescent="0.35">
      <c r="A668" t="s">
        <v>128</v>
      </c>
      <c r="B668" t="s">
        <v>11898</v>
      </c>
      <c r="C668" t="s">
        <v>74</v>
      </c>
      <c r="D668" t="s">
        <v>74</v>
      </c>
      <c r="E668" t="s">
        <v>702</v>
      </c>
      <c r="F668" t="s">
        <v>11899</v>
      </c>
      <c r="G668" t="s">
        <v>74</v>
      </c>
      <c r="H668" t="s">
        <v>74</v>
      </c>
      <c r="I668" t="s">
        <v>12024</v>
      </c>
      <c r="J668" t="s">
        <v>12025</v>
      </c>
      <c r="K668" t="s">
        <v>74</v>
      </c>
      <c r="L668" t="s">
        <v>74</v>
      </c>
      <c r="M668" t="s">
        <v>78</v>
      </c>
      <c r="N668" t="s">
        <v>135</v>
      </c>
      <c r="O668" t="s">
        <v>12026</v>
      </c>
      <c r="P668" t="s">
        <v>12027</v>
      </c>
      <c r="Q668" t="s">
        <v>12028</v>
      </c>
      <c r="R668" t="s">
        <v>12029</v>
      </c>
      <c r="S668" t="s">
        <v>12030</v>
      </c>
      <c r="T668" t="s">
        <v>12031</v>
      </c>
      <c r="U668" t="s">
        <v>74</v>
      </c>
      <c r="V668" t="s">
        <v>12032</v>
      </c>
      <c r="W668" t="s">
        <v>12033</v>
      </c>
      <c r="X668" t="s">
        <v>74</v>
      </c>
      <c r="Y668" t="s">
        <v>12034</v>
      </c>
      <c r="Z668" t="s">
        <v>11906</v>
      </c>
      <c r="AA668" t="s">
        <v>74</v>
      </c>
      <c r="AB668" t="s">
        <v>74</v>
      </c>
      <c r="AC668" t="s">
        <v>74</v>
      </c>
      <c r="AD668" t="s">
        <v>74</v>
      </c>
      <c r="AE668" t="s">
        <v>74</v>
      </c>
      <c r="AF668" t="s">
        <v>74</v>
      </c>
      <c r="AG668">
        <v>26</v>
      </c>
      <c r="AH668">
        <v>0</v>
      </c>
      <c r="AI668">
        <v>0</v>
      </c>
      <c r="AJ668">
        <v>0</v>
      </c>
      <c r="AK668">
        <v>3</v>
      </c>
      <c r="AL668" t="s">
        <v>718</v>
      </c>
      <c r="AM668" t="s">
        <v>666</v>
      </c>
      <c r="AN668" t="s">
        <v>719</v>
      </c>
      <c r="AO668" t="s">
        <v>74</v>
      </c>
      <c r="AP668" t="s">
        <v>74</v>
      </c>
      <c r="AQ668" t="s">
        <v>12035</v>
      </c>
      <c r="AR668" t="s">
        <v>74</v>
      </c>
      <c r="AS668" t="s">
        <v>74</v>
      </c>
      <c r="AT668" t="s">
        <v>74</v>
      </c>
      <c r="AU668">
        <v>2023</v>
      </c>
      <c r="AV668" t="s">
        <v>74</v>
      </c>
      <c r="AW668" t="s">
        <v>74</v>
      </c>
      <c r="AX668" t="s">
        <v>74</v>
      </c>
      <c r="AY668" t="s">
        <v>74</v>
      </c>
      <c r="AZ668" t="s">
        <v>74</v>
      </c>
      <c r="BA668" t="s">
        <v>74</v>
      </c>
      <c r="BB668" t="s">
        <v>74</v>
      </c>
      <c r="BC668" t="s">
        <v>74</v>
      </c>
      <c r="BD668" t="s">
        <v>74</v>
      </c>
      <c r="BE668" t="s">
        <v>12036</v>
      </c>
      <c r="BF668" t="str">
        <f>HYPERLINK("http://dx.doi.org/10.1145/3603163.3609049","http://dx.doi.org/10.1145/3603163.3609049")</f>
        <v>http://dx.doi.org/10.1145/3603163.3609049</v>
      </c>
      <c r="BG668" t="s">
        <v>74</v>
      </c>
      <c r="BH668" t="s">
        <v>74</v>
      </c>
      <c r="BI668">
        <v>5</v>
      </c>
      <c r="BJ668" t="s">
        <v>12037</v>
      </c>
      <c r="BK668" t="s">
        <v>648</v>
      </c>
      <c r="BL668" t="s">
        <v>7740</v>
      </c>
      <c r="BM668" t="s">
        <v>12038</v>
      </c>
      <c r="BN668" t="s">
        <v>74</v>
      </c>
      <c r="BO668" t="s">
        <v>156</v>
      </c>
      <c r="BP668" t="s">
        <v>74</v>
      </c>
      <c r="BQ668" t="s">
        <v>74</v>
      </c>
      <c r="BR668" t="s">
        <v>102</v>
      </c>
      <c r="BS668" t="s">
        <v>12039</v>
      </c>
      <c r="BT668" t="str">
        <f>HYPERLINK("https%3A%2F%2Fwww.webofscience.com%2Fwos%2Fwoscc%2Ffull-record%2FWOS:001118858800018","View Full Record in Web of Science")</f>
        <v>View Full Record in Web of Science</v>
      </c>
    </row>
    <row r="669" spans="1:72" x14ac:dyDescent="0.35">
      <c r="A669" t="s">
        <v>72</v>
      </c>
      <c r="B669" t="s">
        <v>12040</v>
      </c>
      <c r="C669" t="s">
        <v>74</v>
      </c>
      <c r="D669" t="s">
        <v>74</v>
      </c>
      <c r="E669" t="s">
        <v>74</v>
      </c>
      <c r="F669" t="s">
        <v>12041</v>
      </c>
      <c r="G669" t="s">
        <v>74</v>
      </c>
      <c r="H669" t="s">
        <v>74</v>
      </c>
      <c r="I669" t="s">
        <v>12042</v>
      </c>
      <c r="J669" t="s">
        <v>12043</v>
      </c>
      <c r="K669" t="s">
        <v>74</v>
      </c>
      <c r="L669" t="s">
        <v>74</v>
      </c>
      <c r="M669" t="s">
        <v>78</v>
      </c>
      <c r="N669" t="s">
        <v>79</v>
      </c>
      <c r="O669" t="s">
        <v>74</v>
      </c>
      <c r="P669" t="s">
        <v>74</v>
      </c>
      <c r="Q669" t="s">
        <v>74</v>
      </c>
      <c r="R669" t="s">
        <v>74</v>
      </c>
      <c r="S669" t="s">
        <v>74</v>
      </c>
      <c r="T669" t="s">
        <v>12044</v>
      </c>
      <c r="U669" t="s">
        <v>12045</v>
      </c>
      <c r="V669" t="s">
        <v>12046</v>
      </c>
      <c r="W669" t="s">
        <v>12047</v>
      </c>
      <c r="X669" t="s">
        <v>12048</v>
      </c>
      <c r="Y669" t="s">
        <v>12049</v>
      </c>
      <c r="Z669" t="s">
        <v>12050</v>
      </c>
      <c r="AA669" t="s">
        <v>74</v>
      </c>
      <c r="AB669" t="s">
        <v>74</v>
      </c>
      <c r="AC669" t="s">
        <v>12051</v>
      </c>
      <c r="AD669" t="s">
        <v>12052</v>
      </c>
      <c r="AE669" t="s">
        <v>12053</v>
      </c>
      <c r="AF669" t="s">
        <v>74</v>
      </c>
      <c r="AG669">
        <v>42</v>
      </c>
      <c r="AH669">
        <v>0</v>
      </c>
      <c r="AI669">
        <v>0</v>
      </c>
      <c r="AJ669">
        <v>5</v>
      </c>
      <c r="AK669">
        <v>5</v>
      </c>
      <c r="AL669" t="s">
        <v>199</v>
      </c>
      <c r="AM669" t="s">
        <v>200</v>
      </c>
      <c r="AN669" t="s">
        <v>471</v>
      </c>
      <c r="AO669" t="s">
        <v>12054</v>
      </c>
      <c r="AP669" t="s">
        <v>12055</v>
      </c>
      <c r="AQ669" t="s">
        <v>74</v>
      </c>
      <c r="AR669" t="s">
        <v>12056</v>
      </c>
      <c r="AS669" t="s">
        <v>12057</v>
      </c>
      <c r="AT669" t="s">
        <v>12058</v>
      </c>
      <c r="AU669">
        <v>2024</v>
      </c>
      <c r="AV669" t="s">
        <v>74</v>
      </c>
      <c r="AW669" t="s">
        <v>74</v>
      </c>
      <c r="AX669" t="s">
        <v>74</v>
      </c>
      <c r="AY669" t="s">
        <v>74</v>
      </c>
      <c r="AZ669" t="s">
        <v>74</v>
      </c>
      <c r="BA669" t="s">
        <v>74</v>
      </c>
      <c r="BB669" t="s">
        <v>74</v>
      </c>
      <c r="BC669" t="s">
        <v>74</v>
      </c>
      <c r="BD669" t="s">
        <v>74</v>
      </c>
      <c r="BE669" t="s">
        <v>12059</v>
      </c>
      <c r="BF669" t="str">
        <f>HYPERLINK("http://dx.doi.org/10.1108/APJML-06-2024-0738","http://dx.doi.org/10.1108/APJML-06-2024-0738")</f>
        <v>http://dx.doi.org/10.1108/APJML-06-2024-0738</v>
      </c>
      <c r="BG669" t="s">
        <v>74</v>
      </c>
      <c r="BH669" t="s">
        <v>1721</v>
      </c>
      <c r="BI669">
        <v>22</v>
      </c>
      <c r="BJ669" t="s">
        <v>1597</v>
      </c>
      <c r="BK669" t="s">
        <v>99</v>
      </c>
      <c r="BL669" t="s">
        <v>480</v>
      </c>
      <c r="BM669" t="s">
        <v>12060</v>
      </c>
      <c r="BN669" t="s">
        <v>74</v>
      </c>
      <c r="BO669" t="s">
        <v>74</v>
      </c>
      <c r="BP669" t="s">
        <v>74</v>
      </c>
      <c r="BQ669" t="s">
        <v>74</v>
      </c>
      <c r="BR669" t="s">
        <v>102</v>
      </c>
      <c r="BS669" t="s">
        <v>12061</v>
      </c>
      <c r="BT669" t="str">
        <f>HYPERLINK("https%3A%2F%2Fwww.webofscience.com%2Fwos%2Fwoscc%2Ffull-record%2FWOS:001334308900001","View Full Record in Web of Science")</f>
        <v>View Full Record in Web of Science</v>
      </c>
    </row>
    <row r="670" spans="1:72" x14ac:dyDescent="0.35">
      <c r="A670" t="s">
        <v>72</v>
      </c>
      <c r="B670" t="s">
        <v>12062</v>
      </c>
      <c r="C670" t="s">
        <v>74</v>
      </c>
      <c r="D670" t="s">
        <v>74</v>
      </c>
      <c r="E670" t="s">
        <v>74</v>
      </c>
      <c r="F670" t="s">
        <v>12063</v>
      </c>
      <c r="G670" t="s">
        <v>74</v>
      </c>
      <c r="H670" t="s">
        <v>74</v>
      </c>
      <c r="I670" t="s">
        <v>12064</v>
      </c>
      <c r="J670" t="s">
        <v>4159</v>
      </c>
      <c r="K670" t="s">
        <v>74</v>
      </c>
      <c r="L670" t="s">
        <v>74</v>
      </c>
      <c r="M670" t="s">
        <v>78</v>
      </c>
      <c r="N670" t="s">
        <v>374</v>
      </c>
      <c r="O670" t="s">
        <v>74</v>
      </c>
      <c r="P670" t="s">
        <v>74</v>
      </c>
      <c r="Q670" t="s">
        <v>74</v>
      </c>
      <c r="R670" t="s">
        <v>74</v>
      </c>
      <c r="S670" t="s">
        <v>74</v>
      </c>
      <c r="T670" t="s">
        <v>4160</v>
      </c>
      <c r="U670" t="s">
        <v>12065</v>
      </c>
      <c r="V670" t="s">
        <v>12066</v>
      </c>
      <c r="W670" t="s">
        <v>12067</v>
      </c>
      <c r="X670" t="s">
        <v>12068</v>
      </c>
      <c r="Y670" t="s">
        <v>12069</v>
      </c>
      <c r="Z670" t="s">
        <v>4164</v>
      </c>
      <c r="AA670" t="s">
        <v>74</v>
      </c>
      <c r="AB670" t="s">
        <v>74</v>
      </c>
      <c r="AC670" t="s">
        <v>74</v>
      </c>
      <c r="AD670" t="s">
        <v>74</v>
      </c>
      <c r="AE670" t="s">
        <v>74</v>
      </c>
      <c r="AF670" t="s">
        <v>74</v>
      </c>
      <c r="AG670">
        <v>39</v>
      </c>
      <c r="AH670">
        <v>2</v>
      </c>
      <c r="AI670">
        <v>2</v>
      </c>
      <c r="AJ670">
        <v>8</v>
      </c>
      <c r="AK670">
        <v>14</v>
      </c>
      <c r="AL670" t="s">
        <v>4165</v>
      </c>
      <c r="AM670" t="s">
        <v>640</v>
      </c>
      <c r="AN670" t="s">
        <v>641</v>
      </c>
      <c r="AO670" t="s">
        <v>4166</v>
      </c>
      <c r="AP670" t="s">
        <v>4167</v>
      </c>
      <c r="AQ670" t="s">
        <v>74</v>
      </c>
      <c r="AR670" t="s">
        <v>4168</v>
      </c>
      <c r="AS670" t="s">
        <v>4169</v>
      </c>
      <c r="AT670" t="s">
        <v>930</v>
      </c>
      <c r="AU670">
        <v>2024</v>
      </c>
      <c r="AV670">
        <v>13</v>
      </c>
      <c r="AW670">
        <v>4</v>
      </c>
      <c r="AX670" t="s">
        <v>74</v>
      </c>
      <c r="AY670" t="s">
        <v>74</v>
      </c>
      <c r="AZ670" t="s">
        <v>74</v>
      </c>
      <c r="BA670" t="s">
        <v>74</v>
      </c>
      <c r="BB670">
        <v>895</v>
      </c>
      <c r="BC670">
        <v>902</v>
      </c>
      <c r="BD670" t="s">
        <v>74</v>
      </c>
      <c r="BE670" t="s">
        <v>12070</v>
      </c>
      <c r="BF670" t="str">
        <f>HYPERLINK("http://dx.doi.org/10.1007/s40123-024-00885-3","http://dx.doi.org/10.1007/s40123-024-00885-3")</f>
        <v>http://dx.doi.org/10.1007/s40123-024-00885-3</v>
      </c>
      <c r="BG670" t="s">
        <v>74</v>
      </c>
      <c r="BH670" t="s">
        <v>786</v>
      </c>
      <c r="BI670">
        <v>8</v>
      </c>
      <c r="BJ670" t="s">
        <v>4171</v>
      </c>
      <c r="BK670" t="s">
        <v>209</v>
      </c>
      <c r="BL670" t="s">
        <v>4171</v>
      </c>
      <c r="BM670" t="s">
        <v>12071</v>
      </c>
      <c r="BN670">
        <v>38315349</v>
      </c>
      <c r="BO670" t="s">
        <v>552</v>
      </c>
      <c r="BP670" t="s">
        <v>74</v>
      </c>
      <c r="BQ670" t="s">
        <v>74</v>
      </c>
      <c r="BR670" t="s">
        <v>102</v>
      </c>
      <c r="BS670" t="s">
        <v>12072</v>
      </c>
      <c r="BT670" t="str">
        <f>HYPERLINK("https%3A%2F%2Fwww.webofscience.com%2Fwos%2Fwoscc%2Ffull-record%2FWOS:001156481000001","View Full Record in Web of Science")</f>
        <v>View Full Record in Web of Science</v>
      </c>
    </row>
    <row r="671" spans="1:72" x14ac:dyDescent="0.35">
      <c r="A671" t="s">
        <v>72</v>
      </c>
      <c r="B671" t="s">
        <v>12073</v>
      </c>
      <c r="C671" t="s">
        <v>74</v>
      </c>
      <c r="D671" t="s">
        <v>74</v>
      </c>
      <c r="E671" t="s">
        <v>74</v>
      </c>
      <c r="F671" t="s">
        <v>12074</v>
      </c>
      <c r="G671" t="s">
        <v>74</v>
      </c>
      <c r="H671" t="s">
        <v>74</v>
      </c>
      <c r="I671" t="s">
        <v>12075</v>
      </c>
      <c r="J671" t="s">
        <v>12076</v>
      </c>
      <c r="K671" t="s">
        <v>74</v>
      </c>
      <c r="L671" t="s">
        <v>74</v>
      </c>
      <c r="M671" t="s">
        <v>78</v>
      </c>
      <c r="N671" t="s">
        <v>108</v>
      </c>
      <c r="O671" t="s">
        <v>74</v>
      </c>
      <c r="P671" t="s">
        <v>74</v>
      </c>
      <c r="Q671" t="s">
        <v>74</v>
      </c>
      <c r="R671" t="s">
        <v>74</v>
      </c>
      <c r="S671" t="s">
        <v>74</v>
      </c>
      <c r="T671" t="s">
        <v>12077</v>
      </c>
      <c r="U671" t="s">
        <v>74</v>
      </c>
      <c r="V671" t="s">
        <v>12078</v>
      </c>
      <c r="W671" t="s">
        <v>12079</v>
      </c>
      <c r="X671" t="s">
        <v>3147</v>
      </c>
      <c r="Y671" t="s">
        <v>12080</v>
      </c>
      <c r="Z671" t="s">
        <v>12081</v>
      </c>
      <c r="AA671" t="s">
        <v>74</v>
      </c>
      <c r="AB671" t="s">
        <v>12082</v>
      </c>
      <c r="AC671" t="s">
        <v>74</v>
      </c>
      <c r="AD671" t="s">
        <v>74</v>
      </c>
      <c r="AE671" t="s">
        <v>74</v>
      </c>
      <c r="AF671" t="s">
        <v>74</v>
      </c>
      <c r="AG671">
        <v>12</v>
      </c>
      <c r="AH671">
        <v>8</v>
      </c>
      <c r="AI671">
        <v>8</v>
      </c>
      <c r="AJ671">
        <v>1</v>
      </c>
      <c r="AK671">
        <v>15</v>
      </c>
      <c r="AL671" t="s">
        <v>665</v>
      </c>
      <c r="AM671" t="s">
        <v>666</v>
      </c>
      <c r="AN671" t="s">
        <v>667</v>
      </c>
      <c r="AO671" t="s">
        <v>12083</v>
      </c>
      <c r="AP671" t="s">
        <v>12084</v>
      </c>
      <c r="AQ671" t="s">
        <v>74</v>
      </c>
      <c r="AR671" t="s">
        <v>12085</v>
      </c>
      <c r="AS671" t="s">
        <v>12086</v>
      </c>
      <c r="AT671" t="s">
        <v>1484</v>
      </c>
      <c r="AU671">
        <v>2023</v>
      </c>
      <c r="AV671">
        <v>33</v>
      </c>
      <c r="AW671">
        <v>3</v>
      </c>
      <c r="AX671" t="s">
        <v>74</v>
      </c>
      <c r="AY671" t="s">
        <v>74</v>
      </c>
      <c r="AZ671" t="s">
        <v>74</v>
      </c>
      <c r="BA671" t="s">
        <v>74</v>
      </c>
      <c r="BB671">
        <v>714</v>
      </c>
      <c r="BC671">
        <v>719</v>
      </c>
      <c r="BD671" t="s">
        <v>74</v>
      </c>
      <c r="BE671" t="s">
        <v>12087</v>
      </c>
      <c r="BF671" t="str">
        <f>HYPERLINK("http://dx.doi.org/10.1007/s11695-022-06409-x","http://dx.doi.org/10.1007/s11695-022-06409-x")</f>
        <v>http://dx.doi.org/10.1007/s11695-022-06409-x</v>
      </c>
      <c r="BG671" t="s">
        <v>74</v>
      </c>
      <c r="BH671" t="s">
        <v>3638</v>
      </c>
      <c r="BI671">
        <v>6</v>
      </c>
      <c r="BJ671" t="s">
        <v>4994</v>
      </c>
      <c r="BK671" t="s">
        <v>209</v>
      </c>
      <c r="BL671" t="s">
        <v>4994</v>
      </c>
      <c r="BM671" t="s">
        <v>12088</v>
      </c>
      <c r="BN671">
        <v>36652187</v>
      </c>
      <c r="BO671" t="s">
        <v>3747</v>
      </c>
      <c r="BP671" t="s">
        <v>74</v>
      </c>
      <c r="BQ671" t="s">
        <v>74</v>
      </c>
      <c r="BR671" t="s">
        <v>102</v>
      </c>
      <c r="BS671" t="s">
        <v>12089</v>
      </c>
      <c r="BT671" t="str">
        <f>HYPERLINK("https%3A%2F%2Fwww.webofscience.com%2Fwos%2Fwoscc%2Ffull-record%2FWOS:000919364300001","View Full Record in Web of Science")</f>
        <v>View Full Record in Web of Science</v>
      </c>
    </row>
    <row r="672" spans="1:72" x14ac:dyDescent="0.35">
      <c r="A672" t="s">
        <v>72</v>
      </c>
      <c r="B672" t="s">
        <v>12090</v>
      </c>
      <c r="C672" t="s">
        <v>74</v>
      </c>
      <c r="D672" t="s">
        <v>74</v>
      </c>
      <c r="E672" t="s">
        <v>74</v>
      </c>
      <c r="F672" t="s">
        <v>12091</v>
      </c>
      <c r="G672" t="s">
        <v>74</v>
      </c>
      <c r="H672" t="s">
        <v>74</v>
      </c>
      <c r="I672" t="s">
        <v>12092</v>
      </c>
      <c r="J672" t="s">
        <v>12093</v>
      </c>
      <c r="K672" t="s">
        <v>74</v>
      </c>
      <c r="L672" t="s">
        <v>74</v>
      </c>
      <c r="M672" t="s">
        <v>78</v>
      </c>
      <c r="N672" t="s">
        <v>108</v>
      </c>
      <c r="O672" t="s">
        <v>74</v>
      </c>
      <c r="P672" t="s">
        <v>74</v>
      </c>
      <c r="Q672" t="s">
        <v>74</v>
      </c>
      <c r="R672" t="s">
        <v>74</v>
      </c>
      <c r="S672" t="s">
        <v>74</v>
      </c>
      <c r="T672" t="s">
        <v>12094</v>
      </c>
      <c r="U672" t="s">
        <v>12095</v>
      </c>
      <c r="V672" t="s">
        <v>12096</v>
      </c>
      <c r="W672" t="s">
        <v>12097</v>
      </c>
      <c r="X672" t="s">
        <v>74</v>
      </c>
      <c r="Y672" t="s">
        <v>12098</v>
      </c>
      <c r="Z672" t="s">
        <v>12099</v>
      </c>
      <c r="AA672" t="s">
        <v>12100</v>
      </c>
      <c r="AB672" t="s">
        <v>12101</v>
      </c>
      <c r="AC672" t="s">
        <v>74</v>
      </c>
      <c r="AD672" t="s">
        <v>74</v>
      </c>
      <c r="AE672" t="s">
        <v>74</v>
      </c>
      <c r="AF672" t="s">
        <v>74</v>
      </c>
      <c r="AG672">
        <v>49</v>
      </c>
      <c r="AH672">
        <v>1</v>
      </c>
      <c r="AI672">
        <v>1</v>
      </c>
      <c r="AJ672">
        <v>1</v>
      </c>
      <c r="AK672">
        <v>11</v>
      </c>
      <c r="AL672" t="s">
        <v>12102</v>
      </c>
      <c r="AM672" t="s">
        <v>12103</v>
      </c>
      <c r="AN672" t="s">
        <v>12104</v>
      </c>
      <c r="AO672" t="s">
        <v>12105</v>
      </c>
      <c r="AP672" t="s">
        <v>12106</v>
      </c>
      <c r="AQ672" t="s">
        <v>74</v>
      </c>
      <c r="AR672" t="s">
        <v>12107</v>
      </c>
      <c r="AS672" t="s">
        <v>12108</v>
      </c>
      <c r="AT672" t="s">
        <v>455</v>
      </c>
      <c r="AU672">
        <v>2022</v>
      </c>
      <c r="AV672">
        <v>30</v>
      </c>
      <c r="AW672">
        <v>3</v>
      </c>
      <c r="AX672" t="s">
        <v>74</v>
      </c>
      <c r="AY672" t="s">
        <v>74</v>
      </c>
      <c r="AZ672" t="s">
        <v>74</v>
      </c>
      <c r="BA672" t="s">
        <v>74</v>
      </c>
      <c r="BB672">
        <v>1263</v>
      </c>
      <c r="BC672">
        <v>1282</v>
      </c>
      <c r="BD672" t="s">
        <v>74</v>
      </c>
      <c r="BE672" t="s">
        <v>12109</v>
      </c>
      <c r="BF672" t="str">
        <f>HYPERLINK("http://dx.doi.org/10.47836/pjssh.30.3.18","http://dx.doi.org/10.47836/pjssh.30.3.18")</f>
        <v>http://dx.doi.org/10.47836/pjssh.30.3.18</v>
      </c>
      <c r="BG672" t="s">
        <v>74</v>
      </c>
      <c r="BH672" t="s">
        <v>74</v>
      </c>
      <c r="BI672">
        <v>20</v>
      </c>
      <c r="BJ672" t="s">
        <v>98</v>
      </c>
      <c r="BK672" t="s">
        <v>125</v>
      </c>
      <c r="BL672" t="s">
        <v>100</v>
      </c>
      <c r="BM672" t="s">
        <v>12110</v>
      </c>
      <c r="BN672" t="s">
        <v>74</v>
      </c>
      <c r="BO672" t="s">
        <v>156</v>
      </c>
      <c r="BP672" t="s">
        <v>74</v>
      </c>
      <c r="BQ672" t="s">
        <v>74</v>
      </c>
      <c r="BR672" t="s">
        <v>102</v>
      </c>
      <c r="BS672" t="s">
        <v>12111</v>
      </c>
      <c r="BT672" t="str">
        <f>HYPERLINK("https%3A%2F%2Fwww.webofscience.com%2Fwos%2Fwoscc%2Ffull-record%2FWOS:000871508300019","View Full Record in Web of Science")</f>
        <v>View Full Record in Web of Science</v>
      </c>
    </row>
    <row r="673" spans="1:72" x14ac:dyDescent="0.35">
      <c r="A673" t="s">
        <v>72</v>
      </c>
      <c r="B673" t="s">
        <v>12112</v>
      </c>
      <c r="C673" t="s">
        <v>74</v>
      </c>
      <c r="D673" t="s">
        <v>74</v>
      </c>
      <c r="E673" t="s">
        <v>74</v>
      </c>
      <c r="F673" t="s">
        <v>12113</v>
      </c>
      <c r="G673" t="s">
        <v>74</v>
      </c>
      <c r="H673" t="s">
        <v>74</v>
      </c>
      <c r="I673" t="s">
        <v>12114</v>
      </c>
      <c r="J673" t="s">
        <v>12115</v>
      </c>
      <c r="K673" t="s">
        <v>74</v>
      </c>
      <c r="L673" t="s">
        <v>74</v>
      </c>
      <c r="M673" t="s">
        <v>78</v>
      </c>
      <c r="N673" t="s">
        <v>79</v>
      </c>
      <c r="O673" t="s">
        <v>74</v>
      </c>
      <c r="P673" t="s">
        <v>74</v>
      </c>
      <c r="Q673" t="s">
        <v>74</v>
      </c>
      <c r="R673" t="s">
        <v>74</v>
      </c>
      <c r="S673" t="s">
        <v>74</v>
      </c>
      <c r="T673" t="s">
        <v>12116</v>
      </c>
      <c r="U673" t="s">
        <v>12117</v>
      </c>
      <c r="V673" t="s">
        <v>12118</v>
      </c>
      <c r="W673" t="s">
        <v>12119</v>
      </c>
      <c r="X673" t="s">
        <v>12120</v>
      </c>
      <c r="Y673" t="s">
        <v>12121</v>
      </c>
      <c r="Z673" t="s">
        <v>12122</v>
      </c>
      <c r="AA673" t="s">
        <v>12123</v>
      </c>
      <c r="AB673" t="s">
        <v>12124</v>
      </c>
      <c r="AC673" t="s">
        <v>74</v>
      </c>
      <c r="AD673" t="s">
        <v>74</v>
      </c>
      <c r="AE673" t="s">
        <v>74</v>
      </c>
      <c r="AF673" t="s">
        <v>74</v>
      </c>
      <c r="AG673">
        <v>25</v>
      </c>
      <c r="AH673">
        <v>1</v>
      </c>
      <c r="AI673">
        <v>1</v>
      </c>
      <c r="AJ673">
        <v>1</v>
      </c>
      <c r="AK673">
        <v>1</v>
      </c>
      <c r="AL673" t="s">
        <v>357</v>
      </c>
      <c r="AM673" t="s">
        <v>358</v>
      </c>
      <c r="AN673" t="s">
        <v>359</v>
      </c>
      <c r="AO673" t="s">
        <v>12125</v>
      </c>
      <c r="AP673" t="s">
        <v>12126</v>
      </c>
      <c r="AQ673" t="s">
        <v>74</v>
      </c>
      <c r="AR673" t="s">
        <v>12115</v>
      </c>
      <c r="AS673" t="s">
        <v>12127</v>
      </c>
      <c r="AT673" t="s">
        <v>12128</v>
      </c>
      <c r="AU673">
        <v>2023</v>
      </c>
      <c r="AV673" t="s">
        <v>74</v>
      </c>
      <c r="AW673" t="s">
        <v>74</v>
      </c>
      <c r="AX673" t="s">
        <v>74</v>
      </c>
      <c r="AY673" t="s">
        <v>74</v>
      </c>
      <c r="AZ673" t="s">
        <v>74</v>
      </c>
      <c r="BA673" t="s">
        <v>74</v>
      </c>
      <c r="BB673" t="s">
        <v>74</v>
      </c>
      <c r="BC673" t="s">
        <v>74</v>
      </c>
      <c r="BD673" t="s">
        <v>74</v>
      </c>
      <c r="BE673" t="s">
        <v>12129</v>
      </c>
      <c r="BF673" t="str">
        <f>HYPERLINK("http://dx.doi.org/10.1089/trgh.2022.0043","http://dx.doi.org/10.1089/trgh.2022.0043")</f>
        <v>http://dx.doi.org/10.1089/trgh.2022.0043</v>
      </c>
      <c r="BG673" t="s">
        <v>74</v>
      </c>
      <c r="BH673" t="s">
        <v>2929</v>
      </c>
      <c r="BI673">
        <v>11</v>
      </c>
      <c r="BJ673" t="s">
        <v>12130</v>
      </c>
      <c r="BK673" t="s">
        <v>182</v>
      </c>
      <c r="BL673" t="s">
        <v>12131</v>
      </c>
      <c r="BM673" t="s">
        <v>12132</v>
      </c>
      <c r="BN673" t="s">
        <v>74</v>
      </c>
      <c r="BO673" t="s">
        <v>74</v>
      </c>
      <c r="BP673" t="s">
        <v>74</v>
      </c>
      <c r="BQ673" t="s">
        <v>74</v>
      </c>
      <c r="BR673" t="s">
        <v>102</v>
      </c>
      <c r="BS673" t="s">
        <v>12133</v>
      </c>
      <c r="BT673" t="str">
        <f>HYPERLINK("https%3A%2F%2Fwww.webofscience.com%2Fwos%2Fwoscc%2Ffull-record%2FWOS:001170298100001","View Full Record in Web of Science")</f>
        <v>View Full Record in Web of Science</v>
      </c>
    </row>
    <row r="674" spans="1:72" x14ac:dyDescent="0.35">
      <c r="A674" t="s">
        <v>72</v>
      </c>
      <c r="B674" t="s">
        <v>7959</v>
      </c>
      <c r="C674" t="s">
        <v>74</v>
      </c>
      <c r="D674" t="s">
        <v>74</v>
      </c>
      <c r="E674" t="s">
        <v>74</v>
      </c>
      <c r="F674" t="s">
        <v>7959</v>
      </c>
      <c r="G674" t="s">
        <v>74</v>
      </c>
      <c r="H674" t="s">
        <v>74</v>
      </c>
      <c r="I674" t="s">
        <v>8267</v>
      </c>
      <c r="J674" t="s">
        <v>12134</v>
      </c>
      <c r="K674" t="s">
        <v>74</v>
      </c>
      <c r="L674" t="s">
        <v>74</v>
      </c>
      <c r="M674" t="s">
        <v>78</v>
      </c>
      <c r="N674" t="s">
        <v>8268</v>
      </c>
      <c r="O674" t="s">
        <v>74</v>
      </c>
      <c r="P674" t="s">
        <v>74</v>
      </c>
      <c r="Q674" t="s">
        <v>74</v>
      </c>
      <c r="R674" t="s">
        <v>74</v>
      </c>
      <c r="S674" t="s">
        <v>74</v>
      </c>
      <c r="T674" t="s">
        <v>74</v>
      </c>
      <c r="U674" t="s">
        <v>74</v>
      </c>
      <c r="V674" t="s">
        <v>74</v>
      </c>
      <c r="W674" t="s">
        <v>74</v>
      </c>
      <c r="X674" t="s">
        <v>74</v>
      </c>
      <c r="Y674" t="s">
        <v>74</v>
      </c>
      <c r="Z674" t="s">
        <v>74</v>
      </c>
      <c r="AA674" t="s">
        <v>74</v>
      </c>
      <c r="AB674" t="s">
        <v>74</v>
      </c>
      <c r="AC674" t="s">
        <v>74</v>
      </c>
      <c r="AD674" t="s">
        <v>74</v>
      </c>
      <c r="AE674" t="s">
        <v>74</v>
      </c>
      <c r="AF674" t="s">
        <v>74</v>
      </c>
      <c r="AG674">
        <v>1</v>
      </c>
      <c r="AH674">
        <v>0</v>
      </c>
      <c r="AI674">
        <v>0</v>
      </c>
      <c r="AJ674">
        <v>2</v>
      </c>
      <c r="AK674">
        <v>7</v>
      </c>
      <c r="AL674" t="s">
        <v>171</v>
      </c>
      <c r="AM674" t="s">
        <v>172</v>
      </c>
      <c r="AN674" t="s">
        <v>173</v>
      </c>
      <c r="AO674" t="s">
        <v>12135</v>
      </c>
      <c r="AP674" t="s">
        <v>12136</v>
      </c>
      <c r="AQ674" t="s">
        <v>74</v>
      </c>
      <c r="AR674" t="s">
        <v>12137</v>
      </c>
      <c r="AS674" t="s">
        <v>12138</v>
      </c>
      <c r="AT674" t="s">
        <v>1484</v>
      </c>
      <c r="AU674">
        <v>2023</v>
      </c>
      <c r="AV674">
        <v>37</v>
      </c>
      <c r="AW674">
        <v>1</v>
      </c>
      <c r="AX674" t="s">
        <v>74</v>
      </c>
      <c r="AY674" t="s">
        <v>74</v>
      </c>
      <c r="AZ674" t="s">
        <v>74</v>
      </c>
      <c r="BA674" t="s">
        <v>74</v>
      </c>
      <c r="BB674">
        <v>152</v>
      </c>
      <c r="BC674">
        <v>153</v>
      </c>
      <c r="BD674" t="s">
        <v>74</v>
      </c>
      <c r="BE674" t="s">
        <v>12139</v>
      </c>
      <c r="BF674" t="str">
        <f>HYPERLINK("http://dx.doi.org/10.1177/0920203X231156977e","http://dx.doi.org/10.1177/0920203X231156977e")</f>
        <v>http://dx.doi.org/10.1177/0920203X231156977e</v>
      </c>
      <c r="BG674" t="s">
        <v>74</v>
      </c>
      <c r="BH674" t="s">
        <v>74</v>
      </c>
      <c r="BI674">
        <v>2</v>
      </c>
      <c r="BJ674" t="s">
        <v>5420</v>
      </c>
      <c r="BK674" t="s">
        <v>99</v>
      </c>
      <c r="BL674" t="s">
        <v>5420</v>
      </c>
      <c r="BM674" t="s">
        <v>12140</v>
      </c>
      <c r="BN674" t="s">
        <v>74</v>
      </c>
      <c r="BO674" t="s">
        <v>74</v>
      </c>
      <c r="BP674" t="s">
        <v>74</v>
      </c>
      <c r="BQ674" t="s">
        <v>74</v>
      </c>
      <c r="BR674" t="s">
        <v>102</v>
      </c>
      <c r="BS674" t="s">
        <v>12141</v>
      </c>
      <c r="BT674" t="str">
        <f>HYPERLINK("https%3A%2F%2Fwww.webofscience.com%2Fwos%2Fwoscc%2Ffull-record%2FWOS:001098372900008","View Full Record in Web of Science")</f>
        <v>View Full Record in Web of Science</v>
      </c>
    </row>
    <row r="675" spans="1:72" x14ac:dyDescent="0.35">
      <c r="A675" t="s">
        <v>8845</v>
      </c>
      <c r="B675" t="s">
        <v>12142</v>
      </c>
      <c r="C675" t="s">
        <v>12142</v>
      </c>
      <c r="D675" t="s">
        <v>74</v>
      </c>
      <c r="E675" t="s">
        <v>74</v>
      </c>
      <c r="F675" t="s">
        <v>12143</v>
      </c>
      <c r="G675" t="s">
        <v>12142</v>
      </c>
      <c r="H675" t="s">
        <v>74</v>
      </c>
      <c r="I675" t="s">
        <v>12144</v>
      </c>
      <c r="J675" t="s">
        <v>12145</v>
      </c>
      <c r="K675" t="s">
        <v>74</v>
      </c>
      <c r="L675" t="s">
        <v>74</v>
      </c>
      <c r="M675" t="s">
        <v>78</v>
      </c>
      <c r="N675" t="s">
        <v>4953</v>
      </c>
      <c r="O675" t="s">
        <v>74</v>
      </c>
      <c r="P675" t="s">
        <v>74</v>
      </c>
      <c r="Q675" t="s">
        <v>74</v>
      </c>
      <c r="R675" t="s">
        <v>74</v>
      </c>
      <c r="S675" t="s">
        <v>74</v>
      </c>
      <c r="T675" t="s">
        <v>74</v>
      </c>
      <c r="U675" t="s">
        <v>74</v>
      </c>
      <c r="V675" t="s">
        <v>74</v>
      </c>
      <c r="W675" t="s">
        <v>74</v>
      </c>
      <c r="X675" t="s">
        <v>74</v>
      </c>
      <c r="Y675" t="s">
        <v>74</v>
      </c>
      <c r="Z675" t="s">
        <v>74</v>
      </c>
      <c r="AA675" t="s">
        <v>74</v>
      </c>
      <c r="AB675" t="s">
        <v>74</v>
      </c>
      <c r="AC675" t="s">
        <v>74</v>
      </c>
      <c r="AD675" t="s">
        <v>74</v>
      </c>
      <c r="AE675" t="s">
        <v>74</v>
      </c>
      <c r="AF675" t="s">
        <v>74</v>
      </c>
      <c r="AG675">
        <v>0</v>
      </c>
      <c r="AH675">
        <v>0</v>
      </c>
      <c r="AI675">
        <v>0</v>
      </c>
      <c r="AJ675">
        <v>0</v>
      </c>
      <c r="AK675">
        <v>0</v>
      </c>
      <c r="AL675" t="s">
        <v>12146</v>
      </c>
      <c r="AM675" t="s">
        <v>12147</v>
      </c>
      <c r="AN675" t="s">
        <v>12148</v>
      </c>
      <c r="AO675" t="s">
        <v>74</v>
      </c>
      <c r="AP675" t="s">
        <v>74</v>
      </c>
      <c r="AQ675" t="s">
        <v>12149</v>
      </c>
      <c r="AR675" t="s">
        <v>74</v>
      </c>
      <c r="AS675" t="s">
        <v>74</v>
      </c>
      <c r="AT675" t="s">
        <v>74</v>
      </c>
      <c r="AU675">
        <v>2023</v>
      </c>
      <c r="AV675" t="s">
        <v>74</v>
      </c>
      <c r="AW675" t="s">
        <v>74</v>
      </c>
      <c r="AX675" t="s">
        <v>74</v>
      </c>
      <c r="AY675" t="s">
        <v>74</v>
      </c>
      <c r="AZ675" t="s">
        <v>74</v>
      </c>
      <c r="BA675" t="s">
        <v>74</v>
      </c>
      <c r="BB675">
        <v>247</v>
      </c>
      <c r="BC675">
        <v>261</v>
      </c>
      <c r="BD675" t="s">
        <v>74</v>
      </c>
      <c r="BE675" t="s">
        <v>74</v>
      </c>
      <c r="BF675" t="s">
        <v>74</v>
      </c>
      <c r="BG675" t="s">
        <v>74</v>
      </c>
      <c r="BH675" t="s">
        <v>74</v>
      </c>
      <c r="BI675">
        <v>15</v>
      </c>
      <c r="BJ675" t="s">
        <v>12150</v>
      </c>
      <c r="BK675" t="s">
        <v>8862</v>
      </c>
      <c r="BL675" t="s">
        <v>12151</v>
      </c>
      <c r="BM675" t="s">
        <v>12152</v>
      </c>
      <c r="BN675" t="s">
        <v>74</v>
      </c>
      <c r="BO675" t="s">
        <v>74</v>
      </c>
      <c r="BP675" t="s">
        <v>74</v>
      </c>
      <c r="BQ675" t="s">
        <v>74</v>
      </c>
      <c r="BR675" t="s">
        <v>102</v>
      </c>
      <c r="BS675" t="s">
        <v>12153</v>
      </c>
      <c r="BT675" t="str">
        <f>HYPERLINK("https%3A%2F%2Fwww.webofscience.com%2Fwos%2Fwoscc%2Ffull-record%2FWOS:001094889100013","View Full Record in Web of Science")</f>
        <v>View Full Record in Web of Science</v>
      </c>
    </row>
    <row r="676" spans="1:72" x14ac:dyDescent="0.35">
      <c r="A676" t="s">
        <v>72</v>
      </c>
      <c r="B676" t="s">
        <v>12154</v>
      </c>
      <c r="C676" t="s">
        <v>74</v>
      </c>
      <c r="D676" t="s">
        <v>74</v>
      </c>
      <c r="E676" t="s">
        <v>74</v>
      </c>
      <c r="F676" t="s">
        <v>12155</v>
      </c>
      <c r="G676" t="s">
        <v>74</v>
      </c>
      <c r="H676" t="s">
        <v>74</v>
      </c>
      <c r="I676" t="s">
        <v>12156</v>
      </c>
      <c r="J676" t="s">
        <v>2159</v>
      </c>
      <c r="K676" t="s">
        <v>74</v>
      </c>
      <c r="L676" t="s">
        <v>74</v>
      </c>
      <c r="M676" t="s">
        <v>78</v>
      </c>
      <c r="N676" t="s">
        <v>108</v>
      </c>
      <c r="O676" t="s">
        <v>74</v>
      </c>
      <c r="P676" t="s">
        <v>74</v>
      </c>
      <c r="Q676" t="s">
        <v>74</v>
      </c>
      <c r="R676" t="s">
        <v>74</v>
      </c>
      <c r="S676" t="s">
        <v>74</v>
      </c>
      <c r="T676" t="s">
        <v>74</v>
      </c>
      <c r="U676" t="s">
        <v>74</v>
      </c>
      <c r="V676" t="s">
        <v>74</v>
      </c>
      <c r="W676" t="s">
        <v>12157</v>
      </c>
      <c r="X676" t="s">
        <v>9831</v>
      </c>
      <c r="Y676" t="s">
        <v>12158</v>
      </c>
      <c r="Z676" t="s">
        <v>12159</v>
      </c>
      <c r="AA676" t="s">
        <v>12160</v>
      </c>
      <c r="AB676" t="s">
        <v>74</v>
      </c>
      <c r="AC676" t="s">
        <v>74</v>
      </c>
      <c r="AD676" t="s">
        <v>74</v>
      </c>
      <c r="AE676" t="s">
        <v>74</v>
      </c>
      <c r="AF676" t="s">
        <v>74</v>
      </c>
      <c r="AG676">
        <v>6</v>
      </c>
      <c r="AH676">
        <v>21</v>
      </c>
      <c r="AI676">
        <v>26</v>
      </c>
      <c r="AJ676">
        <v>0</v>
      </c>
      <c r="AK676">
        <v>18</v>
      </c>
      <c r="AL676" t="s">
        <v>88</v>
      </c>
      <c r="AM676" t="s">
        <v>89</v>
      </c>
      <c r="AN676" t="s">
        <v>90</v>
      </c>
      <c r="AO676" t="s">
        <v>2169</v>
      </c>
      <c r="AP676" t="s">
        <v>2170</v>
      </c>
      <c r="AQ676" t="s">
        <v>74</v>
      </c>
      <c r="AR676" t="s">
        <v>2171</v>
      </c>
      <c r="AS676" t="s">
        <v>2172</v>
      </c>
      <c r="AT676" t="s">
        <v>2323</v>
      </c>
      <c r="AU676">
        <v>2021</v>
      </c>
      <c r="AV676">
        <v>21</v>
      </c>
      <c r="AW676">
        <v>1</v>
      </c>
      <c r="AX676" t="s">
        <v>74</v>
      </c>
      <c r="AY676" t="s">
        <v>74</v>
      </c>
      <c r="AZ676" t="s">
        <v>74</v>
      </c>
      <c r="BA676" t="s">
        <v>74</v>
      </c>
      <c r="BB676">
        <v>154</v>
      </c>
      <c r="BC676">
        <v>156</v>
      </c>
      <c r="BD676" t="s">
        <v>74</v>
      </c>
      <c r="BE676" t="s">
        <v>12161</v>
      </c>
      <c r="BF676" t="str">
        <f>HYPERLINK("http://dx.doi.org/10.1080/14680777.2021.1864875","http://dx.doi.org/10.1080/14680777.2021.1864875")</f>
        <v>http://dx.doi.org/10.1080/14680777.2021.1864875</v>
      </c>
      <c r="BG676" t="s">
        <v>74</v>
      </c>
      <c r="BH676" t="s">
        <v>4780</v>
      </c>
      <c r="BI676">
        <v>3</v>
      </c>
      <c r="BJ676" t="s">
        <v>2176</v>
      </c>
      <c r="BK676" t="s">
        <v>99</v>
      </c>
      <c r="BL676" t="s">
        <v>2176</v>
      </c>
      <c r="BM676" t="s">
        <v>12162</v>
      </c>
      <c r="BN676" t="s">
        <v>74</v>
      </c>
      <c r="BO676" t="s">
        <v>74</v>
      </c>
      <c r="BP676" t="s">
        <v>74</v>
      </c>
      <c r="BQ676" t="s">
        <v>74</v>
      </c>
      <c r="BR676" t="s">
        <v>102</v>
      </c>
      <c r="BS676" t="s">
        <v>12163</v>
      </c>
      <c r="BT676" t="str">
        <f>HYPERLINK("https%3A%2F%2Fwww.webofscience.com%2Fwos%2Fwoscc%2Ffull-record%2FWOS:000600458400001","View Full Record in Web of Science")</f>
        <v>View Full Record in Web of Science</v>
      </c>
    </row>
    <row r="677" spans="1:72" x14ac:dyDescent="0.35">
      <c r="A677" t="s">
        <v>72</v>
      </c>
      <c r="B677" t="s">
        <v>12164</v>
      </c>
      <c r="C677" t="s">
        <v>74</v>
      </c>
      <c r="D677" t="s">
        <v>74</v>
      </c>
      <c r="E677" t="s">
        <v>74</v>
      </c>
      <c r="F677" t="s">
        <v>12165</v>
      </c>
      <c r="G677" t="s">
        <v>74</v>
      </c>
      <c r="H677" t="s">
        <v>74</v>
      </c>
      <c r="I677" t="s">
        <v>12166</v>
      </c>
      <c r="J677" t="s">
        <v>12167</v>
      </c>
      <c r="K677" t="s">
        <v>74</v>
      </c>
      <c r="L677" t="s">
        <v>74</v>
      </c>
      <c r="M677" t="s">
        <v>78</v>
      </c>
      <c r="N677" t="s">
        <v>108</v>
      </c>
      <c r="O677" t="s">
        <v>74</v>
      </c>
      <c r="P677" t="s">
        <v>74</v>
      </c>
      <c r="Q677" t="s">
        <v>74</v>
      </c>
      <c r="R677" t="s">
        <v>74</v>
      </c>
      <c r="S677" t="s">
        <v>74</v>
      </c>
      <c r="T677" t="s">
        <v>12168</v>
      </c>
      <c r="U677" t="s">
        <v>12169</v>
      </c>
      <c r="V677" t="s">
        <v>12170</v>
      </c>
      <c r="W677" t="s">
        <v>12171</v>
      </c>
      <c r="X677" t="s">
        <v>12172</v>
      </c>
      <c r="Y677" t="s">
        <v>12173</v>
      </c>
      <c r="Z677" t="s">
        <v>74</v>
      </c>
      <c r="AA677" t="s">
        <v>74</v>
      </c>
      <c r="AB677" t="s">
        <v>74</v>
      </c>
      <c r="AC677" t="s">
        <v>74</v>
      </c>
      <c r="AD677" t="s">
        <v>74</v>
      </c>
      <c r="AE677" t="s">
        <v>74</v>
      </c>
      <c r="AF677" t="s">
        <v>74</v>
      </c>
      <c r="AG677">
        <v>34</v>
      </c>
      <c r="AH677">
        <v>0</v>
      </c>
      <c r="AI677">
        <v>0</v>
      </c>
      <c r="AJ677">
        <v>3</v>
      </c>
      <c r="AK677">
        <v>7</v>
      </c>
      <c r="AL677" t="s">
        <v>12174</v>
      </c>
      <c r="AM677" t="s">
        <v>12175</v>
      </c>
      <c r="AN677" t="s">
        <v>12176</v>
      </c>
      <c r="AO677" t="s">
        <v>12177</v>
      </c>
      <c r="AP677" t="s">
        <v>12178</v>
      </c>
      <c r="AQ677" t="s">
        <v>74</v>
      </c>
      <c r="AR677" t="s">
        <v>12179</v>
      </c>
      <c r="AS677" t="s">
        <v>12180</v>
      </c>
      <c r="AT677" t="s">
        <v>232</v>
      </c>
      <c r="AU677">
        <v>2024</v>
      </c>
      <c r="AV677" t="s">
        <v>74</v>
      </c>
      <c r="AW677">
        <v>27</v>
      </c>
      <c r="AX677" t="s">
        <v>74</v>
      </c>
      <c r="AY677" t="s">
        <v>74</v>
      </c>
      <c r="AZ677" t="s">
        <v>74</v>
      </c>
      <c r="BA677" t="s">
        <v>74</v>
      </c>
      <c r="BB677">
        <v>79</v>
      </c>
      <c r="BC677">
        <v>104</v>
      </c>
      <c r="BD677" t="s">
        <v>74</v>
      </c>
      <c r="BE677" t="s">
        <v>12181</v>
      </c>
      <c r="BF677" t="str">
        <f>HYPERLINK("http://dx.doi.org/10.6035/adcomunica.7812","http://dx.doi.org/10.6035/adcomunica.7812")</f>
        <v>http://dx.doi.org/10.6035/adcomunica.7812</v>
      </c>
      <c r="BG677" t="s">
        <v>74</v>
      </c>
      <c r="BH677" t="s">
        <v>74</v>
      </c>
      <c r="BI677">
        <v>26</v>
      </c>
      <c r="BJ677" t="s">
        <v>124</v>
      </c>
      <c r="BK677" t="s">
        <v>125</v>
      </c>
      <c r="BL677" t="s">
        <v>124</v>
      </c>
      <c r="BM677" t="s">
        <v>12182</v>
      </c>
      <c r="BN677" t="s">
        <v>74</v>
      </c>
      <c r="BO677" t="s">
        <v>3287</v>
      </c>
      <c r="BP677" t="s">
        <v>74</v>
      </c>
      <c r="BQ677" t="s">
        <v>74</v>
      </c>
      <c r="BR677" t="s">
        <v>102</v>
      </c>
      <c r="BS677" t="s">
        <v>12183</v>
      </c>
      <c r="BT677" t="str">
        <f>HYPERLINK("https%3A%2F%2Fwww.webofscience.com%2Fwos%2Fwoscc%2Ffull-record%2FWOS:001159190300006","View Full Record in Web of Science")</f>
        <v>View Full Record in Web of Science</v>
      </c>
    </row>
    <row r="678" spans="1:72" x14ac:dyDescent="0.35">
      <c r="A678" t="s">
        <v>72</v>
      </c>
      <c r="B678" t="s">
        <v>12184</v>
      </c>
      <c r="C678" t="s">
        <v>74</v>
      </c>
      <c r="D678" t="s">
        <v>74</v>
      </c>
      <c r="E678" t="s">
        <v>74</v>
      </c>
      <c r="F678" t="s">
        <v>12185</v>
      </c>
      <c r="G678" t="s">
        <v>74</v>
      </c>
      <c r="H678" t="s">
        <v>74</v>
      </c>
      <c r="I678" t="s">
        <v>12186</v>
      </c>
      <c r="J678" t="s">
        <v>12187</v>
      </c>
      <c r="K678" t="s">
        <v>74</v>
      </c>
      <c r="L678" t="s">
        <v>74</v>
      </c>
      <c r="M678" t="s">
        <v>78</v>
      </c>
      <c r="N678" t="s">
        <v>8268</v>
      </c>
      <c r="O678" t="s">
        <v>74</v>
      </c>
      <c r="P678" t="s">
        <v>74</v>
      </c>
      <c r="Q678" t="s">
        <v>74</v>
      </c>
      <c r="R678" t="s">
        <v>74</v>
      </c>
      <c r="S678" t="s">
        <v>74</v>
      </c>
      <c r="T678" t="s">
        <v>74</v>
      </c>
      <c r="U678" t="s">
        <v>74</v>
      </c>
      <c r="V678" t="s">
        <v>74</v>
      </c>
      <c r="W678" t="s">
        <v>12188</v>
      </c>
      <c r="X678" t="s">
        <v>12189</v>
      </c>
      <c r="Y678" t="s">
        <v>12190</v>
      </c>
      <c r="Z678" t="s">
        <v>12191</v>
      </c>
      <c r="AA678" t="s">
        <v>74</v>
      </c>
      <c r="AB678" t="s">
        <v>74</v>
      </c>
      <c r="AC678" t="s">
        <v>74</v>
      </c>
      <c r="AD678" t="s">
        <v>74</v>
      </c>
      <c r="AE678" t="s">
        <v>74</v>
      </c>
      <c r="AF678" t="s">
        <v>74</v>
      </c>
      <c r="AG678">
        <v>4</v>
      </c>
      <c r="AH678">
        <v>0</v>
      </c>
      <c r="AI678">
        <v>0</v>
      </c>
      <c r="AJ678">
        <v>1</v>
      </c>
      <c r="AK678">
        <v>1</v>
      </c>
      <c r="AL678" t="s">
        <v>8832</v>
      </c>
      <c r="AM678" t="s">
        <v>8833</v>
      </c>
      <c r="AN678" t="s">
        <v>8834</v>
      </c>
      <c r="AO678" t="s">
        <v>12192</v>
      </c>
      <c r="AP678" t="s">
        <v>12193</v>
      </c>
      <c r="AQ678" t="s">
        <v>74</v>
      </c>
      <c r="AR678" t="s">
        <v>12194</v>
      </c>
      <c r="AS678" t="s">
        <v>12195</v>
      </c>
      <c r="AT678" t="s">
        <v>1484</v>
      </c>
      <c r="AU678">
        <v>2024</v>
      </c>
      <c r="AV678">
        <v>36</v>
      </c>
      <c r="AW678">
        <v>1</v>
      </c>
      <c r="AX678" t="s">
        <v>74</v>
      </c>
      <c r="AY678" t="s">
        <v>74</v>
      </c>
      <c r="AZ678" t="s">
        <v>74</v>
      </c>
      <c r="BA678" t="s">
        <v>74</v>
      </c>
      <c r="BB678">
        <v>156</v>
      </c>
      <c r="BC678">
        <v>159</v>
      </c>
      <c r="BD678" t="s">
        <v>74</v>
      </c>
      <c r="BE678" t="s">
        <v>12196</v>
      </c>
      <c r="BF678" t="str">
        <f>HYPERLINK("http://dx.doi.org/10.1525/jpms.2024.36.1.156","http://dx.doi.org/10.1525/jpms.2024.36.1.156")</f>
        <v>http://dx.doi.org/10.1525/jpms.2024.36.1.156</v>
      </c>
      <c r="BG678" t="s">
        <v>74</v>
      </c>
      <c r="BH678" t="s">
        <v>74</v>
      </c>
      <c r="BI678">
        <v>4</v>
      </c>
      <c r="BJ678" t="s">
        <v>6991</v>
      </c>
      <c r="BK678" t="s">
        <v>316</v>
      </c>
      <c r="BL678" t="s">
        <v>6991</v>
      </c>
      <c r="BM678" t="s">
        <v>12197</v>
      </c>
      <c r="BN678" t="s">
        <v>74</v>
      </c>
      <c r="BO678" t="s">
        <v>74</v>
      </c>
      <c r="BP678" t="s">
        <v>74</v>
      </c>
      <c r="BQ678" t="s">
        <v>74</v>
      </c>
      <c r="BR678" t="s">
        <v>102</v>
      </c>
      <c r="BS678" t="s">
        <v>12198</v>
      </c>
      <c r="BT678" t="str">
        <f>HYPERLINK("https%3A%2F%2Fwww.webofscience.com%2Fwos%2Fwoscc%2Ffull-record%2FWOS:001221784000008","View Full Record in Web of Science")</f>
        <v>View Full Record in Web of Science</v>
      </c>
    </row>
    <row r="679" spans="1:72" x14ac:dyDescent="0.35">
      <c r="A679" t="s">
        <v>72</v>
      </c>
      <c r="B679" t="s">
        <v>12199</v>
      </c>
      <c r="C679" t="s">
        <v>74</v>
      </c>
      <c r="D679" t="s">
        <v>74</v>
      </c>
      <c r="E679" t="s">
        <v>74</v>
      </c>
      <c r="F679" t="s">
        <v>12200</v>
      </c>
      <c r="G679" t="s">
        <v>74</v>
      </c>
      <c r="H679" t="s">
        <v>74</v>
      </c>
      <c r="I679" t="s">
        <v>12201</v>
      </c>
      <c r="J679" t="s">
        <v>12202</v>
      </c>
      <c r="K679" t="s">
        <v>74</v>
      </c>
      <c r="L679" t="s">
        <v>74</v>
      </c>
      <c r="M679" t="s">
        <v>78</v>
      </c>
      <c r="N679" t="s">
        <v>52</v>
      </c>
      <c r="O679" t="s">
        <v>12203</v>
      </c>
      <c r="P679" t="s">
        <v>12204</v>
      </c>
      <c r="Q679" t="s">
        <v>6651</v>
      </c>
      <c r="R679" t="s">
        <v>12205</v>
      </c>
      <c r="S679" t="s">
        <v>74</v>
      </c>
      <c r="T679" t="s">
        <v>74</v>
      </c>
      <c r="U679" t="s">
        <v>74</v>
      </c>
      <c r="V679" t="s">
        <v>74</v>
      </c>
      <c r="W679" t="s">
        <v>12206</v>
      </c>
      <c r="X679" t="s">
        <v>10898</v>
      </c>
      <c r="Y679" t="s">
        <v>74</v>
      </c>
      <c r="Z679" t="s">
        <v>74</v>
      </c>
      <c r="AA679" t="s">
        <v>12207</v>
      </c>
      <c r="AB679" t="s">
        <v>74</v>
      </c>
      <c r="AC679" t="s">
        <v>74</v>
      </c>
      <c r="AD679" t="s">
        <v>74</v>
      </c>
      <c r="AE679" t="s">
        <v>74</v>
      </c>
      <c r="AF679" t="s">
        <v>74</v>
      </c>
      <c r="AG679">
        <v>0</v>
      </c>
      <c r="AH679">
        <v>0</v>
      </c>
      <c r="AI679">
        <v>0</v>
      </c>
      <c r="AJ679">
        <v>0</v>
      </c>
      <c r="AK679">
        <v>0</v>
      </c>
      <c r="AL679" t="s">
        <v>1965</v>
      </c>
      <c r="AM679" t="s">
        <v>666</v>
      </c>
      <c r="AN679" t="s">
        <v>1966</v>
      </c>
      <c r="AO679" t="s">
        <v>12208</v>
      </c>
      <c r="AP679" t="s">
        <v>12209</v>
      </c>
      <c r="AQ679" t="s">
        <v>74</v>
      </c>
      <c r="AR679" t="s">
        <v>12210</v>
      </c>
      <c r="AS679" t="s">
        <v>12211</v>
      </c>
      <c r="AT679" t="s">
        <v>594</v>
      </c>
      <c r="AU679">
        <v>2023</v>
      </c>
      <c r="AV679">
        <v>120</v>
      </c>
      <c r="AW679">
        <v>4</v>
      </c>
      <c r="AX679" t="s">
        <v>74</v>
      </c>
      <c r="AY679" t="s">
        <v>4946</v>
      </c>
      <c r="AZ679" t="s">
        <v>74</v>
      </c>
      <c r="BA679" t="s">
        <v>12212</v>
      </c>
      <c r="BB679" t="s">
        <v>12213</v>
      </c>
      <c r="BC679" t="s">
        <v>12213</v>
      </c>
      <c r="BD679" t="s">
        <v>74</v>
      </c>
      <c r="BE679" t="s">
        <v>74</v>
      </c>
      <c r="BF679" t="s">
        <v>74</v>
      </c>
      <c r="BG679" t="s">
        <v>74</v>
      </c>
      <c r="BH679" t="s">
        <v>74</v>
      </c>
      <c r="BI679">
        <v>1</v>
      </c>
      <c r="BJ679" t="s">
        <v>11405</v>
      </c>
      <c r="BK679" t="s">
        <v>2257</v>
      </c>
      <c r="BL679" t="s">
        <v>11405</v>
      </c>
      <c r="BM679" t="s">
        <v>12214</v>
      </c>
      <c r="BN679" t="s">
        <v>74</v>
      </c>
      <c r="BO679" t="s">
        <v>74</v>
      </c>
      <c r="BP679" t="s">
        <v>74</v>
      </c>
      <c r="BQ679" t="s">
        <v>74</v>
      </c>
      <c r="BR679" t="s">
        <v>102</v>
      </c>
      <c r="BS679" t="s">
        <v>12215</v>
      </c>
      <c r="BT679" t="str">
        <f>HYPERLINK("https%3A%2F%2Fwww.webofscience.com%2Fwos%2Fwoscc%2Ffull-record%2FWOS:001084670200115","View Full Record in Web of Science")</f>
        <v>View Full Record in Web of Science</v>
      </c>
    </row>
    <row r="680" spans="1:72" x14ac:dyDescent="0.35">
      <c r="A680" t="s">
        <v>72</v>
      </c>
      <c r="B680" t="s">
        <v>12216</v>
      </c>
      <c r="C680" t="s">
        <v>74</v>
      </c>
      <c r="D680" t="s">
        <v>74</v>
      </c>
      <c r="E680" t="s">
        <v>74</v>
      </c>
      <c r="F680" t="s">
        <v>12217</v>
      </c>
      <c r="G680" t="s">
        <v>74</v>
      </c>
      <c r="H680" t="s">
        <v>74</v>
      </c>
      <c r="I680" t="s">
        <v>12218</v>
      </c>
      <c r="J680" t="s">
        <v>12219</v>
      </c>
      <c r="K680" t="s">
        <v>74</v>
      </c>
      <c r="L680" t="s">
        <v>74</v>
      </c>
      <c r="M680" t="s">
        <v>78</v>
      </c>
      <c r="N680" t="s">
        <v>1328</v>
      </c>
      <c r="O680" t="s">
        <v>74</v>
      </c>
      <c r="P680" t="s">
        <v>74</v>
      </c>
      <c r="Q680" t="s">
        <v>74</v>
      </c>
      <c r="R680" t="s">
        <v>74</v>
      </c>
      <c r="S680" t="s">
        <v>74</v>
      </c>
      <c r="T680" t="s">
        <v>74</v>
      </c>
      <c r="U680" t="s">
        <v>74</v>
      </c>
      <c r="V680" t="s">
        <v>74</v>
      </c>
      <c r="W680" t="s">
        <v>12220</v>
      </c>
      <c r="X680" t="s">
        <v>12221</v>
      </c>
      <c r="Y680" t="s">
        <v>12222</v>
      </c>
      <c r="Z680" t="s">
        <v>12223</v>
      </c>
      <c r="AA680" t="s">
        <v>74</v>
      </c>
      <c r="AB680" t="s">
        <v>12224</v>
      </c>
      <c r="AC680" t="s">
        <v>12225</v>
      </c>
      <c r="AD680" t="s">
        <v>12225</v>
      </c>
      <c r="AE680" t="s">
        <v>12225</v>
      </c>
      <c r="AF680" t="s">
        <v>74</v>
      </c>
      <c r="AG680">
        <v>3</v>
      </c>
      <c r="AH680">
        <v>0</v>
      </c>
      <c r="AI680">
        <v>0</v>
      </c>
      <c r="AJ680">
        <v>1</v>
      </c>
      <c r="AK680">
        <v>1</v>
      </c>
      <c r="AL680" t="s">
        <v>251</v>
      </c>
      <c r="AM680" t="s">
        <v>252</v>
      </c>
      <c r="AN680" t="s">
        <v>253</v>
      </c>
      <c r="AO680" t="s">
        <v>12226</v>
      </c>
      <c r="AP680" t="s">
        <v>12227</v>
      </c>
      <c r="AQ680" t="s">
        <v>74</v>
      </c>
      <c r="AR680" t="s">
        <v>12228</v>
      </c>
      <c r="AS680" t="s">
        <v>12229</v>
      </c>
      <c r="AT680" t="s">
        <v>523</v>
      </c>
      <c r="AU680">
        <v>2023</v>
      </c>
      <c r="AV680">
        <v>64</v>
      </c>
      <c r="AW680">
        <v>4</v>
      </c>
      <c r="AX680" t="s">
        <v>74</v>
      </c>
      <c r="AY680" t="s">
        <v>74</v>
      </c>
      <c r="AZ680" t="s">
        <v>74</v>
      </c>
      <c r="BA680" t="s">
        <v>74</v>
      </c>
      <c r="BB680" t="s">
        <v>12230</v>
      </c>
      <c r="BC680" t="s">
        <v>12231</v>
      </c>
      <c r="BD680" t="s">
        <v>74</v>
      </c>
      <c r="BE680" t="s">
        <v>12232</v>
      </c>
      <c r="BF680" t="str">
        <f>HYPERLINK("http://dx.doi.org/10.1111/ajd.14149","http://dx.doi.org/10.1111/ajd.14149")</f>
        <v>http://dx.doi.org/10.1111/ajd.14149</v>
      </c>
      <c r="BG680" t="s">
        <v>74</v>
      </c>
      <c r="BH680" t="s">
        <v>2929</v>
      </c>
      <c r="BI680">
        <v>3</v>
      </c>
      <c r="BJ680" t="s">
        <v>1341</v>
      </c>
      <c r="BK680" t="s">
        <v>209</v>
      </c>
      <c r="BL680" t="s">
        <v>1341</v>
      </c>
      <c r="BM680" t="s">
        <v>12233</v>
      </c>
      <c r="BN680">
        <v>37665128</v>
      </c>
      <c r="BO680" t="s">
        <v>767</v>
      </c>
      <c r="BP680" t="s">
        <v>74</v>
      </c>
      <c r="BQ680" t="s">
        <v>74</v>
      </c>
      <c r="BR680" t="s">
        <v>102</v>
      </c>
      <c r="BS680" t="s">
        <v>12234</v>
      </c>
      <c r="BT680" t="str">
        <f>HYPERLINK("https%3A%2F%2Fwww.webofscience.com%2Fwos%2Fwoscc%2Ffull-record%2FWOS:001061023400001","View Full Record in Web of Science")</f>
        <v>View Full Record in Web of Science</v>
      </c>
    </row>
    <row r="681" spans="1:72" x14ac:dyDescent="0.35">
      <c r="A681" t="s">
        <v>72</v>
      </c>
      <c r="B681" t="s">
        <v>12235</v>
      </c>
      <c r="C681" t="s">
        <v>74</v>
      </c>
      <c r="D681" t="s">
        <v>74</v>
      </c>
      <c r="E681" t="s">
        <v>74</v>
      </c>
      <c r="F681" t="s">
        <v>12236</v>
      </c>
      <c r="G681" t="s">
        <v>74</v>
      </c>
      <c r="H681" t="s">
        <v>74</v>
      </c>
      <c r="I681" t="s">
        <v>12237</v>
      </c>
      <c r="J681" t="s">
        <v>9090</v>
      </c>
      <c r="K681" t="s">
        <v>74</v>
      </c>
      <c r="L681" t="s">
        <v>74</v>
      </c>
      <c r="M681" t="s">
        <v>78</v>
      </c>
      <c r="N681" t="s">
        <v>2042</v>
      </c>
      <c r="O681" t="s">
        <v>74</v>
      </c>
      <c r="P681" t="s">
        <v>74</v>
      </c>
      <c r="Q681" t="s">
        <v>74</v>
      </c>
      <c r="R681" t="s">
        <v>74</v>
      </c>
      <c r="S681" t="s">
        <v>74</v>
      </c>
      <c r="T681" t="s">
        <v>74</v>
      </c>
      <c r="U681" t="s">
        <v>12238</v>
      </c>
      <c r="V681" t="s">
        <v>74</v>
      </c>
      <c r="W681" t="s">
        <v>74</v>
      </c>
      <c r="X681" t="s">
        <v>74</v>
      </c>
      <c r="Y681" t="s">
        <v>12239</v>
      </c>
      <c r="Z681" t="s">
        <v>12240</v>
      </c>
      <c r="AA681" t="s">
        <v>74</v>
      </c>
      <c r="AB681" t="s">
        <v>74</v>
      </c>
      <c r="AC681" t="s">
        <v>74</v>
      </c>
      <c r="AD681" t="s">
        <v>74</v>
      </c>
      <c r="AE681" t="s">
        <v>74</v>
      </c>
      <c r="AF681" t="s">
        <v>74</v>
      </c>
      <c r="AG681">
        <v>6</v>
      </c>
      <c r="AH681">
        <v>0</v>
      </c>
      <c r="AI681">
        <v>0</v>
      </c>
      <c r="AJ681">
        <v>0</v>
      </c>
      <c r="AK681">
        <v>1</v>
      </c>
      <c r="AL681" t="s">
        <v>2248</v>
      </c>
      <c r="AM681" t="s">
        <v>2249</v>
      </c>
      <c r="AN681" t="s">
        <v>2250</v>
      </c>
      <c r="AO681" t="s">
        <v>9096</v>
      </c>
      <c r="AP681" t="s">
        <v>9097</v>
      </c>
      <c r="AQ681" t="s">
        <v>74</v>
      </c>
      <c r="AR681" t="s">
        <v>9098</v>
      </c>
      <c r="AS681" t="s">
        <v>9099</v>
      </c>
      <c r="AT681" t="s">
        <v>9100</v>
      </c>
      <c r="AU681">
        <v>2021</v>
      </c>
      <c r="AV681">
        <v>41</v>
      </c>
      <c r="AW681">
        <v>12</v>
      </c>
      <c r="AX681" t="s">
        <v>74</v>
      </c>
      <c r="AY681" t="s">
        <v>74</v>
      </c>
      <c r="AZ681" t="s">
        <v>74</v>
      </c>
      <c r="BA681" t="s">
        <v>74</v>
      </c>
      <c r="BB681" t="s">
        <v>12241</v>
      </c>
      <c r="BC681" t="s">
        <v>12242</v>
      </c>
      <c r="BD681" t="s">
        <v>74</v>
      </c>
      <c r="BE681" t="s">
        <v>12243</v>
      </c>
      <c r="BF681" t="str">
        <f>HYPERLINK("http://dx.doi.org/10.1093/asj/sjab320","http://dx.doi.org/10.1093/asj/sjab320")</f>
        <v>http://dx.doi.org/10.1093/asj/sjab320</v>
      </c>
      <c r="BG681" t="s">
        <v>74</v>
      </c>
      <c r="BH681" t="s">
        <v>2056</v>
      </c>
      <c r="BI681">
        <v>2</v>
      </c>
      <c r="BJ681" t="s">
        <v>4994</v>
      </c>
      <c r="BK681" t="s">
        <v>209</v>
      </c>
      <c r="BL681" t="s">
        <v>4994</v>
      </c>
      <c r="BM681" t="s">
        <v>9104</v>
      </c>
      <c r="BN681">
        <v>34410300</v>
      </c>
      <c r="BO681" t="s">
        <v>74</v>
      </c>
      <c r="BP681" t="s">
        <v>74</v>
      </c>
      <c r="BQ681" t="s">
        <v>74</v>
      </c>
      <c r="BR681" t="s">
        <v>102</v>
      </c>
      <c r="BS681" t="s">
        <v>12244</v>
      </c>
      <c r="BT681" t="str">
        <f>HYPERLINK("https%3A%2F%2Fwww.webofscience.com%2Fwos%2Fwoscc%2Ffull-record%2FWOS:000753445300056","View Full Record in Web of Science")</f>
        <v>View Full Record in Web of Science</v>
      </c>
    </row>
    <row r="682" spans="1:72" x14ac:dyDescent="0.35">
      <c r="A682" t="s">
        <v>72</v>
      </c>
      <c r="B682" t="s">
        <v>12245</v>
      </c>
      <c r="C682" t="s">
        <v>74</v>
      </c>
      <c r="D682" t="s">
        <v>74</v>
      </c>
      <c r="E682" t="s">
        <v>74</v>
      </c>
      <c r="F682" t="s">
        <v>12246</v>
      </c>
      <c r="G682" t="s">
        <v>74</v>
      </c>
      <c r="H682" t="s">
        <v>74</v>
      </c>
      <c r="I682" t="s">
        <v>12247</v>
      </c>
      <c r="J682" t="s">
        <v>12248</v>
      </c>
      <c r="K682" t="s">
        <v>74</v>
      </c>
      <c r="L682" t="s">
        <v>74</v>
      </c>
      <c r="M682" t="s">
        <v>78</v>
      </c>
      <c r="N682" t="s">
        <v>108</v>
      </c>
      <c r="O682" t="s">
        <v>74</v>
      </c>
      <c r="P682" t="s">
        <v>74</v>
      </c>
      <c r="Q682" t="s">
        <v>74</v>
      </c>
      <c r="R682" t="s">
        <v>74</v>
      </c>
      <c r="S682" t="s">
        <v>74</v>
      </c>
      <c r="T682" t="s">
        <v>12249</v>
      </c>
      <c r="U682" t="s">
        <v>12250</v>
      </c>
      <c r="V682" t="s">
        <v>12251</v>
      </c>
      <c r="W682" t="s">
        <v>12252</v>
      </c>
      <c r="X682" t="s">
        <v>12253</v>
      </c>
      <c r="Y682" t="s">
        <v>12254</v>
      </c>
      <c r="Z682" t="s">
        <v>12255</v>
      </c>
      <c r="AA682" t="s">
        <v>12256</v>
      </c>
      <c r="AB682" t="s">
        <v>12257</v>
      </c>
      <c r="AC682" t="s">
        <v>12258</v>
      </c>
      <c r="AD682" t="s">
        <v>12259</v>
      </c>
      <c r="AE682" t="s">
        <v>12260</v>
      </c>
      <c r="AF682" t="s">
        <v>74</v>
      </c>
      <c r="AG682">
        <v>62</v>
      </c>
      <c r="AH682">
        <v>20</v>
      </c>
      <c r="AI682">
        <v>20</v>
      </c>
      <c r="AJ682">
        <v>38</v>
      </c>
      <c r="AK682">
        <v>104</v>
      </c>
      <c r="AL682" t="s">
        <v>665</v>
      </c>
      <c r="AM682" t="s">
        <v>666</v>
      </c>
      <c r="AN682" t="s">
        <v>667</v>
      </c>
      <c r="AO682" t="s">
        <v>12261</v>
      </c>
      <c r="AP682" t="s">
        <v>12262</v>
      </c>
      <c r="AQ682" t="s">
        <v>74</v>
      </c>
      <c r="AR682" t="s">
        <v>12263</v>
      </c>
      <c r="AS682" t="s">
        <v>12264</v>
      </c>
      <c r="AT682" t="s">
        <v>594</v>
      </c>
      <c r="AU682">
        <v>2023</v>
      </c>
      <c r="AV682">
        <v>28</v>
      </c>
      <c r="AW682">
        <v>10</v>
      </c>
      <c r="AX682" t="s">
        <v>74</v>
      </c>
      <c r="AY682" t="s">
        <v>74</v>
      </c>
      <c r="AZ682" t="s">
        <v>74</v>
      </c>
      <c r="BA682" t="s">
        <v>74</v>
      </c>
      <c r="BB682">
        <v>13595</v>
      </c>
      <c r="BC682">
        <v>13617</v>
      </c>
      <c r="BD682" t="s">
        <v>74</v>
      </c>
      <c r="BE682" t="s">
        <v>12265</v>
      </c>
      <c r="BF682" t="str">
        <f>HYPERLINK("http://dx.doi.org/10.1007/s10639-023-11749-x","http://dx.doi.org/10.1007/s10639-023-11749-x")</f>
        <v>http://dx.doi.org/10.1007/s10639-023-11749-x</v>
      </c>
      <c r="BG682" t="s">
        <v>74</v>
      </c>
      <c r="BH682" t="s">
        <v>1046</v>
      </c>
      <c r="BI682">
        <v>23</v>
      </c>
      <c r="BJ682" t="s">
        <v>787</v>
      </c>
      <c r="BK682" t="s">
        <v>99</v>
      </c>
      <c r="BL682" t="s">
        <v>787</v>
      </c>
      <c r="BM682" t="s">
        <v>12266</v>
      </c>
      <c r="BN682">
        <v>37361837</v>
      </c>
      <c r="BO682" t="s">
        <v>12267</v>
      </c>
      <c r="BP682" t="s">
        <v>395</v>
      </c>
      <c r="BQ682" t="s">
        <v>396</v>
      </c>
      <c r="BR682" t="s">
        <v>102</v>
      </c>
      <c r="BS682" t="s">
        <v>12268</v>
      </c>
      <c r="BT682" t="str">
        <f>HYPERLINK("https%3A%2F%2Fwww.webofscience.com%2Fwos%2Fwoscc%2Ffull-record%2FWOS:000983781900005","View Full Record in Web of Science")</f>
        <v>View Full Record in Web of Science</v>
      </c>
    </row>
    <row r="683" spans="1:72" x14ac:dyDescent="0.35">
      <c r="A683" t="s">
        <v>72</v>
      </c>
      <c r="B683" t="s">
        <v>12269</v>
      </c>
      <c r="C683" t="s">
        <v>74</v>
      </c>
      <c r="D683" t="s">
        <v>74</v>
      </c>
      <c r="E683" t="s">
        <v>74</v>
      </c>
      <c r="F683" t="s">
        <v>12270</v>
      </c>
      <c r="G683" t="s">
        <v>74</v>
      </c>
      <c r="H683" t="s">
        <v>74</v>
      </c>
      <c r="I683" t="s">
        <v>12271</v>
      </c>
      <c r="J683" t="s">
        <v>438</v>
      </c>
      <c r="K683" t="s">
        <v>74</v>
      </c>
      <c r="L683" t="s">
        <v>74</v>
      </c>
      <c r="M683" t="s">
        <v>78</v>
      </c>
      <c r="N683" t="s">
        <v>79</v>
      </c>
      <c r="O683" t="s">
        <v>74</v>
      </c>
      <c r="P683" t="s">
        <v>74</v>
      </c>
      <c r="Q683" t="s">
        <v>74</v>
      </c>
      <c r="R683" t="s">
        <v>74</v>
      </c>
      <c r="S683" t="s">
        <v>74</v>
      </c>
      <c r="T683" t="s">
        <v>12272</v>
      </c>
      <c r="U683" t="s">
        <v>74</v>
      </c>
      <c r="V683" t="s">
        <v>12273</v>
      </c>
      <c r="W683" t="s">
        <v>12274</v>
      </c>
      <c r="X683" t="s">
        <v>12275</v>
      </c>
      <c r="Y683" t="s">
        <v>12276</v>
      </c>
      <c r="Z683" t="s">
        <v>12277</v>
      </c>
      <c r="AA683" t="s">
        <v>12278</v>
      </c>
      <c r="AB683" t="s">
        <v>12279</v>
      </c>
      <c r="AC683" t="s">
        <v>74</v>
      </c>
      <c r="AD683" t="s">
        <v>74</v>
      </c>
      <c r="AE683" t="s">
        <v>74</v>
      </c>
      <c r="AF683" t="s">
        <v>74</v>
      </c>
      <c r="AG683">
        <v>53</v>
      </c>
      <c r="AH683">
        <v>1</v>
      </c>
      <c r="AI683">
        <v>1</v>
      </c>
      <c r="AJ683">
        <v>16</v>
      </c>
      <c r="AK683">
        <v>43</v>
      </c>
      <c r="AL683" t="s">
        <v>226</v>
      </c>
      <c r="AM683" t="s">
        <v>227</v>
      </c>
      <c r="AN683" t="s">
        <v>228</v>
      </c>
      <c r="AO683" t="s">
        <v>451</v>
      </c>
      <c r="AP683" t="s">
        <v>452</v>
      </c>
      <c r="AQ683" t="s">
        <v>74</v>
      </c>
      <c r="AR683" t="s">
        <v>453</v>
      </c>
      <c r="AS683" t="s">
        <v>454</v>
      </c>
      <c r="AT683" t="s">
        <v>12280</v>
      </c>
      <c r="AU683">
        <v>2024</v>
      </c>
      <c r="AV683" t="s">
        <v>74</v>
      </c>
      <c r="AW683" t="s">
        <v>74</v>
      </c>
      <c r="AX683" t="s">
        <v>74</v>
      </c>
      <c r="AY683" t="s">
        <v>74</v>
      </c>
      <c r="AZ683" t="s">
        <v>74</v>
      </c>
      <c r="BA683" t="s">
        <v>74</v>
      </c>
      <c r="BB683" t="s">
        <v>74</v>
      </c>
      <c r="BC683" t="s">
        <v>74</v>
      </c>
      <c r="BD683" t="s">
        <v>74</v>
      </c>
      <c r="BE683" t="s">
        <v>12281</v>
      </c>
      <c r="BF683" t="str">
        <f>HYPERLINK("http://dx.doi.org/10.1177/14614448241238396","http://dx.doi.org/10.1177/14614448241238396")</f>
        <v>http://dx.doi.org/10.1177/14614448241238396</v>
      </c>
      <c r="BG683" t="s">
        <v>74</v>
      </c>
      <c r="BH683" t="s">
        <v>123</v>
      </c>
      <c r="BI683">
        <v>19</v>
      </c>
      <c r="BJ683" t="s">
        <v>124</v>
      </c>
      <c r="BK683" t="s">
        <v>99</v>
      </c>
      <c r="BL683" t="s">
        <v>124</v>
      </c>
      <c r="BM683" t="s">
        <v>12282</v>
      </c>
      <c r="BN683" t="s">
        <v>74</v>
      </c>
      <c r="BO683" t="s">
        <v>74</v>
      </c>
      <c r="BP683" t="s">
        <v>74</v>
      </c>
      <c r="BQ683" t="s">
        <v>74</v>
      </c>
      <c r="BR683" t="s">
        <v>102</v>
      </c>
      <c r="BS683" t="s">
        <v>12283</v>
      </c>
      <c r="BT683" t="str">
        <f>HYPERLINK("https%3A%2F%2Fwww.webofscience.com%2Fwos%2Fwoscc%2Ffull-record%2FWOS:001190153000001","View Full Record in Web of Science")</f>
        <v>View Full Record in Web of Science</v>
      </c>
    </row>
    <row r="684" spans="1:72" x14ac:dyDescent="0.35">
      <c r="A684" t="s">
        <v>72</v>
      </c>
      <c r="B684" t="s">
        <v>12284</v>
      </c>
      <c r="C684" t="s">
        <v>74</v>
      </c>
      <c r="D684" t="s">
        <v>74</v>
      </c>
      <c r="E684" t="s">
        <v>74</v>
      </c>
      <c r="F684" t="s">
        <v>12285</v>
      </c>
      <c r="G684" t="s">
        <v>74</v>
      </c>
      <c r="H684" t="s">
        <v>74</v>
      </c>
      <c r="I684" t="s">
        <v>12286</v>
      </c>
      <c r="J684" t="s">
        <v>9249</v>
      </c>
      <c r="K684" t="s">
        <v>74</v>
      </c>
      <c r="L684" t="s">
        <v>74</v>
      </c>
      <c r="M684" t="s">
        <v>78</v>
      </c>
      <c r="N684" t="s">
        <v>52</v>
      </c>
      <c r="O684" t="s">
        <v>12287</v>
      </c>
      <c r="P684" t="s">
        <v>12288</v>
      </c>
      <c r="Q684" t="s">
        <v>12289</v>
      </c>
      <c r="R684" t="s">
        <v>12290</v>
      </c>
      <c r="S684" t="s">
        <v>74</v>
      </c>
      <c r="T684" t="s">
        <v>74</v>
      </c>
      <c r="U684" t="s">
        <v>74</v>
      </c>
      <c r="V684" t="s">
        <v>74</v>
      </c>
      <c r="W684" t="s">
        <v>12291</v>
      </c>
      <c r="X684" t="s">
        <v>12292</v>
      </c>
      <c r="Y684" t="s">
        <v>74</v>
      </c>
      <c r="Z684" t="s">
        <v>12293</v>
      </c>
      <c r="AA684" t="s">
        <v>74</v>
      </c>
      <c r="AB684" t="s">
        <v>74</v>
      </c>
      <c r="AC684" t="s">
        <v>74</v>
      </c>
      <c r="AD684" t="s">
        <v>74</v>
      </c>
      <c r="AE684" t="s">
        <v>74</v>
      </c>
      <c r="AF684" t="s">
        <v>74</v>
      </c>
      <c r="AG684">
        <v>0</v>
      </c>
      <c r="AH684">
        <v>0</v>
      </c>
      <c r="AI684">
        <v>0</v>
      </c>
      <c r="AJ684">
        <v>1</v>
      </c>
      <c r="AK684">
        <v>3</v>
      </c>
      <c r="AL684" t="s">
        <v>1965</v>
      </c>
      <c r="AM684" t="s">
        <v>666</v>
      </c>
      <c r="AN684" t="s">
        <v>1966</v>
      </c>
      <c r="AO684" t="s">
        <v>9256</v>
      </c>
      <c r="AP684" t="s">
        <v>9257</v>
      </c>
      <c r="AQ684" t="s">
        <v>74</v>
      </c>
      <c r="AR684" t="s">
        <v>9258</v>
      </c>
      <c r="AS684" t="s">
        <v>9259</v>
      </c>
      <c r="AT684" t="s">
        <v>594</v>
      </c>
      <c r="AU684">
        <v>2023</v>
      </c>
      <c r="AV684">
        <v>62</v>
      </c>
      <c r="AW684">
        <v>10</v>
      </c>
      <c r="AX684" t="s">
        <v>74</v>
      </c>
      <c r="AY684">
        <v>1</v>
      </c>
      <c r="AZ684" t="s">
        <v>74</v>
      </c>
      <c r="BA684">
        <v>2.61</v>
      </c>
      <c r="BB684" t="s">
        <v>12294</v>
      </c>
      <c r="BC684" t="s">
        <v>12294</v>
      </c>
      <c r="BD684" t="s">
        <v>74</v>
      </c>
      <c r="BE684" t="s">
        <v>12295</v>
      </c>
      <c r="BF684" t="str">
        <f>HYPERLINK("http://dx.doi.org/10.1016/j.jaac.2023.09.148","http://dx.doi.org/10.1016/j.jaac.2023.09.148")</f>
        <v>http://dx.doi.org/10.1016/j.jaac.2023.09.148</v>
      </c>
      <c r="BG684" t="s">
        <v>74</v>
      </c>
      <c r="BH684" t="s">
        <v>207</v>
      </c>
      <c r="BI684">
        <v>1</v>
      </c>
      <c r="BJ684" t="s">
        <v>5098</v>
      </c>
      <c r="BK684" t="s">
        <v>3030</v>
      </c>
      <c r="BL684" t="s">
        <v>5099</v>
      </c>
      <c r="BM684" t="s">
        <v>12296</v>
      </c>
      <c r="BN684" t="s">
        <v>74</v>
      </c>
      <c r="BO684" t="s">
        <v>767</v>
      </c>
      <c r="BP684" t="s">
        <v>74</v>
      </c>
      <c r="BQ684" t="s">
        <v>74</v>
      </c>
      <c r="BR684" t="s">
        <v>102</v>
      </c>
      <c r="BS684" t="s">
        <v>12297</v>
      </c>
      <c r="BT684" t="str">
        <f>HYPERLINK("https%3A%2F%2Fwww.webofscience.com%2Fwos%2Fwoscc%2Ffull-record%2FWOS:001098830401001","View Full Record in Web of Science")</f>
        <v>View Full Record in Web of Science</v>
      </c>
    </row>
    <row r="685" spans="1:72" x14ac:dyDescent="0.35">
      <c r="A685" t="s">
        <v>72</v>
      </c>
      <c r="B685" t="s">
        <v>12298</v>
      </c>
      <c r="C685" t="s">
        <v>74</v>
      </c>
      <c r="D685" t="s">
        <v>74</v>
      </c>
      <c r="E685" t="s">
        <v>74</v>
      </c>
      <c r="F685" t="s">
        <v>12299</v>
      </c>
      <c r="G685" t="s">
        <v>74</v>
      </c>
      <c r="H685" t="s">
        <v>74</v>
      </c>
      <c r="I685" t="s">
        <v>12300</v>
      </c>
      <c r="J685" t="s">
        <v>401</v>
      </c>
      <c r="K685" t="s">
        <v>74</v>
      </c>
      <c r="L685" t="s">
        <v>74</v>
      </c>
      <c r="M685" t="s">
        <v>78</v>
      </c>
      <c r="N685" t="s">
        <v>108</v>
      </c>
      <c r="O685" t="s">
        <v>74</v>
      </c>
      <c r="P685" t="s">
        <v>74</v>
      </c>
      <c r="Q685" t="s">
        <v>74</v>
      </c>
      <c r="R685" t="s">
        <v>74</v>
      </c>
      <c r="S685" t="s">
        <v>74</v>
      </c>
      <c r="T685" t="s">
        <v>12301</v>
      </c>
      <c r="U685" t="s">
        <v>12302</v>
      </c>
      <c r="V685" t="s">
        <v>12303</v>
      </c>
      <c r="W685" t="s">
        <v>12304</v>
      </c>
      <c r="X685" t="s">
        <v>562</v>
      </c>
      <c r="Y685" t="s">
        <v>12305</v>
      </c>
      <c r="Z685" t="s">
        <v>12306</v>
      </c>
      <c r="AA685" t="s">
        <v>74</v>
      </c>
      <c r="AB685" t="s">
        <v>74</v>
      </c>
      <c r="AC685" t="s">
        <v>74</v>
      </c>
      <c r="AD685" t="s">
        <v>74</v>
      </c>
      <c r="AE685" t="s">
        <v>74</v>
      </c>
      <c r="AF685" t="s">
        <v>74</v>
      </c>
      <c r="AG685">
        <v>64</v>
      </c>
      <c r="AH685">
        <v>4</v>
      </c>
      <c r="AI685">
        <v>5</v>
      </c>
      <c r="AJ685">
        <v>7</v>
      </c>
      <c r="AK685">
        <v>23</v>
      </c>
      <c r="AL685" t="s">
        <v>409</v>
      </c>
      <c r="AM685" t="s">
        <v>410</v>
      </c>
      <c r="AN685" t="s">
        <v>411</v>
      </c>
      <c r="AO685" t="s">
        <v>412</v>
      </c>
      <c r="AP685" t="s">
        <v>74</v>
      </c>
      <c r="AQ685" t="s">
        <v>74</v>
      </c>
      <c r="AR685" t="s">
        <v>413</v>
      </c>
      <c r="AS685" t="s">
        <v>414</v>
      </c>
      <c r="AT685" t="s">
        <v>74</v>
      </c>
      <c r="AU685">
        <v>2023</v>
      </c>
      <c r="AV685">
        <v>17</v>
      </c>
      <c r="AW685" t="s">
        <v>74</v>
      </c>
      <c r="AX685" t="s">
        <v>74</v>
      </c>
      <c r="AY685" t="s">
        <v>74</v>
      </c>
      <c r="AZ685" t="s">
        <v>74</v>
      </c>
      <c r="BA685" t="s">
        <v>74</v>
      </c>
      <c r="BB685">
        <v>3364</v>
      </c>
      <c r="BC685">
        <v>3387</v>
      </c>
      <c r="BD685" t="s">
        <v>74</v>
      </c>
      <c r="BE685" t="s">
        <v>74</v>
      </c>
      <c r="BF685" t="s">
        <v>74</v>
      </c>
      <c r="BG685" t="s">
        <v>74</v>
      </c>
      <c r="BH685" t="s">
        <v>74</v>
      </c>
      <c r="BI685">
        <v>24</v>
      </c>
      <c r="BJ685" t="s">
        <v>124</v>
      </c>
      <c r="BK685" t="s">
        <v>99</v>
      </c>
      <c r="BL685" t="s">
        <v>124</v>
      </c>
      <c r="BM685" t="s">
        <v>12307</v>
      </c>
      <c r="BN685" t="s">
        <v>74</v>
      </c>
      <c r="BO685" t="s">
        <v>74</v>
      </c>
      <c r="BP685" t="s">
        <v>74</v>
      </c>
      <c r="BQ685" t="s">
        <v>74</v>
      </c>
      <c r="BR685" t="s">
        <v>102</v>
      </c>
      <c r="BS685" t="s">
        <v>12308</v>
      </c>
      <c r="BT685" t="str">
        <f>HYPERLINK("https%3A%2F%2Fwww.webofscience.com%2Fwos%2Fwoscc%2Ffull-record%2FWOS:000986205400009","View Full Record in Web of Science")</f>
        <v>View Full Record in Web of Science</v>
      </c>
    </row>
    <row r="686" spans="1:72" x14ac:dyDescent="0.35">
      <c r="A686" t="s">
        <v>72</v>
      </c>
      <c r="B686" t="s">
        <v>12309</v>
      </c>
      <c r="C686" t="s">
        <v>74</v>
      </c>
      <c r="D686" t="s">
        <v>74</v>
      </c>
      <c r="E686" t="s">
        <v>74</v>
      </c>
      <c r="F686" t="s">
        <v>12310</v>
      </c>
      <c r="G686" t="s">
        <v>74</v>
      </c>
      <c r="H686" t="s">
        <v>74</v>
      </c>
      <c r="I686" t="s">
        <v>12311</v>
      </c>
      <c r="J686" t="s">
        <v>681</v>
      </c>
      <c r="K686" t="s">
        <v>74</v>
      </c>
      <c r="L686" t="s">
        <v>74</v>
      </c>
      <c r="M686" t="s">
        <v>78</v>
      </c>
      <c r="N686" t="s">
        <v>108</v>
      </c>
      <c r="O686" t="s">
        <v>74</v>
      </c>
      <c r="P686" t="s">
        <v>74</v>
      </c>
      <c r="Q686" t="s">
        <v>74</v>
      </c>
      <c r="R686" t="s">
        <v>74</v>
      </c>
      <c r="S686" t="s">
        <v>74</v>
      </c>
      <c r="T686" t="s">
        <v>12312</v>
      </c>
      <c r="U686" t="s">
        <v>74</v>
      </c>
      <c r="V686" t="s">
        <v>12313</v>
      </c>
      <c r="W686" t="s">
        <v>12314</v>
      </c>
      <c r="X686" t="s">
        <v>12315</v>
      </c>
      <c r="Y686" t="s">
        <v>12316</v>
      </c>
      <c r="Z686" t="s">
        <v>12317</v>
      </c>
      <c r="AA686" t="s">
        <v>74</v>
      </c>
      <c r="AB686" t="s">
        <v>74</v>
      </c>
      <c r="AC686" t="s">
        <v>12318</v>
      </c>
      <c r="AD686" t="s">
        <v>12319</v>
      </c>
      <c r="AE686" t="s">
        <v>12320</v>
      </c>
      <c r="AF686" t="s">
        <v>74</v>
      </c>
      <c r="AG686">
        <v>6</v>
      </c>
      <c r="AH686">
        <v>4</v>
      </c>
      <c r="AI686">
        <v>4</v>
      </c>
      <c r="AJ686">
        <v>10</v>
      </c>
      <c r="AK686">
        <v>70</v>
      </c>
      <c r="AL686" t="s">
        <v>384</v>
      </c>
      <c r="AM686" t="s">
        <v>385</v>
      </c>
      <c r="AN686" t="s">
        <v>386</v>
      </c>
      <c r="AO686" t="s">
        <v>693</v>
      </c>
      <c r="AP686" t="s">
        <v>74</v>
      </c>
      <c r="AQ686" t="s">
        <v>74</v>
      </c>
      <c r="AR686" t="s">
        <v>694</v>
      </c>
      <c r="AS686" t="s">
        <v>695</v>
      </c>
      <c r="AT686" t="s">
        <v>12321</v>
      </c>
      <c r="AU686">
        <v>2022</v>
      </c>
      <c r="AV686">
        <v>13</v>
      </c>
      <c r="AW686" t="s">
        <v>74</v>
      </c>
      <c r="AX686" t="s">
        <v>74</v>
      </c>
      <c r="AY686" t="s">
        <v>74</v>
      </c>
      <c r="AZ686" t="s">
        <v>74</v>
      </c>
      <c r="BA686" t="s">
        <v>74</v>
      </c>
      <c r="BB686" t="s">
        <v>74</v>
      </c>
      <c r="BC686" t="s">
        <v>74</v>
      </c>
      <c r="BD686">
        <v>826819</v>
      </c>
      <c r="BE686" t="s">
        <v>12322</v>
      </c>
      <c r="BF686" t="str">
        <f>HYPERLINK("http://dx.doi.org/10.3389/fpsyg.2022.826819","http://dx.doi.org/10.3389/fpsyg.2022.826819")</f>
        <v>http://dx.doi.org/10.3389/fpsyg.2022.826819</v>
      </c>
      <c r="BG686" t="s">
        <v>74</v>
      </c>
      <c r="BH686" t="s">
        <v>74</v>
      </c>
      <c r="BI686">
        <v>9</v>
      </c>
      <c r="BJ686" t="s">
        <v>698</v>
      </c>
      <c r="BK686" t="s">
        <v>99</v>
      </c>
      <c r="BL686" t="s">
        <v>301</v>
      </c>
      <c r="BM686" t="s">
        <v>12323</v>
      </c>
      <c r="BN686">
        <v>35814158</v>
      </c>
      <c r="BO686" t="s">
        <v>552</v>
      </c>
      <c r="BP686" t="s">
        <v>74</v>
      </c>
      <c r="BQ686" t="s">
        <v>74</v>
      </c>
      <c r="BR686" t="s">
        <v>102</v>
      </c>
      <c r="BS686" t="s">
        <v>12324</v>
      </c>
      <c r="BT686" t="str">
        <f>HYPERLINK("https%3A%2F%2Fwww.webofscience.com%2Fwos%2Fwoscc%2Ffull-record%2FWOS:000827701800001","View Full Record in Web of Science")</f>
        <v>View Full Record in Web of Science</v>
      </c>
    </row>
    <row r="687" spans="1:72" x14ac:dyDescent="0.35">
      <c r="A687" t="s">
        <v>72</v>
      </c>
      <c r="B687" t="s">
        <v>12325</v>
      </c>
      <c r="C687" t="s">
        <v>74</v>
      </c>
      <c r="D687" t="s">
        <v>74</v>
      </c>
      <c r="E687" t="s">
        <v>74</v>
      </c>
      <c r="F687" t="s">
        <v>12326</v>
      </c>
      <c r="G687" t="s">
        <v>74</v>
      </c>
      <c r="H687" t="s">
        <v>74</v>
      </c>
      <c r="I687" t="s">
        <v>12327</v>
      </c>
      <c r="J687" t="s">
        <v>12328</v>
      </c>
      <c r="K687" t="s">
        <v>74</v>
      </c>
      <c r="L687" t="s">
        <v>74</v>
      </c>
      <c r="M687" t="s">
        <v>78</v>
      </c>
      <c r="N687" t="s">
        <v>52</v>
      </c>
      <c r="O687" t="s">
        <v>12329</v>
      </c>
      <c r="P687" t="s">
        <v>12330</v>
      </c>
      <c r="Q687" t="s">
        <v>12331</v>
      </c>
      <c r="R687" t="s">
        <v>12332</v>
      </c>
      <c r="S687" t="s">
        <v>74</v>
      </c>
      <c r="T687" t="s">
        <v>74</v>
      </c>
      <c r="U687" t="s">
        <v>74</v>
      </c>
      <c r="V687" t="s">
        <v>74</v>
      </c>
      <c r="W687" t="s">
        <v>12333</v>
      </c>
      <c r="X687" t="s">
        <v>12334</v>
      </c>
      <c r="Y687" t="s">
        <v>74</v>
      </c>
      <c r="Z687" t="s">
        <v>74</v>
      </c>
      <c r="AA687" t="s">
        <v>74</v>
      </c>
      <c r="AB687" t="s">
        <v>74</v>
      </c>
      <c r="AC687" t="s">
        <v>74</v>
      </c>
      <c r="AD687" t="s">
        <v>74</v>
      </c>
      <c r="AE687" t="s">
        <v>74</v>
      </c>
      <c r="AF687" t="s">
        <v>74</v>
      </c>
      <c r="AG687">
        <v>0</v>
      </c>
      <c r="AH687">
        <v>1</v>
      </c>
      <c r="AI687">
        <v>1</v>
      </c>
      <c r="AJ687">
        <v>0</v>
      </c>
      <c r="AK687">
        <v>0</v>
      </c>
      <c r="AL687" t="s">
        <v>2027</v>
      </c>
      <c r="AM687" t="s">
        <v>666</v>
      </c>
      <c r="AN687" t="s">
        <v>2028</v>
      </c>
      <c r="AO687" t="s">
        <v>12335</v>
      </c>
      <c r="AP687" t="s">
        <v>12336</v>
      </c>
      <c r="AQ687" t="s">
        <v>74</v>
      </c>
      <c r="AR687" t="s">
        <v>12337</v>
      </c>
      <c r="AS687" t="s">
        <v>12338</v>
      </c>
      <c r="AT687" t="s">
        <v>178</v>
      </c>
      <c r="AU687">
        <v>2023</v>
      </c>
      <c r="AV687">
        <v>151</v>
      </c>
      <c r="AW687">
        <v>2</v>
      </c>
      <c r="AX687" t="s">
        <v>74</v>
      </c>
      <c r="AY687" t="s">
        <v>4946</v>
      </c>
      <c r="AZ687" t="s">
        <v>74</v>
      </c>
      <c r="BA687">
        <v>564</v>
      </c>
      <c r="BB687" t="s">
        <v>12339</v>
      </c>
      <c r="BC687" t="s">
        <v>12339</v>
      </c>
      <c r="BD687" t="s">
        <v>74</v>
      </c>
      <c r="BE687" t="s">
        <v>74</v>
      </c>
      <c r="BF687" t="s">
        <v>74</v>
      </c>
      <c r="BG687" t="s">
        <v>74</v>
      </c>
      <c r="BH687" t="s">
        <v>74</v>
      </c>
      <c r="BI687">
        <v>1</v>
      </c>
      <c r="BJ687" t="s">
        <v>12340</v>
      </c>
      <c r="BK687" t="s">
        <v>2257</v>
      </c>
      <c r="BL687" t="s">
        <v>12340</v>
      </c>
      <c r="BM687" t="s">
        <v>12341</v>
      </c>
      <c r="BN687" t="s">
        <v>74</v>
      </c>
      <c r="BO687" t="s">
        <v>74</v>
      </c>
      <c r="BP687" t="s">
        <v>74</v>
      </c>
      <c r="BQ687" t="s">
        <v>74</v>
      </c>
      <c r="BR687" t="s">
        <v>102</v>
      </c>
      <c r="BS687" t="s">
        <v>12342</v>
      </c>
      <c r="BT687" t="str">
        <f>HYPERLINK("https%3A%2F%2Fwww.webofscience.com%2Fwos%2Fwoscc%2Ffull-record%2FWOS:000991651900560","View Full Record in Web of Science")</f>
        <v>View Full Record in Web of Science</v>
      </c>
    </row>
    <row r="688" spans="1:72" x14ac:dyDescent="0.35">
      <c r="A688" t="s">
        <v>72</v>
      </c>
      <c r="B688" t="s">
        <v>12343</v>
      </c>
      <c r="C688" t="s">
        <v>74</v>
      </c>
      <c r="D688" t="s">
        <v>74</v>
      </c>
      <c r="E688" t="s">
        <v>74</v>
      </c>
      <c r="F688" t="s">
        <v>12344</v>
      </c>
      <c r="G688" t="s">
        <v>74</v>
      </c>
      <c r="H688" t="s">
        <v>74</v>
      </c>
      <c r="I688" t="s">
        <v>12345</v>
      </c>
      <c r="J688" t="s">
        <v>8734</v>
      </c>
      <c r="K688" t="s">
        <v>74</v>
      </c>
      <c r="L688" t="s">
        <v>74</v>
      </c>
      <c r="M688" t="s">
        <v>78</v>
      </c>
      <c r="N688" t="s">
        <v>1328</v>
      </c>
      <c r="O688" t="s">
        <v>74</v>
      </c>
      <c r="P688" t="s">
        <v>74</v>
      </c>
      <c r="Q688" t="s">
        <v>74</v>
      </c>
      <c r="R688" t="s">
        <v>74</v>
      </c>
      <c r="S688" t="s">
        <v>74</v>
      </c>
      <c r="T688" t="s">
        <v>74</v>
      </c>
      <c r="U688" t="s">
        <v>74</v>
      </c>
      <c r="V688" t="s">
        <v>74</v>
      </c>
      <c r="W688" t="s">
        <v>74</v>
      </c>
      <c r="X688" t="s">
        <v>74</v>
      </c>
      <c r="Y688" t="s">
        <v>74</v>
      </c>
      <c r="Z688" t="s">
        <v>74</v>
      </c>
      <c r="AA688" t="s">
        <v>74</v>
      </c>
      <c r="AB688" t="s">
        <v>74</v>
      </c>
      <c r="AC688" t="s">
        <v>74</v>
      </c>
      <c r="AD688" t="s">
        <v>74</v>
      </c>
      <c r="AE688" t="s">
        <v>74</v>
      </c>
      <c r="AF688" t="s">
        <v>74</v>
      </c>
      <c r="AG688">
        <v>0</v>
      </c>
      <c r="AH688">
        <v>0</v>
      </c>
      <c r="AI688">
        <v>0</v>
      </c>
      <c r="AJ688">
        <v>0</v>
      </c>
      <c r="AK688">
        <v>44</v>
      </c>
      <c r="AL688" t="s">
        <v>8735</v>
      </c>
      <c r="AM688" t="s">
        <v>8736</v>
      </c>
      <c r="AN688" t="s">
        <v>8737</v>
      </c>
      <c r="AO688" t="s">
        <v>8738</v>
      </c>
      <c r="AP688" t="s">
        <v>74</v>
      </c>
      <c r="AQ688" t="s">
        <v>74</v>
      </c>
      <c r="AR688" t="s">
        <v>8739</v>
      </c>
      <c r="AS688" t="s">
        <v>8740</v>
      </c>
      <c r="AT688" t="s">
        <v>12346</v>
      </c>
      <c r="AU688">
        <v>2020</v>
      </c>
      <c r="AV688">
        <v>245</v>
      </c>
      <c r="AW688">
        <v>3276</v>
      </c>
      <c r="AX688" t="s">
        <v>74</v>
      </c>
      <c r="AY688" t="s">
        <v>74</v>
      </c>
      <c r="AZ688" t="s">
        <v>456</v>
      </c>
      <c r="BA688" t="s">
        <v>74</v>
      </c>
      <c r="BB688">
        <v>26</v>
      </c>
      <c r="BC688">
        <v>26</v>
      </c>
      <c r="BD688" t="s">
        <v>74</v>
      </c>
      <c r="BE688" t="s">
        <v>74</v>
      </c>
      <c r="BF688" t="s">
        <v>74</v>
      </c>
      <c r="BG688" t="s">
        <v>74</v>
      </c>
      <c r="BH688" t="s">
        <v>74</v>
      </c>
      <c r="BI688">
        <v>1</v>
      </c>
      <c r="BJ688" t="s">
        <v>1301</v>
      </c>
      <c r="BK688" t="s">
        <v>209</v>
      </c>
      <c r="BL688" t="s">
        <v>1302</v>
      </c>
      <c r="BM688" t="s">
        <v>12347</v>
      </c>
      <c r="BN688" t="s">
        <v>74</v>
      </c>
      <c r="BO688" t="s">
        <v>74</v>
      </c>
      <c r="BP688" t="s">
        <v>74</v>
      </c>
      <c r="BQ688" t="s">
        <v>74</v>
      </c>
      <c r="BR688" t="s">
        <v>102</v>
      </c>
      <c r="BS688" t="s">
        <v>12348</v>
      </c>
      <c r="BT688" t="str">
        <f>HYPERLINK("https%3A%2F%2Fwww.webofscience.com%2Fwos%2Fwoscc%2Ffull-record%2FWOS:000524766200032","View Full Record in Web of Science")</f>
        <v>View Full Record in Web of Science</v>
      </c>
    </row>
    <row r="689" spans="1:72" x14ac:dyDescent="0.35">
      <c r="A689" t="s">
        <v>72</v>
      </c>
      <c r="B689" t="s">
        <v>12349</v>
      </c>
      <c r="C689" t="s">
        <v>74</v>
      </c>
      <c r="D689" t="s">
        <v>74</v>
      </c>
      <c r="E689" t="s">
        <v>74</v>
      </c>
      <c r="F689" t="s">
        <v>12350</v>
      </c>
      <c r="G689" t="s">
        <v>74</v>
      </c>
      <c r="H689" t="s">
        <v>74</v>
      </c>
      <c r="I689" t="s">
        <v>12351</v>
      </c>
      <c r="J689" t="s">
        <v>6288</v>
      </c>
      <c r="K689" t="s">
        <v>74</v>
      </c>
      <c r="L689" t="s">
        <v>74</v>
      </c>
      <c r="M689" t="s">
        <v>78</v>
      </c>
      <c r="N689" t="s">
        <v>1328</v>
      </c>
      <c r="O689" t="s">
        <v>74</v>
      </c>
      <c r="P689" t="s">
        <v>74</v>
      </c>
      <c r="Q689" t="s">
        <v>74</v>
      </c>
      <c r="R689" t="s">
        <v>74</v>
      </c>
      <c r="S689" t="s">
        <v>74</v>
      </c>
      <c r="T689" t="s">
        <v>74</v>
      </c>
      <c r="U689" t="s">
        <v>74</v>
      </c>
      <c r="V689" t="s">
        <v>74</v>
      </c>
      <c r="W689" t="s">
        <v>12352</v>
      </c>
      <c r="X689" t="s">
        <v>12353</v>
      </c>
      <c r="Y689" t="s">
        <v>12354</v>
      </c>
      <c r="Z689" t="s">
        <v>74</v>
      </c>
      <c r="AA689" t="s">
        <v>12355</v>
      </c>
      <c r="AB689" t="s">
        <v>12356</v>
      </c>
      <c r="AC689" t="s">
        <v>74</v>
      </c>
      <c r="AD689" t="s">
        <v>74</v>
      </c>
      <c r="AE689" t="s">
        <v>74</v>
      </c>
      <c r="AF689" t="s">
        <v>74</v>
      </c>
      <c r="AG689">
        <v>0</v>
      </c>
      <c r="AH689">
        <v>4</v>
      </c>
      <c r="AI689">
        <v>4</v>
      </c>
      <c r="AJ689">
        <v>0</v>
      </c>
      <c r="AK689">
        <v>4</v>
      </c>
      <c r="AL689" t="s">
        <v>1965</v>
      </c>
      <c r="AM689" t="s">
        <v>666</v>
      </c>
      <c r="AN689" t="s">
        <v>1966</v>
      </c>
      <c r="AO689" t="s">
        <v>6297</v>
      </c>
      <c r="AP689" t="s">
        <v>6298</v>
      </c>
      <c r="AQ689" t="s">
        <v>74</v>
      </c>
      <c r="AR689" t="s">
        <v>6299</v>
      </c>
      <c r="AS689" t="s">
        <v>6300</v>
      </c>
      <c r="AT689" t="s">
        <v>178</v>
      </c>
      <c r="AU689">
        <v>2023</v>
      </c>
      <c r="AV689">
        <v>72</v>
      </c>
      <c r="AW689">
        <v>2</v>
      </c>
      <c r="AX689" t="s">
        <v>74</v>
      </c>
      <c r="AY689" t="s">
        <v>74</v>
      </c>
      <c r="AZ689" t="s">
        <v>74</v>
      </c>
      <c r="BA689" t="s">
        <v>74</v>
      </c>
      <c r="BB689">
        <v>312</v>
      </c>
      <c r="BC689">
        <v>312</v>
      </c>
      <c r="BD689" t="s">
        <v>74</v>
      </c>
      <c r="BE689" t="s">
        <v>12357</v>
      </c>
      <c r="BF689" t="str">
        <f>HYPERLINK("http://dx.doi.org/10.1016/j.jadohealth.2022.10.016","http://dx.doi.org/10.1016/j.jadohealth.2022.10.016")</f>
        <v>http://dx.doi.org/10.1016/j.jadohealth.2022.10.016</v>
      </c>
      <c r="BG689" t="s">
        <v>74</v>
      </c>
      <c r="BH689" t="s">
        <v>3638</v>
      </c>
      <c r="BI689">
        <v>1</v>
      </c>
      <c r="BJ689" t="s">
        <v>6302</v>
      </c>
      <c r="BK689" t="s">
        <v>182</v>
      </c>
      <c r="BL689" t="s">
        <v>6303</v>
      </c>
      <c r="BM689" t="s">
        <v>12358</v>
      </c>
      <c r="BN689">
        <v>36604012</v>
      </c>
      <c r="BO689" t="s">
        <v>2194</v>
      </c>
      <c r="BP689" t="s">
        <v>74</v>
      </c>
      <c r="BQ689" t="s">
        <v>74</v>
      </c>
      <c r="BR689" t="s">
        <v>102</v>
      </c>
      <c r="BS689" t="s">
        <v>12359</v>
      </c>
      <c r="BT689" t="str">
        <f>HYPERLINK("https%3A%2F%2Fwww.webofscience.com%2Fwos%2Fwoscc%2Ffull-record%2FWOS:000920629700001","View Full Record in Web of Science")</f>
        <v>View Full Record in Web of Science</v>
      </c>
    </row>
    <row r="690" spans="1:72" x14ac:dyDescent="0.35">
      <c r="A690" t="s">
        <v>72</v>
      </c>
      <c r="B690" t="s">
        <v>12360</v>
      </c>
      <c r="C690" t="s">
        <v>74</v>
      </c>
      <c r="D690" t="s">
        <v>74</v>
      </c>
      <c r="E690" t="s">
        <v>74</v>
      </c>
      <c r="F690" t="s">
        <v>12361</v>
      </c>
      <c r="G690" t="s">
        <v>74</v>
      </c>
      <c r="H690" t="s">
        <v>74</v>
      </c>
      <c r="I690" t="s">
        <v>12362</v>
      </c>
      <c r="J690" t="s">
        <v>12363</v>
      </c>
      <c r="K690" t="s">
        <v>74</v>
      </c>
      <c r="L690" t="s">
        <v>74</v>
      </c>
      <c r="M690" t="s">
        <v>78</v>
      </c>
      <c r="N690" t="s">
        <v>108</v>
      </c>
      <c r="O690" t="s">
        <v>74</v>
      </c>
      <c r="P690" t="s">
        <v>74</v>
      </c>
      <c r="Q690" t="s">
        <v>74</v>
      </c>
      <c r="R690" t="s">
        <v>74</v>
      </c>
      <c r="S690" t="s">
        <v>74</v>
      </c>
      <c r="T690" t="s">
        <v>12364</v>
      </c>
      <c r="U690" t="s">
        <v>12365</v>
      </c>
      <c r="V690" t="s">
        <v>12366</v>
      </c>
      <c r="W690" t="s">
        <v>12367</v>
      </c>
      <c r="X690" t="s">
        <v>12368</v>
      </c>
      <c r="Y690" t="s">
        <v>12369</v>
      </c>
      <c r="Z690" t="s">
        <v>12370</v>
      </c>
      <c r="AA690" t="s">
        <v>12371</v>
      </c>
      <c r="AB690" t="s">
        <v>12372</v>
      </c>
      <c r="AC690" t="s">
        <v>74</v>
      </c>
      <c r="AD690" t="s">
        <v>74</v>
      </c>
      <c r="AE690" t="s">
        <v>74</v>
      </c>
      <c r="AF690" t="s">
        <v>74</v>
      </c>
      <c r="AG690">
        <v>102</v>
      </c>
      <c r="AH690">
        <v>11</v>
      </c>
      <c r="AI690">
        <v>11</v>
      </c>
      <c r="AJ690">
        <v>4</v>
      </c>
      <c r="AK690">
        <v>17</v>
      </c>
      <c r="AL690" t="s">
        <v>665</v>
      </c>
      <c r="AM690" t="s">
        <v>2922</v>
      </c>
      <c r="AN690" t="s">
        <v>2923</v>
      </c>
      <c r="AO690" t="s">
        <v>12373</v>
      </c>
      <c r="AP690" t="s">
        <v>12374</v>
      </c>
      <c r="AQ690" t="s">
        <v>74</v>
      </c>
      <c r="AR690" t="s">
        <v>12375</v>
      </c>
      <c r="AS690" t="s">
        <v>12376</v>
      </c>
      <c r="AT690" t="s">
        <v>455</v>
      </c>
      <c r="AU690">
        <v>2023</v>
      </c>
      <c r="AV690">
        <v>29</v>
      </c>
      <c r="AW690">
        <v>3</v>
      </c>
      <c r="AX690" t="s">
        <v>74</v>
      </c>
      <c r="AY690" t="s">
        <v>74</v>
      </c>
      <c r="AZ690" t="s">
        <v>74</v>
      </c>
      <c r="BA690" t="s">
        <v>74</v>
      </c>
      <c r="BB690">
        <v>311</v>
      </c>
      <c r="BC690">
        <v>336</v>
      </c>
      <c r="BD690" t="s">
        <v>74</v>
      </c>
      <c r="BE690" t="s">
        <v>12377</v>
      </c>
      <c r="BF690" t="str">
        <f>HYPERLINK("http://dx.doi.org/10.1007/s10610-023-09559-5","http://dx.doi.org/10.1007/s10610-023-09559-5")</f>
        <v>http://dx.doi.org/10.1007/s10610-023-09559-5</v>
      </c>
      <c r="BG690" t="s">
        <v>74</v>
      </c>
      <c r="BH690" t="s">
        <v>3138</v>
      </c>
      <c r="BI690">
        <v>26</v>
      </c>
      <c r="BJ690" t="s">
        <v>7688</v>
      </c>
      <c r="BK690" t="s">
        <v>99</v>
      </c>
      <c r="BL690" t="s">
        <v>7688</v>
      </c>
      <c r="BM690" t="s">
        <v>12378</v>
      </c>
      <c r="BN690" t="s">
        <v>74</v>
      </c>
      <c r="BO690" t="s">
        <v>156</v>
      </c>
      <c r="BP690" t="s">
        <v>74</v>
      </c>
      <c r="BQ690" t="s">
        <v>74</v>
      </c>
      <c r="BR690" t="s">
        <v>102</v>
      </c>
      <c r="BS690" t="s">
        <v>12379</v>
      </c>
      <c r="BT690" t="str">
        <f>HYPERLINK("https%3A%2F%2Fwww.webofscience.com%2Fwos%2Fwoscc%2Ffull-record%2FWOS:001046643400001","View Full Record in Web of Science")</f>
        <v>View Full Record in Web of Science</v>
      </c>
    </row>
    <row r="691" spans="1:72" x14ac:dyDescent="0.35">
      <c r="A691" t="s">
        <v>72</v>
      </c>
      <c r="B691" t="s">
        <v>12380</v>
      </c>
      <c r="C691" t="s">
        <v>74</v>
      </c>
      <c r="D691" t="s">
        <v>74</v>
      </c>
      <c r="E691" t="s">
        <v>74</v>
      </c>
      <c r="F691" t="s">
        <v>12381</v>
      </c>
      <c r="G691" t="s">
        <v>74</v>
      </c>
      <c r="H691" t="s">
        <v>74</v>
      </c>
      <c r="I691" t="s">
        <v>12382</v>
      </c>
      <c r="J691" t="s">
        <v>12383</v>
      </c>
      <c r="K691" t="s">
        <v>74</v>
      </c>
      <c r="L691" t="s">
        <v>74</v>
      </c>
      <c r="M691" t="s">
        <v>78</v>
      </c>
      <c r="N691" t="s">
        <v>108</v>
      </c>
      <c r="O691" t="s">
        <v>74</v>
      </c>
      <c r="P691" t="s">
        <v>74</v>
      </c>
      <c r="Q691" t="s">
        <v>74</v>
      </c>
      <c r="R691" t="s">
        <v>74</v>
      </c>
      <c r="S691" t="s">
        <v>74</v>
      </c>
      <c r="T691" t="s">
        <v>74</v>
      </c>
      <c r="U691" t="s">
        <v>12384</v>
      </c>
      <c r="V691" t="s">
        <v>74</v>
      </c>
      <c r="W691" t="s">
        <v>12385</v>
      </c>
      <c r="X691" t="s">
        <v>12386</v>
      </c>
      <c r="Y691" t="s">
        <v>12387</v>
      </c>
      <c r="Z691" t="s">
        <v>74</v>
      </c>
      <c r="AA691" t="s">
        <v>12388</v>
      </c>
      <c r="AB691" t="s">
        <v>12389</v>
      </c>
      <c r="AC691" t="s">
        <v>74</v>
      </c>
      <c r="AD691" t="s">
        <v>74</v>
      </c>
      <c r="AE691" t="s">
        <v>74</v>
      </c>
      <c r="AF691" t="s">
        <v>74</v>
      </c>
      <c r="AG691">
        <v>19</v>
      </c>
      <c r="AH691">
        <v>7</v>
      </c>
      <c r="AI691">
        <v>8</v>
      </c>
      <c r="AJ691">
        <v>1</v>
      </c>
      <c r="AK691">
        <v>4</v>
      </c>
      <c r="AL691" t="s">
        <v>1901</v>
      </c>
      <c r="AM691" t="s">
        <v>995</v>
      </c>
      <c r="AN691" t="s">
        <v>1902</v>
      </c>
      <c r="AO691" t="s">
        <v>12390</v>
      </c>
      <c r="AP691" t="s">
        <v>12391</v>
      </c>
      <c r="AQ691" t="s">
        <v>74</v>
      </c>
      <c r="AR691" t="s">
        <v>12392</v>
      </c>
      <c r="AS691" t="s">
        <v>12393</v>
      </c>
      <c r="AT691" t="s">
        <v>1275</v>
      </c>
      <c r="AU691">
        <v>2021</v>
      </c>
      <c r="AV691">
        <v>20</v>
      </c>
      <c r="AW691">
        <v>4</v>
      </c>
      <c r="AX691" t="s">
        <v>74</v>
      </c>
      <c r="AY691" t="s">
        <v>74</v>
      </c>
      <c r="AZ691" t="s">
        <v>74</v>
      </c>
      <c r="BA691" t="s">
        <v>74</v>
      </c>
      <c r="BB691">
        <v>595</v>
      </c>
      <c r="BC691">
        <v>596</v>
      </c>
      <c r="BD691" t="s">
        <v>74</v>
      </c>
      <c r="BE691" t="s">
        <v>12394</v>
      </c>
      <c r="BF691" t="str">
        <f>HYPERLINK("http://dx.doi.org/10.1097/ADT.0000000000000255","http://dx.doi.org/10.1097/ADT.0000000000000255")</f>
        <v>http://dx.doi.org/10.1097/ADT.0000000000000255</v>
      </c>
      <c r="BG691" t="s">
        <v>74</v>
      </c>
      <c r="BH691" t="s">
        <v>74</v>
      </c>
      <c r="BI691">
        <v>2</v>
      </c>
      <c r="BJ691" t="s">
        <v>4614</v>
      </c>
      <c r="BK691" t="s">
        <v>125</v>
      </c>
      <c r="BL691" t="s">
        <v>4614</v>
      </c>
      <c r="BM691" t="s">
        <v>12395</v>
      </c>
      <c r="BN691" t="s">
        <v>74</v>
      </c>
      <c r="BO691" t="s">
        <v>74</v>
      </c>
      <c r="BP691" t="s">
        <v>74</v>
      </c>
      <c r="BQ691" t="s">
        <v>74</v>
      </c>
      <c r="BR691" t="s">
        <v>102</v>
      </c>
      <c r="BS691" t="s">
        <v>12396</v>
      </c>
      <c r="BT691" t="str">
        <f>HYPERLINK("https%3A%2F%2Fwww.webofscience.com%2Fwos%2Fwoscc%2Ffull-record%2FWOS:000718527000048","View Full Record in Web of Science")</f>
        <v>View Full Record in Web of Science</v>
      </c>
    </row>
    <row r="692" spans="1:72" x14ac:dyDescent="0.35">
      <c r="A692" t="s">
        <v>72</v>
      </c>
      <c r="B692" t="s">
        <v>12397</v>
      </c>
      <c r="C692" t="s">
        <v>74</v>
      </c>
      <c r="D692" t="s">
        <v>74</v>
      </c>
      <c r="E692" t="s">
        <v>74</v>
      </c>
      <c r="F692" t="s">
        <v>12398</v>
      </c>
      <c r="G692" t="s">
        <v>74</v>
      </c>
      <c r="H692" t="s">
        <v>74</v>
      </c>
      <c r="I692" t="s">
        <v>12399</v>
      </c>
      <c r="J692" t="s">
        <v>580</v>
      </c>
      <c r="K692" t="s">
        <v>74</v>
      </c>
      <c r="L692" t="s">
        <v>74</v>
      </c>
      <c r="M692" t="s">
        <v>78</v>
      </c>
      <c r="N692" t="s">
        <v>108</v>
      </c>
      <c r="O692" t="s">
        <v>74</v>
      </c>
      <c r="P692" t="s">
        <v>74</v>
      </c>
      <c r="Q692" t="s">
        <v>74</v>
      </c>
      <c r="R692" t="s">
        <v>74</v>
      </c>
      <c r="S692" t="s">
        <v>74</v>
      </c>
      <c r="T692" t="s">
        <v>12400</v>
      </c>
      <c r="U692" t="s">
        <v>12401</v>
      </c>
      <c r="V692" t="s">
        <v>12402</v>
      </c>
      <c r="W692" t="s">
        <v>12403</v>
      </c>
      <c r="X692" t="s">
        <v>12404</v>
      </c>
      <c r="Y692" t="s">
        <v>12405</v>
      </c>
      <c r="Z692" t="s">
        <v>12406</v>
      </c>
      <c r="AA692" t="s">
        <v>12407</v>
      </c>
      <c r="AB692" t="s">
        <v>12408</v>
      </c>
      <c r="AC692" t="s">
        <v>74</v>
      </c>
      <c r="AD692" t="s">
        <v>74</v>
      </c>
      <c r="AE692" t="s">
        <v>74</v>
      </c>
      <c r="AF692" t="s">
        <v>74</v>
      </c>
      <c r="AG692">
        <v>32</v>
      </c>
      <c r="AH692">
        <v>3</v>
      </c>
      <c r="AI692">
        <v>3</v>
      </c>
      <c r="AJ692">
        <v>3</v>
      </c>
      <c r="AK692">
        <v>13</v>
      </c>
      <c r="AL692" t="s">
        <v>516</v>
      </c>
      <c r="AM692" t="s">
        <v>517</v>
      </c>
      <c r="AN692" t="s">
        <v>518</v>
      </c>
      <c r="AO692" t="s">
        <v>590</v>
      </c>
      <c r="AP692" t="s">
        <v>591</v>
      </c>
      <c r="AQ692" t="s">
        <v>74</v>
      </c>
      <c r="AR692" t="s">
        <v>592</v>
      </c>
      <c r="AS692" t="s">
        <v>593</v>
      </c>
      <c r="AT692" t="s">
        <v>178</v>
      </c>
      <c r="AU692">
        <v>2023</v>
      </c>
      <c r="AV692">
        <v>124</v>
      </c>
      <c r="AW692">
        <v>1</v>
      </c>
      <c r="AX692" t="s">
        <v>74</v>
      </c>
      <c r="AY692" t="s">
        <v>4946</v>
      </c>
      <c r="AZ692" t="s">
        <v>74</v>
      </c>
      <c r="BA692" t="s">
        <v>74</v>
      </c>
      <c r="BB692" t="s">
        <v>74</v>
      </c>
      <c r="BC692" t="s">
        <v>74</v>
      </c>
      <c r="BD692" t="s">
        <v>74</v>
      </c>
      <c r="BE692" t="s">
        <v>12409</v>
      </c>
      <c r="BF692" t="str">
        <f>HYPERLINK("http://dx.doi.org/10.1016/j.jormas.2022.10.019","http://dx.doi.org/10.1016/j.jormas.2022.10.019")</f>
        <v>http://dx.doi.org/10.1016/j.jormas.2022.10.019</v>
      </c>
      <c r="BG692" t="s">
        <v>74</v>
      </c>
      <c r="BH692" t="s">
        <v>6895</v>
      </c>
      <c r="BI692">
        <v>9</v>
      </c>
      <c r="BJ692" t="s">
        <v>599</v>
      </c>
      <c r="BK692" t="s">
        <v>209</v>
      </c>
      <c r="BL692" t="s">
        <v>599</v>
      </c>
      <c r="BM692" t="s">
        <v>12410</v>
      </c>
      <c r="BN692">
        <v>36544287</v>
      </c>
      <c r="BO692" t="s">
        <v>74</v>
      </c>
      <c r="BP692" t="s">
        <v>74</v>
      </c>
      <c r="BQ692" t="s">
        <v>74</v>
      </c>
      <c r="BR692" t="s">
        <v>102</v>
      </c>
      <c r="BS692" t="s">
        <v>12411</v>
      </c>
      <c r="BT692" t="str">
        <f>HYPERLINK("https%3A%2F%2Fwww.webofscience.com%2Fwos%2Fwoscc%2Ffull-record%2FWOS:000964405800030","View Full Record in Web of Science")</f>
        <v>View Full Record in Web of Science</v>
      </c>
    </row>
    <row r="693" spans="1:72" x14ac:dyDescent="0.35">
      <c r="A693" t="s">
        <v>72</v>
      </c>
      <c r="B693" t="s">
        <v>12412</v>
      </c>
      <c r="C693" t="s">
        <v>74</v>
      </c>
      <c r="D693" t="s">
        <v>74</v>
      </c>
      <c r="E693" t="s">
        <v>74</v>
      </c>
      <c r="F693" t="s">
        <v>12413</v>
      </c>
      <c r="G693" t="s">
        <v>74</v>
      </c>
      <c r="H693" t="s">
        <v>74</v>
      </c>
      <c r="I693" t="s">
        <v>12414</v>
      </c>
      <c r="J693" t="s">
        <v>1962</v>
      </c>
      <c r="K693" t="s">
        <v>74</v>
      </c>
      <c r="L693" t="s">
        <v>74</v>
      </c>
      <c r="M693" t="s">
        <v>78</v>
      </c>
      <c r="N693" t="s">
        <v>52</v>
      </c>
      <c r="O693" t="s">
        <v>74</v>
      </c>
      <c r="P693" t="s">
        <v>74</v>
      </c>
      <c r="Q693" t="s">
        <v>74</v>
      </c>
      <c r="R693" t="s">
        <v>74</v>
      </c>
      <c r="S693" t="s">
        <v>74</v>
      </c>
      <c r="T693" t="s">
        <v>74</v>
      </c>
      <c r="U693" t="s">
        <v>74</v>
      </c>
      <c r="V693" t="s">
        <v>74</v>
      </c>
      <c r="W693" t="s">
        <v>12415</v>
      </c>
      <c r="X693" t="s">
        <v>12416</v>
      </c>
      <c r="Y693" t="s">
        <v>74</v>
      </c>
      <c r="Z693" t="s">
        <v>74</v>
      </c>
      <c r="AA693" t="s">
        <v>74</v>
      </c>
      <c r="AB693" t="s">
        <v>74</v>
      </c>
      <c r="AC693" t="s">
        <v>74</v>
      </c>
      <c r="AD693" t="s">
        <v>74</v>
      </c>
      <c r="AE693" t="s">
        <v>74</v>
      </c>
      <c r="AF693" t="s">
        <v>74</v>
      </c>
      <c r="AG693">
        <v>0</v>
      </c>
      <c r="AH693">
        <v>0</v>
      </c>
      <c r="AI693">
        <v>0</v>
      </c>
      <c r="AJ693">
        <v>0</v>
      </c>
      <c r="AK693">
        <v>0</v>
      </c>
      <c r="AL693" t="s">
        <v>1965</v>
      </c>
      <c r="AM693" t="s">
        <v>666</v>
      </c>
      <c r="AN693" t="s">
        <v>1966</v>
      </c>
      <c r="AO693" t="s">
        <v>1967</v>
      </c>
      <c r="AP693" t="s">
        <v>1968</v>
      </c>
      <c r="AQ693" t="s">
        <v>74</v>
      </c>
      <c r="AR693" t="s">
        <v>1962</v>
      </c>
      <c r="AS693" t="s">
        <v>1969</v>
      </c>
      <c r="AT693" t="s">
        <v>523</v>
      </c>
      <c r="AU693">
        <v>2023</v>
      </c>
      <c r="AV693">
        <v>127</v>
      </c>
      <c r="AW693" t="s">
        <v>74</v>
      </c>
      <c r="AX693" t="s">
        <v>74</v>
      </c>
      <c r="AY693" t="s">
        <v>74</v>
      </c>
      <c r="AZ693" t="s">
        <v>74</v>
      </c>
      <c r="BA693" t="s">
        <v>12417</v>
      </c>
      <c r="BB693">
        <v>33</v>
      </c>
      <c r="BC693">
        <v>33</v>
      </c>
      <c r="BD693" t="s">
        <v>74</v>
      </c>
      <c r="BE693" t="s">
        <v>12418</v>
      </c>
      <c r="BF693" t="str">
        <f>HYPERLINK("http://dx.doi.org/10.1016/j.contraception.2023.110244","http://dx.doi.org/10.1016/j.contraception.2023.110244")</f>
        <v>http://dx.doi.org/10.1016/j.contraception.2023.110244</v>
      </c>
      <c r="BG693" t="s">
        <v>74</v>
      </c>
      <c r="BH693" t="s">
        <v>207</v>
      </c>
      <c r="BI693">
        <v>1</v>
      </c>
      <c r="BJ693" t="s">
        <v>1971</v>
      </c>
      <c r="BK693" t="s">
        <v>209</v>
      </c>
      <c r="BL693" t="s">
        <v>1971</v>
      </c>
      <c r="BM693" t="s">
        <v>12419</v>
      </c>
      <c r="BN693" t="s">
        <v>74</v>
      </c>
      <c r="BO693" t="s">
        <v>74</v>
      </c>
      <c r="BP693" t="s">
        <v>74</v>
      </c>
      <c r="BQ693" t="s">
        <v>74</v>
      </c>
      <c r="BR693" t="s">
        <v>102</v>
      </c>
      <c r="BS693" t="s">
        <v>12420</v>
      </c>
      <c r="BT693" t="str">
        <f>HYPERLINK("https%3A%2F%2Fwww.webofscience.com%2Fwos%2Fwoscc%2Ffull-record%2FWOS:001114085100099","View Full Record in Web of Science")</f>
        <v>View Full Record in Web of Science</v>
      </c>
    </row>
    <row r="694" spans="1:72" x14ac:dyDescent="0.35">
      <c r="A694" t="s">
        <v>72</v>
      </c>
      <c r="B694" t="s">
        <v>12421</v>
      </c>
      <c r="C694" t="s">
        <v>74</v>
      </c>
      <c r="D694" t="s">
        <v>74</v>
      </c>
      <c r="E694" t="s">
        <v>74</v>
      </c>
      <c r="F694" t="s">
        <v>12422</v>
      </c>
      <c r="G694" t="s">
        <v>74</v>
      </c>
      <c r="H694" t="s">
        <v>74</v>
      </c>
      <c r="I694" t="s">
        <v>12423</v>
      </c>
      <c r="J694" t="s">
        <v>1962</v>
      </c>
      <c r="K694" t="s">
        <v>74</v>
      </c>
      <c r="L694" t="s">
        <v>74</v>
      </c>
      <c r="M694" t="s">
        <v>78</v>
      </c>
      <c r="N694" t="s">
        <v>52</v>
      </c>
      <c r="O694" t="s">
        <v>74</v>
      </c>
      <c r="P694" t="s">
        <v>74</v>
      </c>
      <c r="Q694" t="s">
        <v>74</v>
      </c>
      <c r="R694" t="s">
        <v>74</v>
      </c>
      <c r="S694" t="s">
        <v>74</v>
      </c>
      <c r="T694" t="s">
        <v>74</v>
      </c>
      <c r="U694" t="s">
        <v>74</v>
      </c>
      <c r="V694" t="s">
        <v>74</v>
      </c>
      <c r="W694" t="s">
        <v>12424</v>
      </c>
      <c r="X694" t="s">
        <v>10605</v>
      </c>
      <c r="Y694" t="s">
        <v>74</v>
      </c>
      <c r="Z694" t="s">
        <v>74</v>
      </c>
      <c r="AA694" t="s">
        <v>74</v>
      </c>
      <c r="AB694" t="s">
        <v>74</v>
      </c>
      <c r="AC694" t="s">
        <v>74</v>
      </c>
      <c r="AD694" t="s">
        <v>74</v>
      </c>
      <c r="AE694" t="s">
        <v>74</v>
      </c>
      <c r="AF694" t="s">
        <v>74</v>
      </c>
      <c r="AG694">
        <v>0</v>
      </c>
      <c r="AH694">
        <v>0</v>
      </c>
      <c r="AI694">
        <v>0</v>
      </c>
      <c r="AJ694">
        <v>0</v>
      </c>
      <c r="AK694">
        <v>0</v>
      </c>
      <c r="AL694" t="s">
        <v>1965</v>
      </c>
      <c r="AM694" t="s">
        <v>666</v>
      </c>
      <c r="AN694" t="s">
        <v>1966</v>
      </c>
      <c r="AO694" t="s">
        <v>1967</v>
      </c>
      <c r="AP694" t="s">
        <v>1968</v>
      </c>
      <c r="AQ694" t="s">
        <v>74</v>
      </c>
      <c r="AR694" t="s">
        <v>1962</v>
      </c>
      <c r="AS694" t="s">
        <v>1969</v>
      </c>
      <c r="AT694" t="s">
        <v>523</v>
      </c>
      <c r="AU694">
        <v>2024</v>
      </c>
      <c r="AV694">
        <v>139</v>
      </c>
      <c r="AW694" t="s">
        <v>74</v>
      </c>
      <c r="AX694" t="s">
        <v>74</v>
      </c>
      <c r="AY694" t="s">
        <v>74</v>
      </c>
      <c r="AZ694" t="s">
        <v>74</v>
      </c>
      <c r="BA694" t="s">
        <v>12425</v>
      </c>
      <c r="BB694" t="s">
        <v>74</v>
      </c>
      <c r="BC694" t="s">
        <v>74</v>
      </c>
      <c r="BD694" t="s">
        <v>74</v>
      </c>
      <c r="BE694" t="s">
        <v>74</v>
      </c>
      <c r="BF694" t="s">
        <v>74</v>
      </c>
      <c r="BG694" t="s">
        <v>74</v>
      </c>
      <c r="BH694" t="s">
        <v>74</v>
      </c>
      <c r="BI694">
        <v>1</v>
      </c>
      <c r="BJ694" t="s">
        <v>1971</v>
      </c>
      <c r="BK694" t="s">
        <v>209</v>
      </c>
      <c r="BL694" t="s">
        <v>1971</v>
      </c>
      <c r="BM694" t="s">
        <v>1972</v>
      </c>
      <c r="BN694" t="s">
        <v>74</v>
      </c>
      <c r="BO694" t="s">
        <v>74</v>
      </c>
      <c r="BP694" t="s">
        <v>74</v>
      </c>
      <c r="BQ694" t="s">
        <v>74</v>
      </c>
      <c r="BR694" t="s">
        <v>102</v>
      </c>
      <c r="BS694" t="s">
        <v>12426</v>
      </c>
      <c r="BT694" t="str">
        <f>HYPERLINK("https%3A%2F%2Fwww.webofscience.com%2Fwos%2Fwoscc%2Ffull-record%2FWOS:001330525700108","View Full Record in Web of Science")</f>
        <v>View Full Record in Web of Science</v>
      </c>
    </row>
    <row r="695" spans="1:72" x14ac:dyDescent="0.35">
      <c r="A695" t="s">
        <v>72</v>
      </c>
      <c r="B695" t="s">
        <v>12427</v>
      </c>
      <c r="C695" t="s">
        <v>74</v>
      </c>
      <c r="D695" t="s">
        <v>74</v>
      </c>
      <c r="E695" t="s">
        <v>74</v>
      </c>
      <c r="F695" t="s">
        <v>12428</v>
      </c>
      <c r="G695" t="s">
        <v>74</v>
      </c>
      <c r="H695" t="s">
        <v>74</v>
      </c>
      <c r="I695" t="s">
        <v>12429</v>
      </c>
      <c r="J695" t="s">
        <v>12430</v>
      </c>
      <c r="K695" t="s">
        <v>74</v>
      </c>
      <c r="L695" t="s">
        <v>74</v>
      </c>
      <c r="M695" t="s">
        <v>78</v>
      </c>
      <c r="N695" t="s">
        <v>2042</v>
      </c>
      <c r="O695" t="s">
        <v>74</v>
      </c>
      <c r="P695" t="s">
        <v>74</v>
      </c>
      <c r="Q695" t="s">
        <v>74</v>
      </c>
      <c r="R695" t="s">
        <v>74</v>
      </c>
      <c r="S695" t="s">
        <v>74</v>
      </c>
      <c r="T695" t="s">
        <v>74</v>
      </c>
      <c r="U695" t="s">
        <v>12431</v>
      </c>
      <c r="V695" t="s">
        <v>74</v>
      </c>
      <c r="W695" t="s">
        <v>12432</v>
      </c>
      <c r="X695" t="s">
        <v>12433</v>
      </c>
      <c r="Y695" t="s">
        <v>12434</v>
      </c>
      <c r="Z695" t="s">
        <v>12435</v>
      </c>
      <c r="AA695" t="s">
        <v>74</v>
      </c>
      <c r="AB695" t="s">
        <v>74</v>
      </c>
      <c r="AC695" t="s">
        <v>74</v>
      </c>
      <c r="AD695" t="s">
        <v>74</v>
      </c>
      <c r="AE695" t="s">
        <v>74</v>
      </c>
      <c r="AF695" t="s">
        <v>74</v>
      </c>
      <c r="AG695">
        <v>14</v>
      </c>
      <c r="AH695">
        <v>1</v>
      </c>
      <c r="AI695">
        <v>1</v>
      </c>
      <c r="AJ695">
        <v>1</v>
      </c>
      <c r="AK695">
        <v>5</v>
      </c>
      <c r="AL695" t="s">
        <v>12436</v>
      </c>
      <c r="AM695" t="s">
        <v>12437</v>
      </c>
      <c r="AN695" t="s">
        <v>12438</v>
      </c>
      <c r="AO695" t="s">
        <v>12439</v>
      </c>
      <c r="AP695" t="s">
        <v>12440</v>
      </c>
      <c r="AQ695" t="s">
        <v>74</v>
      </c>
      <c r="AR695" t="s">
        <v>12441</v>
      </c>
      <c r="AS695" t="s">
        <v>12442</v>
      </c>
      <c r="AT695" t="s">
        <v>10144</v>
      </c>
      <c r="AU695">
        <v>2023</v>
      </c>
      <c r="AV695">
        <v>253</v>
      </c>
      <c r="AW695" t="s">
        <v>74</v>
      </c>
      <c r="AX695" t="s">
        <v>74</v>
      </c>
      <c r="AY695" t="s">
        <v>74</v>
      </c>
      <c r="AZ695" t="s">
        <v>74</v>
      </c>
      <c r="BA695" t="s">
        <v>74</v>
      </c>
      <c r="BB695" t="s">
        <v>10425</v>
      </c>
      <c r="BC695" t="s">
        <v>10426</v>
      </c>
      <c r="BD695" t="s">
        <v>74</v>
      </c>
      <c r="BE695" t="s">
        <v>12443</v>
      </c>
      <c r="BF695" t="str">
        <f>HYPERLINK("http://dx.doi.org/10.12788/cutis.0731","http://dx.doi.org/10.12788/cutis.0731")</f>
        <v>http://dx.doi.org/10.12788/cutis.0731</v>
      </c>
      <c r="BG695" t="s">
        <v>74</v>
      </c>
      <c r="BH695" t="s">
        <v>74</v>
      </c>
      <c r="BI695">
        <v>2</v>
      </c>
      <c r="BJ695" t="s">
        <v>12444</v>
      </c>
      <c r="BK695" t="s">
        <v>209</v>
      </c>
      <c r="BL695" t="s">
        <v>12445</v>
      </c>
      <c r="BM695" t="s">
        <v>12446</v>
      </c>
      <c r="BN695">
        <v>37075186</v>
      </c>
      <c r="BO695" t="s">
        <v>767</v>
      </c>
      <c r="BP695" t="s">
        <v>74</v>
      </c>
      <c r="BQ695" t="s">
        <v>74</v>
      </c>
      <c r="BR695" t="s">
        <v>102</v>
      </c>
      <c r="BS695" t="s">
        <v>12447</v>
      </c>
      <c r="BT695" t="str">
        <f>HYPERLINK("https%3A%2F%2Fwww.webofscience.com%2Fwos%2Fwoscc%2Ffull-record%2FWOS:000993796100006","View Full Record in Web of Science")</f>
        <v>View Full Record in Web of Science</v>
      </c>
    </row>
    <row r="696" spans="1:72" x14ac:dyDescent="0.35">
      <c r="A696" t="s">
        <v>8845</v>
      </c>
      <c r="B696" t="s">
        <v>12142</v>
      </c>
      <c r="C696" t="s">
        <v>12142</v>
      </c>
      <c r="D696" t="s">
        <v>74</v>
      </c>
      <c r="E696" t="s">
        <v>74</v>
      </c>
      <c r="F696" t="s">
        <v>12143</v>
      </c>
      <c r="G696" t="s">
        <v>12142</v>
      </c>
      <c r="H696" t="s">
        <v>74</v>
      </c>
      <c r="I696" t="s">
        <v>12448</v>
      </c>
      <c r="J696" t="s">
        <v>12145</v>
      </c>
      <c r="K696" t="s">
        <v>74</v>
      </c>
      <c r="L696" t="s">
        <v>74</v>
      </c>
      <c r="M696" t="s">
        <v>78</v>
      </c>
      <c r="N696" t="s">
        <v>4953</v>
      </c>
      <c r="O696" t="s">
        <v>74</v>
      </c>
      <c r="P696" t="s">
        <v>74</v>
      </c>
      <c r="Q696" t="s">
        <v>74</v>
      </c>
      <c r="R696" t="s">
        <v>74</v>
      </c>
      <c r="S696" t="s">
        <v>74</v>
      </c>
      <c r="T696" t="s">
        <v>74</v>
      </c>
      <c r="U696" t="s">
        <v>74</v>
      </c>
      <c r="V696" t="s">
        <v>74</v>
      </c>
      <c r="W696" t="s">
        <v>74</v>
      </c>
      <c r="X696" t="s">
        <v>74</v>
      </c>
      <c r="Y696" t="s">
        <v>74</v>
      </c>
      <c r="Z696" t="s">
        <v>74</v>
      </c>
      <c r="AA696" t="s">
        <v>74</v>
      </c>
      <c r="AB696" t="s">
        <v>74</v>
      </c>
      <c r="AC696" t="s">
        <v>74</v>
      </c>
      <c r="AD696" t="s">
        <v>74</v>
      </c>
      <c r="AE696" t="s">
        <v>74</v>
      </c>
      <c r="AF696" t="s">
        <v>74</v>
      </c>
      <c r="AG696">
        <v>0</v>
      </c>
      <c r="AH696">
        <v>0</v>
      </c>
      <c r="AI696">
        <v>0</v>
      </c>
      <c r="AJ696">
        <v>0</v>
      </c>
      <c r="AK696">
        <v>0</v>
      </c>
      <c r="AL696" t="s">
        <v>12146</v>
      </c>
      <c r="AM696" t="s">
        <v>12147</v>
      </c>
      <c r="AN696" t="s">
        <v>12148</v>
      </c>
      <c r="AO696" t="s">
        <v>74</v>
      </c>
      <c r="AP696" t="s">
        <v>74</v>
      </c>
      <c r="AQ696" t="s">
        <v>12149</v>
      </c>
      <c r="AR696" t="s">
        <v>74</v>
      </c>
      <c r="AS696" t="s">
        <v>74</v>
      </c>
      <c r="AT696" t="s">
        <v>74</v>
      </c>
      <c r="AU696">
        <v>2023</v>
      </c>
      <c r="AV696" t="s">
        <v>74</v>
      </c>
      <c r="AW696" t="s">
        <v>74</v>
      </c>
      <c r="AX696" t="s">
        <v>74</v>
      </c>
      <c r="AY696" t="s">
        <v>74</v>
      </c>
      <c r="AZ696" t="s">
        <v>74</v>
      </c>
      <c r="BA696" t="s">
        <v>74</v>
      </c>
      <c r="BB696">
        <v>231</v>
      </c>
      <c r="BC696">
        <v>246</v>
      </c>
      <c r="BD696" t="s">
        <v>74</v>
      </c>
      <c r="BE696" t="s">
        <v>74</v>
      </c>
      <c r="BF696" t="s">
        <v>74</v>
      </c>
      <c r="BG696" t="s">
        <v>74</v>
      </c>
      <c r="BH696" t="s">
        <v>74</v>
      </c>
      <c r="BI696">
        <v>16</v>
      </c>
      <c r="BJ696" t="s">
        <v>12150</v>
      </c>
      <c r="BK696" t="s">
        <v>8862</v>
      </c>
      <c r="BL696" t="s">
        <v>12151</v>
      </c>
      <c r="BM696" t="s">
        <v>12152</v>
      </c>
      <c r="BN696" t="s">
        <v>74</v>
      </c>
      <c r="BO696" t="s">
        <v>74</v>
      </c>
      <c r="BP696" t="s">
        <v>74</v>
      </c>
      <c r="BQ696" t="s">
        <v>74</v>
      </c>
      <c r="BR696" t="s">
        <v>102</v>
      </c>
      <c r="BS696" t="s">
        <v>12449</v>
      </c>
      <c r="BT696" t="str">
        <f>HYPERLINK("https%3A%2F%2Fwww.webofscience.com%2Fwos%2Fwoscc%2Ffull-record%2FWOS:001094889100012","View Full Record in Web of Science")</f>
        <v>View Full Record in Web of Science</v>
      </c>
    </row>
    <row r="697" spans="1:72" x14ac:dyDescent="0.35">
      <c r="A697" t="s">
        <v>72</v>
      </c>
      <c r="B697" t="s">
        <v>12450</v>
      </c>
      <c r="C697" t="s">
        <v>74</v>
      </c>
      <c r="D697" t="s">
        <v>74</v>
      </c>
      <c r="E697" t="s">
        <v>74</v>
      </c>
      <c r="F697" t="s">
        <v>12451</v>
      </c>
      <c r="G697" t="s">
        <v>74</v>
      </c>
      <c r="H697" t="s">
        <v>74</v>
      </c>
      <c r="I697" t="s">
        <v>12452</v>
      </c>
      <c r="J697" t="s">
        <v>10432</v>
      </c>
      <c r="K697" t="s">
        <v>74</v>
      </c>
      <c r="L697" t="s">
        <v>74</v>
      </c>
      <c r="M697" t="s">
        <v>78</v>
      </c>
      <c r="N697" t="s">
        <v>52</v>
      </c>
      <c r="O697" t="s">
        <v>74</v>
      </c>
      <c r="P697" t="s">
        <v>74</v>
      </c>
      <c r="Q697" t="s">
        <v>74</v>
      </c>
      <c r="R697" t="s">
        <v>74</v>
      </c>
      <c r="S697" t="s">
        <v>74</v>
      </c>
      <c r="T697" t="s">
        <v>74</v>
      </c>
      <c r="U697" t="s">
        <v>74</v>
      </c>
      <c r="V697" t="s">
        <v>74</v>
      </c>
      <c r="W697" t="s">
        <v>12453</v>
      </c>
      <c r="X697" t="s">
        <v>12454</v>
      </c>
      <c r="Y697" t="s">
        <v>74</v>
      </c>
      <c r="Z697" t="s">
        <v>74</v>
      </c>
      <c r="AA697" t="s">
        <v>12455</v>
      </c>
      <c r="AB697" t="s">
        <v>74</v>
      </c>
      <c r="AC697" t="s">
        <v>74</v>
      </c>
      <c r="AD697" t="s">
        <v>74</v>
      </c>
      <c r="AE697" t="s">
        <v>74</v>
      </c>
      <c r="AF697" t="s">
        <v>74</v>
      </c>
      <c r="AG697">
        <v>0</v>
      </c>
      <c r="AH697">
        <v>0</v>
      </c>
      <c r="AI697">
        <v>0</v>
      </c>
      <c r="AJ697">
        <v>1</v>
      </c>
      <c r="AK697">
        <v>1</v>
      </c>
      <c r="AL697" t="s">
        <v>1965</v>
      </c>
      <c r="AM697" t="s">
        <v>666</v>
      </c>
      <c r="AN697" t="s">
        <v>1966</v>
      </c>
      <c r="AO697" t="s">
        <v>10436</v>
      </c>
      <c r="AP697" t="s">
        <v>10437</v>
      </c>
      <c r="AQ697" t="s">
        <v>74</v>
      </c>
      <c r="AR697" t="s">
        <v>10438</v>
      </c>
      <c r="AS697" t="s">
        <v>10439</v>
      </c>
      <c r="AT697" t="s">
        <v>297</v>
      </c>
      <c r="AU697">
        <v>2022</v>
      </c>
      <c r="AV697">
        <v>142</v>
      </c>
      <c r="AW697">
        <v>8</v>
      </c>
      <c r="AX697" t="s">
        <v>74</v>
      </c>
      <c r="AY697" t="s">
        <v>4946</v>
      </c>
      <c r="AZ697" t="s">
        <v>74</v>
      </c>
      <c r="BA697">
        <v>370</v>
      </c>
      <c r="BB697" t="s">
        <v>12456</v>
      </c>
      <c r="BC697" t="s">
        <v>12456</v>
      </c>
      <c r="BD697" t="s">
        <v>74</v>
      </c>
      <c r="BE697" t="s">
        <v>74</v>
      </c>
      <c r="BF697" t="s">
        <v>74</v>
      </c>
      <c r="BG697" t="s">
        <v>74</v>
      </c>
      <c r="BH697" t="s">
        <v>74</v>
      </c>
      <c r="BI697">
        <v>1</v>
      </c>
      <c r="BJ697" t="s">
        <v>1341</v>
      </c>
      <c r="BK697" t="s">
        <v>209</v>
      </c>
      <c r="BL697" t="s">
        <v>1341</v>
      </c>
      <c r="BM697" t="s">
        <v>12457</v>
      </c>
      <c r="BN697" t="s">
        <v>74</v>
      </c>
      <c r="BO697" t="s">
        <v>74</v>
      </c>
      <c r="BP697" t="s">
        <v>74</v>
      </c>
      <c r="BQ697" t="s">
        <v>74</v>
      </c>
      <c r="BR697" t="s">
        <v>102</v>
      </c>
      <c r="BS697" t="s">
        <v>12458</v>
      </c>
      <c r="BT697" t="str">
        <f>HYPERLINK("https%3A%2F%2Fwww.webofscience.com%2Fwos%2Fwoscc%2Ffull-record%2FWOS:000829693000544","View Full Record in Web of Science")</f>
        <v>View Full Record in Web of Science</v>
      </c>
    </row>
    <row r="698" spans="1:72" x14ac:dyDescent="0.35">
      <c r="A698" t="s">
        <v>72</v>
      </c>
      <c r="B698" t="s">
        <v>12459</v>
      </c>
      <c r="C698" t="s">
        <v>74</v>
      </c>
      <c r="D698" t="s">
        <v>74</v>
      </c>
      <c r="E698" t="s">
        <v>74</v>
      </c>
      <c r="F698" t="s">
        <v>12460</v>
      </c>
      <c r="G698" t="s">
        <v>74</v>
      </c>
      <c r="H698" t="s">
        <v>74</v>
      </c>
      <c r="I698" t="s">
        <v>12461</v>
      </c>
      <c r="J698" t="s">
        <v>12462</v>
      </c>
      <c r="K698" t="s">
        <v>74</v>
      </c>
      <c r="L698" t="s">
        <v>74</v>
      </c>
      <c r="M698" t="s">
        <v>78</v>
      </c>
      <c r="N698" t="s">
        <v>108</v>
      </c>
      <c r="O698" t="s">
        <v>74</v>
      </c>
      <c r="P698" t="s">
        <v>74</v>
      </c>
      <c r="Q698" t="s">
        <v>74</v>
      </c>
      <c r="R698" t="s">
        <v>74</v>
      </c>
      <c r="S698" t="s">
        <v>74</v>
      </c>
      <c r="T698" t="s">
        <v>74</v>
      </c>
      <c r="U698" t="s">
        <v>74</v>
      </c>
      <c r="V698" t="s">
        <v>74</v>
      </c>
      <c r="W698" t="s">
        <v>12463</v>
      </c>
      <c r="X698" t="s">
        <v>12464</v>
      </c>
      <c r="Y698" t="s">
        <v>12465</v>
      </c>
      <c r="Z698" t="s">
        <v>12466</v>
      </c>
      <c r="AA698" t="s">
        <v>12467</v>
      </c>
      <c r="AB698" t="s">
        <v>74</v>
      </c>
      <c r="AC698" t="s">
        <v>74</v>
      </c>
      <c r="AD698" t="s">
        <v>74</v>
      </c>
      <c r="AE698" t="s">
        <v>74</v>
      </c>
      <c r="AF698" t="s">
        <v>74</v>
      </c>
      <c r="AG698">
        <v>4</v>
      </c>
      <c r="AH698">
        <v>1</v>
      </c>
      <c r="AI698">
        <v>1</v>
      </c>
      <c r="AJ698">
        <v>0</v>
      </c>
      <c r="AK698">
        <v>0</v>
      </c>
      <c r="AL698" t="s">
        <v>88</v>
      </c>
      <c r="AM698" t="s">
        <v>89</v>
      </c>
      <c r="AN698" t="s">
        <v>90</v>
      </c>
      <c r="AO698" t="s">
        <v>12468</v>
      </c>
      <c r="AP698" t="s">
        <v>12469</v>
      </c>
      <c r="AQ698" t="s">
        <v>74</v>
      </c>
      <c r="AR698" t="s">
        <v>12470</v>
      </c>
      <c r="AS698" t="s">
        <v>12471</v>
      </c>
      <c r="AT698" t="s">
        <v>6989</v>
      </c>
      <c r="AU698">
        <v>2024</v>
      </c>
      <c r="AV698">
        <v>25</v>
      </c>
      <c r="AW698">
        <v>2</v>
      </c>
      <c r="AX698" t="s">
        <v>74</v>
      </c>
      <c r="AY698" t="s">
        <v>74</v>
      </c>
      <c r="AZ698" t="s">
        <v>456</v>
      </c>
      <c r="BA698" t="s">
        <v>74</v>
      </c>
      <c r="BB698">
        <v>208</v>
      </c>
      <c r="BC698">
        <v>211</v>
      </c>
      <c r="BD698" t="s">
        <v>74</v>
      </c>
      <c r="BE698" t="s">
        <v>12472</v>
      </c>
      <c r="BF698" t="str">
        <f>HYPERLINK("http://dx.doi.org/10.1080/14442213.2024.2314335","http://dx.doi.org/10.1080/14442213.2024.2314335")</f>
        <v>http://dx.doi.org/10.1080/14442213.2024.2314335</v>
      </c>
      <c r="BG698" t="s">
        <v>74</v>
      </c>
      <c r="BH698" t="s">
        <v>123</v>
      </c>
      <c r="BI698">
        <v>4</v>
      </c>
      <c r="BJ698" t="s">
        <v>4834</v>
      </c>
      <c r="BK698" t="s">
        <v>99</v>
      </c>
      <c r="BL698" t="s">
        <v>4834</v>
      </c>
      <c r="BM698" t="s">
        <v>12473</v>
      </c>
      <c r="BN698" t="s">
        <v>74</v>
      </c>
      <c r="BO698" t="s">
        <v>156</v>
      </c>
      <c r="BP698" t="s">
        <v>74</v>
      </c>
      <c r="BQ698" t="s">
        <v>74</v>
      </c>
      <c r="BR698" t="s">
        <v>102</v>
      </c>
      <c r="BS698" t="s">
        <v>12474</v>
      </c>
      <c r="BT698" t="str">
        <f>HYPERLINK("https%3A%2F%2Fwww.webofscience.com%2Fwos%2Fwoscc%2Ffull-record%2FWOS:001171523100001","View Full Record in Web of Science")</f>
        <v>View Full Record in Web of Science</v>
      </c>
    </row>
    <row r="699" spans="1:72" x14ac:dyDescent="0.35">
      <c r="A699" t="s">
        <v>72</v>
      </c>
      <c r="B699" t="s">
        <v>12475</v>
      </c>
      <c r="C699" t="s">
        <v>74</v>
      </c>
      <c r="D699" t="s">
        <v>74</v>
      </c>
      <c r="E699" t="s">
        <v>74</v>
      </c>
      <c r="F699" t="s">
        <v>12476</v>
      </c>
      <c r="G699" t="s">
        <v>74</v>
      </c>
      <c r="H699" t="s">
        <v>74</v>
      </c>
      <c r="I699" t="s">
        <v>12477</v>
      </c>
      <c r="J699" t="s">
        <v>12478</v>
      </c>
      <c r="K699" t="s">
        <v>74</v>
      </c>
      <c r="L699" t="s">
        <v>74</v>
      </c>
      <c r="M699" t="s">
        <v>78</v>
      </c>
      <c r="N699" t="s">
        <v>79</v>
      </c>
      <c r="O699" t="s">
        <v>74</v>
      </c>
      <c r="P699" t="s">
        <v>74</v>
      </c>
      <c r="Q699" t="s">
        <v>74</v>
      </c>
      <c r="R699" t="s">
        <v>74</v>
      </c>
      <c r="S699" t="s">
        <v>74</v>
      </c>
      <c r="T699" t="s">
        <v>12479</v>
      </c>
      <c r="U699" t="s">
        <v>12480</v>
      </c>
      <c r="V699" t="s">
        <v>12481</v>
      </c>
      <c r="W699" t="s">
        <v>12482</v>
      </c>
      <c r="X699" t="s">
        <v>12483</v>
      </c>
      <c r="Y699" t="s">
        <v>12484</v>
      </c>
      <c r="Z699" t="s">
        <v>12485</v>
      </c>
      <c r="AA699" t="s">
        <v>74</v>
      </c>
      <c r="AB699" t="s">
        <v>12486</v>
      </c>
      <c r="AC699" t="s">
        <v>12487</v>
      </c>
      <c r="AD699" t="s">
        <v>12488</v>
      </c>
      <c r="AE699" t="s">
        <v>12489</v>
      </c>
      <c r="AF699" t="s">
        <v>74</v>
      </c>
      <c r="AG699">
        <v>88</v>
      </c>
      <c r="AH699">
        <v>1</v>
      </c>
      <c r="AI699">
        <v>1</v>
      </c>
      <c r="AJ699">
        <v>12</v>
      </c>
      <c r="AK699">
        <v>12</v>
      </c>
      <c r="AL699" t="s">
        <v>2248</v>
      </c>
      <c r="AM699" t="s">
        <v>2249</v>
      </c>
      <c r="AN699" t="s">
        <v>2250</v>
      </c>
      <c r="AO699" t="s">
        <v>12490</v>
      </c>
      <c r="AP699" t="s">
        <v>12491</v>
      </c>
      <c r="AQ699" t="s">
        <v>74</v>
      </c>
      <c r="AR699" t="s">
        <v>12492</v>
      </c>
      <c r="AS699" t="s">
        <v>12493</v>
      </c>
      <c r="AT699" t="s">
        <v>12494</v>
      </c>
      <c r="AU699">
        <v>2024</v>
      </c>
      <c r="AV699" t="s">
        <v>74</v>
      </c>
      <c r="AW699" t="s">
        <v>74</v>
      </c>
      <c r="AX699" t="s">
        <v>74</v>
      </c>
      <c r="AY699" t="s">
        <v>74</v>
      </c>
      <c r="AZ699" t="s">
        <v>74</v>
      </c>
      <c r="BA699" t="s">
        <v>74</v>
      </c>
      <c r="BB699" t="s">
        <v>74</v>
      </c>
      <c r="BC699" t="s">
        <v>74</v>
      </c>
      <c r="BD699" t="s">
        <v>74</v>
      </c>
      <c r="BE699" t="s">
        <v>12495</v>
      </c>
      <c r="BF699" t="str">
        <f>HYPERLINK("http://dx.doi.org/10.1093/jpepsy/jsae039","http://dx.doi.org/10.1093/jpepsy/jsae039")</f>
        <v>http://dx.doi.org/10.1093/jpepsy/jsae039</v>
      </c>
      <c r="BG699" t="s">
        <v>74</v>
      </c>
      <c r="BH699" t="s">
        <v>478</v>
      </c>
      <c r="BI699">
        <v>13</v>
      </c>
      <c r="BJ699" t="s">
        <v>11136</v>
      </c>
      <c r="BK699" t="s">
        <v>99</v>
      </c>
      <c r="BL699" t="s">
        <v>301</v>
      </c>
      <c r="BM699" t="s">
        <v>12496</v>
      </c>
      <c r="BN699">
        <v>38950415</v>
      </c>
      <c r="BO699" t="s">
        <v>74</v>
      </c>
      <c r="BP699" t="s">
        <v>74</v>
      </c>
      <c r="BQ699" t="s">
        <v>74</v>
      </c>
      <c r="BR699" t="s">
        <v>102</v>
      </c>
      <c r="BS699" t="s">
        <v>12497</v>
      </c>
      <c r="BT699" t="str">
        <f>HYPERLINK("https%3A%2F%2Fwww.webofscience.com%2Fwos%2Fwoscc%2Ffull-record%2FWOS:001260118500001","View Full Record in Web of Science")</f>
        <v>View Full Record in Web of Science</v>
      </c>
    </row>
    <row r="700" spans="1:72" x14ac:dyDescent="0.35">
      <c r="A700" t="s">
        <v>72</v>
      </c>
      <c r="B700" t="s">
        <v>12498</v>
      </c>
      <c r="C700" t="s">
        <v>74</v>
      </c>
      <c r="D700" t="s">
        <v>74</v>
      </c>
      <c r="E700" t="s">
        <v>74</v>
      </c>
      <c r="F700" t="s">
        <v>12499</v>
      </c>
      <c r="G700" t="s">
        <v>74</v>
      </c>
      <c r="H700" t="s">
        <v>74</v>
      </c>
      <c r="I700" t="s">
        <v>12500</v>
      </c>
      <c r="J700" t="s">
        <v>12501</v>
      </c>
      <c r="K700" t="s">
        <v>74</v>
      </c>
      <c r="L700" t="s">
        <v>74</v>
      </c>
      <c r="M700" t="s">
        <v>78</v>
      </c>
      <c r="N700" t="s">
        <v>108</v>
      </c>
      <c r="O700" t="s">
        <v>74</v>
      </c>
      <c r="P700" t="s">
        <v>74</v>
      </c>
      <c r="Q700" t="s">
        <v>74</v>
      </c>
      <c r="R700" t="s">
        <v>74</v>
      </c>
      <c r="S700" t="s">
        <v>74</v>
      </c>
      <c r="T700" t="s">
        <v>12502</v>
      </c>
      <c r="U700" t="s">
        <v>12503</v>
      </c>
      <c r="V700" t="s">
        <v>12504</v>
      </c>
      <c r="W700" t="s">
        <v>12505</v>
      </c>
      <c r="X700" t="s">
        <v>3589</v>
      </c>
      <c r="Y700" t="s">
        <v>12506</v>
      </c>
      <c r="Z700" t="s">
        <v>12507</v>
      </c>
      <c r="AA700" t="s">
        <v>12508</v>
      </c>
      <c r="AB700" t="s">
        <v>74</v>
      </c>
      <c r="AC700" t="s">
        <v>12509</v>
      </c>
      <c r="AD700" t="s">
        <v>12510</v>
      </c>
      <c r="AE700" t="s">
        <v>12511</v>
      </c>
      <c r="AF700" t="s">
        <v>74</v>
      </c>
      <c r="AG700">
        <v>61</v>
      </c>
      <c r="AH700">
        <v>0</v>
      </c>
      <c r="AI700">
        <v>0</v>
      </c>
      <c r="AJ700">
        <v>4</v>
      </c>
      <c r="AK700">
        <v>11</v>
      </c>
      <c r="AL700" t="s">
        <v>12512</v>
      </c>
      <c r="AM700" t="s">
        <v>12513</v>
      </c>
      <c r="AN700" t="s">
        <v>12514</v>
      </c>
      <c r="AO700" t="s">
        <v>12515</v>
      </c>
      <c r="AP700" t="s">
        <v>74</v>
      </c>
      <c r="AQ700" t="s">
        <v>74</v>
      </c>
      <c r="AR700" t="s">
        <v>12516</v>
      </c>
      <c r="AS700" t="s">
        <v>12517</v>
      </c>
      <c r="AT700" t="s">
        <v>297</v>
      </c>
      <c r="AU700">
        <v>2023</v>
      </c>
      <c r="AV700">
        <v>18</v>
      </c>
      <c r="AW700">
        <v>2</v>
      </c>
      <c r="AX700" t="s">
        <v>74</v>
      </c>
      <c r="AY700" t="s">
        <v>74</v>
      </c>
      <c r="AZ700" t="s">
        <v>74</v>
      </c>
      <c r="BA700" t="s">
        <v>74</v>
      </c>
      <c r="BB700">
        <v>217</v>
      </c>
      <c r="BC700">
        <v>249</v>
      </c>
      <c r="BD700" t="s">
        <v>74</v>
      </c>
      <c r="BE700" t="s">
        <v>74</v>
      </c>
      <c r="BF700" t="s">
        <v>74</v>
      </c>
      <c r="BG700" t="s">
        <v>74</v>
      </c>
      <c r="BH700" t="s">
        <v>74</v>
      </c>
      <c r="BI700">
        <v>33</v>
      </c>
      <c r="BJ700" t="s">
        <v>12518</v>
      </c>
      <c r="BK700" t="s">
        <v>125</v>
      </c>
      <c r="BL700" t="s">
        <v>480</v>
      </c>
      <c r="BM700" t="s">
        <v>12519</v>
      </c>
      <c r="BN700" t="s">
        <v>74</v>
      </c>
      <c r="BO700" t="s">
        <v>74</v>
      </c>
      <c r="BP700" t="s">
        <v>74</v>
      </c>
      <c r="BQ700" t="s">
        <v>74</v>
      </c>
      <c r="BR700" t="s">
        <v>102</v>
      </c>
      <c r="BS700" t="s">
        <v>12520</v>
      </c>
      <c r="BT700" t="str">
        <f>HYPERLINK("https%3A%2F%2Fwww.webofscience.com%2Fwos%2Fwoscc%2Ffull-record%2FWOS:001090353200009","View Full Record in Web of Science")</f>
        <v>View Full Record in Web of Science</v>
      </c>
    </row>
    <row r="701" spans="1:72" x14ac:dyDescent="0.35">
      <c r="A701" t="s">
        <v>72</v>
      </c>
      <c r="B701" t="s">
        <v>12521</v>
      </c>
      <c r="C701" t="s">
        <v>74</v>
      </c>
      <c r="D701" t="s">
        <v>74</v>
      </c>
      <c r="E701" t="s">
        <v>74</v>
      </c>
      <c r="F701" t="s">
        <v>12522</v>
      </c>
      <c r="G701" t="s">
        <v>74</v>
      </c>
      <c r="H701" t="s">
        <v>74</v>
      </c>
      <c r="I701" t="s">
        <v>12523</v>
      </c>
      <c r="J701" t="s">
        <v>12524</v>
      </c>
      <c r="K701" t="s">
        <v>74</v>
      </c>
      <c r="L701" t="s">
        <v>74</v>
      </c>
      <c r="M701" t="s">
        <v>78</v>
      </c>
      <c r="N701" t="s">
        <v>52</v>
      </c>
      <c r="O701" t="s">
        <v>12525</v>
      </c>
      <c r="P701" t="s">
        <v>12526</v>
      </c>
      <c r="Q701" t="s">
        <v>12527</v>
      </c>
      <c r="R701" t="s">
        <v>74</v>
      </c>
      <c r="S701" t="s">
        <v>74</v>
      </c>
      <c r="T701" t="s">
        <v>74</v>
      </c>
      <c r="U701" t="s">
        <v>74</v>
      </c>
      <c r="V701" t="s">
        <v>74</v>
      </c>
      <c r="W701" t="s">
        <v>74</v>
      </c>
      <c r="X701" t="s">
        <v>74</v>
      </c>
      <c r="Y701" t="s">
        <v>74</v>
      </c>
      <c r="Z701" t="s">
        <v>74</v>
      </c>
      <c r="AA701" t="s">
        <v>74</v>
      </c>
      <c r="AB701" t="s">
        <v>74</v>
      </c>
      <c r="AC701" t="s">
        <v>74</v>
      </c>
      <c r="AD701" t="s">
        <v>74</v>
      </c>
      <c r="AE701" t="s">
        <v>74</v>
      </c>
      <c r="AF701" t="s">
        <v>74</v>
      </c>
      <c r="AG701">
        <v>0</v>
      </c>
      <c r="AH701">
        <v>0</v>
      </c>
      <c r="AI701">
        <v>0</v>
      </c>
      <c r="AJ701">
        <v>0</v>
      </c>
      <c r="AK701">
        <v>0</v>
      </c>
      <c r="AL701" t="s">
        <v>12528</v>
      </c>
      <c r="AM701" t="s">
        <v>995</v>
      </c>
      <c r="AN701" t="s">
        <v>12529</v>
      </c>
      <c r="AO701" t="s">
        <v>12530</v>
      </c>
      <c r="AP701" t="s">
        <v>12531</v>
      </c>
      <c r="AQ701" t="s">
        <v>74</v>
      </c>
      <c r="AR701" t="s">
        <v>12524</v>
      </c>
      <c r="AS701" t="s">
        <v>12532</v>
      </c>
      <c r="AT701" t="s">
        <v>745</v>
      </c>
      <c r="AU701">
        <v>2023</v>
      </c>
      <c r="AV701">
        <v>164</v>
      </c>
      <c r="AW701">
        <v>6</v>
      </c>
      <c r="AX701" t="s">
        <v>74</v>
      </c>
      <c r="AY701" t="s">
        <v>4946</v>
      </c>
      <c r="AZ701" t="s">
        <v>74</v>
      </c>
      <c r="BA701" t="s">
        <v>12533</v>
      </c>
      <c r="BB701" t="s">
        <v>12534</v>
      </c>
      <c r="BC701" t="s">
        <v>12535</v>
      </c>
      <c r="BD701" t="s">
        <v>74</v>
      </c>
      <c r="BE701" t="s">
        <v>74</v>
      </c>
      <c r="BF701" t="s">
        <v>74</v>
      </c>
      <c r="BG701" t="s">
        <v>74</v>
      </c>
      <c r="BH701" t="s">
        <v>74</v>
      </c>
      <c r="BI701">
        <v>2</v>
      </c>
      <c r="BJ701" t="s">
        <v>12536</v>
      </c>
      <c r="BK701" t="s">
        <v>2257</v>
      </c>
      <c r="BL701" t="s">
        <v>12536</v>
      </c>
      <c r="BM701" t="s">
        <v>12537</v>
      </c>
      <c r="BN701" t="s">
        <v>74</v>
      </c>
      <c r="BO701" t="s">
        <v>74</v>
      </c>
      <c r="BP701" t="s">
        <v>74</v>
      </c>
      <c r="BQ701" t="s">
        <v>74</v>
      </c>
      <c r="BR701" t="s">
        <v>102</v>
      </c>
      <c r="BS701" t="s">
        <v>12538</v>
      </c>
      <c r="BT701" t="str">
        <f>HYPERLINK("https%3A%2F%2Fwww.webofscience.com%2Fwos%2Fwoscc%2Ffull-record%2FWOS:001040954706051","View Full Record in Web of Science")</f>
        <v>View Full Record in Web of Science</v>
      </c>
    </row>
    <row r="702" spans="1:72" x14ac:dyDescent="0.35">
      <c r="A702" t="s">
        <v>72</v>
      </c>
      <c r="B702" t="s">
        <v>12539</v>
      </c>
      <c r="C702" t="s">
        <v>74</v>
      </c>
      <c r="D702" t="s">
        <v>74</v>
      </c>
      <c r="E702" t="s">
        <v>74</v>
      </c>
      <c r="F702" t="s">
        <v>12540</v>
      </c>
      <c r="G702" t="s">
        <v>74</v>
      </c>
      <c r="H702" t="s">
        <v>74</v>
      </c>
      <c r="I702" t="s">
        <v>12541</v>
      </c>
      <c r="J702" t="s">
        <v>10805</v>
      </c>
      <c r="K702" t="s">
        <v>74</v>
      </c>
      <c r="L702" t="s">
        <v>74</v>
      </c>
      <c r="M702" t="s">
        <v>78</v>
      </c>
      <c r="N702" t="s">
        <v>2042</v>
      </c>
      <c r="O702" t="s">
        <v>74</v>
      </c>
      <c r="P702" t="s">
        <v>74</v>
      </c>
      <c r="Q702" t="s">
        <v>74</v>
      </c>
      <c r="R702" t="s">
        <v>74</v>
      </c>
      <c r="S702" t="s">
        <v>74</v>
      </c>
      <c r="T702" t="s">
        <v>74</v>
      </c>
      <c r="U702" t="s">
        <v>74</v>
      </c>
      <c r="V702" t="s">
        <v>74</v>
      </c>
      <c r="W702" t="s">
        <v>12542</v>
      </c>
      <c r="X702" t="s">
        <v>12543</v>
      </c>
      <c r="Y702" t="s">
        <v>12544</v>
      </c>
      <c r="Z702" t="s">
        <v>12545</v>
      </c>
      <c r="AA702" t="s">
        <v>74</v>
      </c>
      <c r="AB702" t="s">
        <v>74</v>
      </c>
      <c r="AC702" t="s">
        <v>74</v>
      </c>
      <c r="AD702" t="s">
        <v>74</v>
      </c>
      <c r="AE702" t="s">
        <v>74</v>
      </c>
      <c r="AF702" t="s">
        <v>74</v>
      </c>
      <c r="AG702">
        <v>5</v>
      </c>
      <c r="AH702">
        <v>7</v>
      </c>
      <c r="AI702">
        <v>7</v>
      </c>
      <c r="AJ702">
        <v>0</v>
      </c>
      <c r="AK702">
        <v>3</v>
      </c>
      <c r="AL702" t="s">
        <v>1901</v>
      </c>
      <c r="AM702" t="s">
        <v>995</v>
      </c>
      <c r="AN702" t="s">
        <v>1902</v>
      </c>
      <c r="AO702" t="s">
        <v>10816</v>
      </c>
      <c r="AP702" t="s">
        <v>10817</v>
      </c>
      <c r="AQ702" t="s">
        <v>74</v>
      </c>
      <c r="AR702" t="s">
        <v>10818</v>
      </c>
      <c r="AS702" t="s">
        <v>10819</v>
      </c>
      <c r="AT702" t="s">
        <v>257</v>
      </c>
      <c r="AU702">
        <v>2022</v>
      </c>
      <c r="AV702">
        <v>149</v>
      </c>
      <c r="AW702">
        <v>6</v>
      </c>
      <c r="AX702" t="s">
        <v>74</v>
      </c>
      <c r="AY702" t="s">
        <v>74</v>
      </c>
      <c r="AZ702" t="s">
        <v>74</v>
      </c>
      <c r="BA702" t="s">
        <v>74</v>
      </c>
      <c r="BB702" t="s">
        <v>12546</v>
      </c>
      <c r="BC702" t="s">
        <v>12547</v>
      </c>
      <c r="BD702" t="s">
        <v>74</v>
      </c>
      <c r="BE702" t="s">
        <v>12548</v>
      </c>
      <c r="BF702" t="str">
        <f>HYPERLINK("http://dx.doi.org/10.1097/PRS.0000000000009113","http://dx.doi.org/10.1097/PRS.0000000000009113")</f>
        <v>http://dx.doi.org/10.1097/PRS.0000000000009113</v>
      </c>
      <c r="BG702" t="s">
        <v>74</v>
      </c>
      <c r="BH702" t="s">
        <v>74</v>
      </c>
      <c r="BI702">
        <v>3</v>
      </c>
      <c r="BJ702" t="s">
        <v>4994</v>
      </c>
      <c r="BK702" t="s">
        <v>209</v>
      </c>
      <c r="BL702" t="s">
        <v>4994</v>
      </c>
      <c r="BM702" t="s">
        <v>12549</v>
      </c>
      <c r="BN702">
        <v>35468100</v>
      </c>
      <c r="BO702" t="s">
        <v>767</v>
      </c>
      <c r="BP702" t="s">
        <v>74</v>
      </c>
      <c r="BQ702" t="s">
        <v>74</v>
      </c>
      <c r="BR702" t="s">
        <v>102</v>
      </c>
      <c r="BS702" t="s">
        <v>12550</v>
      </c>
      <c r="BT702" t="str">
        <f>HYPERLINK("https%3A%2F%2Fwww.webofscience.com%2Fwos%2Fwoscc%2Ffull-record%2FWOS:000799970200044","View Full Record in Web of Science")</f>
        <v>View Full Record in Web of Science</v>
      </c>
    </row>
    <row r="703" spans="1:72" x14ac:dyDescent="0.35">
      <c r="A703" t="s">
        <v>72</v>
      </c>
      <c r="B703" t="s">
        <v>12551</v>
      </c>
      <c r="C703" t="s">
        <v>74</v>
      </c>
      <c r="D703" t="s">
        <v>74</v>
      </c>
      <c r="E703" t="s">
        <v>74</v>
      </c>
      <c r="F703" t="s">
        <v>12552</v>
      </c>
      <c r="G703" t="s">
        <v>74</v>
      </c>
      <c r="H703" t="s">
        <v>74</v>
      </c>
      <c r="I703" t="s">
        <v>12553</v>
      </c>
      <c r="J703" t="s">
        <v>10404</v>
      </c>
      <c r="K703" t="s">
        <v>74</v>
      </c>
      <c r="L703" t="s">
        <v>74</v>
      </c>
      <c r="M703" t="s">
        <v>78</v>
      </c>
      <c r="N703" t="s">
        <v>52</v>
      </c>
      <c r="O703" t="s">
        <v>74</v>
      </c>
      <c r="P703" t="s">
        <v>74</v>
      </c>
      <c r="Q703" t="s">
        <v>74</v>
      </c>
      <c r="R703" t="s">
        <v>74</v>
      </c>
      <c r="S703" t="s">
        <v>74</v>
      </c>
      <c r="T703" t="s">
        <v>74</v>
      </c>
      <c r="U703" t="s">
        <v>74</v>
      </c>
      <c r="V703" t="s">
        <v>74</v>
      </c>
      <c r="W703" t="s">
        <v>12554</v>
      </c>
      <c r="X703" t="s">
        <v>12555</v>
      </c>
      <c r="Y703" t="s">
        <v>74</v>
      </c>
      <c r="Z703" t="s">
        <v>74</v>
      </c>
      <c r="AA703" t="s">
        <v>74</v>
      </c>
      <c r="AB703" t="s">
        <v>74</v>
      </c>
      <c r="AC703" t="s">
        <v>74</v>
      </c>
      <c r="AD703" t="s">
        <v>74</v>
      </c>
      <c r="AE703" t="s">
        <v>74</v>
      </c>
      <c r="AF703" t="s">
        <v>74</v>
      </c>
      <c r="AG703">
        <v>0</v>
      </c>
      <c r="AH703">
        <v>0</v>
      </c>
      <c r="AI703">
        <v>0</v>
      </c>
      <c r="AJ703">
        <v>0</v>
      </c>
      <c r="AK703">
        <v>1</v>
      </c>
      <c r="AL703" t="s">
        <v>1901</v>
      </c>
      <c r="AM703" t="s">
        <v>995</v>
      </c>
      <c r="AN703" t="s">
        <v>1902</v>
      </c>
      <c r="AO703" t="s">
        <v>10411</v>
      </c>
      <c r="AP703" t="s">
        <v>74</v>
      </c>
      <c r="AQ703" t="s">
        <v>74</v>
      </c>
      <c r="AR703" t="s">
        <v>10412</v>
      </c>
      <c r="AS703" t="s">
        <v>10413</v>
      </c>
      <c r="AT703" t="s">
        <v>745</v>
      </c>
      <c r="AU703">
        <v>2023</v>
      </c>
      <c r="AV703">
        <v>141</v>
      </c>
      <c r="AW703" t="s">
        <v>74</v>
      </c>
      <c r="AX703" t="s">
        <v>74</v>
      </c>
      <c r="AY703">
        <v>5</v>
      </c>
      <c r="AZ703" t="s">
        <v>74</v>
      </c>
      <c r="BA703">
        <v>1365895</v>
      </c>
      <c r="BB703" t="s">
        <v>12556</v>
      </c>
      <c r="BC703" t="s">
        <v>12556</v>
      </c>
      <c r="BD703" t="s">
        <v>74</v>
      </c>
      <c r="BE703" t="s">
        <v>74</v>
      </c>
      <c r="BF703" t="s">
        <v>74</v>
      </c>
      <c r="BG703" t="s">
        <v>74</v>
      </c>
      <c r="BH703" t="s">
        <v>74</v>
      </c>
      <c r="BI703">
        <v>1</v>
      </c>
      <c r="BJ703" t="s">
        <v>1971</v>
      </c>
      <c r="BK703" t="s">
        <v>209</v>
      </c>
      <c r="BL703" t="s">
        <v>1971</v>
      </c>
      <c r="BM703" t="s">
        <v>12557</v>
      </c>
      <c r="BN703" t="s">
        <v>74</v>
      </c>
      <c r="BO703" t="s">
        <v>74</v>
      </c>
      <c r="BP703" t="s">
        <v>74</v>
      </c>
      <c r="BQ703" t="s">
        <v>74</v>
      </c>
      <c r="BR703" t="s">
        <v>102</v>
      </c>
      <c r="BS703" t="s">
        <v>12558</v>
      </c>
      <c r="BT703" t="str">
        <f>HYPERLINK("https%3A%2F%2Fwww.webofscience.com%2Fwos%2Fwoscc%2Ffull-record%2FWOS:001043263400069","View Full Record in Web of Science")</f>
        <v>View Full Record in Web of Science</v>
      </c>
    </row>
    <row r="704" spans="1:72" x14ac:dyDescent="0.35">
      <c r="A704" t="s">
        <v>72</v>
      </c>
      <c r="B704" t="s">
        <v>12559</v>
      </c>
      <c r="C704" t="s">
        <v>74</v>
      </c>
      <c r="D704" t="s">
        <v>74</v>
      </c>
      <c r="E704" t="s">
        <v>74</v>
      </c>
      <c r="F704" t="s">
        <v>12560</v>
      </c>
      <c r="G704" t="s">
        <v>74</v>
      </c>
      <c r="H704" t="s">
        <v>74</v>
      </c>
      <c r="I704" t="s">
        <v>12561</v>
      </c>
      <c r="J704" t="s">
        <v>6082</v>
      </c>
      <c r="K704" t="s">
        <v>74</v>
      </c>
      <c r="L704" t="s">
        <v>74</v>
      </c>
      <c r="M704" t="s">
        <v>78</v>
      </c>
      <c r="N704" t="s">
        <v>108</v>
      </c>
      <c r="O704" t="s">
        <v>74</v>
      </c>
      <c r="P704" t="s">
        <v>74</v>
      </c>
      <c r="Q704" t="s">
        <v>74</v>
      </c>
      <c r="R704" t="s">
        <v>74</v>
      </c>
      <c r="S704" t="s">
        <v>74</v>
      </c>
      <c r="T704" t="s">
        <v>12562</v>
      </c>
      <c r="U704" t="s">
        <v>74</v>
      </c>
      <c r="V704" t="s">
        <v>12563</v>
      </c>
      <c r="W704" t="s">
        <v>12564</v>
      </c>
      <c r="X704" t="s">
        <v>12565</v>
      </c>
      <c r="Y704" t="s">
        <v>12566</v>
      </c>
      <c r="Z704" t="s">
        <v>12567</v>
      </c>
      <c r="AA704" t="s">
        <v>74</v>
      </c>
      <c r="AB704" t="s">
        <v>12568</v>
      </c>
      <c r="AC704" t="s">
        <v>12569</v>
      </c>
      <c r="AD704" t="s">
        <v>12570</v>
      </c>
      <c r="AE704" t="s">
        <v>12571</v>
      </c>
      <c r="AF704" t="s">
        <v>74</v>
      </c>
      <c r="AG704">
        <v>18</v>
      </c>
      <c r="AH704">
        <v>1</v>
      </c>
      <c r="AI704">
        <v>1</v>
      </c>
      <c r="AJ704">
        <v>2</v>
      </c>
      <c r="AK704">
        <v>5</v>
      </c>
      <c r="AL704" t="s">
        <v>226</v>
      </c>
      <c r="AM704" t="s">
        <v>227</v>
      </c>
      <c r="AN704" t="s">
        <v>228</v>
      </c>
      <c r="AO704" t="s">
        <v>6092</v>
      </c>
      <c r="AP704" t="s">
        <v>74</v>
      </c>
      <c r="AQ704" t="s">
        <v>74</v>
      </c>
      <c r="AR704" t="s">
        <v>6093</v>
      </c>
      <c r="AS704" t="s">
        <v>6094</v>
      </c>
      <c r="AT704" t="s">
        <v>74</v>
      </c>
      <c r="AU704">
        <v>2023</v>
      </c>
      <c r="AV704">
        <v>9</v>
      </c>
      <c r="AW704" t="s">
        <v>74</v>
      </c>
      <c r="AX704" t="s">
        <v>74</v>
      </c>
      <c r="AY704" t="s">
        <v>74</v>
      </c>
      <c r="AZ704" t="s">
        <v>74</v>
      </c>
      <c r="BA704" t="s">
        <v>74</v>
      </c>
      <c r="BB704" t="s">
        <v>74</v>
      </c>
      <c r="BC704" t="s">
        <v>74</v>
      </c>
      <c r="BD704">
        <v>2.0552076231222424E+16</v>
      </c>
      <c r="BE704" t="s">
        <v>12572</v>
      </c>
      <c r="BF704" t="str">
        <f>HYPERLINK("http://dx.doi.org/10.1177/20552076231222422","http://dx.doi.org/10.1177/20552076231222422")</f>
        <v>http://dx.doi.org/10.1177/20552076231222422</v>
      </c>
      <c r="BG704" t="s">
        <v>74</v>
      </c>
      <c r="BH704" t="s">
        <v>74</v>
      </c>
      <c r="BI704">
        <v>6</v>
      </c>
      <c r="BJ704" t="s">
        <v>6096</v>
      </c>
      <c r="BK704" t="s">
        <v>182</v>
      </c>
      <c r="BL704" t="s">
        <v>6097</v>
      </c>
      <c r="BM704" t="s">
        <v>12573</v>
      </c>
      <c r="BN704">
        <v>38152444</v>
      </c>
      <c r="BO704" t="s">
        <v>394</v>
      </c>
      <c r="BP704" t="s">
        <v>74</v>
      </c>
      <c r="BQ704" t="s">
        <v>74</v>
      </c>
      <c r="BR704" t="s">
        <v>102</v>
      </c>
      <c r="BS704" t="s">
        <v>12574</v>
      </c>
      <c r="BT704" t="str">
        <f>HYPERLINK("https%3A%2F%2Fwww.webofscience.com%2Fwos%2Fwoscc%2Ffull-record%2FWOS:001130687400001","View Full Record in Web of Science")</f>
        <v>View Full Record in Web of Science</v>
      </c>
    </row>
    <row r="705" spans="1:72" x14ac:dyDescent="0.35">
      <c r="A705" t="s">
        <v>72</v>
      </c>
      <c r="B705" t="s">
        <v>12575</v>
      </c>
      <c r="C705" t="s">
        <v>74</v>
      </c>
      <c r="D705" t="s">
        <v>74</v>
      </c>
      <c r="E705" t="s">
        <v>74</v>
      </c>
      <c r="F705" t="s">
        <v>12576</v>
      </c>
      <c r="G705" t="s">
        <v>74</v>
      </c>
      <c r="H705" t="s">
        <v>74</v>
      </c>
      <c r="I705" t="s">
        <v>12577</v>
      </c>
      <c r="J705" t="s">
        <v>12578</v>
      </c>
      <c r="K705" t="s">
        <v>74</v>
      </c>
      <c r="L705" t="s">
        <v>74</v>
      </c>
      <c r="M705" t="s">
        <v>78</v>
      </c>
      <c r="N705" t="s">
        <v>108</v>
      </c>
      <c r="O705" t="s">
        <v>74</v>
      </c>
      <c r="P705" t="s">
        <v>74</v>
      </c>
      <c r="Q705" t="s">
        <v>74</v>
      </c>
      <c r="R705" t="s">
        <v>74</v>
      </c>
      <c r="S705" t="s">
        <v>74</v>
      </c>
      <c r="T705" t="s">
        <v>74</v>
      </c>
      <c r="U705" t="s">
        <v>74</v>
      </c>
      <c r="V705" t="s">
        <v>12579</v>
      </c>
      <c r="W705" t="s">
        <v>12580</v>
      </c>
      <c r="X705" t="s">
        <v>12581</v>
      </c>
      <c r="Y705" t="s">
        <v>12582</v>
      </c>
      <c r="Z705" t="s">
        <v>12583</v>
      </c>
      <c r="AA705" t="s">
        <v>12584</v>
      </c>
      <c r="AB705" t="s">
        <v>12585</v>
      </c>
      <c r="AC705" t="s">
        <v>74</v>
      </c>
      <c r="AD705" t="s">
        <v>74</v>
      </c>
      <c r="AE705" t="s">
        <v>74</v>
      </c>
      <c r="AF705" t="s">
        <v>74</v>
      </c>
      <c r="AG705">
        <v>23</v>
      </c>
      <c r="AH705">
        <v>3</v>
      </c>
      <c r="AI705">
        <v>3</v>
      </c>
      <c r="AJ705">
        <v>13</v>
      </c>
      <c r="AK705">
        <v>19</v>
      </c>
      <c r="AL705" t="s">
        <v>12586</v>
      </c>
      <c r="AM705" t="s">
        <v>4435</v>
      </c>
      <c r="AN705" t="s">
        <v>12587</v>
      </c>
      <c r="AO705" t="s">
        <v>12588</v>
      </c>
      <c r="AP705" t="s">
        <v>74</v>
      </c>
      <c r="AQ705" t="s">
        <v>74</v>
      </c>
      <c r="AR705" t="s">
        <v>12589</v>
      </c>
      <c r="AS705" t="s">
        <v>12590</v>
      </c>
      <c r="AT705" t="s">
        <v>10982</v>
      </c>
      <c r="AU705">
        <v>2024</v>
      </c>
      <c r="AV705">
        <v>14</v>
      </c>
      <c r="AW705">
        <v>1</v>
      </c>
      <c r="AX705" t="s">
        <v>74</v>
      </c>
      <c r="AY705" t="s">
        <v>74</v>
      </c>
      <c r="AZ705" t="s">
        <v>74</v>
      </c>
      <c r="BA705" t="s">
        <v>74</v>
      </c>
      <c r="BB705" t="s">
        <v>74</v>
      </c>
      <c r="BC705" t="s">
        <v>74</v>
      </c>
      <c r="BD705">
        <v>5864</v>
      </c>
      <c r="BE705" t="s">
        <v>12591</v>
      </c>
      <c r="BF705" t="str">
        <f>HYPERLINK("http://dx.doi.org/10.1038/s41598-024-56578-1","http://dx.doi.org/10.1038/s41598-024-56578-1")</f>
        <v>http://dx.doi.org/10.1038/s41598-024-56578-1</v>
      </c>
      <c r="BG705" t="s">
        <v>74</v>
      </c>
      <c r="BH705" t="s">
        <v>74</v>
      </c>
      <c r="BI705">
        <v>12</v>
      </c>
      <c r="BJ705" t="s">
        <v>1301</v>
      </c>
      <c r="BK705" t="s">
        <v>209</v>
      </c>
      <c r="BL705" t="s">
        <v>1302</v>
      </c>
      <c r="BM705" t="s">
        <v>12592</v>
      </c>
      <c r="BN705">
        <v>38467750</v>
      </c>
      <c r="BO705" t="s">
        <v>394</v>
      </c>
      <c r="BP705" t="s">
        <v>74</v>
      </c>
      <c r="BQ705" t="s">
        <v>74</v>
      </c>
      <c r="BR705" t="s">
        <v>102</v>
      </c>
      <c r="BS705" t="s">
        <v>12593</v>
      </c>
      <c r="BT705" t="str">
        <f>HYPERLINK("https%3A%2F%2Fwww.webofscience.com%2Fwos%2Fwoscc%2Ffull-record%2FWOS:001182621300005","View Full Record in Web of Science")</f>
        <v>View Full Record in Web of Science</v>
      </c>
    </row>
    <row r="706" spans="1:72" x14ac:dyDescent="0.35">
      <c r="A706" t="s">
        <v>72</v>
      </c>
      <c r="B706" t="s">
        <v>12594</v>
      </c>
      <c r="C706" t="s">
        <v>74</v>
      </c>
      <c r="D706" t="s">
        <v>74</v>
      </c>
      <c r="E706" t="s">
        <v>74</v>
      </c>
      <c r="F706" t="s">
        <v>12595</v>
      </c>
      <c r="G706" t="s">
        <v>74</v>
      </c>
      <c r="H706" t="s">
        <v>74</v>
      </c>
      <c r="I706" t="s">
        <v>12596</v>
      </c>
      <c r="J706" t="s">
        <v>12597</v>
      </c>
      <c r="K706" t="s">
        <v>74</v>
      </c>
      <c r="L706" t="s">
        <v>74</v>
      </c>
      <c r="M706" t="s">
        <v>78</v>
      </c>
      <c r="N706" t="s">
        <v>108</v>
      </c>
      <c r="O706" t="s">
        <v>74</v>
      </c>
      <c r="P706" t="s">
        <v>74</v>
      </c>
      <c r="Q706" t="s">
        <v>74</v>
      </c>
      <c r="R706" t="s">
        <v>74</v>
      </c>
      <c r="S706" t="s">
        <v>74</v>
      </c>
      <c r="T706" t="s">
        <v>12598</v>
      </c>
      <c r="U706" t="s">
        <v>12599</v>
      </c>
      <c r="V706" t="s">
        <v>12600</v>
      </c>
      <c r="W706" t="s">
        <v>12601</v>
      </c>
      <c r="X706" t="s">
        <v>74</v>
      </c>
      <c r="Y706" t="s">
        <v>12602</v>
      </c>
      <c r="Z706" t="s">
        <v>12603</v>
      </c>
      <c r="AA706" t="s">
        <v>12604</v>
      </c>
      <c r="AB706" t="s">
        <v>12605</v>
      </c>
      <c r="AC706" t="s">
        <v>74</v>
      </c>
      <c r="AD706" t="s">
        <v>74</v>
      </c>
      <c r="AE706" t="s">
        <v>74</v>
      </c>
      <c r="AF706" t="s">
        <v>74</v>
      </c>
      <c r="AG706">
        <v>99</v>
      </c>
      <c r="AH706">
        <v>34</v>
      </c>
      <c r="AI706">
        <v>39</v>
      </c>
      <c r="AJ706">
        <v>19</v>
      </c>
      <c r="AK706">
        <v>150</v>
      </c>
      <c r="AL706" t="s">
        <v>290</v>
      </c>
      <c r="AM706" t="s">
        <v>291</v>
      </c>
      <c r="AN706" t="s">
        <v>292</v>
      </c>
      <c r="AO706" t="s">
        <v>12606</v>
      </c>
      <c r="AP706" t="s">
        <v>12607</v>
      </c>
      <c r="AQ706" t="s">
        <v>74</v>
      </c>
      <c r="AR706" t="s">
        <v>12608</v>
      </c>
      <c r="AS706" t="s">
        <v>12609</v>
      </c>
      <c r="AT706" t="s">
        <v>257</v>
      </c>
      <c r="AU706">
        <v>2022</v>
      </c>
      <c r="AV706">
        <v>129</v>
      </c>
      <c r="AW706" t="s">
        <v>74</v>
      </c>
      <c r="AX706" t="s">
        <v>74</v>
      </c>
      <c r="AY706" t="s">
        <v>74</v>
      </c>
      <c r="AZ706" t="s">
        <v>74</v>
      </c>
      <c r="BA706" t="s">
        <v>74</v>
      </c>
      <c r="BB706" t="s">
        <v>74</v>
      </c>
      <c r="BC706" t="s">
        <v>74</v>
      </c>
      <c r="BD706">
        <v>107259</v>
      </c>
      <c r="BE706" t="s">
        <v>12610</v>
      </c>
      <c r="BF706" t="str">
        <f>HYPERLINK("http://dx.doi.org/10.1016/j.addbeh.2022.107259","http://dx.doi.org/10.1016/j.addbeh.2022.107259")</f>
        <v>http://dx.doi.org/10.1016/j.addbeh.2022.107259</v>
      </c>
      <c r="BG706" t="s">
        <v>74</v>
      </c>
      <c r="BH706" t="s">
        <v>2076</v>
      </c>
      <c r="BI706">
        <v>11</v>
      </c>
      <c r="BJ706" t="s">
        <v>12611</v>
      </c>
      <c r="BK706" t="s">
        <v>182</v>
      </c>
      <c r="BL706" t="s">
        <v>12612</v>
      </c>
      <c r="BM706" t="s">
        <v>12613</v>
      </c>
      <c r="BN706">
        <v>35091200</v>
      </c>
      <c r="BO706" t="s">
        <v>74</v>
      </c>
      <c r="BP706" t="s">
        <v>74</v>
      </c>
      <c r="BQ706" t="s">
        <v>74</v>
      </c>
      <c r="BR706" t="s">
        <v>102</v>
      </c>
      <c r="BS706" t="s">
        <v>12614</v>
      </c>
      <c r="BT706" t="str">
        <f>HYPERLINK("https%3A%2F%2Fwww.webofscience.com%2Fwos%2Fwoscc%2Ffull-record%2FWOS:000802906700013","View Full Record in Web of Science")</f>
        <v>View Full Record in Web of Science</v>
      </c>
    </row>
    <row r="707" spans="1:72" x14ac:dyDescent="0.35">
      <c r="A707" t="s">
        <v>72</v>
      </c>
      <c r="B707" t="s">
        <v>12615</v>
      </c>
      <c r="C707" t="s">
        <v>74</v>
      </c>
      <c r="D707" t="s">
        <v>74</v>
      </c>
      <c r="E707" t="s">
        <v>74</v>
      </c>
      <c r="F707" t="s">
        <v>12616</v>
      </c>
      <c r="G707" t="s">
        <v>74</v>
      </c>
      <c r="H707" t="s">
        <v>74</v>
      </c>
      <c r="I707" t="s">
        <v>12617</v>
      </c>
      <c r="J707" t="s">
        <v>12618</v>
      </c>
      <c r="K707" t="s">
        <v>74</v>
      </c>
      <c r="L707" t="s">
        <v>74</v>
      </c>
      <c r="M707" t="s">
        <v>78</v>
      </c>
      <c r="N707" t="s">
        <v>52</v>
      </c>
      <c r="O707" t="s">
        <v>74</v>
      </c>
      <c r="P707" t="s">
        <v>74</v>
      </c>
      <c r="Q707" t="s">
        <v>74</v>
      </c>
      <c r="R707" t="s">
        <v>74</v>
      </c>
      <c r="S707" t="s">
        <v>74</v>
      </c>
      <c r="T707" t="s">
        <v>74</v>
      </c>
      <c r="U707" t="s">
        <v>74</v>
      </c>
      <c r="V707" t="s">
        <v>74</v>
      </c>
      <c r="W707" t="s">
        <v>12619</v>
      </c>
      <c r="X707" t="s">
        <v>12620</v>
      </c>
      <c r="Y707" t="s">
        <v>74</v>
      </c>
      <c r="Z707" t="s">
        <v>74</v>
      </c>
      <c r="AA707" t="s">
        <v>74</v>
      </c>
      <c r="AB707" t="s">
        <v>74</v>
      </c>
      <c r="AC707" t="s">
        <v>74</v>
      </c>
      <c r="AD707" t="s">
        <v>74</v>
      </c>
      <c r="AE707" t="s">
        <v>74</v>
      </c>
      <c r="AF707" t="s">
        <v>74</v>
      </c>
      <c r="AG707">
        <v>0</v>
      </c>
      <c r="AH707">
        <v>0</v>
      </c>
      <c r="AI707">
        <v>0</v>
      </c>
      <c r="AJ707">
        <v>0</v>
      </c>
      <c r="AK707">
        <v>0</v>
      </c>
      <c r="AL707" t="s">
        <v>8334</v>
      </c>
      <c r="AM707" t="s">
        <v>291</v>
      </c>
      <c r="AN707" t="s">
        <v>8335</v>
      </c>
      <c r="AO707" t="s">
        <v>12621</v>
      </c>
      <c r="AP707" t="s">
        <v>12622</v>
      </c>
      <c r="AQ707" t="s">
        <v>74</v>
      </c>
      <c r="AR707" t="s">
        <v>12623</v>
      </c>
      <c r="AS707" t="s">
        <v>12624</v>
      </c>
      <c r="AT707" t="s">
        <v>12625</v>
      </c>
      <c r="AU707">
        <v>2023</v>
      </c>
      <c r="AV707">
        <v>44</v>
      </c>
      <c r="AW707" t="s">
        <v>74</v>
      </c>
      <c r="AX707" t="s">
        <v>74</v>
      </c>
      <c r="AY707" t="s">
        <v>12626</v>
      </c>
      <c r="AZ707" t="s">
        <v>456</v>
      </c>
      <c r="BA707">
        <v>549</v>
      </c>
      <c r="BB707" t="s">
        <v>12627</v>
      </c>
      <c r="BC707" t="s">
        <v>12627</v>
      </c>
      <c r="BD707" t="s">
        <v>74</v>
      </c>
      <c r="BE707" t="s">
        <v>12628</v>
      </c>
      <c r="BF707" t="str">
        <f>HYPERLINK("http://dx.doi.org/10.1093/jbcr/irad045.146","http://dx.doi.org/10.1093/jbcr/irad045.146")</f>
        <v>http://dx.doi.org/10.1093/jbcr/irad045.146</v>
      </c>
      <c r="BG707" t="s">
        <v>74</v>
      </c>
      <c r="BH707" t="s">
        <v>74</v>
      </c>
      <c r="BI707">
        <v>1</v>
      </c>
      <c r="BJ707" t="s">
        <v>12629</v>
      </c>
      <c r="BK707" t="s">
        <v>209</v>
      </c>
      <c r="BL707" t="s">
        <v>12630</v>
      </c>
      <c r="BM707" t="s">
        <v>12631</v>
      </c>
      <c r="BN707" t="s">
        <v>74</v>
      </c>
      <c r="BO707" t="s">
        <v>6425</v>
      </c>
      <c r="BP707" t="s">
        <v>74</v>
      </c>
      <c r="BQ707" t="s">
        <v>74</v>
      </c>
      <c r="BR707" t="s">
        <v>102</v>
      </c>
      <c r="BS707" t="s">
        <v>12632</v>
      </c>
      <c r="BT707" t="str">
        <f>HYPERLINK("https%3A%2F%2Fwww.webofscience.com%2Fwos%2Fwoscc%2Ffull-record%2FWOS:001196531200019","View Full Record in Web of Science")</f>
        <v>View Full Record in Web of Science</v>
      </c>
    </row>
    <row r="708" spans="1:72" x14ac:dyDescent="0.35">
      <c r="A708" t="s">
        <v>72</v>
      </c>
      <c r="B708" t="s">
        <v>12633</v>
      </c>
      <c r="C708" t="s">
        <v>74</v>
      </c>
      <c r="D708" t="s">
        <v>74</v>
      </c>
      <c r="E708" t="s">
        <v>74</v>
      </c>
      <c r="F708" t="s">
        <v>12634</v>
      </c>
      <c r="G708" t="s">
        <v>74</v>
      </c>
      <c r="H708" t="s">
        <v>74</v>
      </c>
      <c r="I708" t="s">
        <v>12635</v>
      </c>
      <c r="J708" t="s">
        <v>8420</v>
      </c>
      <c r="K708" t="s">
        <v>74</v>
      </c>
      <c r="L708" t="s">
        <v>74</v>
      </c>
      <c r="M708" t="s">
        <v>78</v>
      </c>
      <c r="N708" t="s">
        <v>52</v>
      </c>
      <c r="O708" t="s">
        <v>12636</v>
      </c>
      <c r="P708" t="s">
        <v>12637</v>
      </c>
      <c r="Q708" t="s">
        <v>12638</v>
      </c>
      <c r="R708" t="s">
        <v>12639</v>
      </c>
      <c r="S708" t="s">
        <v>74</v>
      </c>
      <c r="T708" t="s">
        <v>74</v>
      </c>
      <c r="U708" t="s">
        <v>74</v>
      </c>
      <c r="V708" t="s">
        <v>74</v>
      </c>
      <c r="W708" t="s">
        <v>12640</v>
      </c>
      <c r="X708" t="s">
        <v>12641</v>
      </c>
      <c r="Y708" t="s">
        <v>74</v>
      </c>
      <c r="Z708" t="s">
        <v>74</v>
      </c>
      <c r="AA708" t="s">
        <v>74</v>
      </c>
      <c r="AB708" t="s">
        <v>74</v>
      </c>
      <c r="AC708" t="s">
        <v>74</v>
      </c>
      <c r="AD708" t="s">
        <v>74</v>
      </c>
      <c r="AE708" t="s">
        <v>74</v>
      </c>
      <c r="AF708" t="s">
        <v>74</v>
      </c>
      <c r="AG708">
        <v>0</v>
      </c>
      <c r="AH708">
        <v>0</v>
      </c>
      <c r="AI708">
        <v>0</v>
      </c>
      <c r="AJ708">
        <v>0</v>
      </c>
      <c r="AK708">
        <v>0</v>
      </c>
      <c r="AL708" t="s">
        <v>2027</v>
      </c>
      <c r="AM708" t="s">
        <v>666</v>
      </c>
      <c r="AN708" t="s">
        <v>2028</v>
      </c>
      <c r="AO708" t="s">
        <v>8426</v>
      </c>
      <c r="AP708" t="s">
        <v>8427</v>
      </c>
      <c r="AQ708" t="s">
        <v>74</v>
      </c>
      <c r="AR708" t="s">
        <v>8428</v>
      </c>
      <c r="AS708" t="s">
        <v>8429</v>
      </c>
      <c r="AT708" t="s">
        <v>232</v>
      </c>
      <c r="AU708">
        <v>2024</v>
      </c>
      <c r="AV708">
        <v>230</v>
      </c>
      <c r="AW708">
        <v>1</v>
      </c>
      <c r="AX708" t="s">
        <v>74</v>
      </c>
      <c r="AY708" t="s">
        <v>4946</v>
      </c>
      <c r="AZ708" t="s">
        <v>74</v>
      </c>
      <c r="BA708">
        <v>684</v>
      </c>
      <c r="BB708" t="s">
        <v>12642</v>
      </c>
      <c r="BC708" t="s">
        <v>12642</v>
      </c>
      <c r="BD708" t="s">
        <v>74</v>
      </c>
      <c r="BE708" t="s">
        <v>74</v>
      </c>
      <c r="BF708" t="s">
        <v>74</v>
      </c>
      <c r="BG708" t="s">
        <v>74</v>
      </c>
      <c r="BH708" t="s">
        <v>74</v>
      </c>
      <c r="BI708">
        <v>1</v>
      </c>
      <c r="BJ708" t="s">
        <v>1971</v>
      </c>
      <c r="BK708" t="s">
        <v>2257</v>
      </c>
      <c r="BL708" t="s">
        <v>1971</v>
      </c>
      <c r="BM708" t="s">
        <v>12643</v>
      </c>
      <c r="BN708" t="s">
        <v>74</v>
      </c>
      <c r="BO708" t="s">
        <v>74</v>
      </c>
      <c r="BP708" t="s">
        <v>74</v>
      </c>
      <c r="BQ708" t="s">
        <v>74</v>
      </c>
      <c r="BR708" t="s">
        <v>102</v>
      </c>
      <c r="BS708" t="s">
        <v>12644</v>
      </c>
      <c r="BT708" t="str">
        <f>HYPERLINK("https%3A%2F%2Fwww.webofscience.com%2Fwos%2Fwoscc%2Ffull-record%2FWOS:001282913903112","View Full Record in Web of Science")</f>
        <v>View Full Record in Web of Science</v>
      </c>
    </row>
    <row r="709" spans="1:72" x14ac:dyDescent="0.35">
      <c r="A709" t="s">
        <v>72</v>
      </c>
      <c r="B709" t="s">
        <v>12645</v>
      </c>
      <c r="C709" t="s">
        <v>74</v>
      </c>
      <c r="D709" t="s">
        <v>74</v>
      </c>
      <c r="E709" t="s">
        <v>74</v>
      </c>
      <c r="F709" t="s">
        <v>12646</v>
      </c>
      <c r="G709" t="s">
        <v>74</v>
      </c>
      <c r="H709" t="s">
        <v>74</v>
      </c>
      <c r="I709" t="s">
        <v>12647</v>
      </c>
      <c r="J709" t="s">
        <v>9249</v>
      </c>
      <c r="K709" t="s">
        <v>74</v>
      </c>
      <c r="L709" t="s">
        <v>74</v>
      </c>
      <c r="M709" t="s">
        <v>78</v>
      </c>
      <c r="N709" t="s">
        <v>2042</v>
      </c>
      <c r="O709" t="s">
        <v>74</v>
      </c>
      <c r="P709" t="s">
        <v>74</v>
      </c>
      <c r="Q709" t="s">
        <v>74</v>
      </c>
      <c r="R709" t="s">
        <v>74</v>
      </c>
      <c r="S709" t="s">
        <v>74</v>
      </c>
      <c r="T709" t="s">
        <v>74</v>
      </c>
      <c r="U709" t="s">
        <v>74</v>
      </c>
      <c r="V709" t="s">
        <v>74</v>
      </c>
      <c r="W709" t="s">
        <v>12648</v>
      </c>
      <c r="X709" t="s">
        <v>1438</v>
      </c>
      <c r="Y709" t="s">
        <v>12649</v>
      </c>
      <c r="Z709" t="s">
        <v>74</v>
      </c>
      <c r="AA709" t="s">
        <v>74</v>
      </c>
      <c r="AB709" t="s">
        <v>12650</v>
      </c>
      <c r="AC709" t="s">
        <v>74</v>
      </c>
      <c r="AD709" t="s">
        <v>74</v>
      </c>
      <c r="AE709" t="s">
        <v>74</v>
      </c>
      <c r="AF709" t="s">
        <v>74</v>
      </c>
      <c r="AG709">
        <v>10</v>
      </c>
      <c r="AH709">
        <v>10</v>
      </c>
      <c r="AI709">
        <v>10</v>
      </c>
      <c r="AJ709">
        <v>3</v>
      </c>
      <c r="AK709">
        <v>35</v>
      </c>
      <c r="AL709" t="s">
        <v>1965</v>
      </c>
      <c r="AM709" t="s">
        <v>666</v>
      </c>
      <c r="AN709" t="s">
        <v>1966</v>
      </c>
      <c r="AO709" t="s">
        <v>9256</v>
      </c>
      <c r="AP709" t="s">
        <v>9257</v>
      </c>
      <c r="AQ709" t="s">
        <v>74</v>
      </c>
      <c r="AR709" t="s">
        <v>9258</v>
      </c>
      <c r="AS709" t="s">
        <v>9259</v>
      </c>
      <c r="AT709" t="s">
        <v>1484</v>
      </c>
      <c r="AU709">
        <v>2022</v>
      </c>
      <c r="AV709">
        <v>61</v>
      </c>
      <c r="AW709">
        <v>3</v>
      </c>
      <c r="AX709" t="s">
        <v>74</v>
      </c>
      <c r="AY709" t="s">
        <v>74</v>
      </c>
      <c r="AZ709" t="s">
        <v>74</v>
      </c>
      <c r="BA709" t="s">
        <v>74</v>
      </c>
      <c r="BB709">
        <v>351</v>
      </c>
      <c r="BC709">
        <v>353</v>
      </c>
      <c r="BD709" t="s">
        <v>74</v>
      </c>
      <c r="BE709" t="s">
        <v>12651</v>
      </c>
      <c r="BF709" t="str">
        <f>HYPERLINK("http://dx.doi.org/10.1016/j.jaac.2021.09.312","http://dx.doi.org/10.1016/j.jaac.2021.09.312")</f>
        <v>http://dx.doi.org/10.1016/j.jaac.2021.09.312</v>
      </c>
      <c r="BG709" t="s">
        <v>74</v>
      </c>
      <c r="BH709" t="s">
        <v>259</v>
      </c>
      <c r="BI709">
        <v>3</v>
      </c>
      <c r="BJ709" t="s">
        <v>5098</v>
      </c>
      <c r="BK709" t="s">
        <v>182</v>
      </c>
      <c r="BL709" t="s">
        <v>5099</v>
      </c>
      <c r="BM709" t="s">
        <v>12652</v>
      </c>
      <c r="BN709">
        <v>34534625</v>
      </c>
      <c r="BO709" t="s">
        <v>74</v>
      </c>
      <c r="BP709" t="s">
        <v>74</v>
      </c>
      <c r="BQ709" t="s">
        <v>74</v>
      </c>
      <c r="BR709" t="s">
        <v>102</v>
      </c>
      <c r="BS709" t="s">
        <v>12653</v>
      </c>
      <c r="BT709" t="str">
        <f>HYPERLINK("https%3A%2F%2Fwww.webofscience.com%2Fwos%2Fwoscc%2Ffull-record%2FWOS:000760602800002","View Full Record in Web of Science")</f>
        <v>View Full Record in Web of Science</v>
      </c>
    </row>
    <row r="710" spans="1:72" x14ac:dyDescent="0.35">
      <c r="A710" t="s">
        <v>72</v>
      </c>
      <c r="B710" t="s">
        <v>12654</v>
      </c>
      <c r="C710" t="s">
        <v>74</v>
      </c>
      <c r="D710" t="s">
        <v>74</v>
      </c>
      <c r="E710" t="s">
        <v>74</v>
      </c>
      <c r="F710" t="s">
        <v>12655</v>
      </c>
      <c r="G710" t="s">
        <v>74</v>
      </c>
      <c r="H710" t="s">
        <v>74</v>
      </c>
      <c r="I710" t="s">
        <v>12656</v>
      </c>
      <c r="J710" t="s">
        <v>12657</v>
      </c>
      <c r="K710" t="s">
        <v>74</v>
      </c>
      <c r="L710" t="s">
        <v>74</v>
      </c>
      <c r="M710" t="s">
        <v>78</v>
      </c>
      <c r="N710" t="s">
        <v>3404</v>
      </c>
      <c r="O710" t="s">
        <v>74</v>
      </c>
      <c r="P710" t="s">
        <v>74</v>
      </c>
      <c r="Q710" t="s">
        <v>74</v>
      </c>
      <c r="R710" t="s">
        <v>74</v>
      </c>
      <c r="S710" t="s">
        <v>74</v>
      </c>
      <c r="T710" t="s">
        <v>74</v>
      </c>
      <c r="U710" t="s">
        <v>74</v>
      </c>
      <c r="V710" t="s">
        <v>74</v>
      </c>
      <c r="W710" t="s">
        <v>12658</v>
      </c>
      <c r="X710" t="s">
        <v>12659</v>
      </c>
      <c r="Y710" t="s">
        <v>12660</v>
      </c>
      <c r="Z710" t="s">
        <v>12661</v>
      </c>
      <c r="AA710" t="s">
        <v>74</v>
      </c>
      <c r="AB710" t="s">
        <v>12662</v>
      </c>
      <c r="AC710" t="s">
        <v>74</v>
      </c>
      <c r="AD710" t="s">
        <v>74</v>
      </c>
      <c r="AE710" t="s">
        <v>74</v>
      </c>
      <c r="AF710" t="s">
        <v>74</v>
      </c>
      <c r="AG710">
        <v>3</v>
      </c>
      <c r="AH710">
        <v>0</v>
      </c>
      <c r="AI710">
        <v>0</v>
      </c>
      <c r="AJ710">
        <v>1</v>
      </c>
      <c r="AK710">
        <v>1</v>
      </c>
      <c r="AL710" t="s">
        <v>251</v>
      </c>
      <c r="AM710" t="s">
        <v>252</v>
      </c>
      <c r="AN710" t="s">
        <v>253</v>
      </c>
      <c r="AO710" t="s">
        <v>12663</v>
      </c>
      <c r="AP710" t="s">
        <v>12664</v>
      </c>
      <c r="AQ710" t="s">
        <v>74</v>
      </c>
      <c r="AR710" t="s">
        <v>12665</v>
      </c>
      <c r="AS710" t="s">
        <v>12666</v>
      </c>
      <c r="AT710" t="s">
        <v>12667</v>
      </c>
      <c r="AU710">
        <v>2024</v>
      </c>
      <c r="AV710" t="s">
        <v>74</v>
      </c>
      <c r="AW710" t="s">
        <v>74</v>
      </c>
      <c r="AX710" t="s">
        <v>74</v>
      </c>
      <c r="AY710" t="s">
        <v>74</v>
      </c>
      <c r="AZ710" t="s">
        <v>74</v>
      </c>
      <c r="BA710" t="s">
        <v>74</v>
      </c>
      <c r="BB710" t="s">
        <v>74</v>
      </c>
      <c r="BC710" t="s">
        <v>74</v>
      </c>
      <c r="BD710" t="s">
        <v>74</v>
      </c>
      <c r="BE710" t="s">
        <v>12668</v>
      </c>
      <c r="BF710" t="str">
        <f>HYPERLINK("http://dx.doi.org/10.1111/jdv.20275","http://dx.doi.org/10.1111/jdv.20275")</f>
        <v>http://dx.doi.org/10.1111/jdv.20275</v>
      </c>
      <c r="BG710" t="s">
        <v>74</v>
      </c>
      <c r="BH710" t="s">
        <v>2444</v>
      </c>
      <c r="BI710">
        <v>2</v>
      </c>
      <c r="BJ710" t="s">
        <v>1341</v>
      </c>
      <c r="BK710" t="s">
        <v>209</v>
      </c>
      <c r="BL710" t="s">
        <v>1341</v>
      </c>
      <c r="BM710" t="s">
        <v>12669</v>
      </c>
      <c r="BN710">
        <v>39148422</v>
      </c>
      <c r="BO710" t="s">
        <v>74</v>
      </c>
      <c r="BP710" t="s">
        <v>74</v>
      </c>
      <c r="BQ710" t="s">
        <v>74</v>
      </c>
      <c r="BR710" t="s">
        <v>102</v>
      </c>
      <c r="BS710" t="s">
        <v>12670</v>
      </c>
      <c r="BT710" t="str">
        <f>HYPERLINK("https%3A%2F%2Fwww.webofscience.com%2Fwos%2Fwoscc%2Ffull-record%2FWOS:001292064100001","View Full Record in Web of Science")</f>
        <v>View Full Record in Web of Science</v>
      </c>
    </row>
    <row r="711" spans="1:72" x14ac:dyDescent="0.35">
      <c r="A711" t="s">
        <v>72</v>
      </c>
      <c r="B711" t="s">
        <v>12671</v>
      </c>
      <c r="C711" t="s">
        <v>74</v>
      </c>
      <c r="D711" t="s">
        <v>74</v>
      </c>
      <c r="E711" t="s">
        <v>74</v>
      </c>
      <c r="F711" t="s">
        <v>12672</v>
      </c>
      <c r="G711" t="s">
        <v>74</v>
      </c>
      <c r="H711" t="s">
        <v>74</v>
      </c>
      <c r="I711" t="s">
        <v>12673</v>
      </c>
      <c r="J711" t="s">
        <v>9249</v>
      </c>
      <c r="K711" t="s">
        <v>74</v>
      </c>
      <c r="L711" t="s">
        <v>74</v>
      </c>
      <c r="M711" t="s">
        <v>78</v>
      </c>
      <c r="N711" t="s">
        <v>52</v>
      </c>
      <c r="O711" t="s">
        <v>12674</v>
      </c>
      <c r="P711" t="s">
        <v>12675</v>
      </c>
      <c r="Q711" t="s">
        <v>12676</v>
      </c>
      <c r="R711" t="s">
        <v>12677</v>
      </c>
      <c r="S711" t="s">
        <v>74</v>
      </c>
      <c r="T711" t="s">
        <v>74</v>
      </c>
      <c r="U711" t="s">
        <v>74</v>
      </c>
      <c r="V711" t="s">
        <v>74</v>
      </c>
      <c r="W711" t="s">
        <v>12678</v>
      </c>
      <c r="X711" t="s">
        <v>12679</v>
      </c>
      <c r="Y711" t="s">
        <v>74</v>
      </c>
      <c r="Z711" t="s">
        <v>12680</v>
      </c>
      <c r="AA711" t="s">
        <v>12681</v>
      </c>
      <c r="AB711" t="s">
        <v>74</v>
      </c>
      <c r="AC711" t="s">
        <v>12682</v>
      </c>
      <c r="AD711" t="s">
        <v>12682</v>
      </c>
      <c r="AE711" t="s">
        <v>12683</v>
      </c>
      <c r="AF711" t="s">
        <v>74</v>
      </c>
      <c r="AG711">
        <v>0</v>
      </c>
      <c r="AH711">
        <v>0</v>
      </c>
      <c r="AI711">
        <v>0</v>
      </c>
      <c r="AJ711">
        <v>5</v>
      </c>
      <c r="AK711">
        <v>51</v>
      </c>
      <c r="AL711" t="s">
        <v>1965</v>
      </c>
      <c r="AM711" t="s">
        <v>666</v>
      </c>
      <c r="AN711" t="s">
        <v>1966</v>
      </c>
      <c r="AO711" t="s">
        <v>9256</v>
      </c>
      <c r="AP711" t="s">
        <v>9257</v>
      </c>
      <c r="AQ711" t="s">
        <v>74</v>
      </c>
      <c r="AR711" t="s">
        <v>9258</v>
      </c>
      <c r="AS711" t="s">
        <v>9259</v>
      </c>
      <c r="AT711" t="s">
        <v>594</v>
      </c>
      <c r="AU711">
        <v>2022</v>
      </c>
      <c r="AV711">
        <v>61</v>
      </c>
      <c r="AW711">
        <v>10</v>
      </c>
      <c r="AX711" t="s">
        <v>74</v>
      </c>
      <c r="AY711" t="s">
        <v>4946</v>
      </c>
      <c r="AZ711" t="s">
        <v>74</v>
      </c>
      <c r="BA711">
        <v>34</v>
      </c>
      <c r="BB711" t="s">
        <v>12684</v>
      </c>
      <c r="BC711" t="s">
        <v>12684</v>
      </c>
      <c r="BD711" t="s">
        <v>74</v>
      </c>
      <c r="BE711" t="s">
        <v>12685</v>
      </c>
      <c r="BF711" t="str">
        <f>HYPERLINK("http://dx.doi.org/10.1016/j.jaac.2022.07.744","http://dx.doi.org/10.1016/j.jaac.2022.07.744")</f>
        <v>http://dx.doi.org/10.1016/j.jaac.2022.07.744</v>
      </c>
      <c r="BG711" t="s">
        <v>74</v>
      </c>
      <c r="BH711" t="s">
        <v>2034</v>
      </c>
      <c r="BI711">
        <v>1</v>
      </c>
      <c r="BJ711" t="s">
        <v>5098</v>
      </c>
      <c r="BK711" t="s">
        <v>3030</v>
      </c>
      <c r="BL711" t="s">
        <v>5099</v>
      </c>
      <c r="BM711" t="s">
        <v>12686</v>
      </c>
      <c r="BN711" t="s">
        <v>74</v>
      </c>
      <c r="BO711" t="s">
        <v>74</v>
      </c>
      <c r="BP711" t="s">
        <v>74</v>
      </c>
      <c r="BQ711" t="s">
        <v>74</v>
      </c>
      <c r="BR711" t="s">
        <v>102</v>
      </c>
      <c r="BS711" t="s">
        <v>12687</v>
      </c>
      <c r="BT711" t="str">
        <f>HYPERLINK("https%3A%2F%2Fwww.webofscience.com%2Fwos%2Fwoscc%2Ffull-record%2FWOS:000873567901426","View Full Record in Web of Science")</f>
        <v>View Full Record in Web of Science</v>
      </c>
    </row>
    <row r="712" spans="1:72" x14ac:dyDescent="0.35">
      <c r="A712" t="s">
        <v>72</v>
      </c>
      <c r="B712" t="s">
        <v>12688</v>
      </c>
      <c r="C712" t="s">
        <v>74</v>
      </c>
      <c r="D712" t="s">
        <v>74</v>
      </c>
      <c r="E712" t="s">
        <v>74</v>
      </c>
      <c r="F712" t="s">
        <v>12689</v>
      </c>
      <c r="G712" t="s">
        <v>74</v>
      </c>
      <c r="H712" t="s">
        <v>74</v>
      </c>
      <c r="I712" t="s">
        <v>12690</v>
      </c>
      <c r="J712" t="s">
        <v>12691</v>
      </c>
      <c r="K712" t="s">
        <v>74</v>
      </c>
      <c r="L712" t="s">
        <v>74</v>
      </c>
      <c r="M712" t="s">
        <v>78</v>
      </c>
      <c r="N712" t="s">
        <v>2042</v>
      </c>
      <c r="O712" t="s">
        <v>74</v>
      </c>
      <c r="P712" t="s">
        <v>74</v>
      </c>
      <c r="Q712" t="s">
        <v>74</v>
      </c>
      <c r="R712" t="s">
        <v>74</v>
      </c>
      <c r="S712" t="s">
        <v>74</v>
      </c>
      <c r="T712" t="s">
        <v>74</v>
      </c>
      <c r="U712" t="s">
        <v>74</v>
      </c>
      <c r="V712" t="s">
        <v>74</v>
      </c>
      <c r="W712" t="s">
        <v>12692</v>
      </c>
      <c r="X712" t="s">
        <v>12693</v>
      </c>
      <c r="Y712" t="s">
        <v>12694</v>
      </c>
      <c r="Z712" t="s">
        <v>12695</v>
      </c>
      <c r="AA712" t="s">
        <v>74</v>
      </c>
      <c r="AB712" t="s">
        <v>12696</v>
      </c>
      <c r="AC712" t="s">
        <v>12697</v>
      </c>
      <c r="AD712" t="s">
        <v>12698</v>
      </c>
      <c r="AE712" t="s">
        <v>12699</v>
      </c>
      <c r="AF712" t="s">
        <v>74</v>
      </c>
      <c r="AG712">
        <v>8</v>
      </c>
      <c r="AH712">
        <v>56</v>
      </c>
      <c r="AI712">
        <v>56</v>
      </c>
      <c r="AJ712">
        <v>3</v>
      </c>
      <c r="AK712">
        <v>17</v>
      </c>
      <c r="AL712" t="s">
        <v>251</v>
      </c>
      <c r="AM712" t="s">
        <v>252</v>
      </c>
      <c r="AN712" t="s">
        <v>253</v>
      </c>
      <c r="AO712" t="s">
        <v>12700</v>
      </c>
      <c r="AP712" t="s">
        <v>12701</v>
      </c>
      <c r="AQ712" t="s">
        <v>74</v>
      </c>
      <c r="AR712" t="s">
        <v>12702</v>
      </c>
      <c r="AS712" t="s">
        <v>12703</v>
      </c>
      <c r="AT712" t="s">
        <v>594</v>
      </c>
      <c r="AU712">
        <v>2021</v>
      </c>
      <c r="AV712">
        <v>128</v>
      </c>
      <c r="AW712">
        <v>4</v>
      </c>
      <c r="AX712" t="s">
        <v>74</v>
      </c>
      <c r="AY712" t="s">
        <v>74</v>
      </c>
      <c r="AZ712" t="s">
        <v>74</v>
      </c>
      <c r="BA712" t="s">
        <v>74</v>
      </c>
      <c r="BB712">
        <v>435</v>
      </c>
      <c r="BC712">
        <v>437</v>
      </c>
      <c r="BD712" t="s">
        <v>74</v>
      </c>
      <c r="BE712" t="s">
        <v>12704</v>
      </c>
      <c r="BF712" t="str">
        <f>HYPERLINK("http://dx.doi.org/10.1111/bju.15403","http://dx.doi.org/10.1111/bju.15403")</f>
        <v>http://dx.doi.org/10.1111/bju.15403</v>
      </c>
      <c r="BG712" t="s">
        <v>74</v>
      </c>
      <c r="BH712" t="s">
        <v>2090</v>
      </c>
      <c r="BI712">
        <v>3</v>
      </c>
      <c r="BJ712" t="s">
        <v>1908</v>
      </c>
      <c r="BK712" t="s">
        <v>209</v>
      </c>
      <c r="BL712" t="s">
        <v>1908</v>
      </c>
      <c r="BM712" t="s">
        <v>12705</v>
      </c>
      <c r="BN712">
        <v>33811424</v>
      </c>
      <c r="BO712" t="s">
        <v>2194</v>
      </c>
      <c r="BP712" t="s">
        <v>74</v>
      </c>
      <c r="BQ712" t="s">
        <v>74</v>
      </c>
      <c r="BR712" t="s">
        <v>102</v>
      </c>
      <c r="BS712" t="s">
        <v>12706</v>
      </c>
      <c r="BT712" t="str">
        <f>HYPERLINK("https%3A%2F%2Fwww.webofscience.com%2Fwos%2Fwoscc%2Ffull-record%2FWOS:000663943900001","View Full Record in Web of Science")</f>
        <v>View Full Record in Web of Science</v>
      </c>
    </row>
    <row r="713" spans="1:72" x14ac:dyDescent="0.35">
      <c r="A713" t="s">
        <v>72</v>
      </c>
      <c r="B713" t="s">
        <v>12707</v>
      </c>
      <c r="C713" t="s">
        <v>74</v>
      </c>
      <c r="D713" t="s">
        <v>74</v>
      </c>
      <c r="E713" t="s">
        <v>74</v>
      </c>
      <c r="F713" t="s">
        <v>12708</v>
      </c>
      <c r="G713" t="s">
        <v>74</v>
      </c>
      <c r="H713" t="s">
        <v>74</v>
      </c>
      <c r="I713" t="s">
        <v>12709</v>
      </c>
      <c r="J713" t="s">
        <v>6288</v>
      </c>
      <c r="K713" t="s">
        <v>74</v>
      </c>
      <c r="L713" t="s">
        <v>74</v>
      </c>
      <c r="M713" t="s">
        <v>78</v>
      </c>
      <c r="N713" t="s">
        <v>1328</v>
      </c>
      <c r="O713" t="s">
        <v>74</v>
      </c>
      <c r="P713" t="s">
        <v>74</v>
      </c>
      <c r="Q713" t="s">
        <v>74</v>
      </c>
      <c r="R713" t="s">
        <v>74</v>
      </c>
      <c r="S713" t="s">
        <v>74</v>
      </c>
      <c r="T713" t="s">
        <v>74</v>
      </c>
      <c r="U713" t="s">
        <v>12710</v>
      </c>
      <c r="V713" t="s">
        <v>74</v>
      </c>
      <c r="W713" t="s">
        <v>12711</v>
      </c>
      <c r="X713" t="s">
        <v>12712</v>
      </c>
      <c r="Y713" t="s">
        <v>12713</v>
      </c>
      <c r="Z713" t="s">
        <v>74</v>
      </c>
      <c r="AA713" t="s">
        <v>74</v>
      </c>
      <c r="AB713" t="s">
        <v>12714</v>
      </c>
      <c r="AC713" t="s">
        <v>74</v>
      </c>
      <c r="AD713" t="s">
        <v>74</v>
      </c>
      <c r="AE713" t="s">
        <v>74</v>
      </c>
      <c r="AF713" t="s">
        <v>74</v>
      </c>
      <c r="AG713">
        <v>4</v>
      </c>
      <c r="AH713">
        <v>10</v>
      </c>
      <c r="AI713">
        <v>11</v>
      </c>
      <c r="AJ713">
        <v>1</v>
      </c>
      <c r="AK713">
        <v>12</v>
      </c>
      <c r="AL713" t="s">
        <v>1965</v>
      </c>
      <c r="AM713" t="s">
        <v>666</v>
      </c>
      <c r="AN713" t="s">
        <v>1966</v>
      </c>
      <c r="AO713" t="s">
        <v>6297</v>
      </c>
      <c r="AP713" t="s">
        <v>6298</v>
      </c>
      <c r="AQ713" t="s">
        <v>74</v>
      </c>
      <c r="AR713" t="s">
        <v>6299</v>
      </c>
      <c r="AS713" t="s">
        <v>6300</v>
      </c>
      <c r="AT713" t="s">
        <v>745</v>
      </c>
      <c r="AU713">
        <v>2021</v>
      </c>
      <c r="AV713">
        <v>68</v>
      </c>
      <c r="AW713">
        <v>5</v>
      </c>
      <c r="AX713" t="s">
        <v>74</v>
      </c>
      <c r="AY713" t="s">
        <v>74</v>
      </c>
      <c r="AZ713" t="s">
        <v>74</v>
      </c>
      <c r="BA713" t="s">
        <v>74</v>
      </c>
      <c r="BB713">
        <v>1021</v>
      </c>
      <c r="BC713">
        <v>1022</v>
      </c>
      <c r="BD713" t="s">
        <v>74</v>
      </c>
      <c r="BE713" t="s">
        <v>74</v>
      </c>
      <c r="BF713" t="s">
        <v>74</v>
      </c>
      <c r="BG713" t="s">
        <v>74</v>
      </c>
      <c r="BH713" t="s">
        <v>74</v>
      </c>
      <c r="BI713">
        <v>2</v>
      </c>
      <c r="BJ713" t="s">
        <v>6302</v>
      </c>
      <c r="BK713" t="s">
        <v>182</v>
      </c>
      <c r="BL713" t="s">
        <v>6303</v>
      </c>
      <c r="BM713" t="s">
        <v>12715</v>
      </c>
      <c r="BN713">
        <v>33814279</v>
      </c>
      <c r="BO713" t="s">
        <v>767</v>
      </c>
      <c r="BP713" t="s">
        <v>74</v>
      </c>
      <c r="BQ713" t="s">
        <v>74</v>
      </c>
      <c r="BR713" t="s">
        <v>102</v>
      </c>
      <c r="BS713" t="s">
        <v>12716</v>
      </c>
      <c r="BT713" t="str">
        <f>HYPERLINK("https%3A%2F%2Fwww.webofscience.com%2Fwos%2Fwoscc%2Ffull-record%2FWOS:000643486900032","View Full Record in Web of Science")</f>
        <v>View Full Record in Web of Science</v>
      </c>
    </row>
    <row r="714" spans="1:72" x14ac:dyDescent="0.35">
      <c r="A714" t="s">
        <v>72</v>
      </c>
      <c r="B714" t="s">
        <v>5560</v>
      </c>
      <c r="C714" t="s">
        <v>74</v>
      </c>
      <c r="D714" t="s">
        <v>74</v>
      </c>
      <c r="E714" t="s">
        <v>74</v>
      </c>
      <c r="F714" t="s">
        <v>5561</v>
      </c>
      <c r="G714" t="s">
        <v>74</v>
      </c>
      <c r="H714" t="s">
        <v>74</v>
      </c>
      <c r="I714" t="s">
        <v>12717</v>
      </c>
      <c r="J714" t="s">
        <v>12718</v>
      </c>
      <c r="K714" t="s">
        <v>74</v>
      </c>
      <c r="L714" t="s">
        <v>74</v>
      </c>
      <c r="M714" t="s">
        <v>78</v>
      </c>
      <c r="N714" t="s">
        <v>108</v>
      </c>
      <c r="O714" t="s">
        <v>74</v>
      </c>
      <c r="P714" t="s">
        <v>74</v>
      </c>
      <c r="Q714" t="s">
        <v>74</v>
      </c>
      <c r="R714" t="s">
        <v>74</v>
      </c>
      <c r="S714" t="s">
        <v>74</v>
      </c>
      <c r="T714" t="s">
        <v>12719</v>
      </c>
      <c r="U714" t="s">
        <v>12720</v>
      </c>
      <c r="V714" t="s">
        <v>12721</v>
      </c>
      <c r="W714" t="s">
        <v>5566</v>
      </c>
      <c r="X714" t="s">
        <v>5567</v>
      </c>
      <c r="Y714" t="s">
        <v>5568</v>
      </c>
      <c r="Z714" t="s">
        <v>5569</v>
      </c>
      <c r="AA714" t="s">
        <v>5570</v>
      </c>
      <c r="AB714" t="s">
        <v>5571</v>
      </c>
      <c r="AC714" t="s">
        <v>12722</v>
      </c>
      <c r="AD714" t="s">
        <v>12722</v>
      </c>
      <c r="AE714" t="s">
        <v>12723</v>
      </c>
      <c r="AF714" t="s">
        <v>74</v>
      </c>
      <c r="AG714">
        <v>48</v>
      </c>
      <c r="AH714">
        <v>0</v>
      </c>
      <c r="AI714">
        <v>0</v>
      </c>
      <c r="AJ714">
        <v>1</v>
      </c>
      <c r="AK714">
        <v>1</v>
      </c>
      <c r="AL714" t="s">
        <v>12724</v>
      </c>
      <c r="AM714" t="s">
        <v>6529</v>
      </c>
      <c r="AN714" t="s">
        <v>12725</v>
      </c>
      <c r="AO714" t="s">
        <v>12726</v>
      </c>
      <c r="AP714" t="s">
        <v>12727</v>
      </c>
      <c r="AQ714" t="s">
        <v>74</v>
      </c>
      <c r="AR714" t="s">
        <v>12728</v>
      </c>
      <c r="AS714" t="s">
        <v>12729</v>
      </c>
      <c r="AT714" t="s">
        <v>74</v>
      </c>
      <c r="AU714">
        <v>2024</v>
      </c>
      <c r="AV714">
        <v>14</v>
      </c>
      <c r="AW714">
        <v>2</v>
      </c>
      <c r="AX714" t="s">
        <v>74</v>
      </c>
      <c r="AY714" t="s">
        <v>74</v>
      </c>
      <c r="AZ714" t="s">
        <v>74</v>
      </c>
      <c r="BA714" t="s">
        <v>74</v>
      </c>
      <c r="BB714">
        <v>265</v>
      </c>
      <c r="BC714">
        <v>293</v>
      </c>
      <c r="BD714" t="s">
        <v>74</v>
      </c>
      <c r="BE714" t="s">
        <v>12730</v>
      </c>
      <c r="BF714" t="str">
        <f>HYPERLINK("http://dx.doi.org/10.62008/ixc/14/02Whosth","http://dx.doi.org/10.62008/ixc/14/02Whosth")</f>
        <v>http://dx.doi.org/10.62008/ixc/14/02Whosth</v>
      </c>
      <c r="BG714" t="s">
        <v>74</v>
      </c>
      <c r="BH714" t="s">
        <v>74</v>
      </c>
      <c r="BI714">
        <v>29</v>
      </c>
      <c r="BJ714" t="s">
        <v>124</v>
      </c>
      <c r="BK714" t="s">
        <v>125</v>
      </c>
      <c r="BL714" t="s">
        <v>124</v>
      </c>
      <c r="BM714" t="s">
        <v>12731</v>
      </c>
      <c r="BN714" t="s">
        <v>74</v>
      </c>
      <c r="BO714" t="s">
        <v>235</v>
      </c>
      <c r="BP714" t="s">
        <v>74</v>
      </c>
      <c r="BQ714" t="s">
        <v>74</v>
      </c>
      <c r="BR714" t="s">
        <v>102</v>
      </c>
      <c r="BS714" t="s">
        <v>12732</v>
      </c>
      <c r="BT714" t="str">
        <f>HYPERLINK("https%3A%2F%2Fwww.webofscience.com%2Fwos%2Fwoscc%2Ffull-record%2FWOS:001273878000011","View Full Record in Web of Science")</f>
        <v>View Full Record in Web of Science</v>
      </c>
    </row>
    <row r="715" spans="1:72" x14ac:dyDescent="0.35">
      <c r="A715" t="s">
        <v>72</v>
      </c>
      <c r="B715" t="s">
        <v>12733</v>
      </c>
      <c r="C715" t="s">
        <v>74</v>
      </c>
      <c r="D715" t="s">
        <v>74</v>
      </c>
      <c r="E715" t="s">
        <v>74</v>
      </c>
      <c r="F715" t="s">
        <v>12734</v>
      </c>
      <c r="G715" t="s">
        <v>74</v>
      </c>
      <c r="H715" t="s">
        <v>74</v>
      </c>
      <c r="I715" t="s">
        <v>12735</v>
      </c>
      <c r="J715" t="s">
        <v>12736</v>
      </c>
      <c r="K715" t="s">
        <v>74</v>
      </c>
      <c r="L715" t="s">
        <v>74</v>
      </c>
      <c r="M715" t="s">
        <v>78</v>
      </c>
      <c r="N715" t="s">
        <v>108</v>
      </c>
      <c r="O715" t="s">
        <v>74</v>
      </c>
      <c r="P715" t="s">
        <v>74</v>
      </c>
      <c r="Q715" t="s">
        <v>74</v>
      </c>
      <c r="R715" t="s">
        <v>74</v>
      </c>
      <c r="S715" t="s">
        <v>74</v>
      </c>
      <c r="T715" t="s">
        <v>12737</v>
      </c>
      <c r="U715" t="s">
        <v>218</v>
      </c>
      <c r="V715" t="s">
        <v>12738</v>
      </c>
      <c r="W715" t="s">
        <v>12739</v>
      </c>
      <c r="X715" t="s">
        <v>9993</v>
      </c>
      <c r="Y715" t="s">
        <v>12740</v>
      </c>
      <c r="Z715" t="s">
        <v>12741</v>
      </c>
      <c r="AA715" t="s">
        <v>12742</v>
      </c>
      <c r="AB715" t="s">
        <v>12743</v>
      </c>
      <c r="AC715" t="s">
        <v>74</v>
      </c>
      <c r="AD715" t="s">
        <v>74</v>
      </c>
      <c r="AE715" t="s">
        <v>74</v>
      </c>
      <c r="AF715" t="s">
        <v>74</v>
      </c>
      <c r="AG715">
        <v>32</v>
      </c>
      <c r="AH715">
        <v>4</v>
      </c>
      <c r="AI715">
        <v>4</v>
      </c>
      <c r="AJ715">
        <v>0</v>
      </c>
      <c r="AK715">
        <v>11</v>
      </c>
      <c r="AL715" t="s">
        <v>1901</v>
      </c>
      <c r="AM715" t="s">
        <v>995</v>
      </c>
      <c r="AN715" t="s">
        <v>1902</v>
      </c>
      <c r="AO715" t="s">
        <v>12744</v>
      </c>
      <c r="AP715" t="s">
        <v>12745</v>
      </c>
      <c r="AQ715" t="s">
        <v>74</v>
      </c>
      <c r="AR715" t="s">
        <v>12746</v>
      </c>
      <c r="AS715" t="s">
        <v>12747</v>
      </c>
      <c r="AT715" t="s">
        <v>523</v>
      </c>
      <c r="AU715">
        <v>2022</v>
      </c>
      <c r="AV715">
        <v>48</v>
      </c>
      <c r="AW715">
        <v>11</v>
      </c>
      <c r="AX715" t="s">
        <v>74</v>
      </c>
      <c r="AY715" t="s">
        <v>74</v>
      </c>
      <c r="AZ715" t="s">
        <v>74</v>
      </c>
      <c r="BA715" t="s">
        <v>74</v>
      </c>
      <c r="BB715">
        <v>479</v>
      </c>
      <c r="BC715">
        <v>484</v>
      </c>
      <c r="BD715" t="s">
        <v>74</v>
      </c>
      <c r="BE715" t="s">
        <v>12748</v>
      </c>
      <c r="BF715" t="str">
        <f>HYPERLINK("http://dx.doi.org/10.1097/ICL.0000000000000936","http://dx.doi.org/10.1097/ICL.0000000000000936")</f>
        <v>http://dx.doi.org/10.1097/ICL.0000000000000936</v>
      </c>
      <c r="BG715" t="s">
        <v>74</v>
      </c>
      <c r="BH715" t="s">
        <v>74</v>
      </c>
      <c r="BI715">
        <v>6</v>
      </c>
      <c r="BJ715" t="s">
        <v>4171</v>
      </c>
      <c r="BK715" t="s">
        <v>209</v>
      </c>
      <c r="BL715" t="s">
        <v>4171</v>
      </c>
      <c r="BM715" t="s">
        <v>12749</v>
      </c>
      <c r="BN715">
        <v>36044821</v>
      </c>
      <c r="BO715" t="s">
        <v>74</v>
      </c>
      <c r="BP715" t="s">
        <v>74</v>
      </c>
      <c r="BQ715" t="s">
        <v>74</v>
      </c>
      <c r="BR715" t="s">
        <v>102</v>
      </c>
      <c r="BS715" t="s">
        <v>12750</v>
      </c>
      <c r="BT715" t="str">
        <f>HYPERLINK("https%3A%2F%2Fwww.webofscience.com%2Fwos%2Fwoscc%2Ffull-record%2FWOS:000871702000006","View Full Record in Web of Science")</f>
        <v>View Full Record in Web of Science</v>
      </c>
    </row>
    <row r="716" spans="1:72" x14ac:dyDescent="0.35">
      <c r="A716" t="s">
        <v>72</v>
      </c>
      <c r="B716" t="s">
        <v>12751</v>
      </c>
      <c r="C716" t="s">
        <v>74</v>
      </c>
      <c r="D716" t="s">
        <v>74</v>
      </c>
      <c r="E716" t="s">
        <v>74</v>
      </c>
      <c r="F716" t="s">
        <v>12752</v>
      </c>
      <c r="G716" t="s">
        <v>74</v>
      </c>
      <c r="H716" t="s">
        <v>74</v>
      </c>
      <c r="I716" t="s">
        <v>12753</v>
      </c>
      <c r="J716" t="s">
        <v>12754</v>
      </c>
      <c r="K716" t="s">
        <v>74</v>
      </c>
      <c r="L716" t="s">
        <v>74</v>
      </c>
      <c r="M716" t="s">
        <v>78</v>
      </c>
      <c r="N716" t="s">
        <v>108</v>
      </c>
      <c r="O716" t="s">
        <v>74</v>
      </c>
      <c r="P716" t="s">
        <v>74</v>
      </c>
      <c r="Q716" t="s">
        <v>74</v>
      </c>
      <c r="R716" t="s">
        <v>74</v>
      </c>
      <c r="S716" t="s">
        <v>74</v>
      </c>
      <c r="T716" t="s">
        <v>12755</v>
      </c>
      <c r="U716" t="s">
        <v>12756</v>
      </c>
      <c r="V716" t="s">
        <v>12757</v>
      </c>
      <c r="W716" t="s">
        <v>12758</v>
      </c>
      <c r="X716" t="s">
        <v>12759</v>
      </c>
      <c r="Y716" t="s">
        <v>12760</v>
      </c>
      <c r="Z716" t="s">
        <v>12761</v>
      </c>
      <c r="AA716" t="s">
        <v>12762</v>
      </c>
      <c r="AB716" t="s">
        <v>74</v>
      </c>
      <c r="AC716" t="s">
        <v>12763</v>
      </c>
      <c r="AD716" t="s">
        <v>12764</v>
      </c>
      <c r="AE716" t="s">
        <v>12765</v>
      </c>
      <c r="AF716" t="s">
        <v>74</v>
      </c>
      <c r="AG716">
        <v>68</v>
      </c>
      <c r="AH716">
        <v>3</v>
      </c>
      <c r="AI716">
        <v>4</v>
      </c>
      <c r="AJ716">
        <v>19</v>
      </c>
      <c r="AK716">
        <v>53</v>
      </c>
      <c r="AL716" t="s">
        <v>199</v>
      </c>
      <c r="AM716" t="s">
        <v>200</v>
      </c>
      <c r="AN716" t="s">
        <v>471</v>
      </c>
      <c r="AO716" t="s">
        <v>12766</v>
      </c>
      <c r="AP716" t="s">
        <v>12767</v>
      </c>
      <c r="AQ716" t="s">
        <v>74</v>
      </c>
      <c r="AR716" t="s">
        <v>12768</v>
      </c>
      <c r="AS716" t="s">
        <v>12769</v>
      </c>
      <c r="AT716" t="s">
        <v>12770</v>
      </c>
      <c r="AU716">
        <v>2024</v>
      </c>
      <c r="AV716">
        <v>42</v>
      </c>
      <c r="AW716">
        <v>2</v>
      </c>
      <c r="AX716" t="s">
        <v>74</v>
      </c>
      <c r="AY716" t="s">
        <v>74</v>
      </c>
      <c r="AZ716" t="s">
        <v>74</v>
      </c>
      <c r="BA716" t="s">
        <v>74</v>
      </c>
      <c r="BB716">
        <v>210</v>
      </c>
      <c r="BC716">
        <v>229</v>
      </c>
      <c r="BD716" t="s">
        <v>74</v>
      </c>
      <c r="BE716" t="s">
        <v>12771</v>
      </c>
      <c r="BF716" t="str">
        <f>HYPERLINK("http://dx.doi.org/10.1108/EL-06-2023-0150","http://dx.doi.org/10.1108/EL-06-2023-0150")</f>
        <v>http://dx.doi.org/10.1108/EL-06-2023-0150</v>
      </c>
      <c r="BG716" t="s">
        <v>74</v>
      </c>
      <c r="BH716" t="s">
        <v>1449</v>
      </c>
      <c r="BI716">
        <v>20</v>
      </c>
      <c r="BJ716" t="s">
        <v>1162</v>
      </c>
      <c r="BK716" t="s">
        <v>99</v>
      </c>
      <c r="BL716" t="s">
        <v>1162</v>
      </c>
      <c r="BM716" t="s">
        <v>12772</v>
      </c>
      <c r="BN716" t="s">
        <v>74</v>
      </c>
      <c r="BO716" t="s">
        <v>74</v>
      </c>
      <c r="BP716" t="s">
        <v>74</v>
      </c>
      <c r="BQ716" t="s">
        <v>74</v>
      </c>
      <c r="BR716" t="s">
        <v>102</v>
      </c>
      <c r="BS716" t="s">
        <v>12773</v>
      </c>
      <c r="BT716" t="str">
        <f>HYPERLINK("https%3A%2F%2Fwww.webofscience.com%2Fwos%2Fwoscc%2Ffull-record%2FWOS:001129026400001","View Full Record in Web of Science")</f>
        <v>View Full Record in Web of Science</v>
      </c>
    </row>
    <row r="717" spans="1:72" x14ac:dyDescent="0.35">
      <c r="A717" t="s">
        <v>72</v>
      </c>
      <c r="B717" t="s">
        <v>12774</v>
      </c>
      <c r="C717" t="s">
        <v>74</v>
      </c>
      <c r="D717" t="s">
        <v>74</v>
      </c>
      <c r="E717" t="s">
        <v>74</v>
      </c>
      <c r="F717" t="s">
        <v>12775</v>
      </c>
      <c r="G717" t="s">
        <v>74</v>
      </c>
      <c r="H717" t="s">
        <v>74</v>
      </c>
      <c r="I717" t="s">
        <v>12776</v>
      </c>
      <c r="J717" t="s">
        <v>8768</v>
      </c>
      <c r="K717" t="s">
        <v>74</v>
      </c>
      <c r="L717" t="s">
        <v>74</v>
      </c>
      <c r="M717" t="s">
        <v>8769</v>
      </c>
      <c r="N717" t="s">
        <v>2042</v>
      </c>
      <c r="O717" t="s">
        <v>74</v>
      </c>
      <c r="P717" t="s">
        <v>74</v>
      </c>
      <c r="Q717" t="s">
        <v>74</v>
      </c>
      <c r="R717" t="s">
        <v>74</v>
      </c>
      <c r="S717" t="s">
        <v>74</v>
      </c>
      <c r="T717" t="s">
        <v>74</v>
      </c>
      <c r="U717" t="s">
        <v>74</v>
      </c>
      <c r="V717" t="s">
        <v>74</v>
      </c>
      <c r="W717" t="s">
        <v>12777</v>
      </c>
      <c r="X717" t="s">
        <v>2803</v>
      </c>
      <c r="Y717" t="s">
        <v>12778</v>
      </c>
      <c r="Z717" t="s">
        <v>74</v>
      </c>
      <c r="AA717" t="s">
        <v>12779</v>
      </c>
      <c r="AB717" t="s">
        <v>74</v>
      </c>
      <c r="AC717" t="s">
        <v>74</v>
      </c>
      <c r="AD717" t="s">
        <v>74</v>
      </c>
      <c r="AE717" t="s">
        <v>74</v>
      </c>
      <c r="AF717" t="s">
        <v>74</v>
      </c>
      <c r="AG717">
        <v>7</v>
      </c>
      <c r="AH717">
        <v>0</v>
      </c>
      <c r="AI717">
        <v>0</v>
      </c>
      <c r="AJ717">
        <v>0</v>
      </c>
      <c r="AK717">
        <v>0</v>
      </c>
      <c r="AL717" t="s">
        <v>8773</v>
      </c>
      <c r="AM717" t="s">
        <v>8774</v>
      </c>
      <c r="AN717" t="s">
        <v>8775</v>
      </c>
      <c r="AO717" t="s">
        <v>8776</v>
      </c>
      <c r="AP717" t="s">
        <v>74</v>
      </c>
      <c r="AQ717" t="s">
        <v>74</v>
      </c>
      <c r="AR717" t="s">
        <v>8777</v>
      </c>
      <c r="AS717" t="s">
        <v>8778</v>
      </c>
      <c r="AT717" t="s">
        <v>74</v>
      </c>
      <c r="AU717">
        <v>2024</v>
      </c>
      <c r="AV717" t="s">
        <v>74</v>
      </c>
      <c r="AW717" t="s">
        <v>74</v>
      </c>
      <c r="AX717" t="s">
        <v>74</v>
      </c>
      <c r="AY717" t="s">
        <v>74</v>
      </c>
      <c r="AZ717" t="s">
        <v>456</v>
      </c>
      <c r="BA717" t="s">
        <v>74</v>
      </c>
      <c r="BB717" t="s">
        <v>74</v>
      </c>
      <c r="BC717" t="s">
        <v>74</v>
      </c>
      <c r="BD717" t="s">
        <v>74</v>
      </c>
      <c r="BE717" t="s">
        <v>74</v>
      </c>
      <c r="BF717" t="s">
        <v>74</v>
      </c>
      <c r="BG717" t="s">
        <v>74</v>
      </c>
      <c r="BH717" t="s">
        <v>74</v>
      </c>
      <c r="BI717">
        <v>7</v>
      </c>
      <c r="BJ717" t="s">
        <v>2124</v>
      </c>
      <c r="BK717" t="s">
        <v>125</v>
      </c>
      <c r="BL717" t="s">
        <v>2124</v>
      </c>
      <c r="BM717" t="s">
        <v>8779</v>
      </c>
      <c r="BN717" t="s">
        <v>74</v>
      </c>
      <c r="BO717" t="s">
        <v>74</v>
      </c>
      <c r="BP717" t="s">
        <v>74</v>
      </c>
      <c r="BQ717" t="s">
        <v>74</v>
      </c>
      <c r="BR717" t="s">
        <v>102</v>
      </c>
      <c r="BS717" t="s">
        <v>12780</v>
      </c>
      <c r="BT717" t="str">
        <f>HYPERLINK("https%3A%2F%2Fwww.webofscience.com%2Fwos%2Fwoscc%2Ffull-record%2FWOS:001336390400001","View Full Record in Web of Science")</f>
        <v>View Full Record in Web of Science</v>
      </c>
    </row>
    <row r="718" spans="1:72" x14ac:dyDescent="0.35">
      <c r="A718" t="s">
        <v>72</v>
      </c>
      <c r="B718" t="s">
        <v>12781</v>
      </c>
      <c r="C718" t="s">
        <v>74</v>
      </c>
      <c r="D718" t="s">
        <v>74</v>
      </c>
      <c r="E718" t="s">
        <v>74</v>
      </c>
      <c r="F718" t="s">
        <v>12782</v>
      </c>
      <c r="G718" t="s">
        <v>74</v>
      </c>
      <c r="H718" t="s">
        <v>74</v>
      </c>
      <c r="I718" t="s">
        <v>12783</v>
      </c>
      <c r="J718" t="s">
        <v>10432</v>
      </c>
      <c r="K718" t="s">
        <v>74</v>
      </c>
      <c r="L718" t="s">
        <v>74</v>
      </c>
      <c r="M718" t="s">
        <v>78</v>
      </c>
      <c r="N718" t="s">
        <v>52</v>
      </c>
      <c r="O718" t="s">
        <v>10999</v>
      </c>
      <c r="P718" t="s">
        <v>12784</v>
      </c>
      <c r="Q718" t="s">
        <v>12785</v>
      </c>
      <c r="R718" t="s">
        <v>11002</v>
      </c>
      <c r="S718" t="s">
        <v>74</v>
      </c>
      <c r="T718" t="s">
        <v>74</v>
      </c>
      <c r="U718" t="s">
        <v>74</v>
      </c>
      <c r="V718" t="s">
        <v>74</v>
      </c>
      <c r="W718" t="s">
        <v>12786</v>
      </c>
      <c r="X718" t="s">
        <v>9559</v>
      </c>
      <c r="Y718" t="s">
        <v>74</v>
      </c>
      <c r="Z718" t="s">
        <v>74</v>
      </c>
      <c r="AA718" t="s">
        <v>74</v>
      </c>
      <c r="AB718" t="s">
        <v>74</v>
      </c>
      <c r="AC718" t="s">
        <v>74</v>
      </c>
      <c r="AD718" t="s">
        <v>74</v>
      </c>
      <c r="AE718" t="s">
        <v>74</v>
      </c>
      <c r="AF718" t="s">
        <v>74</v>
      </c>
      <c r="AG718">
        <v>0</v>
      </c>
      <c r="AH718">
        <v>0</v>
      </c>
      <c r="AI718">
        <v>0</v>
      </c>
      <c r="AJ718">
        <v>0</v>
      </c>
      <c r="AK718">
        <v>0</v>
      </c>
      <c r="AL718" t="s">
        <v>1965</v>
      </c>
      <c r="AM718" t="s">
        <v>666</v>
      </c>
      <c r="AN718" t="s">
        <v>1966</v>
      </c>
      <c r="AO718" t="s">
        <v>10436</v>
      </c>
      <c r="AP718" t="s">
        <v>10437</v>
      </c>
      <c r="AQ718" t="s">
        <v>74</v>
      </c>
      <c r="AR718" t="s">
        <v>10438</v>
      </c>
      <c r="AS718" t="s">
        <v>10439</v>
      </c>
      <c r="AT718" t="s">
        <v>297</v>
      </c>
      <c r="AU718">
        <v>2022</v>
      </c>
      <c r="AV718">
        <v>142</v>
      </c>
      <c r="AW718">
        <v>8</v>
      </c>
      <c r="AX718" t="s">
        <v>74</v>
      </c>
      <c r="AY718" t="s">
        <v>4946</v>
      </c>
      <c r="AZ718" t="s">
        <v>74</v>
      </c>
      <c r="BA718">
        <v>350</v>
      </c>
      <c r="BB718" t="s">
        <v>12787</v>
      </c>
      <c r="BC718" t="s">
        <v>12787</v>
      </c>
      <c r="BD718" t="s">
        <v>74</v>
      </c>
      <c r="BE718" t="s">
        <v>74</v>
      </c>
      <c r="BF718" t="s">
        <v>74</v>
      </c>
      <c r="BG718" t="s">
        <v>74</v>
      </c>
      <c r="BH718" t="s">
        <v>74</v>
      </c>
      <c r="BI718">
        <v>1</v>
      </c>
      <c r="BJ718" t="s">
        <v>1341</v>
      </c>
      <c r="BK718" t="s">
        <v>2257</v>
      </c>
      <c r="BL718" t="s">
        <v>1341</v>
      </c>
      <c r="BM718" t="s">
        <v>12457</v>
      </c>
      <c r="BN718" t="s">
        <v>74</v>
      </c>
      <c r="BO718" t="s">
        <v>74</v>
      </c>
      <c r="BP718" t="s">
        <v>74</v>
      </c>
      <c r="BQ718" t="s">
        <v>74</v>
      </c>
      <c r="BR718" t="s">
        <v>102</v>
      </c>
      <c r="BS718" t="s">
        <v>12788</v>
      </c>
      <c r="BT718" t="str">
        <f>HYPERLINK("https%3A%2F%2Fwww.webofscience.com%2Fwos%2Fwoscc%2Ffull-record%2FWOS:000829693000525","View Full Record in Web of Science")</f>
        <v>View Full Record in Web of Science</v>
      </c>
    </row>
    <row r="719" spans="1:72" x14ac:dyDescent="0.35">
      <c r="A719" t="s">
        <v>72</v>
      </c>
      <c r="B719" t="s">
        <v>12789</v>
      </c>
      <c r="C719" t="s">
        <v>74</v>
      </c>
      <c r="D719" t="s">
        <v>74</v>
      </c>
      <c r="E719" t="s">
        <v>74</v>
      </c>
      <c r="F719" t="s">
        <v>12790</v>
      </c>
      <c r="G719" t="s">
        <v>74</v>
      </c>
      <c r="H719" t="s">
        <v>74</v>
      </c>
      <c r="I719" t="s">
        <v>12791</v>
      </c>
      <c r="J719" t="s">
        <v>12792</v>
      </c>
      <c r="K719" t="s">
        <v>74</v>
      </c>
      <c r="L719" t="s">
        <v>74</v>
      </c>
      <c r="M719" t="s">
        <v>78</v>
      </c>
      <c r="N719" t="s">
        <v>52</v>
      </c>
      <c r="O719" t="s">
        <v>12793</v>
      </c>
      <c r="P719" t="s">
        <v>12794</v>
      </c>
      <c r="Q719" t="s">
        <v>12795</v>
      </c>
      <c r="R719" t="s">
        <v>74</v>
      </c>
      <c r="S719" t="s">
        <v>74</v>
      </c>
      <c r="T719" t="s">
        <v>74</v>
      </c>
      <c r="U719" t="s">
        <v>74</v>
      </c>
      <c r="V719" t="s">
        <v>74</v>
      </c>
      <c r="W719" t="s">
        <v>12796</v>
      </c>
      <c r="X719" t="s">
        <v>12797</v>
      </c>
      <c r="Y719" t="s">
        <v>74</v>
      </c>
      <c r="Z719" t="s">
        <v>74</v>
      </c>
      <c r="AA719" t="s">
        <v>74</v>
      </c>
      <c r="AB719" t="s">
        <v>74</v>
      </c>
      <c r="AC719" t="s">
        <v>74</v>
      </c>
      <c r="AD719" t="s">
        <v>74</v>
      </c>
      <c r="AE719" t="s">
        <v>74</v>
      </c>
      <c r="AF719" t="s">
        <v>74</v>
      </c>
      <c r="AG719">
        <v>2</v>
      </c>
      <c r="AH719">
        <v>0</v>
      </c>
      <c r="AI719">
        <v>0</v>
      </c>
      <c r="AJ719">
        <v>0</v>
      </c>
      <c r="AK719">
        <v>0</v>
      </c>
      <c r="AL719" t="s">
        <v>251</v>
      </c>
      <c r="AM719" t="s">
        <v>252</v>
      </c>
      <c r="AN719" t="s">
        <v>253</v>
      </c>
      <c r="AO719" t="s">
        <v>12798</v>
      </c>
      <c r="AP719" t="s">
        <v>12799</v>
      </c>
      <c r="AQ719" t="s">
        <v>74</v>
      </c>
      <c r="AR719" t="s">
        <v>12800</v>
      </c>
      <c r="AS719" t="s">
        <v>12801</v>
      </c>
      <c r="AT719" t="s">
        <v>1484</v>
      </c>
      <c r="AU719">
        <v>2023</v>
      </c>
      <c r="AV719">
        <v>89</v>
      </c>
      <c r="AW719">
        <v>3</v>
      </c>
      <c r="AX719" t="s">
        <v>74</v>
      </c>
      <c r="AY719" t="s">
        <v>74</v>
      </c>
      <c r="AZ719" t="s">
        <v>74</v>
      </c>
      <c r="BA719" t="s">
        <v>12802</v>
      </c>
      <c r="BB719">
        <v>1241</v>
      </c>
      <c r="BC719">
        <v>1242</v>
      </c>
      <c r="BD719" t="s">
        <v>74</v>
      </c>
      <c r="BE719" t="s">
        <v>74</v>
      </c>
      <c r="BF719" t="s">
        <v>74</v>
      </c>
      <c r="BG719" t="s">
        <v>74</v>
      </c>
      <c r="BH719" t="s">
        <v>74</v>
      </c>
      <c r="BI719">
        <v>2</v>
      </c>
      <c r="BJ719" t="s">
        <v>2215</v>
      </c>
      <c r="BK719" t="s">
        <v>2257</v>
      </c>
      <c r="BL719" t="s">
        <v>2215</v>
      </c>
      <c r="BM719" t="s">
        <v>12803</v>
      </c>
      <c r="BN719" t="s">
        <v>74</v>
      </c>
      <c r="BO719" t="s">
        <v>74</v>
      </c>
      <c r="BP719" t="s">
        <v>74</v>
      </c>
      <c r="BQ719" t="s">
        <v>74</v>
      </c>
      <c r="BR719" t="s">
        <v>102</v>
      </c>
      <c r="BS719" t="s">
        <v>12804</v>
      </c>
      <c r="BT719" t="str">
        <f>HYPERLINK("https%3A%2F%2Fwww.webofscience.com%2Fwos%2Fwoscc%2Ffull-record%2FWOS:000931445500057","View Full Record in Web of Science")</f>
        <v>View Full Record in Web of Science</v>
      </c>
    </row>
    <row r="720" spans="1:72" x14ac:dyDescent="0.35">
      <c r="A720" t="s">
        <v>72</v>
      </c>
      <c r="B720" t="s">
        <v>12805</v>
      </c>
      <c r="C720" t="s">
        <v>74</v>
      </c>
      <c r="D720" t="s">
        <v>74</v>
      </c>
      <c r="E720" t="s">
        <v>74</v>
      </c>
      <c r="F720" t="s">
        <v>12806</v>
      </c>
      <c r="G720" t="s">
        <v>74</v>
      </c>
      <c r="H720" t="s">
        <v>74</v>
      </c>
      <c r="I720" t="s">
        <v>12807</v>
      </c>
      <c r="J720" t="s">
        <v>11599</v>
      </c>
      <c r="K720" t="s">
        <v>74</v>
      </c>
      <c r="L720" t="s">
        <v>74</v>
      </c>
      <c r="M720" t="s">
        <v>78</v>
      </c>
      <c r="N720" t="s">
        <v>52</v>
      </c>
      <c r="O720" t="s">
        <v>74</v>
      </c>
      <c r="P720" t="s">
        <v>74</v>
      </c>
      <c r="Q720" t="s">
        <v>74</v>
      </c>
      <c r="R720" t="s">
        <v>74</v>
      </c>
      <c r="S720" t="s">
        <v>74</v>
      </c>
      <c r="T720" t="s">
        <v>74</v>
      </c>
      <c r="U720" t="s">
        <v>74</v>
      </c>
      <c r="V720" t="s">
        <v>74</v>
      </c>
      <c r="W720" t="s">
        <v>74</v>
      </c>
      <c r="X720" t="s">
        <v>74</v>
      </c>
      <c r="Y720" t="s">
        <v>74</v>
      </c>
      <c r="Z720" t="s">
        <v>74</v>
      </c>
      <c r="AA720" t="s">
        <v>12808</v>
      </c>
      <c r="AB720" t="s">
        <v>74</v>
      </c>
      <c r="AC720" t="s">
        <v>74</v>
      </c>
      <c r="AD720" t="s">
        <v>74</v>
      </c>
      <c r="AE720" t="s">
        <v>74</v>
      </c>
      <c r="AF720" t="s">
        <v>74</v>
      </c>
      <c r="AG720">
        <v>0</v>
      </c>
      <c r="AH720">
        <v>0</v>
      </c>
      <c r="AI720">
        <v>0</v>
      </c>
      <c r="AJ720">
        <v>0</v>
      </c>
      <c r="AK720">
        <v>0</v>
      </c>
      <c r="AL720" t="s">
        <v>1901</v>
      </c>
      <c r="AM720" t="s">
        <v>995</v>
      </c>
      <c r="AN720" t="s">
        <v>1902</v>
      </c>
      <c r="AO720" t="s">
        <v>11600</v>
      </c>
      <c r="AP720" t="s">
        <v>11601</v>
      </c>
      <c r="AQ720" t="s">
        <v>74</v>
      </c>
      <c r="AR720" t="s">
        <v>11602</v>
      </c>
      <c r="AS720" t="s">
        <v>11603</v>
      </c>
      <c r="AT720" t="s">
        <v>930</v>
      </c>
      <c r="AU720">
        <v>2023</v>
      </c>
      <c r="AV720">
        <v>209</v>
      </c>
      <c r="AW720" t="s">
        <v>74</v>
      </c>
      <c r="AX720" t="s">
        <v>74</v>
      </c>
      <c r="AY720">
        <v>4</v>
      </c>
      <c r="AZ720" t="s">
        <v>74</v>
      </c>
      <c r="BA720" t="s">
        <v>12809</v>
      </c>
      <c r="BB720" t="s">
        <v>12810</v>
      </c>
      <c r="BC720" t="s">
        <v>12810</v>
      </c>
      <c r="BD720" t="s">
        <v>74</v>
      </c>
      <c r="BE720" t="s">
        <v>74</v>
      </c>
      <c r="BF720" t="s">
        <v>74</v>
      </c>
      <c r="BG720" t="s">
        <v>74</v>
      </c>
      <c r="BH720" t="s">
        <v>74</v>
      </c>
      <c r="BI720">
        <v>1</v>
      </c>
      <c r="BJ720" t="s">
        <v>1908</v>
      </c>
      <c r="BK720" t="s">
        <v>209</v>
      </c>
      <c r="BL720" t="s">
        <v>1908</v>
      </c>
      <c r="BM720" t="s">
        <v>12811</v>
      </c>
      <c r="BN720" t="s">
        <v>74</v>
      </c>
      <c r="BO720" t="s">
        <v>74</v>
      </c>
      <c r="BP720" t="s">
        <v>74</v>
      </c>
      <c r="BQ720" t="s">
        <v>74</v>
      </c>
      <c r="BR720" t="s">
        <v>102</v>
      </c>
      <c r="BS720" t="s">
        <v>12812</v>
      </c>
      <c r="BT720" t="str">
        <f>HYPERLINK("https%3A%2F%2Fwww.webofscience.com%2Fwos%2Fwoscc%2Ffull-record%2FWOS:000994549503363","View Full Record in Web of Science")</f>
        <v>View Full Record in Web of Science</v>
      </c>
    </row>
    <row r="721" spans="1:72" x14ac:dyDescent="0.35">
      <c r="A721" t="s">
        <v>72</v>
      </c>
      <c r="B721" t="s">
        <v>12813</v>
      </c>
      <c r="C721" t="s">
        <v>74</v>
      </c>
      <c r="D721" t="s">
        <v>74</v>
      </c>
      <c r="E721" t="s">
        <v>74</v>
      </c>
      <c r="F721" t="s">
        <v>12814</v>
      </c>
      <c r="G721" t="s">
        <v>74</v>
      </c>
      <c r="H721" t="s">
        <v>74</v>
      </c>
      <c r="I721" t="s">
        <v>12815</v>
      </c>
      <c r="J721" t="s">
        <v>12816</v>
      </c>
      <c r="K721" t="s">
        <v>74</v>
      </c>
      <c r="L721" t="s">
        <v>74</v>
      </c>
      <c r="M721" t="s">
        <v>78</v>
      </c>
      <c r="N721" t="s">
        <v>108</v>
      </c>
      <c r="O721" t="s">
        <v>74</v>
      </c>
      <c r="P721" t="s">
        <v>74</v>
      </c>
      <c r="Q721" t="s">
        <v>74</v>
      </c>
      <c r="R721" t="s">
        <v>74</v>
      </c>
      <c r="S721" t="s">
        <v>74</v>
      </c>
      <c r="T721" t="s">
        <v>74</v>
      </c>
      <c r="U721" t="s">
        <v>74</v>
      </c>
      <c r="V721" t="s">
        <v>74</v>
      </c>
      <c r="W721" t="s">
        <v>74</v>
      </c>
      <c r="X721" t="s">
        <v>74</v>
      </c>
      <c r="Y721" t="s">
        <v>74</v>
      </c>
      <c r="Z721" t="s">
        <v>74</v>
      </c>
      <c r="AA721" t="s">
        <v>12817</v>
      </c>
      <c r="AB721" t="s">
        <v>12818</v>
      </c>
      <c r="AC721" t="s">
        <v>74</v>
      </c>
      <c r="AD721" t="s">
        <v>74</v>
      </c>
      <c r="AE721" t="s">
        <v>74</v>
      </c>
      <c r="AF721" t="s">
        <v>74</v>
      </c>
      <c r="AG721">
        <v>18</v>
      </c>
      <c r="AH721">
        <v>9</v>
      </c>
      <c r="AI721">
        <v>10</v>
      </c>
      <c r="AJ721">
        <v>3</v>
      </c>
      <c r="AK721">
        <v>16</v>
      </c>
      <c r="AL721" t="s">
        <v>8832</v>
      </c>
      <c r="AM721" t="s">
        <v>8833</v>
      </c>
      <c r="AN721" t="s">
        <v>8834</v>
      </c>
      <c r="AO721" t="s">
        <v>12819</v>
      </c>
      <c r="AP721" t="s">
        <v>12820</v>
      </c>
      <c r="AQ721" t="s">
        <v>74</v>
      </c>
      <c r="AR721" t="s">
        <v>12821</v>
      </c>
      <c r="AS721" t="s">
        <v>12822</v>
      </c>
      <c r="AT721" t="s">
        <v>12823</v>
      </c>
      <c r="AU721">
        <v>2021</v>
      </c>
      <c r="AV721">
        <v>75</v>
      </c>
      <c r="AW721">
        <v>1</v>
      </c>
      <c r="AX721" t="s">
        <v>74</v>
      </c>
      <c r="AY721" t="s">
        <v>74</v>
      </c>
      <c r="AZ721" t="s">
        <v>74</v>
      </c>
      <c r="BA721" t="s">
        <v>74</v>
      </c>
      <c r="BB721">
        <v>41</v>
      </c>
      <c r="BC721">
        <v>46</v>
      </c>
      <c r="BD721" t="s">
        <v>74</v>
      </c>
      <c r="BE721" t="s">
        <v>12824</v>
      </c>
      <c r="BF721" t="str">
        <f>HYPERLINK("http://dx.doi.org/10.1525/FQ.2021.75.1.41","http://dx.doi.org/10.1525/FQ.2021.75.1.41")</f>
        <v>http://dx.doi.org/10.1525/FQ.2021.75.1.41</v>
      </c>
      <c r="BG721" t="s">
        <v>74</v>
      </c>
      <c r="BH721" t="s">
        <v>74</v>
      </c>
      <c r="BI721">
        <v>6</v>
      </c>
      <c r="BJ721" t="s">
        <v>1571</v>
      </c>
      <c r="BK721" t="s">
        <v>316</v>
      </c>
      <c r="BL721" t="s">
        <v>1572</v>
      </c>
      <c r="BM721" t="s">
        <v>12825</v>
      </c>
      <c r="BN721" t="s">
        <v>74</v>
      </c>
      <c r="BO721" t="s">
        <v>2194</v>
      </c>
      <c r="BP721" t="s">
        <v>74</v>
      </c>
      <c r="BQ721" t="s">
        <v>74</v>
      </c>
      <c r="BR721" t="s">
        <v>102</v>
      </c>
      <c r="BS721" t="s">
        <v>12826</v>
      </c>
      <c r="BT721" t="str">
        <f>HYPERLINK("https%3A%2F%2Fwww.webofscience.com%2Fwos%2Fwoscc%2Ffull-record%2FWOS:000693836900006","View Full Record in Web of Science")</f>
        <v>View Full Record in Web of Science</v>
      </c>
    </row>
    <row r="722" spans="1:72" x14ac:dyDescent="0.35">
      <c r="A722" t="s">
        <v>72</v>
      </c>
      <c r="B722" t="s">
        <v>12827</v>
      </c>
      <c r="C722" t="s">
        <v>74</v>
      </c>
      <c r="D722" t="s">
        <v>74</v>
      </c>
      <c r="E722" t="s">
        <v>74</v>
      </c>
      <c r="F722" t="s">
        <v>12828</v>
      </c>
      <c r="G722" t="s">
        <v>74</v>
      </c>
      <c r="H722" t="s">
        <v>74</v>
      </c>
      <c r="I722" t="s">
        <v>12829</v>
      </c>
      <c r="J722" t="s">
        <v>12830</v>
      </c>
      <c r="K722" t="s">
        <v>74</v>
      </c>
      <c r="L722" t="s">
        <v>74</v>
      </c>
      <c r="M722" t="s">
        <v>78</v>
      </c>
      <c r="N722" t="s">
        <v>108</v>
      </c>
      <c r="O722" t="s">
        <v>74</v>
      </c>
      <c r="P722" t="s">
        <v>74</v>
      </c>
      <c r="Q722" t="s">
        <v>74</v>
      </c>
      <c r="R722" t="s">
        <v>74</v>
      </c>
      <c r="S722" t="s">
        <v>74</v>
      </c>
      <c r="T722" t="s">
        <v>12831</v>
      </c>
      <c r="U722" t="s">
        <v>12832</v>
      </c>
      <c r="V722" t="s">
        <v>12833</v>
      </c>
      <c r="W722" t="s">
        <v>12834</v>
      </c>
      <c r="X722" t="s">
        <v>12835</v>
      </c>
      <c r="Y722" t="s">
        <v>12836</v>
      </c>
      <c r="Z722" t="s">
        <v>12837</v>
      </c>
      <c r="AA722" t="s">
        <v>74</v>
      </c>
      <c r="AB722" t="s">
        <v>12838</v>
      </c>
      <c r="AC722" t="s">
        <v>74</v>
      </c>
      <c r="AD722" t="s">
        <v>74</v>
      </c>
      <c r="AE722" t="s">
        <v>74</v>
      </c>
      <c r="AF722" t="s">
        <v>74</v>
      </c>
      <c r="AG722">
        <v>28</v>
      </c>
      <c r="AH722">
        <v>0</v>
      </c>
      <c r="AI722">
        <v>0</v>
      </c>
      <c r="AJ722">
        <v>0</v>
      </c>
      <c r="AK722">
        <v>2</v>
      </c>
      <c r="AL722" t="s">
        <v>12839</v>
      </c>
      <c r="AM722" t="s">
        <v>12840</v>
      </c>
      <c r="AN722" t="s">
        <v>12841</v>
      </c>
      <c r="AO722" t="s">
        <v>12842</v>
      </c>
      <c r="AP722" t="s">
        <v>12843</v>
      </c>
      <c r="AQ722" t="s">
        <v>74</v>
      </c>
      <c r="AR722" t="s">
        <v>12844</v>
      </c>
      <c r="AS722" t="s">
        <v>12845</v>
      </c>
      <c r="AT722" t="s">
        <v>178</v>
      </c>
      <c r="AU722">
        <v>2024</v>
      </c>
      <c r="AV722">
        <v>30</v>
      </c>
      <c r="AW722">
        <v>1</v>
      </c>
      <c r="AX722" t="s">
        <v>74</v>
      </c>
      <c r="AY722" t="s">
        <v>74</v>
      </c>
      <c r="AZ722" t="s">
        <v>74</v>
      </c>
      <c r="BA722" t="s">
        <v>74</v>
      </c>
      <c r="BB722">
        <v>12</v>
      </c>
      <c r="BC722">
        <v>20</v>
      </c>
      <c r="BD722" t="s">
        <v>74</v>
      </c>
      <c r="BE722" t="s">
        <v>12846</v>
      </c>
      <c r="BF722" t="str">
        <f>HYPERLINK("http://dx.doi.org/10.58600/eurjther1967","http://dx.doi.org/10.58600/eurjther1967")</f>
        <v>http://dx.doi.org/10.58600/eurjther1967</v>
      </c>
      <c r="BG722" t="s">
        <v>74</v>
      </c>
      <c r="BH722" t="s">
        <v>1377</v>
      </c>
      <c r="BI722">
        <v>9</v>
      </c>
      <c r="BJ722" t="s">
        <v>811</v>
      </c>
      <c r="BK722" t="s">
        <v>125</v>
      </c>
      <c r="BL722" t="s">
        <v>812</v>
      </c>
      <c r="BM722" t="s">
        <v>12847</v>
      </c>
      <c r="BN722" t="s">
        <v>74</v>
      </c>
      <c r="BO722" t="s">
        <v>235</v>
      </c>
      <c r="BP722" t="s">
        <v>74</v>
      </c>
      <c r="BQ722" t="s">
        <v>74</v>
      </c>
      <c r="BR722" t="s">
        <v>102</v>
      </c>
      <c r="BS722" t="s">
        <v>12848</v>
      </c>
      <c r="BT722" t="str">
        <f>HYPERLINK("https%3A%2F%2Fwww.webofscience.com%2Fwos%2Fwoscc%2Ffull-record%2FWOS:001161645800001","View Full Record in Web of Science")</f>
        <v>View Full Record in Web of Science</v>
      </c>
    </row>
    <row r="723" spans="1:72" x14ac:dyDescent="0.35">
      <c r="A723" t="s">
        <v>72</v>
      </c>
      <c r="B723" t="s">
        <v>12849</v>
      </c>
      <c r="C723" t="s">
        <v>74</v>
      </c>
      <c r="D723" t="s">
        <v>74</v>
      </c>
      <c r="E723" t="s">
        <v>74</v>
      </c>
      <c r="F723" t="s">
        <v>12850</v>
      </c>
      <c r="G723" t="s">
        <v>74</v>
      </c>
      <c r="H723" t="s">
        <v>74</v>
      </c>
      <c r="I723" t="s">
        <v>12851</v>
      </c>
      <c r="J723" t="s">
        <v>12852</v>
      </c>
      <c r="K723" t="s">
        <v>74</v>
      </c>
      <c r="L723" t="s">
        <v>74</v>
      </c>
      <c r="M723" t="s">
        <v>78</v>
      </c>
      <c r="N723" t="s">
        <v>108</v>
      </c>
      <c r="O723" t="s">
        <v>74</v>
      </c>
      <c r="P723" t="s">
        <v>74</v>
      </c>
      <c r="Q723" t="s">
        <v>74</v>
      </c>
      <c r="R723" t="s">
        <v>74</v>
      </c>
      <c r="S723" t="s">
        <v>74</v>
      </c>
      <c r="T723" t="s">
        <v>12853</v>
      </c>
      <c r="U723" t="s">
        <v>218</v>
      </c>
      <c r="V723" t="s">
        <v>12854</v>
      </c>
      <c r="W723" t="s">
        <v>12855</v>
      </c>
      <c r="X723" t="s">
        <v>12856</v>
      </c>
      <c r="Y723" t="s">
        <v>12857</v>
      </c>
      <c r="Z723" t="s">
        <v>12858</v>
      </c>
      <c r="AA723" t="s">
        <v>74</v>
      </c>
      <c r="AB723" t="s">
        <v>12859</v>
      </c>
      <c r="AC723" t="s">
        <v>74</v>
      </c>
      <c r="AD723" t="s">
        <v>74</v>
      </c>
      <c r="AE723" t="s">
        <v>74</v>
      </c>
      <c r="AF723" t="s">
        <v>74</v>
      </c>
      <c r="AG723">
        <v>14</v>
      </c>
      <c r="AH723">
        <v>5</v>
      </c>
      <c r="AI723">
        <v>5</v>
      </c>
      <c r="AJ723">
        <v>10</v>
      </c>
      <c r="AK723">
        <v>27</v>
      </c>
      <c r="AL723" t="s">
        <v>290</v>
      </c>
      <c r="AM723" t="s">
        <v>291</v>
      </c>
      <c r="AN723" t="s">
        <v>292</v>
      </c>
      <c r="AO723" t="s">
        <v>12860</v>
      </c>
      <c r="AP723" t="s">
        <v>12861</v>
      </c>
      <c r="AQ723" t="s">
        <v>74</v>
      </c>
      <c r="AR723" t="s">
        <v>12852</v>
      </c>
      <c r="AS723" t="s">
        <v>12862</v>
      </c>
      <c r="AT723" t="s">
        <v>12863</v>
      </c>
      <c r="AU723">
        <v>2023</v>
      </c>
      <c r="AV723">
        <v>530</v>
      </c>
      <c r="AW723" t="s">
        <v>74</v>
      </c>
      <c r="AX723" t="s">
        <v>74</v>
      </c>
      <c r="AY723" t="s">
        <v>74</v>
      </c>
      <c r="AZ723" t="s">
        <v>74</v>
      </c>
      <c r="BA723" t="s">
        <v>74</v>
      </c>
      <c r="BB723">
        <v>192</v>
      </c>
      <c r="BC723">
        <v>200</v>
      </c>
      <c r="BD723" t="s">
        <v>74</v>
      </c>
      <c r="BE723" t="s">
        <v>12864</v>
      </c>
      <c r="BF723" t="str">
        <f>HYPERLINK("http://dx.doi.org/10.1016/j.neuroscience.2023.08.021","http://dx.doi.org/10.1016/j.neuroscience.2023.08.021")</f>
        <v>http://dx.doi.org/10.1016/j.neuroscience.2023.08.021</v>
      </c>
      <c r="BG723" t="s">
        <v>74</v>
      </c>
      <c r="BH723" t="s">
        <v>207</v>
      </c>
      <c r="BI723">
        <v>9</v>
      </c>
      <c r="BJ723" t="s">
        <v>12865</v>
      </c>
      <c r="BK723" t="s">
        <v>209</v>
      </c>
      <c r="BL723" t="s">
        <v>2258</v>
      </c>
      <c r="BM723" t="s">
        <v>12866</v>
      </c>
      <c r="BN723">
        <v>37640135</v>
      </c>
      <c r="BO723" t="s">
        <v>74</v>
      </c>
      <c r="BP723" t="s">
        <v>74</v>
      </c>
      <c r="BQ723" t="s">
        <v>74</v>
      </c>
      <c r="BR723" t="s">
        <v>102</v>
      </c>
      <c r="BS723" t="s">
        <v>12867</v>
      </c>
      <c r="BT723" t="str">
        <f>HYPERLINK("https%3A%2F%2Fwww.webofscience.com%2Fwos%2Fwoscc%2Ffull-record%2FWOS:001091118400001","View Full Record in Web of Science")</f>
        <v>View Full Record in Web of Science</v>
      </c>
    </row>
    <row r="724" spans="1:72" x14ac:dyDescent="0.35">
      <c r="A724" t="s">
        <v>72</v>
      </c>
      <c r="B724" t="s">
        <v>12868</v>
      </c>
      <c r="C724" t="s">
        <v>74</v>
      </c>
      <c r="D724" t="s">
        <v>74</v>
      </c>
      <c r="E724" t="s">
        <v>74</v>
      </c>
      <c r="F724" t="s">
        <v>12869</v>
      </c>
      <c r="G724" t="s">
        <v>74</v>
      </c>
      <c r="H724" t="s">
        <v>74</v>
      </c>
      <c r="I724" t="s">
        <v>12870</v>
      </c>
      <c r="J724" t="s">
        <v>12871</v>
      </c>
      <c r="K724" t="s">
        <v>74</v>
      </c>
      <c r="L724" t="s">
        <v>74</v>
      </c>
      <c r="M724" t="s">
        <v>78</v>
      </c>
      <c r="N724" t="s">
        <v>374</v>
      </c>
      <c r="O724" t="s">
        <v>74</v>
      </c>
      <c r="P724" t="s">
        <v>74</v>
      </c>
      <c r="Q724" t="s">
        <v>74</v>
      </c>
      <c r="R724" t="s">
        <v>74</v>
      </c>
      <c r="S724" t="s">
        <v>74</v>
      </c>
      <c r="T724" t="s">
        <v>12872</v>
      </c>
      <c r="U724" t="s">
        <v>6717</v>
      </c>
      <c r="V724" t="s">
        <v>12873</v>
      </c>
      <c r="W724" t="s">
        <v>12874</v>
      </c>
      <c r="X724" t="s">
        <v>10410</v>
      </c>
      <c r="Y724" t="s">
        <v>12875</v>
      </c>
      <c r="Z724" t="s">
        <v>12876</v>
      </c>
      <c r="AA724" t="s">
        <v>74</v>
      </c>
      <c r="AB724" t="s">
        <v>12877</v>
      </c>
      <c r="AC724" t="s">
        <v>74</v>
      </c>
      <c r="AD724" t="s">
        <v>74</v>
      </c>
      <c r="AE724" t="s">
        <v>74</v>
      </c>
      <c r="AF724" t="s">
        <v>74</v>
      </c>
      <c r="AG724">
        <v>28</v>
      </c>
      <c r="AH724">
        <v>8</v>
      </c>
      <c r="AI724">
        <v>8</v>
      </c>
      <c r="AJ724">
        <v>1</v>
      </c>
      <c r="AK724">
        <v>8</v>
      </c>
      <c r="AL724" t="s">
        <v>516</v>
      </c>
      <c r="AM724" t="s">
        <v>517</v>
      </c>
      <c r="AN724" t="s">
        <v>518</v>
      </c>
      <c r="AO724" t="s">
        <v>74</v>
      </c>
      <c r="AP724" t="s">
        <v>12878</v>
      </c>
      <c r="AQ724" t="s">
        <v>74</v>
      </c>
      <c r="AR724" t="s">
        <v>12879</v>
      </c>
      <c r="AS724" t="s">
        <v>12880</v>
      </c>
      <c r="AT724" t="s">
        <v>232</v>
      </c>
      <c r="AU724">
        <v>2023</v>
      </c>
      <c r="AV724">
        <v>17</v>
      </c>
      <c r="AW724" t="s">
        <v>74</v>
      </c>
      <c r="AX724" t="s">
        <v>74</v>
      </c>
      <c r="AY724" t="s">
        <v>74</v>
      </c>
      <c r="AZ724" t="s">
        <v>74</v>
      </c>
      <c r="BA724" t="s">
        <v>74</v>
      </c>
      <c r="BB724" t="s">
        <v>74</v>
      </c>
      <c r="BC724" t="s">
        <v>74</v>
      </c>
      <c r="BD724">
        <v>100137</v>
      </c>
      <c r="BE724" t="s">
        <v>12881</v>
      </c>
      <c r="BF724" t="str">
        <f>HYPERLINK("http://dx.doi.org/10.1016/j.wnsx.2022.100137","http://dx.doi.org/10.1016/j.wnsx.2022.100137")</f>
        <v>http://dx.doi.org/10.1016/j.wnsx.2022.100137</v>
      </c>
      <c r="BG724" t="s">
        <v>74</v>
      </c>
      <c r="BH724" t="s">
        <v>74</v>
      </c>
      <c r="BI724">
        <v>8</v>
      </c>
      <c r="BJ724" t="s">
        <v>12882</v>
      </c>
      <c r="BK724" t="s">
        <v>125</v>
      </c>
      <c r="BL724" t="s">
        <v>12883</v>
      </c>
      <c r="BM724" t="s">
        <v>12884</v>
      </c>
      <c r="BN724">
        <v>36204176</v>
      </c>
      <c r="BO724" t="s">
        <v>394</v>
      </c>
      <c r="BP724" t="s">
        <v>74</v>
      </c>
      <c r="BQ724" t="s">
        <v>74</v>
      </c>
      <c r="BR724" t="s">
        <v>102</v>
      </c>
      <c r="BS724" t="s">
        <v>12885</v>
      </c>
      <c r="BT724" t="str">
        <f>HYPERLINK("https%3A%2F%2Fwww.webofscience.com%2Fwos%2Fwoscc%2Ffull-record%2FWOS:001350205500009","View Full Record in Web of Science")</f>
        <v>View Full Record in Web of Science</v>
      </c>
    </row>
    <row r="725" spans="1:72" x14ac:dyDescent="0.35">
      <c r="A725" t="s">
        <v>72</v>
      </c>
      <c r="B725" t="s">
        <v>12886</v>
      </c>
      <c r="C725" t="s">
        <v>74</v>
      </c>
      <c r="D725" t="s">
        <v>74</v>
      </c>
      <c r="E725" t="s">
        <v>74</v>
      </c>
      <c r="F725" t="s">
        <v>12887</v>
      </c>
      <c r="G725" t="s">
        <v>74</v>
      </c>
      <c r="H725" t="s">
        <v>74</v>
      </c>
      <c r="I725" t="s">
        <v>12888</v>
      </c>
      <c r="J725" t="s">
        <v>9476</v>
      </c>
      <c r="K725" t="s">
        <v>74</v>
      </c>
      <c r="L725" t="s">
        <v>74</v>
      </c>
      <c r="M725" t="s">
        <v>78</v>
      </c>
      <c r="N725" t="s">
        <v>108</v>
      </c>
      <c r="O725" t="s">
        <v>74</v>
      </c>
      <c r="P725" t="s">
        <v>74</v>
      </c>
      <c r="Q725" t="s">
        <v>74</v>
      </c>
      <c r="R725" t="s">
        <v>74</v>
      </c>
      <c r="S725" t="s">
        <v>74</v>
      </c>
      <c r="T725" t="s">
        <v>12889</v>
      </c>
      <c r="U725" t="s">
        <v>12890</v>
      </c>
      <c r="V725" t="s">
        <v>12891</v>
      </c>
      <c r="W725" t="s">
        <v>12892</v>
      </c>
      <c r="X725" t="s">
        <v>12893</v>
      </c>
      <c r="Y725" t="s">
        <v>12894</v>
      </c>
      <c r="Z725" t="s">
        <v>12895</v>
      </c>
      <c r="AA725" t="s">
        <v>74</v>
      </c>
      <c r="AB725" t="s">
        <v>74</v>
      </c>
      <c r="AC725" t="s">
        <v>74</v>
      </c>
      <c r="AD725" t="s">
        <v>74</v>
      </c>
      <c r="AE725" t="s">
        <v>74</v>
      </c>
      <c r="AF725" t="s">
        <v>74</v>
      </c>
      <c r="AG725">
        <v>42</v>
      </c>
      <c r="AH725">
        <v>1</v>
      </c>
      <c r="AI725">
        <v>1</v>
      </c>
      <c r="AJ725">
        <v>2</v>
      </c>
      <c r="AK725">
        <v>16</v>
      </c>
      <c r="AL725" t="s">
        <v>5127</v>
      </c>
      <c r="AM725" t="s">
        <v>5128</v>
      </c>
      <c r="AN725" t="s">
        <v>5129</v>
      </c>
      <c r="AO725" t="s">
        <v>9481</v>
      </c>
      <c r="AP725" t="s">
        <v>9482</v>
      </c>
      <c r="AQ725" t="s">
        <v>74</v>
      </c>
      <c r="AR725" t="s">
        <v>9483</v>
      </c>
      <c r="AS725" t="s">
        <v>9484</v>
      </c>
      <c r="AT725" t="s">
        <v>273</v>
      </c>
      <c r="AU725">
        <v>2023</v>
      </c>
      <c r="AV725">
        <v>12</v>
      </c>
      <c r="AW725">
        <v>1</v>
      </c>
      <c r="AX725" t="s">
        <v>74</v>
      </c>
      <c r="AY725" t="s">
        <v>74</v>
      </c>
      <c r="AZ725" t="s">
        <v>456</v>
      </c>
      <c r="BA725" t="s">
        <v>74</v>
      </c>
      <c r="BB725">
        <v>5</v>
      </c>
      <c r="BC725">
        <v>29</v>
      </c>
      <c r="BD725" t="s">
        <v>74</v>
      </c>
      <c r="BE725" t="s">
        <v>12896</v>
      </c>
      <c r="BF725" t="str">
        <f>HYPERLINK("http://dx.doi.org/10.1163/21659214-BJA10088","http://dx.doi.org/10.1163/21659214-BJA10088")</f>
        <v>http://dx.doi.org/10.1163/21659214-BJA10088</v>
      </c>
      <c r="BG725" t="s">
        <v>74</v>
      </c>
      <c r="BH725" t="s">
        <v>74</v>
      </c>
      <c r="BI725">
        <v>25</v>
      </c>
      <c r="BJ725" t="s">
        <v>9486</v>
      </c>
      <c r="BK725" t="s">
        <v>125</v>
      </c>
      <c r="BL725" t="s">
        <v>9486</v>
      </c>
      <c r="BM725" t="s">
        <v>12897</v>
      </c>
      <c r="BN725" t="s">
        <v>74</v>
      </c>
      <c r="BO725" t="s">
        <v>74</v>
      </c>
      <c r="BP725" t="s">
        <v>74</v>
      </c>
      <c r="BQ725" t="s">
        <v>74</v>
      </c>
      <c r="BR725" t="s">
        <v>102</v>
      </c>
      <c r="BS725" t="s">
        <v>12898</v>
      </c>
      <c r="BT725" t="str">
        <f>HYPERLINK("https%3A%2F%2Fwww.webofscience.com%2Fwos%2Fwoscc%2Ffull-record%2FWOS:001050680300002","View Full Record in Web of Science")</f>
        <v>View Full Record in Web of Science</v>
      </c>
    </row>
    <row r="726" spans="1:72" x14ac:dyDescent="0.35">
      <c r="A726" t="s">
        <v>72</v>
      </c>
      <c r="B726" t="s">
        <v>12899</v>
      </c>
      <c r="C726" t="s">
        <v>74</v>
      </c>
      <c r="D726" t="s">
        <v>74</v>
      </c>
      <c r="E726" t="s">
        <v>74</v>
      </c>
      <c r="F726" t="s">
        <v>12900</v>
      </c>
      <c r="G726" t="s">
        <v>74</v>
      </c>
      <c r="H726" t="s">
        <v>74</v>
      </c>
      <c r="I726" t="s">
        <v>12901</v>
      </c>
      <c r="J726" t="s">
        <v>10805</v>
      </c>
      <c r="K726" t="s">
        <v>74</v>
      </c>
      <c r="L726" t="s">
        <v>74</v>
      </c>
      <c r="M726" t="s">
        <v>78</v>
      </c>
      <c r="N726" t="s">
        <v>1328</v>
      </c>
      <c r="O726" t="s">
        <v>74</v>
      </c>
      <c r="P726" t="s">
        <v>74</v>
      </c>
      <c r="Q726" t="s">
        <v>74</v>
      </c>
      <c r="R726" t="s">
        <v>74</v>
      </c>
      <c r="S726" t="s">
        <v>74</v>
      </c>
      <c r="T726" t="s">
        <v>74</v>
      </c>
      <c r="U726" t="s">
        <v>74</v>
      </c>
      <c r="V726" t="s">
        <v>74</v>
      </c>
      <c r="W726" t="s">
        <v>12902</v>
      </c>
      <c r="X726" t="s">
        <v>12903</v>
      </c>
      <c r="Y726" t="s">
        <v>12904</v>
      </c>
      <c r="Z726" t="s">
        <v>12905</v>
      </c>
      <c r="AA726" t="s">
        <v>12906</v>
      </c>
      <c r="AB726" t="s">
        <v>74</v>
      </c>
      <c r="AC726" t="s">
        <v>74</v>
      </c>
      <c r="AD726" t="s">
        <v>74</v>
      </c>
      <c r="AE726" t="s">
        <v>74</v>
      </c>
      <c r="AF726" t="s">
        <v>74</v>
      </c>
      <c r="AG726">
        <v>3</v>
      </c>
      <c r="AH726">
        <v>2</v>
      </c>
      <c r="AI726">
        <v>2</v>
      </c>
      <c r="AJ726">
        <v>0</v>
      </c>
      <c r="AK726">
        <v>6</v>
      </c>
      <c r="AL726" t="s">
        <v>1901</v>
      </c>
      <c r="AM726" t="s">
        <v>995</v>
      </c>
      <c r="AN726" t="s">
        <v>1902</v>
      </c>
      <c r="AO726" t="s">
        <v>10816</v>
      </c>
      <c r="AP726" t="s">
        <v>10817</v>
      </c>
      <c r="AQ726" t="s">
        <v>74</v>
      </c>
      <c r="AR726" t="s">
        <v>10818</v>
      </c>
      <c r="AS726" t="s">
        <v>10819</v>
      </c>
      <c r="AT726" t="s">
        <v>455</v>
      </c>
      <c r="AU726">
        <v>2021</v>
      </c>
      <c r="AV726">
        <v>148</v>
      </c>
      <c r="AW726">
        <v>3</v>
      </c>
      <c r="AX726" t="s">
        <v>74</v>
      </c>
      <c r="AY726" t="s">
        <v>74</v>
      </c>
      <c r="AZ726" t="s">
        <v>74</v>
      </c>
      <c r="BA726" t="s">
        <v>74</v>
      </c>
      <c r="BB726" t="s">
        <v>12907</v>
      </c>
      <c r="BC726" t="s">
        <v>12908</v>
      </c>
      <c r="BD726" t="s">
        <v>74</v>
      </c>
      <c r="BE726" t="s">
        <v>12909</v>
      </c>
      <c r="BF726" t="str">
        <f>HYPERLINK("http://dx.doi.org/10.1097/PRS.0000000000008286","http://dx.doi.org/10.1097/PRS.0000000000008286")</f>
        <v>http://dx.doi.org/10.1097/PRS.0000000000008286</v>
      </c>
      <c r="BG726" t="s">
        <v>74</v>
      </c>
      <c r="BH726" t="s">
        <v>74</v>
      </c>
      <c r="BI726">
        <v>3</v>
      </c>
      <c r="BJ726" t="s">
        <v>4994</v>
      </c>
      <c r="BK726" t="s">
        <v>209</v>
      </c>
      <c r="BL726" t="s">
        <v>4994</v>
      </c>
      <c r="BM726" t="s">
        <v>12910</v>
      </c>
      <c r="BN726">
        <v>34346909</v>
      </c>
      <c r="BO726" t="s">
        <v>767</v>
      </c>
      <c r="BP726" t="s">
        <v>74</v>
      </c>
      <c r="BQ726" t="s">
        <v>74</v>
      </c>
      <c r="BR726" t="s">
        <v>102</v>
      </c>
      <c r="BS726" t="s">
        <v>12911</v>
      </c>
      <c r="BT726" t="str">
        <f>HYPERLINK("https%3A%2F%2Fwww.webofscience.com%2Fwos%2Fwoscc%2Ffull-record%2FWOS:000688971300056","View Full Record in Web of Science")</f>
        <v>View Full Record in Web of Science</v>
      </c>
    </row>
    <row r="727" spans="1:72" x14ac:dyDescent="0.35">
      <c r="A727" t="s">
        <v>72</v>
      </c>
      <c r="B727" t="s">
        <v>12912</v>
      </c>
      <c r="C727" t="s">
        <v>74</v>
      </c>
      <c r="D727" t="s">
        <v>74</v>
      </c>
      <c r="E727" t="s">
        <v>74</v>
      </c>
      <c r="F727" t="s">
        <v>12913</v>
      </c>
      <c r="G727" t="s">
        <v>74</v>
      </c>
      <c r="H727" t="s">
        <v>74</v>
      </c>
      <c r="I727" t="s">
        <v>12914</v>
      </c>
      <c r="J727" t="s">
        <v>10734</v>
      </c>
      <c r="K727" t="s">
        <v>74</v>
      </c>
      <c r="L727" t="s">
        <v>74</v>
      </c>
      <c r="M727" t="s">
        <v>78</v>
      </c>
      <c r="N727" t="s">
        <v>52</v>
      </c>
      <c r="O727" t="s">
        <v>74</v>
      </c>
      <c r="P727" t="s">
        <v>74</v>
      </c>
      <c r="Q727" t="s">
        <v>74</v>
      </c>
      <c r="R727" t="s">
        <v>74</v>
      </c>
      <c r="S727" t="s">
        <v>74</v>
      </c>
      <c r="T727" t="s">
        <v>74</v>
      </c>
      <c r="U727" t="s">
        <v>74</v>
      </c>
      <c r="V727" t="s">
        <v>74</v>
      </c>
      <c r="W727" t="s">
        <v>12915</v>
      </c>
      <c r="X727" t="s">
        <v>12916</v>
      </c>
      <c r="Y727" t="s">
        <v>74</v>
      </c>
      <c r="Z727" t="s">
        <v>74</v>
      </c>
      <c r="AA727" t="s">
        <v>12917</v>
      </c>
      <c r="AB727" t="s">
        <v>74</v>
      </c>
      <c r="AC727" t="s">
        <v>74</v>
      </c>
      <c r="AD727" t="s">
        <v>74</v>
      </c>
      <c r="AE727" t="s">
        <v>74</v>
      </c>
      <c r="AF727" t="s">
        <v>74</v>
      </c>
      <c r="AG727">
        <v>0</v>
      </c>
      <c r="AH727">
        <v>0</v>
      </c>
      <c r="AI727">
        <v>0</v>
      </c>
      <c r="AJ727">
        <v>0</v>
      </c>
      <c r="AK727">
        <v>0</v>
      </c>
      <c r="AL727" t="s">
        <v>8334</v>
      </c>
      <c r="AM727" t="s">
        <v>291</v>
      </c>
      <c r="AN727" t="s">
        <v>8335</v>
      </c>
      <c r="AO727" t="s">
        <v>10737</v>
      </c>
      <c r="AP727" t="s">
        <v>10738</v>
      </c>
      <c r="AQ727" t="s">
        <v>74</v>
      </c>
      <c r="AR727" t="s">
        <v>10739</v>
      </c>
      <c r="AS727" t="s">
        <v>10740</v>
      </c>
      <c r="AT727" t="s">
        <v>10741</v>
      </c>
      <c r="AU727">
        <v>2023</v>
      </c>
      <c r="AV727">
        <v>20</v>
      </c>
      <c r="AW727" t="s">
        <v>74</v>
      </c>
      <c r="AX727" t="s">
        <v>74</v>
      </c>
      <c r="AY727">
        <v>1</v>
      </c>
      <c r="AZ727" t="s">
        <v>74</v>
      </c>
      <c r="BA727">
        <v>391</v>
      </c>
      <c r="BB727" t="s">
        <v>74</v>
      </c>
      <c r="BC727" t="s">
        <v>74</v>
      </c>
      <c r="BD727" t="s">
        <v>12918</v>
      </c>
      <c r="BE727" t="s">
        <v>74</v>
      </c>
      <c r="BF727" t="s">
        <v>74</v>
      </c>
      <c r="BG727" t="s">
        <v>74</v>
      </c>
      <c r="BH727" t="s">
        <v>74</v>
      </c>
      <c r="BI727">
        <v>2</v>
      </c>
      <c r="BJ727" t="s">
        <v>1908</v>
      </c>
      <c r="BK727" t="s">
        <v>209</v>
      </c>
      <c r="BL727" t="s">
        <v>1908</v>
      </c>
      <c r="BM727" t="s">
        <v>10743</v>
      </c>
      <c r="BN727" t="s">
        <v>74</v>
      </c>
      <c r="BO727" t="s">
        <v>74</v>
      </c>
      <c r="BP727" t="s">
        <v>74</v>
      </c>
      <c r="BQ727" t="s">
        <v>74</v>
      </c>
      <c r="BR727" t="s">
        <v>102</v>
      </c>
      <c r="BS727" t="s">
        <v>12919</v>
      </c>
      <c r="BT727" t="str">
        <f>HYPERLINK("https%3A%2F%2Fwww.webofscience.com%2Fwos%2Fwoscc%2Ffull-record%2FWOS:001052285000366","View Full Record in Web of Science")</f>
        <v>View Full Record in Web of Science</v>
      </c>
    </row>
    <row r="728" spans="1:72" x14ac:dyDescent="0.35">
      <c r="A728" t="s">
        <v>72</v>
      </c>
      <c r="B728" t="s">
        <v>12920</v>
      </c>
      <c r="C728" t="s">
        <v>74</v>
      </c>
      <c r="D728" t="s">
        <v>74</v>
      </c>
      <c r="E728" t="s">
        <v>74</v>
      </c>
      <c r="F728" t="s">
        <v>12921</v>
      </c>
      <c r="G728" t="s">
        <v>74</v>
      </c>
      <c r="H728" t="s">
        <v>74</v>
      </c>
      <c r="I728" t="s">
        <v>12922</v>
      </c>
      <c r="J728" t="s">
        <v>12219</v>
      </c>
      <c r="K728" t="s">
        <v>74</v>
      </c>
      <c r="L728" t="s">
        <v>74</v>
      </c>
      <c r="M728" t="s">
        <v>78</v>
      </c>
      <c r="N728" t="s">
        <v>52</v>
      </c>
      <c r="O728" t="s">
        <v>74</v>
      </c>
      <c r="P728" t="s">
        <v>74</v>
      </c>
      <c r="Q728" t="s">
        <v>74</v>
      </c>
      <c r="R728" t="s">
        <v>74</v>
      </c>
      <c r="S728" t="s">
        <v>74</v>
      </c>
      <c r="T728" t="s">
        <v>74</v>
      </c>
      <c r="U728" t="s">
        <v>74</v>
      </c>
      <c r="V728" t="s">
        <v>74</v>
      </c>
      <c r="W728" t="s">
        <v>12923</v>
      </c>
      <c r="X728" t="s">
        <v>12221</v>
      </c>
      <c r="Y728" t="s">
        <v>74</v>
      </c>
      <c r="Z728" t="s">
        <v>74</v>
      </c>
      <c r="AA728" t="s">
        <v>74</v>
      </c>
      <c r="AB728" t="s">
        <v>74</v>
      </c>
      <c r="AC728" t="s">
        <v>74</v>
      </c>
      <c r="AD728" t="s">
        <v>74</v>
      </c>
      <c r="AE728" t="s">
        <v>74</v>
      </c>
      <c r="AF728" t="s">
        <v>74</v>
      </c>
      <c r="AG728">
        <v>0</v>
      </c>
      <c r="AH728">
        <v>0</v>
      </c>
      <c r="AI728">
        <v>0</v>
      </c>
      <c r="AJ728">
        <v>0</v>
      </c>
      <c r="AK728">
        <v>0</v>
      </c>
      <c r="AL728" t="s">
        <v>251</v>
      </c>
      <c r="AM728" t="s">
        <v>252</v>
      </c>
      <c r="AN728" t="s">
        <v>253</v>
      </c>
      <c r="AO728" t="s">
        <v>12226</v>
      </c>
      <c r="AP728" t="s">
        <v>12227</v>
      </c>
      <c r="AQ728" t="s">
        <v>74</v>
      </c>
      <c r="AR728" t="s">
        <v>12228</v>
      </c>
      <c r="AS728" t="s">
        <v>12229</v>
      </c>
      <c r="AT728" t="s">
        <v>745</v>
      </c>
      <c r="AU728">
        <v>2023</v>
      </c>
      <c r="AV728">
        <v>64</v>
      </c>
      <c r="AW728" t="s">
        <v>74</v>
      </c>
      <c r="AX728" t="s">
        <v>74</v>
      </c>
      <c r="AY728">
        <v>1</v>
      </c>
      <c r="AZ728" t="s">
        <v>456</v>
      </c>
      <c r="BA728" t="s">
        <v>74</v>
      </c>
      <c r="BB728">
        <v>23</v>
      </c>
      <c r="BC728">
        <v>24</v>
      </c>
      <c r="BD728" t="s">
        <v>74</v>
      </c>
      <c r="BE728" t="s">
        <v>74</v>
      </c>
      <c r="BF728" t="s">
        <v>74</v>
      </c>
      <c r="BG728" t="s">
        <v>74</v>
      </c>
      <c r="BH728" t="s">
        <v>74</v>
      </c>
      <c r="BI728">
        <v>2</v>
      </c>
      <c r="BJ728" t="s">
        <v>1341</v>
      </c>
      <c r="BK728" t="s">
        <v>209</v>
      </c>
      <c r="BL728" t="s">
        <v>1341</v>
      </c>
      <c r="BM728" t="s">
        <v>12924</v>
      </c>
      <c r="BN728" t="s">
        <v>74</v>
      </c>
      <c r="BO728" t="s">
        <v>74</v>
      </c>
      <c r="BP728" t="s">
        <v>74</v>
      </c>
      <c r="BQ728" t="s">
        <v>74</v>
      </c>
      <c r="BR728" t="s">
        <v>102</v>
      </c>
      <c r="BS728" t="s">
        <v>12925</v>
      </c>
      <c r="BT728" t="str">
        <f>HYPERLINK("https%3A%2F%2Fwww.webofscience.com%2Fwos%2Fwoscc%2Ffull-record%2FWOS:001043053900039","View Full Record in Web of Science")</f>
        <v>View Full Record in Web of Science</v>
      </c>
    </row>
    <row r="729" spans="1:72" x14ac:dyDescent="0.35">
      <c r="A729" t="s">
        <v>72</v>
      </c>
      <c r="B729" t="s">
        <v>12926</v>
      </c>
      <c r="C729" t="s">
        <v>74</v>
      </c>
      <c r="D729" t="s">
        <v>74</v>
      </c>
      <c r="E729" t="s">
        <v>74</v>
      </c>
      <c r="F729" t="s">
        <v>12927</v>
      </c>
      <c r="G729" t="s">
        <v>74</v>
      </c>
      <c r="H729" t="s">
        <v>74</v>
      </c>
      <c r="I729" t="s">
        <v>12928</v>
      </c>
      <c r="J729" t="s">
        <v>12929</v>
      </c>
      <c r="K729" t="s">
        <v>74</v>
      </c>
      <c r="L729" t="s">
        <v>74</v>
      </c>
      <c r="M729" t="s">
        <v>78</v>
      </c>
      <c r="N729" t="s">
        <v>52</v>
      </c>
      <c r="O729" t="s">
        <v>12930</v>
      </c>
      <c r="P729" t="s">
        <v>12931</v>
      </c>
      <c r="Q729" t="s">
        <v>6041</v>
      </c>
      <c r="R729" t="s">
        <v>12932</v>
      </c>
      <c r="S729" t="s">
        <v>74</v>
      </c>
      <c r="T729" t="s">
        <v>74</v>
      </c>
      <c r="U729" t="s">
        <v>74</v>
      </c>
      <c r="V729" t="s">
        <v>74</v>
      </c>
      <c r="W729" t="s">
        <v>12933</v>
      </c>
      <c r="X729" t="s">
        <v>12934</v>
      </c>
      <c r="Y729" t="s">
        <v>74</v>
      </c>
      <c r="Z729" t="s">
        <v>74</v>
      </c>
      <c r="AA729" t="s">
        <v>74</v>
      </c>
      <c r="AB729" t="s">
        <v>74</v>
      </c>
      <c r="AC729" t="s">
        <v>74</v>
      </c>
      <c r="AD729" t="s">
        <v>74</v>
      </c>
      <c r="AE729" t="s">
        <v>74</v>
      </c>
      <c r="AF729" t="s">
        <v>74</v>
      </c>
      <c r="AG729">
        <v>0</v>
      </c>
      <c r="AH729">
        <v>0</v>
      </c>
      <c r="AI729">
        <v>0</v>
      </c>
      <c r="AJ729">
        <v>0</v>
      </c>
      <c r="AK729">
        <v>0</v>
      </c>
      <c r="AL729" t="s">
        <v>1901</v>
      </c>
      <c r="AM729" t="s">
        <v>995</v>
      </c>
      <c r="AN729" t="s">
        <v>1902</v>
      </c>
      <c r="AO729" t="s">
        <v>12935</v>
      </c>
      <c r="AP729" t="s">
        <v>12936</v>
      </c>
      <c r="AQ729" t="s">
        <v>74</v>
      </c>
      <c r="AR729" t="s">
        <v>12937</v>
      </c>
      <c r="AS729" t="s">
        <v>12938</v>
      </c>
      <c r="AT729" t="s">
        <v>523</v>
      </c>
      <c r="AU729">
        <v>2022</v>
      </c>
      <c r="AV729">
        <v>235</v>
      </c>
      <c r="AW729">
        <v>5</v>
      </c>
      <c r="AX729" t="s">
        <v>74</v>
      </c>
      <c r="AY729">
        <v>1</v>
      </c>
      <c r="AZ729" t="s">
        <v>74</v>
      </c>
      <c r="BA729" t="s">
        <v>74</v>
      </c>
      <c r="BB729" t="s">
        <v>12939</v>
      </c>
      <c r="BC729" t="s">
        <v>12939</v>
      </c>
      <c r="BD729" t="s">
        <v>74</v>
      </c>
      <c r="BE729" t="s">
        <v>12940</v>
      </c>
      <c r="BF729" t="str">
        <f>HYPERLINK("http://dx.doi.org/10.1097/01.XCS.0000894504.42036.e0","http://dx.doi.org/10.1097/01.XCS.0000894504.42036.e0")</f>
        <v>http://dx.doi.org/10.1097/01.XCS.0000894504.42036.e0</v>
      </c>
      <c r="BG729" t="s">
        <v>74</v>
      </c>
      <c r="BH729" t="s">
        <v>74</v>
      </c>
      <c r="BI729">
        <v>1</v>
      </c>
      <c r="BJ729" t="s">
        <v>4994</v>
      </c>
      <c r="BK729" t="s">
        <v>2257</v>
      </c>
      <c r="BL729" t="s">
        <v>4994</v>
      </c>
      <c r="BM729" t="s">
        <v>12941</v>
      </c>
      <c r="BN729" t="s">
        <v>74</v>
      </c>
      <c r="BO729" t="s">
        <v>767</v>
      </c>
      <c r="BP729" t="s">
        <v>74</v>
      </c>
      <c r="BQ729" t="s">
        <v>74</v>
      </c>
      <c r="BR729" t="s">
        <v>102</v>
      </c>
      <c r="BS729" t="s">
        <v>12942</v>
      </c>
      <c r="BT729" t="str">
        <f>HYPERLINK("https%3A%2F%2Fwww.webofscience.com%2Fwos%2Fwoscc%2Ffull-record%2FWOS:000867889300380","View Full Record in Web of Science")</f>
        <v>View Full Record in Web of Science</v>
      </c>
    </row>
    <row r="730" spans="1:72" x14ac:dyDescent="0.35">
      <c r="A730" t="s">
        <v>128</v>
      </c>
      <c r="B730" t="s">
        <v>12943</v>
      </c>
      <c r="C730" t="s">
        <v>74</v>
      </c>
      <c r="D730" t="s">
        <v>74</v>
      </c>
      <c r="E730" t="s">
        <v>702</v>
      </c>
      <c r="F730" t="s">
        <v>12944</v>
      </c>
      <c r="G730" t="s">
        <v>74</v>
      </c>
      <c r="H730" t="s">
        <v>74</v>
      </c>
      <c r="I730" t="s">
        <v>12945</v>
      </c>
      <c r="J730" t="s">
        <v>12946</v>
      </c>
      <c r="K730" t="s">
        <v>74</v>
      </c>
      <c r="L730" t="s">
        <v>74</v>
      </c>
      <c r="M730" t="s">
        <v>78</v>
      </c>
      <c r="N730" t="s">
        <v>135</v>
      </c>
      <c r="O730" t="s">
        <v>5468</v>
      </c>
      <c r="P730" t="s">
        <v>5469</v>
      </c>
      <c r="Q730" t="s">
        <v>5470</v>
      </c>
      <c r="R730" t="s">
        <v>5471</v>
      </c>
      <c r="S730" t="s">
        <v>74</v>
      </c>
      <c r="T730" t="s">
        <v>12947</v>
      </c>
      <c r="U730" t="s">
        <v>12948</v>
      </c>
      <c r="V730" t="s">
        <v>12949</v>
      </c>
      <c r="W730" t="s">
        <v>12950</v>
      </c>
      <c r="X730" t="s">
        <v>12951</v>
      </c>
      <c r="Y730" t="s">
        <v>12952</v>
      </c>
      <c r="Z730" t="s">
        <v>12953</v>
      </c>
      <c r="AA730" t="s">
        <v>74</v>
      </c>
      <c r="AB730" t="s">
        <v>12954</v>
      </c>
      <c r="AC730" t="s">
        <v>12955</v>
      </c>
      <c r="AD730" t="s">
        <v>12956</v>
      </c>
      <c r="AE730" t="s">
        <v>12957</v>
      </c>
      <c r="AF730" t="s">
        <v>74</v>
      </c>
      <c r="AG730">
        <v>124</v>
      </c>
      <c r="AH730">
        <v>8</v>
      </c>
      <c r="AI730">
        <v>8</v>
      </c>
      <c r="AJ730">
        <v>10</v>
      </c>
      <c r="AK730">
        <v>26</v>
      </c>
      <c r="AL730" t="s">
        <v>718</v>
      </c>
      <c r="AM730" t="s">
        <v>666</v>
      </c>
      <c r="AN730" t="s">
        <v>719</v>
      </c>
      <c r="AO730" t="s">
        <v>74</v>
      </c>
      <c r="AP730" t="s">
        <v>74</v>
      </c>
      <c r="AQ730" t="s">
        <v>5480</v>
      </c>
      <c r="AR730" t="s">
        <v>74</v>
      </c>
      <c r="AS730" t="s">
        <v>74</v>
      </c>
      <c r="AT730" t="s">
        <v>74</v>
      </c>
      <c r="AU730">
        <v>2023</v>
      </c>
      <c r="AV730" t="s">
        <v>74</v>
      </c>
      <c r="AW730" t="s">
        <v>74</v>
      </c>
      <c r="AX730" t="s">
        <v>74</v>
      </c>
      <c r="AY730" t="s">
        <v>74</v>
      </c>
      <c r="AZ730" t="s">
        <v>74</v>
      </c>
      <c r="BA730" t="s">
        <v>74</v>
      </c>
      <c r="BB730" t="s">
        <v>74</v>
      </c>
      <c r="BC730" t="s">
        <v>74</v>
      </c>
      <c r="BD730" t="s">
        <v>74</v>
      </c>
      <c r="BE730" t="s">
        <v>12958</v>
      </c>
      <c r="BF730" t="str">
        <f>HYPERLINK("http://dx.doi.org/10.1145/3544548.3580778","http://dx.doi.org/10.1145/3544548.3580778")</f>
        <v>http://dx.doi.org/10.1145/3544548.3580778</v>
      </c>
      <c r="BG730" t="s">
        <v>74</v>
      </c>
      <c r="BH730" t="s">
        <v>74</v>
      </c>
      <c r="BI730">
        <v>15</v>
      </c>
      <c r="BJ730" t="s">
        <v>5482</v>
      </c>
      <c r="BK730" t="s">
        <v>723</v>
      </c>
      <c r="BL730" t="s">
        <v>5483</v>
      </c>
      <c r="BM730" t="s">
        <v>12959</v>
      </c>
      <c r="BN730" t="s">
        <v>74</v>
      </c>
      <c r="BO730" t="s">
        <v>2738</v>
      </c>
      <c r="BP730" t="s">
        <v>74</v>
      </c>
      <c r="BQ730" t="s">
        <v>74</v>
      </c>
      <c r="BR730" t="s">
        <v>102</v>
      </c>
      <c r="BS730" t="s">
        <v>12960</v>
      </c>
      <c r="BT730" t="str">
        <f>HYPERLINK("https%3A%2F%2Fwww.webofscience.com%2Fwos%2Fwoscc%2Ffull-record%2FWOS:001037809502034","View Full Record in Web of Science")</f>
        <v>View Full Record in Web of Science</v>
      </c>
    </row>
    <row r="731" spans="1:72" x14ac:dyDescent="0.35">
      <c r="A731" t="s">
        <v>72</v>
      </c>
      <c r="B731" t="s">
        <v>12961</v>
      </c>
      <c r="C731" t="s">
        <v>74</v>
      </c>
      <c r="D731" t="s">
        <v>74</v>
      </c>
      <c r="E731" t="s">
        <v>74</v>
      </c>
      <c r="F731" t="s">
        <v>12962</v>
      </c>
      <c r="G731" t="s">
        <v>74</v>
      </c>
      <c r="H731" t="s">
        <v>74</v>
      </c>
      <c r="I731" t="s">
        <v>12963</v>
      </c>
      <c r="J731" t="s">
        <v>7921</v>
      </c>
      <c r="K731" t="s">
        <v>74</v>
      </c>
      <c r="L731" t="s">
        <v>74</v>
      </c>
      <c r="M731" t="s">
        <v>78</v>
      </c>
      <c r="N731" t="s">
        <v>108</v>
      </c>
      <c r="O731" t="s">
        <v>74</v>
      </c>
      <c r="P731" t="s">
        <v>74</v>
      </c>
      <c r="Q731" t="s">
        <v>74</v>
      </c>
      <c r="R731" t="s">
        <v>74</v>
      </c>
      <c r="S731" t="s">
        <v>74</v>
      </c>
      <c r="T731" t="s">
        <v>12964</v>
      </c>
      <c r="U731" t="s">
        <v>12965</v>
      </c>
      <c r="V731" t="s">
        <v>12966</v>
      </c>
      <c r="W731" t="s">
        <v>12967</v>
      </c>
      <c r="X731" t="s">
        <v>12968</v>
      </c>
      <c r="Y731" t="s">
        <v>12969</v>
      </c>
      <c r="Z731" t="s">
        <v>12970</v>
      </c>
      <c r="AA731" t="s">
        <v>12971</v>
      </c>
      <c r="AB731" t="s">
        <v>12972</v>
      </c>
      <c r="AC731" t="s">
        <v>74</v>
      </c>
      <c r="AD731" t="s">
        <v>74</v>
      </c>
      <c r="AE731" t="s">
        <v>74</v>
      </c>
      <c r="AF731" t="s">
        <v>74</v>
      </c>
      <c r="AG731">
        <v>47</v>
      </c>
      <c r="AH731">
        <v>1</v>
      </c>
      <c r="AI731">
        <v>1</v>
      </c>
      <c r="AJ731">
        <v>9</v>
      </c>
      <c r="AK731">
        <v>13</v>
      </c>
      <c r="AL731" t="s">
        <v>199</v>
      </c>
      <c r="AM731" t="s">
        <v>200</v>
      </c>
      <c r="AN731" t="s">
        <v>471</v>
      </c>
      <c r="AO731" t="s">
        <v>7929</v>
      </c>
      <c r="AP731" t="s">
        <v>74</v>
      </c>
      <c r="AQ731" t="s">
        <v>74</v>
      </c>
      <c r="AR731" t="s">
        <v>7930</v>
      </c>
      <c r="AS731" t="s">
        <v>7931</v>
      </c>
      <c r="AT731" t="s">
        <v>12973</v>
      </c>
      <c r="AU731">
        <v>2024</v>
      </c>
      <c r="AV731">
        <v>23</v>
      </c>
      <c r="AW731">
        <v>1</v>
      </c>
      <c r="AX731" t="s">
        <v>74</v>
      </c>
      <c r="AY731" t="s">
        <v>74</v>
      </c>
      <c r="AZ731" t="s">
        <v>74</v>
      </c>
      <c r="BA731" t="s">
        <v>74</v>
      </c>
      <c r="BB731">
        <v>118</v>
      </c>
      <c r="BC731">
        <v>134</v>
      </c>
      <c r="BD731" t="s">
        <v>74</v>
      </c>
      <c r="BE731" t="s">
        <v>12974</v>
      </c>
      <c r="BF731" t="str">
        <f>HYPERLINK("http://dx.doi.org/10.1108/ETPC-08-2023-0100","http://dx.doi.org/10.1108/ETPC-08-2023-0100")</f>
        <v>http://dx.doi.org/10.1108/ETPC-08-2023-0100</v>
      </c>
      <c r="BG731" t="s">
        <v>74</v>
      </c>
      <c r="BH731" t="s">
        <v>123</v>
      </c>
      <c r="BI731">
        <v>17</v>
      </c>
      <c r="BJ731" t="s">
        <v>7934</v>
      </c>
      <c r="BK731" t="s">
        <v>2125</v>
      </c>
      <c r="BL731" t="s">
        <v>7935</v>
      </c>
      <c r="BM731" t="s">
        <v>12975</v>
      </c>
      <c r="BN731" t="s">
        <v>74</v>
      </c>
      <c r="BO731" t="s">
        <v>74</v>
      </c>
      <c r="BP731" t="s">
        <v>74</v>
      </c>
      <c r="BQ731" t="s">
        <v>74</v>
      </c>
      <c r="BR731" t="s">
        <v>102</v>
      </c>
      <c r="BS731" t="s">
        <v>12976</v>
      </c>
      <c r="BT731" t="str">
        <f>HYPERLINK("https%3A%2F%2Fwww.webofscience.com%2Fwos%2Fwoscc%2Ffull-record%2FWOS:001179036600001","View Full Record in Web of Science")</f>
        <v>View Full Record in Web of Science</v>
      </c>
    </row>
    <row r="732" spans="1:72" x14ac:dyDescent="0.35">
      <c r="A732" t="s">
        <v>72</v>
      </c>
      <c r="B732" t="s">
        <v>12977</v>
      </c>
      <c r="C732" t="s">
        <v>74</v>
      </c>
      <c r="D732" t="s">
        <v>74</v>
      </c>
      <c r="E732" t="s">
        <v>74</v>
      </c>
      <c r="F732" t="s">
        <v>12978</v>
      </c>
      <c r="G732" t="s">
        <v>74</v>
      </c>
      <c r="H732" t="s">
        <v>74</v>
      </c>
      <c r="I732" t="s">
        <v>12979</v>
      </c>
      <c r="J732" t="s">
        <v>7101</v>
      </c>
      <c r="K732" t="s">
        <v>74</v>
      </c>
      <c r="L732" t="s">
        <v>74</v>
      </c>
      <c r="M732" t="s">
        <v>78</v>
      </c>
      <c r="N732" t="s">
        <v>108</v>
      </c>
      <c r="O732" t="s">
        <v>74</v>
      </c>
      <c r="P732" t="s">
        <v>74</v>
      </c>
      <c r="Q732" t="s">
        <v>74</v>
      </c>
      <c r="R732" t="s">
        <v>74</v>
      </c>
      <c r="S732" t="s">
        <v>74</v>
      </c>
      <c r="T732" t="s">
        <v>12980</v>
      </c>
      <c r="U732" t="s">
        <v>6202</v>
      </c>
      <c r="V732" t="s">
        <v>12981</v>
      </c>
      <c r="W732" t="s">
        <v>12982</v>
      </c>
      <c r="X732" t="s">
        <v>12983</v>
      </c>
      <c r="Y732" t="s">
        <v>12984</v>
      </c>
      <c r="Z732" t="s">
        <v>12985</v>
      </c>
      <c r="AA732" t="s">
        <v>12986</v>
      </c>
      <c r="AB732" t="s">
        <v>12987</v>
      </c>
      <c r="AC732" t="s">
        <v>12988</v>
      </c>
      <c r="AD732" t="s">
        <v>12988</v>
      </c>
      <c r="AE732" t="s">
        <v>12989</v>
      </c>
      <c r="AF732" t="s">
        <v>74</v>
      </c>
      <c r="AG732">
        <v>51</v>
      </c>
      <c r="AH732">
        <v>0</v>
      </c>
      <c r="AI732">
        <v>0</v>
      </c>
      <c r="AJ732">
        <v>36</v>
      </c>
      <c r="AK732">
        <v>59</v>
      </c>
      <c r="AL732" t="s">
        <v>2248</v>
      </c>
      <c r="AM732" t="s">
        <v>2249</v>
      </c>
      <c r="AN732" t="s">
        <v>2250</v>
      </c>
      <c r="AO732" t="s">
        <v>7110</v>
      </c>
      <c r="AP732" t="s">
        <v>74</v>
      </c>
      <c r="AQ732" t="s">
        <v>74</v>
      </c>
      <c r="AR732" t="s">
        <v>7111</v>
      </c>
      <c r="AS732" t="s">
        <v>7112</v>
      </c>
      <c r="AT732" t="s">
        <v>12990</v>
      </c>
      <c r="AU732">
        <v>2023</v>
      </c>
      <c r="AV732">
        <v>29</v>
      </c>
      <c r="AW732">
        <v>1</v>
      </c>
      <c r="AX732" t="s">
        <v>74</v>
      </c>
      <c r="AY732" t="s">
        <v>74</v>
      </c>
      <c r="AZ732" t="s">
        <v>74</v>
      </c>
      <c r="BA732" t="s">
        <v>74</v>
      </c>
      <c r="BB732" t="s">
        <v>74</v>
      </c>
      <c r="BC732" t="s">
        <v>74</v>
      </c>
      <c r="BD732" t="s">
        <v>12991</v>
      </c>
      <c r="BE732" t="s">
        <v>12992</v>
      </c>
      <c r="BF732" t="str">
        <f>HYPERLINK("http://dx.doi.org/10.1093/jcmc/zmad052","http://dx.doi.org/10.1093/jcmc/zmad052")</f>
        <v>http://dx.doi.org/10.1093/jcmc/zmad052</v>
      </c>
      <c r="BG732" t="s">
        <v>74</v>
      </c>
      <c r="BH732" t="s">
        <v>74</v>
      </c>
      <c r="BI732">
        <v>12</v>
      </c>
      <c r="BJ732" t="s">
        <v>5240</v>
      </c>
      <c r="BK732" t="s">
        <v>99</v>
      </c>
      <c r="BL732" t="s">
        <v>5240</v>
      </c>
      <c r="BM732" t="s">
        <v>12993</v>
      </c>
      <c r="BN732" t="s">
        <v>74</v>
      </c>
      <c r="BO732" t="s">
        <v>235</v>
      </c>
      <c r="BP732" t="s">
        <v>74</v>
      </c>
      <c r="BQ732" t="s">
        <v>74</v>
      </c>
      <c r="BR732" t="s">
        <v>102</v>
      </c>
      <c r="BS732" t="s">
        <v>12994</v>
      </c>
      <c r="BT732" t="str">
        <f>HYPERLINK("https%3A%2F%2Fwww.webofscience.com%2Fwos%2Fwoscc%2Ffull-record%2FWOS:001156341500008","View Full Record in Web of Science")</f>
        <v>View Full Record in Web of Science</v>
      </c>
    </row>
    <row r="733" spans="1:72" x14ac:dyDescent="0.35">
      <c r="A733" t="s">
        <v>72</v>
      </c>
      <c r="B733" t="s">
        <v>12995</v>
      </c>
      <c r="C733" t="s">
        <v>74</v>
      </c>
      <c r="D733" t="s">
        <v>74</v>
      </c>
      <c r="E733" t="s">
        <v>74</v>
      </c>
      <c r="F733" t="s">
        <v>12996</v>
      </c>
      <c r="G733" t="s">
        <v>74</v>
      </c>
      <c r="H733" t="s">
        <v>74</v>
      </c>
      <c r="I733" t="s">
        <v>12997</v>
      </c>
      <c r="J733" t="s">
        <v>12998</v>
      </c>
      <c r="K733" t="s">
        <v>74</v>
      </c>
      <c r="L733" t="s">
        <v>74</v>
      </c>
      <c r="M733" t="s">
        <v>78</v>
      </c>
      <c r="N733" t="s">
        <v>8268</v>
      </c>
      <c r="O733" t="s">
        <v>74</v>
      </c>
      <c r="P733" t="s">
        <v>74</v>
      </c>
      <c r="Q733" t="s">
        <v>74</v>
      </c>
      <c r="R733" t="s">
        <v>74</v>
      </c>
      <c r="S733" t="s">
        <v>74</v>
      </c>
      <c r="T733" t="s">
        <v>74</v>
      </c>
      <c r="U733" t="s">
        <v>74</v>
      </c>
      <c r="V733" t="s">
        <v>74</v>
      </c>
      <c r="W733" t="s">
        <v>12999</v>
      </c>
      <c r="X733" t="s">
        <v>1148</v>
      </c>
      <c r="Y733" t="s">
        <v>13000</v>
      </c>
      <c r="Z733" t="s">
        <v>13001</v>
      </c>
      <c r="AA733" t="s">
        <v>74</v>
      </c>
      <c r="AB733" t="s">
        <v>74</v>
      </c>
      <c r="AC733" t="s">
        <v>74</v>
      </c>
      <c r="AD733" t="s">
        <v>74</v>
      </c>
      <c r="AE733" t="s">
        <v>74</v>
      </c>
      <c r="AF733" t="s">
        <v>74</v>
      </c>
      <c r="AG733">
        <v>8</v>
      </c>
      <c r="AH733">
        <v>0</v>
      </c>
      <c r="AI733">
        <v>0</v>
      </c>
      <c r="AJ733">
        <v>0</v>
      </c>
      <c r="AK733">
        <v>0</v>
      </c>
      <c r="AL733" t="s">
        <v>251</v>
      </c>
      <c r="AM733" t="s">
        <v>252</v>
      </c>
      <c r="AN733" t="s">
        <v>253</v>
      </c>
      <c r="AO733" t="s">
        <v>13002</v>
      </c>
      <c r="AP733" t="s">
        <v>13003</v>
      </c>
      <c r="AQ733" t="s">
        <v>74</v>
      </c>
      <c r="AR733" t="s">
        <v>13004</v>
      </c>
      <c r="AS733" t="s">
        <v>13005</v>
      </c>
      <c r="AT733" t="s">
        <v>594</v>
      </c>
      <c r="AU733">
        <v>2024</v>
      </c>
      <c r="AV733">
        <v>16</v>
      </c>
      <c r="AW733">
        <v>4</v>
      </c>
      <c r="AX733" t="s">
        <v>74</v>
      </c>
      <c r="AY733" t="s">
        <v>74</v>
      </c>
      <c r="AZ733" t="s">
        <v>74</v>
      </c>
      <c r="BA733" t="s">
        <v>74</v>
      </c>
      <c r="BB733">
        <v>595</v>
      </c>
      <c r="BC733">
        <v>599</v>
      </c>
      <c r="BD733" t="s">
        <v>74</v>
      </c>
      <c r="BE733" t="s">
        <v>13006</v>
      </c>
      <c r="BF733" t="str">
        <f>HYPERLINK("http://dx.doi.org/10.1111/aspp.12764","http://dx.doi.org/10.1111/aspp.12764")</f>
        <v>http://dx.doi.org/10.1111/aspp.12764</v>
      </c>
      <c r="BG733" t="s">
        <v>74</v>
      </c>
      <c r="BH733" t="s">
        <v>1721</v>
      </c>
      <c r="BI733">
        <v>5</v>
      </c>
      <c r="BJ733" t="s">
        <v>8014</v>
      </c>
      <c r="BK733" t="s">
        <v>125</v>
      </c>
      <c r="BL733" t="s">
        <v>8015</v>
      </c>
      <c r="BM733" t="s">
        <v>13007</v>
      </c>
      <c r="BN733" t="s">
        <v>74</v>
      </c>
      <c r="BO733" t="s">
        <v>74</v>
      </c>
      <c r="BP733" t="s">
        <v>74</v>
      </c>
      <c r="BQ733" t="s">
        <v>74</v>
      </c>
      <c r="BR733" t="s">
        <v>102</v>
      </c>
      <c r="BS733" t="s">
        <v>13008</v>
      </c>
      <c r="BT733" t="str">
        <f>HYPERLINK("https%3A%2F%2Fwww.webofscience.com%2Fwos%2Fwoscc%2Ffull-record%2FWOS:001328517200001","View Full Record in Web of Science")</f>
        <v>View Full Record in Web of Science</v>
      </c>
    </row>
    <row r="734" spans="1:72" x14ac:dyDescent="0.35">
      <c r="A734" t="s">
        <v>72</v>
      </c>
      <c r="B734" t="s">
        <v>13009</v>
      </c>
      <c r="C734" t="s">
        <v>74</v>
      </c>
      <c r="D734" t="s">
        <v>74</v>
      </c>
      <c r="E734" t="s">
        <v>74</v>
      </c>
      <c r="F734" t="s">
        <v>13010</v>
      </c>
      <c r="G734" t="s">
        <v>74</v>
      </c>
      <c r="H734" t="s">
        <v>74</v>
      </c>
      <c r="I734" t="s">
        <v>13011</v>
      </c>
      <c r="J734" t="s">
        <v>13012</v>
      </c>
      <c r="K734" t="s">
        <v>74</v>
      </c>
      <c r="L734" t="s">
        <v>74</v>
      </c>
      <c r="M734" t="s">
        <v>78</v>
      </c>
      <c r="N734" t="s">
        <v>52</v>
      </c>
      <c r="O734" t="s">
        <v>13013</v>
      </c>
      <c r="P734" t="s">
        <v>13014</v>
      </c>
      <c r="Q734" t="s">
        <v>3833</v>
      </c>
      <c r="R734" t="s">
        <v>74</v>
      </c>
      <c r="S734" t="s">
        <v>74</v>
      </c>
      <c r="T734" t="s">
        <v>74</v>
      </c>
      <c r="U734" t="s">
        <v>74</v>
      </c>
      <c r="V734" t="s">
        <v>74</v>
      </c>
      <c r="W734" t="s">
        <v>13015</v>
      </c>
      <c r="X734" t="s">
        <v>13016</v>
      </c>
      <c r="Y734" t="s">
        <v>74</v>
      </c>
      <c r="Z734" t="s">
        <v>74</v>
      </c>
      <c r="AA734" t="s">
        <v>74</v>
      </c>
      <c r="AB734" t="s">
        <v>74</v>
      </c>
      <c r="AC734" t="s">
        <v>74</v>
      </c>
      <c r="AD734" t="s">
        <v>74</v>
      </c>
      <c r="AE734" t="s">
        <v>74</v>
      </c>
      <c r="AF734" t="s">
        <v>74</v>
      </c>
      <c r="AG734">
        <v>0</v>
      </c>
      <c r="AH734">
        <v>0</v>
      </c>
      <c r="AI734">
        <v>0</v>
      </c>
      <c r="AJ734">
        <v>0</v>
      </c>
      <c r="AK734">
        <v>0</v>
      </c>
      <c r="AL734" t="s">
        <v>2027</v>
      </c>
      <c r="AM734" t="s">
        <v>666</v>
      </c>
      <c r="AN734" t="s">
        <v>2028</v>
      </c>
      <c r="AO734" t="s">
        <v>13017</v>
      </c>
      <c r="AP734" t="s">
        <v>13018</v>
      </c>
      <c r="AQ734" t="s">
        <v>74</v>
      </c>
      <c r="AR734" t="s">
        <v>13019</v>
      </c>
      <c r="AS734" t="s">
        <v>13020</v>
      </c>
      <c r="AT734" t="s">
        <v>594</v>
      </c>
      <c r="AU734">
        <v>2023</v>
      </c>
      <c r="AV734">
        <v>82</v>
      </c>
      <c r="AW734">
        <v>4</v>
      </c>
      <c r="AX734" t="s">
        <v>74</v>
      </c>
      <c r="AY734" t="s">
        <v>4946</v>
      </c>
      <c r="AZ734" t="s">
        <v>74</v>
      </c>
      <c r="BA734">
        <v>343</v>
      </c>
      <c r="BB734" t="s">
        <v>13021</v>
      </c>
      <c r="BC734" t="s">
        <v>13022</v>
      </c>
      <c r="BD734" t="s">
        <v>74</v>
      </c>
      <c r="BE734" t="s">
        <v>74</v>
      </c>
      <c r="BF734" t="s">
        <v>74</v>
      </c>
      <c r="BG734" t="s">
        <v>74</v>
      </c>
      <c r="BH734" t="s">
        <v>74</v>
      </c>
      <c r="BI734">
        <v>2</v>
      </c>
      <c r="BJ734" t="s">
        <v>13023</v>
      </c>
      <c r="BK734" t="s">
        <v>2257</v>
      </c>
      <c r="BL734" t="s">
        <v>13023</v>
      </c>
      <c r="BM734" t="s">
        <v>13024</v>
      </c>
      <c r="BN734" t="s">
        <v>74</v>
      </c>
      <c r="BO734" t="s">
        <v>74</v>
      </c>
      <c r="BP734" t="s">
        <v>74</v>
      </c>
      <c r="BQ734" t="s">
        <v>74</v>
      </c>
      <c r="BR734" t="s">
        <v>102</v>
      </c>
      <c r="BS734" t="s">
        <v>13025</v>
      </c>
      <c r="BT734" t="str">
        <f>HYPERLINK("https%3A%2F%2Fwww.webofscience.com%2Fwos%2Fwoscc%2Ffull-record%2FWOS:001080998600339","View Full Record in Web of Science")</f>
        <v>View Full Record in Web of Science</v>
      </c>
    </row>
    <row r="735" spans="1:72" x14ac:dyDescent="0.35">
      <c r="A735" t="s">
        <v>72</v>
      </c>
      <c r="B735" t="s">
        <v>13026</v>
      </c>
      <c r="C735" t="s">
        <v>74</v>
      </c>
      <c r="D735" t="s">
        <v>74</v>
      </c>
      <c r="E735" t="s">
        <v>74</v>
      </c>
      <c r="F735" t="s">
        <v>13027</v>
      </c>
      <c r="G735" t="s">
        <v>74</v>
      </c>
      <c r="H735" t="s">
        <v>74</v>
      </c>
      <c r="I735" t="s">
        <v>13028</v>
      </c>
      <c r="J735" t="s">
        <v>2493</v>
      </c>
      <c r="K735" t="s">
        <v>74</v>
      </c>
      <c r="L735" t="s">
        <v>74</v>
      </c>
      <c r="M735" t="s">
        <v>78</v>
      </c>
      <c r="N735" t="s">
        <v>52</v>
      </c>
      <c r="O735" t="s">
        <v>9678</v>
      </c>
      <c r="P735" t="s">
        <v>9679</v>
      </c>
      <c r="Q735" t="s">
        <v>6651</v>
      </c>
      <c r="R735" t="s">
        <v>9680</v>
      </c>
      <c r="S735" t="s">
        <v>74</v>
      </c>
      <c r="T735" t="s">
        <v>74</v>
      </c>
      <c r="U735" t="s">
        <v>74</v>
      </c>
      <c r="V735" t="s">
        <v>74</v>
      </c>
      <c r="W735" t="s">
        <v>13029</v>
      </c>
      <c r="X735" t="s">
        <v>13030</v>
      </c>
      <c r="Y735" t="s">
        <v>74</v>
      </c>
      <c r="Z735" t="s">
        <v>74</v>
      </c>
      <c r="AA735" t="s">
        <v>13031</v>
      </c>
      <c r="AB735" t="s">
        <v>74</v>
      </c>
      <c r="AC735" t="s">
        <v>74</v>
      </c>
      <c r="AD735" t="s">
        <v>74</v>
      </c>
      <c r="AE735" t="s">
        <v>74</v>
      </c>
      <c r="AF735" t="s">
        <v>74</v>
      </c>
      <c r="AG735">
        <v>0</v>
      </c>
      <c r="AH735">
        <v>0</v>
      </c>
      <c r="AI735">
        <v>0</v>
      </c>
      <c r="AJ735">
        <v>0</v>
      </c>
      <c r="AK735">
        <v>3</v>
      </c>
      <c r="AL735" t="s">
        <v>2027</v>
      </c>
      <c r="AM735" t="s">
        <v>666</v>
      </c>
      <c r="AN735" t="s">
        <v>2028</v>
      </c>
      <c r="AO735" t="s">
        <v>2498</v>
      </c>
      <c r="AP735" t="s">
        <v>2499</v>
      </c>
      <c r="AQ735" t="s">
        <v>74</v>
      </c>
      <c r="AR735" t="s">
        <v>2500</v>
      </c>
      <c r="AS735" t="s">
        <v>2501</v>
      </c>
      <c r="AT735" t="s">
        <v>455</v>
      </c>
      <c r="AU735">
        <v>2023</v>
      </c>
      <c r="AV735">
        <v>89</v>
      </c>
      <c r="AW735">
        <v>3</v>
      </c>
      <c r="AX735" t="s">
        <v>74</v>
      </c>
      <c r="AY735" t="s">
        <v>4946</v>
      </c>
      <c r="AZ735" t="s">
        <v>74</v>
      </c>
      <c r="BA735">
        <v>44570</v>
      </c>
      <c r="BB735" t="s">
        <v>13032</v>
      </c>
      <c r="BC735" t="s">
        <v>13032</v>
      </c>
      <c r="BD735" t="s">
        <v>74</v>
      </c>
      <c r="BE735" t="s">
        <v>74</v>
      </c>
      <c r="BF735" t="s">
        <v>74</v>
      </c>
      <c r="BG735" t="s">
        <v>74</v>
      </c>
      <c r="BH735" t="s">
        <v>74</v>
      </c>
      <c r="BI735">
        <v>1</v>
      </c>
      <c r="BJ735" t="s">
        <v>1341</v>
      </c>
      <c r="BK735" t="s">
        <v>2257</v>
      </c>
      <c r="BL735" t="s">
        <v>1341</v>
      </c>
      <c r="BM735" t="s">
        <v>9684</v>
      </c>
      <c r="BN735" t="s">
        <v>74</v>
      </c>
      <c r="BO735" t="s">
        <v>74</v>
      </c>
      <c r="BP735" t="s">
        <v>74</v>
      </c>
      <c r="BQ735" t="s">
        <v>74</v>
      </c>
      <c r="BR735" t="s">
        <v>102</v>
      </c>
      <c r="BS735" t="s">
        <v>13033</v>
      </c>
      <c r="BT735" t="str">
        <f>HYPERLINK("https%3A%2F%2Fwww.webofscience.com%2Fwos%2Fwoscc%2Ffull-record%2FWOS:001078492800007","View Full Record in Web of Science")</f>
        <v>View Full Record in Web of Science</v>
      </c>
    </row>
    <row r="736" spans="1:72" x14ac:dyDescent="0.35">
      <c r="A736" t="s">
        <v>72</v>
      </c>
      <c r="B736" t="s">
        <v>13034</v>
      </c>
      <c r="C736" t="s">
        <v>74</v>
      </c>
      <c r="D736" t="s">
        <v>74</v>
      </c>
      <c r="E736" t="s">
        <v>74</v>
      </c>
      <c r="F736" t="s">
        <v>13035</v>
      </c>
      <c r="G736" t="s">
        <v>74</v>
      </c>
      <c r="H736" t="s">
        <v>74</v>
      </c>
      <c r="I736" t="s">
        <v>13036</v>
      </c>
      <c r="J736" t="s">
        <v>13037</v>
      </c>
      <c r="K736" t="s">
        <v>74</v>
      </c>
      <c r="L736" t="s">
        <v>74</v>
      </c>
      <c r="M736" t="s">
        <v>78</v>
      </c>
      <c r="N736" t="s">
        <v>108</v>
      </c>
      <c r="O736" t="s">
        <v>74</v>
      </c>
      <c r="P736" t="s">
        <v>74</v>
      </c>
      <c r="Q736" t="s">
        <v>74</v>
      </c>
      <c r="R736" t="s">
        <v>74</v>
      </c>
      <c r="S736" t="s">
        <v>74</v>
      </c>
      <c r="T736" t="s">
        <v>13038</v>
      </c>
      <c r="U736" t="s">
        <v>13039</v>
      </c>
      <c r="V736" t="s">
        <v>13040</v>
      </c>
      <c r="W736" t="s">
        <v>13041</v>
      </c>
      <c r="X736" t="s">
        <v>13042</v>
      </c>
      <c r="Y736" t="s">
        <v>13043</v>
      </c>
      <c r="Z736" t="s">
        <v>13044</v>
      </c>
      <c r="AA736" t="s">
        <v>74</v>
      </c>
      <c r="AB736" t="s">
        <v>74</v>
      </c>
      <c r="AC736" t="s">
        <v>74</v>
      </c>
      <c r="AD736" t="s">
        <v>74</v>
      </c>
      <c r="AE736" t="s">
        <v>74</v>
      </c>
      <c r="AF736" t="s">
        <v>74</v>
      </c>
      <c r="AG736">
        <v>36</v>
      </c>
      <c r="AH736">
        <v>3</v>
      </c>
      <c r="AI736">
        <v>3</v>
      </c>
      <c r="AJ736">
        <v>1</v>
      </c>
      <c r="AK736">
        <v>3</v>
      </c>
      <c r="AL736" t="s">
        <v>251</v>
      </c>
      <c r="AM736" t="s">
        <v>252</v>
      </c>
      <c r="AN736" t="s">
        <v>253</v>
      </c>
      <c r="AO736" t="s">
        <v>13045</v>
      </c>
      <c r="AP736" t="s">
        <v>13046</v>
      </c>
      <c r="AQ736" t="s">
        <v>74</v>
      </c>
      <c r="AR736" t="s">
        <v>13047</v>
      </c>
      <c r="AS736" t="s">
        <v>13048</v>
      </c>
      <c r="AT736" t="s">
        <v>745</v>
      </c>
      <c r="AU736">
        <v>2024</v>
      </c>
      <c r="AV736">
        <v>170</v>
      </c>
      <c r="AW736">
        <v>5</v>
      </c>
      <c r="AX736" t="s">
        <v>74</v>
      </c>
      <c r="AY736" t="s">
        <v>74</v>
      </c>
      <c r="AZ736" t="s">
        <v>74</v>
      </c>
      <c r="BA736" t="s">
        <v>74</v>
      </c>
      <c r="BB736">
        <v>1456</v>
      </c>
      <c r="BC736">
        <v>1466</v>
      </c>
      <c r="BD736" t="s">
        <v>74</v>
      </c>
      <c r="BE736" t="s">
        <v>13049</v>
      </c>
      <c r="BF736" t="str">
        <f>HYPERLINK("http://dx.doi.org/10.1002/ohn.688","http://dx.doi.org/10.1002/ohn.688")</f>
        <v>http://dx.doi.org/10.1002/ohn.688</v>
      </c>
      <c r="BG736" t="s">
        <v>74</v>
      </c>
      <c r="BH736" t="s">
        <v>123</v>
      </c>
      <c r="BI736">
        <v>11</v>
      </c>
      <c r="BJ736" t="s">
        <v>13050</v>
      </c>
      <c r="BK736" t="s">
        <v>209</v>
      </c>
      <c r="BL736" t="s">
        <v>13050</v>
      </c>
      <c r="BM736" t="s">
        <v>13051</v>
      </c>
      <c r="BN736">
        <v>38431902</v>
      </c>
      <c r="BO736" t="s">
        <v>1343</v>
      </c>
      <c r="BP736" t="s">
        <v>74</v>
      </c>
      <c r="BQ736" t="s">
        <v>74</v>
      </c>
      <c r="BR736" t="s">
        <v>102</v>
      </c>
      <c r="BS736" t="s">
        <v>13052</v>
      </c>
      <c r="BT736" t="str">
        <f>HYPERLINK("https%3A%2F%2Fwww.webofscience.com%2Fwos%2Fwoscc%2Ffull-record%2FWOS:001178099400001","View Full Record in Web of Science")</f>
        <v>View Full Record in Web of Science</v>
      </c>
    </row>
    <row r="737" spans="1:72" x14ac:dyDescent="0.35">
      <c r="A737" t="s">
        <v>72</v>
      </c>
      <c r="B737" t="s">
        <v>13053</v>
      </c>
      <c r="C737" t="s">
        <v>74</v>
      </c>
      <c r="D737" t="s">
        <v>74</v>
      </c>
      <c r="E737" t="s">
        <v>74</v>
      </c>
      <c r="F737" t="s">
        <v>13054</v>
      </c>
      <c r="G737" t="s">
        <v>74</v>
      </c>
      <c r="H737" t="s">
        <v>74</v>
      </c>
      <c r="I737" t="s">
        <v>13055</v>
      </c>
      <c r="J737" t="s">
        <v>13056</v>
      </c>
      <c r="K737" t="s">
        <v>74</v>
      </c>
      <c r="L737" t="s">
        <v>74</v>
      </c>
      <c r="M737" t="s">
        <v>78</v>
      </c>
      <c r="N737" t="s">
        <v>108</v>
      </c>
      <c r="O737" t="s">
        <v>74</v>
      </c>
      <c r="P737" t="s">
        <v>74</v>
      </c>
      <c r="Q737" t="s">
        <v>74</v>
      </c>
      <c r="R737" t="s">
        <v>74</v>
      </c>
      <c r="S737" t="s">
        <v>74</v>
      </c>
      <c r="T737" t="s">
        <v>13057</v>
      </c>
      <c r="U737" t="s">
        <v>12710</v>
      </c>
      <c r="V737" t="s">
        <v>13058</v>
      </c>
      <c r="W737" t="s">
        <v>13059</v>
      </c>
      <c r="X737" t="s">
        <v>13060</v>
      </c>
      <c r="Y737" t="s">
        <v>13061</v>
      </c>
      <c r="Z737" t="s">
        <v>13062</v>
      </c>
      <c r="AA737" t="s">
        <v>74</v>
      </c>
      <c r="AB737" t="s">
        <v>13063</v>
      </c>
      <c r="AC737" t="s">
        <v>74</v>
      </c>
      <c r="AD737" t="s">
        <v>74</v>
      </c>
      <c r="AE737" t="s">
        <v>74</v>
      </c>
      <c r="AF737" t="s">
        <v>74</v>
      </c>
      <c r="AG737">
        <v>31</v>
      </c>
      <c r="AH737">
        <v>47</v>
      </c>
      <c r="AI737">
        <v>49</v>
      </c>
      <c r="AJ737">
        <v>1</v>
      </c>
      <c r="AK737">
        <v>50</v>
      </c>
      <c r="AL737" t="s">
        <v>543</v>
      </c>
      <c r="AM737" t="s">
        <v>544</v>
      </c>
      <c r="AN737" t="s">
        <v>545</v>
      </c>
      <c r="AO737" t="s">
        <v>13064</v>
      </c>
      <c r="AP737" t="s">
        <v>74</v>
      </c>
      <c r="AQ737" t="s">
        <v>74</v>
      </c>
      <c r="AR737" t="s">
        <v>13065</v>
      </c>
      <c r="AS737" t="s">
        <v>13066</v>
      </c>
      <c r="AT737" t="s">
        <v>178</v>
      </c>
      <c r="AU737">
        <v>2021</v>
      </c>
      <c r="AV737">
        <v>7</v>
      </c>
      <c r="AW737">
        <v>2</v>
      </c>
      <c r="AX737" t="s">
        <v>74</v>
      </c>
      <c r="AY737" t="s">
        <v>74</v>
      </c>
      <c r="AZ737" t="s">
        <v>74</v>
      </c>
      <c r="BA737" t="s">
        <v>74</v>
      </c>
      <c r="BB737" t="s">
        <v>74</v>
      </c>
      <c r="BC737" t="s">
        <v>74</v>
      </c>
      <c r="BD737" t="s">
        <v>13067</v>
      </c>
      <c r="BE737" t="s">
        <v>13068</v>
      </c>
      <c r="BF737" t="str">
        <f>HYPERLINK("http://dx.doi.org/10.2196/26392","http://dx.doi.org/10.2196/26392")</f>
        <v>http://dx.doi.org/10.2196/26392</v>
      </c>
      <c r="BG737" t="s">
        <v>74</v>
      </c>
      <c r="BH737" t="s">
        <v>74</v>
      </c>
      <c r="BI737">
        <v>7</v>
      </c>
      <c r="BJ737" t="s">
        <v>392</v>
      </c>
      <c r="BK737" t="s">
        <v>182</v>
      </c>
      <c r="BL737" t="s">
        <v>392</v>
      </c>
      <c r="BM737" t="s">
        <v>13069</v>
      </c>
      <c r="BN737">
        <v>33523823</v>
      </c>
      <c r="BO737" t="s">
        <v>552</v>
      </c>
      <c r="BP737" t="s">
        <v>74</v>
      </c>
      <c r="BQ737" t="s">
        <v>74</v>
      </c>
      <c r="BR737" t="s">
        <v>102</v>
      </c>
      <c r="BS737" t="s">
        <v>13070</v>
      </c>
      <c r="BT737" t="str">
        <f>HYPERLINK("https%3A%2F%2Fwww.webofscience.com%2Fwos%2Fwoscc%2Ffull-record%2FWOS:000625293400019","View Full Record in Web of Science")</f>
        <v>View Full Record in Web of Science</v>
      </c>
    </row>
    <row r="738" spans="1:72" x14ac:dyDescent="0.35">
      <c r="A738" t="s">
        <v>72</v>
      </c>
      <c r="B738" t="s">
        <v>13071</v>
      </c>
      <c r="C738" t="s">
        <v>74</v>
      </c>
      <c r="D738" t="s">
        <v>74</v>
      </c>
      <c r="E738" t="s">
        <v>74</v>
      </c>
      <c r="F738" t="s">
        <v>13072</v>
      </c>
      <c r="G738" t="s">
        <v>74</v>
      </c>
      <c r="H738" t="s">
        <v>74</v>
      </c>
      <c r="I738" t="s">
        <v>13073</v>
      </c>
      <c r="J738" t="s">
        <v>2524</v>
      </c>
      <c r="K738" t="s">
        <v>74</v>
      </c>
      <c r="L738" t="s">
        <v>74</v>
      </c>
      <c r="M738" t="s">
        <v>78</v>
      </c>
      <c r="N738" t="s">
        <v>52</v>
      </c>
      <c r="O738" t="s">
        <v>13074</v>
      </c>
      <c r="P738" t="s">
        <v>13075</v>
      </c>
      <c r="Q738" t="s">
        <v>13076</v>
      </c>
      <c r="R738" t="s">
        <v>13077</v>
      </c>
      <c r="S738" t="s">
        <v>74</v>
      </c>
      <c r="T738" t="s">
        <v>74</v>
      </c>
      <c r="U738" t="s">
        <v>74</v>
      </c>
      <c r="V738" t="s">
        <v>74</v>
      </c>
      <c r="W738" t="s">
        <v>13078</v>
      </c>
      <c r="X738" t="s">
        <v>13079</v>
      </c>
      <c r="Y738" t="s">
        <v>74</v>
      </c>
      <c r="Z738" t="s">
        <v>74</v>
      </c>
      <c r="AA738" t="s">
        <v>13080</v>
      </c>
      <c r="AB738" t="s">
        <v>74</v>
      </c>
      <c r="AC738" t="s">
        <v>74</v>
      </c>
      <c r="AD738" t="s">
        <v>74</v>
      </c>
      <c r="AE738" t="s">
        <v>74</v>
      </c>
      <c r="AF738" t="s">
        <v>74</v>
      </c>
      <c r="AG738">
        <v>0</v>
      </c>
      <c r="AH738">
        <v>0</v>
      </c>
      <c r="AI738">
        <v>0</v>
      </c>
      <c r="AJ738">
        <v>0</v>
      </c>
      <c r="AK738">
        <v>0</v>
      </c>
      <c r="AL738" t="s">
        <v>226</v>
      </c>
      <c r="AM738" t="s">
        <v>227</v>
      </c>
      <c r="AN738" t="s">
        <v>228</v>
      </c>
      <c r="AO738" t="s">
        <v>2530</v>
      </c>
      <c r="AP738" t="s">
        <v>2531</v>
      </c>
      <c r="AQ738" t="s">
        <v>74</v>
      </c>
      <c r="AR738" t="s">
        <v>2532</v>
      </c>
      <c r="AS738" t="s">
        <v>2533</v>
      </c>
      <c r="AT738" t="s">
        <v>297</v>
      </c>
      <c r="AU738">
        <v>2024</v>
      </c>
      <c r="AV738">
        <v>72</v>
      </c>
      <c r="AW738">
        <v>6</v>
      </c>
      <c r="AX738" t="s">
        <v>74</v>
      </c>
      <c r="AY738" t="s">
        <v>74</v>
      </c>
      <c r="AZ738" t="s">
        <v>74</v>
      </c>
      <c r="BA738">
        <v>18</v>
      </c>
      <c r="BB738" t="s">
        <v>74</v>
      </c>
      <c r="BC738" t="s">
        <v>74</v>
      </c>
      <c r="BD738" t="s">
        <v>74</v>
      </c>
      <c r="BE738" t="s">
        <v>74</v>
      </c>
      <c r="BF738" t="s">
        <v>74</v>
      </c>
      <c r="BG738" t="s">
        <v>74</v>
      </c>
      <c r="BH738" t="s">
        <v>74</v>
      </c>
      <c r="BI738">
        <v>1</v>
      </c>
      <c r="BJ738" t="s">
        <v>2535</v>
      </c>
      <c r="BK738" t="s">
        <v>2257</v>
      </c>
      <c r="BL738" t="s">
        <v>2536</v>
      </c>
      <c r="BM738" t="s">
        <v>13081</v>
      </c>
      <c r="BN738" t="s">
        <v>74</v>
      </c>
      <c r="BO738" t="s">
        <v>74</v>
      </c>
      <c r="BP738" t="s">
        <v>74</v>
      </c>
      <c r="BQ738" t="s">
        <v>74</v>
      </c>
      <c r="BR738" t="s">
        <v>102</v>
      </c>
      <c r="BS738" t="s">
        <v>13082</v>
      </c>
      <c r="BT738" t="str">
        <f>HYPERLINK("https%3A%2F%2Fwww.webofscience.com%2Fwos%2Fwoscc%2Ffull-record%2FWOS:001290786700019","View Full Record in Web of Science")</f>
        <v>View Full Record in Web of Science</v>
      </c>
    </row>
    <row r="739" spans="1:72" x14ac:dyDescent="0.35">
      <c r="A739" t="s">
        <v>72</v>
      </c>
      <c r="B739" t="s">
        <v>13083</v>
      </c>
      <c r="C739" t="s">
        <v>74</v>
      </c>
      <c r="D739" t="s">
        <v>74</v>
      </c>
      <c r="E739" t="s">
        <v>74</v>
      </c>
      <c r="F739" t="s">
        <v>13084</v>
      </c>
      <c r="G739" t="s">
        <v>74</v>
      </c>
      <c r="H739" t="s">
        <v>74</v>
      </c>
      <c r="I739" t="s">
        <v>13085</v>
      </c>
      <c r="J739" t="s">
        <v>13086</v>
      </c>
      <c r="K739" t="s">
        <v>74</v>
      </c>
      <c r="L739" t="s">
        <v>74</v>
      </c>
      <c r="M739" t="s">
        <v>78</v>
      </c>
      <c r="N739" t="s">
        <v>52</v>
      </c>
      <c r="O739" t="s">
        <v>13087</v>
      </c>
      <c r="P739" t="s">
        <v>13088</v>
      </c>
      <c r="Q739" t="s">
        <v>13089</v>
      </c>
      <c r="R739" t="s">
        <v>74</v>
      </c>
      <c r="S739" t="s">
        <v>74</v>
      </c>
      <c r="T739" t="s">
        <v>74</v>
      </c>
      <c r="U739" t="s">
        <v>74</v>
      </c>
      <c r="V739" t="s">
        <v>74</v>
      </c>
      <c r="W739" t="s">
        <v>13090</v>
      </c>
      <c r="X739" t="s">
        <v>113</v>
      </c>
      <c r="Y739" t="s">
        <v>74</v>
      </c>
      <c r="Z739" t="s">
        <v>74</v>
      </c>
      <c r="AA739" t="s">
        <v>74</v>
      </c>
      <c r="AB739" t="s">
        <v>74</v>
      </c>
      <c r="AC739" t="s">
        <v>74</v>
      </c>
      <c r="AD739" t="s">
        <v>74</v>
      </c>
      <c r="AE739" t="s">
        <v>74</v>
      </c>
      <c r="AF739" t="s">
        <v>74</v>
      </c>
      <c r="AG739">
        <v>0</v>
      </c>
      <c r="AH739">
        <v>0</v>
      </c>
      <c r="AI739">
        <v>0</v>
      </c>
      <c r="AJ739">
        <v>1</v>
      </c>
      <c r="AK739">
        <v>1</v>
      </c>
      <c r="AL739" t="s">
        <v>1901</v>
      </c>
      <c r="AM739" t="s">
        <v>995</v>
      </c>
      <c r="AN739" t="s">
        <v>1902</v>
      </c>
      <c r="AO739" t="s">
        <v>13091</v>
      </c>
      <c r="AP739" t="s">
        <v>13092</v>
      </c>
      <c r="AQ739" t="s">
        <v>74</v>
      </c>
      <c r="AR739" t="s">
        <v>13093</v>
      </c>
      <c r="AS739" t="s">
        <v>13094</v>
      </c>
      <c r="AT739" t="s">
        <v>745</v>
      </c>
      <c r="AU739">
        <v>2023</v>
      </c>
      <c r="AV739">
        <v>85</v>
      </c>
      <c r="AW739">
        <v>4</v>
      </c>
      <c r="AX739" t="s">
        <v>74</v>
      </c>
      <c r="AY739" t="s">
        <v>74</v>
      </c>
      <c r="AZ739" t="s">
        <v>74</v>
      </c>
      <c r="BA739">
        <v>594</v>
      </c>
      <c r="BB739" t="s">
        <v>13095</v>
      </c>
      <c r="BC739" t="s">
        <v>13096</v>
      </c>
      <c r="BD739" t="s">
        <v>74</v>
      </c>
      <c r="BE739" t="s">
        <v>74</v>
      </c>
      <c r="BF739" t="s">
        <v>74</v>
      </c>
      <c r="BG739" t="s">
        <v>74</v>
      </c>
      <c r="BH739" t="s">
        <v>74</v>
      </c>
      <c r="BI739">
        <v>2</v>
      </c>
      <c r="BJ739" t="s">
        <v>13097</v>
      </c>
      <c r="BK739" t="s">
        <v>3030</v>
      </c>
      <c r="BL739" t="s">
        <v>13098</v>
      </c>
      <c r="BM739" t="s">
        <v>13099</v>
      </c>
      <c r="BN739" t="s">
        <v>74</v>
      </c>
      <c r="BO739" t="s">
        <v>74</v>
      </c>
      <c r="BP739" t="s">
        <v>74</v>
      </c>
      <c r="BQ739" t="s">
        <v>74</v>
      </c>
      <c r="BR739" t="s">
        <v>102</v>
      </c>
      <c r="BS739" t="s">
        <v>13100</v>
      </c>
      <c r="BT739" t="str">
        <f>HYPERLINK("https%3A%2F%2Fwww.webofscience.com%2Fwos%2Fwoscc%2Ffull-record%2FWOS:001167041400126","View Full Record in Web of Science")</f>
        <v>View Full Record in Web of Science</v>
      </c>
    </row>
    <row r="740" spans="1:72" x14ac:dyDescent="0.35">
      <c r="A740" t="s">
        <v>72</v>
      </c>
      <c r="B740" t="s">
        <v>13101</v>
      </c>
      <c r="C740" t="s">
        <v>74</v>
      </c>
      <c r="D740" t="s">
        <v>74</v>
      </c>
      <c r="E740" t="s">
        <v>74</v>
      </c>
      <c r="F740" t="s">
        <v>13102</v>
      </c>
      <c r="G740" t="s">
        <v>74</v>
      </c>
      <c r="H740" t="s">
        <v>74</v>
      </c>
      <c r="I740" t="s">
        <v>13103</v>
      </c>
      <c r="J740" t="s">
        <v>12524</v>
      </c>
      <c r="K740" t="s">
        <v>74</v>
      </c>
      <c r="L740" t="s">
        <v>74</v>
      </c>
      <c r="M740" t="s">
        <v>78</v>
      </c>
      <c r="N740" t="s">
        <v>52</v>
      </c>
      <c r="O740" t="s">
        <v>12525</v>
      </c>
      <c r="P740" t="s">
        <v>12526</v>
      </c>
      <c r="Q740" t="s">
        <v>12527</v>
      </c>
      <c r="R740" t="s">
        <v>74</v>
      </c>
      <c r="S740" t="s">
        <v>74</v>
      </c>
      <c r="T740" t="s">
        <v>74</v>
      </c>
      <c r="U740" t="s">
        <v>74</v>
      </c>
      <c r="V740" t="s">
        <v>74</v>
      </c>
      <c r="W740" t="s">
        <v>74</v>
      </c>
      <c r="X740" t="s">
        <v>74</v>
      </c>
      <c r="Y740" t="s">
        <v>74</v>
      </c>
      <c r="Z740" t="s">
        <v>74</v>
      </c>
      <c r="AA740" t="s">
        <v>74</v>
      </c>
      <c r="AB740" t="s">
        <v>74</v>
      </c>
      <c r="AC740" t="s">
        <v>74</v>
      </c>
      <c r="AD740" t="s">
        <v>74</v>
      </c>
      <c r="AE740" t="s">
        <v>74</v>
      </c>
      <c r="AF740" t="s">
        <v>74</v>
      </c>
      <c r="AG740">
        <v>0</v>
      </c>
      <c r="AH740">
        <v>0</v>
      </c>
      <c r="AI740">
        <v>0</v>
      </c>
      <c r="AJ740">
        <v>0</v>
      </c>
      <c r="AK740">
        <v>0</v>
      </c>
      <c r="AL740" t="s">
        <v>12528</v>
      </c>
      <c r="AM740" t="s">
        <v>995</v>
      </c>
      <c r="AN740" t="s">
        <v>12529</v>
      </c>
      <c r="AO740" t="s">
        <v>12530</v>
      </c>
      <c r="AP740" t="s">
        <v>12531</v>
      </c>
      <c r="AQ740" t="s">
        <v>74</v>
      </c>
      <c r="AR740" t="s">
        <v>12524</v>
      </c>
      <c r="AS740" t="s">
        <v>12532</v>
      </c>
      <c r="AT740" t="s">
        <v>745</v>
      </c>
      <c r="AU740">
        <v>2023</v>
      </c>
      <c r="AV740">
        <v>164</v>
      </c>
      <c r="AW740">
        <v>6</v>
      </c>
      <c r="AX740" t="s">
        <v>74</v>
      </c>
      <c r="AY740" t="s">
        <v>4946</v>
      </c>
      <c r="AZ740" t="s">
        <v>74</v>
      </c>
      <c r="BA740" t="s">
        <v>13104</v>
      </c>
      <c r="BB740" t="s">
        <v>13105</v>
      </c>
      <c r="BC740" t="s">
        <v>13106</v>
      </c>
      <c r="BD740" t="s">
        <v>74</v>
      </c>
      <c r="BE740" t="s">
        <v>74</v>
      </c>
      <c r="BF740" t="s">
        <v>74</v>
      </c>
      <c r="BG740" t="s">
        <v>74</v>
      </c>
      <c r="BH740" t="s">
        <v>74</v>
      </c>
      <c r="BI740">
        <v>2</v>
      </c>
      <c r="BJ740" t="s">
        <v>12536</v>
      </c>
      <c r="BK740" t="s">
        <v>2257</v>
      </c>
      <c r="BL740" t="s">
        <v>12536</v>
      </c>
      <c r="BM740" t="s">
        <v>12537</v>
      </c>
      <c r="BN740" t="s">
        <v>74</v>
      </c>
      <c r="BO740" t="s">
        <v>74</v>
      </c>
      <c r="BP740" t="s">
        <v>74</v>
      </c>
      <c r="BQ740" t="s">
        <v>74</v>
      </c>
      <c r="BR740" t="s">
        <v>102</v>
      </c>
      <c r="BS740" t="s">
        <v>13107</v>
      </c>
      <c r="BT740" t="str">
        <f>HYPERLINK("https%3A%2F%2Fwww.webofscience.com%2Fwos%2Fwoscc%2Ffull-record%2FWOS:001040954704064","View Full Record in Web of Science")</f>
        <v>View Full Record in Web of Science</v>
      </c>
    </row>
    <row r="741" spans="1:72" x14ac:dyDescent="0.35">
      <c r="A741" t="s">
        <v>72</v>
      </c>
      <c r="B741" t="s">
        <v>13108</v>
      </c>
      <c r="C741" t="s">
        <v>74</v>
      </c>
      <c r="D741" t="s">
        <v>74</v>
      </c>
      <c r="E741" t="s">
        <v>74</v>
      </c>
      <c r="F741" t="s">
        <v>13109</v>
      </c>
      <c r="G741" t="s">
        <v>74</v>
      </c>
      <c r="H741" t="s">
        <v>74</v>
      </c>
      <c r="I741" t="s">
        <v>13110</v>
      </c>
      <c r="J741" t="s">
        <v>10344</v>
      </c>
      <c r="K741" t="s">
        <v>74</v>
      </c>
      <c r="L741" t="s">
        <v>74</v>
      </c>
      <c r="M741" t="s">
        <v>78</v>
      </c>
      <c r="N741" t="s">
        <v>52</v>
      </c>
      <c r="O741" t="s">
        <v>74</v>
      </c>
      <c r="P741" t="s">
        <v>74</v>
      </c>
      <c r="Q741" t="s">
        <v>74</v>
      </c>
      <c r="R741" t="s">
        <v>74</v>
      </c>
      <c r="S741" t="s">
        <v>74</v>
      </c>
      <c r="T741" t="s">
        <v>74</v>
      </c>
      <c r="U741" t="s">
        <v>74</v>
      </c>
      <c r="V741" t="s">
        <v>74</v>
      </c>
      <c r="W741" t="s">
        <v>13111</v>
      </c>
      <c r="X741" t="s">
        <v>13112</v>
      </c>
      <c r="Y741" t="s">
        <v>74</v>
      </c>
      <c r="Z741" t="s">
        <v>13113</v>
      </c>
      <c r="AA741" t="s">
        <v>13114</v>
      </c>
      <c r="AB741" t="s">
        <v>74</v>
      </c>
      <c r="AC741" t="s">
        <v>74</v>
      </c>
      <c r="AD741" t="s">
        <v>74</v>
      </c>
      <c r="AE741" t="s">
        <v>74</v>
      </c>
      <c r="AF741" t="s">
        <v>74</v>
      </c>
      <c r="AG741">
        <v>0</v>
      </c>
      <c r="AH741">
        <v>1</v>
      </c>
      <c r="AI741">
        <v>1</v>
      </c>
      <c r="AJ741">
        <v>0</v>
      </c>
      <c r="AK741">
        <v>1</v>
      </c>
      <c r="AL741" t="s">
        <v>8334</v>
      </c>
      <c r="AM741" t="s">
        <v>291</v>
      </c>
      <c r="AN741" t="s">
        <v>8335</v>
      </c>
      <c r="AO741" t="s">
        <v>10348</v>
      </c>
      <c r="AP741" t="s">
        <v>10349</v>
      </c>
      <c r="AQ741" t="s">
        <v>74</v>
      </c>
      <c r="AR741" t="s">
        <v>10350</v>
      </c>
      <c r="AS741" t="s">
        <v>10351</v>
      </c>
      <c r="AT741" t="s">
        <v>594</v>
      </c>
      <c r="AU741">
        <v>2022</v>
      </c>
      <c r="AV741">
        <v>32</v>
      </c>
      <c r="AW741" t="s">
        <v>74</v>
      </c>
      <c r="AX741" t="s">
        <v>74</v>
      </c>
      <c r="AY741">
        <v>3</v>
      </c>
      <c r="AZ741" t="s">
        <v>74</v>
      </c>
      <c r="BA741" t="s">
        <v>13115</v>
      </c>
      <c r="BB741" t="s">
        <v>13116</v>
      </c>
      <c r="BC741" t="s">
        <v>13116</v>
      </c>
      <c r="BD741" t="s">
        <v>74</v>
      </c>
      <c r="BE741" t="s">
        <v>74</v>
      </c>
      <c r="BF741" t="s">
        <v>74</v>
      </c>
      <c r="BG741" t="s">
        <v>74</v>
      </c>
      <c r="BH741" t="s">
        <v>74</v>
      </c>
      <c r="BI741">
        <v>1</v>
      </c>
      <c r="BJ741" t="s">
        <v>392</v>
      </c>
      <c r="BK741" t="s">
        <v>182</v>
      </c>
      <c r="BL741" t="s">
        <v>392</v>
      </c>
      <c r="BM741" t="s">
        <v>13117</v>
      </c>
      <c r="BN741" t="s">
        <v>74</v>
      </c>
      <c r="BO741" t="s">
        <v>74</v>
      </c>
      <c r="BP741" t="s">
        <v>74</v>
      </c>
      <c r="BQ741" t="s">
        <v>74</v>
      </c>
      <c r="BR741" t="s">
        <v>102</v>
      </c>
      <c r="BS741" t="s">
        <v>13118</v>
      </c>
      <c r="BT741" t="str">
        <f>HYPERLINK("https%3A%2F%2Fwww.webofscience.com%2Fwos%2Fwoscc%2Ffull-record%2FWOS:000895463401570","View Full Record in Web of Science")</f>
        <v>View Full Record in Web of Science</v>
      </c>
    </row>
    <row r="742" spans="1:72" x14ac:dyDescent="0.35">
      <c r="A742" t="s">
        <v>72</v>
      </c>
      <c r="B742" t="s">
        <v>13119</v>
      </c>
      <c r="C742" t="s">
        <v>74</v>
      </c>
      <c r="D742" t="s">
        <v>74</v>
      </c>
      <c r="E742" t="s">
        <v>74</v>
      </c>
      <c r="F742" t="s">
        <v>13120</v>
      </c>
      <c r="G742" t="s">
        <v>74</v>
      </c>
      <c r="H742" t="s">
        <v>74</v>
      </c>
      <c r="I742" t="s">
        <v>13121</v>
      </c>
      <c r="J742" t="s">
        <v>10805</v>
      </c>
      <c r="K742" t="s">
        <v>74</v>
      </c>
      <c r="L742" t="s">
        <v>74</v>
      </c>
      <c r="M742" t="s">
        <v>78</v>
      </c>
      <c r="N742" t="s">
        <v>2042</v>
      </c>
      <c r="O742" t="s">
        <v>74</v>
      </c>
      <c r="P742" t="s">
        <v>74</v>
      </c>
      <c r="Q742" t="s">
        <v>74</v>
      </c>
      <c r="R742" t="s">
        <v>74</v>
      </c>
      <c r="S742" t="s">
        <v>74</v>
      </c>
      <c r="T742" t="s">
        <v>74</v>
      </c>
      <c r="U742" t="s">
        <v>74</v>
      </c>
      <c r="V742" t="s">
        <v>74</v>
      </c>
      <c r="W742" t="s">
        <v>13122</v>
      </c>
      <c r="X742" t="s">
        <v>12916</v>
      </c>
      <c r="Y742" t="s">
        <v>13123</v>
      </c>
      <c r="Z742" t="s">
        <v>13124</v>
      </c>
      <c r="AA742" t="s">
        <v>74</v>
      </c>
      <c r="AB742" t="s">
        <v>74</v>
      </c>
      <c r="AC742" t="s">
        <v>74</v>
      </c>
      <c r="AD742" t="s">
        <v>74</v>
      </c>
      <c r="AE742" t="s">
        <v>74</v>
      </c>
      <c r="AF742" t="s">
        <v>74</v>
      </c>
      <c r="AG742">
        <v>0</v>
      </c>
      <c r="AH742">
        <v>13</v>
      </c>
      <c r="AI742">
        <v>13</v>
      </c>
      <c r="AJ742">
        <v>0</v>
      </c>
      <c r="AK742">
        <v>7</v>
      </c>
      <c r="AL742" t="s">
        <v>1901</v>
      </c>
      <c r="AM742" t="s">
        <v>995</v>
      </c>
      <c r="AN742" t="s">
        <v>1902</v>
      </c>
      <c r="AO742" t="s">
        <v>10816</v>
      </c>
      <c r="AP742" t="s">
        <v>10817</v>
      </c>
      <c r="AQ742" t="s">
        <v>74</v>
      </c>
      <c r="AR742" t="s">
        <v>10818</v>
      </c>
      <c r="AS742" t="s">
        <v>10819</v>
      </c>
      <c r="AT742" t="s">
        <v>745</v>
      </c>
      <c r="AU742">
        <v>2021</v>
      </c>
      <c r="AV742">
        <v>147</v>
      </c>
      <c r="AW742">
        <v>5</v>
      </c>
      <c r="AX742" t="s">
        <v>74</v>
      </c>
      <c r="AY742" t="s">
        <v>74</v>
      </c>
      <c r="AZ742" t="s">
        <v>74</v>
      </c>
      <c r="BA742" t="s">
        <v>74</v>
      </c>
      <c r="BB742" t="s">
        <v>13125</v>
      </c>
      <c r="BC742" t="s">
        <v>13126</v>
      </c>
      <c r="BD742" t="s">
        <v>74</v>
      </c>
      <c r="BE742" t="s">
        <v>13127</v>
      </c>
      <c r="BF742" t="str">
        <f>HYPERLINK("http://dx.doi.org/10.1097/PRS.0000000000007873","http://dx.doi.org/10.1097/PRS.0000000000007873")</f>
        <v>http://dx.doi.org/10.1097/PRS.0000000000007873</v>
      </c>
      <c r="BG742" t="s">
        <v>74</v>
      </c>
      <c r="BH742" t="s">
        <v>74</v>
      </c>
      <c r="BI742">
        <v>3</v>
      </c>
      <c r="BJ742" t="s">
        <v>4994</v>
      </c>
      <c r="BK742" t="s">
        <v>209</v>
      </c>
      <c r="BL742" t="s">
        <v>4994</v>
      </c>
      <c r="BM742" t="s">
        <v>13128</v>
      </c>
      <c r="BN742">
        <v>33882036</v>
      </c>
      <c r="BO742" t="s">
        <v>767</v>
      </c>
      <c r="BP742" t="s">
        <v>74</v>
      </c>
      <c r="BQ742" t="s">
        <v>74</v>
      </c>
      <c r="BR742" t="s">
        <v>102</v>
      </c>
      <c r="BS742" t="s">
        <v>13129</v>
      </c>
      <c r="BT742" t="str">
        <f>HYPERLINK("https%3A%2F%2Fwww.webofscience.com%2Fwos%2Fwoscc%2Ffull-record%2FWOS:000644992000058","View Full Record in Web of Science")</f>
        <v>View Full Record in Web of Science</v>
      </c>
    </row>
    <row r="743" spans="1:72" x14ac:dyDescent="0.35">
      <c r="A743" t="s">
        <v>72</v>
      </c>
      <c r="B743" t="s">
        <v>13130</v>
      </c>
      <c r="C743" t="s">
        <v>74</v>
      </c>
      <c r="D743" t="s">
        <v>74</v>
      </c>
      <c r="E743" t="s">
        <v>74</v>
      </c>
      <c r="F743" t="s">
        <v>13131</v>
      </c>
      <c r="G743" t="s">
        <v>74</v>
      </c>
      <c r="H743" t="s">
        <v>74</v>
      </c>
      <c r="I743" t="s">
        <v>13132</v>
      </c>
      <c r="J743" t="s">
        <v>10805</v>
      </c>
      <c r="K743" t="s">
        <v>74</v>
      </c>
      <c r="L743" t="s">
        <v>74</v>
      </c>
      <c r="M743" t="s">
        <v>78</v>
      </c>
      <c r="N743" t="s">
        <v>2042</v>
      </c>
      <c r="O743" t="s">
        <v>74</v>
      </c>
      <c r="P743" t="s">
        <v>74</v>
      </c>
      <c r="Q743" t="s">
        <v>74</v>
      </c>
      <c r="R743" t="s">
        <v>74</v>
      </c>
      <c r="S743" t="s">
        <v>74</v>
      </c>
      <c r="T743" t="s">
        <v>74</v>
      </c>
      <c r="U743" t="s">
        <v>218</v>
      </c>
      <c r="V743" t="s">
        <v>74</v>
      </c>
      <c r="W743" t="s">
        <v>13133</v>
      </c>
      <c r="X743" t="s">
        <v>13134</v>
      </c>
      <c r="Y743" t="s">
        <v>13135</v>
      </c>
      <c r="Z743" t="s">
        <v>13136</v>
      </c>
      <c r="AA743" t="s">
        <v>13137</v>
      </c>
      <c r="AB743" t="s">
        <v>74</v>
      </c>
      <c r="AC743" t="s">
        <v>74</v>
      </c>
      <c r="AD743" t="s">
        <v>74</v>
      </c>
      <c r="AE743" t="s">
        <v>74</v>
      </c>
      <c r="AF743" t="s">
        <v>74</v>
      </c>
      <c r="AG743">
        <v>5</v>
      </c>
      <c r="AH743">
        <v>0</v>
      </c>
      <c r="AI743">
        <v>0</v>
      </c>
      <c r="AJ743">
        <v>0</v>
      </c>
      <c r="AK743">
        <v>6</v>
      </c>
      <c r="AL743" t="s">
        <v>1901</v>
      </c>
      <c r="AM743" t="s">
        <v>995</v>
      </c>
      <c r="AN743" t="s">
        <v>1902</v>
      </c>
      <c r="AO743" t="s">
        <v>10816</v>
      </c>
      <c r="AP743" t="s">
        <v>10817</v>
      </c>
      <c r="AQ743" t="s">
        <v>74</v>
      </c>
      <c r="AR743" t="s">
        <v>10818</v>
      </c>
      <c r="AS743" t="s">
        <v>10819</v>
      </c>
      <c r="AT743" t="s">
        <v>523</v>
      </c>
      <c r="AU743">
        <v>2023</v>
      </c>
      <c r="AV743">
        <v>152</v>
      </c>
      <c r="AW743">
        <v>5</v>
      </c>
      <c r="AX743" t="s">
        <v>74</v>
      </c>
      <c r="AY743" t="s">
        <v>74</v>
      </c>
      <c r="AZ743" t="s">
        <v>74</v>
      </c>
      <c r="BA743" t="s">
        <v>74</v>
      </c>
      <c r="BB743" t="s">
        <v>13138</v>
      </c>
      <c r="BC743" t="s">
        <v>13139</v>
      </c>
      <c r="BD743" t="s">
        <v>74</v>
      </c>
      <c r="BE743" t="s">
        <v>13140</v>
      </c>
      <c r="BF743" t="str">
        <f>HYPERLINK("http://dx.doi.org/10.1097/PRS.0000000000010792","http://dx.doi.org/10.1097/PRS.0000000000010792")</f>
        <v>http://dx.doi.org/10.1097/PRS.0000000000010792</v>
      </c>
      <c r="BG743" t="s">
        <v>74</v>
      </c>
      <c r="BH743" t="s">
        <v>74</v>
      </c>
      <c r="BI743">
        <v>3</v>
      </c>
      <c r="BJ743" t="s">
        <v>4994</v>
      </c>
      <c r="BK743" t="s">
        <v>209</v>
      </c>
      <c r="BL743" t="s">
        <v>4994</v>
      </c>
      <c r="BM743" t="s">
        <v>13141</v>
      </c>
      <c r="BN743">
        <v>37871030</v>
      </c>
      <c r="BO743" t="s">
        <v>767</v>
      </c>
      <c r="BP743" t="s">
        <v>74</v>
      </c>
      <c r="BQ743" t="s">
        <v>74</v>
      </c>
      <c r="BR743" t="s">
        <v>102</v>
      </c>
      <c r="BS743" t="s">
        <v>13142</v>
      </c>
      <c r="BT743" t="str">
        <f>HYPERLINK("https%3A%2F%2Fwww.webofscience.com%2Fwos%2Fwoscc%2Ffull-record%2FWOS:001087985900029","View Full Record in Web of Science")</f>
        <v>View Full Record in Web of Science</v>
      </c>
    </row>
    <row r="744" spans="1:72" x14ac:dyDescent="0.35">
      <c r="A744" t="s">
        <v>72</v>
      </c>
      <c r="B744" t="s">
        <v>13143</v>
      </c>
      <c r="C744" t="s">
        <v>74</v>
      </c>
      <c r="D744" t="s">
        <v>74</v>
      </c>
      <c r="E744" t="s">
        <v>74</v>
      </c>
      <c r="F744" t="s">
        <v>13144</v>
      </c>
      <c r="G744" t="s">
        <v>74</v>
      </c>
      <c r="H744" t="s">
        <v>74</v>
      </c>
      <c r="I744" t="s">
        <v>13145</v>
      </c>
      <c r="J744" t="s">
        <v>13146</v>
      </c>
      <c r="K744" t="s">
        <v>74</v>
      </c>
      <c r="L744" t="s">
        <v>74</v>
      </c>
      <c r="M744" t="s">
        <v>78</v>
      </c>
      <c r="N744" t="s">
        <v>1328</v>
      </c>
      <c r="O744" t="s">
        <v>74</v>
      </c>
      <c r="P744" t="s">
        <v>74</v>
      </c>
      <c r="Q744" t="s">
        <v>74</v>
      </c>
      <c r="R744" t="s">
        <v>74</v>
      </c>
      <c r="S744" t="s">
        <v>74</v>
      </c>
      <c r="T744" t="s">
        <v>74</v>
      </c>
      <c r="U744" t="s">
        <v>74</v>
      </c>
      <c r="V744" t="s">
        <v>74</v>
      </c>
      <c r="W744" t="s">
        <v>13147</v>
      </c>
      <c r="X744" t="s">
        <v>13148</v>
      </c>
      <c r="Y744" t="s">
        <v>13149</v>
      </c>
      <c r="Z744" t="s">
        <v>13150</v>
      </c>
      <c r="AA744" t="s">
        <v>74</v>
      </c>
      <c r="AB744" t="s">
        <v>74</v>
      </c>
      <c r="AC744" t="s">
        <v>74</v>
      </c>
      <c r="AD744" t="s">
        <v>74</v>
      </c>
      <c r="AE744" t="s">
        <v>74</v>
      </c>
      <c r="AF744" t="s">
        <v>74</v>
      </c>
      <c r="AG744">
        <v>5</v>
      </c>
      <c r="AH744">
        <v>0</v>
      </c>
      <c r="AI744">
        <v>0</v>
      </c>
      <c r="AJ744">
        <v>0</v>
      </c>
      <c r="AK744">
        <v>1</v>
      </c>
      <c r="AL744" t="s">
        <v>1901</v>
      </c>
      <c r="AM744" t="s">
        <v>995</v>
      </c>
      <c r="AN744" t="s">
        <v>1902</v>
      </c>
      <c r="AO744" t="s">
        <v>13151</v>
      </c>
      <c r="AP744" t="s">
        <v>13152</v>
      </c>
      <c r="AQ744" t="s">
        <v>74</v>
      </c>
      <c r="AR744" t="s">
        <v>13153</v>
      </c>
      <c r="AS744" t="s">
        <v>13154</v>
      </c>
      <c r="AT744" t="s">
        <v>178</v>
      </c>
      <c r="AU744">
        <v>2022</v>
      </c>
      <c r="AV744">
        <v>48</v>
      </c>
      <c r="AW744">
        <v>2</v>
      </c>
      <c r="AX744" t="s">
        <v>74</v>
      </c>
      <c r="AY744" t="s">
        <v>74</v>
      </c>
      <c r="AZ744" t="s">
        <v>74</v>
      </c>
      <c r="BA744" t="s">
        <v>74</v>
      </c>
      <c r="BB744">
        <v>263</v>
      </c>
      <c r="BC744">
        <v>264</v>
      </c>
      <c r="BD744" t="s">
        <v>74</v>
      </c>
      <c r="BE744" t="s">
        <v>13155</v>
      </c>
      <c r="BF744" t="str">
        <f>HYPERLINK("http://dx.doi.org/10.1097/DSS.0000000000003332","http://dx.doi.org/10.1097/DSS.0000000000003332")</f>
        <v>http://dx.doi.org/10.1097/DSS.0000000000003332</v>
      </c>
      <c r="BG744" t="s">
        <v>74</v>
      </c>
      <c r="BH744" t="s">
        <v>74</v>
      </c>
      <c r="BI744">
        <v>2</v>
      </c>
      <c r="BJ744" t="s">
        <v>13156</v>
      </c>
      <c r="BK744" t="s">
        <v>209</v>
      </c>
      <c r="BL744" t="s">
        <v>13156</v>
      </c>
      <c r="BM744" t="s">
        <v>13157</v>
      </c>
      <c r="BN744">
        <v>34889208</v>
      </c>
      <c r="BO744" t="s">
        <v>74</v>
      </c>
      <c r="BP744" t="s">
        <v>74</v>
      </c>
      <c r="BQ744" t="s">
        <v>74</v>
      </c>
      <c r="BR744" t="s">
        <v>102</v>
      </c>
      <c r="BS744" t="s">
        <v>13158</v>
      </c>
      <c r="BT744" t="str">
        <f>HYPERLINK("https%3A%2F%2Fwww.webofscience.com%2Fwos%2Fwoscc%2Ffull-record%2FWOS:000750451900030","View Full Record in Web of Science")</f>
        <v>View Full Record in Web of Science</v>
      </c>
    </row>
    <row r="745" spans="1:72" x14ac:dyDescent="0.35">
      <c r="A745" t="s">
        <v>72</v>
      </c>
      <c r="B745" t="s">
        <v>13159</v>
      </c>
      <c r="C745" t="s">
        <v>74</v>
      </c>
      <c r="D745" t="s">
        <v>74</v>
      </c>
      <c r="E745" t="s">
        <v>74</v>
      </c>
      <c r="F745" t="s">
        <v>13160</v>
      </c>
      <c r="G745" t="s">
        <v>74</v>
      </c>
      <c r="H745" t="s">
        <v>74</v>
      </c>
      <c r="I745" t="s">
        <v>13161</v>
      </c>
      <c r="J745" t="s">
        <v>13162</v>
      </c>
      <c r="K745" t="s">
        <v>74</v>
      </c>
      <c r="L745" t="s">
        <v>74</v>
      </c>
      <c r="M745" t="s">
        <v>78</v>
      </c>
      <c r="N745" t="s">
        <v>108</v>
      </c>
      <c r="O745" t="s">
        <v>74</v>
      </c>
      <c r="P745" t="s">
        <v>74</v>
      </c>
      <c r="Q745" t="s">
        <v>74</v>
      </c>
      <c r="R745" t="s">
        <v>74</v>
      </c>
      <c r="S745" t="s">
        <v>74</v>
      </c>
      <c r="T745" t="s">
        <v>13163</v>
      </c>
      <c r="U745" t="s">
        <v>13164</v>
      </c>
      <c r="V745" t="s">
        <v>13165</v>
      </c>
      <c r="W745" t="s">
        <v>13166</v>
      </c>
      <c r="X745" t="s">
        <v>13167</v>
      </c>
      <c r="Y745" t="s">
        <v>13168</v>
      </c>
      <c r="Z745" t="s">
        <v>13169</v>
      </c>
      <c r="AA745" t="s">
        <v>74</v>
      </c>
      <c r="AB745" t="s">
        <v>74</v>
      </c>
      <c r="AC745" t="s">
        <v>74</v>
      </c>
      <c r="AD745" t="s">
        <v>74</v>
      </c>
      <c r="AE745" t="s">
        <v>74</v>
      </c>
      <c r="AF745" t="s">
        <v>74</v>
      </c>
      <c r="AG745">
        <v>44</v>
      </c>
      <c r="AH745">
        <v>32</v>
      </c>
      <c r="AI745">
        <v>35</v>
      </c>
      <c r="AJ745">
        <v>3</v>
      </c>
      <c r="AK745">
        <v>42</v>
      </c>
      <c r="AL745" t="s">
        <v>88</v>
      </c>
      <c r="AM745" t="s">
        <v>89</v>
      </c>
      <c r="AN745" t="s">
        <v>90</v>
      </c>
      <c r="AO745" t="s">
        <v>13170</v>
      </c>
      <c r="AP745" t="s">
        <v>13171</v>
      </c>
      <c r="AQ745" t="s">
        <v>74</v>
      </c>
      <c r="AR745" t="s">
        <v>13172</v>
      </c>
      <c r="AS745" t="s">
        <v>13173</v>
      </c>
      <c r="AT745" t="s">
        <v>13174</v>
      </c>
      <c r="AU745">
        <v>2023</v>
      </c>
      <c r="AV745">
        <v>20</v>
      </c>
      <c r="AW745">
        <v>4</v>
      </c>
      <c r="AX745" t="s">
        <v>74</v>
      </c>
      <c r="AY745" t="s">
        <v>74</v>
      </c>
      <c r="AZ745" t="s">
        <v>74</v>
      </c>
      <c r="BA745" t="s">
        <v>74</v>
      </c>
      <c r="BB745">
        <v>800</v>
      </c>
      <c r="BC745">
        <v>817</v>
      </c>
      <c r="BD745" t="s">
        <v>74</v>
      </c>
      <c r="BE745" t="s">
        <v>13175</v>
      </c>
      <c r="BF745" t="str">
        <f>HYPERLINK("http://dx.doi.org/10.1080/19361653.2021.2009953","http://dx.doi.org/10.1080/19361653.2021.2009953")</f>
        <v>http://dx.doi.org/10.1080/19361653.2021.2009953</v>
      </c>
      <c r="BG745" t="s">
        <v>74</v>
      </c>
      <c r="BH745" t="s">
        <v>747</v>
      </c>
      <c r="BI745">
        <v>18</v>
      </c>
      <c r="BJ745" t="s">
        <v>98</v>
      </c>
      <c r="BK745" t="s">
        <v>125</v>
      </c>
      <c r="BL745" t="s">
        <v>100</v>
      </c>
      <c r="BM745" t="s">
        <v>13176</v>
      </c>
      <c r="BN745" t="s">
        <v>74</v>
      </c>
      <c r="BO745" t="s">
        <v>74</v>
      </c>
      <c r="BP745" t="s">
        <v>74</v>
      </c>
      <c r="BQ745" t="s">
        <v>74</v>
      </c>
      <c r="BR745" t="s">
        <v>102</v>
      </c>
      <c r="BS745" t="s">
        <v>13177</v>
      </c>
      <c r="BT745" t="str">
        <f>HYPERLINK("https%3A%2F%2Fwww.webofscience.com%2Fwos%2Fwoscc%2Ffull-record%2FWOS:000726011100001","View Full Record in Web of Science")</f>
        <v>View Full Record in Web of Science</v>
      </c>
    </row>
    <row r="746" spans="1:72" x14ac:dyDescent="0.35">
      <c r="A746" t="s">
        <v>72</v>
      </c>
      <c r="B746" t="s">
        <v>13178</v>
      </c>
      <c r="C746" t="s">
        <v>74</v>
      </c>
      <c r="D746" t="s">
        <v>74</v>
      </c>
      <c r="E746" t="s">
        <v>74</v>
      </c>
      <c r="F746" t="s">
        <v>13179</v>
      </c>
      <c r="G746" t="s">
        <v>74</v>
      </c>
      <c r="H746" t="s">
        <v>74</v>
      </c>
      <c r="I746" t="s">
        <v>13180</v>
      </c>
      <c r="J746" t="s">
        <v>13181</v>
      </c>
      <c r="K746" t="s">
        <v>74</v>
      </c>
      <c r="L746" t="s">
        <v>74</v>
      </c>
      <c r="M746" t="s">
        <v>78</v>
      </c>
      <c r="N746" t="s">
        <v>108</v>
      </c>
      <c r="O746" t="s">
        <v>74</v>
      </c>
      <c r="P746" t="s">
        <v>74</v>
      </c>
      <c r="Q746" t="s">
        <v>74</v>
      </c>
      <c r="R746" t="s">
        <v>74</v>
      </c>
      <c r="S746" t="s">
        <v>74</v>
      </c>
      <c r="T746" t="s">
        <v>13182</v>
      </c>
      <c r="U746" t="s">
        <v>13183</v>
      </c>
      <c r="V746" t="s">
        <v>13184</v>
      </c>
      <c r="W746" t="s">
        <v>13185</v>
      </c>
      <c r="X746" t="s">
        <v>13186</v>
      </c>
      <c r="Y746" t="s">
        <v>13187</v>
      </c>
      <c r="Z746" t="s">
        <v>13188</v>
      </c>
      <c r="AA746" t="s">
        <v>13189</v>
      </c>
      <c r="AB746" t="s">
        <v>13190</v>
      </c>
      <c r="AC746" t="s">
        <v>13191</v>
      </c>
      <c r="AD746" t="s">
        <v>13192</v>
      </c>
      <c r="AE746" t="s">
        <v>13193</v>
      </c>
      <c r="AF746" t="s">
        <v>74</v>
      </c>
      <c r="AG746">
        <v>107</v>
      </c>
      <c r="AH746">
        <v>1</v>
      </c>
      <c r="AI746">
        <v>1</v>
      </c>
      <c r="AJ746">
        <v>24</v>
      </c>
      <c r="AK746">
        <v>24</v>
      </c>
      <c r="AL746" t="s">
        <v>3632</v>
      </c>
      <c r="AM746" t="s">
        <v>148</v>
      </c>
      <c r="AN746" t="s">
        <v>5053</v>
      </c>
      <c r="AO746" t="s">
        <v>13194</v>
      </c>
      <c r="AP746" t="s">
        <v>13195</v>
      </c>
      <c r="AQ746" t="s">
        <v>74</v>
      </c>
      <c r="AR746" t="s">
        <v>13196</v>
      </c>
      <c r="AS746" t="s">
        <v>13197</v>
      </c>
      <c r="AT746" t="s">
        <v>523</v>
      </c>
      <c r="AU746">
        <v>2024</v>
      </c>
      <c r="AV746">
        <v>22</v>
      </c>
      <c r="AW746">
        <v>3</v>
      </c>
      <c r="AX746" t="s">
        <v>74</v>
      </c>
      <c r="AY746" t="s">
        <v>74</v>
      </c>
      <c r="AZ746" t="s">
        <v>74</v>
      </c>
      <c r="BA746" t="s">
        <v>74</v>
      </c>
      <c r="BB746" t="s">
        <v>74</v>
      </c>
      <c r="BC746" t="s">
        <v>74</v>
      </c>
      <c r="BD746">
        <v>101009</v>
      </c>
      <c r="BE746" t="s">
        <v>13198</v>
      </c>
      <c r="BF746" t="str">
        <f>HYPERLINK("http://dx.doi.org/10.1016/j.ijme.2024.101009","http://dx.doi.org/10.1016/j.ijme.2024.101009")</f>
        <v>http://dx.doi.org/10.1016/j.ijme.2024.101009</v>
      </c>
      <c r="BG746" t="s">
        <v>74</v>
      </c>
      <c r="BH746" t="s">
        <v>478</v>
      </c>
      <c r="BI746">
        <v>16</v>
      </c>
      <c r="BJ746" t="s">
        <v>13199</v>
      </c>
      <c r="BK746" t="s">
        <v>99</v>
      </c>
      <c r="BL746" t="s">
        <v>13200</v>
      </c>
      <c r="BM746" t="s">
        <v>13201</v>
      </c>
      <c r="BN746" t="s">
        <v>74</v>
      </c>
      <c r="BO746" t="s">
        <v>74</v>
      </c>
      <c r="BP746" t="s">
        <v>74</v>
      </c>
      <c r="BQ746" t="s">
        <v>74</v>
      </c>
      <c r="BR746" t="s">
        <v>102</v>
      </c>
      <c r="BS746" t="s">
        <v>13202</v>
      </c>
      <c r="BT746" t="str">
        <f>HYPERLINK("https%3A%2F%2Fwww.webofscience.com%2Fwos%2Fwoscc%2Ffull-record%2FWOS:001267150600001","View Full Record in Web of Science")</f>
        <v>View Full Record in Web of Science</v>
      </c>
    </row>
    <row r="747" spans="1:72" x14ac:dyDescent="0.35">
      <c r="A747" t="s">
        <v>72</v>
      </c>
      <c r="B747" t="s">
        <v>13203</v>
      </c>
      <c r="C747" t="s">
        <v>74</v>
      </c>
      <c r="D747" t="s">
        <v>74</v>
      </c>
      <c r="E747" t="s">
        <v>74</v>
      </c>
      <c r="F747" t="s">
        <v>13204</v>
      </c>
      <c r="G747" t="s">
        <v>74</v>
      </c>
      <c r="H747" t="s">
        <v>74</v>
      </c>
      <c r="I747" t="s">
        <v>13205</v>
      </c>
      <c r="J747" t="s">
        <v>13206</v>
      </c>
      <c r="K747" t="s">
        <v>74</v>
      </c>
      <c r="L747" t="s">
        <v>74</v>
      </c>
      <c r="M747" t="s">
        <v>78</v>
      </c>
      <c r="N747" t="s">
        <v>108</v>
      </c>
      <c r="O747" t="s">
        <v>74</v>
      </c>
      <c r="P747" t="s">
        <v>74</v>
      </c>
      <c r="Q747" t="s">
        <v>74</v>
      </c>
      <c r="R747" t="s">
        <v>74</v>
      </c>
      <c r="S747" t="s">
        <v>74</v>
      </c>
      <c r="T747" t="s">
        <v>13207</v>
      </c>
      <c r="U747" t="s">
        <v>74</v>
      </c>
      <c r="V747" t="s">
        <v>13208</v>
      </c>
      <c r="W747" t="s">
        <v>13209</v>
      </c>
      <c r="X747" t="s">
        <v>1438</v>
      </c>
      <c r="Y747" t="s">
        <v>13210</v>
      </c>
      <c r="Z747" t="s">
        <v>13211</v>
      </c>
      <c r="AA747" t="s">
        <v>74</v>
      </c>
      <c r="AB747" t="s">
        <v>13212</v>
      </c>
      <c r="AC747" t="s">
        <v>74</v>
      </c>
      <c r="AD747" t="s">
        <v>74</v>
      </c>
      <c r="AE747" t="s">
        <v>74</v>
      </c>
      <c r="AF747" t="s">
        <v>74</v>
      </c>
      <c r="AG747">
        <v>87</v>
      </c>
      <c r="AH747">
        <v>1</v>
      </c>
      <c r="AI747">
        <v>1</v>
      </c>
      <c r="AJ747">
        <v>0</v>
      </c>
      <c r="AK747">
        <v>8</v>
      </c>
      <c r="AL747" t="s">
        <v>171</v>
      </c>
      <c r="AM747" t="s">
        <v>172</v>
      </c>
      <c r="AN747" t="s">
        <v>173</v>
      </c>
      <c r="AO747" t="s">
        <v>13213</v>
      </c>
      <c r="AP747" t="s">
        <v>13214</v>
      </c>
      <c r="AQ747" t="s">
        <v>74</v>
      </c>
      <c r="AR747" t="s">
        <v>13215</v>
      </c>
      <c r="AS747" t="s">
        <v>13216</v>
      </c>
      <c r="AT747" t="s">
        <v>1275</v>
      </c>
      <c r="AU747">
        <v>2023</v>
      </c>
      <c r="AV747">
        <v>29</v>
      </c>
      <c r="AW747">
        <v>6</v>
      </c>
      <c r="AX747" t="s">
        <v>74</v>
      </c>
      <c r="AY747" t="s">
        <v>74</v>
      </c>
      <c r="AZ747" t="s">
        <v>74</v>
      </c>
      <c r="BA747" t="s">
        <v>74</v>
      </c>
      <c r="BB747">
        <v>1465</v>
      </c>
      <c r="BC747">
        <v>1485</v>
      </c>
      <c r="BD747" t="s">
        <v>74</v>
      </c>
      <c r="BE747" t="s">
        <v>13217</v>
      </c>
      <c r="BF747" t="str">
        <f>HYPERLINK("http://dx.doi.org/10.1177/13548565221113469","http://dx.doi.org/10.1177/13548565221113469")</f>
        <v>http://dx.doi.org/10.1177/13548565221113469</v>
      </c>
      <c r="BG747" t="s">
        <v>74</v>
      </c>
      <c r="BH747" t="s">
        <v>2175</v>
      </c>
      <c r="BI747">
        <v>21</v>
      </c>
      <c r="BJ747" t="s">
        <v>124</v>
      </c>
      <c r="BK747" t="s">
        <v>99</v>
      </c>
      <c r="BL747" t="s">
        <v>124</v>
      </c>
      <c r="BM747" t="s">
        <v>13218</v>
      </c>
      <c r="BN747" t="s">
        <v>74</v>
      </c>
      <c r="BO747" t="s">
        <v>74</v>
      </c>
      <c r="BP747" t="s">
        <v>74</v>
      </c>
      <c r="BQ747" t="s">
        <v>74</v>
      </c>
      <c r="BR747" t="s">
        <v>102</v>
      </c>
      <c r="BS747" t="s">
        <v>13219</v>
      </c>
      <c r="BT747" t="str">
        <f>HYPERLINK("https%3A%2F%2Fwww.webofscience.com%2Fwos%2Fwoscc%2Ffull-record%2FWOS:000824941000001","View Full Record in Web of Science")</f>
        <v>View Full Record in Web of Science</v>
      </c>
    </row>
    <row r="748" spans="1:72" x14ac:dyDescent="0.35">
      <c r="A748" t="s">
        <v>72</v>
      </c>
      <c r="B748" t="s">
        <v>9061</v>
      </c>
      <c r="C748" t="s">
        <v>74</v>
      </c>
      <c r="D748" t="s">
        <v>74</v>
      </c>
      <c r="E748" t="s">
        <v>74</v>
      </c>
      <c r="F748" t="s">
        <v>9062</v>
      </c>
      <c r="G748" t="s">
        <v>74</v>
      </c>
      <c r="H748" t="s">
        <v>74</v>
      </c>
      <c r="I748" t="s">
        <v>13220</v>
      </c>
      <c r="J748" t="s">
        <v>9064</v>
      </c>
      <c r="K748" t="s">
        <v>74</v>
      </c>
      <c r="L748" t="s">
        <v>74</v>
      </c>
      <c r="M748" t="s">
        <v>78</v>
      </c>
      <c r="N748" t="s">
        <v>108</v>
      </c>
      <c r="O748" t="s">
        <v>74</v>
      </c>
      <c r="P748" t="s">
        <v>74</v>
      </c>
      <c r="Q748" t="s">
        <v>74</v>
      </c>
      <c r="R748" t="s">
        <v>74</v>
      </c>
      <c r="S748" t="s">
        <v>74</v>
      </c>
      <c r="T748" t="s">
        <v>13221</v>
      </c>
      <c r="U748" t="s">
        <v>13222</v>
      </c>
      <c r="V748" t="s">
        <v>13223</v>
      </c>
      <c r="W748" t="s">
        <v>13224</v>
      </c>
      <c r="X748" t="s">
        <v>9069</v>
      </c>
      <c r="Y748" t="s">
        <v>13225</v>
      </c>
      <c r="Z748" t="s">
        <v>9071</v>
      </c>
      <c r="AA748" t="s">
        <v>9072</v>
      </c>
      <c r="AB748" t="s">
        <v>13226</v>
      </c>
      <c r="AC748" t="s">
        <v>9074</v>
      </c>
      <c r="AD748" t="s">
        <v>9075</v>
      </c>
      <c r="AE748" t="s">
        <v>13227</v>
      </c>
      <c r="AF748" t="s">
        <v>74</v>
      </c>
      <c r="AG748">
        <v>80</v>
      </c>
      <c r="AH748">
        <v>24</v>
      </c>
      <c r="AI748">
        <v>26</v>
      </c>
      <c r="AJ748">
        <v>8</v>
      </c>
      <c r="AK748">
        <v>75</v>
      </c>
      <c r="AL748" t="s">
        <v>2248</v>
      </c>
      <c r="AM748" t="s">
        <v>2249</v>
      </c>
      <c r="AN748" t="s">
        <v>2250</v>
      </c>
      <c r="AO748" t="s">
        <v>9077</v>
      </c>
      <c r="AP748" t="s">
        <v>9078</v>
      </c>
      <c r="AQ748" t="s">
        <v>74</v>
      </c>
      <c r="AR748" t="s">
        <v>9064</v>
      </c>
      <c r="AS748" t="s">
        <v>9079</v>
      </c>
      <c r="AT748" t="s">
        <v>9080</v>
      </c>
      <c r="AU748">
        <v>2022</v>
      </c>
      <c r="AV748">
        <v>62</v>
      </c>
      <c r="AW748">
        <v>8</v>
      </c>
      <c r="AX748" t="s">
        <v>74</v>
      </c>
      <c r="AY748" t="s">
        <v>74</v>
      </c>
      <c r="AZ748" t="s">
        <v>74</v>
      </c>
      <c r="BA748" t="s">
        <v>74</v>
      </c>
      <c r="BB748">
        <v>1207</v>
      </c>
      <c r="BC748">
        <v>1216</v>
      </c>
      <c r="BD748" t="s">
        <v>74</v>
      </c>
      <c r="BE748" t="s">
        <v>13228</v>
      </c>
      <c r="BF748" t="str">
        <f>HYPERLINK("http://dx.doi.org/10.1093/geront/gnac055","http://dx.doi.org/10.1093/geront/gnac055")</f>
        <v>http://dx.doi.org/10.1093/geront/gnac055</v>
      </c>
      <c r="BG748" t="s">
        <v>74</v>
      </c>
      <c r="BH748" t="s">
        <v>9082</v>
      </c>
      <c r="BI748">
        <v>10</v>
      </c>
      <c r="BJ748" t="s">
        <v>9083</v>
      </c>
      <c r="BK748" t="s">
        <v>99</v>
      </c>
      <c r="BL748" t="s">
        <v>9084</v>
      </c>
      <c r="BM748" t="s">
        <v>9085</v>
      </c>
      <c r="BN748">
        <v>35512401</v>
      </c>
      <c r="BO748" t="s">
        <v>1343</v>
      </c>
      <c r="BP748" t="s">
        <v>74</v>
      </c>
      <c r="BQ748" t="s">
        <v>74</v>
      </c>
      <c r="BR748" t="s">
        <v>102</v>
      </c>
      <c r="BS748" t="s">
        <v>13229</v>
      </c>
      <c r="BT748" t="str">
        <f>HYPERLINK("https%3A%2F%2Fwww.webofscience.com%2Fwos%2Fwoscc%2Ffull-record%2FWOS:000803727400001","View Full Record in Web of Science")</f>
        <v>View Full Record in Web of Science</v>
      </c>
    </row>
    <row r="749" spans="1:72" x14ac:dyDescent="0.35">
      <c r="A749" t="s">
        <v>72</v>
      </c>
      <c r="B749" t="s">
        <v>13230</v>
      </c>
      <c r="C749" t="s">
        <v>74</v>
      </c>
      <c r="D749" t="s">
        <v>74</v>
      </c>
      <c r="E749" t="s">
        <v>74</v>
      </c>
      <c r="F749" t="s">
        <v>13231</v>
      </c>
      <c r="G749" t="s">
        <v>74</v>
      </c>
      <c r="H749" t="s">
        <v>74</v>
      </c>
      <c r="I749" t="s">
        <v>13232</v>
      </c>
      <c r="J749" t="s">
        <v>13233</v>
      </c>
      <c r="K749" t="s">
        <v>74</v>
      </c>
      <c r="L749" t="s">
        <v>74</v>
      </c>
      <c r="M749" t="s">
        <v>78</v>
      </c>
      <c r="N749" t="s">
        <v>108</v>
      </c>
      <c r="O749" t="s">
        <v>74</v>
      </c>
      <c r="P749" t="s">
        <v>74</v>
      </c>
      <c r="Q749" t="s">
        <v>74</v>
      </c>
      <c r="R749" t="s">
        <v>74</v>
      </c>
      <c r="S749" t="s">
        <v>74</v>
      </c>
      <c r="T749" t="s">
        <v>13234</v>
      </c>
      <c r="U749" t="s">
        <v>13235</v>
      </c>
      <c r="V749" t="s">
        <v>13236</v>
      </c>
      <c r="W749" t="s">
        <v>13237</v>
      </c>
      <c r="X749" t="s">
        <v>13238</v>
      </c>
      <c r="Y749" t="s">
        <v>13239</v>
      </c>
      <c r="Z749" t="s">
        <v>13240</v>
      </c>
      <c r="AA749" t="s">
        <v>13241</v>
      </c>
      <c r="AB749" t="s">
        <v>13242</v>
      </c>
      <c r="AC749" t="s">
        <v>13243</v>
      </c>
      <c r="AD749" t="s">
        <v>13244</v>
      </c>
      <c r="AE749" t="s">
        <v>13245</v>
      </c>
      <c r="AF749" t="s">
        <v>74</v>
      </c>
      <c r="AG749">
        <v>43</v>
      </c>
      <c r="AH749">
        <v>11</v>
      </c>
      <c r="AI749">
        <v>12</v>
      </c>
      <c r="AJ749">
        <v>9</v>
      </c>
      <c r="AK749">
        <v>78</v>
      </c>
      <c r="AL749" t="s">
        <v>171</v>
      </c>
      <c r="AM749" t="s">
        <v>172</v>
      </c>
      <c r="AN749" t="s">
        <v>173</v>
      </c>
      <c r="AO749" t="s">
        <v>13246</v>
      </c>
      <c r="AP749" t="s">
        <v>74</v>
      </c>
      <c r="AQ749" t="s">
        <v>74</v>
      </c>
      <c r="AR749" t="s">
        <v>13233</v>
      </c>
      <c r="AS749" t="s">
        <v>13247</v>
      </c>
      <c r="AT749" t="s">
        <v>594</v>
      </c>
      <c r="AU749">
        <v>2021</v>
      </c>
      <c r="AV749">
        <v>11</v>
      </c>
      <c r="AW749">
        <v>4</v>
      </c>
      <c r="AX749" t="s">
        <v>74</v>
      </c>
      <c r="AY749" t="s">
        <v>74</v>
      </c>
      <c r="AZ749" t="s">
        <v>74</v>
      </c>
      <c r="BA749" t="s">
        <v>74</v>
      </c>
      <c r="BB749" t="s">
        <v>74</v>
      </c>
      <c r="BC749" t="s">
        <v>74</v>
      </c>
      <c r="BD749">
        <v>2.1582440211061568E+16</v>
      </c>
      <c r="BE749" t="s">
        <v>13248</v>
      </c>
      <c r="BF749" t="str">
        <f>HYPERLINK("http://dx.doi.org/10.1177/21582440211061568","http://dx.doi.org/10.1177/21582440211061568")</f>
        <v>http://dx.doi.org/10.1177/21582440211061568</v>
      </c>
      <c r="BG749" t="s">
        <v>74</v>
      </c>
      <c r="BH749" t="s">
        <v>74</v>
      </c>
      <c r="BI749">
        <v>11</v>
      </c>
      <c r="BJ749" t="s">
        <v>98</v>
      </c>
      <c r="BK749" t="s">
        <v>99</v>
      </c>
      <c r="BL749" t="s">
        <v>100</v>
      </c>
      <c r="BM749" t="s">
        <v>13249</v>
      </c>
      <c r="BN749" t="s">
        <v>74</v>
      </c>
      <c r="BO749" t="s">
        <v>235</v>
      </c>
      <c r="BP749" t="s">
        <v>74</v>
      </c>
      <c r="BQ749" t="s">
        <v>74</v>
      </c>
      <c r="BR749" t="s">
        <v>102</v>
      </c>
      <c r="BS749" t="s">
        <v>13250</v>
      </c>
      <c r="BT749" t="str">
        <f>HYPERLINK("https%3A%2F%2Fwww.webofscience.com%2Fwos%2Fwoscc%2Ffull-record%2FWOS:000730189200001","View Full Record in Web of Science")</f>
        <v>View Full Record in Web of Science</v>
      </c>
    </row>
    <row r="750" spans="1:72" x14ac:dyDescent="0.35">
      <c r="A750" t="s">
        <v>72</v>
      </c>
      <c r="B750" t="s">
        <v>13251</v>
      </c>
      <c r="C750" t="s">
        <v>74</v>
      </c>
      <c r="D750" t="s">
        <v>74</v>
      </c>
      <c r="E750" t="s">
        <v>74</v>
      </c>
      <c r="F750" t="s">
        <v>13252</v>
      </c>
      <c r="G750" t="s">
        <v>74</v>
      </c>
      <c r="H750" t="s">
        <v>74</v>
      </c>
      <c r="I750" t="s">
        <v>13253</v>
      </c>
      <c r="J750" t="s">
        <v>13254</v>
      </c>
      <c r="K750" t="s">
        <v>74</v>
      </c>
      <c r="L750" t="s">
        <v>74</v>
      </c>
      <c r="M750" t="s">
        <v>78</v>
      </c>
      <c r="N750" t="s">
        <v>52</v>
      </c>
      <c r="O750" t="s">
        <v>74</v>
      </c>
      <c r="P750" t="s">
        <v>74</v>
      </c>
      <c r="Q750" t="s">
        <v>74</v>
      </c>
      <c r="R750" t="s">
        <v>74</v>
      </c>
      <c r="S750" t="s">
        <v>74</v>
      </c>
      <c r="T750" t="s">
        <v>74</v>
      </c>
      <c r="U750" t="s">
        <v>74</v>
      </c>
      <c r="V750" t="s">
        <v>74</v>
      </c>
      <c r="W750" t="s">
        <v>13255</v>
      </c>
      <c r="X750" t="s">
        <v>13256</v>
      </c>
      <c r="Y750" t="s">
        <v>74</v>
      </c>
      <c r="Z750" t="s">
        <v>74</v>
      </c>
      <c r="AA750" t="s">
        <v>13257</v>
      </c>
      <c r="AB750" t="s">
        <v>74</v>
      </c>
      <c r="AC750" t="s">
        <v>74</v>
      </c>
      <c r="AD750" t="s">
        <v>74</v>
      </c>
      <c r="AE750" t="s">
        <v>74</v>
      </c>
      <c r="AF750" t="s">
        <v>74</v>
      </c>
      <c r="AG750">
        <v>0</v>
      </c>
      <c r="AH750">
        <v>0</v>
      </c>
      <c r="AI750">
        <v>0</v>
      </c>
      <c r="AJ750">
        <v>0</v>
      </c>
      <c r="AK750">
        <v>2</v>
      </c>
      <c r="AL750" t="s">
        <v>1901</v>
      </c>
      <c r="AM750" t="s">
        <v>995</v>
      </c>
      <c r="AN750" t="s">
        <v>1902</v>
      </c>
      <c r="AO750" t="s">
        <v>13258</v>
      </c>
      <c r="AP750" t="s">
        <v>13259</v>
      </c>
      <c r="AQ750" t="s">
        <v>74</v>
      </c>
      <c r="AR750" t="s">
        <v>13260</v>
      </c>
      <c r="AS750" t="s">
        <v>13261</v>
      </c>
      <c r="AT750" t="s">
        <v>594</v>
      </c>
      <c r="AU750">
        <v>2022</v>
      </c>
      <c r="AV750">
        <v>117</v>
      </c>
      <c r="AW750">
        <v>10</v>
      </c>
      <c r="AX750" t="s">
        <v>74</v>
      </c>
      <c r="AY750" t="s">
        <v>4946</v>
      </c>
      <c r="AZ750" t="s">
        <v>74</v>
      </c>
      <c r="BA750" t="s">
        <v>13262</v>
      </c>
      <c r="BB750" t="s">
        <v>13263</v>
      </c>
      <c r="BC750" t="s">
        <v>13263</v>
      </c>
      <c r="BD750" t="s">
        <v>74</v>
      </c>
      <c r="BE750" t="s">
        <v>74</v>
      </c>
      <c r="BF750" t="s">
        <v>74</v>
      </c>
      <c r="BG750" t="s">
        <v>74</v>
      </c>
      <c r="BH750" t="s">
        <v>74</v>
      </c>
      <c r="BI750">
        <v>1</v>
      </c>
      <c r="BJ750" t="s">
        <v>12536</v>
      </c>
      <c r="BK750" t="s">
        <v>209</v>
      </c>
      <c r="BL750" t="s">
        <v>12536</v>
      </c>
      <c r="BM750" t="s">
        <v>13264</v>
      </c>
      <c r="BN750" t="s">
        <v>74</v>
      </c>
      <c r="BO750" t="s">
        <v>74</v>
      </c>
      <c r="BP750" t="s">
        <v>74</v>
      </c>
      <c r="BQ750" t="s">
        <v>74</v>
      </c>
      <c r="BR750" t="s">
        <v>102</v>
      </c>
      <c r="BS750" t="s">
        <v>13265</v>
      </c>
      <c r="BT750" t="str">
        <f>HYPERLINK("https%3A%2F%2Fwww.webofscience.com%2Fwos%2Fwoscc%2Ffull-record%2FWOS:000897916001183","View Full Record in Web of Science")</f>
        <v>View Full Record in Web of Science</v>
      </c>
    </row>
    <row r="751" spans="1:72" x14ac:dyDescent="0.35">
      <c r="A751" t="s">
        <v>72</v>
      </c>
      <c r="B751" t="s">
        <v>13266</v>
      </c>
      <c r="C751" t="s">
        <v>74</v>
      </c>
      <c r="D751" t="s">
        <v>74</v>
      </c>
      <c r="E751" t="s">
        <v>74</v>
      </c>
      <c r="F751" t="s">
        <v>13267</v>
      </c>
      <c r="G751" t="s">
        <v>74</v>
      </c>
      <c r="H751" t="s">
        <v>74</v>
      </c>
      <c r="I751" t="s">
        <v>13268</v>
      </c>
      <c r="J751" t="s">
        <v>13269</v>
      </c>
      <c r="K751" t="s">
        <v>74</v>
      </c>
      <c r="L751" t="s">
        <v>74</v>
      </c>
      <c r="M751" t="s">
        <v>78</v>
      </c>
      <c r="N751" t="s">
        <v>52</v>
      </c>
      <c r="O751" t="s">
        <v>13270</v>
      </c>
      <c r="P751" t="s">
        <v>13271</v>
      </c>
      <c r="Q751" t="s">
        <v>10915</v>
      </c>
      <c r="R751" t="s">
        <v>13272</v>
      </c>
      <c r="S751" t="s">
        <v>74</v>
      </c>
      <c r="T751" t="s">
        <v>74</v>
      </c>
      <c r="U751" t="s">
        <v>74</v>
      </c>
      <c r="V751" t="s">
        <v>74</v>
      </c>
      <c r="W751" t="s">
        <v>13273</v>
      </c>
      <c r="X751" t="s">
        <v>13274</v>
      </c>
      <c r="Y751" t="s">
        <v>74</v>
      </c>
      <c r="Z751" t="s">
        <v>74</v>
      </c>
      <c r="AA751" t="s">
        <v>10935</v>
      </c>
      <c r="AB751" t="s">
        <v>74</v>
      </c>
      <c r="AC751" t="s">
        <v>13275</v>
      </c>
      <c r="AD751" t="s">
        <v>74</v>
      </c>
      <c r="AE751" t="s">
        <v>13276</v>
      </c>
      <c r="AF751" t="s">
        <v>74</v>
      </c>
      <c r="AG751">
        <v>0</v>
      </c>
      <c r="AH751">
        <v>0</v>
      </c>
      <c r="AI751">
        <v>0</v>
      </c>
      <c r="AJ751">
        <v>0</v>
      </c>
      <c r="AK751">
        <v>0</v>
      </c>
      <c r="AL751" t="s">
        <v>13277</v>
      </c>
      <c r="AM751" t="s">
        <v>13278</v>
      </c>
      <c r="AN751" t="s">
        <v>13279</v>
      </c>
      <c r="AO751" t="s">
        <v>13280</v>
      </c>
      <c r="AP751" t="s">
        <v>13281</v>
      </c>
      <c r="AQ751" t="s">
        <v>74</v>
      </c>
      <c r="AR751" t="s">
        <v>13282</v>
      </c>
      <c r="AS751" t="s">
        <v>13283</v>
      </c>
      <c r="AT751" t="s">
        <v>13284</v>
      </c>
      <c r="AU751">
        <v>2024</v>
      </c>
      <c r="AV751">
        <v>260</v>
      </c>
      <c r="AW751" t="s">
        <v>74</v>
      </c>
      <c r="AX751" t="s">
        <v>74</v>
      </c>
      <c r="AY751" t="s">
        <v>4946</v>
      </c>
      <c r="AZ751" t="s">
        <v>74</v>
      </c>
      <c r="BA751" t="s">
        <v>13285</v>
      </c>
      <c r="BB751" t="s">
        <v>74</v>
      </c>
      <c r="BC751" t="s">
        <v>74</v>
      </c>
      <c r="BD751">
        <v>110366</v>
      </c>
      <c r="BE751" t="s">
        <v>13286</v>
      </c>
      <c r="BF751" t="str">
        <f>HYPERLINK("http://dx.doi.org/10.1016/j.drugalcdep.2023.110366","http://dx.doi.org/10.1016/j.drugalcdep.2023.110366")</f>
        <v>http://dx.doi.org/10.1016/j.drugalcdep.2023.110366</v>
      </c>
      <c r="BG751" t="s">
        <v>74</v>
      </c>
      <c r="BH751" t="s">
        <v>478</v>
      </c>
      <c r="BI751">
        <v>1</v>
      </c>
      <c r="BJ751" t="s">
        <v>13287</v>
      </c>
      <c r="BK751" t="s">
        <v>3030</v>
      </c>
      <c r="BL751" t="s">
        <v>13287</v>
      </c>
      <c r="BM751" t="s">
        <v>13288</v>
      </c>
      <c r="BN751" t="s">
        <v>74</v>
      </c>
      <c r="BO751" t="s">
        <v>74</v>
      </c>
      <c r="BP751" t="s">
        <v>74</v>
      </c>
      <c r="BQ751" t="s">
        <v>74</v>
      </c>
      <c r="BR751" t="s">
        <v>102</v>
      </c>
      <c r="BS751" t="s">
        <v>13289</v>
      </c>
      <c r="BT751" t="str">
        <f>HYPERLINK("https%3A%2F%2Fwww.webofscience.com%2Fwos%2Fwoscc%2Ffull-record%2FWOS:001280690400392","View Full Record in Web of Science")</f>
        <v>View Full Record in Web of Science</v>
      </c>
    </row>
    <row r="752" spans="1:72" x14ac:dyDescent="0.35">
      <c r="A752" t="s">
        <v>72</v>
      </c>
      <c r="B752" t="s">
        <v>13290</v>
      </c>
      <c r="C752" t="s">
        <v>74</v>
      </c>
      <c r="D752" t="s">
        <v>74</v>
      </c>
      <c r="E752" t="s">
        <v>74</v>
      </c>
      <c r="F752" t="s">
        <v>13291</v>
      </c>
      <c r="G752" t="s">
        <v>74</v>
      </c>
      <c r="H752" t="s">
        <v>74</v>
      </c>
      <c r="I752" t="s">
        <v>13292</v>
      </c>
      <c r="J752" t="s">
        <v>11599</v>
      </c>
      <c r="K752" t="s">
        <v>74</v>
      </c>
      <c r="L752" t="s">
        <v>74</v>
      </c>
      <c r="M752" t="s">
        <v>78</v>
      </c>
      <c r="N752" t="s">
        <v>52</v>
      </c>
      <c r="O752" t="s">
        <v>74</v>
      </c>
      <c r="P752" t="s">
        <v>74</v>
      </c>
      <c r="Q752" t="s">
        <v>74</v>
      </c>
      <c r="R752" t="s">
        <v>74</v>
      </c>
      <c r="S752" t="s">
        <v>74</v>
      </c>
      <c r="T752" t="s">
        <v>74</v>
      </c>
      <c r="U752" t="s">
        <v>74</v>
      </c>
      <c r="V752" t="s">
        <v>74</v>
      </c>
      <c r="W752" t="s">
        <v>74</v>
      </c>
      <c r="X752" t="s">
        <v>74</v>
      </c>
      <c r="Y752" t="s">
        <v>74</v>
      </c>
      <c r="Z752" t="s">
        <v>74</v>
      </c>
      <c r="AA752" t="s">
        <v>74</v>
      </c>
      <c r="AB752" t="s">
        <v>74</v>
      </c>
      <c r="AC752" t="s">
        <v>74</v>
      </c>
      <c r="AD752" t="s">
        <v>74</v>
      </c>
      <c r="AE752" t="s">
        <v>74</v>
      </c>
      <c r="AF752" t="s">
        <v>74</v>
      </c>
      <c r="AG752">
        <v>0</v>
      </c>
      <c r="AH752">
        <v>0</v>
      </c>
      <c r="AI752">
        <v>0</v>
      </c>
      <c r="AJ752">
        <v>0</v>
      </c>
      <c r="AK752">
        <v>0</v>
      </c>
      <c r="AL752" t="s">
        <v>1901</v>
      </c>
      <c r="AM752" t="s">
        <v>995</v>
      </c>
      <c r="AN752" t="s">
        <v>1902</v>
      </c>
      <c r="AO752" t="s">
        <v>11600</v>
      </c>
      <c r="AP752" t="s">
        <v>11601</v>
      </c>
      <c r="AQ752" t="s">
        <v>74</v>
      </c>
      <c r="AR752" t="s">
        <v>11602</v>
      </c>
      <c r="AS752" t="s">
        <v>11603</v>
      </c>
      <c r="AT752" t="s">
        <v>930</v>
      </c>
      <c r="AU752">
        <v>2023</v>
      </c>
      <c r="AV752">
        <v>209</v>
      </c>
      <c r="AW752" t="s">
        <v>74</v>
      </c>
      <c r="AX752" t="s">
        <v>74</v>
      </c>
      <c r="AY752">
        <v>4</v>
      </c>
      <c r="AZ752" t="s">
        <v>74</v>
      </c>
      <c r="BA752" t="s">
        <v>13293</v>
      </c>
      <c r="BB752" t="s">
        <v>13294</v>
      </c>
      <c r="BC752" t="s">
        <v>13295</v>
      </c>
      <c r="BD752" t="s">
        <v>74</v>
      </c>
      <c r="BE752" t="s">
        <v>74</v>
      </c>
      <c r="BF752" t="s">
        <v>74</v>
      </c>
      <c r="BG752" t="s">
        <v>74</v>
      </c>
      <c r="BH752" t="s">
        <v>74</v>
      </c>
      <c r="BI752">
        <v>2</v>
      </c>
      <c r="BJ752" t="s">
        <v>1908</v>
      </c>
      <c r="BK752" t="s">
        <v>209</v>
      </c>
      <c r="BL752" t="s">
        <v>1908</v>
      </c>
      <c r="BM752" t="s">
        <v>12811</v>
      </c>
      <c r="BN752" t="s">
        <v>74</v>
      </c>
      <c r="BO752" t="s">
        <v>74</v>
      </c>
      <c r="BP752" t="s">
        <v>74</v>
      </c>
      <c r="BQ752" t="s">
        <v>74</v>
      </c>
      <c r="BR752" t="s">
        <v>102</v>
      </c>
      <c r="BS752" t="s">
        <v>13296</v>
      </c>
      <c r="BT752" t="str">
        <f>HYPERLINK("https%3A%2F%2Fwww.webofscience.com%2Fwos%2Fwoscc%2Ffull-record%2FWOS:000994549500235","View Full Record in Web of Science")</f>
        <v>View Full Record in Web of Science</v>
      </c>
    </row>
    <row r="753" spans="1:72" x14ac:dyDescent="0.35">
      <c r="A753" t="s">
        <v>72</v>
      </c>
      <c r="B753" t="s">
        <v>13297</v>
      </c>
      <c r="C753" t="s">
        <v>74</v>
      </c>
      <c r="D753" t="s">
        <v>74</v>
      </c>
      <c r="E753" t="s">
        <v>74</v>
      </c>
      <c r="F753" t="s">
        <v>13298</v>
      </c>
      <c r="G753" t="s">
        <v>74</v>
      </c>
      <c r="H753" t="s">
        <v>74</v>
      </c>
      <c r="I753" t="s">
        <v>13299</v>
      </c>
      <c r="J753" t="s">
        <v>9586</v>
      </c>
      <c r="K753" t="s">
        <v>74</v>
      </c>
      <c r="L753" t="s">
        <v>74</v>
      </c>
      <c r="M753" t="s">
        <v>78</v>
      </c>
      <c r="N753" t="s">
        <v>1328</v>
      </c>
      <c r="O753" t="s">
        <v>74</v>
      </c>
      <c r="P753" t="s">
        <v>74</v>
      </c>
      <c r="Q753" t="s">
        <v>74</v>
      </c>
      <c r="R753" t="s">
        <v>74</v>
      </c>
      <c r="S753" t="s">
        <v>74</v>
      </c>
      <c r="T753" t="s">
        <v>74</v>
      </c>
      <c r="U753" t="s">
        <v>74</v>
      </c>
      <c r="V753" t="s">
        <v>74</v>
      </c>
      <c r="W753" t="s">
        <v>13300</v>
      </c>
      <c r="X753" t="s">
        <v>13301</v>
      </c>
      <c r="Y753" t="s">
        <v>13302</v>
      </c>
      <c r="Z753" t="s">
        <v>13303</v>
      </c>
      <c r="AA753" t="s">
        <v>74</v>
      </c>
      <c r="AB753" t="s">
        <v>13304</v>
      </c>
      <c r="AC753" t="s">
        <v>74</v>
      </c>
      <c r="AD753" t="s">
        <v>74</v>
      </c>
      <c r="AE753" t="s">
        <v>74</v>
      </c>
      <c r="AF753" t="s">
        <v>74</v>
      </c>
      <c r="AG753">
        <v>5</v>
      </c>
      <c r="AH753">
        <v>4</v>
      </c>
      <c r="AI753">
        <v>4</v>
      </c>
      <c r="AJ753">
        <v>3</v>
      </c>
      <c r="AK753">
        <v>7</v>
      </c>
      <c r="AL753" t="s">
        <v>251</v>
      </c>
      <c r="AM753" t="s">
        <v>252</v>
      </c>
      <c r="AN753" t="s">
        <v>253</v>
      </c>
      <c r="AO753" t="s">
        <v>9595</v>
      </c>
      <c r="AP753" t="s">
        <v>9596</v>
      </c>
      <c r="AQ753" t="s">
        <v>74</v>
      </c>
      <c r="AR753" t="s">
        <v>9597</v>
      </c>
      <c r="AS753" t="s">
        <v>9598</v>
      </c>
      <c r="AT753" t="s">
        <v>523</v>
      </c>
      <c r="AU753">
        <v>2022</v>
      </c>
      <c r="AV753">
        <v>47</v>
      </c>
      <c r="AW753">
        <v>11</v>
      </c>
      <c r="AX753" t="s">
        <v>74</v>
      </c>
      <c r="AY753" t="s">
        <v>74</v>
      </c>
      <c r="AZ753" t="s">
        <v>74</v>
      </c>
      <c r="BA753" t="s">
        <v>74</v>
      </c>
      <c r="BB753">
        <v>2036</v>
      </c>
      <c r="BC753">
        <v>2037</v>
      </c>
      <c r="BD753" t="s">
        <v>74</v>
      </c>
      <c r="BE753" t="s">
        <v>13305</v>
      </c>
      <c r="BF753" t="str">
        <f>HYPERLINK("http://dx.doi.org/10.1111/ced.15322","http://dx.doi.org/10.1111/ced.15322")</f>
        <v>http://dx.doi.org/10.1111/ced.15322</v>
      </c>
      <c r="BG753" t="s">
        <v>74</v>
      </c>
      <c r="BH753" t="s">
        <v>1527</v>
      </c>
      <c r="BI753">
        <v>2</v>
      </c>
      <c r="BJ753" t="s">
        <v>1341</v>
      </c>
      <c r="BK753" t="s">
        <v>209</v>
      </c>
      <c r="BL753" t="s">
        <v>1341</v>
      </c>
      <c r="BM753" t="s">
        <v>13306</v>
      </c>
      <c r="BN753">
        <v>35796132</v>
      </c>
      <c r="BO753" t="s">
        <v>74</v>
      </c>
      <c r="BP753" t="s">
        <v>74</v>
      </c>
      <c r="BQ753" t="s">
        <v>74</v>
      </c>
      <c r="BR753" t="s">
        <v>102</v>
      </c>
      <c r="BS753" t="s">
        <v>13307</v>
      </c>
      <c r="BT753" t="str">
        <f>HYPERLINK("https%3A%2F%2Fwww.webofscience.com%2Fwos%2Fwoscc%2Ffull-record%2FWOS:000839559600001","View Full Record in Web of Science")</f>
        <v>View Full Record in Web of Science</v>
      </c>
    </row>
    <row r="754" spans="1:72" x14ac:dyDescent="0.35">
      <c r="A754" t="s">
        <v>72</v>
      </c>
      <c r="B754" t="s">
        <v>13308</v>
      </c>
      <c r="C754" t="s">
        <v>74</v>
      </c>
      <c r="D754" t="s">
        <v>74</v>
      </c>
      <c r="E754" t="s">
        <v>74</v>
      </c>
      <c r="F754" t="s">
        <v>13309</v>
      </c>
      <c r="G754" t="s">
        <v>74</v>
      </c>
      <c r="H754" t="s">
        <v>74</v>
      </c>
      <c r="I754" t="s">
        <v>13310</v>
      </c>
      <c r="J754" t="s">
        <v>13311</v>
      </c>
      <c r="K754" t="s">
        <v>74</v>
      </c>
      <c r="L754" t="s">
        <v>74</v>
      </c>
      <c r="M754" t="s">
        <v>78</v>
      </c>
      <c r="N754" t="s">
        <v>108</v>
      </c>
      <c r="O754" t="s">
        <v>74</v>
      </c>
      <c r="P754" t="s">
        <v>74</v>
      </c>
      <c r="Q754" t="s">
        <v>74</v>
      </c>
      <c r="R754" t="s">
        <v>74</v>
      </c>
      <c r="S754" t="s">
        <v>74</v>
      </c>
      <c r="T754" t="s">
        <v>74</v>
      </c>
      <c r="U754" t="s">
        <v>74</v>
      </c>
      <c r="V754" t="s">
        <v>74</v>
      </c>
      <c r="W754" t="s">
        <v>13312</v>
      </c>
      <c r="X754" t="s">
        <v>13313</v>
      </c>
      <c r="Y754" t="s">
        <v>13314</v>
      </c>
      <c r="Z754" t="s">
        <v>74</v>
      </c>
      <c r="AA754" t="s">
        <v>74</v>
      </c>
      <c r="AB754" t="s">
        <v>74</v>
      </c>
      <c r="AC754" t="s">
        <v>74</v>
      </c>
      <c r="AD754" t="s">
        <v>74</v>
      </c>
      <c r="AE754" t="s">
        <v>74</v>
      </c>
      <c r="AF754" t="s">
        <v>74</v>
      </c>
      <c r="AG754">
        <v>0</v>
      </c>
      <c r="AH754">
        <v>4</v>
      </c>
      <c r="AI754">
        <v>4</v>
      </c>
      <c r="AJ754">
        <v>4</v>
      </c>
      <c r="AK754">
        <v>28</v>
      </c>
      <c r="AL754" t="s">
        <v>13315</v>
      </c>
      <c r="AM754" t="s">
        <v>13316</v>
      </c>
      <c r="AN754" t="s">
        <v>13317</v>
      </c>
      <c r="AO754" t="s">
        <v>13318</v>
      </c>
      <c r="AP754" t="s">
        <v>74</v>
      </c>
      <c r="AQ754" t="s">
        <v>74</v>
      </c>
      <c r="AR754" t="s">
        <v>13319</v>
      </c>
      <c r="AS754" t="s">
        <v>13320</v>
      </c>
      <c r="AT754" t="s">
        <v>8108</v>
      </c>
      <c r="AU754">
        <v>2022</v>
      </c>
      <c r="AV754">
        <v>100</v>
      </c>
      <c r="AW754" t="s">
        <v>13321</v>
      </c>
      <c r="AX754" t="s">
        <v>74</v>
      </c>
      <c r="AY754" t="s">
        <v>74</v>
      </c>
      <c r="AZ754" t="s">
        <v>74</v>
      </c>
      <c r="BA754" t="s">
        <v>74</v>
      </c>
      <c r="BB754">
        <v>54</v>
      </c>
      <c r="BC754">
        <v>58</v>
      </c>
      <c r="BD754" t="s">
        <v>74</v>
      </c>
      <c r="BE754" t="s">
        <v>74</v>
      </c>
      <c r="BF754" t="s">
        <v>74</v>
      </c>
      <c r="BG754" t="s">
        <v>74</v>
      </c>
      <c r="BH754" t="s">
        <v>74</v>
      </c>
      <c r="BI754">
        <v>5</v>
      </c>
      <c r="BJ754" t="s">
        <v>479</v>
      </c>
      <c r="BK754" t="s">
        <v>99</v>
      </c>
      <c r="BL754" t="s">
        <v>480</v>
      </c>
      <c r="BM754" t="s">
        <v>13322</v>
      </c>
      <c r="BN754" t="s">
        <v>74</v>
      </c>
      <c r="BO754" t="s">
        <v>74</v>
      </c>
      <c r="BP754" t="s">
        <v>74</v>
      </c>
      <c r="BQ754" t="s">
        <v>74</v>
      </c>
      <c r="BR754" t="s">
        <v>102</v>
      </c>
      <c r="BS754" t="s">
        <v>13323</v>
      </c>
      <c r="BT754" t="str">
        <f>HYPERLINK("https%3A%2F%2Fwww.webofscience.com%2Fwos%2Fwoscc%2Ffull-record%2FWOS:000842623000017","View Full Record in Web of Science")</f>
        <v>View Full Record in Web of Science</v>
      </c>
    </row>
    <row r="755" spans="1:72" x14ac:dyDescent="0.35">
      <c r="A755" t="s">
        <v>72</v>
      </c>
      <c r="B755" t="s">
        <v>13324</v>
      </c>
      <c r="C755" t="s">
        <v>74</v>
      </c>
      <c r="D755" t="s">
        <v>74</v>
      </c>
      <c r="E755" t="s">
        <v>74</v>
      </c>
      <c r="F755" t="s">
        <v>13325</v>
      </c>
      <c r="G755" t="s">
        <v>74</v>
      </c>
      <c r="H755" t="s">
        <v>74</v>
      </c>
      <c r="I755" t="s">
        <v>13326</v>
      </c>
      <c r="J755" t="s">
        <v>12202</v>
      </c>
      <c r="K755" t="s">
        <v>74</v>
      </c>
      <c r="L755" t="s">
        <v>74</v>
      </c>
      <c r="M755" t="s">
        <v>78</v>
      </c>
      <c r="N755" t="s">
        <v>52</v>
      </c>
      <c r="O755" t="s">
        <v>74</v>
      </c>
      <c r="P755" t="s">
        <v>74</v>
      </c>
      <c r="Q755" t="s">
        <v>74</v>
      </c>
      <c r="R755" t="s">
        <v>74</v>
      </c>
      <c r="S755" t="s">
        <v>74</v>
      </c>
      <c r="T755" t="s">
        <v>74</v>
      </c>
      <c r="U755" t="s">
        <v>74</v>
      </c>
      <c r="V755" t="s">
        <v>74</v>
      </c>
      <c r="W755" t="s">
        <v>13327</v>
      </c>
      <c r="X755" t="s">
        <v>13328</v>
      </c>
      <c r="Y755" t="s">
        <v>74</v>
      </c>
      <c r="Z755" t="s">
        <v>74</v>
      </c>
      <c r="AA755" t="s">
        <v>74</v>
      </c>
      <c r="AB755" t="s">
        <v>74</v>
      </c>
      <c r="AC755" t="s">
        <v>13329</v>
      </c>
      <c r="AD755" t="s">
        <v>13330</v>
      </c>
      <c r="AE755" t="s">
        <v>13331</v>
      </c>
      <c r="AF755" t="s">
        <v>74</v>
      </c>
      <c r="AG755">
        <v>1</v>
      </c>
      <c r="AH755">
        <v>1</v>
      </c>
      <c r="AI755">
        <v>1</v>
      </c>
      <c r="AJ755">
        <v>0</v>
      </c>
      <c r="AK755">
        <v>3</v>
      </c>
      <c r="AL755" t="s">
        <v>1965</v>
      </c>
      <c r="AM755" t="s">
        <v>666</v>
      </c>
      <c r="AN755" t="s">
        <v>1966</v>
      </c>
      <c r="AO755" t="s">
        <v>12208</v>
      </c>
      <c r="AP755" t="s">
        <v>12209</v>
      </c>
      <c r="AQ755" t="s">
        <v>74</v>
      </c>
      <c r="AR755" t="s">
        <v>12210</v>
      </c>
      <c r="AS755" t="s">
        <v>12211</v>
      </c>
      <c r="AT755" t="s">
        <v>273</v>
      </c>
      <c r="AU755">
        <v>2023</v>
      </c>
      <c r="AV755">
        <v>120</v>
      </c>
      <c r="AW755">
        <v>1</v>
      </c>
      <c r="AX755" t="s">
        <v>74</v>
      </c>
      <c r="AY755" t="s">
        <v>4946</v>
      </c>
      <c r="AZ755" t="s">
        <v>74</v>
      </c>
      <c r="BA755" t="s">
        <v>13332</v>
      </c>
      <c r="BB755" t="s">
        <v>13333</v>
      </c>
      <c r="BC755" t="s">
        <v>13334</v>
      </c>
      <c r="BD755" t="s">
        <v>74</v>
      </c>
      <c r="BE755" t="s">
        <v>74</v>
      </c>
      <c r="BF755" t="s">
        <v>74</v>
      </c>
      <c r="BG755" t="s">
        <v>74</v>
      </c>
      <c r="BH755" t="s">
        <v>74</v>
      </c>
      <c r="BI755">
        <v>2</v>
      </c>
      <c r="BJ755" t="s">
        <v>11405</v>
      </c>
      <c r="BK755" t="s">
        <v>209</v>
      </c>
      <c r="BL755" t="s">
        <v>11405</v>
      </c>
      <c r="BM755" t="s">
        <v>13335</v>
      </c>
      <c r="BN755" t="s">
        <v>74</v>
      </c>
      <c r="BO755" t="s">
        <v>74</v>
      </c>
      <c r="BP755" t="s">
        <v>74</v>
      </c>
      <c r="BQ755" t="s">
        <v>74</v>
      </c>
      <c r="BR755" t="s">
        <v>102</v>
      </c>
      <c r="BS755" t="s">
        <v>13336</v>
      </c>
      <c r="BT755" t="str">
        <f>HYPERLINK("https%3A%2F%2Fwww.webofscience.com%2Fwos%2Fwoscc%2Ffull-record%2FWOS:001038561400029","View Full Record in Web of Science")</f>
        <v>View Full Record in Web of Science</v>
      </c>
    </row>
    <row r="756" spans="1:72" x14ac:dyDescent="0.35">
      <c r="A756" t="s">
        <v>72</v>
      </c>
      <c r="B756" t="s">
        <v>13337</v>
      </c>
      <c r="C756" t="s">
        <v>74</v>
      </c>
      <c r="D756" t="s">
        <v>74</v>
      </c>
      <c r="E756" t="s">
        <v>74</v>
      </c>
      <c r="F756" t="s">
        <v>13338</v>
      </c>
      <c r="G756" t="s">
        <v>74</v>
      </c>
      <c r="H756" t="s">
        <v>74</v>
      </c>
      <c r="I756" t="s">
        <v>13339</v>
      </c>
      <c r="J756" t="s">
        <v>10404</v>
      </c>
      <c r="K756" t="s">
        <v>74</v>
      </c>
      <c r="L756" t="s">
        <v>74</v>
      </c>
      <c r="M756" t="s">
        <v>78</v>
      </c>
      <c r="N756" t="s">
        <v>52</v>
      </c>
      <c r="O756" t="s">
        <v>10405</v>
      </c>
      <c r="P756" t="s">
        <v>10406</v>
      </c>
      <c r="Q756" t="s">
        <v>10407</v>
      </c>
      <c r="R756" t="s">
        <v>10408</v>
      </c>
      <c r="S756" t="s">
        <v>74</v>
      </c>
      <c r="T756" t="s">
        <v>74</v>
      </c>
      <c r="U756" t="s">
        <v>74</v>
      </c>
      <c r="V756" t="s">
        <v>74</v>
      </c>
      <c r="W756" t="s">
        <v>13340</v>
      </c>
      <c r="X756" t="s">
        <v>13341</v>
      </c>
      <c r="Y756" t="s">
        <v>74</v>
      </c>
      <c r="Z756" t="s">
        <v>74</v>
      </c>
      <c r="AA756" t="s">
        <v>74</v>
      </c>
      <c r="AB756" t="s">
        <v>74</v>
      </c>
      <c r="AC756" t="s">
        <v>74</v>
      </c>
      <c r="AD756" t="s">
        <v>74</v>
      </c>
      <c r="AE756" t="s">
        <v>74</v>
      </c>
      <c r="AF756" t="s">
        <v>74</v>
      </c>
      <c r="AG756">
        <v>0</v>
      </c>
      <c r="AH756">
        <v>0</v>
      </c>
      <c r="AI756">
        <v>0</v>
      </c>
      <c r="AJ756">
        <v>0</v>
      </c>
      <c r="AK756">
        <v>0</v>
      </c>
      <c r="AL756" t="s">
        <v>1901</v>
      </c>
      <c r="AM756" t="s">
        <v>995</v>
      </c>
      <c r="AN756" t="s">
        <v>1902</v>
      </c>
      <c r="AO756" t="s">
        <v>10411</v>
      </c>
      <c r="AP756" t="s">
        <v>74</v>
      </c>
      <c r="AQ756" t="s">
        <v>74</v>
      </c>
      <c r="AR756" t="s">
        <v>10412</v>
      </c>
      <c r="AS756" t="s">
        <v>10413</v>
      </c>
      <c r="AT756" t="s">
        <v>745</v>
      </c>
      <c r="AU756">
        <v>2024</v>
      </c>
      <c r="AV756">
        <v>143</v>
      </c>
      <c r="AW756" t="s">
        <v>10414</v>
      </c>
      <c r="AX756" t="s">
        <v>74</v>
      </c>
      <c r="AY756">
        <v>5</v>
      </c>
      <c r="AZ756" t="s">
        <v>74</v>
      </c>
      <c r="BA756">
        <v>2683582</v>
      </c>
      <c r="BB756" t="s">
        <v>13342</v>
      </c>
      <c r="BC756" t="s">
        <v>13342</v>
      </c>
      <c r="BD756" t="s">
        <v>74</v>
      </c>
      <c r="BE756" t="s">
        <v>13343</v>
      </c>
      <c r="BF756" t="str">
        <f>HYPERLINK("http://dx.doi.org/10.1097/01.AOG.0001013932.79033.06","http://dx.doi.org/10.1097/01.AOG.0001013932.79033.06")</f>
        <v>http://dx.doi.org/10.1097/01.AOG.0001013932.79033.06</v>
      </c>
      <c r="BG756" t="s">
        <v>74</v>
      </c>
      <c r="BH756" t="s">
        <v>74</v>
      </c>
      <c r="BI756">
        <v>1</v>
      </c>
      <c r="BJ756" t="s">
        <v>1971</v>
      </c>
      <c r="BK756" t="s">
        <v>2257</v>
      </c>
      <c r="BL756" t="s">
        <v>1971</v>
      </c>
      <c r="BM756" t="s">
        <v>10417</v>
      </c>
      <c r="BN756" t="s">
        <v>74</v>
      </c>
      <c r="BO756" t="s">
        <v>767</v>
      </c>
      <c r="BP756" t="s">
        <v>74</v>
      </c>
      <c r="BQ756" t="s">
        <v>74</v>
      </c>
      <c r="BR756" t="s">
        <v>102</v>
      </c>
      <c r="BS756" t="s">
        <v>13344</v>
      </c>
      <c r="BT756" t="str">
        <f>HYPERLINK("https%3A%2F%2Fwww.webofscience.com%2Fwos%2Fwoscc%2Ffull-record%2FWOS:001258908200076","View Full Record in Web of Science")</f>
        <v>View Full Record in Web of Science</v>
      </c>
    </row>
    <row r="757" spans="1:72" x14ac:dyDescent="0.35">
      <c r="A757" t="s">
        <v>72</v>
      </c>
      <c r="B757" t="s">
        <v>13345</v>
      </c>
      <c r="C757" t="s">
        <v>74</v>
      </c>
      <c r="D757" t="s">
        <v>74</v>
      </c>
      <c r="E757" t="s">
        <v>74</v>
      </c>
      <c r="F757" t="s">
        <v>13346</v>
      </c>
      <c r="G757" t="s">
        <v>74</v>
      </c>
      <c r="H757" t="s">
        <v>74</v>
      </c>
      <c r="I757" t="s">
        <v>13347</v>
      </c>
      <c r="J757" t="s">
        <v>10734</v>
      </c>
      <c r="K757" t="s">
        <v>74</v>
      </c>
      <c r="L757" t="s">
        <v>74</v>
      </c>
      <c r="M757" t="s">
        <v>78</v>
      </c>
      <c r="N757" t="s">
        <v>52</v>
      </c>
      <c r="O757" t="s">
        <v>74</v>
      </c>
      <c r="P757" t="s">
        <v>74</v>
      </c>
      <c r="Q757" t="s">
        <v>74</v>
      </c>
      <c r="R757" t="s">
        <v>74</v>
      </c>
      <c r="S757" t="s">
        <v>74</v>
      </c>
      <c r="T757" t="s">
        <v>74</v>
      </c>
      <c r="U757" t="s">
        <v>74</v>
      </c>
      <c r="V757" t="s">
        <v>74</v>
      </c>
      <c r="W757" t="s">
        <v>13348</v>
      </c>
      <c r="X757" t="s">
        <v>12679</v>
      </c>
      <c r="Y757" t="s">
        <v>74</v>
      </c>
      <c r="Z757" t="s">
        <v>74</v>
      </c>
      <c r="AA757" t="s">
        <v>74</v>
      </c>
      <c r="AB757" t="s">
        <v>74</v>
      </c>
      <c r="AC757" t="s">
        <v>74</v>
      </c>
      <c r="AD757" t="s">
        <v>74</v>
      </c>
      <c r="AE757" t="s">
        <v>74</v>
      </c>
      <c r="AF757" t="s">
        <v>74</v>
      </c>
      <c r="AG757">
        <v>0</v>
      </c>
      <c r="AH757">
        <v>0</v>
      </c>
      <c r="AI757">
        <v>0</v>
      </c>
      <c r="AJ757">
        <v>0</v>
      </c>
      <c r="AK757">
        <v>0</v>
      </c>
      <c r="AL757" t="s">
        <v>8334</v>
      </c>
      <c r="AM757" t="s">
        <v>291</v>
      </c>
      <c r="AN757" t="s">
        <v>8335</v>
      </c>
      <c r="AO757" t="s">
        <v>10737</v>
      </c>
      <c r="AP757" t="s">
        <v>10738</v>
      </c>
      <c r="AQ757" t="s">
        <v>74</v>
      </c>
      <c r="AR757" t="s">
        <v>10739</v>
      </c>
      <c r="AS757" t="s">
        <v>10740</v>
      </c>
      <c r="AT757" t="s">
        <v>13349</v>
      </c>
      <c r="AU757">
        <v>2024</v>
      </c>
      <c r="AV757">
        <v>21</v>
      </c>
      <c r="AW757" t="s">
        <v>74</v>
      </c>
      <c r="AX757" t="s">
        <v>74</v>
      </c>
      <c r="AY757" t="s">
        <v>13350</v>
      </c>
      <c r="AZ757" t="s">
        <v>456</v>
      </c>
      <c r="BA757">
        <v>109</v>
      </c>
      <c r="BB757" t="s">
        <v>74</v>
      </c>
      <c r="BC757" t="s">
        <v>74</v>
      </c>
      <c r="BD757" t="s">
        <v>13351</v>
      </c>
      <c r="BE757" t="s">
        <v>13352</v>
      </c>
      <c r="BF757" t="str">
        <f>HYPERLINK("http://dx.doi.org/10.1093/jsxmed/qdae054.103","http://dx.doi.org/10.1093/jsxmed/qdae054.103")</f>
        <v>http://dx.doi.org/10.1093/jsxmed/qdae054.103</v>
      </c>
      <c r="BG757" t="s">
        <v>74</v>
      </c>
      <c r="BH757" t="s">
        <v>74</v>
      </c>
      <c r="BI757">
        <v>1</v>
      </c>
      <c r="BJ757" t="s">
        <v>1908</v>
      </c>
      <c r="BK757" t="s">
        <v>209</v>
      </c>
      <c r="BL757" t="s">
        <v>1908</v>
      </c>
      <c r="BM757" t="s">
        <v>13353</v>
      </c>
      <c r="BN757" t="s">
        <v>74</v>
      </c>
      <c r="BO757" t="s">
        <v>74</v>
      </c>
      <c r="BP757" t="s">
        <v>74</v>
      </c>
      <c r="BQ757" t="s">
        <v>74</v>
      </c>
      <c r="BR757" t="s">
        <v>102</v>
      </c>
      <c r="BS757" t="s">
        <v>13354</v>
      </c>
      <c r="BT757" t="str">
        <f>HYPERLINK("https%3A%2F%2Fwww.webofscience.com%2Fwos%2Fwoscc%2Ffull-record%2FWOS:001249267800028","View Full Record in Web of Science")</f>
        <v>View Full Record in Web of Science</v>
      </c>
    </row>
    <row r="758" spans="1:72" x14ac:dyDescent="0.35">
      <c r="A758" t="s">
        <v>72</v>
      </c>
      <c r="B758" t="s">
        <v>13355</v>
      </c>
      <c r="C758" t="s">
        <v>74</v>
      </c>
      <c r="D758" t="s">
        <v>74</v>
      </c>
      <c r="E758" t="s">
        <v>74</v>
      </c>
      <c r="F758" t="s">
        <v>13356</v>
      </c>
      <c r="G758" t="s">
        <v>74</v>
      </c>
      <c r="H758" t="s">
        <v>74</v>
      </c>
      <c r="I758" t="s">
        <v>13357</v>
      </c>
      <c r="J758" t="s">
        <v>13358</v>
      </c>
      <c r="K758" t="s">
        <v>74</v>
      </c>
      <c r="L758" t="s">
        <v>74</v>
      </c>
      <c r="M758" t="s">
        <v>78</v>
      </c>
      <c r="N758" t="s">
        <v>108</v>
      </c>
      <c r="O758" t="s">
        <v>74</v>
      </c>
      <c r="P758" t="s">
        <v>74</v>
      </c>
      <c r="Q758" t="s">
        <v>74</v>
      </c>
      <c r="R758" t="s">
        <v>74</v>
      </c>
      <c r="S758" t="s">
        <v>74</v>
      </c>
      <c r="T758" t="s">
        <v>13359</v>
      </c>
      <c r="U758" t="s">
        <v>13360</v>
      </c>
      <c r="V758" t="s">
        <v>13361</v>
      </c>
      <c r="W758" t="s">
        <v>13362</v>
      </c>
      <c r="X758" t="s">
        <v>13363</v>
      </c>
      <c r="Y758" t="s">
        <v>13364</v>
      </c>
      <c r="Z758" t="s">
        <v>74</v>
      </c>
      <c r="AA758" t="s">
        <v>13365</v>
      </c>
      <c r="AB758" t="s">
        <v>13366</v>
      </c>
      <c r="AC758" t="s">
        <v>74</v>
      </c>
      <c r="AD758" t="s">
        <v>74</v>
      </c>
      <c r="AE758" t="s">
        <v>74</v>
      </c>
      <c r="AF758" t="s">
        <v>74</v>
      </c>
      <c r="AG758">
        <v>42</v>
      </c>
      <c r="AH758">
        <v>15</v>
      </c>
      <c r="AI758">
        <v>19</v>
      </c>
      <c r="AJ758">
        <v>4</v>
      </c>
      <c r="AK758">
        <v>45</v>
      </c>
      <c r="AL758" t="s">
        <v>88</v>
      </c>
      <c r="AM758" t="s">
        <v>89</v>
      </c>
      <c r="AN758" t="s">
        <v>90</v>
      </c>
      <c r="AO758" t="s">
        <v>13367</v>
      </c>
      <c r="AP758" t="s">
        <v>13368</v>
      </c>
      <c r="AQ758" t="s">
        <v>74</v>
      </c>
      <c r="AR758" t="s">
        <v>13369</v>
      </c>
      <c r="AS758" t="s">
        <v>13370</v>
      </c>
      <c r="AT758" t="s">
        <v>2323</v>
      </c>
      <c r="AU758">
        <v>2021</v>
      </c>
      <c r="AV758">
        <v>40</v>
      </c>
      <c r="AW758">
        <v>1</v>
      </c>
      <c r="AX758" t="s">
        <v>74</v>
      </c>
      <c r="AY758" t="s">
        <v>74</v>
      </c>
      <c r="AZ758" t="s">
        <v>456</v>
      </c>
      <c r="BA758" t="s">
        <v>74</v>
      </c>
      <c r="BB758">
        <v>78</v>
      </c>
      <c r="BC758">
        <v>98</v>
      </c>
      <c r="BD758" t="s">
        <v>74</v>
      </c>
      <c r="BE758" t="s">
        <v>13371</v>
      </c>
      <c r="BF758" t="str">
        <f>HYPERLINK("http://dx.doi.org/10.1080/07494467.2021.1945225","http://dx.doi.org/10.1080/07494467.2021.1945225")</f>
        <v>http://dx.doi.org/10.1080/07494467.2021.1945225</v>
      </c>
      <c r="BG758" t="s">
        <v>74</v>
      </c>
      <c r="BH758" t="s">
        <v>6350</v>
      </c>
      <c r="BI758">
        <v>21</v>
      </c>
      <c r="BJ758" t="s">
        <v>6991</v>
      </c>
      <c r="BK758" t="s">
        <v>316</v>
      </c>
      <c r="BL758" t="s">
        <v>6991</v>
      </c>
      <c r="BM758" t="s">
        <v>13372</v>
      </c>
      <c r="BN758" t="s">
        <v>74</v>
      </c>
      <c r="BO758" t="s">
        <v>1343</v>
      </c>
      <c r="BP758" t="s">
        <v>74</v>
      </c>
      <c r="BQ758" t="s">
        <v>74</v>
      </c>
      <c r="BR758" t="s">
        <v>102</v>
      </c>
      <c r="BS758" t="s">
        <v>13373</v>
      </c>
      <c r="BT758" t="str">
        <f>HYPERLINK("https%3A%2F%2Fwww.webofscience.com%2Fwos%2Fwoscc%2Ffull-record%2FWOS:000673164100001","View Full Record in Web of Science")</f>
        <v>View Full Record in Web of Science</v>
      </c>
    </row>
    <row r="759" spans="1:72" x14ac:dyDescent="0.35">
      <c r="A759" t="s">
        <v>72</v>
      </c>
      <c r="B759" t="s">
        <v>13374</v>
      </c>
      <c r="C759" t="s">
        <v>74</v>
      </c>
      <c r="D759" t="s">
        <v>74</v>
      </c>
      <c r="E759" t="s">
        <v>74</v>
      </c>
      <c r="F759" t="s">
        <v>13375</v>
      </c>
      <c r="G759" t="s">
        <v>74</v>
      </c>
      <c r="H759" t="s">
        <v>74</v>
      </c>
      <c r="I759" t="s">
        <v>13376</v>
      </c>
      <c r="J759" t="s">
        <v>8249</v>
      </c>
      <c r="K759" t="s">
        <v>74</v>
      </c>
      <c r="L759" t="s">
        <v>74</v>
      </c>
      <c r="M759" t="s">
        <v>78</v>
      </c>
      <c r="N759" t="s">
        <v>108</v>
      </c>
      <c r="O759" t="s">
        <v>74</v>
      </c>
      <c r="P759" t="s">
        <v>74</v>
      </c>
      <c r="Q759" t="s">
        <v>74</v>
      </c>
      <c r="R759" t="s">
        <v>74</v>
      </c>
      <c r="S759" t="s">
        <v>74</v>
      </c>
      <c r="T759" t="s">
        <v>13377</v>
      </c>
      <c r="U759" t="s">
        <v>13378</v>
      </c>
      <c r="V759" t="s">
        <v>13379</v>
      </c>
      <c r="W759" t="s">
        <v>13380</v>
      </c>
      <c r="X759" t="s">
        <v>13381</v>
      </c>
      <c r="Y759" t="s">
        <v>13382</v>
      </c>
      <c r="Z759" t="s">
        <v>13383</v>
      </c>
      <c r="AA759" t="s">
        <v>13384</v>
      </c>
      <c r="AB759" t="s">
        <v>74</v>
      </c>
      <c r="AC759" t="s">
        <v>74</v>
      </c>
      <c r="AD759" t="s">
        <v>74</v>
      </c>
      <c r="AE759" t="s">
        <v>74</v>
      </c>
      <c r="AF759" t="s">
        <v>74</v>
      </c>
      <c r="AG759">
        <v>53</v>
      </c>
      <c r="AH759">
        <v>1</v>
      </c>
      <c r="AI759">
        <v>1</v>
      </c>
      <c r="AJ759">
        <v>12</v>
      </c>
      <c r="AK759">
        <v>21</v>
      </c>
      <c r="AL759" t="s">
        <v>8256</v>
      </c>
      <c r="AM759" t="s">
        <v>8257</v>
      </c>
      <c r="AN759" t="s">
        <v>8258</v>
      </c>
      <c r="AO759" t="s">
        <v>8259</v>
      </c>
      <c r="AP759" t="s">
        <v>74</v>
      </c>
      <c r="AQ759" t="s">
        <v>74</v>
      </c>
      <c r="AR759" t="s">
        <v>8260</v>
      </c>
      <c r="AS759" t="s">
        <v>8261</v>
      </c>
      <c r="AT759" t="s">
        <v>74</v>
      </c>
      <c r="AU759">
        <v>2024</v>
      </c>
      <c r="AV759">
        <v>82</v>
      </c>
      <c r="AW759" t="s">
        <v>74</v>
      </c>
      <c r="AX759" t="s">
        <v>74</v>
      </c>
      <c r="AY759" t="s">
        <v>74</v>
      </c>
      <c r="AZ759" t="s">
        <v>74</v>
      </c>
      <c r="BA759" t="s">
        <v>74</v>
      </c>
      <c r="BB759" t="s">
        <v>74</v>
      </c>
      <c r="BC759" t="s">
        <v>74</v>
      </c>
      <c r="BD759" t="s">
        <v>74</v>
      </c>
      <c r="BE759" t="s">
        <v>13385</v>
      </c>
      <c r="BF759" t="str">
        <f>HYPERLINK("http://dx.doi.org/10.4185/RLCS-2024-2258","http://dx.doi.org/10.4185/RLCS-2024-2258")</f>
        <v>http://dx.doi.org/10.4185/RLCS-2024-2258</v>
      </c>
      <c r="BG759" t="s">
        <v>74</v>
      </c>
      <c r="BH759" t="s">
        <v>74</v>
      </c>
      <c r="BI759">
        <v>22</v>
      </c>
      <c r="BJ759" t="s">
        <v>124</v>
      </c>
      <c r="BK759" t="s">
        <v>125</v>
      </c>
      <c r="BL759" t="s">
        <v>124</v>
      </c>
      <c r="BM759" t="s">
        <v>13386</v>
      </c>
      <c r="BN759" t="s">
        <v>74</v>
      </c>
      <c r="BO759" t="s">
        <v>552</v>
      </c>
      <c r="BP759" t="s">
        <v>74</v>
      </c>
      <c r="BQ759" t="s">
        <v>74</v>
      </c>
      <c r="BR759" t="s">
        <v>102</v>
      </c>
      <c r="BS759" t="s">
        <v>13387</v>
      </c>
      <c r="BT759" t="str">
        <f>HYPERLINK("https%3A%2F%2Fwww.webofscience.com%2Fwos%2Fwoscc%2Ffull-record%2FWOS:001167856600001","View Full Record in Web of Science")</f>
        <v>View Full Record in Web of Science</v>
      </c>
    </row>
    <row r="760" spans="1:72" x14ac:dyDescent="0.35">
      <c r="A760" t="s">
        <v>72</v>
      </c>
      <c r="B760" t="s">
        <v>9246</v>
      </c>
      <c r="C760" t="s">
        <v>74</v>
      </c>
      <c r="D760" t="s">
        <v>74</v>
      </c>
      <c r="E760" t="s">
        <v>74</v>
      </c>
      <c r="F760" t="s">
        <v>9247</v>
      </c>
      <c r="G760" t="s">
        <v>74</v>
      </c>
      <c r="H760" t="s">
        <v>74</v>
      </c>
      <c r="I760" t="s">
        <v>13388</v>
      </c>
      <c r="J760" t="s">
        <v>9249</v>
      </c>
      <c r="K760" t="s">
        <v>74</v>
      </c>
      <c r="L760" t="s">
        <v>74</v>
      </c>
      <c r="M760" t="s">
        <v>78</v>
      </c>
      <c r="N760" t="s">
        <v>52</v>
      </c>
      <c r="O760" t="s">
        <v>12674</v>
      </c>
      <c r="P760" t="s">
        <v>12675</v>
      </c>
      <c r="Q760" t="s">
        <v>12676</v>
      </c>
      <c r="R760" t="s">
        <v>12677</v>
      </c>
      <c r="S760" t="s">
        <v>74</v>
      </c>
      <c r="T760" t="s">
        <v>74</v>
      </c>
      <c r="U760" t="s">
        <v>74</v>
      </c>
      <c r="V760" t="s">
        <v>74</v>
      </c>
      <c r="W760" t="s">
        <v>13389</v>
      </c>
      <c r="X760" t="s">
        <v>74</v>
      </c>
      <c r="Y760" t="s">
        <v>74</v>
      </c>
      <c r="Z760" t="s">
        <v>9255</v>
      </c>
      <c r="AA760" t="s">
        <v>74</v>
      </c>
      <c r="AB760" t="s">
        <v>74</v>
      </c>
      <c r="AC760" t="s">
        <v>74</v>
      </c>
      <c r="AD760" t="s">
        <v>74</v>
      </c>
      <c r="AE760" t="s">
        <v>74</v>
      </c>
      <c r="AF760" t="s">
        <v>74</v>
      </c>
      <c r="AG760">
        <v>0</v>
      </c>
      <c r="AH760">
        <v>0</v>
      </c>
      <c r="AI760">
        <v>0</v>
      </c>
      <c r="AJ760">
        <v>1</v>
      </c>
      <c r="AK760">
        <v>3</v>
      </c>
      <c r="AL760" t="s">
        <v>1965</v>
      </c>
      <c r="AM760" t="s">
        <v>666</v>
      </c>
      <c r="AN760" t="s">
        <v>1966</v>
      </c>
      <c r="AO760" t="s">
        <v>9256</v>
      </c>
      <c r="AP760" t="s">
        <v>9257</v>
      </c>
      <c r="AQ760" t="s">
        <v>74</v>
      </c>
      <c r="AR760" t="s">
        <v>9258</v>
      </c>
      <c r="AS760" t="s">
        <v>9259</v>
      </c>
      <c r="AT760" t="s">
        <v>594</v>
      </c>
      <c r="AU760">
        <v>2022</v>
      </c>
      <c r="AV760">
        <v>61</v>
      </c>
      <c r="AW760">
        <v>10</v>
      </c>
      <c r="AX760" t="s">
        <v>74</v>
      </c>
      <c r="AY760" t="s">
        <v>4946</v>
      </c>
      <c r="AZ760" t="s">
        <v>74</v>
      </c>
      <c r="BA760">
        <v>4.8</v>
      </c>
      <c r="BB760" t="s">
        <v>13390</v>
      </c>
      <c r="BC760" t="s">
        <v>13391</v>
      </c>
      <c r="BD760" t="s">
        <v>74</v>
      </c>
      <c r="BE760" t="s">
        <v>13392</v>
      </c>
      <c r="BF760" t="str">
        <f>HYPERLINK("http://dx.doi.org/10.1016/j.jaac.2022.07.521","http://dx.doi.org/10.1016/j.jaac.2022.07.521")</f>
        <v>http://dx.doi.org/10.1016/j.jaac.2022.07.521</v>
      </c>
      <c r="BG760" t="s">
        <v>74</v>
      </c>
      <c r="BH760" t="s">
        <v>2034</v>
      </c>
      <c r="BI760">
        <v>2</v>
      </c>
      <c r="BJ760" t="s">
        <v>5098</v>
      </c>
      <c r="BK760" t="s">
        <v>3030</v>
      </c>
      <c r="BL760" t="s">
        <v>5099</v>
      </c>
      <c r="BM760" t="s">
        <v>12686</v>
      </c>
      <c r="BN760" t="s">
        <v>74</v>
      </c>
      <c r="BO760" t="s">
        <v>74</v>
      </c>
      <c r="BP760" t="s">
        <v>74</v>
      </c>
      <c r="BQ760" t="s">
        <v>74</v>
      </c>
      <c r="BR760" t="s">
        <v>102</v>
      </c>
      <c r="BS760" t="s">
        <v>13393</v>
      </c>
      <c r="BT760" t="str">
        <f>HYPERLINK("https%3A%2F%2Fwww.webofscience.com%2Fwos%2Fwoscc%2Ffull-record%2FWOS:000873567900445","View Full Record in Web of Science")</f>
        <v>View Full Record in Web of Science</v>
      </c>
    </row>
    <row r="761" spans="1:72" x14ac:dyDescent="0.35">
      <c r="A761" t="s">
        <v>72</v>
      </c>
      <c r="B761" t="s">
        <v>13394</v>
      </c>
      <c r="C761" t="s">
        <v>74</v>
      </c>
      <c r="D761" t="s">
        <v>74</v>
      </c>
      <c r="E761" t="s">
        <v>74</v>
      </c>
      <c r="F761" t="s">
        <v>13395</v>
      </c>
      <c r="G761" t="s">
        <v>74</v>
      </c>
      <c r="H761" t="s">
        <v>74</v>
      </c>
      <c r="I761" t="s">
        <v>13396</v>
      </c>
      <c r="J761" t="s">
        <v>13397</v>
      </c>
      <c r="K761" t="s">
        <v>74</v>
      </c>
      <c r="L761" t="s">
        <v>74</v>
      </c>
      <c r="M761" t="s">
        <v>78</v>
      </c>
      <c r="N761" t="s">
        <v>1328</v>
      </c>
      <c r="O761" t="s">
        <v>74</v>
      </c>
      <c r="P761" t="s">
        <v>74</v>
      </c>
      <c r="Q761" t="s">
        <v>74</v>
      </c>
      <c r="R761" t="s">
        <v>74</v>
      </c>
      <c r="S761" t="s">
        <v>74</v>
      </c>
      <c r="T761" t="s">
        <v>74</v>
      </c>
      <c r="U761" t="s">
        <v>74</v>
      </c>
      <c r="V761" t="s">
        <v>74</v>
      </c>
      <c r="W761" t="s">
        <v>13398</v>
      </c>
      <c r="X761" t="s">
        <v>13399</v>
      </c>
      <c r="Y761" t="s">
        <v>13400</v>
      </c>
      <c r="Z761" t="s">
        <v>13401</v>
      </c>
      <c r="AA761" t="s">
        <v>13402</v>
      </c>
      <c r="AB761" t="s">
        <v>13403</v>
      </c>
      <c r="AC761" t="s">
        <v>74</v>
      </c>
      <c r="AD761" t="s">
        <v>74</v>
      </c>
      <c r="AE761" t="s">
        <v>74</v>
      </c>
      <c r="AF761" t="s">
        <v>74</v>
      </c>
      <c r="AG761">
        <v>9</v>
      </c>
      <c r="AH761">
        <v>0</v>
      </c>
      <c r="AI761">
        <v>0</v>
      </c>
      <c r="AJ761">
        <v>0</v>
      </c>
      <c r="AK761">
        <v>0</v>
      </c>
      <c r="AL761" t="s">
        <v>8334</v>
      </c>
      <c r="AM761" t="s">
        <v>291</v>
      </c>
      <c r="AN761" t="s">
        <v>8335</v>
      </c>
      <c r="AO761" t="s">
        <v>13404</v>
      </c>
      <c r="AP761" t="s">
        <v>13405</v>
      </c>
      <c r="AQ761" t="s">
        <v>74</v>
      </c>
      <c r="AR761" t="s">
        <v>13406</v>
      </c>
      <c r="AS761" t="s">
        <v>13407</v>
      </c>
      <c r="AT761" t="s">
        <v>12973</v>
      </c>
      <c r="AU761">
        <v>2024</v>
      </c>
      <c r="AV761">
        <v>100</v>
      </c>
      <c r="AW761">
        <v>1188</v>
      </c>
      <c r="AX761" t="s">
        <v>74</v>
      </c>
      <c r="AY761" t="s">
        <v>74</v>
      </c>
      <c r="AZ761" t="s">
        <v>74</v>
      </c>
      <c r="BA761" t="s">
        <v>74</v>
      </c>
      <c r="BB761">
        <v>776</v>
      </c>
      <c r="BC761">
        <v>777</v>
      </c>
      <c r="BD761" t="s">
        <v>74</v>
      </c>
      <c r="BE761" t="s">
        <v>13408</v>
      </c>
      <c r="BF761" t="str">
        <f>HYPERLINK("http://dx.doi.org/10.1093/postmj/qgae044","http://dx.doi.org/10.1093/postmj/qgae044")</f>
        <v>http://dx.doi.org/10.1093/postmj/qgae044</v>
      </c>
      <c r="BG761" t="s">
        <v>74</v>
      </c>
      <c r="BH761" t="s">
        <v>2410</v>
      </c>
      <c r="BI761">
        <v>2</v>
      </c>
      <c r="BJ761" t="s">
        <v>811</v>
      </c>
      <c r="BK761" t="s">
        <v>209</v>
      </c>
      <c r="BL761" t="s">
        <v>812</v>
      </c>
      <c r="BM761" t="s">
        <v>13409</v>
      </c>
      <c r="BN761">
        <v>38588583</v>
      </c>
      <c r="BO761" t="s">
        <v>74</v>
      </c>
      <c r="BP761" t="s">
        <v>74</v>
      </c>
      <c r="BQ761" t="s">
        <v>74</v>
      </c>
      <c r="BR761" t="s">
        <v>102</v>
      </c>
      <c r="BS761" t="s">
        <v>13410</v>
      </c>
      <c r="BT761" t="str">
        <f>HYPERLINK("https%3A%2F%2Fwww.webofscience.com%2Fwos%2Fwoscc%2Ffull-record%2FWOS:001198349900001","View Full Record in Web of Science")</f>
        <v>View Full Record in Web of Science</v>
      </c>
    </row>
    <row r="762" spans="1:72" x14ac:dyDescent="0.35">
      <c r="A762" t="s">
        <v>72</v>
      </c>
      <c r="B762" t="s">
        <v>4686</v>
      </c>
      <c r="C762" t="s">
        <v>74</v>
      </c>
      <c r="D762" t="s">
        <v>74</v>
      </c>
      <c r="E762" t="s">
        <v>74</v>
      </c>
      <c r="F762" t="s">
        <v>4687</v>
      </c>
      <c r="G762" t="s">
        <v>74</v>
      </c>
      <c r="H762" t="s">
        <v>74</v>
      </c>
      <c r="I762" t="s">
        <v>13411</v>
      </c>
      <c r="J762" t="s">
        <v>216</v>
      </c>
      <c r="K762" t="s">
        <v>74</v>
      </c>
      <c r="L762" t="s">
        <v>74</v>
      </c>
      <c r="M762" t="s">
        <v>78</v>
      </c>
      <c r="N762" t="s">
        <v>108</v>
      </c>
      <c r="O762" t="s">
        <v>74</v>
      </c>
      <c r="P762" t="s">
        <v>74</v>
      </c>
      <c r="Q762" t="s">
        <v>74</v>
      </c>
      <c r="R762" t="s">
        <v>74</v>
      </c>
      <c r="S762" t="s">
        <v>74</v>
      </c>
      <c r="T762" t="s">
        <v>13412</v>
      </c>
      <c r="U762" t="s">
        <v>74</v>
      </c>
      <c r="V762" t="s">
        <v>13413</v>
      </c>
      <c r="W762" t="s">
        <v>13414</v>
      </c>
      <c r="X762" t="s">
        <v>13415</v>
      </c>
      <c r="Y762" t="s">
        <v>13416</v>
      </c>
      <c r="Z762" t="s">
        <v>4695</v>
      </c>
      <c r="AA762" t="s">
        <v>4696</v>
      </c>
      <c r="AB762" t="s">
        <v>74</v>
      </c>
      <c r="AC762" t="s">
        <v>74</v>
      </c>
      <c r="AD762" t="s">
        <v>74</v>
      </c>
      <c r="AE762" t="s">
        <v>74</v>
      </c>
      <c r="AF762" t="s">
        <v>74</v>
      </c>
      <c r="AG762">
        <v>48</v>
      </c>
      <c r="AH762">
        <v>0</v>
      </c>
      <c r="AI762">
        <v>0</v>
      </c>
      <c r="AJ762">
        <v>5</v>
      </c>
      <c r="AK762">
        <v>10</v>
      </c>
      <c r="AL762" t="s">
        <v>226</v>
      </c>
      <c r="AM762" t="s">
        <v>227</v>
      </c>
      <c r="AN762" t="s">
        <v>228</v>
      </c>
      <c r="AO762" t="s">
        <v>229</v>
      </c>
      <c r="AP762" t="s">
        <v>74</v>
      </c>
      <c r="AQ762" t="s">
        <v>74</v>
      </c>
      <c r="AR762" t="s">
        <v>230</v>
      </c>
      <c r="AS762" t="s">
        <v>231</v>
      </c>
      <c r="AT762" t="s">
        <v>594</v>
      </c>
      <c r="AU762">
        <v>2023</v>
      </c>
      <c r="AV762">
        <v>9</v>
      </c>
      <c r="AW762">
        <v>4</v>
      </c>
      <c r="AX762" t="s">
        <v>74</v>
      </c>
      <c r="AY762" t="s">
        <v>74</v>
      </c>
      <c r="AZ762" t="s">
        <v>74</v>
      </c>
      <c r="BA762" t="s">
        <v>74</v>
      </c>
      <c r="BB762" t="s">
        <v>74</v>
      </c>
      <c r="BC762" t="s">
        <v>74</v>
      </c>
      <c r="BD762">
        <v>2.0563051231213544E+16</v>
      </c>
      <c r="BE762" t="s">
        <v>13417</v>
      </c>
      <c r="BF762" t="str">
        <f>HYPERLINK("http://dx.doi.org/10.1177/20563051231213542","http://dx.doi.org/10.1177/20563051231213542")</f>
        <v>http://dx.doi.org/10.1177/20563051231213542</v>
      </c>
      <c r="BG762" t="s">
        <v>74</v>
      </c>
      <c r="BH762" t="s">
        <v>74</v>
      </c>
      <c r="BI762">
        <v>10</v>
      </c>
      <c r="BJ762" t="s">
        <v>124</v>
      </c>
      <c r="BK762" t="s">
        <v>99</v>
      </c>
      <c r="BL762" t="s">
        <v>124</v>
      </c>
      <c r="BM762" t="s">
        <v>13418</v>
      </c>
      <c r="BN762" t="s">
        <v>74</v>
      </c>
      <c r="BO762" t="s">
        <v>394</v>
      </c>
      <c r="BP762" t="s">
        <v>74</v>
      </c>
      <c r="BQ762" t="s">
        <v>74</v>
      </c>
      <c r="BR762" t="s">
        <v>102</v>
      </c>
      <c r="BS762" t="s">
        <v>13419</v>
      </c>
      <c r="BT762" t="str">
        <f>HYPERLINK("https%3A%2F%2Fwww.webofscience.com%2Fwos%2Fwoscc%2Ffull-record%2FWOS:001110072200001","View Full Record in Web of Science")</f>
        <v>View Full Record in Web of Science</v>
      </c>
    </row>
    <row r="763" spans="1:72" x14ac:dyDescent="0.35">
      <c r="A763" t="s">
        <v>72</v>
      </c>
      <c r="B763" t="s">
        <v>13420</v>
      </c>
      <c r="C763" t="s">
        <v>74</v>
      </c>
      <c r="D763" t="s">
        <v>74</v>
      </c>
      <c r="E763" t="s">
        <v>74</v>
      </c>
      <c r="F763" t="s">
        <v>13421</v>
      </c>
      <c r="G763" t="s">
        <v>74</v>
      </c>
      <c r="H763" t="s">
        <v>74</v>
      </c>
      <c r="I763" t="s">
        <v>13422</v>
      </c>
      <c r="J763" t="s">
        <v>10734</v>
      </c>
      <c r="K763" t="s">
        <v>74</v>
      </c>
      <c r="L763" t="s">
        <v>74</v>
      </c>
      <c r="M763" t="s">
        <v>78</v>
      </c>
      <c r="N763" t="s">
        <v>52</v>
      </c>
      <c r="O763" t="s">
        <v>74</v>
      </c>
      <c r="P763" t="s">
        <v>74</v>
      </c>
      <c r="Q763" t="s">
        <v>74</v>
      </c>
      <c r="R763" t="s">
        <v>74</v>
      </c>
      <c r="S763" t="s">
        <v>74</v>
      </c>
      <c r="T763" t="s">
        <v>74</v>
      </c>
      <c r="U763" t="s">
        <v>74</v>
      </c>
      <c r="V763" t="s">
        <v>74</v>
      </c>
      <c r="W763" t="s">
        <v>13423</v>
      </c>
      <c r="X763" t="s">
        <v>12916</v>
      </c>
      <c r="Y763" t="s">
        <v>74</v>
      </c>
      <c r="Z763" t="s">
        <v>74</v>
      </c>
      <c r="AA763" t="s">
        <v>74</v>
      </c>
      <c r="AB763" t="s">
        <v>74</v>
      </c>
      <c r="AC763" t="s">
        <v>74</v>
      </c>
      <c r="AD763" t="s">
        <v>74</v>
      </c>
      <c r="AE763" t="s">
        <v>74</v>
      </c>
      <c r="AF763" t="s">
        <v>74</v>
      </c>
      <c r="AG763">
        <v>0</v>
      </c>
      <c r="AH763">
        <v>1</v>
      </c>
      <c r="AI763">
        <v>1</v>
      </c>
      <c r="AJ763">
        <v>0</v>
      </c>
      <c r="AK763">
        <v>1</v>
      </c>
      <c r="AL763" t="s">
        <v>8334</v>
      </c>
      <c r="AM763" t="s">
        <v>291</v>
      </c>
      <c r="AN763" t="s">
        <v>8335</v>
      </c>
      <c r="AO763" t="s">
        <v>10737</v>
      </c>
      <c r="AP763" t="s">
        <v>10738</v>
      </c>
      <c r="AQ763" t="s">
        <v>74</v>
      </c>
      <c r="AR763" t="s">
        <v>10739</v>
      </c>
      <c r="AS763" t="s">
        <v>10740</v>
      </c>
      <c r="AT763" t="s">
        <v>10741</v>
      </c>
      <c r="AU763">
        <v>2023</v>
      </c>
      <c r="AV763">
        <v>20</v>
      </c>
      <c r="AW763" t="s">
        <v>74</v>
      </c>
      <c r="AX763" t="s">
        <v>74</v>
      </c>
      <c r="AY763">
        <v>1</v>
      </c>
      <c r="AZ763" t="s">
        <v>74</v>
      </c>
      <c r="BA763">
        <v>324</v>
      </c>
      <c r="BB763" t="s">
        <v>74</v>
      </c>
      <c r="BC763" t="s">
        <v>74</v>
      </c>
      <c r="BD763" t="s">
        <v>13424</v>
      </c>
      <c r="BE763" t="s">
        <v>74</v>
      </c>
      <c r="BF763" t="s">
        <v>74</v>
      </c>
      <c r="BG763" t="s">
        <v>74</v>
      </c>
      <c r="BH763" t="s">
        <v>74</v>
      </c>
      <c r="BI763">
        <v>2</v>
      </c>
      <c r="BJ763" t="s">
        <v>1908</v>
      </c>
      <c r="BK763" t="s">
        <v>209</v>
      </c>
      <c r="BL763" t="s">
        <v>1908</v>
      </c>
      <c r="BM763" t="s">
        <v>10743</v>
      </c>
      <c r="BN763" t="s">
        <v>74</v>
      </c>
      <c r="BO763" t="s">
        <v>74</v>
      </c>
      <c r="BP763" t="s">
        <v>74</v>
      </c>
      <c r="BQ763" t="s">
        <v>74</v>
      </c>
      <c r="BR763" t="s">
        <v>102</v>
      </c>
      <c r="BS763" t="s">
        <v>13425</v>
      </c>
      <c r="BT763" t="str">
        <f>HYPERLINK("https%3A%2F%2Fwww.webofscience.com%2Fwos%2Fwoscc%2Ffull-record%2FWOS:001052285000304","View Full Record in Web of Science")</f>
        <v>View Full Record in Web of Science</v>
      </c>
    </row>
    <row r="764" spans="1:72" x14ac:dyDescent="0.35">
      <c r="A764" t="s">
        <v>72</v>
      </c>
      <c r="B764" t="s">
        <v>13426</v>
      </c>
      <c r="C764" t="s">
        <v>74</v>
      </c>
      <c r="D764" t="s">
        <v>74</v>
      </c>
      <c r="E764" t="s">
        <v>74</v>
      </c>
      <c r="F764" t="s">
        <v>13427</v>
      </c>
      <c r="G764" t="s">
        <v>74</v>
      </c>
      <c r="H764" t="s">
        <v>74</v>
      </c>
      <c r="I764" t="s">
        <v>13428</v>
      </c>
      <c r="J764" t="s">
        <v>12011</v>
      </c>
      <c r="K764" t="s">
        <v>74</v>
      </c>
      <c r="L764" t="s">
        <v>74</v>
      </c>
      <c r="M764" t="s">
        <v>78</v>
      </c>
      <c r="N764" t="s">
        <v>1328</v>
      </c>
      <c r="O764" t="s">
        <v>74</v>
      </c>
      <c r="P764" t="s">
        <v>74</v>
      </c>
      <c r="Q764" t="s">
        <v>74</v>
      </c>
      <c r="R764" t="s">
        <v>74</v>
      </c>
      <c r="S764" t="s">
        <v>74</v>
      </c>
      <c r="T764" t="s">
        <v>74</v>
      </c>
      <c r="U764" t="s">
        <v>13429</v>
      </c>
      <c r="V764" t="s">
        <v>74</v>
      </c>
      <c r="W764" t="s">
        <v>13430</v>
      </c>
      <c r="X764" t="s">
        <v>13431</v>
      </c>
      <c r="Y764" t="s">
        <v>12014</v>
      </c>
      <c r="Z764" t="s">
        <v>13432</v>
      </c>
      <c r="AA764" t="s">
        <v>74</v>
      </c>
      <c r="AB764" t="s">
        <v>74</v>
      </c>
      <c r="AC764" t="s">
        <v>74</v>
      </c>
      <c r="AD764" t="s">
        <v>74</v>
      </c>
      <c r="AE764" t="s">
        <v>74</v>
      </c>
      <c r="AF764" t="s">
        <v>74</v>
      </c>
      <c r="AG764">
        <v>5</v>
      </c>
      <c r="AH764">
        <v>8</v>
      </c>
      <c r="AI764">
        <v>8</v>
      </c>
      <c r="AJ764">
        <v>0</v>
      </c>
      <c r="AK764">
        <v>1</v>
      </c>
      <c r="AL764" t="s">
        <v>357</v>
      </c>
      <c r="AM764" t="s">
        <v>358</v>
      </c>
      <c r="AN764" t="s">
        <v>359</v>
      </c>
      <c r="AO764" t="s">
        <v>12016</v>
      </c>
      <c r="AP764" t="s">
        <v>12017</v>
      </c>
      <c r="AQ764" t="s">
        <v>74</v>
      </c>
      <c r="AR764" t="s">
        <v>12011</v>
      </c>
      <c r="AS764" t="s">
        <v>12018</v>
      </c>
      <c r="AT764" t="s">
        <v>2032</v>
      </c>
      <c r="AU764">
        <v>2022</v>
      </c>
      <c r="AV764">
        <v>33</v>
      </c>
      <c r="AW764" t="s">
        <v>13433</v>
      </c>
      <c r="AX764" t="s">
        <v>74</v>
      </c>
      <c r="AY764">
        <v>6</v>
      </c>
      <c r="AZ764" t="s">
        <v>74</v>
      </c>
      <c r="BA764" t="s">
        <v>74</v>
      </c>
      <c r="BB764" t="s">
        <v>13434</v>
      </c>
      <c r="BC764" t="s">
        <v>13435</v>
      </c>
      <c r="BD764" t="s">
        <v>74</v>
      </c>
      <c r="BE764" t="s">
        <v>13436</v>
      </c>
      <c r="BF764" t="str">
        <f>HYPERLINK("http://dx.doi.org/10.1097/DER.0000000000000830","http://dx.doi.org/10.1097/DER.0000000000000830")</f>
        <v>http://dx.doi.org/10.1097/DER.0000000000000830</v>
      </c>
      <c r="BG764" t="s">
        <v>74</v>
      </c>
      <c r="BH764" t="s">
        <v>74</v>
      </c>
      <c r="BI764">
        <v>2</v>
      </c>
      <c r="BJ764" t="s">
        <v>1341</v>
      </c>
      <c r="BK764" t="s">
        <v>209</v>
      </c>
      <c r="BL764" t="s">
        <v>1341</v>
      </c>
      <c r="BM764" t="s">
        <v>13437</v>
      </c>
      <c r="BN764">
        <v>35089902</v>
      </c>
      <c r="BO764" t="s">
        <v>74</v>
      </c>
      <c r="BP764" t="s">
        <v>74</v>
      </c>
      <c r="BQ764" t="s">
        <v>74</v>
      </c>
      <c r="BR764" t="s">
        <v>102</v>
      </c>
      <c r="BS764" t="s">
        <v>13438</v>
      </c>
      <c r="BT764" t="str">
        <f>HYPERLINK("https%3A%2F%2Fwww.webofscience.com%2Fwos%2Fwoscc%2Ffull-record%2FWOS:000892231500019","View Full Record in Web of Science")</f>
        <v>View Full Record in Web of Science</v>
      </c>
    </row>
    <row r="765" spans="1:72" x14ac:dyDescent="0.35">
      <c r="A765" t="s">
        <v>72</v>
      </c>
      <c r="B765" t="s">
        <v>13439</v>
      </c>
      <c r="C765" t="s">
        <v>74</v>
      </c>
      <c r="D765" t="s">
        <v>74</v>
      </c>
      <c r="E765" t="s">
        <v>74</v>
      </c>
      <c r="F765" t="s">
        <v>13440</v>
      </c>
      <c r="G765" t="s">
        <v>74</v>
      </c>
      <c r="H765" t="s">
        <v>74</v>
      </c>
      <c r="I765" t="s">
        <v>13441</v>
      </c>
      <c r="J765" t="s">
        <v>13442</v>
      </c>
      <c r="K765" t="s">
        <v>74</v>
      </c>
      <c r="L765" t="s">
        <v>74</v>
      </c>
      <c r="M765" t="s">
        <v>78</v>
      </c>
      <c r="N765" t="s">
        <v>79</v>
      </c>
      <c r="O765" t="s">
        <v>74</v>
      </c>
      <c r="P765" t="s">
        <v>74</v>
      </c>
      <c r="Q765" t="s">
        <v>74</v>
      </c>
      <c r="R765" t="s">
        <v>74</v>
      </c>
      <c r="S765" t="s">
        <v>74</v>
      </c>
      <c r="T765" t="s">
        <v>13443</v>
      </c>
      <c r="U765" t="s">
        <v>13444</v>
      </c>
      <c r="V765" t="s">
        <v>13445</v>
      </c>
      <c r="W765" t="s">
        <v>13446</v>
      </c>
      <c r="X765" t="s">
        <v>13447</v>
      </c>
      <c r="Y765" t="s">
        <v>13448</v>
      </c>
      <c r="Z765" t="s">
        <v>13449</v>
      </c>
      <c r="AA765" t="s">
        <v>13450</v>
      </c>
      <c r="AB765" t="s">
        <v>13451</v>
      </c>
      <c r="AC765" t="s">
        <v>74</v>
      </c>
      <c r="AD765" t="s">
        <v>74</v>
      </c>
      <c r="AE765" t="s">
        <v>74</v>
      </c>
      <c r="AF765" t="s">
        <v>74</v>
      </c>
      <c r="AG765">
        <v>80</v>
      </c>
      <c r="AH765">
        <v>0</v>
      </c>
      <c r="AI765">
        <v>0</v>
      </c>
      <c r="AJ765">
        <v>13</v>
      </c>
      <c r="AK765">
        <v>19</v>
      </c>
      <c r="AL765" t="s">
        <v>88</v>
      </c>
      <c r="AM765" t="s">
        <v>89</v>
      </c>
      <c r="AN765" t="s">
        <v>90</v>
      </c>
      <c r="AO765" t="s">
        <v>13452</v>
      </c>
      <c r="AP765" t="s">
        <v>13453</v>
      </c>
      <c r="AQ765" t="s">
        <v>74</v>
      </c>
      <c r="AR765" t="s">
        <v>13454</v>
      </c>
      <c r="AS765" t="s">
        <v>13455</v>
      </c>
      <c r="AT765" t="s">
        <v>13456</v>
      </c>
      <c r="AU765">
        <v>2024</v>
      </c>
      <c r="AV765" t="s">
        <v>74</v>
      </c>
      <c r="AW765" t="s">
        <v>74</v>
      </c>
      <c r="AX765" t="s">
        <v>74</v>
      </c>
      <c r="AY765" t="s">
        <v>74</v>
      </c>
      <c r="AZ765" t="s">
        <v>74</v>
      </c>
      <c r="BA765" t="s">
        <v>74</v>
      </c>
      <c r="BB765" t="s">
        <v>74</v>
      </c>
      <c r="BC765" t="s">
        <v>74</v>
      </c>
      <c r="BD765" t="s">
        <v>74</v>
      </c>
      <c r="BE765" t="s">
        <v>13457</v>
      </c>
      <c r="BF765" t="str">
        <f>HYPERLINK("http://dx.doi.org/10.1080/23750472.2024.2327506","http://dx.doi.org/10.1080/23750472.2024.2327506")</f>
        <v>http://dx.doi.org/10.1080/23750472.2024.2327506</v>
      </c>
      <c r="BG765" t="s">
        <v>74</v>
      </c>
      <c r="BH765" t="s">
        <v>123</v>
      </c>
      <c r="BI765">
        <v>15</v>
      </c>
      <c r="BJ765" t="s">
        <v>1930</v>
      </c>
      <c r="BK765" t="s">
        <v>125</v>
      </c>
      <c r="BL765" t="s">
        <v>480</v>
      </c>
      <c r="BM765" t="s">
        <v>13458</v>
      </c>
      <c r="BN765" t="s">
        <v>74</v>
      </c>
      <c r="BO765" t="s">
        <v>74</v>
      </c>
      <c r="BP765" t="s">
        <v>74</v>
      </c>
      <c r="BQ765" t="s">
        <v>74</v>
      </c>
      <c r="BR765" t="s">
        <v>102</v>
      </c>
      <c r="BS765" t="s">
        <v>13459</v>
      </c>
      <c r="BT765" t="str">
        <f>HYPERLINK("https%3A%2F%2Fwww.webofscience.com%2Fwos%2Fwoscc%2Ffull-record%2FWOS:001180840400001","View Full Record in Web of Science")</f>
        <v>View Full Record in Web of Science</v>
      </c>
    </row>
    <row r="766" spans="1:72" x14ac:dyDescent="0.35">
      <c r="A766" t="s">
        <v>72</v>
      </c>
      <c r="B766" t="s">
        <v>13460</v>
      </c>
      <c r="C766" t="s">
        <v>74</v>
      </c>
      <c r="D766" t="s">
        <v>74</v>
      </c>
      <c r="E766" t="s">
        <v>74</v>
      </c>
      <c r="F766" t="s">
        <v>13461</v>
      </c>
      <c r="G766" t="s">
        <v>74</v>
      </c>
      <c r="H766" t="s">
        <v>74</v>
      </c>
      <c r="I766" t="s">
        <v>13462</v>
      </c>
      <c r="J766" t="s">
        <v>3502</v>
      </c>
      <c r="K766" t="s">
        <v>74</v>
      </c>
      <c r="L766" t="s">
        <v>74</v>
      </c>
      <c r="M766" t="s">
        <v>3503</v>
      </c>
      <c r="N766" t="s">
        <v>108</v>
      </c>
      <c r="O766" t="s">
        <v>74</v>
      </c>
      <c r="P766" t="s">
        <v>74</v>
      </c>
      <c r="Q766" t="s">
        <v>74</v>
      </c>
      <c r="R766" t="s">
        <v>74</v>
      </c>
      <c r="S766" t="s">
        <v>74</v>
      </c>
      <c r="T766" t="s">
        <v>13463</v>
      </c>
      <c r="U766" t="s">
        <v>13464</v>
      </c>
      <c r="V766" t="s">
        <v>13465</v>
      </c>
      <c r="W766" t="s">
        <v>13466</v>
      </c>
      <c r="X766" t="s">
        <v>9400</v>
      </c>
      <c r="Y766" t="s">
        <v>13467</v>
      </c>
      <c r="Z766" t="s">
        <v>13468</v>
      </c>
      <c r="AA766" t="s">
        <v>74</v>
      </c>
      <c r="AB766" t="s">
        <v>74</v>
      </c>
      <c r="AC766" t="s">
        <v>74</v>
      </c>
      <c r="AD766" t="s">
        <v>74</v>
      </c>
      <c r="AE766" t="s">
        <v>74</v>
      </c>
      <c r="AF766" t="s">
        <v>74</v>
      </c>
      <c r="AG766">
        <v>135</v>
      </c>
      <c r="AH766">
        <v>1</v>
      </c>
      <c r="AI766">
        <v>1</v>
      </c>
      <c r="AJ766">
        <v>9</v>
      </c>
      <c r="AK766">
        <v>9</v>
      </c>
      <c r="AL766" t="s">
        <v>3511</v>
      </c>
      <c r="AM766" t="s">
        <v>3512</v>
      </c>
      <c r="AN766" t="s">
        <v>3513</v>
      </c>
      <c r="AO766" t="s">
        <v>3514</v>
      </c>
      <c r="AP766" t="s">
        <v>74</v>
      </c>
      <c r="AQ766" t="s">
        <v>74</v>
      </c>
      <c r="AR766" t="s">
        <v>3515</v>
      </c>
      <c r="AS766" t="s">
        <v>3516</v>
      </c>
      <c r="AT766" t="s">
        <v>3517</v>
      </c>
      <c r="AU766">
        <v>2024</v>
      </c>
      <c r="AV766">
        <v>15</v>
      </c>
      <c r="AW766">
        <v>1</v>
      </c>
      <c r="AX766" t="s">
        <v>74</v>
      </c>
      <c r="AY766" t="s">
        <v>74</v>
      </c>
      <c r="AZ766" t="s">
        <v>456</v>
      </c>
      <c r="BA766" t="s">
        <v>74</v>
      </c>
      <c r="BB766">
        <v>97</v>
      </c>
      <c r="BC766">
        <v>144</v>
      </c>
      <c r="BD766" t="s">
        <v>74</v>
      </c>
      <c r="BE766" t="s">
        <v>13469</v>
      </c>
      <c r="BF766" t="str">
        <f>HYPERLINK("http://dx.doi.org/10.14198/MEDCOM.25419","http://dx.doi.org/10.14198/MEDCOM.25419")</f>
        <v>http://dx.doi.org/10.14198/MEDCOM.25419</v>
      </c>
      <c r="BG766" t="s">
        <v>74</v>
      </c>
      <c r="BH766" t="s">
        <v>74</v>
      </c>
      <c r="BI766">
        <v>48</v>
      </c>
      <c r="BJ766" t="s">
        <v>124</v>
      </c>
      <c r="BK766" t="s">
        <v>125</v>
      </c>
      <c r="BL766" t="s">
        <v>124</v>
      </c>
      <c r="BM766" t="s">
        <v>3519</v>
      </c>
      <c r="BN766" t="s">
        <v>74</v>
      </c>
      <c r="BO766" t="s">
        <v>394</v>
      </c>
      <c r="BP766" t="s">
        <v>74</v>
      </c>
      <c r="BQ766" t="s">
        <v>74</v>
      </c>
      <c r="BR766" t="s">
        <v>102</v>
      </c>
      <c r="BS766" t="s">
        <v>13470</v>
      </c>
      <c r="BT766" t="str">
        <f>HYPERLINK("https%3A%2F%2Fwww.webofscience.com%2Fwos%2Fwoscc%2Ffull-record%2FWOS:001248434900007","View Full Record in Web of Science")</f>
        <v>View Full Record in Web of Science</v>
      </c>
    </row>
    <row r="767" spans="1:72" x14ac:dyDescent="0.35">
      <c r="A767" t="s">
        <v>72</v>
      </c>
      <c r="B767" t="s">
        <v>13471</v>
      </c>
      <c r="C767" t="s">
        <v>74</v>
      </c>
      <c r="D767" t="s">
        <v>74</v>
      </c>
      <c r="E767" t="s">
        <v>74</v>
      </c>
      <c r="F767" t="s">
        <v>13472</v>
      </c>
      <c r="G767" t="s">
        <v>74</v>
      </c>
      <c r="H767" t="s">
        <v>74</v>
      </c>
      <c r="I767" t="s">
        <v>13473</v>
      </c>
      <c r="J767" t="s">
        <v>5221</v>
      </c>
      <c r="K767" t="s">
        <v>74</v>
      </c>
      <c r="L767" t="s">
        <v>74</v>
      </c>
      <c r="M767" t="s">
        <v>3503</v>
      </c>
      <c r="N767" t="s">
        <v>108</v>
      </c>
      <c r="O767" t="s">
        <v>74</v>
      </c>
      <c r="P767" t="s">
        <v>74</v>
      </c>
      <c r="Q767" t="s">
        <v>74</v>
      </c>
      <c r="R767" t="s">
        <v>74</v>
      </c>
      <c r="S767" t="s">
        <v>74</v>
      </c>
      <c r="T767" t="s">
        <v>13474</v>
      </c>
      <c r="U767" t="s">
        <v>13475</v>
      </c>
      <c r="V767" t="s">
        <v>13476</v>
      </c>
      <c r="W767" t="s">
        <v>13477</v>
      </c>
      <c r="X767" t="s">
        <v>13478</v>
      </c>
      <c r="Y767" t="s">
        <v>13479</v>
      </c>
      <c r="Z767" t="s">
        <v>13480</v>
      </c>
      <c r="AA767" t="s">
        <v>13481</v>
      </c>
      <c r="AB767" t="s">
        <v>13482</v>
      </c>
      <c r="AC767" t="s">
        <v>74</v>
      </c>
      <c r="AD767" t="s">
        <v>74</v>
      </c>
      <c r="AE767" t="s">
        <v>74</v>
      </c>
      <c r="AF767" t="s">
        <v>74</v>
      </c>
      <c r="AG767">
        <v>97</v>
      </c>
      <c r="AH767">
        <v>6</v>
      </c>
      <c r="AI767">
        <v>7</v>
      </c>
      <c r="AJ767">
        <v>2</v>
      </c>
      <c r="AK767">
        <v>49</v>
      </c>
      <c r="AL767" t="s">
        <v>5231</v>
      </c>
      <c r="AM767" t="s">
        <v>5232</v>
      </c>
      <c r="AN767" t="s">
        <v>5233</v>
      </c>
      <c r="AO767" t="s">
        <v>5234</v>
      </c>
      <c r="AP767" t="s">
        <v>5235</v>
      </c>
      <c r="AQ767" t="s">
        <v>74</v>
      </c>
      <c r="AR767" t="s">
        <v>5236</v>
      </c>
      <c r="AS767" t="s">
        <v>5237</v>
      </c>
      <c r="AT767" t="s">
        <v>6965</v>
      </c>
      <c r="AU767">
        <v>2021</v>
      </c>
      <c r="AV767">
        <v>30</v>
      </c>
      <c r="AW767">
        <v>4</v>
      </c>
      <c r="AX767" t="s">
        <v>74</v>
      </c>
      <c r="AY767" t="s">
        <v>74</v>
      </c>
      <c r="AZ767" t="s">
        <v>74</v>
      </c>
      <c r="BA767" t="s">
        <v>74</v>
      </c>
      <c r="BB767" t="s">
        <v>74</v>
      </c>
      <c r="BC767" t="s">
        <v>74</v>
      </c>
      <c r="BD767" t="s">
        <v>13483</v>
      </c>
      <c r="BE767" t="s">
        <v>13484</v>
      </c>
      <c r="BF767" t="str">
        <f>HYPERLINK("http://dx.doi.org/10.3145/epi.2021.jul.14","http://dx.doi.org/10.3145/epi.2021.jul.14")</f>
        <v>http://dx.doi.org/10.3145/epi.2021.jul.14</v>
      </c>
      <c r="BG767" t="s">
        <v>74</v>
      </c>
      <c r="BH767" t="s">
        <v>74</v>
      </c>
      <c r="BI767">
        <v>17</v>
      </c>
      <c r="BJ767" t="s">
        <v>5240</v>
      </c>
      <c r="BK767" t="s">
        <v>99</v>
      </c>
      <c r="BL767" t="s">
        <v>5240</v>
      </c>
      <c r="BM767" t="s">
        <v>6968</v>
      </c>
      <c r="BN767" t="s">
        <v>74</v>
      </c>
      <c r="BO767" t="s">
        <v>767</v>
      </c>
      <c r="BP767" t="s">
        <v>74</v>
      </c>
      <c r="BQ767" t="s">
        <v>74</v>
      </c>
      <c r="BR767" t="s">
        <v>102</v>
      </c>
      <c r="BS767" t="s">
        <v>13485</v>
      </c>
      <c r="BT767" t="str">
        <f>HYPERLINK("https%3A%2F%2Fwww.webofscience.com%2Fwos%2Fwoscc%2Ffull-record%2FWOS:000691799000012","View Full Record in Web of Science")</f>
        <v>View Full Record in Web of Science</v>
      </c>
    </row>
    <row r="768" spans="1:72" x14ac:dyDescent="0.35">
      <c r="A768" t="s">
        <v>72</v>
      </c>
      <c r="B768" t="s">
        <v>13486</v>
      </c>
      <c r="C768" t="s">
        <v>74</v>
      </c>
      <c r="D768" t="s">
        <v>74</v>
      </c>
      <c r="E768" t="s">
        <v>74</v>
      </c>
      <c r="F768" t="s">
        <v>13487</v>
      </c>
      <c r="G768" t="s">
        <v>74</v>
      </c>
      <c r="H768" t="s">
        <v>74</v>
      </c>
      <c r="I768" t="s">
        <v>13488</v>
      </c>
      <c r="J768" t="s">
        <v>13489</v>
      </c>
      <c r="K768" t="s">
        <v>74</v>
      </c>
      <c r="L768" t="s">
        <v>74</v>
      </c>
      <c r="M768" t="s">
        <v>78</v>
      </c>
      <c r="N768" t="s">
        <v>108</v>
      </c>
      <c r="O768" t="s">
        <v>74</v>
      </c>
      <c r="P768" t="s">
        <v>74</v>
      </c>
      <c r="Q768" t="s">
        <v>74</v>
      </c>
      <c r="R768" t="s">
        <v>74</v>
      </c>
      <c r="S768" t="s">
        <v>74</v>
      </c>
      <c r="T768" t="s">
        <v>13490</v>
      </c>
      <c r="U768" t="s">
        <v>13491</v>
      </c>
      <c r="V768" t="s">
        <v>13492</v>
      </c>
      <c r="W768" t="s">
        <v>13493</v>
      </c>
      <c r="X768" t="s">
        <v>3147</v>
      </c>
      <c r="Y768" t="s">
        <v>13494</v>
      </c>
      <c r="Z768" t="s">
        <v>13495</v>
      </c>
      <c r="AA768" t="s">
        <v>74</v>
      </c>
      <c r="AB768" t="s">
        <v>13496</v>
      </c>
      <c r="AC768" t="s">
        <v>74</v>
      </c>
      <c r="AD768" t="s">
        <v>74</v>
      </c>
      <c r="AE768" t="s">
        <v>74</v>
      </c>
      <c r="AF768" t="s">
        <v>74</v>
      </c>
      <c r="AG768">
        <v>40</v>
      </c>
      <c r="AH768">
        <v>2</v>
      </c>
      <c r="AI768">
        <v>2</v>
      </c>
      <c r="AJ768">
        <v>1</v>
      </c>
      <c r="AK768">
        <v>5</v>
      </c>
      <c r="AL768" t="s">
        <v>13497</v>
      </c>
      <c r="AM768" t="s">
        <v>13498</v>
      </c>
      <c r="AN768" t="s">
        <v>13499</v>
      </c>
      <c r="AO768" t="s">
        <v>13500</v>
      </c>
      <c r="AP768" t="s">
        <v>13501</v>
      </c>
      <c r="AQ768" t="s">
        <v>74</v>
      </c>
      <c r="AR768" t="s">
        <v>13489</v>
      </c>
      <c r="AS768" t="s">
        <v>13502</v>
      </c>
      <c r="AT768" t="s">
        <v>1275</v>
      </c>
      <c r="AU768">
        <v>2023</v>
      </c>
      <c r="AV768">
        <v>20</v>
      </c>
      <c r="AW768">
        <v>4</v>
      </c>
      <c r="AX768" t="s">
        <v>74</v>
      </c>
      <c r="AY768" t="s">
        <v>74</v>
      </c>
      <c r="AZ768" t="s">
        <v>74</v>
      </c>
      <c r="BA768" t="s">
        <v>74</v>
      </c>
      <c r="BB768" t="s">
        <v>74</v>
      </c>
      <c r="BC768" t="s">
        <v>74</v>
      </c>
      <c r="BD768" t="s">
        <v>74</v>
      </c>
      <c r="BE768" t="s">
        <v>13503</v>
      </c>
      <c r="BF768" t="str">
        <f>HYPERLINK("http://dx.doi.org/10.14245/ns.2346700.350","http://dx.doi.org/10.14245/ns.2346700.350")</f>
        <v>http://dx.doi.org/10.14245/ns.2346700.350</v>
      </c>
      <c r="BG768" t="s">
        <v>74</v>
      </c>
      <c r="BH768" t="s">
        <v>74</v>
      </c>
      <c r="BI768">
        <v>10</v>
      </c>
      <c r="BJ768" t="s">
        <v>12882</v>
      </c>
      <c r="BK768" t="s">
        <v>209</v>
      </c>
      <c r="BL768" t="s">
        <v>12883</v>
      </c>
      <c r="BM768" t="s">
        <v>13504</v>
      </c>
      <c r="BN768">
        <v>38171310</v>
      </c>
      <c r="BO768" t="s">
        <v>394</v>
      </c>
      <c r="BP768" t="s">
        <v>74</v>
      </c>
      <c r="BQ768" t="s">
        <v>74</v>
      </c>
      <c r="BR768" t="s">
        <v>102</v>
      </c>
      <c r="BS768" t="s">
        <v>13505</v>
      </c>
      <c r="BT768" t="str">
        <f>HYPERLINK("https%3A%2F%2Fwww.webofscience.com%2Fwos%2Fwoscc%2Ffull-record%2FWOS:001136730100037","View Full Record in Web of Science")</f>
        <v>View Full Record in Web of Science</v>
      </c>
    </row>
    <row r="769" spans="1:72" x14ac:dyDescent="0.35">
      <c r="A769" t="s">
        <v>72</v>
      </c>
      <c r="B769" t="s">
        <v>13506</v>
      </c>
      <c r="C769" t="s">
        <v>74</v>
      </c>
      <c r="D769" t="s">
        <v>74</v>
      </c>
      <c r="E769" t="s">
        <v>74</v>
      </c>
      <c r="F769" t="s">
        <v>13507</v>
      </c>
      <c r="G769" t="s">
        <v>74</v>
      </c>
      <c r="H769" t="s">
        <v>74</v>
      </c>
      <c r="I769" t="s">
        <v>13508</v>
      </c>
      <c r="J769" t="s">
        <v>13509</v>
      </c>
      <c r="K769" t="s">
        <v>74</v>
      </c>
      <c r="L769" t="s">
        <v>74</v>
      </c>
      <c r="M769" t="s">
        <v>78</v>
      </c>
      <c r="N769" t="s">
        <v>79</v>
      </c>
      <c r="O769" t="s">
        <v>74</v>
      </c>
      <c r="P769" t="s">
        <v>74</v>
      </c>
      <c r="Q769" t="s">
        <v>74</v>
      </c>
      <c r="R769" t="s">
        <v>74</v>
      </c>
      <c r="S769" t="s">
        <v>74</v>
      </c>
      <c r="T769" t="s">
        <v>13510</v>
      </c>
      <c r="U769" t="s">
        <v>13511</v>
      </c>
      <c r="V769" t="s">
        <v>13512</v>
      </c>
      <c r="W769" t="s">
        <v>13513</v>
      </c>
      <c r="X769" t="s">
        <v>13514</v>
      </c>
      <c r="Y769" t="s">
        <v>13515</v>
      </c>
      <c r="Z769" t="s">
        <v>13516</v>
      </c>
      <c r="AA769" t="s">
        <v>13517</v>
      </c>
      <c r="AB769" t="s">
        <v>13518</v>
      </c>
      <c r="AC769" t="s">
        <v>74</v>
      </c>
      <c r="AD769" t="s">
        <v>74</v>
      </c>
      <c r="AE769" t="s">
        <v>74</v>
      </c>
      <c r="AF769" t="s">
        <v>74</v>
      </c>
      <c r="AG769">
        <v>54</v>
      </c>
      <c r="AH769">
        <v>4</v>
      </c>
      <c r="AI769">
        <v>4</v>
      </c>
      <c r="AJ769">
        <v>14</v>
      </c>
      <c r="AK769">
        <v>44</v>
      </c>
      <c r="AL769" t="s">
        <v>88</v>
      </c>
      <c r="AM769" t="s">
        <v>89</v>
      </c>
      <c r="AN769" t="s">
        <v>90</v>
      </c>
      <c r="AO769" t="s">
        <v>13519</v>
      </c>
      <c r="AP769" t="s">
        <v>13520</v>
      </c>
      <c r="AQ769" t="s">
        <v>74</v>
      </c>
      <c r="AR769" t="s">
        <v>13521</v>
      </c>
      <c r="AS769" t="s">
        <v>13522</v>
      </c>
      <c r="AT769" t="s">
        <v>13523</v>
      </c>
      <c r="AU769">
        <v>2023</v>
      </c>
      <c r="AV769" t="s">
        <v>74</v>
      </c>
      <c r="AW769" t="s">
        <v>74</v>
      </c>
      <c r="AX769" t="s">
        <v>74</v>
      </c>
      <c r="AY769" t="s">
        <v>74</v>
      </c>
      <c r="AZ769" t="s">
        <v>74</v>
      </c>
      <c r="BA769" t="s">
        <v>74</v>
      </c>
      <c r="BB769" t="s">
        <v>74</v>
      </c>
      <c r="BC769" t="s">
        <v>74</v>
      </c>
      <c r="BD769" t="s">
        <v>74</v>
      </c>
      <c r="BE769" t="s">
        <v>13524</v>
      </c>
      <c r="BF769" t="str">
        <f>HYPERLINK("http://dx.doi.org/10.1080/21670811.2023.2291650","http://dx.doi.org/10.1080/21670811.2023.2291650")</f>
        <v>http://dx.doi.org/10.1080/21670811.2023.2291650</v>
      </c>
      <c r="BG769" t="s">
        <v>74</v>
      </c>
      <c r="BH769" t="s">
        <v>1449</v>
      </c>
      <c r="BI769">
        <v>21</v>
      </c>
      <c r="BJ769" t="s">
        <v>124</v>
      </c>
      <c r="BK769" t="s">
        <v>99</v>
      </c>
      <c r="BL769" t="s">
        <v>124</v>
      </c>
      <c r="BM769" t="s">
        <v>13525</v>
      </c>
      <c r="BN769" t="s">
        <v>74</v>
      </c>
      <c r="BO769" t="s">
        <v>156</v>
      </c>
      <c r="BP769" t="s">
        <v>74</v>
      </c>
      <c r="BQ769" t="s">
        <v>74</v>
      </c>
      <c r="BR769" t="s">
        <v>102</v>
      </c>
      <c r="BS769" t="s">
        <v>13526</v>
      </c>
      <c r="BT769" t="str">
        <f>HYPERLINK("https%3A%2F%2Fwww.webofscience.com%2Fwos%2Fwoscc%2Ffull-record%2FWOS:001124268100001","View Full Record in Web of Science")</f>
        <v>View Full Record in Web of Science</v>
      </c>
    </row>
    <row r="770" spans="1:72" x14ac:dyDescent="0.35">
      <c r="A770" t="s">
        <v>72</v>
      </c>
      <c r="B770" t="s">
        <v>13527</v>
      </c>
      <c r="C770" t="s">
        <v>74</v>
      </c>
      <c r="D770" t="s">
        <v>74</v>
      </c>
      <c r="E770" t="s">
        <v>74</v>
      </c>
      <c r="F770" t="s">
        <v>13528</v>
      </c>
      <c r="G770" t="s">
        <v>74</v>
      </c>
      <c r="H770" t="s">
        <v>74</v>
      </c>
      <c r="I770" t="s">
        <v>13529</v>
      </c>
      <c r="J770" t="s">
        <v>13530</v>
      </c>
      <c r="K770" t="s">
        <v>74</v>
      </c>
      <c r="L770" t="s">
        <v>74</v>
      </c>
      <c r="M770" t="s">
        <v>78</v>
      </c>
      <c r="N770" t="s">
        <v>374</v>
      </c>
      <c r="O770" t="s">
        <v>74</v>
      </c>
      <c r="P770" t="s">
        <v>74</v>
      </c>
      <c r="Q770" t="s">
        <v>74</v>
      </c>
      <c r="R770" t="s">
        <v>74</v>
      </c>
      <c r="S770" t="s">
        <v>74</v>
      </c>
      <c r="T770" t="s">
        <v>13531</v>
      </c>
      <c r="U770" t="s">
        <v>13532</v>
      </c>
      <c r="V770" t="s">
        <v>13533</v>
      </c>
      <c r="W770" t="s">
        <v>13534</v>
      </c>
      <c r="X770" t="s">
        <v>5283</v>
      </c>
      <c r="Y770" t="s">
        <v>13535</v>
      </c>
      <c r="Z770" t="s">
        <v>13536</v>
      </c>
      <c r="AA770" t="s">
        <v>13537</v>
      </c>
      <c r="AB770" t="s">
        <v>74</v>
      </c>
      <c r="AC770" t="s">
        <v>74</v>
      </c>
      <c r="AD770" t="s">
        <v>74</v>
      </c>
      <c r="AE770" t="s">
        <v>74</v>
      </c>
      <c r="AF770" t="s">
        <v>74</v>
      </c>
      <c r="AG770">
        <v>42</v>
      </c>
      <c r="AH770">
        <v>1</v>
      </c>
      <c r="AI770">
        <v>1</v>
      </c>
      <c r="AJ770">
        <v>20</v>
      </c>
      <c r="AK770">
        <v>26</v>
      </c>
      <c r="AL770" t="s">
        <v>13277</v>
      </c>
      <c r="AM770" t="s">
        <v>13278</v>
      </c>
      <c r="AN770" t="s">
        <v>13279</v>
      </c>
      <c r="AO770" t="s">
        <v>13538</v>
      </c>
      <c r="AP770" t="s">
        <v>13539</v>
      </c>
      <c r="AQ770" t="s">
        <v>74</v>
      </c>
      <c r="AR770" t="s">
        <v>13540</v>
      </c>
      <c r="AS770" t="s">
        <v>13541</v>
      </c>
      <c r="AT770" t="s">
        <v>257</v>
      </c>
      <c r="AU770">
        <v>2024</v>
      </c>
      <c r="AV770">
        <v>186</v>
      </c>
      <c r="AW770" t="s">
        <v>74</v>
      </c>
      <c r="AX770" t="s">
        <v>74</v>
      </c>
      <c r="AY770" t="s">
        <v>74</v>
      </c>
      <c r="AZ770" t="s">
        <v>74</v>
      </c>
      <c r="BA770" t="s">
        <v>74</v>
      </c>
      <c r="BB770" t="s">
        <v>74</v>
      </c>
      <c r="BC770" t="s">
        <v>74</v>
      </c>
      <c r="BD770">
        <v>105426</v>
      </c>
      <c r="BE770" t="s">
        <v>13542</v>
      </c>
      <c r="BF770" t="str">
        <f>HYPERLINK("http://dx.doi.org/10.1016/j.ijmedinf.2024.105426","http://dx.doi.org/10.1016/j.ijmedinf.2024.105426")</f>
        <v>http://dx.doi.org/10.1016/j.ijmedinf.2024.105426</v>
      </c>
      <c r="BG770" t="s">
        <v>74</v>
      </c>
      <c r="BH770" t="s">
        <v>123</v>
      </c>
      <c r="BI770">
        <v>8</v>
      </c>
      <c r="BJ770" t="s">
        <v>13543</v>
      </c>
      <c r="BK770" t="s">
        <v>209</v>
      </c>
      <c r="BL770" t="s">
        <v>13544</v>
      </c>
      <c r="BM770" t="s">
        <v>13545</v>
      </c>
      <c r="BN770">
        <v>38531256</v>
      </c>
      <c r="BO770" t="s">
        <v>74</v>
      </c>
      <c r="BP770" t="s">
        <v>74</v>
      </c>
      <c r="BQ770" t="s">
        <v>74</v>
      </c>
      <c r="BR770" t="s">
        <v>102</v>
      </c>
      <c r="BS770" t="s">
        <v>13546</v>
      </c>
      <c r="BT770" t="str">
        <f>HYPERLINK("https%3A%2F%2Fwww.webofscience.com%2Fwos%2Fwoscc%2Ffull-record%2FWOS:001290527800001","View Full Record in Web of Science")</f>
        <v>View Full Record in Web of Science</v>
      </c>
    </row>
    <row r="771" spans="1:72" x14ac:dyDescent="0.35">
      <c r="A771" t="s">
        <v>72</v>
      </c>
      <c r="B771" t="s">
        <v>13547</v>
      </c>
      <c r="C771" t="s">
        <v>74</v>
      </c>
      <c r="D771" t="s">
        <v>74</v>
      </c>
      <c r="E771" t="s">
        <v>74</v>
      </c>
      <c r="F771" t="s">
        <v>13548</v>
      </c>
      <c r="G771" t="s">
        <v>74</v>
      </c>
      <c r="H771" t="s">
        <v>74</v>
      </c>
      <c r="I771" t="s">
        <v>13549</v>
      </c>
      <c r="J771" t="s">
        <v>793</v>
      </c>
      <c r="K771" t="s">
        <v>74</v>
      </c>
      <c r="L771" t="s">
        <v>74</v>
      </c>
      <c r="M771" t="s">
        <v>78</v>
      </c>
      <c r="N771" t="s">
        <v>108</v>
      </c>
      <c r="O771" t="s">
        <v>74</v>
      </c>
      <c r="P771" t="s">
        <v>74</v>
      </c>
      <c r="Q771" t="s">
        <v>74</v>
      </c>
      <c r="R771" t="s">
        <v>74</v>
      </c>
      <c r="S771" t="s">
        <v>74</v>
      </c>
      <c r="T771" t="s">
        <v>13550</v>
      </c>
      <c r="U771" t="s">
        <v>74</v>
      </c>
      <c r="V771" t="s">
        <v>13551</v>
      </c>
      <c r="W771" t="s">
        <v>13552</v>
      </c>
      <c r="X771" t="s">
        <v>13553</v>
      </c>
      <c r="Y771" t="s">
        <v>13554</v>
      </c>
      <c r="Z771" t="s">
        <v>13555</v>
      </c>
      <c r="AA771" t="s">
        <v>74</v>
      </c>
      <c r="AB771" t="s">
        <v>74</v>
      </c>
      <c r="AC771" t="s">
        <v>74</v>
      </c>
      <c r="AD771" t="s">
        <v>74</v>
      </c>
      <c r="AE771" t="s">
        <v>74</v>
      </c>
      <c r="AF771" t="s">
        <v>74</v>
      </c>
      <c r="AG771">
        <v>19</v>
      </c>
      <c r="AH771">
        <v>2</v>
      </c>
      <c r="AI771">
        <v>2</v>
      </c>
      <c r="AJ771">
        <v>1</v>
      </c>
      <c r="AK771">
        <v>1</v>
      </c>
      <c r="AL771" t="s">
        <v>803</v>
      </c>
      <c r="AM771" t="s">
        <v>227</v>
      </c>
      <c r="AN771" t="s">
        <v>804</v>
      </c>
      <c r="AO771" t="s">
        <v>74</v>
      </c>
      <c r="AP771" t="s">
        <v>805</v>
      </c>
      <c r="AQ771" t="s">
        <v>74</v>
      </c>
      <c r="AR771" t="s">
        <v>806</v>
      </c>
      <c r="AS771" t="s">
        <v>807</v>
      </c>
      <c r="AT771" t="s">
        <v>13556</v>
      </c>
      <c r="AU771">
        <v>2023</v>
      </c>
      <c r="AV771">
        <v>15</v>
      </c>
      <c r="AW771">
        <v>11</v>
      </c>
      <c r="AX771" t="s">
        <v>74</v>
      </c>
      <c r="AY771" t="s">
        <v>74</v>
      </c>
      <c r="AZ771" t="s">
        <v>74</v>
      </c>
      <c r="BA771" t="s">
        <v>74</v>
      </c>
      <c r="BB771" t="s">
        <v>74</v>
      </c>
      <c r="BC771" t="s">
        <v>74</v>
      </c>
      <c r="BD771" t="s">
        <v>13557</v>
      </c>
      <c r="BE771" t="s">
        <v>13558</v>
      </c>
      <c r="BF771" t="str">
        <f>HYPERLINK("http://dx.doi.org/10.7759/cureus.48487","http://dx.doi.org/10.7759/cureus.48487")</f>
        <v>http://dx.doi.org/10.7759/cureus.48487</v>
      </c>
      <c r="BG771" t="s">
        <v>74</v>
      </c>
      <c r="BH771" t="s">
        <v>74</v>
      </c>
      <c r="BI771">
        <v>7</v>
      </c>
      <c r="BJ771" t="s">
        <v>811</v>
      </c>
      <c r="BK771" t="s">
        <v>125</v>
      </c>
      <c r="BL771" t="s">
        <v>812</v>
      </c>
      <c r="BM771" t="s">
        <v>13559</v>
      </c>
      <c r="BN771">
        <v>38024061</v>
      </c>
      <c r="BO771" t="s">
        <v>394</v>
      </c>
      <c r="BP771" t="s">
        <v>74</v>
      </c>
      <c r="BQ771" t="s">
        <v>74</v>
      </c>
      <c r="BR771" t="s">
        <v>102</v>
      </c>
      <c r="BS771" t="s">
        <v>13560</v>
      </c>
      <c r="BT771" t="str">
        <f>HYPERLINK("https%3A%2F%2Fwww.webofscience.com%2Fwos%2Fwoscc%2Ffull-record%2FWOS:001112502300011","View Full Record in Web of Science")</f>
        <v>View Full Record in Web of Science</v>
      </c>
    </row>
    <row r="772" spans="1:72" x14ac:dyDescent="0.35">
      <c r="A772" t="s">
        <v>72</v>
      </c>
      <c r="B772" t="s">
        <v>13561</v>
      </c>
      <c r="C772" t="s">
        <v>74</v>
      </c>
      <c r="D772" t="s">
        <v>74</v>
      </c>
      <c r="E772" t="s">
        <v>74</v>
      </c>
      <c r="F772" t="s">
        <v>13562</v>
      </c>
      <c r="G772" t="s">
        <v>74</v>
      </c>
      <c r="H772" t="s">
        <v>74</v>
      </c>
      <c r="I772" t="s">
        <v>13563</v>
      </c>
      <c r="J772" t="s">
        <v>3562</v>
      </c>
      <c r="K772" t="s">
        <v>74</v>
      </c>
      <c r="L772" t="s">
        <v>74</v>
      </c>
      <c r="M772" t="s">
        <v>78</v>
      </c>
      <c r="N772" t="s">
        <v>52</v>
      </c>
      <c r="O772" t="s">
        <v>74</v>
      </c>
      <c r="P772" t="s">
        <v>74</v>
      </c>
      <c r="Q772" t="s">
        <v>74</v>
      </c>
      <c r="R772" t="s">
        <v>74</v>
      </c>
      <c r="S772" t="s">
        <v>74</v>
      </c>
      <c r="T772" t="s">
        <v>74</v>
      </c>
      <c r="U772" t="s">
        <v>74</v>
      </c>
      <c r="V772" t="s">
        <v>74</v>
      </c>
      <c r="W772" t="s">
        <v>13564</v>
      </c>
      <c r="X772" t="s">
        <v>13565</v>
      </c>
      <c r="Y772" t="s">
        <v>74</v>
      </c>
      <c r="Z772" t="s">
        <v>74</v>
      </c>
      <c r="AA772" t="s">
        <v>12808</v>
      </c>
      <c r="AB772" t="s">
        <v>74</v>
      </c>
      <c r="AC772" t="s">
        <v>74</v>
      </c>
      <c r="AD772" t="s">
        <v>74</v>
      </c>
      <c r="AE772" t="s">
        <v>74</v>
      </c>
      <c r="AF772" t="s">
        <v>74</v>
      </c>
      <c r="AG772">
        <v>0</v>
      </c>
      <c r="AH772">
        <v>0</v>
      </c>
      <c r="AI772">
        <v>0</v>
      </c>
      <c r="AJ772">
        <v>0</v>
      </c>
      <c r="AK772">
        <v>0</v>
      </c>
      <c r="AL772" t="s">
        <v>251</v>
      </c>
      <c r="AM772" t="s">
        <v>252</v>
      </c>
      <c r="AN772" t="s">
        <v>253</v>
      </c>
      <c r="AO772" t="s">
        <v>3574</v>
      </c>
      <c r="AP772" t="s">
        <v>3575</v>
      </c>
      <c r="AQ772" t="s">
        <v>74</v>
      </c>
      <c r="AR772" t="s">
        <v>3576</v>
      </c>
      <c r="AS772" t="s">
        <v>3577</v>
      </c>
      <c r="AT772" t="s">
        <v>178</v>
      </c>
      <c r="AU772">
        <v>2023</v>
      </c>
      <c r="AV772">
        <v>42</v>
      </c>
      <c r="AW772" t="s">
        <v>74</v>
      </c>
      <c r="AX772" t="s">
        <v>74</v>
      </c>
      <c r="AY772">
        <v>1</v>
      </c>
      <c r="AZ772" t="s">
        <v>74</v>
      </c>
      <c r="BA772" t="s">
        <v>13566</v>
      </c>
      <c r="BB772" t="s">
        <v>13567</v>
      </c>
      <c r="BC772" t="s">
        <v>13568</v>
      </c>
      <c r="BD772" t="s">
        <v>74</v>
      </c>
      <c r="BE772" t="s">
        <v>74</v>
      </c>
      <c r="BF772" t="s">
        <v>74</v>
      </c>
      <c r="BG772" t="s">
        <v>74</v>
      </c>
      <c r="BH772" t="s">
        <v>74</v>
      </c>
      <c r="BI772">
        <v>2</v>
      </c>
      <c r="BJ772" t="s">
        <v>1908</v>
      </c>
      <c r="BK772" t="s">
        <v>209</v>
      </c>
      <c r="BL772" t="s">
        <v>1908</v>
      </c>
      <c r="BM772" t="s">
        <v>13569</v>
      </c>
      <c r="BN772" t="s">
        <v>74</v>
      </c>
      <c r="BO772" t="s">
        <v>74</v>
      </c>
      <c r="BP772" t="s">
        <v>74</v>
      </c>
      <c r="BQ772" t="s">
        <v>74</v>
      </c>
      <c r="BR772" t="s">
        <v>102</v>
      </c>
      <c r="BS772" t="s">
        <v>13570</v>
      </c>
      <c r="BT772" t="str">
        <f>HYPERLINK("https%3A%2F%2Fwww.webofscience.com%2Fwos%2Fwoscc%2Ffull-record%2FWOS:001043021100212","View Full Record in Web of Science")</f>
        <v>View Full Record in Web of Science</v>
      </c>
    </row>
    <row r="773" spans="1:72" x14ac:dyDescent="0.35">
      <c r="A773" t="s">
        <v>72</v>
      </c>
      <c r="B773" t="s">
        <v>13571</v>
      </c>
      <c r="C773" t="s">
        <v>74</v>
      </c>
      <c r="D773" t="s">
        <v>74</v>
      </c>
      <c r="E773" t="s">
        <v>74</v>
      </c>
      <c r="F773" t="s">
        <v>13572</v>
      </c>
      <c r="G773" t="s">
        <v>74</v>
      </c>
      <c r="H773" t="s">
        <v>74</v>
      </c>
      <c r="I773" t="s">
        <v>13573</v>
      </c>
      <c r="J773" t="s">
        <v>13574</v>
      </c>
      <c r="K773" t="s">
        <v>74</v>
      </c>
      <c r="L773" t="s">
        <v>74</v>
      </c>
      <c r="M773" t="s">
        <v>78</v>
      </c>
      <c r="N773" t="s">
        <v>108</v>
      </c>
      <c r="O773" t="s">
        <v>74</v>
      </c>
      <c r="P773" t="s">
        <v>74</v>
      </c>
      <c r="Q773" t="s">
        <v>74</v>
      </c>
      <c r="R773" t="s">
        <v>74</v>
      </c>
      <c r="S773" t="s">
        <v>74</v>
      </c>
      <c r="T773" t="s">
        <v>74</v>
      </c>
      <c r="U773" t="s">
        <v>13575</v>
      </c>
      <c r="V773" t="s">
        <v>13576</v>
      </c>
      <c r="W773" t="s">
        <v>13577</v>
      </c>
      <c r="X773" t="s">
        <v>13578</v>
      </c>
      <c r="Y773" t="s">
        <v>13579</v>
      </c>
      <c r="Z773" t="s">
        <v>13580</v>
      </c>
      <c r="AA773" t="s">
        <v>13581</v>
      </c>
      <c r="AB773" t="s">
        <v>13582</v>
      </c>
      <c r="AC773" t="s">
        <v>74</v>
      </c>
      <c r="AD773" t="s">
        <v>74</v>
      </c>
      <c r="AE773" t="s">
        <v>74</v>
      </c>
      <c r="AF773" t="s">
        <v>74</v>
      </c>
      <c r="AG773">
        <v>24</v>
      </c>
      <c r="AH773">
        <v>1</v>
      </c>
      <c r="AI773">
        <v>1</v>
      </c>
      <c r="AJ773">
        <v>2</v>
      </c>
      <c r="AK773">
        <v>2</v>
      </c>
      <c r="AL773" t="s">
        <v>1901</v>
      </c>
      <c r="AM773" t="s">
        <v>995</v>
      </c>
      <c r="AN773" t="s">
        <v>1902</v>
      </c>
      <c r="AO773" t="s">
        <v>13583</v>
      </c>
      <c r="AP773" t="s">
        <v>74</v>
      </c>
      <c r="AQ773" t="s">
        <v>74</v>
      </c>
      <c r="AR773" t="s">
        <v>13584</v>
      </c>
      <c r="AS773" t="s">
        <v>13585</v>
      </c>
      <c r="AT773" t="s">
        <v>930</v>
      </c>
      <c r="AU773">
        <v>2024</v>
      </c>
      <c r="AV773">
        <v>8</v>
      </c>
      <c r="AW773">
        <v>4</v>
      </c>
      <c r="AX773" t="s">
        <v>74</v>
      </c>
      <c r="AY773" t="s">
        <v>74</v>
      </c>
      <c r="AZ773" t="s">
        <v>74</v>
      </c>
      <c r="BA773" t="s">
        <v>74</v>
      </c>
      <c r="BB773" t="s">
        <v>74</v>
      </c>
      <c r="BC773" t="s">
        <v>74</v>
      </c>
      <c r="BD773" t="s">
        <v>13586</v>
      </c>
      <c r="BE773" t="s">
        <v>13587</v>
      </c>
      <c r="BF773" t="str">
        <f>HYPERLINK("http://dx.doi.org/10.5435/JAAOSGlobal-D-23-00181","http://dx.doi.org/10.5435/JAAOSGlobal-D-23-00181")</f>
        <v>http://dx.doi.org/10.5435/JAAOSGlobal-D-23-00181</v>
      </c>
      <c r="BG773" t="s">
        <v>74</v>
      </c>
      <c r="BH773" t="s">
        <v>74</v>
      </c>
      <c r="BI773">
        <v>7</v>
      </c>
      <c r="BJ773" t="s">
        <v>9734</v>
      </c>
      <c r="BK773" t="s">
        <v>125</v>
      </c>
      <c r="BL773" t="s">
        <v>9734</v>
      </c>
      <c r="BM773" t="s">
        <v>13588</v>
      </c>
      <c r="BN773" t="s">
        <v>74</v>
      </c>
      <c r="BO773" t="s">
        <v>552</v>
      </c>
      <c r="BP773" t="s">
        <v>74</v>
      </c>
      <c r="BQ773" t="s">
        <v>74</v>
      </c>
      <c r="BR773" t="s">
        <v>102</v>
      </c>
      <c r="BS773" t="s">
        <v>13589</v>
      </c>
      <c r="BT773" t="str">
        <f>HYPERLINK("https%3A%2F%2Fwww.webofscience.com%2Fwos%2Fwoscc%2Ffull-record%2FWOS:001206860800001","View Full Record in Web of Science")</f>
        <v>View Full Record in Web of Science</v>
      </c>
    </row>
    <row r="774" spans="1:72" x14ac:dyDescent="0.35">
      <c r="A774" t="s">
        <v>128</v>
      </c>
      <c r="B774" t="s">
        <v>13590</v>
      </c>
      <c r="C774" t="s">
        <v>74</v>
      </c>
      <c r="D774" t="s">
        <v>13591</v>
      </c>
      <c r="E774" t="s">
        <v>74</v>
      </c>
      <c r="F774" t="s">
        <v>13592</v>
      </c>
      <c r="G774" t="s">
        <v>74</v>
      </c>
      <c r="H774" t="s">
        <v>74</v>
      </c>
      <c r="I774" t="s">
        <v>13593</v>
      </c>
      <c r="J774" t="s">
        <v>13594</v>
      </c>
      <c r="K774" t="s">
        <v>74</v>
      </c>
      <c r="L774" t="s">
        <v>74</v>
      </c>
      <c r="M774" t="s">
        <v>78</v>
      </c>
      <c r="N774" t="s">
        <v>135</v>
      </c>
      <c r="O774" t="s">
        <v>13595</v>
      </c>
      <c r="P774" t="s">
        <v>13596</v>
      </c>
      <c r="Q774" t="s">
        <v>13597</v>
      </c>
      <c r="R774" t="s">
        <v>13598</v>
      </c>
      <c r="S774" t="s">
        <v>74</v>
      </c>
      <c r="T774" t="s">
        <v>13599</v>
      </c>
      <c r="U774" t="s">
        <v>13600</v>
      </c>
      <c r="V774" t="s">
        <v>13601</v>
      </c>
      <c r="W774" t="s">
        <v>13602</v>
      </c>
      <c r="X774" t="s">
        <v>13603</v>
      </c>
      <c r="Y774" t="s">
        <v>13604</v>
      </c>
      <c r="Z774" t="s">
        <v>13605</v>
      </c>
      <c r="AA774" t="s">
        <v>13606</v>
      </c>
      <c r="AB774" t="s">
        <v>74</v>
      </c>
      <c r="AC774" t="s">
        <v>74</v>
      </c>
      <c r="AD774" t="s">
        <v>74</v>
      </c>
      <c r="AE774" t="s">
        <v>74</v>
      </c>
      <c r="AF774" t="s">
        <v>74</v>
      </c>
      <c r="AG774">
        <v>20</v>
      </c>
      <c r="AH774">
        <v>2</v>
      </c>
      <c r="AI774">
        <v>2</v>
      </c>
      <c r="AJ774">
        <v>0</v>
      </c>
      <c r="AK774">
        <v>5</v>
      </c>
      <c r="AL774" t="s">
        <v>1677</v>
      </c>
      <c r="AM774" t="s">
        <v>666</v>
      </c>
      <c r="AN774" t="s">
        <v>1692</v>
      </c>
      <c r="AO774" t="s">
        <v>74</v>
      </c>
      <c r="AP774" t="s">
        <v>74</v>
      </c>
      <c r="AQ774" t="s">
        <v>13607</v>
      </c>
      <c r="AR774" t="s">
        <v>74</v>
      </c>
      <c r="AS774" t="s">
        <v>74</v>
      </c>
      <c r="AT774" t="s">
        <v>74</v>
      </c>
      <c r="AU774">
        <v>2022</v>
      </c>
      <c r="AV774" t="s">
        <v>74</v>
      </c>
      <c r="AW774" t="s">
        <v>74</v>
      </c>
      <c r="AX774" t="s">
        <v>74</v>
      </c>
      <c r="AY774" t="s">
        <v>74</v>
      </c>
      <c r="AZ774" t="s">
        <v>74</v>
      </c>
      <c r="BA774" t="s">
        <v>74</v>
      </c>
      <c r="BB774" t="s">
        <v>74</v>
      </c>
      <c r="BC774" t="s">
        <v>74</v>
      </c>
      <c r="BD774" t="s">
        <v>74</v>
      </c>
      <c r="BE774" t="s">
        <v>13608</v>
      </c>
      <c r="BF774" t="str">
        <f>HYPERLINK("http://dx.doi.org/10.1109/ISDFS55398.2022.9800839","http://dx.doi.org/10.1109/ISDFS55398.2022.9800839")</f>
        <v>http://dx.doi.org/10.1109/ISDFS55398.2022.9800839</v>
      </c>
      <c r="BG774" t="s">
        <v>74</v>
      </c>
      <c r="BH774" t="s">
        <v>74</v>
      </c>
      <c r="BI774">
        <v>6</v>
      </c>
      <c r="BJ774" t="s">
        <v>13609</v>
      </c>
      <c r="BK774" t="s">
        <v>723</v>
      </c>
      <c r="BL774" t="s">
        <v>210</v>
      </c>
      <c r="BM774" t="s">
        <v>13610</v>
      </c>
      <c r="BN774" t="s">
        <v>74</v>
      </c>
      <c r="BO774" t="s">
        <v>74</v>
      </c>
      <c r="BP774" t="s">
        <v>74</v>
      </c>
      <c r="BQ774" t="s">
        <v>74</v>
      </c>
      <c r="BR774" t="s">
        <v>102</v>
      </c>
      <c r="BS774" t="s">
        <v>13611</v>
      </c>
      <c r="BT774" t="str">
        <f>HYPERLINK("https%3A%2F%2Fwww.webofscience.com%2Fwos%2Fwoscc%2Ffull-record%2FWOS:000852444000058","View Full Record in Web of Science")</f>
        <v>View Full Record in Web of Science</v>
      </c>
    </row>
    <row r="775" spans="1:72" x14ac:dyDescent="0.35">
      <c r="A775" t="s">
        <v>72</v>
      </c>
      <c r="B775" t="s">
        <v>7959</v>
      </c>
      <c r="C775" t="s">
        <v>74</v>
      </c>
      <c r="D775" t="s">
        <v>74</v>
      </c>
      <c r="E775" t="s">
        <v>74</v>
      </c>
      <c r="F775" t="s">
        <v>7959</v>
      </c>
      <c r="G775" t="s">
        <v>74</v>
      </c>
      <c r="H775" t="s">
        <v>74</v>
      </c>
      <c r="I775" t="s">
        <v>13612</v>
      </c>
      <c r="J775" t="s">
        <v>13613</v>
      </c>
      <c r="K775" t="s">
        <v>74</v>
      </c>
      <c r="L775" t="s">
        <v>74</v>
      </c>
      <c r="M775" t="s">
        <v>1012</v>
      </c>
      <c r="N775" t="s">
        <v>2042</v>
      </c>
      <c r="O775" t="s">
        <v>74</v>
      </c>
      <c r="P775" t="s">
        <v>74</v>
      </c>
      <c r="Q775" t="s">
        <v>74</v>
      </c>
      <c r="R775" t="s">
        <v>74</v>
      </c>
      <c r="S775" t="s">
        <v>74</v>
      </c>
      <c r="T775" t="s">
        <v>74</v>
      </c>
      <c r="U775" t="s">
        <v>74</v>
      </c>
      <c r="V775" t="s">
        <v>74</v>
      </c>
      <c r="W775" t="s">
        <v>74</v>
      </c>
      <c r="X775" t="s">
        <v>74</v>
      </c>
      <c r="Y775" t="s">
        <v>74</v>
      </c>
      <c r="Z775" t="s">
        <v>74</v>
      </c>
      <c r="AA775" t="s">
        <v>74</v>
      </c>
      <c r="AB775" t="s">
        <v>74</v>
      </c>
      <c r="AC775" t="s">
        <v>74</v>
      </c>
      <c r="AD775" t="s">
        <v>74</v>
      </c>
      <c r="AE775" t="s">
        <v>74</v>
      </c>
      <c r="AF775" t="s">
        <v>74</v>
      </c>
      <c r="AG775">
        <v>0</v>
      </c>
      <c r="AH775">
        <v>0</v>
      </c>
      <c r="AI775">
        <v>0</v>
      </c>
      <c r="AJ775">
        <v>0</v>
      </c>
      <c r="AK775">
        <v>0</v>
      </c>
      <c r="AL775" t="s">
        <v>3489</v>
      </c>
      <c r="AM775" t="s">
        <v>3490</v>
      </c>
      <c r="AN775" t="s">
        <v>3491</v>
      </c>
      <c r="AO775" t="s">
        <v>13614</v>
      </c>
      <c r="AP775" t="s">
        <v>13615</v>
      </c>
      <c r="AQ775" t="s">
        <v>74</v>
      </c>
      <c r="AR775" t="s">
        <v>13613</v>
      </c>
      <c r="AS775" t="s">
        <v>13616</v>
      </c>
      <c r="AT775" t="s">
        <v>257</v>
      </c>
      <c r="AU775">
        <v>2024</v>
      </c>
      <c r="AV775">
        <v>63</v>
      </c>
      <c r="AW775">
        <v>6</v>
      </c>
      <c r="AX775" t="s">
        <v>74</v>
      </c>
      <c r="AY775" t="s">
        <v>74</v>
      </c>
      <c r="AZ775" t="s">
        <v>456</v>
      </c>
      <c r="BA775" t="s">
        <v>74</v>
      </c>
      <c r="BB775">
        <v>620</v>
      </c>
      <c r="BC775">
        <v>621</v>
      </c>
      <c r="BD775" t="s">
        <v>74</v>
      </c>
      <c r="BE775" t="s">
        <v>74</v>
      </c>
      <c r="BF775" t="s">
        <v>74</v>
      </c>
      <c r="BG775" t="s">
        <v>74</v>
      </c>
      <c r="BH775" t="s">
        <v>74</v>
      </c>
      <c r="BI775">
        <v>2</v>
      </c>
      <c r="BJ775" t="s">
        <v>1908</v>
      </c>
      <c r="BK775" t="s">
        <v>209</v>
      </c>
      <c r="BL775" t="s">
        <v>1908</v>
      </c>
      <c r="BM775" t="s">
        <v>13617</v>
      </c>
      <c r="BN775" t="s">
        <v>74</v>
      </c>
      <c r="BO775" t="s">
        <v>74</v>
      </c>
      <c r="BP775" t="s">
        <v>74</v>
      </c>
      <c r="BQ775" t="s">
        <v>74</v>
      </c>
      <c r="BR775" t="s">
        <v>102</v>
      </c>
      <c r="BS775" t="s">
        <v>13618</v>
      </c>
      <c r="BT775" t="str">
        <f>HYPERLINK("https%3A%2F%2Fwww.webofscience.com%2Fwos%2Fwoscc%2Ffull-record%2FWOS:001287615500006","View Full Record in Web of Science")</f>
        <v>View Full Record in Web of Science</v>
      </c>
    </row>
    <row r="776" spans="1:72" x14ac:dyDescent="0.35">
      <c r="A776" t="s">
        <v>72</v>
      </c>
      <c r="B776" t="s">
        <v>7959</v>
      </c>
      <c r="C776" t="s">
        <v>74</v>
      </c>
      <c r="D776" t="s">
        <v>74</v>
      </c>
      <c r="E776" t="s">
        <v>74</v>
      </c>
      <c r="F776" t="s">
        <v>7959</v>
      </c>
      <c r="G776" t="s">
        <v>74</v>
      </c>
      <c r="H776" t="s">
        <v>74</v>
      </c>
      <c r="I776" t="s">
        <v>13619</v>
      </c>
      <c r="J776" t="s">
        <v>13620</v>
      </c>
      <c r="K776" t="s">
        <v>74</v>
      </c>
      <c r="L776" t="s">
        <v>74</v>
      </c>
      <c r="M776" t="s">
        <v>78</v>
      </c>
      <c r="N776" t="s">
        <v>108</v>
      </c>
      <c r="O776" t="s">
        <v>74</v>
      </c>
      <c r="P776" t="s">
        <v>74</v>
      </c>
      <c r="Q776" t="s">
        <v>74</v>
      </c>
      <c r="R776" t="s">
        <v>74</v>
      </c>
      <c r="S776" t="s">
        <v>74</v>
      </c>
      <c r="T776" t="s">
        <v>74</v>
      </c>
      <c r="U776" t="s">
        <v>74</v>
      </c>
      <c r="V776" t="s">
        <v>74</v>
      </c>
      <c r="W776" t="s">
        <v>74</v>
      </c>
      <c r="X776" t="s">
        <v>74</v>
      </c>
      <c r="Y776" t="s">
        <v>74</v>
      </c>
      <c r="Z776" t="s">
        <v>74</v>
      </c>
      <c r="AA776" t="s">
        <v>74</v>
      </c>
      <c r="AB776" t="s">
        <v>74</v>
      </c>
      <c r="AC776" t="s">
        <v>74</v>
      </c>
      <c r="AD776" t="s">
        <v>74</v>
      </c>
      <c r="AE776" t="s">
        <v>74</v>
      </c>
      <c r="AF776" t="s">
        <v>74</v>
      </c>
      <c r="AG776">
        <v>21</v>
      </c>
      <c r="AH776">
        <v>3</v>
      </c>
      <c r="AI776">
        <v>3</v>
      </c>
      <c r="AJ776">
        <v>2</v>
      </c>
      <c r="AK776">
        <v>45</v>
      </c>
      <c r="AL776" t="s">
        <v>1061</v>
      </c>
      <c r="AM776" t="s">
        <v>1062</v>
      </c>
      <c r="AN776" t="s">
        <v>1063</v>
      </c>
      <c r="AO776" t="s">
        <v>13621</v>
      </c>
      <c r="AP776" t="s">
        <v>13622</v>
      </c>
      <c r="AQ776" t="s">
        <v>74</v>
      </c>
      <c r="AR776" t="s">
        <v>13623</v>
      </c>
      <c r="AS776" t="s">
        <v>13624</v>
      </c>
      <c r="AT776" t="s">
        <v>232</v>
      </c>
      <c r="AU776">
        <v>2021</v>
      </c>
      <c r="AV776">
        <v>115</v>
      </c>
      <c r="AW776">
        <v>1</v>
      </c>
      <c r="AX776" t="s">
        <v>74</v>
      </c>
      <c r="AY776" t="s">
        <v>74</v>
      </c>
      <c r="AZ776" t="s">
        <v>74</v>
      </c>
      <c r="BA776" t="s">
        <v>74</v>
      </c>
      <c r="BB776">
        <v>124</v>
      </c>
      <c r="BC776" t="s">
        <v>10035</v>
      </c>
      <c r="BD776" t="s">
        <v>74</v>
      </c>
      <c r="BE776" t="s">
        <v>13625</v>
      </c>
      <c r="BF776" t="str">
        <f>HYPERLINK("http://dx.doi.org/10.1017/ajil.2020.98","http://dx.doi.org/10.1017/ajil.2020.98")</f>
        <v>http://dx.doi.org/10.1017/ajil.2020.98</v>
      </c>
      <c r="BG776" t="s">
        <v>74</v>
      </c>
      <c r="BH776" t="s">
        <v>74</v>
      </c>
      <c r="BI776">
        <v>9</v>
      </c>
      <c r="BJ776" t="s">
        <v>13626</v>
      </c>
      <c r="BK776" t="s">
        <v>99</v>
      </c>
      <c r="BL776" t="s">
        <v>1005</v>
      </c>
      <c r="BM776" t="s">
        <v>13627</v>
      </c>
      <c r="BN776" t="s">
        <v>74</v>
      </c>
      <c r="BO776" t="s">
        <v>767</v>
      </c>
      <c r="BP776" t="s">
        <v>74</v>
      </c>
      <c r="BQ776" t="s">
        <v>74</v>
      </c>
      <c r="BR776" t="s">
        <v>102</v>
      </c>
      <c r="BS776" t="s">
        <v>13628</v>
      </c>
      <c r="BT776" t="str">
        <f>HYPERLINK("https%3A%2F%2Fwww.webofscience.com%2Fwos%2Fwoscc%2Ffull-record%2FWOS:000607825900011","View Full Record in Web of Science")</f>
        <v>View Full Record in Web of Science</v>
      </c>
    </row>
    <row r="777" spans="1:72" x14ac:dyDescent="0.35">
      <c r="A777" t="s">
        <v>72</v>
      </c>
      <c r="B777" t="s">
        <v>13629</v>
      </c>
      <c r="C777" t="s">
        <v>74</v>
      </c>
      <c r="D777" t="s">
        <v>74</v>
      </c>
      <c r="E777" t="s">
        <v>74</v>
      </c>
      <c r="F777" t="s">
        <v>13630</v>
      </c>
      <c r="G777" t="s">
        <v>74</v>
      </c>
      <c r="H777" t="s">
        <v>74</v>
      </c>
      <c r="I777" t="s">
        <v>13631</v>
      </c>
      <c r="J777" t="s">
        <v>13632</v>
      </c>
      <c r="K777" t="s">
        <v>74</v>
      </c>
      <c r="L777" t="s">
        <v>74</v>
      </c>
      <c r="M777" t="s">
        <v>78</v>
      </c>
      <c r="N777" t="s">
        <v>108</v>
      </c>
      <c r="O777" t="s">
        <v>74</v>
      </c>
      <c r="P777" t="s">
        <v>74</v>
      </c>
      <c r="Q777" t="s">
        <v>74</v>
      </c>
      <c r="R777" t="s">
        <v>74</v>
      </c>
      <c r="S777" t="s">
        <v>74</v>
      </c>
      <c r="T777" t="s">
        <v>13633</v>
      </c>
      <c r="U777" t="s">
        <v>13634</v>
      </c>
      <c r="V777" t="s">
        <v>13635</v>
      </c>
      <c r="W777" t="s">
        <v>13636</v>
      </c>
      <c r="X777" t="s">
        <v>13637</v>
      </c>
      <c r="Y777" t="s">
        <v>13638</v>
      </c>
      <c r="Z777" t="s">
        <v>13639</v>
      </c>
      <c r="AA777" t="s">
        <v>74</v>
      </c>
      <c r="AB777" t="s">
        <v>74</v>
      </c>
      <c r="AC777" t="s">
        <v>74</v>
      </c>
      <c r="AD777" t="s">
        <v>74</v>
      </c>
      <c r="AE777" t="s">
        <v>74</v>
      </c>
      <c r="AF777" t="s">
        <v>74</v>
      </c>
      <c r="AG777">
        <v>14</v>
      </c>
      <c r="AH777">
        <v>0</v>
      </c>
      <c r="AI777">
        <v>0</v>
      </c>
      <c r="AJ777">
        <v>1</v>
      </c>
      <c r="AK777">
        <v>1</v>
      </c>
      <c r="AL777" t="s">
        <v>1901</v>
      </c>
      <c r="AM777" t="s">
        <v>995</v>
      </c>
      <c r="AN777" t="s">
        <v>1902</v>
      </c>
      <c r="AO777" t="s">
        <v>13640</v>
      </c>
      <c r="AP777" t="s">
        <v>13641</v>
      </c>
      <c r="AQ777" t="s">
        <v>74</v>
      </c>
      <c r="AR777" t="s">
        <v>13642</v>
      </c>
      <c r="AS777" t="s">
        <v>13643</v>
      </c>
      <c r="AT777" t="s">
        <v>745</v>
      </c>
      <c r="AU777">
        <v>2024</v>
      </c>
      <c r="AV777">
        <v>92</v>
      </c>
      <c r="AW777">
        <v>5</v>
      </c>
      <c r="AX777" t="s">
        <v>74</v>
      </c>
      <c r="AY777" t="s">
        <v>74</v>
      </c>
      <c r="AZ777" t="s">
        <v>74</v>
      </c>
      <c r="BA777" t="s">
        <v>74</v>
      </c>
      <c r="BB777">
        <v>580</v>
      </c>
      <c r="BC777">
        <v>584</v>
      </c>
      <c r="BD777" t="s">
        <v>74</v>
      </c>
      <c r="BE777" t="s">
        <v>13644</v>
      </c>
      <c r="BF777" t="str">
        <f>HYPERLINK("http://dx.doi.org/10.1097/SAP.0000000000003912","http://dx.doi.org/10.1097/SAP.0000000000003912")</f>
        <v>http://dx.doi.org/10.1097/SAP.0000000000003912</v>
      </c>
      <c r="BG777" t="s">
        <v>74</v>
      </c>
      <c r="BH777" t="s">
        <v>74</v>
      </c>
      <c r="BI777">
        <v>5</v>
      </c>
      <c r="BJ777" t="s">
        <v>4994</v>
      </c>
      <c r="BK777" t="s">
        <v>209</v>
      </c>
      <c r="BL777" t="s">
        <v>4994</v>
      </c>
      <c r="BM777" t="s">
        <v>13645</v>
      </c>
      <c r="BN777">
        <v>38685497</v>
      </c>
      <c r="BO777" t="s">
        <v>74</v>
      </c>
      <c r="BP777" t="s">
        <v>74</v>
      </c>
      <c r="BQ777" t="s">
        <v>74</v>
      </c>
      <c r="BR777" t="s">
        <v>102</v>
      </c>
      <c r="BS777" t="s">
        <v>13646</v>
      </c>
      <c r="BT777" t="str">
        <f>HYPERLINK("https%3A%2F%2Fwww.webofscience.com%2Fwos%2Fwoscc%2Ffull-record%2FWOS:001240130600007","View Full Record in Web of Science")</f>
        <v>View Full Record in Web of Science</v>
      </c>
    </row>
    <row r="778" spans="1:72" x14ac:dyDescent="0.35">
      <c r="A778" t="s">
        <v>72</v>
      </c>
      <c r="B778" t="s">
        <v>13647</v>
      </c>
      <c r="C778" t="s">
        <v>74</v>
      </c>
      <c r="D778" t="s">
        <v>74</v>
      </c>
      <c r="E778" t="s">
        <v>74</v>
      </c>
      <c r="F778" t="s">
        <v>13648</v>
      </c>
      <c r="G778" t="s">
        <v>74</v>
      </c>
      <c r="H778" t="s">
        <v>74</v>
      </c>
      <c r="I778" t="s">
        <v>13649</v>
      </c>
      <c r="J778" t="s">
        <v>13650</v>
      </c>
      <c r="K778" t="s">
        <v>74</v>
      </c>
      <c r="L778" t="s">
        <v>74</v>
      </c>
      <c r="M778" t="s">
        <v>78</v>
      </c>
      <c r="N778" t="s">
        <v>108</v>
      </c>
      <c r="O778" t="s">
        <v>74</v>
      </c>
      <c r="P778" t="s">
        <v>74</v>
      </c>
      <c r="Q778" t="s">
        <v>74</v>
      </c>
      <c r="R778" t="s">
        <v>74</v>
      </c>
      <c r="S778" t="s">
        <v>74</v>
      </c>
      <c r="T778" t="s">
        <v>13651</v>
      </c>
      <c r="U778" t="s">
        <v>13652</v>
      </c>
      <c r="V778" t="s">
        <v>13653</v>
      </c>
      <c r="W778" t="s">
        <v>13654</v>
      </c>
      <c r="X778" t="s">
        <v>13655</v>
      </c>
      <c r="Y778" t="s">
        <v>13656</v>
      </c>
      <c r="Z778" t="s">
        <v>13657</v>
      </c>
      <c r="AA778" t="s">
        <v>74</v>
      </c>
      <c r="AB778" t="s">
        <v>13658</v>
      </c>
      <c r="AC778" t="s">
        <v>13659</v>
      </c>
      <c r="AD778" t="s">
        <v>7843</v>
      </c>
      <c r="AE778" t="s">
        <v>13660</v>
      </c>
      <c r="AF778" t="s">
        <v>74</v>
      </c>
      <c r="AG778">
        <v>52</v>
      </c>
      <c r="AH778">
        <v>3</v>
      </c>
      <c r="AI778">
        <v>4</v>
      </c>
      <c r="AJ778">
        <v>1</v>
      </c>
      <c r="AK778">
        <v>5</v>
      </c>
      <c r="AL778" t="s">
        <v>13661</v>
      </c>
      <c r="AM778" t="s">
        <v>7290</v>
      </c>
      <c r="AN778" t="s">
        <v>13662</v>
      </c>
      <c r="AO778" t="s">
        <v>13663</v>
      </c>
      <c r="AP778" t="s">
        <v>74</v>
      </c>
      <c r="AQ778" t="s">
        <v>74</v>
      </c>
      <c r="AR778" t="s">
        <v>13664</v>
      </c>
      <c r="AS778" t="s">
        <v>13665</v>
      </c>
      <c r="AT778" t="s">
        <v>2859</v>
      </c>
      <c r="AU778">
        <v>2022</v>
      </c>
      <c r="AV778">
        <v>8</v>
      </c>
      <c r="AW778">
        <v>1</v>
      </c>
      <c r="AX778" t="s">
        <v>74</v>
      </c>
      <c r="AY778" t="s">
        <v>74</v>
      </c>
      <c r="AZ778" t="s">
        <v>74</v>
      </c>
      <c r="BA778" t="s">
        <v>74</v>
      </c>
      <c r="BB778">
        <v>196</v>
      </c>
      <c r="BC778">
        <v>219</v>
      </c>
      <c r="BD778" t="s">
        <v>74</v>
      </c>
      <c r="BE778" t="s">
        <v>13666</v>
      </c>
      <c r="BF778" t="str">
        <f>HYPERLINK("http://dx.doi.org/10.1515/opar-2022-0235","http://dx.doi.org/10.1515/opar-2022-0235")</f>
        <v>http://dx.doi.org/10.1515/opar-2022-0235</v>
      </c>
      <c r="BG778" t="s">
        <v>74</v>
      </c>
      <c r="BH778" t="s">
        <v>74</v>
      </c>
      <c r="BI778">
        <v>24</v>
      </c>
      <c r="BJ778" t="s">
        <v>13667</v>
      </c>
      <c r="BK778" t="s">
        <v>316</v>
      </c>
      <c r="BL778" t="s">
        <v>13667</v>
      </c>
      <c r="BM778" t="s">
        <v>13668</v>
      </c>
      <c r="BN778" t="s">
        <v>74</v>
      </c>
      <c r="BO778" t="s">
        <v>235</v>
      </c>
      <c r="BP778" t="s">
        <v>74</v>
      </c>
      <c r="BQ778" t="s">
        <v>74</v>
      </c>
      <c r="BR778" t="s">
        <v>102</v>
      </c>
      <c r="BS778" t="s">
        <v>13669</v>
      </c>
      <c r="BT778" t="str">
        <f>HYPERLINK("https%3A%2F%2Fwww.webofscience.com%2Fwos%2Fwoscc%2Ffull-record%2FWOS:000788846600001","View Full Record in Web of Science")</f>
        <v>View Full Record in Web of Science</v>
      </c>
    </row>
    <row r="779" spans="1:72" x14ac:dyDescent="0.35">
      <c r="A779" t="s">
        <v>72</v>
      </c>
      <c r="B779" t="s">
        <v>13670</v>
      </c>
      <c r="C779" t="s">
        <v>74</v>
      </c>
      <c r="D779" t="s">
        <v>74</v>
      </c>
      <c r="E779" t="s">
        <v>74</v>
      </c>
      <c r="F779" t="s">
        <v>13671</v>
      </c>
      <c r="G779" t="s">
        <v>74</v>
      </c>
      <c r="H779" t="s">
        <v>74</v>
      </c>
      <c r="I779" t="s">
        <v>13672</v>
      </c>
      <c r="J779" t="s">
        <v>12657</v>
      </c>
      <c r="K779" t="s">
        <v>74</v>
      </c>
      <c r="L779" t="s">
        <v>74</v>
      </c>
      <c r="M779" t="s">
        <v>78</v>
      </c>
      <c r="N779" t="s">
        <v>1328</v>
      </c>
      <c r="O779" t="s">
        <v>74</v>
      </c>
      <c r="P779" t="s">
        <v>74</v>
      </c>
      <c r="Q779" t="s">
        <v>74</v>
      </c>
      <c r="R779" t="s">
        <v>74</v>
      </c>
      <c r="S779" t="s">
        <v>74</v>
      </c>
      <c r="T779" t="s">
        <v>74</v>
      </c>
      <c r="U779" t="s">
        <v>74</v>
      </c>
      <c r="V779" t="s">
        <v>74</v>
      </c>
      <c r="W779" t="s">
        <v>13673</v>
      </c>
      <c r="X779" t="s">
        <v>13674</v>
      </c>
      <c r="Y779" t="s">
        <v>13675</v>
      </c>
      <c r="Z779" t="s">
        <v>13676</v>
      </c>
      <c r="AA779" t="s">
        <v>13677</v>
      </c>
      <c r="AB779" t="s">
        <v>13678</v>
      </c>
      <c r="AC779" t="s">
        <v>74</v>
      </c>
      <c r="AD779" t="s">
        <v>74</v>
      </c>
      <c r="AE779" t="s">
        <v>74</v>
      </c>
      <c r="AF779" t="s">
        <v>74</v>
      </c>
      <c r="AG779">
        <v>6</v>
      </c>
      <c r="AH779">
        <v>4</v>
      </c>
      <c r="AI779">
        <v>4</v>
      </c>
      <c r="AJ779">
        <v>1</v>
      </c>
      <c r="AK779">
        <v>1</v>
      </c>
      <c r="AL779" t="s">
        <v>251</v>
      </c>
      <c r="AM779" t="s">
        <v>252</v>
      </c>
      <c r="AN779" t="s">
        <v>253</v>
      </c>
      <c r="AO779" t="s">
        <v>12663</v>
      </c>
      <c r="AP779" t="s">
        <v>12664</v>
      </c>
      <c r="AQ779" t="s">
        <v>74</v>
      </c>
      <c r="AR779" t="s">
        <v>12665</v>
      </c>
      <c r="AS779" t="s">
        <v>12666</v>
      </c>
      <c r="AT779" t="s">
        <v>232</v>
      </c>
      <c r="AU779">
        <v>2023</v>
      </c>
      <c r="AV779">
        <v>37</v>
      </c>
      <c r="AW779">
        <v>1</v>
      </c>
      <c r="AX779" t="s">
        <v>74</v>
      </c>
      <c r="AY779" t="s">
        <v>74</v>
      </c>
      <c r="AZ779" t="s">
        <v>74</v>
      </c>
      <c r="BA779" t="s">
        <v>74</v>
      </c>
      <c r="BB779" t="s">
        <v>13679</v>
      </c>
      <c r="BC779" t="s">
        <v>13680</v>
      </c>
      <c r="BD779" t="s">
        <v>74</v>
      </c>
      <c r="BE779" t="s">
        <v>13681</v>
      </c>
      <c r="BF779" t="str">
        <f>HYPERLINK("http://dx.doi.org/10.1111/jdv.18500","http://dx.doi.org/10.1111/jdv.18500")</f>
        <v>http://dx.doi.org/10.1111/jdv.18500</v>
      </c>
      <c r="BG779" t="s">
        <v>74</v>
      </c>
      <c r="BH779" t="s">
        <v>1527</v>
      </c>
      <c r="BI779">
        <v>3</v>
      </c>
      <c r="BJ779" t="s">
        <v>1341</v>
      </c>
      <c r="BK779" t="s">
        <v>209</v>
      </c>
      <c r="BL779" t="s">
        <v>1341</v>
      </c>
      <c r="BM779" t="s">
        <v>13682</v>
      </c>
      <c r="BN779">
        <v>35964292</v>
      </c>
      <c r="BO779" t="s">
        <v>74</v>
      </c>
      <c r="BP779" t="s">
        <v>74</v>
      </c>
      <c r="BQ779" t="s">
        <v>74</v>
      </c>
      <c r="BR779" t="s">
        <v>102</v>
      </c>
      <c r="BS779" t="s">
        <v>13683</v>
      </c>
      <c r="BT779" t="str">
        <f>HYPERLINK("https%3A%2F%2Fwww.webofscience.com%2Fwos%2Fwoscc%2Ffull-record%2FWOS:000843615800001","View Full Record in Web of Science")</f>
        <v>View Full Record in Web of Science</v>
      </c>
    </row>
    <row r="780" spans="1:72" x14ac:dyDescent="0.35">
      <c r="A780" t="s">
        <v>72</v>
      </c>
      <c r="B780" t="s">
        <v>13684</v>
      </c>
      <c r="C780" t="s">
        <v>74</v>
      </c>
      <c r="D780" t="s">
        <v>74</v>
      </c>
      <c r="E780" t="s">
        <v>74</v>
      </c>
      <c r="F780" t="s">
        <v>13685</v>
      </c>
      <c r="G780" t="s">
        <v>74</v>
      </c>
      <c r="H780" t="s">
        <v>74</v>
      </c>
      <c r="I780" t="s">
        <v>13686</v>
      </c>
      <c r="J780" t="s">
        <v>10062</v>
      </c>
      <c r="K780" t="s">
        <v>74</v>
      </c>
      <c r="L780" t="s">
        <v>74</v>
      </c>
      <c r="M780" t="s">
        <v>78</v>
      </c>
      <c r="N780" t="s">
        <v>108</v>
      </c>
      <c r="O780" t="s">
        <v>74</v>
      </c>
      <c r="P780" t="s">
        <v>74</v>
      </c>
      <c r="Q780" t="s">
        <v>74</v>
      </c>
      <c r="R780" t="s">
        <v>74</v>
      </c>
      <c r="S780" t="s">
        <v>74</v>
      </c>
      <c r="T780" t="s">
        <v>13687</v>
      </c>
      <c r="U780" t="s">
        <v>74</v>
      </c>
      <c r="V780" t="s">
        <v>13688</v>
      </c>
      <c r="W780" t="s">
        <v>13689</v>
      </c>
      <c r="X780" t="s">
        <v>74</v>
      </c>
      <c r="Y780" t="s">
        <v>13690</v>
      </c>
      <c r="Z780" t="s">
        <v>74</v>
      </c>
      <c r="AA780" t="s">
        <v>74</v>
      </c>
      <c r="AB780" t="s">
        <v>74</v>
      </c>
      <c r="AC780" t="s">
        <v>13691</v>
      </c>
      <c r="AD780" t="s">
        <v>13692</v>
      </c>
      <c r="AE780" t="s">
        <v>13693</v>
      </c>
      <c r="AF780" t="s">
        <v>74</v>
      </c>
      <c r="AG780">
        <v>30</v>
      </c>
      <c r="AH780">
        <v>0</v>
      </c>
      <c r="AI780">
        <v>0</v>
      </c>
      <c r="AJ780">
        <v>0</v>
      </c>
      <c r="AK780">
        <v>0</v>
      </c>
      <c r="AL780" t="s">
        <v>10071</v>
      </c>
      <c r="AM780" t="s">
        <v>10072</v>
      </c>
      <c r="AN780" t="s">
        <v>10073</v>
      </c>
      <c r="AO780" t="s">
        <v>10074</v>
      </c>
      <c r="AP780" t="s">
        <v>10075</v>
      </c>
      <c r="AQ780" t="s">
        <v>74</v>
      </c>
      <c r="AR780" t="s">
        <v>10076</v>
      </c>
      <c r="AS780" t="s">
        <v>10077</v>
      </c>
      <c r="AT780" t="s">
        <v>178</v>
      </c>
      <c r="AU780">
        <v>2024</v>
      </c>
      <c r="AV780">
        <v>15</v>
      </c>
      <c r="AW780">
        <v>2</v>
      </c>
      <c r="AX780" t="s">
        <v>74</v>
      </c>
      <c r="AY780" t="s">
        <v>74</v>
      </c>
      <c r="AZ780" t="s">
        <v>74</v>
      </c>
      <c r="BA780" t="s">
        <v>74</v>
      </c>
      <c r="BB780">
        <v>323</v>
      </c>
      <c r="BC780">
        <v>330</v>
      </c>
      <c r="BD780" t="s">
        <v>74</v>
      </c>
      <c r="BE780" t="s">
        <v>74</v>
      </c>
      <c r="BF780" t="s">
        <v>74</v>
      </c>
      <c r="BG780" t="s">
        <v>74</v>
      </c>
      <c r="BH780" t="s">
        <v>74</v>
      </c>
      <c r="BI780">
        <v>8</v>
      </c>
      <c r="BJ780" t="s">
        <v>6668</v>
      </c>
      <c r="BK780" t="s">
        <v>125</v>
      </c>
      <c r="BL780" t="s">
        <v>210</v>
      </c>
      <c r="BM780" t="s">
        <v>13694</v>
      </c>
      <c r="BN780" t="s">
        <v>74</v>
      </c>
      <c r="BO780" t="s">
        <v>74</v>
      </c>
      <c r="BP780" t="s">
        <v>74</v>
      </c>
      <c r="BQ780" t="s">
        <v>74</v>
      </c>
      <c r="BR780" t="s">
        <v>102</v>
      </c>
      <c r="BS780" t="s">
        <v>13695</v>
      </c>
      <c r="BT780" t="str">
        <f>HYPERLINK("https%3A%2F%2Fwww.webofscience.com%2Fwos%2Fwoscc%2Ffull-record%2FWOS:001317434000032","View Full Record in Web of Science")</f>
        <v>View Full Record in Web of Science</v>
      </c>
    </row>
    <row r="781" spans="1:72" x14ac:dyDescent="0.35">
      <c r="A781" t="s">
        <v>72</v>
      </c>
      <c r="B781" t="s">
        <v>13696</v>
      </c>
      <c r="C781" t="s">
        <v>74</v>
      </c>
      <c r="D781" t="s">
        <v>74</v>
      </c>
      <c r="E781" t="s">
        <v>74</v>
      </c>
      <c r="F781" t="s">
        <v>13697</v>
      </c>
      <c r="G781" t="s">
        <v>74</v>
      </c>
      <c r="H781" t="s">
        <v>74</v>
      </c>
      <c r="I781" t="s">
        <v>13698</v>
      </c>
      <c r="J781" t="s">
        <v>6580</v>
      </c>
      <c r="K781" t="s">
        <v>74</v>
      </c>
      <c r="L781" t="s">
        <v>74</v>
      </c>
      <c r="M781" t="s">
        <v>78</v>
      </c>
      <c r="N781" t="s">
        <v>108</v>
      </c>
      <c r="O781" t="s">
        <v>74</v>
      </c>
      <c r="P781" t="s">
        <v>74</v>
      </c>
      <c r="Q781" t="s">
        <v>74</v>
      </c>
      <c r="R781" t="s">
        <v>74</v>
      </c>
      <c r="S781" t="s">
        <v>74</v>
      </c>
      <c r="T781" t="s">
        <v>13699</v>
      </c>
      <c r="U781" t="s">
        <v>13700</v>
      </c>
      <c r="V781" t="s">
        <v>13701</v>
      </c>
      <c r="W781" t="s">
        <v>13702</v>
      </c>
      <c r="X781" t="s">
        <v>13703</v>
      </c>
      <c r="Y781" t="s">
        <v>13704</v>
      </c>
      <c r="Z781" t="s">
        <v>13705</v>
      </c>
      <c r="AA781" t="s">
        <v>74</v>
      </c>
      <c r="AB781" t="s">
        <v>74</v>
      </c>
      <c r="AC781" t="s">
        <v>74</v>
      </c>
      <c r="AD781" t="s">
        <v>74</v>
      </c>
      <c r="AE781" t="s">
        <v>74</v>
      </c>
      <c r="AF781" t="s">
        <v>74</v>
      </c>
      <c r="AG781">
        <v>38</v>
      </c>
      <c r="AH781">
        <v>1</v>
      </c>
      <c r="AI781">
        <v>1</v>
      </c>
      <c r="AJ781">
        <v>1</v>
      </c>
      <c r="AK781">
        <v>3</v>
      </c>
      <c r="AL781" t="s">
        <v>6587</v>
      </c>
      <c r="AM781" t="s">
        <v>6588</v>
      </c>
      <c r="AN781" t="s">
        <v>6589</v>
      </c>
      <c r="AO781" t="s">
        <v>6590</v>
      </c>
      <c r="AP781" t="s">
        <v>74</v>
      </c>
      <c r="AQ781" t="s">
        <v>74</v>
      </c>
      <c r="AR781" t="s">
        <v>6591</v>
      </c>
      <c r="AS781" t="s">
        <v>6592</v>
      </c>
      <c r="AT781" t="s">
        <v>6593</v>
      </c>
      <c r="AU781">
        <v>2023</v>
      </c>
      <c r="AV781" t="s">
        <v>74</v>
      </c>
      <c r="AW781">
        <v>24</v>
      </c>
      <c r="AX781" t="s">
        <v>74</v>
      </c>
      <c r="AY781" t="s">
        <v>74</v>
      </c>
      <c r="AZ781" t="s">
        <v>74</v>
      </c>
      <c r="BA781" t="s">
        <v>74</v>
      </c>
      <c r="BB781">
        <v>73</v>
      </c>
      <c r="BC781">
        <v>91</v>
      </c>
      <c r="BD781" t="s">
        <v>74</v>
      </c>
      <c r="BE781" t="s">
        <v>13706</v>
      </c>
      <c r="BF781" t="str">
        <f>HYPERLINK("http://dx.doi.org/10.25029/od.2023.385.24","http://dx.doi.org/10.25029/od.2023.385.24")</f>
        <v>http://dx.doi.org/10.25029/od.2023.385.24</v>
      </c>
      <c r="BG781" t="s">
        <v>74</v>
      </c>
      <c r="BH781" t="s">
        <v>74</v>
      </c>
      <c r="BI781">
        <v>19</v>
      </c>
      <c r="BJ781" t="s">
        <v>124</v>
      </c>
      <c r="BK781" t="s">
        <v>125</v>
      </c>
      <c r="BL781" t="s">
        <v>124</v>
      </c>
      <c r="BM781" t="s">
        <v>6595</v>
      </c>
      <c r="BN781" t="s">
        <v>74</v>
      </c>
      <c r="BO781" t="s">
        <v>13707</v>
      </c>
      <c r="BP781" t="s">
        <v>74</v>
      </c>
      <c r="BQ781" t="s">
        <v>74</v>
      </c>
      <c r="BR781" t="s">
        <v>102</v>
      </c>
      <c r="BS781" t="s">
        <v>13708</v>
      </c>
      <c r="BT781" t="str">
        <f>HYPERLINK("https%3A%2F%2Fwww.webofscience.com%2Fwos%2Fwoscc%2Ffull-record%2FWOS:001165584700014","View Full Record in Web of Science")</f>
        <v>View Full Record in Web of Science</v>
      </c>
    </row>
    <row r="782" spans="1:72" x14ac:dyDescent="0.35">
      <c r="A782" t="s">
        <v>72</v>
      </c>
      <c r="B782" t="s">
        <v>13709</v>
      </c>
      <c r="C782" t="s">
        <v>74</v>
      </c>
      <c r="D782" t="s">
        <v>74</v>
      </c>
      <c r="E782" t="s">
        <v>74</v>
      </c>
      <c r="F782" t="s">
        <v>13710</v>
      </c>
      <c r="G782" t="s">
        <v>74</v>
      </c>
      <c r="H782" t="s">
        <v>74</v>
      </c>
      <c r="I782" t="s">
        <v>13711</v>
      </c>
      <c r="J782" t="s">
        <v>13269</v>
      </c>
      <c r="K782" t="s">
        <v>74</v>
      </c>
      <c r="L782" t="s">
        <v>74</v>
      </c>
      <c r="M782" t="s">
        <v>78</v>
      </c>
      <c r="N782" t="s">
        <v>108</v>
      </c>
      <c r="O782" t="s">
        <v>74</v>
      </c>
      <c r="P782" t="s">
        <v>74</v>
      </c>
      <c r="Q782" t="s">
        <v>74</v>
      </c>
      <c r="R782" t="s">
        <v>74</v>
      </c>
      <c r="S782" t="s">
        <v>74</v>
      </c>
      <c r="T782" t="s">
        <v>13712</v>
      </c>
      <c r="U782" t="s">
        <v>13713</v>
      </c>
      <c r="V782" t="s">
        <v>13714</v>
      </c>
      <c r="W782" t="s">
        <v>13715</v>
      </c>
      <c r="X782" t="s">
        <v>13716</v>
      </c>
      <c r="Y782" t="s">
        <v>13717</v>
      </c>
      <c r="Z782" t="s">
        <v>13718</v>
      </c>
      <c r="AA782" t="s">
        <v>74</v>
      </c>
      <c r="AB782" t="s">
        <v>74</v>
      </c>
      <c r="AC782" t="s">
        <v>74</v>
      </c>
      <c r="AD782" t="s">
        <v>74</v>
      </c>
      <c r="AE782" t="s">
        <v>74</v>
      </c>
      <c r="AF782" t="s">
        <v>74</v>
      </c>
      <c r="AG782">
        <v>52</v>
      </c>
      <c r="AH782">
        <v>19</v>
      </c>
      <c r="AI782">
        <v>21</v>
      </c>
      <c r="AJ782">
        <v>0</v>
      </c>
      <c r="AK782">
        <v>40</v>
      </c>
      <c r="AL782" t="s">
        <v>13277</v>
      </c>
      <c r="AM782" t="s">
        <v>13278</v>
      </c>
      <c r="AN782" t="s">
        <v>13279</v>
      </c>
      <c r="AO782" t="s">
        <v>13280</v>
      </c>
      <c r="AP782" t="s">
        <v>13281</v>
      </c>
      <c r="AQ782" t="s">
        <v>74</v>
      </c>
      <c r="AR782" t="s">
        <v>13282</v>
      </c>
      <c r="AS782" t="s">
        <v>13283</v>
      </c>
      <c r="AT782" t="s">
        <v>696</v>
      </c>
      <c r="AU782">
        <v>2021</v>
      </c>
      <c r="AV782">
        <v>229</v>
      </c>
      <c r="AW782" t="s">
        <v>74</v>
      </c>
      <c r="AX782" t="s">
        <v>13719</v>
      </c>
      <c r="AY782" t="s">
        <v>74</v>
      </c>
      <c r="AZ782" t="s">
        <v>74</v>
      </c>
      <c r="BA782" t="s">
        <v>74</v>
      </c>
      <c r="BB782" t="s">
        <v>74</v>
      </c>
      <c r="BC782" t="s">
        <v>74</v>
      </c>
      <c r="BD782">
        <v>109147</v>
      </c>
      <c r="BE782" t="s">
        <v>13720</v>
      </c>
      <c r="BF782" t="str">
        <f>HYPERLINK("http://dx.doi.org/10.1016/j.drugalcdep.2021.109147","http://dx.doi.org/10.1016/j.drugalcdep.2021.109147")</f>
        <v>http://dx.doi.org/10.1016/j.drugalcdep.2021.109147</v>
      </c>
      <c r="BG782" t="s">
        <v>74</v>
      </c>
      <c r="BH782" t="s">
        <v>747</v>
      </c>
      <c r="BI782">
        <v>11</v>
      </c>
      <c r="BJ782" t="s">
        <v>13287</v>
      </c>
      <c r="BK782" t="s">
        <v>182</v>
      </c>
      <c r="BL782" t="s">
        <v>13287</v>
      </c>
      <c r="BM782" t="s">
        <v>13721</v>
      </c>
      <c r="BN782">
        <v>34749199</v>
      </c>
      <c r="BO782" t="s">
        <v>74</v>
      </c>
      <c r="BP782" t="s">
        <v>74</v>
      </c>
      <c r="BQ782" t="s">
        <v>74</v>
      </c>
      <c r="BR782" t="s">
        <v>102</v>
      </c>
      <c r="BS782" t="s">
        <v>13722</v>
      </c>
      <c r="BT782" t="str">
        <f>HYPERLINK("https%3A%2F%2Fwww.webofscience.com%2Fwos%2Fwoscc%2Ffull-record%2FWOS:000718374400007","View Full Record in Web of Science")</f>
        <v>View Full Record in Web of Science</v>
      </c>
    </row>
    <row r="783" spans="1:72" x14ac:dyDescent="0.35">
      <c r="A783" t="s">
        <v>72</v>
      </c>
      <c r="B783" t="s">
        <v>13723</v>
      </c>
      <c r="C783" t="s">
        <v>74</v>
      </c>
      <c r="D783" t="s">
        <v>74</v>
      </c>
      <c r="E783" t="s">
        <v>74</v>
      </c>
      <c r="F783" t="s">
        <v>13724</v>
      </c>
      <c r="G783" t="s">
        <v>74</v>
      </c>
      <c r="H783" t="s">
        <v>74</v>
      </c>
      <c r="I783" t="s">
        <v>13725</v>
      </c>
      <c r="J783" t="s">
        <v>1327</v>
      </c>
      <c r="K783" t="s">
        <v>74</v>
      </c>
      <c r="L783" t="s">
        <v>74</v>
      </c>
      <c r="M783" t="s">
        <v>78</v>
      </c>
      <c r="N783" t="s">
        <v>1328</v>
      </c>
      <c r="O783" t="s">
        <v>74</v>
      </c>
      <c r="P783" t="s">
        <v>74</v>
      </c>
      <c r="Q783" t="s">
        <v>74</v>
      </c>
      <c r="R783" t="s">
        <v>74</v>
      </c>
      <c r="S783" t="s">
        <v>74</v>
      </c>
      <c r="T783" t="s">
        <v>74</v>
      </c>
      <c r="U783" t="s">
        <v>74</v>
      </c>
      <c r="V783" t="s">
        <v>74</v>
      </c>
      <c r="W783" t="s">
        <v>13726</v>
      </c>
      <c r="X783" t="s">
        <v>13727</v>
      </c>
      <c r="Y783" t="s">
        <v>13728</v>
      </c>
      <c r="Z783" t="s">
        <v>13729</v>
      </c>
      <c r="AA783" t="s">
        <v>74</v>
      </c>
      <c r="AB783" t="s">
        <v>74</v>
      </c>
      <c r="AC783" t="s">
        <v>74</v>
      </c>
      <c r="AD783" t="s">
        <v>74</v>
      </c>
      <c r="AE783" t="s">
        <v>74</v>
      </c>
      <c r="AF783" t="s">
        <v>74</v>
      </c>
      <c r="AG783">
        <v>5</v>
      </c>
      <c r="AH783">
        <v>0</v>
      </c>
      <c r="AI783">
        <v>0</v>
      </c>
      <c r="AJ783">
        <v>0</v>
      </c>
      <c r="AK783">
        <v>0</v>
      </c>
      <c r="AL783" t="s">
        <v>251</v>
      </c>
      <c r="AM783" t="s">
        <v>252</v>
      </c>
      <c r="AN783" t="s">
        <v>253</v>
      </c>
      <c r="AO783" t="s">
        <v>1335</v>
      </c>
      <c r="AP783" t="s">
        <v>1336</v>
      </c>
      <c r="AQ783" t="s">
        <v>74</v>
      </c>
      <c r="AR783" t="s">
        <v>1337</v>
      </c>
      <c r="AS783" t="s">
        <v>1338</v>
      </c>
      <c r="AT783" t="s">
        <v>594</v>
      </c>
      <c r="AU783">
        <v>2024</v>
      </c>
      <c r="AV783">
        <v>30</v>
      </c>
      <c r="AW783">
        <v>10</v>
      </c>
      <c r="AX783" t="s">
        <v>74</v>
      </c>
      <c r="AY783" t="s">
        <v>74</v>
      </c>
      <c r="AZ783" t="s">
        <v>74</v>
      </c>
      <c r="BA783" t="s">
        <v>74</v>
      </c>
      <c r="BB783" t="s">
        <v>74</v>
      </c>
      <c r="BC783" t="s">
        <v>74</v>
      </c>
      <c r="BD783" t="s">
        <v>13730</v>
      </c>
      <c r="BE783" t="s">
        <v>13731</v>
      </c>
      <c r="BF783" t="str">
        <f>HYPERLINK("http://dx.doi.org/10.1111/srt.70061","http://dx.doi.org/10.1111/srt.70061")</f>
        <v>http://dx.doi.org/10.1111/srt.70061</v>
      </c>
      <c r="BG783" t="s">
        <v>74</v>
      </c>
      <c r="BH783" t="s">
        <v>74</v>
      </c>
      <c r="BI783">
        <v>2</v>
      </c>
      <c r="BJ783" t="s">
        <v>1341</v>
      </c>
      <c r="BK783" t="s">
        <v>209</v>
      </c>
      <c r="BL783" t="s">
        <v>1341</v>
      </c>
      <c r="BM783" t="s">
        <v>13732</v>
      </c>
      <c r="BN783">
        <v>39366913</v>
      </c>
      <c r="BO783" t="s">
        <v>156</v>
      </c>
      <c r="BP783" t="s">
        <v>74</v>
      </c>
      <c r="BQ783" t="s">
        <v>74</v>
      </c>
      <c r="BR783" t="s">
        <v>102</v>
      </c>
      <c r="BS783" t="s">
        <v>13733</v>
      </c>
      <c r="BT783" t="str">
        <f>HYPERLINK("https%3A%2F%2Fwww.webofscience.com%2Fwos%2Fwoscc%2Ffull-record%2FWOS:001328848200001","View Full Record in Web of Science")</f>
        <v>View Full Record in Web of Science</v>
      </c>
    </row>
    <row r="784" spans="1:72" x14ac:dyDescent="0.35">
      <c r="A784" t="s">
        <v>72</v>
      </c>
      <c r="B784" t="s">
        <v>13734</v>
      </c>
      <c r="C784" t="s">
        <v>74</v>
      </c>
      <c r="D784" t="s">
        <v>74</v>
      </c>
      <c r="E784" t="s">
        <v>74</v>
      </c>
      <c r="F784" t="s">
        <v>13735</v>
      </c>
      <c r="G784" t="s">
        <v>74</v>
      </c>
      <c r="H784" t="s">
        <v>74</v>
      </c>
      <c r="I784" t="s">
        <v>13736</v>
      </c>
      <c r="J784" t="s">
        <v>2493</v>
      </c>
      <c r="K784" t="s">
        <v>74</v>
      </c>
      <c r="L784" t="s">
        <v>74</v>
      </c>
      <c r="M784" t="s">
        <v>78</v>
      </c>
      <c r="N784" t="s">
        <v>52</v>
      </c>
      <c r="O784" t="s">
        <v>9678</v>
      </c>
      <c r="P784" t="s">
        <v>10990</v>
      </c>
      <c r="Q784" t="s">
        <v>5386</v>
      </c>
      <c r="R784" t="s">
        <v>9680</v>
      </c>
      <c r="S784" t="s">
        <v>74</v>
      </c>
      <c r="T784" t="s">
        <v>74</v>
      </c>
      <c r="U784" t="s">
        <v>74</v>
      </c>
      <c r="V784" t="s">
        <v>74</v>
      </c>
      <c r="W784" t="s">
        <v>13737</v>
      </c>
      <c r="X784" t="s">
        <v>13738</v>
      </c>
      <c r="Y784" t="s">
        <v>74</v>
      </c>
      <c r="Z784" t="s">
        <v>74</v>
      </c>
      <c r="AA784" t="s">
        <v>74</v>
      </c>
      <c r="AB784" t="s">
        <v>74</v>
      </c>
      <c r="AC784" t="s">
        <v>74</v>
      </c>
      <c r="AD784" t="s">
        <v>74</v>
      </c>
      <c r="AE784" t="s">
        <v>74</v>
      </c>
      <c r="AF784" t="s">
        <v>74</v>
      </c>
      <c r="AG784">
        <v>0</v>
      </c>
      <c r="AH784">
        <v>1</v>
      </c>
      <c r="AI784">
        <v>1</v>
      </c>
      <c r="AJ784">
        <v>0</v>
      </c>
      <c r="AK784">
        <v>1</v>
      </c>
      <c r="AL784" t="s">
        <v>2027</v>
      </c>
      <c r="AM784" t="s">
        <v>666</v>
      </c>
      <c r="AN784" t="s">
        <v>2028</v>
      </c>
      <c r="AO784" t="s">
        <v>2498</v>
      </c>
      <c r="AP784" t="s">
        <v>2499</v>
      </c>
      <c r="AQ784" t="s">
        <v>74</v>
      </c>
      <c r="AR784" t="s">
        <v>2500</v>
      </c>
      <c r="AS784" t="s">
        <v>2501</v>
      </c>
      <c r="AT784" t="s">
        <v>455</v>
      </c>
      <c r="AU784">
        <v>2022</v>
      </c>
      <c r="AV784">
        <v>87</v>
      </c>
      <c r="AW784">
        <v>3</v>
      </c>
      <c r="AX784" t="s">
        <v>74</v>
      </c>
      <c r="AY784" t="s">
        <v>4946</v>
      </c>
      <c r="AZ784" t="s">
        <v>74</v>
      </c>
      <c r="BA784">
        <v>33348</v>
      </c>
      <c r="BB784" t="s">
        <v>13739</v>
      </c>
      <c r="BC784" t="s">
        <v>13739</v>
      </c>
      <c r="BD784" t="s">
        <v>74</v>
      </c>
      <c r="BE784" t="s">
        <v>74</v>
      </c>
      <c r="BF784" t="s">
        <v>74</v>
      </c>
      <c r="BG784" t="s">
        <v>74</v>
      </c>
      <c r="BH784" t="s">
        <v>74</v>
      </c>
      <c r="BI784">
        <v>1</v>
      </c>
      <c r="BJ784" t="s">
        <v>1341</v>
      </c>
      <c r="BK784" t="s">
        <v>2257</v>
      </c>
      <c r="BL784" t="s">
        <v>1341</v>
      </c>
      <c r="BM784" t="s">
        <v>10994</v>
      </c>
      <c r="BN784" t="s">
        <v>74</v>
      </c>
      <c r="BO784" t="s">
        <v>74</v>
      </c>
      <c r="BP784" t="s">
        <v>74</v>
      </c>
      <c r="BQ784" t="s">
        <v>74</v>
      </c>
      <c r="BR784" t="s">
        <v>102</v>
      </c>
      <c r="BS784" t="s">
        <v>13740</v>
      </c>
      <c r="BT784" t="str">
        <f>HYPERLINK("https%3A%2F%2Fwww.webofscience.com%2Fwos%2Fwoscc%2Ffull-record%2FWOS:000891793201081","View Full Record in Web of Science")</f>
        <v>View Full Record in Web of Science</v>
      </c>
    </row>
    <row r="785" spans="1:72" x14ac:dyDescent="0.35">
      <c r="A785" t="s">
        <v>72</v>
      </c>
      <c r="B785" t="s">
        <v>13741</v>
      </c>
      <c r="C785" t="s">
        <v>74</v>
      </c>
      <c r="D785" t="s">
        <v>74</v>
      </c>
      <c r="E785" t="s">
        <v>74</v>
      </c>
      <c r="F785" t="s">
        <v>13742</v>
      </c>
      <c r="G785" t="s">
        <v>74</v>
      </c>
      <c r="H785" t="s">
        <v>74</v>
      </c>
      <c r="I785" t="s">
        <v>13743</v>
      </c>
      <c r="J785" t="s">
        <v>10432</v>
      </c>
      <c r="K785" t="s">
        <v>74</v>
      </c>
      <c r="L785" t="s">
        <v>74</v>
      </c>
      <c r="M785" t="s">
        <v>78</v>
      </c>
      <c r="N785" t="s">
        <v>52</v>
      </c>
      <c r="O785" t="s">
        <v>13744</v>
      </c>
      <c r="P785" t="s">
        <v>13745</v>
      </c>
      <c r="Q785" t="s">
        <v>13746</v>
      </c>
      <c r="R785" t="s">
        <v>74</v>
      </c>
      <c r="S785" t="s">
        <v>74</v>
      </c>
      <c r="T785" t="s">
        <v>74</v>
      </c>
      <c r="U785" t="s">
        <v>74</v>
      </c>
      <c r="V785" t="s">
        <v>74</v>
      </c>
      <c r="W785" t="s">
        <v>13747</v>
      </c>
      <c r="X785" t="s">
        <v>13748</v>
      </c>
      <c r="Y785" t="s">
        <v>74</v>
      </c>
      <c r="Z785" t="s">
        <v>74</v>
      </c>
      <c r="AA785" t="s">
        <v>13749</v>
      </c>
      <c r="AB785" t="s">
        <v>74</v>
      </c>
      <c r="AC785" t="s">
        <v>74</v>
      </c>
      <c r="AD785" t="s">
        <v>74</v>
      </c>
      <c r="AE785" t="s">
        <v>74</v>
      </c>
      <c r="AF785" t="s">
        <v>74</v>
      </c>
      <c r="AG785">
        <v>0</v>
      </c>
      <c r="AH785">
        <v>0</v>
      </c>
      <c r="AI785">
        <v>0</v>
      </c>
      <c r="AJ785">
        <v>0</v>
      </c>
      <c r="AK785">
        <v>0</v>
      </c>
      <c r="AL785" t="s">
        <v>1965</v>
      </c>
      <c r="AM785" t="s">
        <v>666</v>
      </c>
      <c r="AN785" t="s">
        <v>1966</v>
      </c>
      <c r="AO785" t="s">
        <v>10436</v>
      </c>
      <c r="AP785" t="s">
        <v>10437</v>
      </c>
      <c r="AQ785" t="s">
        <v>74</v>
      </c>
      <c r="AR785" t="s">
        <v>10438</v>
      </c>
      <c r="AS785" t="s">
        <v>10439</v>
      </c>
      <c r="AT785" t="s">
        <v>745</v>
      </c>
      <c r="AU785">
        <v>2023</v>
      </c>
      <c r="AV785">
        <v>143</v>
      </c>
      <c r="AW785">
        <v>5</v>
      </c>
      <c r="AX785" t="s">
        <v>74</v>
      </c>
      <c r="AY785" t="s">
        <v>4946</v>
      </c>
      <c r="AZ785" t="s">
        <v>74</v>
      </c>
      <c r="BA785">
        <v>689</v>
      </c>
      <c r="BB785" t="s">
        <v>13750</v>
      </c>
      <c r="BC785" t="s">
        <v>13750</v>
      </c>
      <c r="BD785" t="s">
        <v>74</v>
      </c>
      <c r="BE785" t="s">
        <v>74</v>
      </c>
      <c r="BF785" t="s">
        <v>74</v>
      </c>
      <c r="BG785" t="s">
        <v>74</v>
      </c>
      <c r="BH785" t="s">
        <v>74</v>
      </c>
      <c r="BI785">
        <v>1</v>
      </c>
      <c r="BJ785" t="s">
        <v>1341</v>
      </c>
      <c r="BK785" t="s">
        <v>2257</v>
      </c>
      <c r="BL785" t="s">
        <v>1341</v>
      </c>
      <c r="BM785" t="s">
        <v>13751</v>
      </c>
      <c r="BN785" t="s">
        <v>74</v>
      </c>
      <c r="BO785" t="s">
        <v>74</v>
      </c>
      <c r="BP785" t="s">
        <v>74</v>
      </c>
      <c r="BQ785" t="s">
        <v>74</v>
      </c>
      <c r="BR785" t="s">
        <v>102</v>
      </c>
      <c r="BS785" t="s">
        <v>13752</v>
      </c>
      <c r="BT785" t="str">
        <f>HYPERLINK("https%3A%2F%2Fwww.webofscience.com%2Fwos%2Fwoscc%2Ffull-record%2FWOS:001037960300685","View Full Record in Web of Science")</f>
        <v>View Full Record in Web of Science</v>
      </c>
    </row>
    <row r="786" spans="1:72" x14ac:dyDescent="0.35">
      <c r="A786" t="s">
        <v>72</v>
      </c>
      <c r="B786" t="s">
        <v>13753</v>
      </c>
      <c r="C786" t="s">
        <v>74</v>
      </c>
      <c r="D786" t="s">
        <v>74</v>
      </c>
      <c r="E786" t="s">
        <v>74</v>
      </c>
      <c r="F786" t="s">
        <v>13754</v>
      </c>
      <c r="G786" t="s">
        <v>74</v>
      </c>
      <c r="H786" t="s">
        <v>74</v>
      </c>
      <c r="I786" t="s">
        <v>13755</v>
      </c>
      <c r="J786" t="s">
        <v>2524</v>
      </c>
      <c r="K786" t="s">
        <v>74</v>
      </c>
      <c r="L786" t="s">
        <v>74</v>
      </c>
      <c r="M786" t="s">
        <v>78</v>
      </c>
      <c r="N786" t="s">
        <v>52</v>
      </c>
      <c r="O786" t="s">
        <v>2525</v>
      </c>
      <c r="P786" t="s">
        <v>2526</v>
      </c>
      <c r="Q786" t="s">
        <v>2527</v>
      </c>
      <c r="R786" t="s">
        <v>74</v>
      </c>
      <c r="S786" t="s">
        <v>74</v>
      </c>
      <c r="T786" t="s">
        <v>74</v>
      </c>
      <c r="U786" t="s">
        <v>74</v>
      </c>
      <c r="V786" t="s">
        <v>74</v>
      </c>
      <c r="W786" t="s">
        <v>13756</v>
      </c>
      <c r="X786" t="s">
        <v>11557</v>
      </c>
      <c r="Y786" t="s">
        <v>74</v>
      </c>
      <c r="Z786" t="s">
        <v>74</v>
      </c>
      <c r="AA786" t="s">
        <v>74</v>
      </c>
      <c r="AB786" t="s">
        <v>74</v>
      </c>
      <c r="AC786" t="s">
        <v>74</v>
      </c>
      <c r="AD786" t="s">
        <v>74</v>
      </c>
      <c r="AE786" t="s">
        <v>74</v>
      </c>
      <c r="AF786" t="s">
        <v>74</v>
      </c>
      <c r="AG786">
        <v>0</v>
      </c>
      <c r="AH786">
        <v>0</v>
      </c>
      <c r="AI786">
        <v>0</v>
      </c>
      <c r="AJ786">
        <v>0</v>
      </c>
      <c r="AK786">
        <v>0</v>
      </c>
      <c r="AL786" t="s">
        <v>226</v>
      </c>
      <c r="AM786" t="s">
        <v>227</v>
      </c>
      <c r="AN786" t="s">
        <v>228</v>
      </c>
      <c r="AO786" t="s">
        <v>2530</v>
      </c>
      <c r="AP786" t="s">
        <v>2531</v>
      </c>
      <c r="AQ786" t="s">
        <v>74</v>
      </c>
      <c r="AR786" t="s">
        <v>2532</v>
      </c>
      <c r="AS786" t="s">
        <v>2533</v>
      </c>
      <c r="AT786" t="s">
        <v>232</v>
      </c>
      <c r="AU786">
        <v>2023</v>
      </c>
      <c r="AV786">
        <v>71</v>
      </c>
      <c r="AW786">
        <v>1</v>
      </c>
      <c r="AX786" t="s">
        <v>74</v>
      </c>
      <c r="AY786" t="s">
        <v>74</v>
      </c>
      <c r="AZ786" t="s">
        <v>74</v>
      </c>
      <c r="BA786">
        <v>97</v>
      </c>
      <c r="BB786" t="s">
        <v>13757</v>
      </c>
      <c r="BC786" t="s">
        <v>13757</v>
      </c>
      <c r="BD786" t="s">
        <v>74</v>
      </c>
      <c r="BE786" t="s">
        <v>74</v>
      </c>
      <c r="BF786" t="s">
        <v>74</v>
      </c>
      <c r="BG786" t="s">
        <v>74</v>
      </c>
      <c r="BH786" t="s">
        <v>74</v>
      </c>
      <c r="BI786">
        <v>1</v>
      </c>
      <c r="BJ786" t="s">
        <v>2535</v>
      </c>
      <c r="BK786" t="s">
        <v>2257</v>
      </c>
      <c r="BL786" t="s">
        <v>2536</v>
      </c>
      <c r="BM786" t="s">
        <v>2537</v>
      </c>
      <c r="BN786" t="s">
        <v>74</v>
      </c>
      <c r="BO786" t="s">
        <v>74</v>
      </c>
      <c r="BP786" t="s">
        <v>74</v>
      </c>
      <c r="BQ786" t="s">
        <v>74</v>
      </c>
      <c r="BR786" t="s">
        <v>102</v>
      </c>
      <c r="BS786" t="s">
        <v>13758</v>
      </c>
      <c r="BT786" t="str">
        <f>HYPERLINK("https%3A%2F%2Fwww.webofscience.com%2Fwos%2Fwoscc%2Ffull-record%2FWOS:000972423800110","View Full Record in Web of Science")</f>
        <v>View Full Record in Web of Science</v>
      </c>
    </row>
    <row r="787" spans="1:72" x14ac:dyDescent="0.35">
      <c r="A787" t="s">
        <v>72</v>
      </c>
      <c r="B787" t="s">
        <v>13759</v>
      </c>
      <c r="C787" t="s">
        <v>74</v>
      </c>
      <c r="D787" t="s">
        <v>74</v>
      </c>
      <c r="E787" t="s">
        <v>74</v>
      </c>
      <c r="F787" t="s">
        <v>13760</v>
      </c>
      <c r="G787" t="s">
        <v>74</v>
      </c>
      <c r="H787" t="s">
        <v>74</v>
      </c>
      <c r="I787" t="s">
        <v>13761</v>
      </c>
      <c r="J787" t="s">
        <v>13206</v>
      </c>
      <c r="K787" t="s">
        <v>74</v>
      </c>
      <c r="L787" t="s">
        <v>74</v>
      </c>
      <c r="M787" t="s">
        <v>78</v>
      </c>
      <c r="N787" t="s">
        <v>108</v>
      </c>
      <c r="O787" t="s">
        <v>74</v>
      </c>
      <c r="P787" t="s">
        <v>74</v>
      </c>
      <c r="Q787" t="s">
        <v>74</v>
      </c>
      <c r="R787" t="s">
        <v>74</v>
      </c>
      <c r="S787" t="s">
        <v>74</v>
      </c>
      <c r="T787" t="s">
        <v>13762</v>
      </c>
      <c r="U787" t="s">
        <v>13763</v>
      </c>
      <c r="V787" t="s">
        <v>13764</v>
      </c>
      <c r="W787" t="s">
        <v>13765</v>
      </c>
      <c r="X787" t="s">
        <v>13766</v>
      </c>
      <c r="Y787" t="s">
        <v>13767</v>
      </c>
      <c r="Z787" t="s">
        <v>13768</v>
      </c>
      <c r="AA787" t="s">
        <v>13769</v>
      </c>
      <c r="AB787" t="s">
        <v>13770</v>
      </c>
      <c r="AC787" t="s">
        <v>13771</v>
      </c>
      <c r="AD787" t="s">
        <v>13772</v>
      </c>
      <c r="AE787" t="s">
        <v>13773</v>
      </c>
      <c r="AF787" t="s">
        <v>74</v>
      </c>
      <c r="AG787">
        <v>102</v>
      </c>
      <c r="AH787">
        <v>1</v>
      </c>
      <c r="AI787">
        <v>1</v>
      </c>
      <c r="AJ787">
        <v>5</v>
      </c>
      <c r="AK787">
        <v>11</v>
      </c>
      <c r="AL787" t="s">
        <v>171</v>
      </c>
      <c r="AM787" t="s">
        <v>172</v>
      </c>
      <c r="AN787" t="s">
        <v>173</v>
      </c>
      <c r="AO787" t="s">
        <v>13213</v>
      </c>
      <c r="AP787" t="s">
        <v>13214</v>
      </c>
      <c r="AQ787" t="s">
        <v>74</v>
      </c>
      <c r="AR787" t="s">
        <v>13215</v>
      </c>
      <c r="AS787" t="s">
        <v>13216</v>
      </c>
      <c r="AT787" t="s">
        <v>594</v>
      </c>
      <c r="AU787">
        <v>2023</v>
      </c>
      <c r="AV787">
        <v>29</v>
      </c>
      <c r="AW787">
        <v>5</v>
      </c>
      <c r="AX787" t="s">
        <v>74</v>
      </c>
      <c r="AY787" t="s">
        <v>74</v>
      </c>
      <c r="AZ787" t="s">
        <v>74</v>
      </c>
      <c r="BA787" t="s">
        <v>74</v>
      </c>
      <c r="BB787">
        <v>1262</v>
      </c>
      <c r="BC787">
        <v>1282</v>
      </c>
      <c r="BD787" t="s">
        <v>74</v>
      </c>
      <c r="BE787" t="s">
        <v>13774</v>
      </c>
      <c r="BF787" t="str">
        <f>HYPERLINK("http://dx.doi.org/10.1177/13548565231187728","http://dx.doi.org/10.1177/13548565231187728")</f>
        <v>http://dx.doi.org/10.1177/13548565231187728</v>
      </c>
      <c r="BG787" t="s">
        <v>74</v>
      </c>
      <c r="BH787" t="s">
        <v>74</v>
      </c>
      <c r="BI787">
        <v>21</v>
      </c>
      <c r="BJ787" t="s">
        <v>124</v>
      </c>
      <c r="BK787" t="s">
        <v>99</v>
      </c>
      <c r="BL787" t="s">
        <v>124</v>
      </c>
      <c r="BM787" t="s">
        <v>13775</v>
      </c>
      <c r="BN787" t="s">
        <v>74</v>
      </c>
      <c r="BO787" t="s">
        <v>2738</v>
      </c>
      <c r="BP787" t="s">
        <v>74</v>
      </c>
      <c r="BQ787" t="s">
        <v>74</v>
      </c>
      <c r="BR787" t="s">
        <v>102</v>
      </c>
      <c r="BS787" t="s">
        <v>13776</v>
      </c>
      <c r="BT787" t="str">
        <f>HYPERLINK("https%3A%2F%2Fwww.webofscience.com%2Fwos%2Fwoscc%2Ffull-record%2FWOS:001173158200009","View Full Record in Web of Science")</f>
        <v>View Full Record in Web of Science</v>
      </c>
    </row>
    <row r="788" spans="1:72" x14ac:dyDescent="0.35">
      <c r="A788" t="s">
        <v>8845</v>
      </c>
      <c r="B788" t="s">
        <v>13777</v>
      </c>
      <c r="C788" t="s">
        <v>13777</v>
      </c>
      <c r="D788" t="s">
        <v>74</v>
      </c>
      <c r="E788" t="s">
        <v>74</v>
      </c>
      <c r="F788" t="s">
        <v>13778</v>
      </c>
      <c r="G788" t="s">
        <v>13777</v>
      </c>
      <c r="H788" t="s">
        <v>74</v>
      </c>
      <c r="I788" t="s">
        <v>13779</v>
      </c>
      <c r="J788" t="s">
        <v>13780</v>
      </c>
      <c r="K788" t="s">
        <v>74</v>
      </c>
      <c r="L788" t="s">
        <v>74</v>
      </c>
      <c r="M788" t="s">
        <v>78</v>
      </c>
      <c r="N788" t="s">
        <v>4953</v>
      </c>
      <c r="O788" t="s">
        <v>74</v>
      </c>
      <c r="P788" t="s">
        <v>74</v>
      </c>
      <c r="Q788" t="s">
        <v>74</v>
      </c>
      <c r="R788" t="s">
        <v>74</v>
      </c>
      <c r="S788" t="s">
        <v>74</v>
      </c>
      <c r="T788" t="s">
        <v>74</v>
      </c>
      <c r="U788" t="s">
        <v>74</v>
      </c>
      <c r="V788" t="s">
        <v>74</v>
      </c>
      <c r="W788" t="s">
        <v>74</v>
      </c>
      <c r="X788" t="s">
        <v>74</v>
      </c>
      <c r="Y788" t="s">
        <v>74</v>
      </c>
      <c r="Z788" t="s">
        <v>74</v>
      </c>
      <c r="AA788" t="s">
        <v>74</v>
      </c>
      <c r="AB788" t="s">
        <v>74</v>
      </c>
      <c r="AC788" t="s">
        <v>74</v>
      </c>
      <c r="AD788" t="s">
        <v>74</v>
      </c>
      <c r="AE788" t="s">
        <v>74</v>
      </c>
      <c r="AF788" t="s">
        <v>74</v>
      </c>
      <c r="AG788">
        <v>0</v>
      </c>
      <c r="AH788">
        <v>0</v>
      </c>
      <c r="AI788">
        <v>0</v>
      </c>
      <c r="AJ788">
        <v>0</v>
      </c>
      <c r="AK788">
        <v>0</v>
      </c>
      <c r="AL788" t="s">
        <v>13781</v>
      </c>
      <c r="AM788" t="s">
        <v>13782</v>
      </c>
      <c r="AN788" t="s">
        <v>13783</v>
      </c>
      <c r="AO788" t="s">
        <v>74</v>
      </c>
      <c r="AP788" t="s">
        <v>74</v>
      </c>
      <c r="AQ788" t="s">
        <v>13784</v>
      </c>
      <c r="AR788" t="s">
        <v>74</v>
      </c>
      <c r="AS788" t="s">
        <v>74</v>
      </c>
      <c r="AT788" t="s">
        <v>74</v>
      </c>
      <c r="AU788">
        <v>2023</v>
      </c>
      <c r="AV788" t="s">
        <v>74</v>
      </c>
      <c r="AW788" t="s">
        <v>74</v>
      </c>
      <c r="AX788" t="s">
        <v>74</v>
      </c>
      <c r="AY788" t="s">
        <v>74</v>
      </c>
      <c r="AZ788" t="s">
        <v>74</v>
      </c>
      <c r="BA788" t="s">
        <v>74</v>
      </c>
      <c r="BB788">
        <v>51</v>
      </c>
      <c r="BC788">
        <v>79</v>
      </c>
      <c r="BD788" t="s">
        <v>74</v>
      </c>
      <c r="BE788" t="s">
        <v>74</v>
      </c>
      <c r="BF788" t="s">
        <v>74</v>
      </c>
      <c r="BG788" t="s">
        <v>74</v>
      </c>
      <c r="BH788" t="s">
        <v>74</v>
      </c>
      <c r="BI788">
        <v>29</v>
      </c>
      <c r="BJ788" t="s">
        <v>7991</v>
      </c>
      <c r="BK788" t="s">
        <v>8862</v>
      </c>
      <c r="BL788" t="s">
        <v>7991</v>
      </c>
      <c r="BM788" t="s">
        <v>13785</v>
      </c>
      <c r="BN788" t="s">
        <v>74</v>
      </c>
      <c r="BO788" t="s">
        <v>74</v>
      </c>
      <c r="BP788" t="s">
        <v>74</v>
      </c>
      <c r="BQ788" t="s">
        <v>74</v>
      </c>
      <c r="BR788" t="s">
        <v>102</v>
      </c>
      <c r="BS788" t="s">
        <v>13786</v>
      </c>
      <c r="BT788" t="str">
        <f>HYPERLINK("https%3A%2F%2Fwww.webofscience.com%2Fwos%2Fwoscc%2Ffull-record%2FWOS:001139673200003","View Full Record in Web of Science")</f>
        <v>View Full Record in Web of Science</v>
      </c>
    </row>
    <row r="789" spans="1:72" x14ac:dyDescent="0.35">
      <c r="A789" t="s">
        <v>72</v>
      </c>
      <c r="B789" t="s">
        <v>13787</v>
      </c>
      <c r="C789" t="s">
        <v>74</v>
      </c>
      <c r="D789" t="s">
        <v>74</v>
      </c>
      <c r="E789" t="s">
        <v>74</v>
      </c>
      <c r="F789" t="s">
        <v>13788</v>
      </c>
      <c r="G789" t="s">
        <v>74</v>
      </c>
      <c r="H789" t="s">
        <v>74</v>
      </c>
      <c r="I789" t="s">
        <v>13789</v>
      </c>
      <c r="J789" t="s">
        <v>13254</v>
      </c>
      <c r="K789" t="s">
        <v>74</v>
      </c>
      <c r="L789" t="s">
        <v>74</v>
      </c>
      <c r="M789" t="s">
        <v>78</v>
      </c>
      <c r="N789" t="s">
        <v>52</v>
      </c>
      <c r="O789" t="s">
        <v>13790</v>
      </c>
      <c r="P789" t="s">
        <v>13791</v>
      </c>
      <c r="Q789" t="s">
        <v>13792</v>
      </c>
      <c r="R789" t="s">
        <v>74</v>
      </c>
      <c r="S789" t="s">
        <v>74</v>
      </c>
      <c r="T789" t="s">
        <v>74</v>
      </c>
      <c r="U789" t="s">
        <v>74</v>
      </c>
      <c r="V789" t="s">
        <v>74</v>
      </c>
      <c r="W789" t="s">
        <v>13793</v>
      </c>
      <c r="X789" t="s">
        <v>13794</v>
      </c>
      <c r="Y789" t="s">
        <v>74</v>
      </c>
      <c r="Z789" t="s">
        <v>74</v>
      </c>
      <c r="AA789" t="s">
        <v>74</v>
      </c>
      <c r="AB789" t="s">
        <v>74</v>
      </c>
      <c r="AC789" t="s">
        <v>74</v>
      </c>
      <c r="AD789" t="s">
        <v>74</v>
      </c>
      <c r="AE789" t="s">
        <v>74</v>
      </c>
      <c r="AF789" t="s">
        <v>74</v>
      </c>
      <c r="AG789">
        <v>0</v>
      </c>
      <c r="AH789">
        <v>0</v>
      </c>
      <c r="AI789">
        <v>0</v>
      </c>
      <c r="AJ789">
        <v>0</v>
      </c>
      <c r="AK789">
        <v>0</v>
      </c>
      <c r="AL789" t="s">
        <v>1901</v>
      </c>
      <c r="AM789" t="s">
        <v>995</v>
      </c>
      <c r="AN789" t="s">
        <v>1902</v>
      </c>
      <c r="AO789" t="s">
        <v>13258</v>
      </c>
      <c r="AP789" t="s">
        <v>13259</v>
      </c>
      <c r="AQ789" t="s">
        <v>74</v>
      </c>
      <c r="AR789" t="s">
        <v>13260</v>
      </c>
      <c r="AS789" t="s">
        <v>13261</v>
      </c>
      <c r="AT789" t="s">
        <v>594</v>
      </c>
      <c r="AU789">
        <v>2023</v>
      </c>
      <c r="AV789">
        <v>118</v>
      </c>
      <c r="AW789">
        <v>10</v>
      </c>
      <c r="AX789" t="s">
        <v>74</v>
      </c>
      <c r="AY789" t="s">
        <v>4946</v>
      </c>
      <c r="AZ789" t="s">
        <v>74</v>
      </c>
      <c r="BA789" t="s">
        <v>13795</v>
      </c>
      <c r="BB789" t="s">
        <v>13796</v>
      </c>
      <c r="BC789" t="s">
        <v>13797</v>
      </c>
      <c r="BD789" t="s">
        <v>74</v>
      </c>
      <c r="BE789" t="s">
        <v>74</v>
      </c>
      <c r="BF789" t="s">
        <v>74</v>
      </c>
      <c r="BG789" t="s">
        <v>74</v>
      </c>
      <c r="BH789" t="s">
        <v>74</v>
      </c>
      <c r="BI789">
        <v>2</v>
      </c>
      <c r="BJ789" t="s">
        <v>12536</v>
      </c>
      <c r="BK789" t="s">
        <v>2257</v>
      </c>
      <c r="BL789" t="s">
        <v>12536</v>
      </c>
      <c r="BM789" t="s">
        <v>13798</v>
      </c>
      <c r="BN789" t="s">
        <v>74</v>
      </c>
      <c r="BO789" t="s">
        <v>74</v>
      </c>
      <c r="BP789" t="s">
        <v>74</v>
      </c>
      <c r="BQ789" t="s">
        <v>74</v>
      </c>
      <c r="BR789" t="s">
        <v>102</v>
      </c>
      <c r="BS789" t="s">
        <v>13799</v>
      </c>
      <c r="BT789" t="str">
        <f>HYPERLINK("https%3A%2F%2Fwww.webofscience.com%2Fwos%2Fwoscc%2Ffull-record%2FWOS:001091849303424","View Full Record in Web of Science")</f>
        <v>View Full Record in Web of Science</v>
      </c>
    </row>
    <row r="790" spans="1:72" x14ac:dyDescent="0.35">
      <c r="A790" t="s">
        <v>72</v>
      </c>
      <c r="B790" t="s">
        <v>13800</v>
      </c>
      <c r="C790" t="s">
        <v>74</v>
      </c>
      <c r="D790" t="s">
        <v>74</v>
      </c>
      <c r="E790" t="s">
        <v>74</v>
      </c>
      <c r="F790" t="s">
        <v>13801</v>
      </c>
      <c r="G790" t="s">
        <v>74</v>
      </c>
      <c r="H790" t="s">
        <v>74</v>
      </c>
      <c r="I790" t="s">
        <v>13802</v>
      </c>
      <c r="J790" t="s">
        <v>9492</v>
      </c>
      <c r="K790" t="s">
        <v>74</v>
      </c>
      <c r="L790" t="s">
        <v>74</v>
      </c>
      <c r="M790" t="s">
        <v>78</v>
      </c>
      <c r="N790" t="s">
        <v>79</v>
      </c>
      <c r="O790" t="s">
        <v>74</v>
      </c>
      <c r="P790" t="s">
        <v>74</v>
      </c>
      <c r="Q790" t="s">
        <v>74</v>
      </c>
      <c r="R790" t="s">
        <v>74</v>
      </c>
      <c r="S790" t="s">
        <v>74</v>
      </c>
      <c r="T790" t="s">
        <v>74</v>
      </c>
      <c r="U790" t="s">
        <v>13803</v>
      </c>
      <c r="V790" t="s">
        <v>13804</v>
      </c>
      <c r="W790" t="s">
        <v>13805</v>
      </c>
      <c r="X790" t="s">
        <v>13806</v>
      </c>
      <c r="Y790" t="s">
        <v>13807</v>
      </c>
      <c r="Z790" t="s">
        <v>11768</v>
      </c>
      <c r="AA790" t="s">
        <v>13808</v>
      </c>
      <c r="AB790" t="s">
        <v>13809</v>
      </c>
      <c r="AC790" t="s">
        <v>13810</v>
      </c>
      <c r="AD790" t="s">
        <v>13811</v>
      </c>
      <c r="AE790" t="s">
        <v>13812</v>
      </c>
      <c r="AF790" t="s">
        <v>74</v>
      </c>
      <c r="AG790">
        <v>57</v>
      </c>
      <c r="AH790">
        <v>0</v>
      </c>
      <c r="AI790">
        <v>0</v>
      </c>
      <c r="AJ790">
        <v>2</v>
      </c>
      <c r="AK790">
        <v>2</v>
      </c>
      <c r="AL790" t="s">
        <v>88</v>
      </c>
      <c r="AM790" t="s">
        <v>89</v>
      </c>
      <c r="AN790" t="s">
        <v>90</v>
      </c>
      <c r="AO790" t="s">
        <v>9501</v>
      </c>
      <c r="AP790" t="s">
        <v>9502</v>
      </c>
      <c r="AQ790" t="s">
        <v>74</v>
      </c>
      <c r="AR790" t="s">
        <v>9503</v>
      </c>
      <c r="AS790" t="s">
        <v>9504</v>
      </c>
      <c r="AT790" t="s">
        <v>12058</v>
      </c>
      <c r="AU790">
        <v>2024</v>
      </c>
      <c r="AV790" t="s">
        <v>74</v>
      </c>
      <c r="AW790" t="s">
        <v>74</v>
      </c>
      <c r="AX790" t="s">
        <v>74</v>
      </c>
      <c r="AY790" t="s">
        <v>74</v>
      </c>
      <c r="AZ790" t="s">
        <v>74</v>
      </c>
      <c r="BA790" t="s">
        <v>74</v>
      </c>
      <c r="BB790" t="s">
        <v>74</v>
      </c>
      <c r="BC790" t="s">
        <v>74</v>
      </c>
      <c r="BD790" t="s">
        <v>74</v>
      </c>
      <c r="BE790" t="s">
        <v>13813</v>
      </c>
      <c r="BF790" t="str">
        <f>HYPERLINK("http://dx.doi.org/10.1080/08838151.2024.2407541","http://dx.doi.org/10.1080/08838151.2024.2407541")</f>
        <v>http://dx.doi.org/10.1080/08838151.2024.2407541</v>
      </c>
      <c r="BG790" t="s">
        <v>74</v>
      </c>
      <c r="BH790" t="s">
        <v>1721</v>
      </c>
      <c r="BI790">
        <v>20</v>
      </c>
      <c r="BJ790" t="s">
        <v>9507</v>
      </c>
      <c r="BK790" t="s">
        <v>99</v>
      </c>
      <c r="BL790" t="s">
        <v>9508</v>
      </c>
      <c r="BM790" t="s">
        <v>13814</v>
      </c>
      <c r="BN790" t="s">
        <v>74</v>
      </c>
      <c r="BO790" t="s">
        <v>74</v>
      </c>
      <c r="BP790" t="s">
        <v>74</v>
      </c>
      <c r="BQ790" t="s">
        <v>74</v>
      </c>
      <c r="BR790" t="s">
        <v>102</v>
      </c>
      <c r="BS790" t="s">
        <v>13815</v>
      </c>
      <c r="BT790" t="str">
        <f>HYPERLINK("https%3A%2F%2Fwww.webofscience.com%2Fwos%2Fwoscc%2Ffull-record%2FWOS:001334676200001","View Full Record in Web of Science")</f>
        <v>View Full Record in Web of Science</v>
      </c>
    </row>
    <row r="791" spans="1:72" x14ac:dyDescent="0.35">
      <c r="A791" t="s">
        <v>72</v>
      </c>
      <c r="B791" t="s">
        <v>13816</v>
      </c>
      <c r="C791" t="s">
        <v>74</v>
      </c>
      <c r="D791" t="s">
        <v>74</v>
      </c>
      <c r="E791" t="s">
        <v>74</v>
      </c>
      <c r="F791" t="s">
        <v>13817</v>
      </c>
      <c r="G791" t="s">
        <v>74</v>
      </c>
      <c r="H791" t="s">
        <v>74</v>
      </c>
      <c r="I791" t="s">
        <v>13818</v>
      </c>
      <c r="J791" t="s">
        <v>13819</v>
      </c>
      <c r="K791" t="s">
        <v>74</v>
      </c>
      <c r="L791" t="s">
        <v>74</v>
      </c>
      <c r="M791" t="s">
        <v>78</v>
      </c>
      <c r="N791" t="s">
        <v>108</v>
      </c>
      <c r="O791" t="s">
        <v>74</v>
      </c>
      <c r="P791" t="s">
        <v>74</v>
      </c>
      <c r="Q791" t="s">
        <v>74</v>
      </c>
      <c r="R791" t="s">
        <v>74</v>
      </c>
      <c r="S791" t="s">
        <v>74</v>
      </c>
      <c r="T791" t="s">
        <v>13820</v>
      </c>
      <c r="U791" t="s">
        <v>74</v>
      </c>
      <c r="V791" t="s">
        <v>13821</v>
      </c>
      <c r="W791" t="s">
        <v>13822</v>
      </c>
      <c r="X791" t="s">
        <v>13823</v>
      </c>
      <c r="Y791" t="s">
        <v>13824</v>
      </c>
      <c r="Z791" t="s">
        <v>13825</v>
      </c>
      <c r="AA791" t="s">
        <v>74</v>
      </c>
      <c r="AB791" t="s">
        <v>74</v>
      </c>
      <c r="AC791" t="s">
        <v>74</v>
      </c>
      <c r="AD791" t="s">
        <v>74</v>
      </c>
      <c r="AE791" t="s">
        <v>74</v>
      </c>
      <c r="AF791" t="s">
        <v>74</v>
      </c>
      <c r="AG791">
        <v>38</v>
      </c>
      <c r="AH791">
        <v>1</v>
      </c>
      <c r="AI791">
        <v>1</v>
      </c>
      <c r="AJ791">
        <v>5</v>
      </c>
      <c r="AK791">
        <v>5</v>
      </c>
      <c r="AL791" t="s">
        <v>1195</v>
      </c>
      <c r="AM791" t="s">
        <v>1196</v>
      </c>
      <c r="AN791" t="s">
        <v>1197</v>
      </c>
      <c r="AO791" t="s">
        <v>74</v>
      </c>
      <c r="AP791" t="s">
        <v>13826</v>
      </c>
      <c r="AQ791" t="s">
        <v>74</v>
      </c>
      <c r="AR791" t="s">
        <v>13819</v>
      </c>
      <c r="AS791" t="s">
        <v>13827</v>
      </c>
      <c r="AT791" t="s">
        <v>930</v>
      </c>
      <c r="AU791">
        <v>2024</v>
      </c>
      <c r="AV791">
        <v>15</v>
      </c>
      <c r="AW791">
        <v>4</v>
      </c>
      <c r="AX791" t="s">
        <v>74</v>
      </c>
      <c r="AY791" t="s">
        <v>74</v>
      </c>
      <c r="AZ791" t="s">
        <v>74</v>
      </c>
      <c r="BA791" t="s">
        <v>74</v>
      </c>
      <c r="BB791" t="s">
        <v>74</v>
      </c>
      <c r="BC791" t="s">
        <v>74</v>
      </c>
      <c r="BD791">
        <v>435</v>
      </c>
      <c r="BE791" t="s">
        <v>13828</v>
      </c>
      <c r="BF791" t="str">
        <f>HYPERLINK("http://dx.doi.org/10.3390/rel15040435","http://dx.doi.org/10.3390/rel15040435")</f>
        <v>http://dx.doi.org/10.3390/rel15040435</v>
      </c>
      <c r="BG791" t="s">
        <v>74</v>
      </c>
      <c r="BH791" t="s">
        <v>74</v>
      </c>
      <c r="BI791">
        <v>14</v>
      </c>
      <c r="BJ791" t="s">
        <v>13829</v>
      </c>
      <c r="BK791" t="s">
        <v>316</v>
      </c>
      <c r="BL791" t="s">
        <v>13829</v>
      </c>
      <c r="BM791" t="s">
        <v>13830</v>
      </c>
      <c r="BN791" t="s">
        <v>74</v>
      </c>
      <c r="BO791" t="s">
        <v>235</v>
      </c>
      <c r="BP791" t="s">
        <v>74</v>
      </c>
      <c r="BQ791" t="s">
        <v>74</v>
      </c>
      <c r="BR791" t="s">
        <v>102</v>
      </c>
      <c r="BS791" t="s">
        <v>13831</v>
      </c>
      <c r="BT791" t="str">
        <f>HYPERLINK("https%3A%2F%2Fwww.webofscience.com%2Fwos%2Fwoscc%2Ffull-record%2FWOS:001210003700001","View Full Record in Web of Science")</f>
        <v>View Full Record in Web of Science</v>
      </c>
    </row>
    <row r="792" spans="1:72" x14ac:dyDescent="0.35">
      <c r="A792" t="s">
        <v>72</v>
      </c>
      <c r="B792" t="s">
        <v>13832</v>
      </c>
      <c r="C792" t="s">
        <v>74</v>
      </c>
      <c r="D792" t="s">
        <v>74</v>
      </c>
      <c r="E792" t="s">
        <v>74</v>
      </c>
      <c r="F792" t="s">
        <v>13833</v>
      </c>
      <c r="G792" t="s">
        <v>74</v>
      </c>
      <c r="H792" t="s">
        <v>74</v>
      </c>
      <c r="I792" t="s">
        <v>13834</v>
      </c>
      <c r="J792" t="s">
        <v>10805</v>
      </c>
      <c r="K792" t="s">
        <v>74</v>
      </c>
      <c r="L792" t="s">
        <v>74</v>
      </c>
      <c r="M792" t="s">
        <v>78</v>
      </c>
      <c r="N792" t="s">
        <v>2042</v>
      </c>
      <c r="O792" t="s">
        <v>74</v>
      </c>
      <c r="P792" t="s">
        <v>74</v>
      </c>
      <c r="Q792" t="s">
        <v>74</v>
      </c>
      <c r="R792" t="s">
        <v>74</v>
      </c>
      <c r="S792" t="s">
        <v>74</v>
      </c>
      <c r="T792" t="s">
        <v>74</v>
      </c>
      <c r="U792" t="s">
        <v>74</v>
      </c>
      <c r="V792" t="s">
        <v>74</v>
      </c>
      <c r="W792" t="s">
        <v>13835</v>
      </c>
      <c r="X792" t="s">
        <v>13836</v>
      </c>
      <c r="Y792" t="s">
        <v>13837</v>
      </c>
      <c r="Z792" t="s">
        <v>13838</v>
      </c>
      <c r="AA792" t="s">
        <v>11398</v>
      </c>
      <c r="AB792" t="s">
        <v>74</v>
      </c>
      <c r="AC792" t="s">
        <v>74</v>
      </c>
      <c r="AD792" t="s">
        <v>74</v>
      </c>
      <c r="AE792" t="s">
        <v>74</v>
      </c>
      <c r="AF792" t="s">
        <v>74</v>
      </c>
      <c r="AG792">
        <v>4</v>
      </c>
      <c r="AH792">
        <v>14</v>
      </c>
      <c r="AI792">
        <v>15</v>
      </c>
      <c r="AJ792">
        <v>0</v>
      </c>
      <c r="AK792">
        <v>11</v>
      </c>
      <c r="AL792" t="s">
        <v>1901</v>
      </c>
      <c r="AM792" t="s">
        <v>995</v>
      </c>
      <c r="AN792" t="s">
        <v>1902</v>
      </c>
      <c r="AO792" t="s">
        <v>10816</v>
      </c>
      <c r="AP792" t="s">
        <v>10817</v>
      </c>
      <c r="AQ792" t="s">
        <v>74</v>
      </c>
      <c r="AR792" t="s">
        <v>10818</v>
      </c>
      <c r="AS792" t="s">
        <v>10819</v>
      </c>
      <c r="AT792" t="s">
        <v>1275</v>
      </c>
      <c r="AU792">
        <v>2021</v>
      </c>
      <c r="AV792">
        <v>148</v>
      </c>
      <c r="AW792">
        <v>6</v>
      </c>
      <c r="AX792" t="s">
        <v>74</v>
      </c>
      <c r="AY792" t="s">
        <v>74</v>
      </c>
      <c r="AZ792" t="s">
        <v>74</v>
      </c>
      <c r="BA792" t="s">
        <v>74</v>
      </c>
      <c r="BB792" t="s">
        <v>13839</v>
      </c>
      <c r="BC792" t="s">
        <v>13840</v>
      </c>
      <c r="BD792" t="s">
        <v>74</v>
      </c>
      <c r="BE792" t="s">
        <v>13841</v>
      </c>
      <c r="BF792" t="str">
        <f>HYPERLINK("http://dx.doi.org/10.1097/PRS.0000000000008566","http://dx.doi.org/10.1097/PRS.0000000000008566")</f>
        <v>http://dx.doi.org/10.1097/PRS.0000000000008566</v>
      </c>
      <c r="BG792" t="s">
        <v>74</v>
      </c>
      <c r="BH792" t="s">
        <v>74</v>
      </c>
      <c r="BI792">
        <v>4</v>
      </c>
      <c r="BJ792" t="s">
        <v>4994</v>
      </c>
      <c r="BK792" t="s">
        <v>209</v>
      </c>
      <c r="BL792" t="s">
        <v>4994</v>
      </c>
      <c r="BM792" t="s">
        <v>13842</v>
      </c>
      <c r="BN792">
        <v>34705755</v>
      </c>
      <c r="BO792" t="s">
        <v>767</v>
      </c>
      <c r="BP792" t="s">
        <v>74</v>
      </c>
      <c r="BQ792" t="s">
        <v>74</v>
      </c>
      <c r="BR792" t="s">
        <v>102</v>
      </c>
      <c r="BS792" t="s">
        <v>13843</v>
      </c>
      <c r="BT792" t="str">
        <f>HYPERLINK("https%3A%2F%2Fwww.webofscience.com%2Fwos%2Fwoscc%2Ffull-record%2FWOS:000723823800051","View Full Record in Web of Science")</f>
        <v>View Full Record in Web of Science</v>
      </c>
    </row>
    <row r="793" spans="1:72" x14ac:dyDescent="0.35">
      <c r="A793" t="s">
        <v>72</v>
      </c>
      <c r="B793" t="s">
        <v>13844</v>
      </c>
      <c r="C793" t="s">
        <v>74</v>
      </c>
      <c r="D793" t="s">
        <v>74</v>
      </c>
      <c r="E793" t="s">
        <v>74</v>
      </c>
      <c r="F793" t="s">
        <v>13845</v>
      </c>
      <c r="G793" t="s">
        <v>74</v>
      </c>
      <c r="H793" t="s">
        <v>74</v>
      </c>
      <c r="I793" t="s">
        <v>13846</v>
      </c>
      <c r="J793" t="s">
        <v>216</v>
      </c>
      <c r="K793" t="s">
        <v>74</v>
      </c>
      <c r="L793" t="s">
        <v>74</v>
      </c>
      <c r="M793" t="s">
        <v>78</v>
      </c>
      <c r="N793" t="s">
        <v>108</v>
      </c>
      <c r="O793" t="s">
        <v>74</v>
      </c>
      <c r="P793" t="s">
        <v>74</v>
      </c>
      <c r="Q793" t="s">
        <v>74</v>
      </c>
      <c r="R793" t="s">
        <v>74</v>
      </c>
      <c r="S793" t="s">
        <v>74</v>
      </c>
      <c r="T793" t="s">
        <v>13847</v>
      </c>
      <c r="U793" t="s">
        <v>13848</v>
      </c>
      <c r="V793" t="s">
        <v>13849</v>
      </c>
      <c r="W793" t="s">
        <v>13850</v>
      </c>
      <c r="X793" t="s">
        <v>13851</v>
      </c>
      <c r="Y793" t="s">
        <v>13852</v>
      </c>
      <c r="Z793" t="s">
        <v>13853</v>
      </c>
      <c r="AA793" t="s">
        <v>13854</v>
      </c>
      <c r="AB793" t="s">
        <v>13855</v>
      </c>
      <c r="AC793" t="s">
        <v>13856</v>
      </c>
      <c r="AD793" t="s">
        <v>13856</v>
      </c>
      <c r="AE793" t="s">
        <v>13857</v>
      </c>
      <c r="AF793" t="s">
        <v>74</v>
      </c>
      <c r="AG793">
        <v>61</v>
      </c>
      <c r="AH793">
        <v>0</v>
      </c>
      <c r="AI793">
        <v>0</v>
      </c>
      <c r="AJ793">
        <v>26</v>
      </c>
      <c r="AK793">
        <v>26</v>
      </c>
      <c r="AL793" t="s">
        <v>226</v>
      </c>
      <c r="AM793" t="s">
        <v>227</v>
      </c>
      <c r="AN793" t="s">
        <v>228</v>
      </c>
      <c r="AO793" t="s">
        <v>229</v>
      </c>
      <c r="AP793" t="s">
        <v>74</v>
      </c>
      <c r="AQ793" t="s">
        <v>74</v>
      </c>
      <c r="AR793" t="s">
        <v>230</v>
      </c>
      <c r="AS793" t="s">
        <v>231</v>
      </c>
      <c r="AT793" t="s">
        <v>273</v>
      </c>
      <c r="AU793">
        <v>2024</v>
      </c>
      <c r="AV793">
        <v>10</v>
      </c>
      <c r="AW793">
        <v>3</v>
      </c>
      <c r="AX793" t="s">
        <v>74</v>
      </c>
      <c r="AY793" t="s">
        <v>74</v>
      </c>
      <c r="AZ793" t="s">
        <v>74</v>
      </c>
      <c r="BA793" t="s">
        <v>74</v>
      </c>
      <c r="BB793" t="s">
        <v>74</v>
      </c>
      <c r="BC793" t="s">
        <v>74</v>
      </c>
      <c r="BD793">
        <v>2.0563051241274672E+16</v>
      </c>
      <c r="BE793" t="s">
        <v>13858</v>
      </c>
      <c r="BF793" t="str">
        <f>HYPERLINK("http://dx.doi.org/10.1177/20563051241274673","http://dx.doi.org/10.1177/20563051241274673")</f>
        <v>http://dx.doi.org/10.1177/20563051241274673</v>
      </c>
      <c r="BG793" t="s">
        <v>74</v>
      </c>
      <c r="BH793" t="s">
        <v>74</v>
      </c>
      <c r="BI793">
        <v>12</v>
      </c>
      <c r="BJ793" t="s">
        <v>124</v>
      </c>
      <c r="BK793" t="s">
        <v>99</v>
      </c>
      <c r="BL793" t="s">
        <v>124</v>
      </c>
      <c r="BM793" t="s">
        <v>13859</v>
      </c>
      <c r="BN793" t="s">
        <v>74</v>
      </c>
      <c r="BO793" t="s">
        <v>235</v>
      </c>
      <c r="BP793" t="s">
        <v>74</v>
      </c>
      <c r="BQ793" t="s">
        <v>74</v>
      </c>
      <c r="BR793" t="s">
        <v>102</v>
      </c>
      <c r="BS793" t="s">
        <v>13860</v>
      </c>
      <c r="BT793" t="str">
        <f>HYPERLINK("https%3A%2F%2Fwww.webofscience.com%2Fwos%2Fwoscc%2Ffull-record%2FWOS:001296242500001","View Full Record in Web of Science")</f>
        <v>View Full Record in Web of Science</v>
      </c>
    </row>
    <row r="794" spans="1:72" x14ac:dyDescent="0.35">
      <c r="A794" t="s">
        <v>72</v>
      </c>
      <c r="B794" t="s">
        <v>13861</v>
      </c>
      <c r="C794" t="s">
        <v>74</v>
      </c>
      <c r="D794" t="s">
        <v>74</v>
      </c>
      <c r="E794" t="s">
        <v>74</v>
      </c>
      <c r="F794" t="s">
        <v>13862</v>
      </c>
      <c r="G794" t="s">
        <v>74</v>
      </c>
      <c r="H794" t="s">
        <v>74</v>
      </c>
      <c r="I794" t="s">
        <v>13863</v>
      </c>
      <c r="J794" t="s">
        <v>5140</v>
      </c>
      <c r="K794" t="s">
        <v>74</v>
      </c>
      <c r="L794" t="s">
        <v>74</v>
      </c>
      <c r="M794" t="s">
        <v>3503</v>
      </c>
      <c r="N794" t="s">
        <v>108</v>
      </c>
      <c r="O794" t="s">
        <v>74</v>
      </c>
      <c r="P794" t="s">
        <v>74</v>
      </c>
      <c r="Q794" t="s">
        <v>74</v>
      </c>
      <c r="R794" t="s">
        <v>74</v>
      </c>
      <c r="S794" t="s">
        <v>74</v>
      </c>
      <c r="T794" t="s">
        <v>13864</v>
      </c>
      <c r="U794" t="s">
        <v>13865</v>
      </c>
      <c r="V794" t="s">
        <v>13866</v>
      </c>
      <c r="W794" t="s">
        <v>13867</v>
      </c>
      <c r="X794" t="s">
        <v>3095</v>
      </c>
      <c r="Y794" t="s">
        <v>13868</v>
      </c>
      <c r="Z794" t="s">
        <v>13869</v>
      </c>
      <c r="AA794" t="s">
        <v>74</v>
      </c>
      <c r="AB794" t="s">
        <v>13870</v>
      </c>
      <c r="AC794" t="s">
        <v>74</v>
      </c>
      <c r="AD794" t="s">
        <v>74</v>
      </c>
      <c r="AE794" t="s">
        <v>74</v>
      </c>
      <c r="AF794" t="s">
        <v>74</v>
      </c>
      <c r="AG794">
        <v>38</v>
      </c>
      <c r="AH794">
        <v>3</v>
      </c>
      <c r="AI794">
        <v>3</v>
      </c>
      <c r="AJ794">
        <v>2</v>
      </c>
      <c r="AK794">
        <v>24</v>
      </c>
      <c r="AL794" t="s">
        <v>5147</v>
      </c>
      <c r="AM794" t="s">
        <v>5148</v>
      </c>
      <c r="AN794" t="s">
        <v>5149</v>
      </c>
      <c r="AO794" t="s">
        <v>5150</v>
      </c>
      <c r="AP794" t="s">
        <v>5151</v>
      </c>
      <c r="AQ794" t="s">
        <v>74</v>
      </c>
      <c r="AR794" t="s">
        <v>5152</v>
      </c>
      <c r="AS794" t="s">
        <v>5153</v>
      </c>
      <c r="AT794" t="s">
        <v>5154</v>
      </c>
      <c r="AU794">
        <v>2022</v>
      </c>
      <c r="AV794" t="s">
        <v>74</v>
      </c>
      <c r="AW794">
        <v>36</v>
      </c>
      <c r="AX794" t="s">
        <v>74</v>
      </c>
      <c r="AY794" t="s">
        <v>74</v>
      </c>
      <c r="AZ794" t="s">
        <v>74</v>
      </c>
      <c r="BA794" t="s">
        <v>74</v>
      </c>
      <c r="BB794">
        <v>173</v>
      </c>
      <c r="BC794">
        <v>194</v>
      </c>
      <c r="BD794" t="s">
        <v>74</v>
      </c>
      <c r="BE794" t="s">
        <v>13871</v>
      </c>
      <c r="BF794" t="str">
        <f>HYPERLINK("http://dx.doi.org/10.17163/uni.n36.2022.07","http://dx.doi.org/10.17163/uni.n36.2022.07")</f>
        <v>http://dx.doi.org/10.17163/uni.n36.2022.07</v>
      </c>
      <c r="BG794" t="s">
        <v>74</v>
      </c>
      <c r="BH794" t="s">
        <v>74</v>
      </c>
      <c r="BI794">
        <v>22</v>
      </c>
      <c r="BJ794" t="s">
        <v>98</v>
      </c>
      <c r="BK794" t="s">
        <v>125</v>
      </c>
      <c r="BL794" t="s">
        <v>100</v>
      </c>
      <c r="BM794" t="s">
        <v>5156</v>
      </c>
      <c r="BN794" t="s">
        <v>74</v>
      </c>
      <c r="BO794" t="s">
        <v>3287</v>
      </c>
      <c r="BP794" t="s">
        <v>74</v>
      </c>
      <c r="BQ794" t="s">
        <v>74</v>
      </c>
      <c r="BR794" t="s">
        <v>102</v>
      </c>
      <c r="BS794" t="s">
        <v>13872</v>
      </c>
      <c r="BT794" t="str">
        <f>HYPERLINK("https%3A%2F%2Fwww.webofscience.com%2Fwos%2Fwoscc%2Ffull-record%2FWOS:000766642800007","View Full Record in Web of Science")</f>
        <v>View Full Record in Web of Science</v>
      </c>
    </row>
    <row r="795" spans="1:72" x14ac:dyDescent="0.35">
      <c r="A795" t="s">
        <v>72</v>
      </c>
      <c r="B795" t="s">
        <v>13873</v>
      </c>
      <c r="C795" t="s">
        <v>74</v>
      </c>
      <c r="D795" t="s">
        <v>74</v>
      </c>
      <c r="E795" t="s">
        <v>74</v>
      </c>
      <c r="F795" t="s">
        <v>13874</v>
      </c>
      <c r="G795" t="s">
        <v>74</v>
      </c>
      <c r="H795" t="s">
        <v>74</v>
      </c>
      <c r="I795" t="s">
        <v>13875</v>
      </c>
      <c r="J795" t="s">
        <v>13876</v>
      </c>
      <c r="K795" t="s">
        <v>74</v>
      </c>
      <c r="L795" t="s">
        <v>74</v>
      </c>
      <c r="M795" t="s">
        <v>1012</v>
      </c>
      <c r="N795" t="s">
        <v>108</v>
      </c>
      <c r="O795" t="s">
        <v>74</v>
      </c>
      <c r="P795" t="s">
        <v>74</v>
      </c>
      <c r="Q795" t="s">
        <v>74</v>
      </c>
      <c r="R795" t="s">
        <v>74</v>
      </c>
      <c r="S795" t="s">
        <v>74</v>
      </c>
      <c r="T795" t="s">
        <v>74</v>
      </c>
      <c r="U795" t="s">
        <v>74</v>
      </c>
      <c r="V795" t="s">
        <v>74</v>
      </c>
      <c r="W795" t="s">
        <v>74</v>
      </c>
      <c r="X795" t="s">
        <v>74</v>
      </c>
      <c r="Y795" t="s">
        <v>74</v>
      </c>
      <c r="Z795" t="s">
        <v>74</v>
      </c>
      <c r="AA795" t="s">
        <v>74</v>
      </c>
      <c r="AB795" t="s">
        <v>74</v>
      </c>
      <c r="AC795" t="s">
        <v>74</v>
      </c>
      <c r="AD795" t="s">
        <v>74</v>
      </c>
      <c r="AE795" t="s">
        <v>74</v>
      </c>
      <c r="AF795" t="s">
        <v>74</v>
      </c>
      <c r="AG795">
        <v>13</v>
      </c>
      <c r="AH795">
        <v>0</v>
      </c>
      <c r="AI795">
        <v>0</v>
      </c>
      <c r="AJ795">
        <v>2</v>
      </c>
      <c r="AK795">
        <v>2</v>
      </c>
      <c r="AL795" t="s">
        <v>13877</v>
      </c>
      <c r="AM795" t="s">
        <v>13878</v>
      </c>
      <c r="AN795" t="s">
        <v>13879</v>
      </c>
      <c r="AO795" t="s">
        <v>13880</v>
      </c>
      <c r="AP795" t="s">
        <v>74</v>
      </c>
      <c r="AQ795" t="s">
        <v>74</v>
      </c>
      <c r="AR795" t="s">
        <v>13881</v>
      </c>
      <c r="AS795" t="s">
        <v>13882</v>
      </c>
      <c r="AT795" t="s">
        <v>273</v>
      </c>
      <c r="AU795">
        <v>2024</v>
      </c>
      <c r="AV795" t="s">
        <v>74</v>
      </c>
      <c r="AW795">
        <v>585</v>
      </c>
      <c r="AX795" t="s">
        <v>74</v>
      </c>
      <c r="AY795" t="s">
        <v>74</v>
      </c>
      <c r="AZ795" t="s">
        <v>74</v>
      </c>
      <c r="BA795" t="s">
        <v>74</v>
      </c>
      <c r="BB795">
        <v>104</v>
      </c>
      <c r="BC795">
        <v>109</v>
      </c>
      <c r="BD795" t="s">
        <v>74</v>
      </c>
      <c r="BE795" t="s">
        <v>74</v>
      </c>
      <c r="BF795" t="s">
        <v>74</v>
      </c>
      <c r="BG795" t="s">
        <v>74</v>
      </c>
      <c r="BH795" t="s">
        <v>74</v>
      </c>
      <c r="BI795">
        <v>6</v>
      </c>
      <c r="BJ795" t="s">
        <v>13883</v>
      </c>
      <c r="BK795" t="s">
        <v>316</v>
      </c>
      <c r="BL795" t="s">
        <v>3176</v>
      </c>
      <c r="BM795" t="s">
        <v>13884</v>
      </c>
      <c r="BN795" t="s">
        <v>74</v>
      </c>
      <c r="BO795" t="s">
        <v>74</v>
      </c>
      <c r="BP795" t="s">
        <v>74</v>
      </c>
      <c r="BQ795" t="s">
        <v>74</v>
      </c>
      <c r="BR795" t="s">
        <v>102</v>
      </c>
      <c r="BS795" t="s">
        <v>13885</v>
      </c>
      <c r="BT795" t="str">
        <f>HYPERLINK("https%3A%2F%2Fwww.webofscience.com%2Fwos%2Fwoscc%2Ffull-record%2FWOS:001296326700023","View Full Record in Web of Science")</f>
        <v>View Full Record in Web of Science</v>
      </c>
    </row>
    <row r="796" spans="1:72" x14ac:dyDescent="0.35">
      <c r="A796" t="s">
        <v>72</v>
      </c>
      <c r="B796" t="s">
        <v>13886</v>
      </c>
      <c r="C796" t="s">
        <v>74</v>
      </c>
      <c r="D796" t="s">
        <v>74</v>
      </c>
      <c r="E796" t="s">
        <v>74</v>
      </c>
      <c r="F796" t="s">
        <v>13887</v>
      </c>
      <c r="G796" t="s">
        <v>74</v>
      </c>
      <c r="H796" t="s">
        <v>74</v>
      </c>
      <c r="I796" t="s">
        <v>13888</v>
      </c>
      <c r="J796" t="s">
        <v>12202</v>
      </c>
      <c r="K796" t="s">
        <v>74</v>
      </c>
      <c r="L796" t="s">
        <v>74</v>
      </c>
      <c r="M796" t="s">
        <v>78</v>
      </c>
      <c r="N796" t="s">
        <v>52</v>
      </c>
      <c r="O796" t="s">
        <v>12203</v>
      </c>
      <c r="P796" t="s">
        <v>12204</v>
      </c>
      <c r="Q796" t="s">
        <v>6651</v>
      </c>
      <c r="R796" t="s">
        <v>12205</v>
      </c>
      <c r="S796" t="s">
        <v>74</v>
      </c>
      <c r="T796" t="s">
        <v>74</v>
      </c>
      <c r="U796" t="s">
        <v>74</v>
      </c>
      <c r="V796" t="s">
        <v>74</v>
      </c>
      <c r="W796" t="s">
        <v>13889</v>
      </c>
      <c r="X796" t="s">
        <v>13890</v>
      </c>
      <c r="Y796" t="s">
        <v>74</v>
      </c>
      <c r="Z796" t="s">
        <v>74</v>
      </c>
      <c r="AA796" t="s">
        <v>74</v>
      </c>
      <c r="AB796" t="s">
        <v>74</v>
      </c>
      <c r="AC796" t="s">
        <v>74</v>
      </c>
      <c r="AD796" t="s">
        <v>74</v>
      </c>
      <c r="AE796" t="s">
        <v>74</v>
      </c>
      <c r="AF796" t="s">
        <v>74</v>
      </c>
      <c r="AG796">
        <v>1</v>
      </c>
      <c r="AH796">
        <v>0</v>
      </c>
      <c r="AI796">
        <v>0</v>
      </c>
      <c r="AJ796">
        <v>2</v>
      </c>
      <c r="AK796">
        <v>2</v>
      </c>
      <c r="AL796" t="s">
        <v>1965</v>
      </c>
      <c r="AM796" t="s">
        <v>666</v>
      </c>
      <c r="AN796" t="s">
        <v>1966</v>
      </c>
      <c r="AO796" t="s">
        <v>12208</v>
      </c>
      <c r="AP796" t="s">
        <v>12209</v>
      </c>
      <c r="AQ796" t="s">
        <v>74</v>
      </c>
      <c r="AR796" t="s">
        <v>12210</v>
      </c>
      <c r="AS796" t="s">
        <v>12211</v>
      </c>
      <c r="AT796" t="s">
        <v>594</v>
      </c>
      <c r="AU796">
        <v>2023</v>
      </c>
      <c r="AV796">
        <v>120</v>
      </c>
      <c r="AW796">
        <v>4</v>
      </c>
      <c r="AX796" t="s">
        <v>74</v>
      </c>
      <c r="AY796" t="s">
        <v>4946</v>
      </c>
      <c r="AZ796" t="s">
        <v>74</v>
      </c>
      <c r="BA796" t="s">
        <v>13891</v>
      </c>
      <c r="BB796" t="s">
        <v>13892</v>
      </c>
      <c r="BC796" t="s">
        <v>13893</v>
      </c>
      <c r="BD796" t="s">
        <v>74</v>
      </c>
      <c r="BE796" t="s">
        <v>74</v>
      </c>
      <c r="BF796" t="s">
        <v>74</v>
      </c>
      <c r="BG796" t="s">
        <v>74</v>
      </c>
      <c r="BH796" t="s">
        <v>74</v>
      </c>
      <c r="BI796">
        <v>2</v>
      </c>
      <c r="BJ796" t="s">
        <v>11405</v>
      </c>
      <c r="BK796" t="s">
        <v>2257</v>
      </c>
      <c r="BL796" t="s">
        <v>11405</v>
      </c>
      <c r="BM796" t="s">
        <v>12214</v>
      </c>
      <c r="BN796" t="s">
        <v>74</v>
      </c>
      <c r="BO796" t="s">
        <v>74</v>
      </c>
      <c r="BP796" t="s">
        <v>74</v>
      </c>
      <c r="BQ796" t="s">
        <v>74</v>
      </c>
      <c r="BR796" t="s">
        <v>102</v>
      </c>
      <c r="BS796" t="s">
        <v>13894</v>
      </c>
      <c r="BT796" t="str">
        <f>HYPERLINK("https%3A%2F%2Fwww.webofscience.com%2Fwos%2Fwoscc%2Ffull-record%2FWOS:001084670200571","View Full Record in Web of Science")</f>
        <v>View Full Record in Web of Science</v>
      </c>
    </row>
    <row r="797" spans="1:72" x14ac:dyDescent="0.35">
      <c r="A797" t="s">
        <v>72</v>
      </c>
      <c r="B797" t="s">
        <v>13895</v>
      </c>
      <c r="C797" t="s">
        <v>74</v>
      </c>
      <c r="D797" t="s">
        <v>74</v>
      </c>
      <c r="E797" t="s">
        <v>74</v>
      </c>
      <c r="F797" t="s">
        <v>13896</v>
      </c>
      <c r="G797" t="s">
        <v>74</v>
      </c>
      <c r="H797" t="s">
        <v>74</v>
      </c>
      <c r="I797" t="s">
        <v>13897</v>
      </c>
      <c r="J797" t="s">
        <v>13898</v>
      </c>
      <c r="K797" t="s">
        <v>74</v>
      </c>
      <c r="L797" t="s">
        <v>74</v>
      </c>
      <c r="M797" t="s">
        <v>78</v>
      </c>
      <c r="N797" t="s">
        <v>108</v>
      </c>
      <c r="O797" t="s">
        <v>74</v>
      </c>
      <c r="P797" t="s">
        <v>74</v>
      </c>
      <c r="Q797" t="s">
        <v>74</v>
      </c>
      <c r="R797" t="s">
        <v>74</v>
      </c>
      <c r="S797" t="s">
        <v>74</v>
      </c>
      <c r="T797" t="s">
        <v>74</v>
      </c>
      <c r="U797" t="s">
        <v>74</v>
      </c>
      <c r="V797" t="s">
        <v>74</v>
      </c>
      <c r="W797" t="s">
        <v>13899</v>
      </c>
      <c r="X797" t="s">
        <v>13900</v>
      </c>
      <c r="Y797" t="s">
        <v>13901</v>
      </c>
      <c r="Z797" t="s">
        <v>13902</v>
      </c>
      <c r="AA797" t="s">
        <v>74</v>
      </c>
      <c r="AB797" t="s">
        <v>74</v>
      </c>
      <c r="AC797" t="s">
        <v>74</v>
      </c>
      <c r="AD797" t="s">
        <v>74</v>
      </c>
      <c r="AE797" t="s">
        <v>74</v>
      </c>
      <c r="AF797" t="s">
        <v>74</v>
      </c>
      <c r="AG797">
        <v>12</v>
      </c>
      <c r="AH797">
        <v>7</v>
      </c>
      <c r="AI797">
        <v>10</v>
      </c>
      <c r="AJ797">
        <v>0</v>
      </c>
      <c r="AK797">
        <v>1</v>
      </c>
      <c r="AL797" t="s">
        <v>88</v>
      </c>
      <c r="AM797" t="s">
        <v>89</v>
      </c>
      <c r="AN797" t="s">
        <v>90</v>
      </c>
      <c r="AO797" t="s">
        <v>13903</v>
      </c>
      <c r="AP797" t="s">
        <v>13904</v>
      </c>
      <c r="AQ797" t="s">
        <v>74</v>
      </c>
      <c r="AR797" t="s">
        <v>13905</v>
      </c>
      <c r="AS797" t="s">
        <v>13906</v>
      </c>
      <c r="AT797" t="s">
        <v>13174</v>
      </c>
      <c r="AU797">
        <v>2021</v>
      </c>
      <c r="AV797">
        <v>44</v>
      </c>
      <c r="AW797">
        <v>4</v>
      </c>
      <c r="AX797" t="s">
        <v>74</v>
      </c>
      <c r="AY797" t="s">
        <v>74</v>
      </c>
      <c r="AZ797" t="s">
        <v>74</v>
      </c>
      <c r="BA797" t="s">
        <v>74</v>
      </c>
      <c r="BB797">
        <v>463</v>
      </c>
      <c r="BC797">
        <v>469</v>
      </c>
      <c r="BD797" t="s">
        <v>74</v>
      </c>
      <c r="BE797" t="s">
        <v>13907</v>
      </c>
      <c r="BF797" t="str">
        <f>HYPERLINK("http://dx.doi.org/10.1080/07491409.2021.1987822","http://dx.doi.org/10.1080/07491409.2021.1987822")</f>
        <v>http://dx.doi.org/10.1080/07491409.2021.1987822</v>
      </c>
      <c r="BG797" t="s">
        <v>74</v>
      </c>
      <c r="BH797" t="s">
        <v>74</v>
      </c>
      <c r="BI797">
        <v>7</v>
      </c>
      <c r="BJ797" t="s">
        <v>124</v>
      </c>
      <c r="BK797" t="s">
        <v>125</v>
      </c>
      <c r="BL797" t="s">
        <v>124</v>
      </c>
      <c r="BM797" t="s">
        <v>13908</v>
      </c>
      <c r="BN797" t="s">
        <v>74</v>
      </c>
      <c r="BO797" t="s">
        <v>74</v>
      </c>
      <c r="BP797" t="s">
        <v>74</v>
      </c>
      <c r="BQ797" t="s">
        <v>74</v>
      </c>
      <c r="BR797" t="s">
        <v>102</v>
      </c>
      <c r="BS797" t="s">
        <v>13909</v>
      </c>
      <c r="BT797" t="str">
        <f>HYPERLINK("https%3A%2F%2Fwww.webofscience.com%2Fwos%2Fwoscc%2Ffull-record%2FWOS:000727050400002","View Full Record in Web of Science")</f>
        <v>View Full Record in Web of Science</v>
      </c>
    </row>
    <row r="798" spans="1:72" x14ac:dyDescent="0.35">
      <c r="A798" t="s">
        <v>72</v>
      </c>
      <c r="B798" t="s">
        <v>4445</v>
      </c>
      <c r="C798" t="s">
        <v>74</v>
      </c>
      <c r="D798" t="s">
        <v>74</v>
      </c>
      <c r="E798" t="s">
        <v>74</v>
      </c>
      <c r="F798" t="s">
        <v>4446</v>
      </c>
      <c r="G798" t="s">
        <v>74</v>
      </c>
      <c r="H798" t="s">
        <v>74</v>
      </c>
      <c r="I798" t="s">
        <v>13910</v>
      </c>
      <c r="J798" t="s">
        <v>4448</v>
      </c>
      <c r="K798" t="s">
        <v>74</v>
      </c>
      <c r="L798" t="s">
        <v>74</v>
      </c>
      <c r="M798" t="s">
        <v>78</v>
      </c>
      <c r="N798" t="s">
        <v>13911</v>
      </c>
      <c r="O798" t="s">
        <v>74</v>
      </c>
      <c r="P798" t="s">
        <v>74</v>
      </c>
      <c r="Q798" t="s">
        <v>74</v>
      </c>
      <c r="R798" t="s">
        <v>74</v>
      </c>
      <c r="S798" t="s">
        <v>74</v>
      </c>
      <c r="T798" t="s">
        <v>74</v>
      </c>
      <c r="U798" t="s">
        <v>74</v>
      </c>
      <c r="V798" t="s">
        <v>74</v>
      </c>
      <c r="W798" t="s">
        <v>74</v>
      </c>
      <c r="X798" t="s">
        <v>74</v>
      </c>
      <c r="Y798" t="s">
        <v>74</v>
      </c>
      <c r="Z798" t="s">
        <v>74</v>
      </c>
      <c r="AA798" t="s">
        <v>74</v>
      </c>
      <c r="AB798" t="s">
        <v>74</v>
      </c>
      <c r="AC798" t="s">
        <v>74</v>
      </c>
      <c r="AD798" t="s">
        <v>74</v>
      </c>
      <c r="AE798" t="s">
        <v>74</v>
      </c>
      <c r="AF798" t="s">
        <v>74</v>
      </c>
      <c r="AG798">
        <v>1</v>
      </c>
      <c r="AH798">
        <v>0</v>
      </c>
      <c r="AI798">
        <v>0</v>
      </c>
      <c r="AJ798">
        <v>0</v>
      </c>
      <c r="AK798">
        <v>1</v>
      </c>
      <c r="AL798" t="s">
        <v>88</v>
      </c>
      <c r="AM798" t="s">
        <v>89</v>
      </c>
      <c r="AN798" t="s">
        <v>90</v>
      </c>
      <c r="AO798" t="s">
        <v>4455</v>
      </c>
      <c r="AP798" t="s">
        <v>4456</v>
      </c>
      <c r="AQ798" t="s">
        <v>74</v>
      </c>
      <c r="AR798" t="s">
        <v>4457</v>
      </c>
      <c r="AS798" t="s">
        <v>4458</v>
      </c>
      <c r="AT798" t="s">
        <v>13174</v>
      </c>
      <c r="AU798">
        <v>2022</v>
      </c>
      <c r="AV798">
        <v>42</v>
      </c>
      <c r="AW798">
        <v>4</v>
      </c>
      <c r="AX798" t="s">
        <v>74</v>
      </c>
      <c r="AY798" t="s">
        <v>74</v>
      </c>
      <c r="AZ798" t="s">
        <v>74</v>
      </c>
      <c r="BA798" t="s">
        <v>74</v>
      </c>
      <c r="BB798" t="s">
        <v>13912</v>
      </c>
      <c r="BC798" t="s">
        <v>13912</v>
      </c>
      <c r="BD798" t="s">
        <v>74</v>
      </c>
      <c r="BE798" t="s">
        <v>13913</v>
      </c>
      <c r="BF798" t="str">
        <f>HYPERLINK("http://dx.doi.org/10.1080/10462937.2022.2061110","http://dx.doi.org/10.1080/10462937.2022.2061110")</f>
        <v>http://dx.doi.org/10.1080/10462937.2022.2061110</v>
      </c>
      <c r="BG798" t="s">
        <v>74</v>
      </c>
      <c r="BH798" t="s">
        <v>4941</v>
      </c>
      <c r="BI798">
        <v>1</v>
      </c>
      <c r="BJ798" t="s">
        <v>4461</v>
      </c>
      <c r="BK798" t="s">
        <v>316</v>
      </c>
      <c r="BL798" t="s">
        <v>4462</v>
      </c>
      <c r="BM798" t="s">
        <v>13914</v>
      </c>
      <c r="BN798" t="s">
        <v>74</v>
      </c>
      <c r="BO798" t="s">
        <v>767</v>
      </c>
      <c r="BP798" t="s">
        <v>74</v>
      </c>
      <c r="BQ798" t="s">
        <v>74</v>
      </c>
      <c r="BR798" t="s">
        <v>102</v>
      </c>
      <c r="BS798" t="s">
        <v>13915</v>
      </c>
      <c r="BT798" t="str">
        <f>HYPERLINK("https%3A%2F%2Fwww.webofscience.com%2Fwos%2Fwoscc%2Ffull-record%2FWOS:000780916900001","View Full Record in Web of Science")</f>
        <v>View Full Record in Web of Science</v>
      </c>
    </row>
    <row r="799" spans="1:72" x14ac:dyDescent="0.35">
      <c r="A799" t="s">
        <v>72</v>
      </c>
      <c r="B799" t="s">
        <v>13916</v>
      </c>
      <c r="C799" t="s">
        <v>74</v>
      </c>
      <c r="D799" t="s">
        <v>74</v>
      </c>
      <c r="E799" t="s">
        <v>74</v>
      </c>
      <c r="F799" t="s">
        <v>13917</v>
      </c>
      <c r="G799" t="s">
        <v>74</v>
      </c>
      <c r="H799" t="s">
        <v>74</v>
      </c>
      <c r="I799" t="s">
        <v>13918</v>
      </c>
      <c r="J799" t="s">
        <v>13397</v>
      </c>
      <c r="K799" t="s">
        <v>74</v>
      </c>
      <c r="L799" t="s">
        <v>74</v>
      </c>
      <c r="M799" t="s">
        <v>78</v>
      </c>
      <c r="N799" t="s">
        <v>79</v>
      </c>
      <c r="O799" t="s">
        <v>74</v>
      </c>
      <c r="P799" t="s">
        <v>74</v>
      </c>
      <c r="Q799" t="s">
        <v>74</v>
      </c>
      <c r="R799" t="s">
        <v>74</v>
      </c>
      <c r="S799" t="s">
        <v>74</v>
      </c>
      <c r="T799" t="s">
        <v>13919</v>
      </c>
      <c r="U799" t="s">
        <v>6717</v>
      </c>
      <c r="V799" t="s">
        <v>13920</v>
      </c>
      <c r="W799" t="s">
        <v>13921</v>
      </c>
      <c r="X799" t="s">
        <v>8425</v>
      </c>
      <c r="Y799" t="s">
        <v>13922</v>
      </c>
      <c r="Z799" t="s">
        <v>13923</v>
      </c>
      <c r="AA799" t="s">
        <v>13924</v>
      </c>
      <c r="AB799" t="s">
        <v>74</v>
      </c>
      <c r="AC799" t="s">
        <v>74</v>
      </c>
      <c r="AD799" t="s">
        <v>74</v>
      </c>
      <c r="AE799" t="s">
        <v>74</v>
      </c>
      <c r="AF799" t="s">
        <v>74</v>
      </c>
      <c r="AG799">
        <v>16</v>
      </c>
      <c r="AH799">
        <v>2</v>
      </c>
      <c r="AI799">
        <v>2</v>
      </c>
      <c r="AJ799">
        <v>3</v>
      </c>
      <c r="AK799">
        <v>7</v>
      </c>
      <c r="AL799" t="s">
        <v>8334</v>
      </c>
      <c r="AM799" t="s">
        <v>291</v>
      </c>
      <c r="AN799" t="s">
        <v>8335</v>
      </c>
      <c r="AO799" t="s">
        <v>13404</v>
      </c>
      <c r="AP799" t="s">
        <v>13405</v>
      </c>
      <c r="AQ799" t="s">
        <v>74</v>
      </c>
      <c r="AR799" t="s">
        <v>13406</v>
      </c>
      <c r="AS799" t="s">
        <v>13407</v>
      </c>
      <c r="AT799" t="s">
        <v>13925</v>
      </c>
      <c r="AU799">
        <v>2024</v>
      </c>
      <c r="AV799" t="s">
        <v>74</v>
      </c>
      <c r="AW799" t="s">
        <v>74</v>
      </c>
      <c r="AX799" t="s">
        <v>74</v>
      </c>
      <c r="AY799" t="s">
        <v>74</v>
      </c>
      <c r="AZ799" t="s">
        <v>74</v>
      </c>
      <c r="BA799" t="s">
        <v>74</v>
      </c>
      <c r="BB799" t="s">
        <v>74</v>
      </c>
      <c r="BC799" t="s">
        <v>74</v>
      </c>
      <c r="BD799" t="s">
        <v>74</v>
      </c>
      <c r="BE799" t="s">
        <v>13926</v>
      </c>
      <c r="BF799" t="str">
        <f>HYPERLINK("http://dx.doi.org/10.1093/postmj/qgae021","http://dx.doi.org/10.1093/postmj/qgae021")</f>
        <v>http://dx.doi.org/10.1093/postmj/qgae021</v>
      </c>
      <c r="BG799" t="s">
        <v>74</v>
      </c>
      <c r="BH799" t="s">
        <v>786</v>
      </c>
      <c r="BI799">
        <v>5</v>
      </c>
      <c r="BJ799" t="s">
        <v>811</v>
      </c>
      <c r="BK799" t="s">
        <v>209</v>
      </c>
      <c r="BL799" t="s">
        <v>812</v>
      </c>
      <c r="BM799" t="s">
        <v>13927</v>
      </c>
      <c r="BN799">
        <v>38376147</v>
      </c>
      <c r="BO799" t="s">
        <v>74</v>
      </c>
      <c r="BP799" t="s">
        <v>74</v>
      </c>
      <c r="BQ799" t="s">
        <v>74</v>
      </c>
      <c r="BR799" t="s">
        <v>102</v>
      </c>
      <c r="BS799" t="s">
        <v>13928</v>
      </c>
      <c r="BT799" t="str">
        <f>HYPERLINK("https%3A%2F%2Fwww.webofscience.com%2Fwos%2Fwoscc%2Ffull-record%2FWOS:001167113900001","View Full Record in Web of Science")</f>
        <v>View Full Record in Web of Science</v>
      </c>
    </row>
    <row r="800" spans="1:72" x14ac:dyDescent="0.35">
      <c r="A800" t="s">
        <v>72</v>
      </c>
      <c r="B800" t="s">
        <v>13929</v>
      </c>
      <c r="C800" t="s">
        <v>74</v>
      </c>
      <c r="D800" t="s">
        <v>74</v>
      </c>
      <c r="E800" t="s">
        <v>74</v>
      </c>
      <c r="F800" t="s">
        <v>13930</v>
      </c>
      <c r="G800" t="s">
        <v>74</v>
      </c>
      <c r="H800" t="s">
        <v>74</v>
      </c>
      <c r="I800" t="s">
        <v>13931</v>
      </c>
      <c r="J800" t="s">
        <v>13932</v>
      </c>
      <c r="K800" t="s">
        <v>74</v>
      </c>
      <c r="L800" t="s">
        <v>74</v>
      </c>
      <c r="M800" t="s">
        <v>78</v>
      </c>
      <c r="N800" t="s">
        <v>52</v>
      </c>
      <c r="O800" t="s">
        <v>74</v>
      </c>
      <c r="P800" t="s">
        <v>74</v>
      </c>
      <c r="Q800" t="s">
        <v>74</v>
      </c>
      <c r="R800" t="s">
        <v>74</v>
      </c>
      <c r="S800" t="s">
        <v>74</v>
      </c>
      <c r="T800" t="s">
        <v>13933</v>
      </c>
      <c r="U800" t="s">
        <v>74</v>
      </c>
      <c r="V800" t="s">
        <v>74</v>
      </c>
      <c r="W800" t="s">
        <v>13934</v>
      </c>
      <c r="X800" t="s">
        <v>74</v>
      </c>
      <c r="Y800" t="s">
        <v>74</v>
      </c>
      <c r="Z800" t="s">
        <v>74</v>
      </c>
      <c r="AA800" t="s">
        <v>74</v>
      </c>
      <c r="AB800" t="s">
        <v>74</v>
      </c>
      <c r="AC800" t="s">
        <v>74</v>
      </c>
      <c r="AD800" t="s">
        <v>74</v>
      </c>
      <c r="AE800" t="s">
        <v>74</v>
      </c>
      <c r="AF800" t="s">
        <v>74</v>
      </c>
      <c r="AG800">
        <v>0</v>
      </c>
      <c r="AH800">
        <v>0</v>
      </c>
      <c r="AI800">
        <v>0</v>
      </c>
      <c r="AJ800">
        <v>0</v>
      </c>
      <c r="AK800">
        <v>0</v>
      </c>
      <c r="AL800" t="s">
        <v>1129</v>
      </c>
      <c r="AM800" t="s">
        <v>89</v>
      </c>
      <c r="AN800" t="s">
        <v>1130</v>
      </c>
      <c r="AO800" t="s">
        <v>13935</v>
      </c>
      <c r="AP800" t="s">
        <v>13936</v>
      </c>
      <c r="AQ800" t="s">
        <v>74</v>
      </c>
      <c r="AR800" t="s">
        <v>13937</v>
      </c>
      <c r="AS800" t="s">
        <v>13938</v>
      </c>
      <c r="AT800" t="s">
        <v>74</v>
      </c>
      <c r="AU800">
        <v>2023</v>
      </c>
      <c r="AV800">
        <v>39</v>
      </c>
      <c r="AW800" t="s">
        <v>74</v>
      </c>
      <c r="AX800" t="s">
        <v>74</v>
      </c>
      <c r="AY800">
        <v>1</v>
      </c>
      <c r="AZ800" t="s">
        <v>74</v>
      </c>
      <c r="BA800" t="s">
        <v>74</v>
      </c>
      <c r="BB800" t="s">
        <v>13939</v>
      </c>
      <c r="BC800" t="s">
        <v>13939</v>
      </c>
      <c r="BD800" t="s">
        <v>74</v>
      </c>
      <c r="BE800" t="s">
        <v>74</v>
      </c>
      <c r="BF800" t="s">
        <v>74</v>
      </c>
      <c r="BG800" t="s">
        <v>74</v>
      </c>
      <c r="BH800" t="s">
        <v>74</v>
      </c>
      <c r="BI800">
        <v>1</v>
      </c>
      <c r="BJ800" t="s">
        <v>2535</v>
      </c>
      <c r="BK800" t="s">
        <v>209</v>
      </c>
      <c r="BL800" t="s">
        <v>2536</v>
      </c>
      <c r="BM800" t="s">
        <v>13940</v>
      </c>
      <c r="BN800" t="s">
        <v>74</v>
      </c>
      <c r="BO800" t="s">
        <v>74</v>
      </c>
      <c r="BP800" t="s">
        <v>74</v>
      </c>
      <c r="BQ800" t="s">
        <v>74</v>
      </c>
      <c r="BR800" t="s">
        <v>102</v>
      </c>
      <c r="BS800" t="s">
        <v>13941</v>
      </c>
      <c r="BT800" t="str">
        <f>HYPERLINK("https%3A%2F%2Fwww.webofscience.com%2Fwos%2Fwoscc%2Ffull-record%2FWOS:001043063600056","View Full Record in Web of Science")</f>
        <v>View Full Record in Web of Science</v>
      </c>
    </row>
    <row r="801" spans="1:72" x14ac:dyDescent="0.35">
      <c r="A801" t="s">
        <v>72</v>
      </c>
      <c r="B801" t="s">
        <v>13942</v>
      </c>
      <c r="C801" t="s">
        <v>74</v>
      </c>
      <c r="D801" t="s">
        <v>74</v>
      </c>
      <c r="E801" t="s">
        <v>74</v>
      </c>
      <c r="F801" t="s">
        <v>13943</v>
      </c>
      <c r="G801" t="s">
        <v>74</v>
      </c>
      <c r="H801" t="s">
        <v>74</v>
      </c>
      <c r="I801" t="s">
        <v>13944</v>
      </c>
      <c r="J801" t="s">
        <v>4892</v>
      </c>
      <c r="K801" t="s">
        <v>74</v>
      </c>
      <c r="L801" t="s">
        <v>74</v>
      </c>
      <c r="M801" t="s">
        <v>78</v>
      </c>
      <c r="N801" t="s">
        <v>108</v>
      </c>
      <c r="O801" t="s">
        <v>74</v>
      </c>
      <c r="P801" t="s">
        <v>74</v>
      </c>
      <c r="Q801" t="s">
        <v>74</v>
      </c>
      <c r="R801" t="s">
        <v>74</v>
      </c>
      <c r="S801" t="s">
        <v>74</v>
      </c>
      <c r="T801" t="s">
        <v>13945</v>
      </c>
      <c r="U801" t="s">
        <v>74</v>
      </c>
      <c r="V801" t="s">
        <v>13946</v>
      </c>
      <c r="W801" t="s">
        <v>13947</v>
      </c>
      <c r="X801" t="s">
        <v>13948</v>
      </c>
      <c r="Y801" t="s">
        <v>13949</v>
      </c>
      <c r="Z801" t="s">
        <v>13950</v>
      </c>
      <c r="AA801" t="s">
        <v>74</v>
      </c>
      <c r="AB801" t="s">
        <v>74</v>
      </c>
      <c r="AC801" t="s">
        <v>74</v>
      </c>
      <c r="AD801" t="s">
        <v>74</v>
      </c>
      <c r="AE801" t="s">
        <v>74</v>
      </c>
      <c r="AF801" t="s">
        <v>74</v>
      </c>
      <c r="AG801">
        <v>78</v>
      </c>
      <c r="AH801">
        <v>0</v>
      </c>
      <c r="AI801">
        <v>0</v>
      </c>
      <c r="AJ801">
        <v>1</v>
      </c>
      <c r="AK801">
        <v>1</v>
      </c>
      <c r="AL801" t="s">
        <v>4900</v>
      </c>
      <c r="AM801" t="s">
        <v>4901</v>
      </c>
      <c r="AN801" t="s">
        <v>4902</v>
      </c>
      <c r="AO801" t="s">
        <v>4903</v>
      </c>
      <c r="AP801" t="s">
        <v>74</v>
      </c>
      <c r="AQ801" t="s">
        <v>74</v>
      </c>
      <c r="AR801" t="s">
        <v>4904</v>
      </c>
      <c r="AS801" t="s">
        <v>4905</v>
      </c>
      <c r="AT801" t="s">
        <v>273</v>
      </c>
      <c r="AU801">
        <v>2024</v>
      </c>
      <c r="AV801" t="s">
        <v>74</v>
      </c>
      <c r="AW801">
        <v>46</v>
      </c>
      <c r="AX801" t="s">
        <v>74</v>
      </c>
      <c r="AY801" t="s">
        <v>74</v>
      </c>
      <c r="AZ801" t="s">
        <v>74</v>
      </c>
      <c r="BA801" t="s">
        <v>74</v>
      </c>
      <c r="BB801" t="s">
        <v>74</v>
      </c>
      <c r="BC801" t="s">
        <v>74</v>
      </c>
      <c r="BD801" t="s">
        <v>74</v>
      </c>
      <c r="BE801" t="s">
        <v>74</v>
      </c>
      <c r="BF801" t="s">
        <v>74</v>
      </c>
      <c r="BG801" t="s">
        <v>74</v>
      </c>
      <c r="BH801" t="s">
        <v>74</v>
      </c>
      <c r="BI801">
        <v>23</v>
      </c>
      <c r="BJ801" t="s">
        <v>98</v>
      </c>
      <c r="BK801" t="s">
        <v>125</v>
      </c>
      <c r="BL801" t="s">
        <v>100</v>
      </c>
      <c r="BM801" t="s">
        <v>13951</v>
      </c>
      <c r="BN801" t="s">
        <v>74</v>
      </c>
      <c r="BO801" t="s">
        <v>74</v>
      </c>
      <c r="BP801" t="s">
        <v>74</v>
      </c>
      <c r="BQ801" t="s">
        <v>74</v>
      </c>
      <c r="BR801" t="s">
        <v>102</v>
      </c>
      <c r="BS801" t="s">
        <v>13952</v>
      </c>
      <c r="BT801" t="str">
        <f>HYPERLINK("https%3A%2F%2Fwww.webofscience.com%2Fwos%2Fwoscc%2Ffull-record%2FWOS:001303587900015","View Full Record in Web of Science")</f>
        <v>View Full Record in Web of Science</v>
      </c>
    </row>
    <row r="802" spans="1:72" x14ac:dyDescent="0.35">
      <c r="A802" t="s">
        <v>128</v>
      </c>
      <c r="B802" t="s">
        <v>13953</v>
      </c>
      <c r="C802" t="s">
        <v>74</v>
      </c>
      <c r="D802" t="s">
        <v>74</v>
      </c>
      <c r="E802" t="s">
        <v>1677</v>
      </c>
      <c r="F802" t="s">
        <v>13954</v>
      </c>
      <c r="G802" t="s">
        <v>74</v>
      </c>
      <c r="H802" t="s">
        <v>74</v>
      </c>
      <c r="I802" t="s">
        <v>13955</v>
      </c>
      <c r="J802" t="s">
        <v>13956</v>
      </c>
      <c r="K802" t="s">
        <v>13957</v>
      </c>
      <c r="L802" t="s">
        <v>74</v>
      </c>
      <c r="M802" t="s">
        <v>78</v>
      </c>
      <c r="N802" t="s">
        <v>135</v>
      </c>
      <c r="O802" t="s">
        <v>13958</v>
      </c>
      <c r="P802" t="s">
        <v>13959</v>
      </c>
      <c r="Q802" t="s">
        <v>13960</v>
      </c>
      <c r="R802" t="s">
        <v>3387</v>
      </c>
      <c r="S802" t="s">
        <v>13961</v>
      </c>
      <c r="T802" t="s">
        <v>74</v>
      </c>
      <c r="U802" t="s">
        <v>74</v>
      </c>
      <c r="V802" t="s">
        <v>13962</v>
      </c>
      <c r="W802" t="s">
        <v>13963</v>
      </c>
      <c r="X802" t="s">
        <v>13964</v>
      </c>
      <c r="Y802" t="s">
        <v>13965</v>
      </c>
      <c r="Z802" t="s">
        <v>13966</v>
      </c>
      <c r="AA802" t="s">
        <v>74</v>
      </c>
      <c r="AB802" t="s">
        <v>74</v>
      </c>
      <c r="AC802" t="s">
        <v>74</v>
      </c>
      <c r="AD802" t="s">
        <v>74</v>
      </c>
      <c r="AE802" t="s">
        <v>74</v>
      </c>
      <c r="AF802" t="s">
        <v>74</v>
      </c>
      <c r="AG802">
        <v>89</v>
      </c>
      <c r="AH802">
        <v>1</v>
      </c>
      <c r="AI802">
        <v>1</v>
      </c>
      <c r="AJ802">
        <v>1</v>
      </c>
      <c r="AK802">
        <v>6</v>
      </c>
      <c r="AL802" t="s">
        <v>758</v>
      </c>
      <c r="AM802" t="s">
        <v>759</v>
      </c>
      <c r="AN802" t="s">
        <v>2146</v>
      </c>
      <c r="AO802" t="s">
        <v>13967</v>
      </c>
      <c r="AP802" t="s">
        <v>74</v>
      </c>
      <c r="AQ802" t="s">
        <v>13968</v>
      </c>
      <c r="AR802" t="s">
        <v>13969</v>
      </c>
      <c r="AS802" t="s">
        <v>74</v>
      </c>
      <c r="AT802" t="s">
        <v>74</v>
      </c>
      <c r="AU802">
        <v>2023</v>
      </c>
      <c r="AV802" t="s">
        <v>74</v>
      </c>
      <c r="AW802" t="s">
        <v>74</v>
      </c>
      <c r="AX802" t="s">
        <v>74</v>
      </c>
      <c r="AY802" t="s">
        <v>74</v>
      </c>
      <c r="AZ802" t="s">
        <v>74</v>
      </c>
      <c r="BA802" t="s">
        <v>74</v>
      </c>
      <c r="BB802">
        <v>594</v>
      </c>
      <c r="BC802">
        <v>608</v>
      </c>
      <c r="BD802" t="s">
        <v>74</v>
      </c>
      <c r="BE802" t="s">
        <v>13970</v>
      </c>
      <c r="BF802" t="str">
        <f>HYPERLINK("http://dx.doi.org/10.1109/EuroSPW59978.2023.00071","http://dx.doi.org/10.1109/EuroSPW59978.2023.00071")</f>
        <v>http://dx.doi.org/10.1109/EuroSPW59978.2023.00071</v>
      </c>
      <c r="BG802" t="s">
        <v>74</v>
      </c>
      <c r="BH802" t="s">
        <v>74</v>
      </c>
      <c r="BI802">
        <v>15</v>
      </c>
      <c r="BJ802" t="s">
        <v>3725</v>
      </c>
      <c r="BK802" t="s">
        <v>723</v>
      </c>
      <c r="BL802" t="s">
        <v>210</v>
      </c>
      <c r="BM802" t="s">
        <v>13971</v>
      </c>
      <c r="BN802" t="s">
        <v>74</v>
      </c>
      <c r="BO802" t="s">
        <v>2738</v>
      </c>
      <c r="BP802" t="s">
        <v>74</v>
      </c>
      <c r="BQ802" t="s">
        <v>74</v>
      </c>
      <c r="BR802" t="s">
        <v>102</v>
      </c>
      <c r="BS802" t="s">
        <v>13972</v>
      </c>
      <c r="BT802" t="str">
        <f>HYPERLINK("https%3A%2F%2Fwww.webofscience.com%2Fwos%2Fwoscc%2Ffull-record%2FWOS:001046699200067","View Full Record in Web of Science")</f>
        <v>View Full Record in Web of Science</v>
      </c>
    </row>
    <row r="803" spans="1:72" x14ac:dyDescent="0.35">
      <c r="A803" t="s">
        <v>72</v>
      </c>
      <c r="B803" t="s">
        <v>13973</v>
      </c>
      <c r="C803" t="s">
        <v>74</v>
      </c>
      <c r="D803" t="s">
        <v>74</v>
      </c>
      <c r="E803" t="s">
        <v>74</v>
      </c>
      <c r="F803" t="s">
        <v>13974</v>
      </c>
      <c r="G803" t="s">
        <v>74</v>
      </c>
      <c r="H803" t="s">
        <v>74</v>
      </c>
      <c r="I803" t="s">
        <v>13975</v>
      </c>
      <c r="J803" t="s">
        <v>11744</v>
      </c>
      <c r="K803" t="s">
        <v>74</v>
      </c>
      <c r="L803" t="s">
        <v>74</v>
      </c>
      <c r="M803" t="s">
        <v>78</v>
      </c>
      <c r="N803" t="s">
        <v>108</v>
      </c>
      <c r="O803" t="s">
        <v>74</v>
      </c>
      <c r="P803" t="s">
        <v>74</v>
      </c>
      <c r="Q803" t="s">
        <v>74</v>
      </c>
      <c r="R803" t="s">
        <v>74</v>
      </c>
      <c r="S803" t="s">
        <v>74</v>
      </c>
      <c r="T803" t="s">
        <v>13976</v>
      </c>
      <c r="U803" t="s">
        <v>74</v>
      </c>
      <c r="V803" t="s">
        <v>13977</v>
      </c>
      <c r="W803" t="s">
        <v>13978</v>
      </c>
      <c r="X803" t="s">
        <v>3998</v>
      </c>
      <c r="Y803" t="s">
        <v>13979</v>
      </c>
      <c r="Z803" t="s">
        <v>74</v>
      </c>
      <c r="AA803" t="s">
        <v>13980</v>
      </c>
      <c r="AB803" t="s">
        <v>74</v>
      </c>
      <c r="AC803" t="s">
        <v>74</v>
      </c>
      <c r="AD803" t="s">
        <v>74</v>
      </c>
      <c r="AE803" t="s">
        <v>74</v>
      </c>
      <c r="AF803" t="s">
        <v>74</v>
      </c>
      <c r="AG803">
        <v>37</v>
      </c>
      <c r="AH803">
        <v>21</v>
      </c>
      <c r="AI803">
        <v>25</v>
      </c>
      <c r="AJ803">
        <v>10</v>
      </c>
      <c r="AK803">
        <v>81</v>
      </c>
      <c r="AL803" t="s">
        <v>3632</v>
      </c>
      <c r="AM803" t="s">
        <v>148</v>
      </c>
      <c r="AN803" t="s">
        <v>5053</v>
      </c>
      <c r="AO803" t="s">
        <v>11752</v>
      </c>
      <c r="AP803" t="s">
        <v>11753</v>
      </c>
      <c r="AQ803" t="s">
        <v>74</v>
      </c>
      <c r="AR803" t="s">
        <v>11754</v>
      </c>
      <c r="AS803" t="s">
        <v>11755</v>
      </c>
      <c r="AT803" t="s">
        <v>930</v>
      </c>
      <c r="AU803">
        <v>2022</v>
      </c>
      <c r="AV803">
        <v>46</v>
      </c>
      <c r="AW803" t="s">
        <v>74</v>
      </c>
      <c r="AX803" t="s">
        <v>74</v>
      </c>
      <c r="AY803" t="s">
        <v>74</v>
      </c>
      <c r="AZ803" t="s">
        <v>74</v>
      </c>
      <c r="BA803" t="s">
        <v>74</v>
      </c>
      <c r="BB803" t="s">
        <v>74</v>
      </c>
      <c r="BC803" t="s">
        <v>74</v>
      </c>
      <c r="BD803">
        <v>100591</v>
      </c>
      <c r="BE803" t="s">
        <v>13981</v>
      </c>
      <c r="BF803" t="str">
        <f>HYPERLINK("http://dx.doi.org/10.1016/j.dcm.2022.100591","http://dx.doi.org/10.1016/j.dcm.2022.100591")</f>
        <v>http://dx.doi.org/10.1016/j.dcm.2022.100591</v>
      </c>
      <c r="BG803" t="s">
        <v>74</v>
      </c>
      <c r="BH803" t="s">
        <v>4460</v>
      </c>
      <c r="BI803">
        <v>11</v>
      </c>
      <c r="BJ803" t="s">
        <v>124</v>
      </c>
      <c r="BK803" t="s">
        <v>99</v>
      </c>
      <c r="BL803" t="s">
        <v>124</v>
      </c>
      <c r="BM803" t="s">
        <v>13982</v>
      </c>
      <c r="BN803" t="s">
        <v>74</v>
      </c>
      <c r="BO803" t="s">
        <v>74</v>
      </c>
      <c r="BP803" t="s">
        <v>74</v>
      </c>
      <c r="BQ803" t="s">
        <v>74</v>
      </c>
      <c r="BR803" t="s">
        <v>102</v>
      </c>
      <c r="BS803" t="s">
        <v>13983</v>
      </c>
      <c r="BT803" t="str">
        <f>HYPERLINK("https%3A%2F%2Fwww.webofscience.com%2Fwos%2Fwoscc%2Ffull-record%2FWOS:000773060400001","View Full Record in Web of Science")</f>
        <v>View Full Record in Web of Science</v>
      </c>
    </row>
    <row r="804" spans="1:72" x14ac:dyDescent="0.35">
      <c r="A804" t="s">
        <v>72</v>
      </c>
      <c r="B804" t="s">
        <v>13984</v>
      </c>
      <c r="C804" t="s">
        <v>74</v>
      </c>
      <c r="D804" t="s">
        <v>74</v>
      </c>
      <c r="E804" t="s">
        <v>74</v>
      </c>
      <c r="F804" t="s">
        <v>13985</v>
      </c>
      <c r="G804" t="s">
        <v>74</v>
      </c>
      <c r="H804" t="s">
        <v>74</v>
      </c>
      <c r="I804" t="s">
        <v>13986</v>
      </c>
      <c r="J804" t="s">
        <v>4984</v>
      </c>
      <c r="K804" t="s">
        <v>74</v>
      </c>
      <c r="L804" t="s">
        <v>74</v>
      </c>
      <c r="M804" t="s">
        <v>78</v>
      </c>
      <c r="N804" t="s">
        <v>79</v>
      </c>
      <c r="O804" t="s">
        <v>74</v>
      </c>
      <c r="P804" t="s">
        <v>74</v>
      </c>
      <c r="Q804" t="s">
        <v>74</v>
      </c>
      <c r="R804" t="s">
        <v>74</v>
      </c>
      <c r="S804" t="s">
        <v>74</v>
      </c>
      <c r="T804" t="s">
        <v>74</v>
      </c>
      <c r="U804" t="s">
        <v>74</v>
      </c>
      <c r="V804" t="s">
        <v>74</v>
      </c>
      <c r="W804" t="s">
        <v>13987</v>
      </c>
      <c r="X804" t="s">
        <v>13988</v>
      </c>
      <c r="Y804" t="s">
        <v>13989</v>
      </c>
      <c r="Z804" t="s">
        <v>13990</v>
      </c>
      <c r="AA804" t="s">
        <v>13991</v>
      </c>
      <c r="AB804" t="s">
        <v>13992</v>
      </c>
      <c r="AC804" t="s">
        <v>74</v>
      </c>
      <c r="AD804" t="s">
        <v>74</v>
      </c>
      <c r="AE804" t="s">
        <v>74</v>
      </c>
      <c r="AF804" t="s">
        <v>74</v>
      </c>
      <c r="AG804">
        <v>6</v>
      </c>
      <c r="AH804">
        <v>0</v>
      </c>
      <c r="AI804">
        <v>0</v>
      </c>
      <c r="AJ804">
        <v>0</v>
      </c>
      <c r="AK804">
        <v>1</v>
      </c>
      <c r="AL804" t="s">
        <v>357</v>
      </c>
      <c r="AM804" t="s">
        <v>358</v>
      </c>
      <c r="AN804" t="s">
        <v>359</v>
      </c>
      <c r="AO804" t="s">
        <v>4989</v>
      </c>
      <c r="AP804" t="s">
        <v>4990</v>
      </c>
      <c r="AQ804" t="s">
        <v>74</v>
      </c>
      <c r="AR804" t="s">
        <v>4991</v>
      </c>
      <c r="AS804" t="s">
        <v>4992</v>
      </c>
      <c r="AT804" t="s">
        <v>13993</v>
      </c>
      <c r="AU804">
        <v>2024</v>
      </c>
      <c r="AV804" t="s">
        <v>74</v>
      </c>
      <c r="AW804" t="s">
        <v>74</v>
      </c>
      <c r="AX804" t="s">
        <v>74</v>
      </c>
      <c r="AY804" t="s">
        <v>74</v>
      </c>
      <c r="AZ804" t="s">
        <v>74</v>
      </c>
      <c r="BA804" t="s">
        <v>74</v>
      </c>
      <c r="BB804" t="s">
        <v>74</v>
      </c>
      <c r="BC804" t="s">
        <v>74</v>
      </c>
      <c r="BD804" t="s">
        <v>74</v>
      </c>
      <c r="BE804" t="s">
        <v>13994</v>
      </c>
      <c r="BF804" t="str">
        <f>HYPERLINK("http://dx.doi.org/10.1089/fpsam.2023.0249","http://dx.doi.org/10.1089/fpsam.2023.0249")</f>
        <v>http://dx.doi.org/10.1089/fpsam.2023.0249</v>
      </c>
      <c r="BG804" t="s">
        <v>74</v>
      </c>
      <c r="BH804" t="s">
        <v>2410</v>
      </c>
      <c r="BI804">
        <v>3</v>
      </c>
      <c r="BJ804" t="s">
        <v>4994</v>
      </c>
      <c r="BK804" t="s">
        <v>209</v>
      </c>
      <c r="BL804" t="s">
        <v>4994</v>
      </c>
      <c r="BM804" t="s">
        <v>13995</v>
      </c>
      <c r="BN804">
        <v>38621185</v>
      </c>
      <c r="BO804" t="s">
        <v>74</v>
      </c>
      <c r="BP804" t="s">
        <v>74</v>
      </c>
      <c r="BQ804" t="s">
        <v>74</v>
      </c>
      <c r="BR804" t="s">
        <v>102</v>
      </c>
      <c r="BS804" t="s">
        <v>13996</v>
      </c>
      <c r="BT804" t="str">
        <f>HYPERLINK("https%3A%2F%2Fwww.webofscience.com%2Fwos%2Fwoscc%2Ffull-record%2FWOS:001202658200001","View Full Record in Web of Science")</f>
        <v>View Full Record in Web of Science</v>
      </c>
    </row>
    <row r="805" spans="1:72" x14ac:dyDescent="0.35">
      <c r="A805" t="s">
        <v>8845</v>
      </c>
      <c r="B805" t="s">
        <v>13997</v>
      </c>
      <c r="C805" t="s">
        <v>74</v>
      </c>
      <c r="D805" t="s">
        <v>13998</v>
      </c>
      <c r="E805" t="s">
        <v>74</v>
      </c>
      <c r="F805" t="s">
        <v>13999</v>
      </c>
      <c r="G805" t="s">
        <v>74</v>
      </c>
      <c r="H805" t="s">
        <v>74</v>
      </c>
      <c r="I805" t="s">
        <v>14000</v>
      </c>
      <c r="J805" t="s">
        <v>14001</v>
      </c>
      <c r="K805" t="s">
        <v>14002</v>
      </c>
      <c r="L805" t="s">
        <v>74</v>
      </c>
      <c r="M805" t="s">
        <v>78</v>
      </c>
      <c r="N805" t="s">
        <v>4953</v>
      </c>
      <c r="O805" t="s">
        <v>74</v>
      </c>
      <c r="P805" t="s">
        <v>74</v>
      </c>
      <c r="Q805" t="s">
        <v>74</v>
      </c>
      <c r="R805" t="s">
        <v>74</v>
      </c>
      <c r="S805" t="s">
        <v>74</v>
      </c>
      <c r="T805" t="s">
        <v>74</v>
      </c>
      <c r="U805" t="s">
        <v>74</v>
      </c>
      <c r="V805" t="s">
        <v>74</v>
      </c>
      <c r="W805" t="s">
        <v>14003</v>
      </c>
      <c r="X805" t="s">
        <v>14004</v>
      </c>
      <c r="Y805" t="s">
        <v>14005</v>
      </c>
      <c r="Z805" t="s">
        <v>74</v>
      </c>
      <c r="AA805" t="s">
        <v>74</v>
      </c>
      <c r="AB805" t="s">
        <v>74</v>
      </c>
      <c r="AC805" t="s">
        <v>74</v>
      </c>
      <c r="AD805" t="s">
        <v>74</v>
      </c>
      <c r="AE805" t="s">
        <v>74</v>
      </c>
      <c r="AF805" t="s">
        <v>74</v>
      </c>
      <c r="AG805">
        <v>23</v>
      </c>
      <c r="AH805">
        <v>1</v>
      </c>
      <c r="AI805">
        <v>1</v>
      </c>
      <c r="AJ805">
        <v>0</v>
      </c>
      <c r="AK805">
        <v>0</v>
      </c>
      <c r="AL805" t="s">
        <v>14006</v>
      </c>
      <c r="AM805" t="s">
        <v>666</v>
      </c>
      <c r="AN805" t="s">
        <v>14007</v>
      </c>
      <c r="AO805" t="s">
        <v>74</v>
      </c>
      <c r="AP805" t="s">
        <v>74</v>
      </c>
      <c r="AQ805" t="s">
        <v>14008</v>
      </c>
      <c r="AR805" t="s">
        <v>14009</v>
      </c>
      <c r="AS805" t="s">
        <v>74</v>
      </c>
      <c r="AT805" t="s">
        <v>74</v>
      </c>
      <c r="AU805">
        <v>2023</v>
      </c>
      <c r="AV805" t="s">
        <v>74</v>
      </c>
      <c r="AW805" t="s">
        <v>74</v>
      </c>
      <c r="AX805" t="s">
        <v>74</v>
      </c>
      <c r="AY805" t="s">
        <v>74</v>
      </c>
      <c r="AZ805" t="s">
        <v>74</v>
      </c>
      <c r="BA805" t="s">
        <v>74</v>
      </c>
      <c r="BB805">
        <v>187</v>
      </c>
      <c r="BC805">
        <v>201</v>
      </c>
      <c r="BD805" t="s">
        <v>74</v>
      </c>
      <c r="BE805" t="s">
        <v>74</v>
      </c>
      <c r="BF805" t="s">
        <v>74</v>
      </c>
      <c r="BG805" t="s">
        <v>14010</v>
      </c>
      <c r="BH805" t="s">
        <v>74</v>
      </c>
      <c r="BI805">
        <v>15</v>
      </c>
      <c r="BJ805" t="s">
        <v>14011</v>
      </c>
      <c r="BK805" t="s">
        <v>8862</v>
      </c>
      <c r="BL805" t="s">
        <v>14011</v>
      </c>
      <c r="BM805" t="s">
        <v>14012</v>
      </c>
      <c r="BN805" t="s">
        <v>74</v>
      </c>
      <c r="BO805" t="s">
        <v>74</v>
      </c>
      <c r="BP805" t="s">
        <v>74</v>
      </c>
      <c r="BQ805" t="s">
        <v>74</v>
      </c>
      <c r="BR805" t="s">
        <v>102</v>
      </c>
      <c r="BS805" t="s">
        <v>14013</v>
      </c>
      <c r="BT805" t="str">
        <f>HYPERLINK("https%3A%2F%2Fwww.webofscience.com%2Fwos%2Fwoscc%2Ffull-record%2FWOS:001154213500010","View Full Record in Web of Science")</f>
        <v>View Full Record in Web of Science</v>
      </c>
    </row>
    <row r="806" spans="1:72" x14ac:dyDescent="0.35">
      <c r="A806" t="s">
        <v>8845</v>
      </c>
      <c r="B806" t="s">
        <v>14014</v>
      </c>
      <c r="C806" t="s">
        <v>74</v>
      </c>
      <c r="D806" t="s">
        <v>14015</v>
      </c>
      <c r="E806" t="s">
        <v>74</v>
      </c>
      <c r="F806" t="s">
        <v>14016</v>
      </c>
      <c r="G806" t="s">
        <v>74</v>
      </c>
      <c r="H806" t="s">
        <v>74</v>
      </c>
      <c r="I806" t="s">
        <v>14017</v>
      </c>
      <c r="J806" t="s">
        <v>14018</v>
      </c>
      <c r="K806" t="s">
        <v>14019</v>
      </c>
      <c r="L806" t="s">
        <v>74</v>
      </c>
      <c r="M806" t="s">
        <v>78</v>
      </c>
      <c r="N806" t="s">
        <v>4953</v>
      </c>
      <c r="O806" t="s">
        <v>74</v>
      </c>
      <c r="P806" t="s">
        <v>74</v>
      </c>
      <c r="Q806" t="s">
        <v>74</v>
      </c>
      <c r="R806" t="s">
        <v>74</v>
      </c>
      <c r="S806" t="s">
        <v>74</v>
      </c>
      <c r="T806" t="s">
        <v>74</v>
      </c>
      <c r="U806" t="s">
        <v>14020</v>
      </c>
      <c r="V806" t="s">
        <v>74</v>
      </c>
      <c r="W806" t="s">
        <v>14021</v>
      </c>
      <c r="X806" t="s">
        <v>14022</v>
      </c>
      <c r="Y806" t="s">
        <v>14023</v>
      </c>
      <c r="Z806" t="s">
        <v>74</v>
      </c>
      <c r="AA806" t="s">
        <v>74</v>
      </c>
      <c r="AB806" t="s">
        <v>74</v>
      </c>
      <c r="AC806" t="s">
        <v>74</v>
      </c>
      <c r="AD806" t="s">
        <v>74</v>
      </c>
      <c r="AE806" t="s">
        <v>74</v>
      </c>
      <c r="AF806" t="s">
        <v>74</v>
      </c>
      <c r="AG806">
        <v>41</v>
      </c>
      <c r="AH806">
        <v>4</v>
      </c>
      <c r="AI806">
        <v>4</v>
      </c>
      <c r="AJ806">
        <v>0</v>
      </c>
      <c r="AK806">
        <v>0</v>
      </c>
      <c r="AL806" t="s">
        <v>8855</v>
      </c>
      <c r="AM806" t="s">
        <v>89</v>
      </c>
      <c r="AN806" t="s">
        <v>8856</v>
      </c>
      <c r="AO806" t="s">
        <v>74</v>
      </c>
      <c r="AP806" t="s">
        <v>74</v>
      </c>
      <c r="AQ806" t="s">
        <v>14024</v>
      </c>
      <c r="AR806" t="s">
        <v>14025</v>
      </c>
      <c r="AS806" t="s">
        <v>74</v>
      </c>
      <c r="AT806" t="s">
        <v>74</v>
      </c>
      <c r="AU806">
        <v>2021</v>
      </c>
      <c r="AV806" t="s">
        <v>74</v>
      </c>
      <c r="AW806" t="s">
        <v>74</v>
      </c>
      <c r="AX806" t="s">
        <v>74</v>
      </c>
      <c r="AY806" t="s">
        <v>74</v>
      </c>
      <c r="AZ806" t="s">
        <v>74</v>
      </c>
      <c r="BA806" t="s">
        <v>74</v>
      </c>
      <c r="BB806">
        <v>139</v>
      </c>
      <c r="BC806">
        <v>157</v>
      </c>
      <c r="BD806" t="s">
        <v>74</v>
      </c>
      <c r="BE806" t="s">
        <v>74</v>
      </c>
      <c r="BF806" t="s">
        <v>74</v>
      </c>
      <c r="BG806" t="s">
        <v>74</v>
      </c>
      <c r="BH806" t="s">
        <v>74</v>
      </c>
      <c r="BI806">
        <v>19</v>
      </c>
      <c r="BJ806" t="s">
        <v>2124</v>
      </c>
      <c r="BK806" t="s">
        <v>8862</v>
      </c>
      <c r="BL806" t="s">
        <v>2124</v>
      </c>
      <c r="BM806" t="s">
        <v>14026</v>
      </c>
      <c r="BN806" t="s">
        <v>74</v>
      </c>
      <c r="BO806" t="s">
        <v>74</v>
      </c>
      <c r="BP806" t="s">
        <v>74</v>
      </c>
      <c r="BQ806" t="s">
        <v>74</v>
      </c>
      <c r="BR806" t="s">
        <v>102</v>
      </c>
      <c r="BS806" t="s">
        <v>14027</v>
      </c>
      <c r="BT806" t="str">
        <f>HYPERLINK("https%3A%2F%2Fwww.webofscience.com%2Fwos%2Fwoscc%2Ffull-record%2FWOS:000788257800009","View Full Record in Web of Science")</f>
        <v>View Full Record in Web of Science</v>
      </c>
    </row>
    <row r="807" spans="1:72" x14ac:dyDescent="0.35">
      <c r="A807" t="s">
        <v>72</v>
      </c>
      <c r="B807" t="s">
        <v>14028</v>
      </c>
      <c r="C807" t="s">
        <v>74</v>
      </c>
      <c r="D807" t="s">
        <v>74</v>
      </c>
      <c r="E807" t="s">
        <v>74</v>
      </c>
      <c r="F807" t="s">
        <v>14029</v>
      </c>
      <c r="G807" t="s">
        <v>74</v>
      </c>
      <c r="H807" t="s">
        <v>74</v>
      </c>
      <c r="I807" t="s">
        <v>14030</v>
      </c>
      <c r="J807" t="s">
        <v>14031</v>
      </c>
      <c r="K807" t="s">
        <v>74</v>
      </c>
      <c r="L807" t="s">
        <v>74</v>
      </c>
      <c r="M807" t="s">
        <v>78</v>
      </c>
      <c r="N807" t="s">
        <v>1328</v>
      </c>
      <c r="O807" t="s">
        <v>74</v>
      </c>
      <c r="P807" t="s">
        <v>74</v>
      </c>
      <c r="Q807" t="s">
        <v>74</v>
      </c>
      <c r="R807" t="s">
        <v>74</v>
      </c>
      <c r="S807" t="s">
        <v>74</v>
      </c>
      <c r="T807" t="s">
        <v>74</v>
      </c>
      <c r="U807" t="s">
        <v>74</v>
      </c>
      <c r="V807" t="s">
        <v>74</v>
      </c>
      <c r="W807" t="s">
        <v>14032</v>
      </c>
      <c r="X807" t="s">
        <v>1438</v>
      </c>
      <c r="Y807" t="s">
        <v>14033</v>
      </c>
      <c r="Z807" t="s">
        <v>5252</v>
      </c>
      <c r="AA807" t="s">
        <v>5253</v>
      </c>
      <c r="AB807" t="s">
        <v>5254</v>
      </c>
      <c r="AC807" t="s">
        <v>74</v>
      </c>
      <c r="AD807" t="s">
        <v>74</v>
      </c>
      <c r="AE807" t="s">
        <v>74</v>
      </c>
      <c r="AF807" t="s">
        <v>74</v>
      </c>
      <c r="AG807">
        <v>3</v>
      </c>
      <c r="AH807">
        <v>4</v>
      </c>
      <c r="AI807">
        <v>4</v>
      </c>
      <c r="AJ807">
        <v>1</v>
      </c>
      <c r="AK807">
        <v>9</v>
      </c>
      <c r="AL807" t="s">
        <v>516</v>
      </c>
      <c r="AM807" t="s">
        <v>517</v>
      </c>
      <c r="AN807" t="s">
        <v>518</v>
      </c>
      <c r="AO807" t="s">
        <v>14034</v>
      </c>
      <c r="AP807" t="s">
        <v>14035</v>
      </c>
      <c r="AQ807" t="s">
        <v>74</v>
      </c>
      <c r="AR807" t="s">
        <v>14036</v>
      </c>
      <c r="AS807" t="s">
        <v>14037</v>
      </c>
      <c r="AT807" t="s">
        <v>594</v>
      </c>
      <c r="AU807">
        <v>2023</v>
      </c>
      <c r="AV807">
        <v>110</v>
      </c>
      <c r="AW807" t="s">
        <v>74</v>
      </c>
      <c r="AX807" t="s">
        <v>74</v>
      </c>
      <c r="AY807" t="s">
        <v>74</v>
      </c>
      <c r="AZ807" t="s">
        <v>74</v>
      </c>
      <c r="BA807" t="s">
        <v>74</v>
      </c>
      <c r="BB807">
        <v>154</v>
      </c>
      <c r="BC807">
        <v>154</v>
      </c>
      <c r="BD807" t="s">
        <v>74</v>
      </c>
      <c r="BE807" t="s">
        <v>14038</v>
      </c>
      <c r="BF807" t="str">
        <f>HYPERLINK("http://dx.doi.org/10.1016/j.sleep.2023.08.009","http://dx.doi.org/10.1016/j.sleep.2023.08.009")</f>
        <v>http://dx.doi.org/10.1016/j.sleep.2023.08.009</v>
      </c>
      <c r="BG807" t="s">
        <v>74</v>
      </c>
      <c r="BH807" t="s">
        <v>3138</v>
      </c>
      <c r="BI807">
        <v>1</v>
      </c>
      <c r="BJ807" t="s">
        <v>8652</v>
      </c>
      <c r="BK807" t="s">
        <v>209</v>
      </c>
      <c r="BL807" t="s">
        <v>2258</v>
      </c>
      <c r="BM807" t="s">
        <v>14039</v>
      </c>
      <c r="BN807">
        <v>37591030</v>
      </c>
      <c r="BO807" t="s">
        <v>74</v>
      </c>
      <c r="BP807" t="s">
        <v>74</v>
      </c>
      <c r="BQ807" t="s">
        <v>74</v>
      </c>
      <c r="BR807" t="s">
        <v>102</v>
      </c>
      <c r="BS807" t="s">
        <v>14040</v>
      </c>
      <c r="BT807" t="str">
        <f>HYPERLINK("https%3A%2F%2Fwww.webofscience.com%2Fwos%2Fwoscc%2Ffull-record%2FWOS:001065846900001","View Full Record in Web of Science")</f>
        <v>View Full Record in Web of Science</v>
      </c>
    </row>
    <row r="808" spans="1:72" x14ac:dyDescent="0.35">
      <c r="A808" t="s">
        <v>72</v>
      </c>
      <c r="B808" t="s">
        <v>14041</v>
      </c>
      <c r="C808" t="s">
        <v>74</v>
      </c>
      <c r="D808" t="s">
        <v>74</v>
      </c>
      <c r="E808" t="s">
        <v>74</v>
      </c>
      <c r="F808" t="s">
        <v>14042</v>
      </c>
      <c r="G808" t="s">
        <v>74</v>
      </c>
      <c r="H808" t="s">
        <v>74</v>
      </c>
      <c r="I808" t="s">
        <v>14043</v>
      </c>
      <c r="J808" t="s">
        <v>13146</v>
      </c>
      <c r="K808" t="s">
        <v>74</v>
      </c>
      <c r="L808" t="s">
        <v>74</v>
      </c>
      <c r="M808" t="s">
        <v>78</v>
      </c>
      <c r="N808" t="s">
        <v>1328</v>
      </c>
      <c r="O808" t="s">
        <v>74</v>
      </c>
      <c r="P808" t="s">
        <v>74</v>
      </c>
      <c r="Q808" t="s">
        <v>74</v>
      </c>
      <c r="R808" t="s">
        <v>74</v>
      </c>
      <c r="S808" t="s">
        <v>74</v>
      </c>
      <c r="T808" t="s">
        <v>74</v>
      </c>
      <c r="U808" t="s">
        <v>74</v>
      </c>
      <c r="V808" t="s">
        <v>74</v>
      </c>
      <c r="W808" t="s">
        <v>14044</v>
      </c>
      <c r="X808" t="s">
        <v>14045</v>
      </c>
      <c r="Y808" t="s">
        <v>14046</v>
      </c>
      <c r="Z808" t="s">
        <v>14047</v>
      </c>
      <c r="AA808" t="s">
        <v>74</v>
      </c>
      <c r="AB808" t="s">
        <v>74</v>
      </c>
      <c r="AC808" t="s">
        <v>74</v>
      </c>
      <c r="AD808" t="s">
        <v>74</v>
      </c>
      <c r="AE808" t="s">
        <v>74</v>
      </c>
      <c r="AF808" t="s">
        <v>74</v>
      </c>
      <c r="AG808">
        <v>5</v>
      </c>
      <c r="AH808">
        <v>0</v>
      </c>
      <c r="AI808">
        <v>0</v>
      </c>
      <c r="AJ808">
        <v>0</v>
      </c>
      <c r="AK808">
        <v>1</v>
      </c>
      <c r="AL808" t="s">
        <v>1901</v>
      </c>
      <c r="AM808" t="s">
        <v>995</v>
      </c>
      <c r="AN808" t="s">
        <v>1902</v>
      </c>
      <c r="AO808" t="s">
        <v>13151</v>
      </c>
      <c r="AP808" t="s">
        <v>13152</v>
      </c>
      <c r="AQ808" t="s">
        <v>74</v>
      </c>
      <c r="AR808" t="s">
        <v>13153</v>
      </c>
      <c r="AS808" t="s">
        <v>13154</v>
      </c>
      <c r="AT808" t="s">
        <v>745</v>
      </c>
      <c r="AU808">
        <v>2023</v>
      </c>
      <c r="AV808">
        <v>49</v>
      </c>
      <c r="AW808">
        <v>5</v>
      </c>
      <c r="AX808" t="s">
        <v>74</v>
      </c>
      <c r="AY808" t="s">
        <v>74</v>
      </c>
      <c r="AZ808" t="s">
        <v>74</v>
      </c>
      <c r="BA808" t="s">
        <v>74</v>
      </c>
      <c r="BB808">
        <v>534</v>
      </c>
      <c r="BC808">
        <v>535</v>
      </c>
      <c r="BD808" t="s">
        <v>74</v>
      </c>
      <c r="BE808" t="s">
        <v>14048</v>
      </c>
      <c r="BF808" t="str">
        <f>HYPERLINK("http://dx.doi.org/10.1097/DSS.0000000000003782","http://dx.doi.org/10.1097/DSS.0000000000003782")</f>
        <v>http://dx.doi.org/10.1097/DSS.0000000000003782</v>
      </c>
      <c r="BG808" t="s">
        <v>74</v>
      </c>
      <c r="BH808" t="s">
        <v>74</v>
      </c>
      <c r="BI808">
        <v>2</v>
      </c>
      <c r="BJ808" t="s">
        <v>13156</v>
      </c>
      <c r="BK808" t="s">
        <v>209</v>
      </c>
      <c r="BL808" t="s">
        <v>13156</v>
      </c>
      <c r="BM808" t="s">
        <v>14049</v>
      </c>
      <c r="BN808">
        <v>37052598</v>
      </c>
      <c r="BO808" t="s">
        <v>74</v>
      </c>
      <c r="BP808" t="s">
        <v>74</v>
      </c>
      <c r="BQ808" t="s">
        <v>74</v>
      </c>
      <c r="BR808" t="s">
        <v>102</v>
      </c>
      <c r="BS808" t="s">
        <v>14050</v>
      </c>
      <c r="BT808" t="str">
        <f>HYPERLINK("https%3A%2F%2Fwww.webofscience.com%2Fwos%2Fwoscc%2Ffull-record%2FWOS:001018674300024","View Full Record in Web of Science")</f>
        <v>View Full Record in Web of Science</v>
      </c>
    </row>
    <row r="809" spans="1:72" x14ac:dyDescent="0.35">
      <c r="A809" t="s">
        <v>72</v>
      </c>
      <c r="B809" t="s">
        <v>4909</v>
      </c>
      <c r="C809" t="s">
        <v>74</v>
      </c>
      <c r="D809" t="s">
        <v>74</v>
      </c>
      <c r="E809" t="s">
        <v>74</v>
      </c>
      <c r="F809" t="s">
        <v>4910</v>
      </c>
      <c r="G809" t="s">
        <v>74</v>
      </c>
      <c r="H809" t="s">
        <v>74</v>
      </c>
      <c r="I809" t="s">
        <v>14051</v>
      </c>
      <c r="J809" t="s">
        <v>216</v>
      </c>
      <c r="K809" t="s">
        <v>74</v>
      </c>
      <c r="L809" t="s">
        <v>74</v>
      </c>
      <c r="M809" t="s">
        <v>78</v>
      </c>
      <c r="N809" t="s">
        <v>108</v>
      </c>
      <c r="O809" t="s">
        <v>74</v>
      </c>
      <c r="P809" t="s">
        <v>74</v>
      </c>
      <c r="Q809" t="s">
        <v>74</v>
      </c>
      <c r="R809" t="s">
        <v>74</v>
      </c>
      <c r="S809" t="s">
        <v>74</v>
      </c>
      <c r="T809" t="s">
        <v>14052</v>
      </c>
      <c r="U809" t="s">
        <v>74</v>
      </c>
      <c r="V809" t="s">
        <v>14053</v>
      </c>
      <c r="W809" t="s">
        <v>14054</v>
      </c>
      <c r="X809" t="s">
        <v>14055</v>
      </c>
      <c r="Y809" t="s">
        <v>14056</v>
      </c>
      <c r="Z809" t="s">
        <v>4918</v>
      </c>
      <c r="AA809" t="s">
        <v>4919</v>
      </c>
      <c r="AB809" t="s">
        <v>4920</v>
      </c>
      <c r="AC809" t="s">
        <v>14057</v>
      </c>
      <c r="AD809" t="s">
        <v>14057</v>
      </c>
      <c r="AE809" t="s">
        <v>14058</v>
      </c>
      <c r="AF809" t="s">
        <v>74</v>
      </c>
      <c r="AG809">
        <v>44</v>
      </c>
      <c r="AH809">
        <v>1</v>
      </c>
      <c r="AI809">
        <v>1</v>
      </c>
      <c r="AJ809">
        <v>3</v>
      </c>
      <c r="AK809">
        <v>14</v>
      </c>
      <c r="AL809" t="s">
        <v>226</v>
      </c>
      <c r="AM809" t="s">
        <v>227</v>
      </c>
      <c r="AN809" t="s">
        <v>228</v>
      </c>
      <c r="AO809" t="s">
        <v>229</v>
      </c>
      <c r="AP809" t="s">
        <v>74</v>
      </c>
      <c r="AQ809" t="s">
        <v>74</v>
      </c>
      <c r="AR809" t="s">
        <v>230</v>
      </c>
      <c r="AS809" t="s">
        <v>231</v>
      </c>
      <c r="AT809" t="s">
        <v>273</v>
      </c>
      <c r="AU809">
        <v>2023</v>
      </c>
      <c r="AV809">
        <v>9</v>
      </c>
      <c r="AW809">
        <v>3</v>
      </c>
      <c r="AX809" t="s">
        <v>74</v>
      </c>
      <c r="AY809" t="s">
        <v>74</v>
      </c>
      <c r="AZ809" t="s">
        <v>74</v>
      </c>
      <c r="BA809" t="s">
        <v>74</v>
      </c>
      <c r="BB809" t="s">
        <v>74</v>
      </c>
      <c r="BC809" t="s">
        <v>74</v>
      </c>
      <c r="BD809">
        <v>2.0563051231196896E+16</v>
      </c>
      <c r="BE809" t="s">
        <v>14059</v>
      </c>
      <c r="BF809" t="str">
        <f>HYPERLINK("http://dx.doi.org/10.1177/20563051231196897","http://dx.doi.org/10.1177/20563051231196897")</f>
        <v>http://dx.doi.org/10.1177/20563051231196897</v>
      </c>
      <c r="BG809" t="s">
        <v>74</v>
      </c>
      <c r="BH809" t="s">
        <v>74</v>
      </c>
      <c r="BI809">
        <v>11</v>
      </c>
      <c r="BJ809" t="s">
        <v>124</v>
      </c>
      <c r="BK809" t="s">
        <v>99</v>
      </c>
      <c r="BL809" t="s">
        <v>124</v>
      </c>
      <c r="BM809" t="s">
        <v>14060</v>
      </c>
      <c r="BN809" t="s">
        <v>74</v>
      </c>
      <c r="BO809" t="s">
        <v>235</v>
      </c>
      <c r="BP809" t="s">
        <v>74</v>
      </c>
      <c r="BQ809" t="s">
        <v>74</v>
      </c>
      <c r="BR809" t="s">
        <v>102</v>
      </c>
      <c r="BS809" t="s">
        <v>14061</v>
      </c>
      <c r="BT809" t="str">
        <f>HYPERLINK("https%3A%2F%2Fwww.webofscience.com%2Fwos%2Fwoscc%2Ffull-record%2FWOS:001063296700001","View Full Record in Web of Science")</f>
        <v>View Full Record in Web of Science</v>
      </c>
    </row>
    <row r="810" spans="1:72" x14ac:dyDescent="0.35">
      <c r="A810" t="s">
        <v>72</v>
      </c>
      <c r="B810" t="s">
        <v>14062</v>
      </c>
      <c r="C810" t="s">
        <v>74</v>
      </c>
      <c r="D810" t="s">
        <v>74</v>
      </c>
      <c r="E810" t="s">
        <v>74</v>
      </c>
      <c r="F810" t="s">
        <v>14063</v>
      </c>
      <c r="G810" t="s">
        <v>74</v>
      </c>
      <c r="H810" t="s">
        <v>74</v>
      </c>
      <c r="I810" t="s">
        <v>14064</v>
      </c>
      <c r="J810" t="s">
        <v>14065</v>
      </c>
      <c r="K810" t="s">
        <v>74</v>
      </c>
      <c r="L810" t="s">
        <v>74</v>
      </c>
      <c r="M810" t="s">
        <v>78</v>
      </c>
      <c r="N810" t="s">
        <v>108</v>
      </c>
      <c r="O810" t="s">
        <v>74</v>
      </c>
      <c r="P810" t="s">
        <v>74</v>
      </c>
      <c r="Q810" t="s">
        <v>74</v>
      </c>
      <c r="R810" t="s">
        <v>74</v>
      </c>
      <c r="S810" t="s">
        <v>74</v>
      </c>
      <c r="T810" t="s">
        <v>74</v>
      </c>
      <c r="U810" t="s">
        <v>14066</v>
      </c>
      <c r="V810" t="s">
        <v>14067</v>
      </c>
      <c r="W810" t="s">
        <v>14068</v>
      </c>
      <c r="X810" t="s">
        <v>14069</v>
      </c>
      <c r="Y810" t="s">
        <v>14070</v>
      </c>
      <c r="Z810" t="s">
        <v>14071</v>
      </c>
      <c r="AA810" t="s">
        <v>74</v>
      </c>
      <c r="AB810" t="s">
        <v>74</v>
      </c>
      <c r="AC810" t="s">
        <v>14072</v>
      </c>
      <c r="AD810" t="s">
        <v>14073</v>
      </c>
      <c r="AE810" t="s">
        <v>14074</v>
      </c>
      <c r="AF810" t="s">
        <v>74</v>
      </c>
      <c r="AG810">
        <v>59</v>
      </c>
      <c r="AH810">
        <v>2</v>
      </c>
      <c r="AI810">
        <v>2</v>
      </c>
      <c r="AJ810">
        <v>10</v>
      </c>
      <c r="AK810">
        <v>100</v>
      </c>
      <c r="AL810" t="s">
        <v>14075</v>
      </c>
      <c r="AM810" t="s">
        <v>227</v>
      </c>
      <c r="AN810" t="s">
        <v>14076</v>
      </c>
      <c r="AO810" t="s">
        <v>14077</v>
      </c>
      <c r="AP810" t="s">
        <v>14078</v>
      </c>
      <c r="AQ810" t="s">
        <v>74</v>
      </c>
      <c r="AR810" t="s">
        <v>14079</v>
      </c>
      <c r="AS810" t="s">
        <v>14080</v>
      </c>
      <c r="AT810" t="s">
        <v>14081</v>
      </c>
      <c r="AU810">
        <v>2023</v>
      </c>
      <c r="AV810">
        <v>2023</v>
      </c>
      <c r="AW810" t="s">
        <v>74</v>
      </c>
      <c r="AX810" t="s">
        <v>74</v>
      </c>
      <c r="AY810" t="s">
        <v>74</v>
      </c>
      <c r="AZ810" t="s">
        <v>74</v>
      </c>
      <c r="BA810" t="s">
        <v>74</v>
      </c>
      <c r="BB810" t="s">
        <v>74</v>
      </c>
      <c r="BC810" t="s">
        <v>74</v>
      </c>
      <c r="BD810">
        <v>3238404</v>
      </c>
      <c r="BE810" t="s">
        <v>14082</v>
      </c>
      <c r="BF810" t="str">
        <f>HYPERLINK("http://dx.doi.org/10.1155/2023/3238404","http://dx.doi.org/10.1155/2023/3238404")</f>
        <v>http://dx.doi.org/10.1155/2023/3238404</v>
      </c>
      <c r="BG810" t="s">
        <v>74</v>
      </c>
      <c r="BH810" t="s">
        <v>74</v>
      </c>
      <c r="BI810">
        <v>16</v>
      </c>
      <c r="BJ810" t="s">
        <v>14083</v>
      </c>
      <c r="BK810" t="s">
        <v>209</v>
      </c>
      <c r="BL810" t="s">
        <v>14084</v>
      </c>
      <c r="BM810" t="s">
        <v>14085</v>
      </c>
      <c r="BN810" t="s">
        <v>74</v>
      </c>
      <c r="BO810" t="s">
        <v>235</v>
      </c>
      <c r="BP810" t="s">
        <v>74</v>
      </c>
      <c r="BQ810" t="s">
        <v>74</v>
      </c>
      <c r="BR810" t="s">
        <v>102</v>
      </c>
      <c r="BS810" t="s">
        <v>14086</v>
      </c>
      <c r="BT810" t="str">
        <f>HYPERLINK("https%3A%2F%2Fwww.webofscience.com%2Fwos%2Fwoscc%2Ffull-record%2FWOS:000943377500001","View Full Record in Web of Science")</f>
        <v>View Full Record in Web of Science</v>
      </c>
    </row>
    <row r="811" spans="1:72" x14ac:dyDescent="0.35">
      <c r="A811" t="s">
        <v>72</v>
      </c>
      <c r="B811" t="s">
        <v>14087</v>
      </c>
      <c r="C811" t="s">
        <v>74</v>
      </c>
      <c r="D811" t="s">
        <v>74</v>
      </c>
      <c r="E811" t="s">
        <v>74</v>
      </c>
      <c r="F811" t="s">
        <v>14088</v>
      </c>
      <c r="G811" t="s">
        <v>74</v>
      </c>
      <c r="H811" t="s">
        <v>74</v>
      </c>
      <c r="I811" t="s">
        <v>14089</v>
      </c>
      <c r="J811" t="s">
        <v>6103</v>
      </c>
      <c r="K811" t="s">
        <v>74</v>
      </c>
      <c r="L811" t="s">
        <v>74</v>
      </c>
      <c r="M811" t="s">
        <v>78</v>
      </c>
      <c r="N811" t="s">
        <v>108</v>
      </c>
      <c r="O811" t="s">
        <v>74</v>
      </c>
      <c r="P811" t="s">
        <v>74</v>
      </c>
      <c r="Q811" t="s">
        <v>74</v>
      </c>
      <c r="R811" t="s">
        <v>74</v>
      </c>
      <c r="S811" t="s">
        <v>74</v>
      </c>
      <c r="T811" t="s">
        <v>14090</v>
      </c>
      <c r="U811" t="s">
        <v>14091</v>
      </c>
      <c r="V811" t="s">
        <v>14092</v>
      </c>
      <c r="W811" t="s">
        <v>14093</v>
      </c>
      <c r="X811" t="s">
        <v>7063</v>
      </c>
      <c r="Y811" t="s">
        <v>14094</v>
      </c>
      <c r="Z811" t="s">
        <v>14095</v>
      </c>
      <c r="AA811" t="s">
        <v>74</v>
      </c>
      <c r="AB811" t="s">
        <v>74</v>
      </c>
      <c r="AC811" t="s">
        <v>74</v>
      </c>
      <c r="AD811" t="s">
        <v>74</v>
      </c>
      <c r="AE811" t="s">
        <v>74</v>
      </c>
      <c r="AF811" t="s">
        <v>74</v>
      </c>
      <c r="AG811">
        <v>77</v>
      </c>
      <c r="AH811">
        <v>2</v>
      </c>
      <c r="AI811">
        <v>2</v>
      </c>
      <c r="AJ811">
        <v>10</v>
      </c>
      <c r="AK811">
        <v>26</v>
      </c>
      <c r="AL811" t="s">
        <v>88</v>
      </c>
      <c r="AM811" t="s">
        <v>89</v>
      </c>
      <c r="AN811" t="s">
        <v>90</v>
      </c>
      <c r="AO811" t="s">
        <v>6114</v>
      </c>
      <c r="AP811" t="s">
        <v>6115</v>
      </c>
      <c r="AQ811" t="s">
        <v>74</v>
      </c>
      <c r="AR811" t="s">
        <v>6116</v>
      </c>
      <c r="AS811" t="s">
        <v>6117</v>
      </c>
      <c r="AT811" t="s">
        <v>1447</v>
      </c>
      <c r="AU811">
        <v>2024</v>
      </c>
      <c r="AV811">
        <v>18</v>
      </c>
      <c r="AW811">
        <v>5</v>
      </c>
      <c r="AX811" t="s">
        <v>74</v>
      </c>
      <c r="AY811" t="s">
        <v>74</v>
      </c>
      <c r="AZ811" t="s">
        <v>456</v>
      </c>
      <c r="BA811" t="s">
        <v>74</v>
      </c>
      <c r="BB811">
        <v>569</v>
      </c>
      <c r="BC811">
        <v>588</v>
      </c>
      <c r="BD811" t="s">
        <v>74</v>
      </c>
      <c r="BE811" t="s">
        <v>14096</v>
      </c>
      <c r="BF811" t="str">
        <f>HYPERLINK("http://dx.doi.org/10.1080/17524032.2023.2299753","http://dx.doi.org/10.1080/17524032.2023.2299753")</f>
        <v>http://dx.doi.org/10.1080/17524032.2023.2299753</v>
      </c>
      <c r="BG811" t="s">
        <v>74</v>
      </c>
      <c r="BH811" t="s">
        <v>1377</v>
      </c>
      <c r="BI811">
        <v>20</v>
      </c>
      <c r="BJ811" t="s">
        <v>6120</v>
      </c>
      <c r="BK811" t="s">
        <v>99</v>
      </c>
      <c r="BL811" t="s">
        <v>6121</v>
      </c>
      <c r="BM811" t="s">
        <v>14097</v>
      </c>
      <c r="BN811" t="s">
        <v>74</v>
      </c>
      <c r="BO811" t="s">
        <v>74</v>
      </c>
      <c r="BP811" t="s">
        <v>74</v>
      </c>
      <c r="BQ811" t="s">
        <v>74</v>
      </c>
      <c r="BR811" t="s">
        <v>102</v>
      </c>
      <c r="BS811" t="s">
        <v>14098</v>
      </c>
      <c r="BT811" t="str">
        <f>HYPERLINK("https%3A%2F%2Fwww.webofscience.com%2Fwos%2Fwoscc%2Ffull-record%2FWOS:001140878100001","View Full Record in Web of Science")</f>
        <v>View Full Record in Web of Science</v>
      </c>
    </row>
    <row r="812" spans="1:72" x14ac:dyDescent="0.35">
      <c r="A812" t="s">
        <v>72</v>
      </c>
      <c r="B812" t="s">
        <v>14099</v>
      </c>
      <c r="C812" t="s">
        <v>74</v>
      </c>
      <c r="D812" t="s">
        <v>74</v>
      </c>
      <c r="E812" t="s">
        <v>74</v>
      </c>
      <c r="F812" t="s">
        <v>14100</v>
      </c>
      <c r="G812" t="s">
        <v>74</v>
      </c>
      <c r="H812" t="s">
        <v>74</v>
      </c>
      <c r="I812" t="s">
        <v>14101</v>
      </c>
      <c r="J812" t="s">
        <v>14102</v>
      </c>
      <c r="K812" t="s">
        <v>74</v>
      </c>
      <c r="L812" t="s">
        <v>74</v>
      </c>
      <c r="M812" t="s">
        <v>78</v>
      </c>
      <c r="N812" t="s">
        <v>108</v>
      </c>
      <c r="O812" t="s">
        <v>74</v>
      </c>
      <c r="P812" t="s">
        <v>74</v>
      </c>
      <c r="Q812" t="s">
        <v>74</v>
      </c>
      <c r="R812" t="s">
        <v>74</v>
      </c>
      <c r="S812" t="s">
        <v>74</v>
      </c>
      <c r="T812" t="s">
        <v>14103</v>
      </c>
      <c r="U812" t="s">
        <v>14104</v>
      </c>
      <c r="V812" t="s">
        <v>14105</v>
      </c>
      <c r="W812" t="s">
        <v>14106</v>
      </c>
      <c r="X812" t="s">
        <v>6565</v>
      </c>
      <c r="Y812" t="s">
        <v>14107</v>
      </c>
      <c r="Z812" t="s">
        <v>14108</v>
      </c>
      <c r="AA812" t="s">
        <v>14109</v>
      </c>
      <c r="AB812" t="s">
        <v>14110</v>
      </c>
      <c r="AC812" t="s">
        <v>74</v>
      </c>
      <c r="AD812" t="s">
        <v>74</v>
      </c>
      <c r="AE812" t="s">
        <v>74</v>
      </c>
      <c r="AF812" t="s">
        <v>74</v>
      </c>
      <c r="AG812">
        <v>36</v>
      </c>
      <c r="AH812">
        <v>1</v>
      </c>
      <c r="AI812">
        <v>1</v>
      </c>
      <c r="AJ812">
        <v>19</v>
      </c>
      <c r="AK812">
        <v>51</v>
      </c>
      <c r="AL812" t="s">
        <v>14111</v>
      </c>
      <c r="AM812" t="s">
        <v>14112</v>
      </c>
      <c r="AN812" t="s">
        <v>14113</v>
      </c>
      <c r="AO812" t="s">
        <v>14114</v>
      </c>
      <c r="AP812" t="s">
        <v>14115</v>
      </c>
      <c r="AQ812" t="s">
        <v>74</v>
      </c>
      <c r="AR812" t="s">
        <v>14116</v>
      </c>
      <c r="AS812" t="s">
        <v>14117</v>
      </c>
      <c r="AT812" t="s">
        <v>74</v>
      </c>
      <c r="AU812">
        <v>2023</v>
      </c>
      <c r="AV812">
        <v>17</v>
      </c>
      <c r="AW812">
        <v>5</v>
      </c>
      <c r="AX812" t="s">
        <v>74</v>
      </c>
      <c r="AY812" t="s">
        <v>74</v>
      </c>
      <c r="AZ812" t="s">
        <v>456</v>
      </c>
      <c r="BA812" t="s">
        <v>74</v>
      </c>
      <c r="BB812">
        <v>39</v>
      </c>
      <c r="BC812">
        <v>51</v>
      </c>
      <c r="BD812" t="s">
        <v>74</v>
      </c>
      <c r="BE812" t="s">
        <v>74</v>
      </c>
      <c r="BF812" t="s">
        <v>74</v>
      </c>
      <c r="BG812" t="s">
        <v>74</v>
      </c>
      <c r="BH812" t="s">
        <v>74</v>
      </c>
      <c r="BI812">
        <v>13</v>
      </c>
      <c r="BJ812" t="s">
        <v>12518</v>
      </c>
      <c r="BK812" t="s">
        <v>125</v>
      </c>
      <c r="BL812" t="s">
        <v>480</v>
      </c>
      <c r="BM812" t="s">
        <v>14118</v>
      </c>
      <c r="BN812" t="s">
        <v>74</v>
      </c>
      <c r="BO812" t="s">
        <v>74</v>
      </c>
      <c r="BP812" t="s">
        <v>74</v>
      </c>
      <c r="BQ812" t="s">
        <v>74</v>
      </c>
      <c r="BR812" t="s">
        <v>102</v>
      </c>
      <c r="BS812" t="s">
        <v>14119</v>
      </c>
      <c r="BT812" t="str">
        <f>HYPERLINK("https%3A%2F%2Fwww.webofscience.com%2Fwos%2Fwoscc%2Ffull-record%2FWOS:001096102400004","View Full Record in Web of Science")</f>
        <v>View Full Record in Web of Science</v>
      </c>
    </row>
    <row r="813" spans="1:72" x14ac:dyDescent="0.35">
      <c r="A813" t="s">
        <v>72</v>
      </c>
      <c r="B813" t="s">
        <v>14120</v>
      </c>
      <c r="C813" t="s">
        <v>74</v>
      </c>
      <c r="D813" t="s">
        <v>74</v>
      </c>
      <c r="E813" t="s">
        <v>74</v>
      </c>
      <c r="F813" t="s">
        <v>14121</v>
      </c>
      <c r="G813" t="s">
        <v>74</v>
      </c>
      <c r="H813" t="s">
        <v>74</v>
      </c>
      <c r="I813" t="s">
        <v>14122</v>
      </c>
      <c r="J813" t="s">
        <v>14123</v>
      </c>
      <c r="K813" t="s">
        <v>74</v>
      </c>
      <c r="L813" t="s">
        <v>74</v>
      </c>
      <c r="M813" t="s">
        <v>78</v>
      </c>
      <c r="N813" t="s">
        <v>374</v>
      </c>
      <c r="O813" t="s">
        <v>74</v>
      </c>
      <c r="P813" t="s">
        <v>74</v>
      </c>
      <c r="Q813" t="s">
        <v>74</v>
      </c>
      <c r="R813" t="s">
        <v>74</v>
      </c>
      <c r="S813" t="s">
        <v>74</v>
      </c>
      <c r="T813" t="s">
        <v>14124</v>
      </c>
      <c r="U813" t="s">
        <v>14125</v>
      </c>
      <c r="V813" t="s">
        <v>14126</v>
      </c>
      <c r="W813" t="s">
        <v>14127</v>
      </c>
      <c r="X813" t="s">
        <v>9400</v>
      </c>
      <c r="Y813" t="s">
        <v>14128</v>
      </c>
      <c r="Z813" t="s">
        <v>14129</v>
      </c>
      <c r="AA813" t="s">
        <v>14130</v>
      </c>
      <c r="AB813" t="s">
        <v>14131</v>
      </c>
      <c r="AC813" t="s">
        <v>74</v>
      </c>
      <c r="AD813" t="s">
        <v>74</v>
      </c>
      <c r="AE813" t="s">
        <v>74</v>
      </c>
      <c r="AF813" t="s">
        <v>74</v>
      </c>
      <c r="AG813">
        <v>83</v>
      </c>
      <c r="AH813">
        <v>0</v>
      </c>
      <c r="AI813">
        <v>0</v>
      </c>
      <c r="AJ813">
        <v>25</v>
      </c>
      <c r="AK813">
        <v>26</v>
      </c>
      <c r="AL813" t="s">
        <v>14132</v>
      </c>
      <c r="AM813" t="s">
        <v>14133</v>
      </c>
      <c r="AN813" t="s">
        <v>14134</v>
      </c>
      <c r="AO813" t="s">
        <v>14135</v>
      </c>
      <c r="AP813" t="s">
        <v>74</v>
      </c>
      <c r="AQ813" t="s">
        <v>74</v>
      </c>
      <c r="AR813" t="s">
        <v>14136</v>
      </c>
      <c r="AS813" t="s">
        <v>14137</v>
      </c>
      <c r="AT813" t="s">
        <v>74</v>
      </c>
      <c r="AU813">
        <v>2024</v>
      </c>
      <c r="AV813">
        <v>37</v>
      </c>
      <c r="AW813">
        <v>2</v>
      </c>
      <c r="AX813" t="s">
        <v>74</v>
      </c>
      <c r="AY813" t="s">
        <v>74</v>
      </c>
      <c r="AZ813" t="s">
        <v>74</v>
      </c>
      <c r="BA813" t="s">
        <v>74</v>
      </c>
      <c r="BB813">
        <v>159</v>
      </c>
      <c r="BC813">
        <v>177</v>
      </c>
      <c r="BD813" t="s">
        <v>74</v>
      </c>
      <c r="BE813" t="s">
        <v>14138</v>
      </c>
      <c r="BF813" t="str">
        <f>HYPERLINK("http://dx.doi.org/10.15581/003.37.2.159-177","http://dx.doi.org/10.15581/003.37.2.159-177")</f>
        <v>http://dx.doi.org/10.15581/003.37.2.159-177</v>
      </c>
      <c r="BG813" t="s">
        <v>74</v>
      </c>
      <c r="BH813" t="s">
        <v>74</v>
      </c>
      <c r="BI813">
        <v>19</v>
      </c>
      <c r="BJ813" t="s">
        <v>124</v>
      </c>
      <c r="BK813" t="s">
        <v>125</v>
      </c>
      <c r="BL813" t="s">
        <v>124</v>
      </c>
      <c r="BM813" t="s">
        <v>14139</v>
      </c>
      <c r="BN813" t="s">
        <v>74</v>
      </c>
      <c r="BO813" t="s">
        <v>235</v>
      </c>
      <c r="BP813" t="s">
        <v>74</v>
      </c>
      <c r="BQ813" t="s">
        <v>74</v>
      </c>
      <c r="BR813" t="s">
        <v>102</v>
      </c>
      <c r="BS813" t="s">
        <v>14140</v>
      </c>
      <c r="BT813" t="str">
        <f>HYPERLINK("https%3A%2F%2Fwww.webofscience.com%2Fwos%2Fwoscc%2Ffull-record%2FWOS:001223517200019","View Full Record in Web of Science")</f>
        <v>View Full Record in Web of Science</v>
      </c>
    </row>
    <row r="814" spans="1:72" x14ac:dyDescent="0.35">
      <c r="A814" t="s">
        <v>72</v>
      </c>
      <c r="B814" t="s">
        <v>14141</v>
      </c>
      <c r="C814" t="s">
        <v>74</v>
      </c>
      <c r="D814" t="s">
        <v>74</v>
      </c>
      <c r="E814" t="s">
        <v>74</v>
      </c>
      <c r="F814" t="s">
        <v>14142</v>
      </c>
      <c r="G814" t="s">
        <v>74</v>
      </c>
      <c r="H814" t="s">
        <v>74</v>
      </c>
      <c r="I814" t="s">
        <v>14143</v>
      </c>
      <c r="J814" t="s">
        <v>10630</v>
      </c>
      <c r="K814" t="s">
        <v>74</v>
      </c>
      <c r="L814" t="s">
        <v>74</v>
      </c>
      <c r="M814" t="s">
        <v>78</v>
      </c>
      <c r="N814" t="s">
        <v>79</v>
      </c>
      <c r="O814" t="s">
        <v>74</v>
      </c>
      <c r="P814" t="s">
        <v>74</v>
      </c>
      <c r="Q814" t="s">
        <v>74</v>
      </c>
      <c r="R814" t="s">
        <v>74</v>
      </c>
      <c r="S814" t="s">
        <v>74</v>
      </c>
      <c r="T814" t="s">
        <v>14144</v>
      </c>
      <c r="U814" t="s">
        <v>74</v>
      </c>
      <c r="V814" t="s">
        <v>14145</v>
      </c>
      <c r="W814" t="s">
        <v>14146</v>
      </c>
      <c r="X814" t="s">
        <v>14147</v>
      </c>
      <c r="Y814" t="s">
        <v>14148</v>
      </c>
      <c r="Z814" t="s">
        <v>14149</v>
      </c>
      <c r="AA814" t="s">
        <v>74</v>
      </c>
      <c r="AB814" t="s">
        <v>74</v>
      </c>
      <c r="AC814" t="s">
        <v>74</v>
      </c>
      <c r="AD814" t="s">
        <v>74</v>
      </c>
      <c r="AE814" t="s">
        <v>74</v>
      </c>
      <c r="AF814" t="s">
        <v>74</v>
      </c>
      <c r="AG814">
        <v>13</v>
      </c>
      <c r="AH814">
        <v>0</v>
      </c>
      <c r="AI814">
        <v>0</v>
      </c>
      <c r="AJ814">
        <v>0</v>
      </c>
      <c r="AK814">
        <v>0</v>
      </c>
      <c r="AL814" t="s">
        <v>665</v>
      </c>
      <c r="AM814" t="s">
        <v>666</v>
      </c>
      <c r="AN814" t="s">
        <v>667</v>
      </c>
      <c r="AO814" t="s">
        <v>10639</v>
      </c>
      <c r="AP814" t="s">
        <v>10640</v>
      </c>
      <c r="AQ814" t="s">
        <v>74</v>
      </c>
      <c r="AR814" t="s">
        <v>10641</v>
      </c>
      <c r="AS814" t="s">
        <v>10642</v>
      </c>
      <c r="AT814" t="s">
        <v>14150</v>
      </c>
      <c r="AU814">
        <v>2024</v>
      </c>
      <c r="AV814" t="s">
        <v>74</v>
      </c>
      <c r="AW814" t="s">
        <v>74</v>
      </c>
      <c r="AX814" t="s">
        <v>74</v>
      </c>
      <c r="AY814" t="s">
        <v>74</v>
      </c>
      <c r="AZ814" t="s">
        <v>74</v>
      </c>
      <c r="BA814" t="s">
        <v>74</v>
      </c>
      <c r="BB814" t="s">
        <v>74</v>
      </c>
      <c r="BC814" t="s">
        <v>74</v>
      </c>
      <c r="BD814" t="s">
        <v>74</v>
      </c>
      <c r="BE814" t="s">
        <v>14151</v>
      </c>
      <c r="BF814" t="str">
        <f>HYPERLINK("http://dx.doi.org/10.1007/s00467-024-06589-x","http://dx.doi.org/10.1007/s00467-024-06589-x")</f>
        <v>http://dx.doi.org/10.1007/s00467-024-06589-x</v>
      </c>
      <c r="BG814" t="s">
        <v>74</v>
      </c>
      <c r="BH814" t="s">
        <v>4092</v>
      </c>
      <c r="BI814">
        <v>7</v>
      </c>
      <c r="BJ814" t="s">
        <v>5215</v>
      </c>
      <c r="BK814" t="s">
        <v>209</v>
      </c>
      <c r="BL814" t="s">
        <v>5215</v>
      </c>
      <c r="BM814" t="s">
        <v>14152</v>
      </c>
      <c r="BN814">
        <v>39527280</v>
      </c>
      <c r="BO814" t="s">
        <v>74</v>
      </c>
      <c r="BP814" t="s">
        <v>74</v>
      </c>
      <c r="BQ814" t="s">
        <v>74</v>
      </c>
      <c r="BR814" t="s">
        <v>102</v>
      </c>
      <c r="BS814" t="s">
        <v>14153</v>
      </c>
      <c r="BT814" t="str">
        <f>HYPERLINK("https%3A%2F%2Fwww.webofscience.com%2Fwos%2Fwoscc%2Ffull-record%2FWOS:001352550300001","View Full Record in Web of Science")</f>
        <v>View Full Record in Web of Science</v>
      </c>
    </row>
    <row r="815" spans="1:72" x14ac:dyDescent="0.35">
      <c r="A815" t="s">
        <v>72</v>
      </c>
      <c r="B815" t="s">
        <v>14154</v>
      </c>
      <c r="C815" t="s">
        <v>74</v>
      </c>
      <c r="D815" t="s">
        <v>74</v>
      </c>
      <c r="E815" t="s">
        <v>74</v>
      </c>
      <c r="F815" t="s">
        <v>14155</v>
      </c>
      <c r="G815" t="s">
        <v>74</v>
      </c>
      <c r="H815" t="s">
        <v>74</v>
      </c>
      <c r="I815" t="s">
        <v>14156</v>
      </c>
      <c r="J815" t="s">
        <v>14157</v>
      </c>
      <c r="K815" t="s">
        <v>74</v>
      </c>
      <c r="L815" t="s">
        <v>74</v>
      </c>
      <c r="M815" t="s">
        <v>78</v>
      </c>
      <c r="N815" t="s">
        <v>108</v>
      </c>
      <c r="O815" t="s">
        <v>74</v>
      </c>
      <c r="P815" t="s">
        <v>74</v>
      </c>
      <c r="Q815" t="s">
        <v>74</v>
      </c>
      <c r="R815" t="s">
        <v>74</v>
      </c>
      <c r="S815" t="s">
        <v>74</v>
      </c>
      <c r="T815" t="s">
        <v>14158</v>
      </c>
      <c r="U815" t="s">
        <v>14159</v>
      </c>
      <c r="V815" t="s">
        <v>14160</v>
      </c>
      <c r="W815" t="s">
        <v>14161</v>
      </c>
      <c r="X815" t="s">
        <v>14162</v>
      </c>
      <c r="Y815" t="s">
        <v>14163</v>
      </c>
      <c r="Z815" t="s">
        <v>14164</v>
      </c>
      <c r="AA815" t="s">
        <v>14165</v>
      </c>
      <c r="AB815" t="s">
        <v>14166</v>
      </c>
      <c r="AC815" t="s">
        <v>14167</v>
      </c>
      <c r="AD815" t="s">
        <v>14167</v>
      </c>
      <c r="AE815" t="s">
        <v>14168</v>
      </c>
      <c r="AF815" t="s">
        <v>74</v>
      </c>
      <c r="AG815">
        <v>39</v>
      </c>
      <c r="AH815">
        <v>2</v>
      </c>
      <c r="AI815">
        <v>2</v>
      </c>
      <c r="AJ815">
        <v>8</v>
      </c>
      <c r="AK815">
        <v>23</v>
      </c>
      <c r="AL815" t="s">
        <v>1195</v>
      </c>
      <c r="AM815" t="s">
        <v>1196</v>
      </c>
      <c r="AN815" t="s">
        <v>1197</v>
      </c>
      <c r="AO815" t="s">
        <v>74</v>
      </c>
      <c r="AP815" t="s">
        <v>14169</v>
      </c>
      <c r="AQ815" t="s">
        <v>74</v>
      </c>
      <c r="AR815" t="s">
        <v>14170</v>
      </c>
      <c r="AS815" t="s">
        <v>14171</v>
      </c>
      <c r="AT815" t="s">
        <v>257</v>
      </c>
      <c r="AU815">
        <v>2023</v>
      </c>
      <c r="AV815">
        <v>11</v>
      </c>
      <c r="AW815">
        <v>6</v>
      </c>
      <c r="AX815" t="s">
        <v>74</v>
      </c>
      <c r="AY815" t="s">
        <v>74</v>
      </c>
      <c r="AZ815" t="s">
        <v>74</v>
      </c>
      <c r="BA815" t="s">
        <v>74</v>
      </c>
      <c r="BB815" t="s">
        <v>74</v>
      </c>
      <c r="BC815" t="s">
        <v>74</v>
      </c>
      <c r="BD815">
        <v>274</v>
      </c>
      <c r="BE815" t="s">
        <v>14172</v>
      </c>
      <c r="BF815" t="str">
        <f>HYPERLINK("http://dx.doi.org/10.3390/systems11060274","http://dx.doi.org/10.3390/systems11060274")</f>
        <v>http://dx.doi.org/10.3390/systems11060274</v>
      </c>
      <c r="BG815" t="s">
        <v>74</v>
      </c>
      <c r="BH815" t="s">
        <v>74</v>
      </c>
      <c r="BI815">
        <v>17</v>
      </c>
      <c r="BJ815" t="s">
        <v>98</v>
      </c>
      <c r="BK815" t="s">
        <v>99</v>
      </c>
      <c r="BL815" t="s">
        <v>100</v>
      </c>
      <c r="BM815" t="s">
        <v>14173</v>
      </c>
      <c r="BN815" t="s">
        <v>74</v>
      </c>
      <c r="BO815" t="s">
        <v>552</v>
      </c>
      <c r="BP815" t="s">
        <v>74</v>
      </c>
      <c r="BQ815" t="s">
        <v>74</v>
      </c>
      <c r="BR815" t="s">
        <v>102</v>
      </c>
      <c r="BS815" t="s">
        <v>14174</v>
      </c>
      <c r="BT815" t="str">
        <f>HYPERLINK("https%3A%2F%2Fwww.webofscience.com%2Fwos%2Fwoscc%2Ffull-record%2FWOS:001017941500001","View Full Record in Web of Science")</f>
        <v>View Full Record in Web of Science</v>
      </c>
    </row>
    <row r="816" spans="1:72" x14ac:dyDescent="0.35">
      <c r="A816" t="s">
        <v>72</v>
      </c>
      <c r="B816" t="s">
        <v>14175</v>
      </c>
      <c r="C816" t="s">
        <v>74</v>
      </c>
      <c r="D816" t="s">
        <v>74</v>
      </c>
      <c r="E816" t="s">
        <v>74</v>
      </c>
      <c r="F816" t="s">
        <v>14176</v>
      </c>
      <c r="G816" t="s">
        <v>74</v>
      </c>
      <c r="H816" t="s">
        <v>74</v>
      </c>
      <c r="I816" t="s">
        <v>14177</v>
      </c>
      <c r="J816" t="s">
        <v>14178</v>
      </c>
      <c r="K816" t="s">
        <v>74</v>
      </c>
      <c r="L816" t="s">
        <v>74</v>
      </c>
      <c r="M816" t="s">
        <v>78</v>
      </c>
      <c r="N816" t="s">
        <v>108</v>
      </c>
      <c r="O816" t="s">
        <v>74</v>
      </c>
      <c r="P816" t="s">
        <v>74</v>
      </c>
      <c r="Q816" t="s">
        <v>74</v>
      </c>
      <c r="R816" t="s">
        <v>74</v>
      </c>
      <c r="S816" t="s">
        <v>74</v>
      </c>
      <c r="T816" t="s">
        <v>14179</v>
      </c>
      <c r="U816" t="s">
        <v>14180</v>
      </c>
      <c r="V816" t="s">
        <v>14181</v>
      </c>
      <c r="W816" t="s">
        <v>14182</v>
      </c>
      <c r="X816" t="s">
        <v>14183</v>
      </c>
      <c r="Y816" t="s">
        <v>14184</v>
      </c>
      <c r="Z816" t="s">
        <v>13062</v>
      </c>
      <c r="AA816" t="s">
        <v>74</v>
      </c>
      <c r="AB816" t="s">
        <v>13063</v>
      </c>
      <c r="AC816" t="s">
        <v>74</v>
      </c>
      <c r="AD816" t="s">
        <v>74</v>
      </c>
      <c r="AE816" t="s">
        <v>74</v>
      </c>
      <c r="AF816" t="s">
        <v>74</v>
      </c>
      <c r="AG816">
        <v>30</v>
      </c>
      <c r="AH816">
        <v>37</v>
      </c>
      <c r="AI816">
        <v>43</v>
      </c>
      <c r="AJ816">
        <v>13</v>
      </c>
      <c r="AK816">
        <v>128</v>
      </c>
      <c r="AL816" t="s">
        <v>665</v>
      </c>
      <c r="AM816" t="s">
        <v>666</v>
      </c>
      <c r="AN816" t="s">
        <v>667</v>
      </c>
      <c r="AO816" t="s">
        <v>14185</v>
      </c>
      <c r="AP816" t="s">
        <v>14186</v>
      </c>
      <c r="AQ816" t="s">
        <v>74</v>
      </c>
      <c r="AR816" t="s">
        <v>14187</v>
      </c>
      <c r="AS816" t="s">
        <v>14188</v>
      </c>
      <c r="AT816" t="s">
        <v>178</v>
      </c>
      <c r="AU816">
        <v>2022</v>
      </c>
      <c r="AV816">
        <v>47</v>
      </c>
      <c r="AW816">
        <v>1</v>
      </c>
      <c r="AX816" t="s">
        <v>74</v>
      </c>
      <c r="AY816" t="s">
        <v>74</v>
      </c>
      <c r="AZ816" t="s">
        <v>74</v>
      </c>
      <c r="BA816" t="s">
        <v>74</v>
      </c>
      <c r="BB816">
        <v>163</v>
      </c>
      <c r="BC816">
        <v>167</v>
      </c>
      <c r="BD816" t="s">
        <v>74</v>
      </c>
      <c r="BE816" t="s">
        <v>14189</v>
      </c>
      <c r="BF816" t="str">
        <f>HYPERLINK("http://dx.doi.org/10.1007/s10900-021-01031-x","http://dx.doi.org/10.1007/s10900-021-01031-x")</f>
        <v>http://dx.doi.org/10.1007/s10900-021-01031-x</v>
      </c>
      <c r="BG816" t="s">
        <v>74</v>
      </c>
      <c r="BH816" t="s">
        <v>2056</v>
      </c>
      <c r="BI816">
        <v>5</v>
      </c>
      <c r="BJ816" t="s">
        <v>14190</v>
      </c>
      <c r="BK816" t="s">
        <v>99</v>
      </c>
      <c r="BL816" t="s">
        <v>4129</v>
      </c>
      <c r="BM816" t="s">
        <v>14191</v>
      </c>
      <c r="BN816">
        <v>34545460</v>
      </c>
      <c r="BO816" t="s">
        <v>3747</v>
      </c>
      <c r="BP816" t="s">
        <v>74</v>
      </c>
      <c r="BQ816" t="s">
        <v>74</v>
      </c>
      <c r="BR816" t="s">
        <v>102</v>
      </c>
      <c r="BS816" t="s">
        <v>14192</v>
      </c>
      <c r="BT816" t="str">
        <f>HYPERLINK("https%3A%2F%2Fwww.webofscience.com%2Fwos%2Fwoscc%2Ffull-record%2FWOS:000698152800001","View Full Record in Web of Science")</f>
        <v>View Full Record in Web of Science</v>
      </c>
    </row>
    <row r="817" spans="1:72" x14ac:dyDescent="0.35">
      <c r="A817" t="s">
        <v>72</v>
      </c>
      <c r="B817" t="s">
        <v>14193</v>
      </c>
      <c r="C817" t="s">
        <v>74</v>
      </c>
      <c r="D817" t="s">
        <v>74</v>
      </c>
      <c r="E817" t="s">
        <v>74</v>
      </c>
      <c r="F817" t="s">
        <v>14194</v>
      </c>
      <c r="G817" t="s">
        <v>74</v>
      </c>
      <c r="H817" t="s">
        <v>74</v>
      </c>
      <c r="I817" t="s">
        <v>14195</v>
      </c>
      <c r="J817" t="s">
        <v>12011</v>
      </c>
      <c r="K817" t="s">
        <v>74</v>
      </c>
      <c r="L817" t="s">
        <v>74</v>
      </c>
      <c r="M817" t="s">
        <v>78</v>
      </c>
      <c r="N817" t="s">
        <v>3404</v>
      </c>
      <c r="O817" t="s">
        <v>74</v>
      </c>
      <c r="P817" t="s">
        <v>74</v>
      </c>
      <c r="Q817" t="s">
        <v>74</v>
      </c>
      <c r="R817" t="s">
        <v>74</v>
      </c>
      <c r="S817" t="s">
        <v>74</v>
      </c>
      <c r="T817" t="s">
        <v>74</v>
      </c>
      <c r="U817" t="s">
        <v>14196</v>
      </c>
      <c r="V817" t="s">
        <v>74</v>
      </c>
      <c r="W817" t="s">
        <v>14197</v>
      </c>
      <c r="X817" t="s">
        <v>11004</v>
      </c>
      <c r="Y817" t="s">
        <v>14198</v>
      </c>
      <c r="Z817" t="s">
        <v>14199</v>
      </c>
      <c r="AA817" t="s">
        <v>14200</v>
      </c>
      <c r="AB817" t="s">
        <v>14201</v>
      </c>
      <c r="AC817" t="s">
        <v>74</v>
      </c>
      <c r="AD817" t="s">
        <v>74</v>
      </c>
      <c r="AE817" t="s">
        <v>74</v>
      </c>
      <c r="AF817" t="s">
        <v>74</v>
      </c>
      <c r="AG817">
        <v>5</v>
      </c>
      <c r="AH817">
        <v>0</v>
      </c>
      <c r="AI817">
        <v>0</v>
      </c>
      <c r="AJ817">
        <v>0</v>
      </c>
      <c r="AK817">
        <v>0</v>
      </c>
      <c r="AL817" t="s">
        <v>357</v>
      </c>
      <c r="AM817" t="s">
        <v>358</v>
      </c>
      <c r="AN817" t="s">
        <v>359</v>
      </c>
      <c r="AO817" t="s">
        <v>12016</v>
      </c>
      <c r="AP817" t="s">
        <v>12017</v>
      </c>
      <c r="AQ817" t="s">
        <v>74</v>
      </c>
      <c r="AR817" t="s">
        <v>12011</v>
      </c>
      <c r="AS817" t="s">
        <v>12018</v>
      </c>
      <c r="AT817" t="s">
        <v>14202</v>
      </c>
      <c r="AU817">
        <v>2024</v>
      </c>
      <c r="AV817" t="s">
        <v>74</v>
      </c>
      <c r="AW817" t="s">
        <v>74</v>
      </c>
      <c r="AX817" t="s">
        <v>74</v>
      </c>
      <c r="AY817" t="s">
        <v>74</v>
      </c>
      <c r="AZ817" t="s">
        <v>74</v>
      </c>
      <c r="BA817" t="s">
        <v>74</v>
      </c>
      <c r="BB817" t="s">
        <v>74</v>
      </c>
      <c r="BC817" t="s">
        <v>74</v>
      </c>
      <c r="BD817" t="s">
        <v>74</v>
      </c>
      <c r="BE817" t="s">
        <v>14203</v>
      </c>
      <c r="BF817" t="str">
        <f>HYPERLINK("http://dx.doi.org/10.1089/derm.2024.0123","http://dx.doi.org/10.1089/derm.2024.0123")</f>
        <v>http://dx.doi.org/10.1089/derm.2024.0123</v>
      </c>
      <c r="BG817" t="s">
        <v>74</v>
      </c>
      <c r="BH817" t="s">
        <v>2444</v>
      </c>
      <c r="BI817">
        <v>2</v>
      </c>
      <c r="BJ817" t="s">
        <v>1341</v>
      </c>
      <c r="BK817" t="s">
        <v>209</v>
      </c>
      <c r="BL817" t="s">
        <v>1341</v>
      </c>
      <c r="BM817" t="s">
        <v>14204</v>
      </c>
      <c r="BN817">
        <v>39109445</v>
      </c>
      <c r="BO817" t="s">
        <v>74</v>
      </c>
      <c r="BP817" t="s">
        <v>74</v>
      </c>
      <c r="BQ817" t="s">
        <v>74</v>
      </c>
      <c r="BR817" t="s">
        <v>102</v>
      </c>
      <c r="BS817" t="s">
        <v>14205</v>
      </c>
      <c r="BT817" t="str">
        <f>HYPERLINK("https%3A%2F%2Fwww.webofscience.com%2Fwos%2Fwoscc%2Ffull-record%2FWOS:001285279400001","View Full Record in Web of Science")</f>
        <v>View Full Record in Web of Science</v>
      </c>
    </row>
    <row r="818" spans="1:72" x14ac:dyDescent="0.35">
      <c r="A818" t="s">
        <v>72</v>
      </c>
      <c r="B818" t="s">
        <v>14206</v>
      </c>
      <c r="C818" t="s">
        <v>74</v>
      </c>
      <c r="D818" t="s">
        <v>74</v>
      </c>
      <c r="E818" t="s">
        <v>74</v>
      </c>
      <c r="F818" t="s">
        <v>14207</v>
      </c>
      <c r="G818" t="s">
        <v>74</v>
      </c>
      <c r="H818" t="s">
        <v>74</v>
      </c>
      <c r="I818" t="s">
        <v>14208</v>
      </c>
      <c r="J818" t="s">
        <v>14209</v>
      </c>
      <c r="K818" t="s">
        <v>74</v>
      </c>
      <c r="L818" t="s">
        <v>74</v>
      </c>
      <c r="M818" t="s">
        <v>78</v>
      </c>
      <c r="N818" t="s">
        <v>52</v>
      </c>
      <c r="O818" t="s">
        <v>74</v>
      </c>
      <c r="P818" t="s">
        <v>74</v>
      </c>
      <c r="Q818" t="s">
        <v>74</v>
      </c>
      <c r="R818" t="s">
        <v>74</v>
      </c>
      <c r="S818" t="s">
        <v>74</v>
      </c>
      <c r="T818" t="s">
        <v>74</v>
      </c>
      <c r="U818" t="s">
        <v>74</v>
      </c>
      <c r="V818" t="s">
        <v>74</v>
      </c>
      <c r="W818" t="s">
        <v>14210</v>
      </c>
      <c r="X818" t="s">
        <v>14211</v>
      </c>
      <c r="Y818" t="s">
        <v>74</v>
      </c>
      <c r="Z818" t="s">
        <v>74</v>
      </c>
      <c r="AA818" t="s">
        <v>74</v>
      </c>
      <c r="AB818" t="s">
        <v>74</v>
      </c>
      <c r="AC818" t="s">
        <v>74</v>
      </c>
      <c r="AD818" t="s">
        <v>74</v>
      </c>
      <c r="AE818" t="s">
        <v>74</v>
      </c>
      <c r="AF818" t="s">
        <v>74</v>
      </c>
      <c r="AG818">
        <v>0</v>
      </c>
      <c r="AH818">
        <v>0</v>
      </c>
      <c r="AI818">
        <v>0</v>
      </c>
      <c r="AJ818">
        <v>0</v>
      </c>
      <c r="AK818">
        <v>1</v>
      </c>
      <c r="AL818" t="s">
        <v>251</v>
      </c>
      <c r="AM818" t="s">
        <v>252</v>
      </c>
      <c r="AN818" t="s">
        <v>253</v>
      </c>
      <c r="AO818" t="s">
        <v>14212</v>
      </c>
      <c r="AP818" t="s">
        <v>14213</v>
      </c>
      <c r="AQ818" t="s">
        <v>74</v>
      </c>
      <c r="AR818" t="s">
        <v>14214</v>
      </c>
      <c r="AS818" t="s">
        <v>14215</v>
      </c>
      <c r="AT818" t="s">
        <v>455</v>
      </c>
      <c r="AU818">
        <v>2023</v>
      </c>
      <c r="AV818">
        <v>38</v>
      </c>
      <c r="AW818" t="s">
        <v>74</v>
      </c>
      <c r="AX818" t="s">
        <v>74</v>
      </c>
      <c r="AY818">
        <v>2</v>
      </c>
      <c r="AZ818" t="s">
        <v>74</v>
      </c>
      <c r="BA818">
        <v>110</v>
      </c>
      <c r="BB818">
        <v>140</v>
      </c>
      <c r="BC818">
        <v>140</v>
      </c>
      <c r="BD818" t="s">
        <v>74</v>
      </c>
      <c r="BE818" t="s">
        <v>74</v>
      </c>
      <c r="BF818" t="s">
        <v>74</v>
      </c>
      <c r="BG818" t="s">
        <v>74</v>
      </c>
      <c r="BH818" t="s">
        <v>74</v>
      </c>
      <c r="BI818">
        <v>1</v>
      </c>
      <c r="BJ818" t="s">
        <v>12536</v>
      </c>
      <c r="BK818" t="s">
        <v>209</v>
      </c>
      <c r="BL818" t="s">
        <v>12536</v>
      </c>
      <c r="BM818" t="s">
        <v>14216</v>
      </c>
      <c r="BN818" t="s">
        <v>74</v>
      </c>
      <c r="BO818" t="s">
        <v>74</v>
      </c>
      <c r="BP818" t="s">
        <v>74</v>
      </c>
      <c r="BQ818" t="s">
        <v>74</v>
      </c>
      <c r="BR818" t="s">
        <v>102</v>
      </c>
      <c r="BS818" t="s">
        <v>14217</v>
      </c>
      <c r="BT818" t="str">
        <f>HYPERLINK("https%3A%2F%2Fwww.webofscience.com%2Fwos%2Fwoscc%2Ffull-record%2FWOS:001082874200201","View Full Record in Web of Science")</f>
        <v>View Full Record in Web of Science</v>
      </c>
    </row>
    <row r="819" spans="1:72" x14ac:dyDescent="0.35">
      <c r="A819" t="s">
        <v>72</v>
      </c>
      <c r="B819" t="s">
        <v>14218</v>
      </c>
      <c r="C819" t="s">
        <v>74</v>
      </c>
      <c r="D819" t="s">
        <v>74</v>
      </c>
      <c r="E819" t="s">
        <v>74</v>
      </c>
      <c r="F819" t="s">
        <v>14219</v>
      </c>
      <c r="G819" t="s">
        <v>74</v>
      </c>
      <c r="H819" t="s">
        <v>74</v>
      </c>
      <c r="I819" t="s">
        <v>14220</v>
      </c>
      <c r="J819" t="s">
        <v>12202</v>
      </c>
      <c r="K819" t="s">
        <v>74</v>
      </c>
      <c r="L819" t="s">
        <v>74</v>
      </c>
      <c r="M819" t="s">
        <v>78</v>
      </c>
      <c r="N819" t="s">
        <v>52</v>
      </c>
      <c r="O819" t="s">
        <v>14221</v>
      </c>
      <c r="P819" t="s">
        <v>14222</v>
      </c>
      <c r="Q819" t="s">
        <v>14223</v>
      </c>
      <c r="R819" t="s">
        <v>14224</v>
      </c>
      <c r="S819" t="s">
        <v>74</v>
      </c>
      <c r="T819" t="s">
        <v>74</v>
      </c>
      <c r="U819" t="s">
        <v>74</v>
      </c>
      <c r="V819" t="s">
        <v>74</v>
      </c>
      <c r="W819" t="s">
        <v>14225</v>
      </c>
      <c r="X819" t="s">
        <v>14226</v>
      </c>
      <c r="Y819" t="s">
        <v>74</v>
      </c>
      <c r="Z819" t="s">
        <v>74</v>
      </c>
      <c r="AA819" t="s">
        <v>74</v>
      </c>
      <c r="AB819" t="s">
        <v>74</v>
      </c>
      <c r="AC819" t="s">
        <v>74</v>
      </c>
      <c r="AD819" t="s">
        <v>74</v>
      </c>
      <c r="AE819" t="s">
        <v>74</v>
      </c>
      <c r="AF819" t="s">
        <v>74</v>
      </c>
      <c r="AG819">
        <v>0</v>
      </c>
      <c r="AH819">
        <v>0</v>
      </c>
      <c r="AI819">
        <v>0</v>
      </c>
      <c r="AJ819">
        <v>0</v>
      </c>
      <c r="AK819">
        <v>0</v>
      </c>
      <c r="AL819" t="s">
        <v>1965</v>
      </c>
      <c r="AM819" t="s">
        <v>666</v>
      </c>
      <c r="AN819" t="s">
        <v>1966</v>
      </c>
      <c r="AO819" t="s">
        <v>12208</v>
      </c>
      <c r="AP819" t="s">
        <v>12209</v>
      </c>
      <c r="AQ819" t="s">
        <v>74</v>
      </c>
      <c r="AR819" t="s">
        <v>12210</v>
      </c>
      <c r="AS819" t="s">
        <v>12211</v>
      </c>
      <c r="AT819" t="s">
        <v>594</v>
      </c>
      <c r="AU819">
        <v>2022</v>
      </c>
      <c r="AV819">
        <v>118</v>
      </c>
      <c r="AW819">
        <v>4</v>
      </c>
      <c r="AX819" t="s">
        <v>74</v>
      </c>
      <c r="AY819" t="s">
        <v>4946</v>
      </c>
      <c r="AZ819" t="s">
        <v>74</v>
      </c>
      <c r="BA819" t="s">
        <v>14227</v>
      </c>
      <c r="BB819" t="s">
        <v>14228</v>
      </c>
      <c r="BC819" t="s">
        <v>14228</v>
      </c>
      <c r="BD819" t="s">
        <v>74</v>
      </c>
      <c r="BE819" t="s">
        <v>74</v>
      </c>
      <c r="BF819" t="s">
        <v>74</v>
      </c>
      <c r="BG819" t="s">
        <v>74</v>
      </c>
      <c r="BH819" t="s">
        <v>74</v>
      </c>
      <c r="BI819">
        <v>1</v>
      </c>
      <c r="BJ819" t="s">
        <v>11405</v>
      </c>
      <c r="BK819" t="s">
        <v>2257</v>
      </c>
      <c r="BL819" t="s">
        <v>11405</v>
      </c>
      <c r="BM819" t="s">
        <v>14229</v>
      </c>
      <c r="BN819" t="s">
        <v>74</v>
      </c>
      <c r="BO819" t="s">
        <v>74</v>
      </c>
      <c r="BP819" t="s">
        <v>74</v>
      </c>
      <c r="BQ819" t="s">
        <v>74</v>
      </c>
      <c r="BR819" t="s">
        <v>102</v>
      </c>
      <c r="BS819" t="s">
        <v>14230</v>
      </c>
      <c r="BT819" t="str">
        <f>HYPERLINK("https%3A%2F%2Fwww.webofscience.com%2Fwos%2Fwoscc%2Ffull-record%2FWOS:000891804601069","View Full Record in Web of Science")</f>
        <v>View Full Record in Web of Science</v>
      </c>
    </row>
    <row r="820" spans="1:72" x14ac:dyDescent="0.35">
      <c r="A820" t="s">
        <v>72</v>
      </c>
      <c r="B820" t="s">
        <v>14231</v>
      </c>
      <c r="C820" t="s">
        <v>74</v>
      </c>
      <c r="D820" t="s">
        <v>74</v>
      </c>
      <c r="E820" t="s">
        <v>74</v>
      </c>
      <c r="F820" t="s">
        <v>14232</v>
      </c>
      <c r="G820" t="s">
        <v>74</v>
      </c>
      <c r="H820" t="s">
        <v>74</v>
      </c>
      <c r="I820" t="s">
        <v>14233</v>
      </c>
      <c r="J820" t="s">
        <v>9249</v>
      </c>
      <c r="K820" t="s">
        <v>74</v>
      </c>
      <c r="L820" t="s">
        <v>74</v>
      </c>
      <c r="M820" t="s">
        <v>78</v>
      </c>
      <c r="N820" t="s">
        <v>52</v>
      </c>
      <c r="O820" t="s">
        <v>9250</v>
      </c>
      <c r="P820" t="s">
        <v>9251</v>
      </c>
      <c r="Q820" t="s">
        <v>138</v>
      </c>
      <c r="R820" t="s">
        <v>9252</v>
      </c>
      <c r="S820" t="s">
        <v>74</v>
      </c>
      <c r="T820" t="s">
        <v>74</v>
      </c>
      <c r="U820" t="s">
        <v>74</v>
      </c>
      <c r="V820" t="s">
        <v>74</v>
      </c>
      <c r="W820" t="s">
        <v>14234</v>
      </c>
      <c r="X820" t="s">
        <v>74</v>
      </c>
      <c r="Y820" t="s">
        <v>74</v>
      </c>
      <c r="Z820" t="s">
        <v>14235</v>
      </c>
      <c r="AA820" t="s">
        <v>74</v>
      </c>
      <c r="AB820" t="s">
        <v>74</v>
      </c>
      <c r="AC820" t="s">
        <v>74</v>
      </c>
      <c r="AD820" t="s">
        <v>74</v>
      </c>
      <c r="AE820" t="s">
        <v>74</v>
      </c>
      <c r="AF820" t="s">
        <v>74</v>
      </c>
      <c r="AG820">
        <v>0</v>
      </c>
      <c r="AH820">
        <v>0</v>
      </c>
      <c r="AI820">
        <v>0</v>
      </c>
      <c r="AJ820">
        <v>0</v>
      </c>
      <c r="AK820">
        <v>14</v>
      </c>
      <c r="AL820" t="s">
        <v>1965</v>
      </c>
      <c r="AM820" t="s">
        <v>666</v>
      </c>
      <c r="AN820" t="s">
        <v>1966</v>
      </c>
      <c r="AO820" t="s">
        <v>9256</v>
      </c>
      <c r="AP820" t="s">
        <v>9257</v>
      </c>
      <c r="AQ820" t="s">
        <v>74</v>
      </c>
      <c r="AR820" t="s">
        <v>9258</v>
      </c>
      <c r="AS820" t="s">
        <v>9259</v>
      </c>
      <c r="AT820" t="s">
        <v>74</v>
      </c>
      <c r="AU820">
        <v>2021</v>
      </c>
      <c r="AV820">
        <v>60</v>
      </c>
      <c r="AW820">
        <v>10</v>
      </c>
      <c r="AX820" t="s">
        <v>74</v>
      </c>
      <c r="AY820" t="s">
        <v>4946</v>
      </c>
      <c r="AZ820" t="s">
        <v>74</v>
      </c>
      <c r="BA820">
        <v>11.11</v>
      </c>
      <c r="BB820" t="s">
        <v>14236</v>
      </c>
      <c r="BC820" t="s">
        <v>14236</v>
      </c>
      <c r="BD820" t="s">
        <v>74</v>
      </c>
      <c r="BE820" t="s">
        <v>14237</v>
      </c>
      <c r="BF820" t="str">
        <f>HYPERLINK("http://dx.doi.org/10.1016/j.jaac.2021.09.142","http://dx.doi.org/10.1016/j.jaac.2021.09.142")</f>
        <v>http://dx.doi.org/10.1016/j.jaac.2021.09.142</v>
      </c>
      <c r="BG820" t="s">
        <v>74</v>
      </c>
      <c r="BH820" t="s">
        <v>9169</v>
      </c>
      <c r="BI820">
        <v>1</v>
      </c>
      <c r="BJ820" t="s">
        <v>5098</v>
      </c>
      <c r="BK820" t="s">
        <v>3030</v>
      </c>
      <c r="BL820" t="s">
        <v>5099</v>
      </c>
      <c r="BM820" t="s">
        <v>9262</v>
      </c>
      <c r="BN820" t="s">
        <v>74</v>
      </c>
      <c r="BO820" t="s">
        <v>74</v>
      </c>
      <c r="BP820" t="s">
        <v>74</v>
      </c>
      <c r="BQ820" t="s">
        <v>74</v>
      </c>
      <c r="BR820" t="s">
        <v>102</v>
      </c>
      <c r="BS820" t="s">
        <v>14238</v>
      </c>
      <c r="BT820" t="str">
        <f>HYPERLINK("https%3A%2F%2Fwww.webofscience.com%2Fwos%2Fwoscc%2Ffull-record%2FWOS:000707082801005","View Full Record in Web of Science")</f>
        <v>View Full Record in Web of Science</v>
      </c>
    </row>
    <row r="821" spans="1:72" x14ac:dyDescent="0.35">
      <c r="A821" t="s">
        <v>72</v>
      </c>
      <c r="B821" t="s">
        <v>14239</v>
      </c>
      <c r="C821" t="s">
        <v>74</v>
      </c>
      <c r="D821" t="s">
        <v>74</v>
      </c>
      <c r="E821" t="s">
        <v>74</v>
      </c>
      <c r="F821" t="s">
        <v>14240</v>
      </c>
      <c r="G821" t="s">
        <v>74</v>
      </c>
      <c r="H821" t="s">
        <v>74</v>
      </c>
      <c r="I821" t="s">
        <v>14241</v>
      </c>
      <c r="J821" t="s">
        <v>11665</v>
      </c>
      <c r="K821" t="s">
        <v>74</v>
      </c>
      <c r="L821" t="s">
        <v>74</v>
      </c>
      <c r="M821" t="s">
        <v>78</v>
      </c>
      <c r="N821" t="s">
        <v>52</v>
      </c>
      <c r="O821" t="s">
        <v>74</v>
      </c>
      <c r="P821" t="s">
        <v>74</v>
      </c>
      <c r="Q821" t="s">
        <v>74</v>
      </c>
      <c r="R821" t="s">
        <v>74</v>
      </c>
      <c r="S821" t="s">
        <v>74</v>
      </c>
      <c r="T821" t="s">
        <v>74</v>
      </c>
      <c r="U821" t="s">
        <v>74</v>
      </c>
      <c r="V821" t="s">
        <v>74</v>
      </c>
      <c r="W821" t="s">
        <v>14242</v>
      </c>
      <c r="X821" t="s">
        <v>14243</v>
      </c>
      <c r="Y821" t="s">
        <v>74</v>
      </c>
      <c r="Z821" t="s">
        <v>74</v>
      </c>
      <c r="AA821" t="s">
        <v>12917</v>
      </c>
      <c r="AB821" t="s">
        <v>74</v>
      </c>
      <c r="AC821" t="s">
        <v>74</v>
      </c>
      <c r="AD821" t="s">
        <v>74</v>
      </c>
      <c r="AE821" t="s">
        <v>74</v>
      </c>
      <c r="AF821" t="s">
        <v>74</v>
      </c>
      <c r="AG821">
        <v>0</v>
      </c>
      <c r="AH821">
        <v>0</v>
      </c>
      <c r="AI821">
        <v>0</v>
      </c>
      <c r="AJ821">
        <v>0</v>
      </c>
      <c r="AK821">
        <v>0</v>
      </c>
      <c r="AL821" t="s">
        <v>11669</v>
      </c>
      <c r="AM821" t="s">
        <v>1196</v>
      </c>
      <c r="AN821" t="s">
        <v>11670</v>
      </c>
      <c r="AO821" t="s">
        <v>11671</v>
      </c>
      <c r="AP821" t="s">
        <v>11672</v>
      </c>
      <c r="AQ821" t="s">
        <v>74</v>
      </c>
      <c r="AR821" t="s">
        <v>11673</v>
      </c>
      <c r="AS821" t="s">
        <v>11674</v>
      </c>
      <c r="AT821" t="s">
        <v>14244</v>
      </c>
      <c r="AU821">
        <v>2023</v>
      </c>
      <c r="AV821">
        <v>96</v>
      </c>
      <c r="AW821" t="s">
        <v>14245</v>
      </c>
      <c r="AX821" t="s">
        <v>74</v>
      </c>
      <c r="AY821">
        <v>3</v>
      </c>
      <c r="AZ821" t="s">
        <v>74</v>
      </c>
      <c r="BA821">
        <v>6344</v>
      </c>
      <c r="BB821">
        <v>271</v>
      </c>
      <c r="BC821">
        <v>273</v>
      </c>
      <c r="BD821" t="s">
        <v>74</v>
      </c>
      <c r="BE821" t="s">
        <v>74</v>
      </c>
      <c r="BF821" t="s">
        <v>74</v>
      </c>
      <c r="BG821" t="s">
        <v>74</v>
      </c>
      <c r="BH821" t="s">
        <v>74</v>
      </c>
      <c r="BI821">
        <v>3</v>
      </c>
      <c r="BJ821" t="s">
        <v>11677</v>
      </c>
      <c r="BK821" t="s">
        <v>209</v>
      </c>
      <c r="BL821" t="s">
        <v>11677</v>
      </c>
      <c r="BM821" t="s">
        <v>14246</v>
      </c>
      <c r="BN821" t="s">
        <v>74</v>
      </c>
      <c r="BO821" t="s">
        <v>74</v>
      </c>
      <c r="BP821" t="s">
        <v>74</v>
      </c>
      <c r="BQ821" t="s">
        <v>74</v>
      </c>
      <c r="BR821" t="s">
        <v>102</v>
      </c>
      <c r="BS821" t="s">
        <v>14247</v>
      </c>
      <c r="BT821" t="str">
        <f>HYPERLINK("https%3A%2F%2Fwww.webofscience.com%2Fwos%2Fwoscc%2Ffull-record%2FWOS:001050468900156","View Full Record in Web of Science")</f>
        <v>View Full Record in Web of Science</v>
      </c>
    </row>
    <row r="822" spans="1:72" x14ac:dyDescent="0.35">
      <c r="A822" t="s">
        <v>72</v>
      </c>
      <c r="B822" t="s">
        <v>14248</v>
      </c>
      <c r="C822" t="s">
        <v>74</v>
      </c>
      <c r="D822" t="s">
        <v>74</v>
      </c>
      <c r="E822" t="s">
        <v>74</v>
      </c>
      <c r="F822" t="s">
        <v>14249</v>
      </c>
      <c r="G822" t="s">
        <v>74</v>
      </c>
      <c r="H822" t="s">
        <v>74</v>
      </c>
      <c r="I822" t="s">
        <v>14250</v>
      </c>
      <c r="J822" t="s">
        <v>14251</v>
      </c>
      <c r="K822" t="s">
        <v>74</v>
      </c>
      <c r="L822" t="s">
        <v>74</v>
      </c>
      <c r="M822" t="s">
        <v>78</v>
      </c>
      <c r="N822" t="s">
        <v>52</v>
      </c>
      <c r="O822" t="s">
        <v>74</v>
      </c>
      <c r="P822" t="s">
        <v>74</v>
      </c>
      <c r="Q822" t="s">
        <v>74</v>
      </c>
      <c r="R822" t="s">
        <v>74</v>
      </c>
      <c r="S822" t="s">
        <v>74</v>
      </c>
      <c r="T822" t="s">
        <v>74</v>
      </c>
      <c r="U822" t="s">
        <v>74</v>
      </c>
      <c r="V822" t="s">
        <v>74</v>
      </c>
      <c r="W822" t="s">
        <v>14252</v>
      </c>
      <c r="X822" t="s">
        <v>14253</v>
      </c>
      <c r="Y822" t="s">
        <v>74</v>
      </c>
      <c r="Z822" t="s">
        <v>74</v>
      </c>
      <c r="AA822" t="s">
        <v>74</v>
      </c>
      <c r="AB822" t="s">
        <v>74</v>
      </c>
      <c r="AC822" t="s">
        <v>14254</v>
      </c>
      <c r="AD822" t="s">
        <v>14255</v>
      </c>
      <c r="AE822" t="s">
        <v>14256</v>
      </c>
      <c r="AF822" t="s">
        <v>74</v>
      </c>
      <c r="AG822">
        <v>0</v>
      </c>
      <c r="AH822">
        <v>0</v>
      </c>
      <c r="AI822">
        <v>0</v>
      </c>
      <c r="AJ822">
        <v>0</v>
      </c>
      <c r="AK822">
        <v>33</v>
      </c>
      <c r="AL822" t="s">
        <v>251</v>
      </c>
      <c r="AM822" t="s">
        <v>252</v>
      </c>
      <c r="AN822" t="s">
        <v>253</v>
      </c>
      <c r="AO822" t="s">
        <v>14257</v>
      </c>
      <c r="AP822" t="s">
        <v>14258</v>
      </c>
      <c r="AQ822" t="s">
        <v>74</v>
      </c>
      <c r="AR822" t="s">
        <v>14259</v>
      </c>
      <c r="AS822" t="s">
        <v>14260</v>
      </c>
      <c r="AT822" t="s">
        <v>297</v>
      </c>
      <c r="AU822">
        <v>2020</v>
      </c>
      <c r="AV822">
        <v>127</v>
      </c>
      <c r="AW822" t="s">
        <v>74</v>
      </c>
      <c r="AX822" t="s">
        <v>74</v>
      </c>
      <c r="AY822">
        <v>1</v>
      </c>
      <c r="AZ822" t="s">
        <v>456</v>
      </c>
      <c r="BA822">
        <v>622</v>
      </c>
      <c r="BB822">
        <v>279</v>
      </c>
      <c r="BC822">
        <v>279</v>
      </c>
      <c r="BD822" t="s">
        <v>74</v>
      </c>
      <c r="BE822" t="s">
        <v>74</v>
      </c>
      <c r="BF822" t="s">
        <v>74</v>
      </c>
      <c r="BG822" t="s">
        <v>74</v>
      </c>
      <c r="BH822" t="s">
        <v>74</v>
      </c>
      <c r="BI822">
        <v>1</v>
      </c>
      <c r="BJ822" t="s">
        <v>14261</v>
      </c>
      <c r="BK822" t="s">
        <v>209</v>
      </c>
      <c r="BL822" t="s">
        <v>14261</v>
      </c>
      <c r="BM822" t="s">
        <v>14262</v>
      </c>
      <c r="BN822" t="s">
        <v>74</v>
      </c>
      <c r="BO822" t="s">
        <v>74</v>
      </c>
      <c r="BP822" t="s">
        <v>74</v>
      </c>
      <c r="BQ822" t="s">
        <v>74</v>
      </c>
      <c r="BR822" t="s">
        <v>102</v>
      </c>
      <c r="BS822" t="s">
        <v>14263</v>
      </c>
      <c r="BT822" t="str">
        <f>HYPERLINK("https%3A%2F%2Fwww.webofscience.com%2Fwos%2Fwoscc%2Ffull-record%2FWOS:000554401700623","View Full Record in Web of Science")</f>
        <v>View Full Record in Web of Science</v>
      </c>
    </row>
    <row r="823" spans="1:72" x14ac:dyDescent="0.35">
      <c r="A823" t="s">
        <v>72</v>
      </c>
      <c r="B823" t="s">
        <v>14264</v>
      </c>
      <c r="C823" t="s">
        <v>74</v>
      </c>
      <c r="D823" t="s">
        <v>74</v>
      </c>
      <c r="E823" t="s">
        <v>74</v>
      </c>
      <c r="F823" t="s">
        <v>14265</v>
      </c>
      <c r="G823" t="s">
        <v>74</v>
      </c>
      <c r="H823" t="s">
        <v>74</v>
      </c>
      <c r="I823" t="s">
        <v>14266</v>
      </c>
      <c r="J823" t="s">
        <v>11599</v>
      </c>
      <c r="K823" t="s">
        <v>74</v>
      </c>
      <c r="L823" t="s">
        <v>74</v>
      </c>
      <c r="M823" t="s">
        <v>78</v>
      </c>
      <c r="N823" t="s">
        <v>52</v>
      </c>
      <c r="O823" t="s">
        <v>5593</v>
      </c>
      <c r="P823" t="s">
        <v>14267</v>
      </c>
      <c r="Q823" t="s">
        <v>12331</v>
      </c>
      <c r="R823" t="s">
        <v>14268</v>
      </c>
      <c r="S823" t="s">
        <v>74</v>
      </c>
      <c r="T823" t="s">
        <v>74</v>
      </c>
      <c r="U823" t="s">
        <v>74</v>
      </c>
      <c r="V823" t="s">
        <v>74</v>
      </c>
      <c r="W823" t="s">
        <v>74</v>
      </c>
      <c r="X823" t="s">
        <v>74</v>
      </c>
      <c r="Y823" t="s">
        <v>74</v>
      </c>
      <c r="Z823" t="s">
        <v>74</v>
      </c>
      <c r="AA823" t="s">
        <v>74</v>
      </c>
      <c r="AB823" t="s">
        <v>74</v>
      </c>
      <c r="AC823" t="s">
        <v>74</v>
      </c>
      <c r="AD823" t="s">
        <v>74</v>
      </c>
      <c r="AE823" t="s">
        <v>74</v>
      </c>
      <c r="AF823" t="s">
        <v>74</v>
      </c>
      <c r="AG823">
        <v>0</v>
      </c>
      <c r="AH823">
        <v>0</v>
      </c>
      <c r="AI823">
        <v>0</v>
      </c>
      <c r="AJ823">
        <v>0</v>
      </c>
      <c r="AK823">
        <v>0</v>
      </c>
      <c r="AL823" t="s">
        <v>1901</v>
      </c>
      <c r="AM823" t="s">
        <v>995</v>
      </c>
      <c r="AN823" t="s">
        <v>1902</v>
      </c>
      <c r="AO823" t="s">
        <v>11600</v>
      </c>
      <c r="AP823" t="s">
        <v>11601</v>
      </c>
      <c r="AQ823" t="s">
        <v>74</v>
      </c>
      <c r="AR823" t="s">
        <v>11602</v>
      </c>
      <c r="AS823" t="s">
        <v>11603</v>
      </c>
      <c r="AT823" t="s">
        <v>745</v>
      </c>
      <c r="AU823">
        <v>2024</v>
      </c>
      <c r="AV823">
        <v>211</v>
      </c>
      <c r="AW823">
        <v>5</v>
      </c>
      <c r="AX823" t="s">
        <v>74</v>
      </c>
      <c r="AY823" t="s">
        <v>4946</v>
      </c>
      <c r="AZ823" t="s">
        <v>74</v>
      </c>
      <c r="BA823" t="s">
        <v>14269</v>
      </c>
      <c r="BB823" t="s">
        <v>14270</v>
      </c>
      <c r="BC823" t="s">
        <v>14270</v>
      </c>
      <c r="BD823" t="s">
        <v>74</v>
      </c>
      <c r="BE823" t="s">
        <v>74</v>
      </c>
      <c r="BF823" t="s">
        <v>74</v>
      </c>
      <c r="BG823" t="s">
        <v>74</v>
      </c>
      <c r="BH823" t="s">
        <v>74</v>
      </c>
      <c r="BI823">
        <v>1</v>
      </c>
      <c r="BJ823" t="s">
        <v>1908</v>
      </c>
      <c r="BK823" t="s">
        <v>2257</v>
      </c>
      <c r="BL823" t="s">
        <v>1908</v>
      </c>
      <c r="BM823" t="s">
        <v>14271</v>
      </c>
      <c r="BN823" t="s">
        <v>74</v>
      </c>
      <c r="BO823" t="s">
        <v>74</v>
      </c>
      <c r="BP823" t="s">
        <v>74</v>
      </c>
      <c r="BQ823" t="s">
        <v>74</v>
      </c>
      <c r="BR823" t="s">
        <v>102</v>
      </c>
      <c r="BS823" t="s">
        <v>14272</v>
      </c>
      <c r="BT823" t="str">
        <f>HYPERLINK("https%3A%2F%2Fwww.webofscience.com%2Fwos%2Fwoscc%2Ffull-record%2FWOS:001263885304219","View Full Record in Web of Science")</f>
        <v>View Full Record in Web of Science</v>
      </c>
    </row>
    <row r="824" spans="1:72" x14ac:dyDescent="0.35">
      <c r="A824" t="s">
        <v>72</v>
      </c>
      <c r="B824" t="s">
        <v>14273</v>
      </c>
      <c r="C824" t="s">
        <v>74</v>
      </c>
      <c r="D824" t="s">
        <v>74</v>
      </c>
      <c r="E824" t="s">
        <v>74</v>
      </c>
      <c r="F824" t="s">
        <v>14274</v>
      </c>
      <c r="G824" t="s">
        <v>74</v>
      </c>
      <c r="H824" t="s">
        <v>74</v>
      </c>
      <c r="I824" t="s">
        <v>14275</v>
      </c>
      <c r="J824" t="s">
        <v>2493</v>
      </c>
      <c r="K824" t="s">
        <v>74</v>
      </c>
      <c r="L824" t="s">
        <v>74</v>
      </c>
      <c r="M824" t="s">
        <v>78</v>
      </c>
      <c r="N824" t="s">
        <v>52</v>
      </c>
      <c r="O824" t="s">
        <v>9678</v>
      </c>
      <c r="P824" t="s">
        <v>10990</v>
      </c>
      <c r="Q824" t="s">
        <v>5386</v>
      </c>
      <c r="R824" t="s">
        <v>9680</v>
      </c>
      <c r="S824" t="s">
        <v>74</v>
      </c>
      <c r="T824" t="s">
        <v>74</v>
      </c>
      <c r="U824" t="s">
        <v>74</v>
      </c>
      <c r="V824" t="s">
        <v>74</v>
      </c>
      <c r="W824" t="s">
        <v>14276</v>
      </c>
      <c r="X824" t="s">
        <v>14277</v>
      </c>
      <c r="Y824" t="s">
        <v>74</v>
      </c>
      <c r="Z824" t="s">
        <v>74</v>
      </c>
      <c r="AA824" t="s">
        <v>14278</v>
      </c>
      <c r="AB824" t="s">
        <v>74</v>
      </c>
      <c r="AC824" t="s">
        <v>74</v>
      </c>
      <c r="AD824" t="s">
        <v>74</v>
      </c>
      <c r="AE824" t="s">
        <v>74</v>
      </c>
      <c r="AF824" t="s">
        <v>74</v>
      </c>
      <c r="AG824">
        <v>0</v>
      </c>
      <c r="AH824">
        <v>0</v>
      </c>
      <c r="AI824">
        <v>0</v>
      </c>
      <c r="AJ824">
        <v>0</v>
      </c>
      <c r="AK824">
        <v>0</v>
      </c>
      <c r="AL824" t="s">
        <v>2027</v>
      </c>
      <c r="AM824" t="s">
        <v>666</v>
      </c>
      <c r="AN824" t="s">
        <v>2028</v>
      </c>
      <c r="AO824" t="s">
        <v>2498</v>
      </c>
      <c r="AP824" t="s">
        <v>2499</v>
      </c>
      <c r="AQ824" t="s">
        <v>74</v>
      </c>
      <c r="AR824" t="s">
        <v>2500</v>
      </c>
      <c r="AS824" t="s">
        <v>2501</v>
      </c>
      <c r="AT824" t="s">
        <v>455</v>
      </c>
      <c r="AU824">
        <v>2022</v>
      </c>
      <c r="AV824">
        <v>87</v>
      </c>
      <c r="AW824">
        <v>3</v>
      </c>
      <c r="AX824" t="s">
        <v>74</v>
      </c>
      <c r="AY824" t="s">
        <v>4946</v>
      </c>
      <c r="AZ824" t="s">
        <v>74</v>
      </c>
      <c r="BA824">
        <v>34492</v>
      </c>
      <c r="BB824" t="s">
        <v>14279</v>
      </c>
      <c r="BC824" t="s">
        <v>14279</v>
      </c>
      <c r="BD824" t="s">
        <v>74</v>
      </c>
      <c r="BE824" t="s">
        <v>74</v>
      </c>
      <c r="BF824" t="s">
        <v>74</v>
      </c>
      <c r="BG824" t="s">
        <v>74</v>
      </c>
      <c r="BH824" t="s">
        <v>74</v>
      </c>
      <c r="BI824">
        <v>1</v>
      </c>
      <c r="BJ824" t="s">
        <v>1341</v>
      </c>
      <c r="BK824" t="s">
        <v>2257</v>
      </c>
      <c r="BL824" t="s">
        <v>1341</v>
      </c>
      <c r="BM824" t="s">
        <v>10994</v>
      </c>
      <c r="BN824" t="s">
        <v>74</v>
      </c>
      <c r="BO824" t="s">
        <v>74</v>
      </c>
      <c r="BP824" t="s">
        <v>74</v>
      </c>
      <c r="BQ824" t="s">
        <v>74</v>
      </c>
      <c r="BR824" t="s">
        <v>102</v>
      </c>
      <c r="BS824" t="s">
        <v>14280</v>
      </c>
      <c r="BT824" t="str">
        <f>HYPERLINK("https%3A%2F%2Fwww.webofscience.com%2Fwos%2Fwoscc%2Ffull-record%2FWOS:000891793200560","View Full Record in Web of Science")</f>
        <v>View Full Record in Web of Science</v>
      </c>
    </row>
    <row r="825" spans="1:72" x14ac:dyDescent="0.35">
      <c r="A825" t="s">
        <v>72</v>
      </c>
      <c r="B825" t="s">
        <v>14281</v>
      </c>
      <c r="C825" t="s">
        <v>74</v>
      </c>
      <c r="D825" t="s">
        <v>74</v>
      </c>
      <c r="E825" t="s">
        <v>74</v>
      </c>
      <c r="F825" t="s">
        <v>14282</v>
      </c>
      <c r="G825" t="s">
        <v>74</v>
      </c>
      <c r="H825" t="s">
        <v>74</v>
      </c>
      <c r="I825" t="s">
        <v>14283</v>
      </c>
      <c r="J825" t="s">
        <v>14284</v>
      </c>
      <c r="K825" t="s">
        <v>74</v>
      </c>
      <c r="L825" t="s">
        <v>74</v>
      </c>
      <c r="M825" t="s">
        <v>78</v>
      </c>
      <c r="N825" t="s">
        <v>52</v>
      </c>
      <c r="O825" t="s">
        <v>74</v>
      </c>
      <c r="P825" t="s">
        <v>74</v>
      </c>
      <c r="Q825" t="s">
        <v>74</v>
      </c>
      <c r="R825" t="s">
        <v>74</v>
      </c>
      <c r="S825" t="s">
        <v>74</v>
      </c>
      <c r="T825" t="s">
        <v>74</v>
      </c>
      <c r="U825" t="s">
        <v>74</v>
      </c>
      <c r="V825" t="s">
        <v>74</v>
      </c>
      <c r="W825" t="s">
        <v>14285</v>
      </c>
      <c r="X825" t="s">
        <v>14286</v>
      </c>
      <c r="Y825" t="s">
        <v>74</v>
      </c>
      <c r="Z825" t="s">
        <v>74</v>
      </c>
      <c r="AA825" t="s">
        <v>74</v>
      </c>
      <c r="AB825" t="s">
        <v>74</v>
      </c>
      <c r="AC825" t="s">
        <v>74</v>
      </c>
      <c r="AD825" t="s">
        <v>74</v>
      </c>
      <c r="AE825" t="s">
        <v>74</v>
      </c>
      <c r="AF825" t="s">
        <v>74</v>
      </c>
      <c r="AG825">
        <v>0</v>
      </c>
      <c r="AH825">
        <v>0</v>
      </c>
      <c r="AI825">
        <v>0</v>
      </c>
      <c r="AJ825">
        <v>1</v>
      </c>
      <c r="AK825">
        <v>1</v>
      </c>
      <c r="AL825" t="s">
        <v>12436</v>
      </c>
      <c r="AM825" t="s">
        <v>12437</v>
      </c>
      <c r="AN825" t="s">
        <v>12438</v>
      </c>
      <c r="AO825" t="s">
        <v>14287</v>
      </c>
      <c r="AP825" t="s">
        <v>14288</v>
      </c>
      <c r="AQ825" t="s">
        <v>74</v>
      </c>
      <c r="AR825" t="s">
        <v>14289</v>
      </c>
      <c r="AS825" t="s">
        <v>14290</v>
      </c>
      <c r="AT825" t="s">
        <v>455</v>
      </c>
      <c r="AU825">
        <v>2023</v>
      </c>
      <c r="AV825">
        <v>176</v>
      </c>
      <c r="AW825" t="s">
        <v>74</v>
      </c>
      <c r="AX825" t="s">
        <v>74</v>
      </c>
      <c r="AY825">
        <v>1</v>
      </c>
      <c r="AZ825" t="s">
        <v>74</v>
      </c>
      <c r="BA825">
        <v>1156</v>
      </c>
      <c r="BB825" t="s">
        <v>14291</v>
      </c>
      <c r="BC825" t="s">
        <v>14291</v>
      </c>
      <c r="BD825" t="s">
        <v>74</v>
      </c>
      <c r="BE825" t="s">
        <v>14292</v>
      </c>
      <c r="BF825" t="str">
        <f>HYPERLINK("http://dx.doi.org/10.1016/j.ygyno.2023.06.076","http://dx.doi.org/10.1016/j.ygyno.2023.06.076")</f>
        <v>http://dx.doi.org/10.1016/j.ygyno.2023.06.076</v>
      </c>
      <c r="BG825" t="s">
        <v>74</v>
      </c>
      <c r="BH825" t="s">
        <v>2929</v>
      </c>
      <c r="BI825">
        <v>1</v>
      </c>
      <c r="BJ825" t="s">
        <v>14293</v>
      </c>
      <c r="BK825" t="s">
        <v>209</v>
      </c>
      <c r="BL825" t="s">
        <v>14293</v>
      </c>
      <c r="BM825" t="s">
        <v>14294</v>
      </c>
      <c r="BN825" t="s">
        <v>74</v>
      </c>
      <c r="BO825" t="s">
        <v>74</v>
      </c>
      <c r="BP825" t="s">
        <v>74</v>
      </c>
      <c r="BQ825" t="s">
        <v>74</v>
      </c>
      <c r="BR825" t="s">
        <v>102</v>
      </c>
      <c r="BS825" t="s">
        <v>14295</v>
      </c>
      <c r="BT825" t="str">
        <f>HYPERLINK("https%3A%2F%2Fwww.webofscience.com%2Fwos%2Fwoscc%2Ffull-record%2FWOS:001079556100165","View Full Record in Web of Science")</f>
        <v>View Full Record in Web of Science</v>
      </c>
    </row>
    <row r="826" spans="1:72" x14ac:dyDescent="0.35">
      <c r="A826" t="s">
        <v>72</v>
      </c>
      <c r="B826" t="s">
        <v>14296</v>
      </c>
      <c r="C826" t="s">
        <v>74</v>
      </c>
      <c r="D826" t="s">
        <v>74</v>
      </c>
      <c r="E826" t="s">
        <v>74</v>
      </c>
      <c r="F826" t="s">
        <v>14297</v>
      </c>
      <c r="G826" t="s">
        <v>74</v>
      </c>
      <c r="H826" t="s">
        <v>74</v>
      </c>
      <c r="I826" t="s">
        <v>14298</v>
      </c>
      <c r="J826" t="s">
        <v>14299</v>
      </c>
      <c r="K826" t="s">
        <v>74</v>
      </c>
      <c r="L826" t="s">
        <v>74</v>
      </c>
      <c r="M826" t="s">
        <v>78</v>
      </c>
      <c r="N826" t="s">
        <v>108</v>
      </c>
      <c r="O826" t="s">
        <v>74</v>
      </c>
      <c r="P826" t="s">
        <v>74</v>
      </c>
      <c r="Q826" t="s">
        <v>74</v>
      </c>
      <c r="R826" t="s">
        <v>74</v>
      </c>
      <c r="S826" t="s">
        <v>74</v>
      </c>
      <c r="T826" t="s">
        <v>14300</v>
      </c>
      <c r="U826" t="s">
        <v>74</v>
      </c>
      <c r="V826" t="s">
        <v>74</v>
      </c>
      <c r="W826" t="s">
        <v>14301</v>
      </c>
      <c r="X826" t="s">
        <v>14302</v>
      </c>
      <c r="Y826" t="s">
        <v>14303</v>
      </c>
      <c r="Z826" t="s">
        <v>14304</v>
      </c>
      <c r="AA826" t="s">
        <v>74</v>
      </c>
      <c r="AB826" t="s">
        <v>74</v>
      </c>
      <c r="AC826" t="s">
        <v>74</v>
      </c>
      <c r="AD826" t="s">
        <v>74</v>
      </c>
      <c r="AE826" t="s">
        <v>74</v>
      </c>
      <c r="AF826" t="s">
        <v>74</v>
      </c>
      <c r="AG826">
        <v>13</v>
      </c>
      <c r="AH826">
        <v>0</v>
      </c>
      <c r="AI826">
        <v>0</v>
      </c>
      <c r="AJ826">
        <v>0</v>
      </c>
      <c r="AK826">
        <v>0</v>
      </c>
      <c r="AL826" t="s">
        <v>8334</v>
      </c>
      <c r="AM826" t="s">
        <v>291</v>
      </c>
      <c r="AN826" t="s">
        <v>8335</v>
      </c>
      <c r="AO826" t="s">
        <v>14305</v>
      </c>
      <c r="AP826" t="s">
        <v>14306</v>
      </c>
      <c r="AQ826" t="s">
        <v>74</v>
      </c>
      <c r="AR826" t="s">
        <v>14307</v>
      </c>
      <c r="AS826" t="s">
        <v>14308</v>
      </c>
      <c r="AT826" t="s">
        <v>14309</v>
      </c>
      <c r="AU826">
        <v>2024</v>
      </c>
      <c r="AV826">
        <v>12</v>
      </c>
      <c r="AW826">
        <v>2</v>
      </c>
      <c r="AX826" t="s">
        <v>74</v>
      </c>
      <c r="AY826" t="s">
        <v>74</v>
      </c>
      <c r="AZ826" t="s">
        <v>74</v>
      </c>
      <c r="BA826" t="s">
        <v>74</v>
      </c>
      <c r="BB826" t="s">
        <v>74</v>
      </c>
      <c r="BC826" t="s">
        <v>74</v>
      </c>
      <c r="BD826" t="s">
        <v>74</v>
      </c>
      <c r="BE826" t="s">
        <v>14310</v>
      </c>
      <c r="BF826" t="str">
        <f>HYPERLINK("http://dx.doi.org/10.1093/jaenfo/jnae015","http://dx.doi.org/10.1093/jaenfo/jnae015")</f>
        <v>http://dx.doi.org/10.1093/jaenfo/jnae015</v>
      </c>
      <c r="BG826" t="s">
        <v>74</v>
      </c>
      <c r="BH826" t="s">
        <v>2410</v>
      </c>
      <c r="BI826">
        <v>7</v>
      </c>
      <c r="BJ826" t="s">
        <v>10320</v>
      </c>
      <c r="BK826" t="s">
        <v>125</v>
      </c>
      <c r="BL826" t="s">
        <v>8015</v>
      </c>
      <c r="BM826" t="s">
        <v>14311</v>
      </c>
      <c r="BN826" t="s">
        <v>74</v>
      </c>
      <c r="BO826" t="s">
        <v>156</v>
      </c>
      <c r="BP826" t="s">
        <v>74</v>
      </c>
      <c r="BQ826" t="s">
        <v>74</v>
      </c>
      <c r="BR826" t="s">
        <v>102</v>
      </c>
      <c r="BS826" t="s">
        <v>14312</v>
      </c>
      <c r="BT826" t="str">
        <f>HYPERLINK("https%3A%2F%2Fwww.webofscience.com%2Fwos%2Fwoscc%2Ffull-record%2FWOS:001198843200001","View Full Record in Web of Science")</f>
        <v>View Full Record in Web of Science</v>
      </c>
    </row>
    <row r="827" spans="1:72" x14ac:dyDescent="0.35">
      <c r="A827" t="s">
        <v>72</v>
      </c>
      <c r="B827" t="s">
        <v>14313</v>
      </c>
      <c r="C827" t="s">
        <v>74</v>
      </c>
      <c r="D827" t="s">
        <v>74</v>
      </c>
      <c r="E827" t="s">
        <v>74</v>
      </c>
      <c r="F827" t="s">
        <v>14314</v>
      </c>
      <c r="G827" t="s">
        <v>74</v>
      </c>
      <c r="H827" t="s">
        <v>74</v>
      </c>
      <c r="I827" t="s">
        <v>14315</v>
      </c>
      <c r="J827" t="s">
        <v>9586</v>
      </c>
      <c r="K827" t="s">
        <v>74</v>
      </c>
      <c r="L827" t="s">
        <v>74</v>
      </c>
      <c r="M827" t="s">
        <v>78</v>
      </c>
      <c r="N827" t="s">
        <v>1328</v>
      </c>
      <c r="O827" t="s">
        <v>74</v>
      </c>
      <c r="P827" t="s">
        <v>74</v>
      </c>
      <c r="Q827" t="s">
        <v>74</v>
      </c>
      <c r="R827" t="s">
        <v>74</v>
      </c>
      <c r="S827" t="s">
        <v>74</v>
      </c>
      <c r="T827" t="s">
        <v>74</v>
      </c>
      <c r="U827" t="s">
        <v>74</v>
      </c>
      <c r="V827" t="s">
        <v>74</v>
      </c>
      <c r="W827" t="s">
        <v>14316</v>
      </c>
      <c r="X827" t="s">
        <v>1331</v>
      </c>
      <c r="Y827" t="s">
        <v>14317</v>
      </c>
      <c r="Z827" t="s">
        <v>14318</v>
      </c>
      <c r="AA827" t="s">
        <v>74</v>
      </c>
      <c r="AB827" t="s">
        <v>14319</v>
      </c>
      <c r="AC827" t="s">
        <v>74</v>
      </c>
      <c r="AD827" t="s">
        <v>74</v>
      </c>
      <c r="AE827" t="s">
        <v>74</v>
      </c>
      <c r="AF827" t="s">
        <v>74</v>
      </c>
      <c r="AG827">
        <v>4</v>
      </c>
      <c r="AH827">
        <v>2</v>
      </c>
      <c r="AI827">
        <v>2</v>
      </c>
      <c r="AJ827">
        <v>0</v>
      </c>
      <c r="AK827">
        <v>2</v>
      </c>
      <c r="AL827" t="s">
        <v>251</v>
      </c>
      <c r="AM827" t="s">
        <v>252</v>
      </c>
      <c r="AN827" t="s">
        <v>253</v>
      </c>
      <c r="AO827" t="s">
        <v>9595</v>
      </c>
      <c r="AP827" t="s">
        <v>9596</v>
      </c>
      <c r="AQ827" t="s">
        <v>74</v>
      </c>
      <c r="AR827" t="s">
        <v>9597</v>
      </c>
      <c r="AS827" t="s">
        <v>9598</v>
      </c>
      <c r="AT827" t="s">
        <v>178</v>
      </c>
      <c r="AU827">
        <v>2022</v>
      </c>
      <c r="AV827">
        <v>47</v>
      </c>
      <c r="AW827">
        <v>2</v>
      </c>
      <c r="AX827" t="s">
        <v>74</v>
      </c>
      <c r="AY827" t="s">
        <v>74</v>
      </c>
      <c r="AZ827" t="s">
        <v>74</v>
      </c>
      <c r="BA827" t="s">
        <v>74</v>
      </c>
      <c r="BB827">
        <v>422</v>
      </c>
      <c r="BC827">
        <v>423</v>
      </c>
      <c r="BD827" t="s">
        <v>74</v>
      </c>
      <c r="BE827" t="s">
        <v>14320</v>
      </c>
      <c r="BF827" t="str">
        <f>HYPERLINK("http://dx.doi.org/10.1111/ced.14927","http://dx.doi.org/10.1111/ced.14927")</f>
        <v>http://dx.doi.org/10.1111/ced.14927</v>
      </c>
      <c r="BG827" t="s">
        <v>74</v>
      </c>
      <c r="BH827" t="s">
        <v>9169</v>
      </c>
      <c r="BI827">
        <v>2</v>
      </c>
      <c r="BJ827" t="s">
        <v>1341</v>
      </c>
      <c r="BK827" t="s">
        <v>209</v>
      </c>
      <c r="BL827" t="s">
        <v>1341</v>
      </c>
      <c r="BM827" t="s">
        <v>14321</v>
      </c>
      <c r="BN827">
        <v>34482565</v>
      </c>
      <c r="BO827" t="s">
        <v>767</v>
      </c>
      <c r="BP827" t="s">
        <v>74</v>
      </c>
      <c r="BQ827" t="s">
        <v>74</v>
      </c>
      <c r="BR827" t="s">
        <v>102</v>
      </c>
      <c r="BS827" t="s">
        <v>14322</v>
      </c>
      <c r="BT827" t="str">
        <f>HYPERLINK("https%3A%2F%2Fwww.webofscience.com%2Fwos%2Fwoscc%2Ffull-record%2FWOS:000703523600001","View Full Record in Web of Science")</f>
        <v>View Full Record in Web of Science</v>
      </c>
    </row>
    <row r="828" spans="1:72" x14ac:dyDescent="0.35">
      <c r="A828" t="s">
        <v>72</v>
      </c>
      <c r="B828" t="s">
        <v>14323</v>
      </c>
      <c r="C828" t="s">
        <v>74</v>
      </c>
      <c r="D828" t="s">
        <v>74</v>
      </c>
      <c r="E828" t="s">
        <v>74</v>
      </c>
      <c r="F828" t="s">
        <v>14324</v>
      </c>
      <c r="G828" t="s">
        <v>74</v>
      </c>
      <c r="H828" t="s">
        <v>74</v>
      </c>
      <c r="I828" t="s">
        <v>14325</v>
      </c>
      <c r="J828" t="s">
        <v>11599</v>
      </c>
      <c r="K828" t="s">
        <v>74</v>
      </c>
      <c r="L828" t="s">
        <v>74</v>
      </c>
      <c r="M828" t="s">
        <v>78</v>
      </c>
      <c r="N828" t="s">
        <v>52</v>
      </c>
      <c r="O828" t="s">
        <v>74</v>
      </c>
      <c r="P828" t="s">
        <v>74</v>
      </c>
      <c r="Q828" t="s">
        <v>74</v>
      </c>
      <c r="R828" t="s">
        <v>74</v>
      </c>
      <c r="S828" t="s">
        <v>74</v>
      </c>
      <c r="T828" t="s">
        <v>74</v>
      </c>
      <c r="U828" t="s">
        <v>74</v>
      </c>
      <c r="V828" t="s">
        <v>74</v>
      </c>
      <c r="W828" t="s">
        <v>74</v>
      </c>
      <c r="X828" t="s">
        <v>74</v>
      </c>
      <c r="Y828" t="s">
        <v>74</v>
      </c>
      <c r="Z828" t="s">
        <v>74</v>
      </c>
      <c r="AA828" t="s">
        <v>74</v>
      </c>
      <c r="AB828" t="s">
        <v>74</v>
      </c>
      <c r="AC828" t="s">
        <v>74</v>
      </c>
      <c r="AD828" t="s">
        <v>74</v>
      </c>
      <c r="AE828" t="s">
        <v>74</v>
      </c>
      <c r="AF828" t="s">
        <v>74</v>
      </c>
      <c r="AG828">
        <v>0</v>
      </c>
      <c r="AH828">
        <v>0</v>
      </c>
      <c r="AI828">
        <v>0</v>
      </c>
      <c r="AJ828">
        <v>0</v>
      </c>
      <c r="AK828">
        <v>0</v>
      </c>
      <c r="AL828" t="s">
        <v>1901</v>
      </c>
      <c r="AM828" t="s">
        <v>995</v>
      </c>
      <c r="AN828" t="s">
        <v>1902</v>
      </c>
      <c r="AO828" t="s">
        <v>11600</v>
      </c>
      <c r="AP828" t="s">
        <v>11601</v>
      </c>
      <c r="AQ828" t="s">
        <v>74</v>
      </c>
      <c r="AR828" t="s">
        <v>11602</v>
      </c>
      <c r="AS828" t="s">
        <v>11603</v>
      </c>
      <c r="AT828" t="s">
        <v>930</v>
      </c>
      <c r="AU828">
        <v>2023</v>
      </c>
      <c r="AV828">
        <v>209</v>
      </c>
      <c r="AW828" t="s">
        <v>74</v>
      </c>
      <c r="AX828" t="s">
        <v>74</v>
      </c>
      <c r="AY828">
        <v>4</v>
      </c>
      <c r="AZ828" t="s">
        <v>74</v>
      </c>
      <c r="BA828" t="s">
        <v>14326</v>
      </c>
      <c r="BB828" t="s">
        <v>14327</v>
      </c>
      <c r="BC828" t="s">
        <v>14327</v>
      </c>
      <c r="BD828" t="s">
        <v>74</v>
      </c>
      <c r="BE828" t="s">
        <v>74</v>
      </c>
      <c r="BF828" t="s">
        <v>74</v>
      </c>
      <c r="BG828" t="s">
        <v>74</v>
      </c>
      <c r="BH828" t="s">
        <v>74</v>
      </c>
      <c r="BI828">
        <v>1</v>
      </c>
      <c r="BJ828" t="s">
        <v>1908</v>
      </c>
      <c r="BK828" t="s">
        <v>209</v>
      </c>
      <c r="BL828" t="s">
        <v>1908</v>
      </c>
      <c r="BM828" t="s">
        <v>12811</v>
      </c>
      <c r="BN828" t="s">
        <v>74</v>
      </c>
      <c r="BO828" t="s">
        <v>74</v>
      </c>
      <c r="BP828" t="s">
        <v>74</v>
      </c>
      <c r="BQ828" t="s">
        <v>74</v>
      </c>
      <c r="BR828" t="s">
        <v>102</v>
      </c>
      <c r="BS828" t="s">
        <v>14328</v>
      </c>
      <c r="BT828" t="str">
        <f>HYPERLINK("https%3A%2F%2Fwww.webofscience.com%2Fwos%2Fwoscc%2Ffull-record%2FWOS:000994549500432","View Full Record in Web of Science")</f>
        <v>View Full Record in Web of Science</v>
      </c>
    </row>
    <row r="829" spans="1:72" x14ac:dyDescent="0.35">
      <c r="A829" t="s">
        <v>72</v>
      </c>
      <c r="B829" t="s">
        <v>14329</v>
      </c>
      <c r="C829" t="s">
        <v>74</v>
      </c>
      <c r="D829" t="s">
        <v>74</v>
      </c>
      <c r="E829" t="s">
        <v>74</v>
      </c>
      <c r="F829" t="s">
        <v>14330</v>
      </c>
      <c r="G829" t="s">
        <v>74</v>
      </c>
      <c r="H829" t="s">
        <v>74</v>
      </c>
      <c r="I829" t="s">
        <v>14331</v>
      </c>
      <c r="J829" t="s">
        <v>2743</v>
      </c>
      <c r="K829" t="s">
        <v>74</v>
      </c>
      <c r="L829" t="s">
        <v>74</v>
      </c>
      <c r="M829" t="s">
        <v>78</v>
      </c>
      <c r="N829" t="s">
        <v>2042</v>
      </c>
      <c r="O829" t="s">
        <v>74</v>
      </c>
      <c r="P829" t="s">
        <v>74</v>
      </c>
      <c r="Q829" t="s">
        <v>74</v>
      </c>
      <c r="R829" t="s">
        <v>74</v>
      </c>
      <c r="S829" t="s">
        <v>74</v>
      </c>
      <c r="T829" t="s">
        <v>74</v>
      </c>
      <c r="U829" t="s">
        <v>74</v>
      </c>
      <c r="V829" t="s">
        <v>74</v>
      </c>
      <c r="W829" t="s">
        <v>14332</v>
      </c>
      <c r="X829" t="s">
        <v>14333</v>
      </c>
      <c r="Y829" t="s">
        <v>14334</v>
      </c>
      <c r="Z829" t="s">
        <v>14335</v>
      </c>
      <c r="AA829" t="s">
        <v>74</v>
      </c>
      <c r="AB829" t="s">
        <v>14336</v>
      </c>
      <c r="AC829" t="s">
        <v>74</v>
      </c>
      <c r="AD829" t="s">
        <v>74</v>
      </c>
      <c r="AE829" t="s">
        <v>74</v>
      </c>
      <c r="AF829" t="s">
        <v>74</v>
      </c>
      <c r="AG829">
        <v>5</v>
      </c>
      <c r="AH829">
        <v>9</v>
      </c>
      <c r="AI829">
        <v>9</v>
      </c>
      <c r="AJ829">
        <v>0</v>
      </c>
      <c r="AK829">
        <v>0</v>
      </c>
      <c r="AL829" t="s">
        <v>516</v>
      </c>
      <c r="AM829" t="s">
        <v>517</v>
      </c>
      <c r="AN829" t="s">
        <v>518</v>
      </c>
      <c r="AO829" t="s">
        <v>74</v>
      </c>
      <c r="AP829" t="s">
        <v>2751</v>
      </c>
      <c r="AQ829" t="s">
        <v>74</v>
      </c>
      <c r="AR829" t="s">
        <v>2752</v>
      </c>
      <c r="AS829" t="s">
        <v>2753</v>
      </c>
      <c r="AT829" t="s">
        <v>1275</v>
      </c>
      <c r="AU829">
        <v>2021</v>
      </c>
      <c r="AV829">
        <v>5</v>
      </c>
      <c r="AW829" t="s">
        <v>74</v>
      </c>
      <c r="AX829" t="s">
        <v>74</v>
      </c>
      <c r="AY829" t="s">
        <v>74</v>
      </c>
      <c r="AZ829" t="s">
        <v>74</v>
      </c>
      <c r="BA829" t="s">
        <v>74</v>
      </c>
      <c r="BB829">
        <v>98</v>
      </c>
      <c r="BC829">
        <v>100</v>
      </c>
      <c r="BD829" t="s">
        <v>74</v>
      </c>
      <c r="BE829" t="s">
        <v>14337</v>
      </c>
      <c r="BF829" t="str">
        <f>HYPERLINK("http://dx.doi.org/10.1016/j.jdin.2021.09.004","http://dx.doi.org/10.1016/j.jdin.2021.09.004")</f>
        <v>http://dx.doi.org/10.1016/j.jdin.2021.09.004</v>
      </c>
      <c r="BG829" t="s">
        <v>74</v>
      </c>
      <c r="BH829" t="s">
        <v>74</v>
      </c>
      <c r="BI829">
        <v>3</v>
      </c>
      <c r="BJ829" t="s">
        <v>1341</v>
      </c>
      <c r="BK829" t="s">
        <v>125</v>
      </c>
      <c r="BL829" t="s">
        <v>1341</v>
      </c>
      <c r="BM829" t="s">
        <v>14338</v>
      </c>
      <c r="BN829">
        <v>34693364</v>
      </c>
      <c r="BO829" t="s">
        <v>394</v>
      </c>
      <c r="BP829" t="s">
        <v>74</v>
      </c>
      <c r="BQ829" t="s">
        <v>74</v>
      </c>
      <c r="BR829" t="s">
        <v>102</v>
      </c>
      <c r="BS829" t="s">
        <v>14339</v>
      </c>
      <c r="BT829" t="str">
        <f>HYPERLINK("https%3A%2F%2Fwww.webofscience.com%2Fwos%2Fwoscc%2Ffull-record%2FWOS:001226614700017","View Full Record in Web of Science")</f>
        <v>View Full Record in Web of Science</v>
      </c>
    </row>
    <row r="830" spans="1:72" x14ac:dyDescent="0.35">
      <c r="A830" t="s">
        <v>72</v>
      </c>
      <c r="B830" t="s">
        <v>14340</v>
      </c>
      <c r="C830" t="s">
        <v>74</v>
      </c>
      <c r="D830" t="s">
        <v>74</v>
      </c>
      <c r="E830" t="s">
        <v>74</v>
      </c>
      <c r="F830" t="s">
        <v>14341</v>
      </c>
      <c r="G830" t="s">
        <v>74</v>
      </c>
      <c r="H830" t="s">
        <v>74</v>
      </c>
      <c r="I830" t="s">
        <v>14342</v>
      </c>
      <c r="J830" t="s">
        <v>1186</v>
      </c>
      <c r="K830" t="s">
        <v>74</v>
      </c>
      <c r="L830" t="s">
        <v>74</v>
      </c>
      <c r="M830" t="s">
        <v>78</v>
      </c>
      <c r="N830" t="s">
        <v>108</v>
      </c>
      <c r="O830" t="s">
        <v>74</v>
      </c>
      <c r="P830" t="s">
        <v>74</v>
      </c>
      <c r="Q830" t="s">
        <v>74</v>
      </c>
      <c r="R830" t="s">
        <v>74</v>
      </c>
      <c r="S830" t="s">
        <v>74</v>
      </c>
      <c r="T830" t="s">
        <v>14343</v>
      </c>
      <c r="U830" t="s">
        <v>218</v>
      </c>
      <c r="V830" t="s">
        <v>14344</v>
      </c>
      <c r="W830" t="s">
        <v>14345</v>
      </c>
      <c r="X830" t="s">
        <v>14346</v>
      </c>
      <c r="Y830" t="s">
        <v>14347</v>
      </c>
      <c r="Z830" t="s">
        <v>14348</v>
      </c>
      <c r="AA830" t="s">
        <v>14349</v>
      </c>
      <c r="AB830" t="s">
        <v>14350</v>
      </c>
      <c r="AC830" t="s">
        <v>14351</v>
      </c>
      <c r="AD830" t="s">
        <v>14352</v>
      </c>
      <c r="AE830" t="s">
        <v>14353</v>
      </c>
      <c r="AF830" t="s">
        <v>74</v>
      </c>
      <c r="AG830">
        <v>38</v>
      </c>
      <c r="AH830">
        <v>6</v>
      </c>
      <c r="AI830">
        <v>6</v>
      </c>
      <c r="AJ830">
        <v>12</v>
      </c>
      <c r="AK830">
        <v>54</v>
      </c>
      <c r="AL830" t="s">
        <v>1195</v>
      </c>
      <c r="AM830" t="s">
        <v>1196</v>
      </c>
      <c r="AN830" t="s">
        <v>1197</v>
      </c>
      <c r="AO830" t="s">
        <v>74</v>
      </c>
      <c r="AP830" t="s">
        <v>1198</v>
      </c>
      <c r="AQ830" t="s">
        <v>74</v>
      </c>
      <c r="AR830" t="s">
        <v>1199</v>
      </c>
      <c r="AS830" t="s">
        <v>1200</v>
      </c>
      <c r="AT830" t="s">
        <v>594</v>
      </c>
      <c r="AU830">
        <v>2022</v>
      </c>
      <c r="AV830">
        <v>19</v>
      </c>
      <c r="AW830">
        <v>20</v>
      </c>
      <c r="AX830" t="s">
        <v>74</v>
      </c>
      <c r="AY830" t="s">
        <v>74</v>
      </c>
      <c r="AZ830" t="s">
        <v>74</v>
      </c>
      <c r="BA830" t="s">
        <v>74</v>
      </c>
      <c r="BB830" t="s">
        <v>74</v>
      </c>
      <c r="BC830" t="s">
        <v>74</v>
      </c>
      <c r="BD830">
        <v>13287</v>
      </c>
      <c r="BE830" t="s">
        <v>14354</v>
      </c>
      <c r="BF830" t="str">
        <f>HYPERLINK("http://dx.doi.org/10.3390/ijerph192013287","http://dx.doi.org/10.3390/ijerph192013287")</f>
        <v>http://dx.doi.org/10.3390/ijerph192013287</v>
      </c>
      <c r="BG830" t="s">
        <v>74</v>
      </c>
      <c r="BH830" t="s">
        <v>74</v>
      </c>
      <c r="BI830">
        <v>15</v>
      </c>
      <c r="BJ830" t="s">
        <v>1202</v>
      </c>
      <c r="BK830" t="s">
        <v>182</v>
      </c>
      <c r="BL830" t="s">
        <v>1203</v>
      </c>
      <c r="BM830" t="s">
        <v>14355</v>
      </c>
      <c r="BN830">
        <v>36293868</v>
      </c>
      <c r="BO830" t="s">
        <v>394</v>
      </c>
      <c r="BP830" t="s">
        <v>74</v>
      </c>
      <c r="BQ830" t="s">
        <v>74</v>
      </c>
      <c r="BR830" t="s">
        <v>102</v>
      </c>
      <c r="BS830" t="s">
        <v>14356</v>
      </c>
      <c r="BT830" t="str">
        <f>HYPERLINK("https%3A%2F%2Fwww.webofscience.com%2Fwos%2Fwoscc%2Ffull-record%2FWOS:000875254600001","View Full Record in Web of Science")</f>
        <v>View Full Record in Web of Science</v>
      </c>
    </row>
    <row r="831" spans="1:72" x14ac:dyDescent="0.35">
      <c r="A831" t="s">
        <v>72</v>
      </c>
      <c r="B831" t="s">
        <v>14357</v>
      </c>
      <c r="C831" t="s">
        <v>74</v>
      </c>
      <c r="D831" t="s">
        <v>74</v>
      </c>
      <c r="E831" t="s">
        <v>74</v>
      </c>
      <c r="F831" t="s">
        <v>14358</v>
      </c>
      <c r="G831" t="s">
        <v>74</v>
      </c>
      <c r="H831" t="s">
        <v>74</v>
      </c>
      <c r="I831" t="s">
        <v>14359</v>
      </c>
      <c r="J831" t="s">
        <v>14360</v>
      </c>
      <c r="K831" t="s">
        <v>74</v>
      </c>
      <c r="L831" t="s">
        <v>74</v>
      </c>
      <c r="M831" t="s">
        <v>78</v>
      </c>
      <c r="N831" t="s">
        <v>108</v>
      </c>
      <c r="O831" t="s">
        <v>74</v>
      </c>
      <c r="P831" t="s">
        <v>74</v>
      </c>
      <c r="Q831" t="s">
        <v>74</v>
      </c>
      <c r="R831" t="s">
        <v>74</v>
      </c>
      <c r="S831" t="s">
        <v>74</v>
      </c>
      <c r="T831" t="s">
        <v>14361</v>
      </c>
      <c r="U831" t="s">
        <v>74</v>
      </c>
      <c r="V831" t="s">
        <v>14362</v>
      </c>
      <c r="W831" t="s">
        <v>14363</v>
      </c>
      <c r="X831" t="s">
        <v>14364</v>
      </c>
      <c r="Y831" t="s">
        <v>14365</v>
      </c>
      <c r="Z831" t="s">
        <v>14366</v>
      </c>
      <c r="AA831" t="s">
        <v>14367</v>
      </c>
      <c r="AB831" t="s">
        <v>14368</v>
      </c>
      <c r="AC831" t="s">
        <v>74</v>
      </c>
      <c r="AD831" t="s">
        <v>74</v>
      </c>
      <c r="AE831" t="s">
        <v>74</v>
      </c>
      <c r="AF831" t="s">
        <v>74</v>
      </c>
      <c r="AG831">
        <v>32</v>
      </c>
      <c r="AH831">
        <v>22</v>
      </c>
      <c r="AI831">
        <v>23</v>
      </c>
      <c r="AJ831">
        <v>1</v>
      </c>
      <c r="AK831">
        <v>33</v>
      </c>
      <c r="AL831" t="s">
        <v>14369</v>
      </c>
      <c r="AM831" t="s">
        <v>5232</v>
      </c>
      <c r="AN831" t="s">
        <v>14370</v>
      </c>
      <c r="AO831" t="s">
        <v>14371</v>
      </c>
      <c r="AP831" t="s">
        <v>14372</v>
      </c>
      <c r="AQ831" t="s">
        <v>74</v>
      </c>
      <c r="AR831" t="s">
        <v>14360</v>
      </c>
      <c r="AS831" t="s">
        <v>14373</v>
      </c>
      <c r="AT831" t="s">
        <v>74</v>
      </c>
      <c r="AU831">
        <v>2020</v>
      </c>
      <c r="AV831" t="s">
        <v>74</v>
      </c>
      <c r="AW831">
        <v>47</v>
      </c>
      <c r="AX831" t="s">
        <v>74</v>
      </c>
      <c r="AY831" t="s">
        <v>74</v>
      </c>
      <c r="AZ831" t="s">
        <v>74</v>
      </c>
      <c r="BA831" t="s">
        <v>74</v>
      </c>
      <c r="BB831">
        <v>105</v>
      </c>
      <c r="BC831">
        <v>122</v>
      </c>
      <c r="BD831" t="s">
        <v>74</v>
      </c>
      <c r="BE831" t="s">
        <v>74</v>
      </c>
      <c r="BF831" t="s">
        <v>74</v>
      </c>
      <c r="BG831" t="s">
        <v>74</v>
      </c>
      <c r="BH831" t="s">
        <v>74</v>
      </c>
      <c r="BI831">
        <v>18</v>
      </c>
      <c r="BJ831" t="s">
        <v>124</v>
      </c>
      <c r="BK831" t="s">
        <v>125</v>
      </c>
      <c r="BL831" t="s">
        <v>124</v>
      </c>
      <c r="BM831" t="s">
        <v>14374</v>
      </c>
      <c r="BN831" t="s">
        <v>74</v>
      </c>
      <c r="BO831" t="s">
        <v>74</v>
      </c>
      <c r="BP831" t="s">
        <v>74</v>
      </c>
      <c r="BQ831" t="s">
        <v>74</v>
      </c>
      <c r="BR831" t="s">
        <v>102</v>
      </c>
      <c r="BS831" t="s">
        <v>14375</v>
      </c>
      <c r="BT831" t="str">
        <f>HYPERLINK("https%3A%2F%2Fwww.webofscience.com%2Fwos%2Fwoscc%2Ffull-record%2FWOS:000619663100007","View Full Record in Web of Science")</f>
        <v>View Full Record in Web of Science</v>
      </c>
    </row>
    <row r="832" spans="1:72" x14ac:dyDescent="0.35">
      <c r="A832" t="s">
        <v>72</v>
      </c>
      <c r="B832" t="s">
        <v>14376</v>
      </c>
      <c r="C832" t="s">
        <v>74</v>
      </c>
      <c r="D832" t="s">
        <v>74</v>
      </c>
      <c r="E832" t="s">
        <v>74</v>
      </c>
      <c r="F832" t="s">
        <v>14377</v>
      </c>
      <c r="G832" t="s">
        <v>74</v>
      </c>
      <c r="H832" t="s">
        <v>74</v>
      </c>
      <c r="I832" t="s">
        <v>14378</v>
      </c>
      <c r="J832" t="s">
        <v>11302</v>
      </c>
      <c r="K832" t="s">
        <v>74</v>
      </c>
      <c r="L832" t="s">
        <v>74</v>
      </c>
      <c r="M832" t="s">
        <v>78</v>
      </c>
      <c r="N832" t="s">
        <v>108</v>
      </c>
      <c r="O832" t="s">
        <v>74</v>
      </c>
      <c r="P832" t="s">
        <v>74</v>
      </c>
      <c r="Q832" t="s">
        <v>74</v>
      </c>
      <c r="R832" t="s">
        <v>74</v>
      </c>
      <c r="S832" t="s">
        <v>74</v>
      </c>
      <c r="T832" t="s">
        <v>14379</v>
      </c>
      <c r="U832" t="s">
        <v>14380</v>
      </c>
      <c r="V832" t="s">
        <v>14381</v>
      </c>
      <c r="W832" t="s">
        <v>14382</v>
      </c>
      <c r="X832" t="s">
        <v>14383</v>
      </c>
      <c r="Y832" t="s">
        <v>14384</v>
      </c>
      <c r="Z832" t="s">
        <v>14385</v>
      </c>
      <c r="AA832" t="s">
        <v>14386</v>
      </c>
      <c r="AB832" t="s">
        <v>14387</v>
      </c>
      <c r="AC832" t="s">
        <v>74</v>
      </c>
      <c r="AD832" t="s">
        <v>74</v>
      </c>
      <c r="AE832" t="s">
        <v>74</v>
      </c>
      <c r="AF832" t="s">
        <v>74</v>
      </c>
      <c r="AG832">
        <v>59</v>
      </c>
      <c r="AH832">
        <v>13</v>
      </c>
      <c r="AI832">
        <v>13</v>
      </c>
      <c r="AJ832">
        <v>2</v>
      </c>
      <c r="AK832">
        <v>35</v>
      </c>
      <c r="AL832" t="s">
        <v>226</v>
      </c>
      <c r="AM832" t="s">
        <v>227</v>
      </c>
      <c r="AN832" t="s">
        <v>228</v>
      </c>
      <c r="AO832" t="s">
        <v>11310</v>
      </c>
      <c r="AP832" t="s">
        <v>11311</v>
      </c>
      <c r="AQ832" t="s">
        <v>74</v>
      </c>
      <c r="AR832" t="s">
        <v>11312</v>
      </c>
      <c r="AS832" t="s">
        <v>11313</v>
      </c>
      <c r="AT832" t="s">
        <v>1484</v>
      </c>
      <c r="AU832">
        <v>2024</v>
      </c>
      <c r="AV832">
        <v>60</v>
      </c>
      <c r="AW832">
        <v>1</v>
      </c>
      <c r="AX832" t="s">
        <v>74</v>
      </c>
      <c r="AY832" t="s">
        <v>74</v>
      </c>
      <c r="AZ832" t="s">
        <v>74</v>
      </c>
      <c r="BA832" t="s">
        <v>74</v>
      </c>
      <c r="BB832">
        <v>121</v>
      </c>
      <c r="BC832">
        <v>137</v>
      </c>
      <c r="BD832" t="s">
        <v>74</v>
      </c>
      <c r="BE832" t="s">
        <v>14388</v>
      </c>
      <c r="BF832" t="str">
        <f>HYPERLINK("http://dx.doi.org/10.1177/14407833221110267","http://dx.doi.org/10.1177/14407833221110267")</f>
        <v>http://dx.doi.org/10.1177/14407833221110267</v>
      </c>
      <c r="BG832" t="s">
        <v>74</v>
      </c>
      <c r="BH832" t="s">
        <v>2175</v>
      </c>
      <c r="BI832">
        <v>17</v>
      </c>
      <c r="BJ832" t="s">
        <v>4573</v>
      </c>
      <c r="BK832" t="s">
        <v>99</v>
      </c>
      <c r="BL832" t="s">
        <v>4573</v>
      </c>
      <c r="BM832" t="s">
        <v>14389</v>
      </c>
      <c r="BN832" t="s">
        <v>74</v>
      </c>
      <c r="BO832" t="s">
        <v>74</v>
      </c>
      <c r="BP832" t="s">
        <v>74</v>
      </c>
      <c r="BQ832" t="s">
        <v>74</v>
      </c>
      <c r="BR832" t="s">
        <v>102</v>
      </c>
      <c r="BS832" t="s">
        <v>14390</v>
      </c>
      <c r="BT832" t="str">
        <f>HYPERLINK("https%3A%2F%2Fwww.webofscience.com%2Fwos%2Fwoscc%2Ffull-record%2FWOS:000824785200001","View Full Record in Web of Science")</f>
        <v>View Full Record in Web of Science</v>
      </c>
    </row>
    <row r="833" spans="1:72" x14ac:dyDescent="0.35">
      <c r="A833" t="s">
        <v>72</v>
      </c>
      <c r="B833" t="s">
        <v>14391</v>
      </c>
      <c r="C833" t="s">
        <v>74</v>
      </c>
      <c r="D833" t="s">
        <v>74</v>
      </c>
      <c r="E833" t="s">
        <v>74</v>
      </c>
      <c r="F833" t="s">
        <v>14392</v>
      </c>
      <c r="G833" t="s">
        <v>74</v>
      </c>
      <c r="H833" t="s">
        <v>74</v>
      </c>
      <c r="I833" t="s">
        <v>14393</v>
      </c>
      <c r="J833" t="s">
        <v>1603</v>
      </c>
      <c r="K833" t="s">
        <v>74</v>
      </c>
      <c r="L833" t="s">
        <v>74</v>
      </c>
      <c r="M833" t="s">
        <v>78</v>
      </c>
      <c r="N833" t="s">
        <v>108</v>
      </c>
      <c r="O833" t="s">
        <v>74</v>
      </c>
      <c r="P833" t="s">
        <v>74</v>
      </c>
      <c r="Q833" t="s">
        <v>74</v>
      </c>
      <c r="R833" t="s">
        <v>74</v>
      </c>
      <c r="S833" t="s">
        <v>74</v>
      </c>
      <c r="T833" t="s">
        <v>14394</v>
      </c>
      <c r="U833" t="s">
        <v>14395</v>
      </c>
      <c r="V833" t="s">
        <v>14396</v>
      </c>
      <c r="W833" t="s">
        <v>14397</v>
      </c>
      <c r="X833" t="s">
        <v>1410</v>
      </c>
      <c r="Y833" t="s">
        <v>14398</v>
      </c>
      <c r="Z833" t="s">
        <v>14399</v>
      </c>
      <c r="AA833" t="s">
        <v>14400</v>
      </c>
      <c r="AB833" t="s">
        <v>14401</v>
      </c>
      <c r="AC833" t="s">
        <v>74</v>
      </c>
      <c r="AD833" t="s">
        <v>74</v>
      </c>
      <c r="AE833" t="s">
        <v>74</v>
      </c>
      <c r="AF833" t="s">
        <v>74</v>
      </c>
      <c r="AG833">
        <v>46</v>
      </c>
      <c r="AH833">
        <v>12</v>
      </c>
      <c r="AI833">
        <v>12</v>
      </c>
      <c r="AJ833">
        <v>7</v>
      </c>
      <c r="AK833">
        <v>14</v>
      </c>
      <c r="AL833" t="s">
        <v>516</v>
      </c>
      <c r="AM833" t="s">
        <v>517</v>
      </c>
      <c r="AN833" t="s">
        <v>518</v>
      </c>
      <c r="AO833" t="s">
        <v>1612</v>
      </c>
      <c r="AP833" t="s">
        <v>1613</v>
      </c>
      <c r="AQ833" t="s">
        <v>74</v>
      </c>
      <c r="AR833" t="s">
        <v>1603</v>
      </c>
      <c r="AS833" t="s">
        <v>1614</v>
      </c>
      <c r="AT833" t="s">
        <v>1275</v>
      </c>
      <c r="AU833">
        <v>2023</v>
      </c>
      <c r="AV833">
        <v>47</v>
      </c>
      <c r="AW833" t="s">
        <v>74</v>
      </c>
      <c r="AX833" t="s">
        <v>74</v>
      </c>
      <c r="AY833" t="s">
        <v>74</v>
      </c>
      <c r="AZ833" t="s">
        <v>74</v>
      </c>
      <c r="BA833" t="s">
        <v>74</v>
      </c>
      <c r="BB833" t="s">
        <v>74</v>
      </c>
      <c r="BC833" t="s">
        <v>74</v>
      </c>
      <c r="BD833">
        <v>101629</v>
      </c>
      <c r="BE833" t="s">
        <v>14402</v>
      </c>
      <c r="BF833" t="str">
        <f>HYPERLINK("http://dx.doi.org/10.1016/j.bodyim.2023.101629","http://dx.doi.org/10.1016/j.bodyim.2023.101629")</f>
        <v>http://dx.doi.org/10.1016/j.bodyim.2023.101629</v>
      </c>
      <c r="BG833" t="s">
        <v>74</v>
      </c>
      <c r="BH833" t="s">
        <v>2929</v>
      </c>
      <c r="BI833">
        <v>9</v>
      </c>
      <c r="BJ833" t="s">
        <v>1616</v>
      </c>
      <c r="BK833" t="s">
        <v>99</v>
      </c>
      <c r="BL833" t="s">
        <v>1617</v>
      </c>
      <c r="BM833" t="s">
        <v>14403</v>
      </c>
      <c r="BN833">
        <v>37742535</v>
      </c>
      <c r="BO833" t="s">
        <v>1343</v>
      </c>
      <c r="BP833" t="s">
        <v>74</v>
      </c>
      <c r="BQ833" t="s">
        <v>74</v>
      </c>
      <c r="BR833" t="s">
        <v>102</v>
      </c>
      <c r="BS833" t="s">
        <v>14404</v>
      </c>
      <c r="BT833" t="str">
        <f>HYPERLINK("https%3A%2F%2Fwww.webofscience.com%2Fwos%2Fwoscc%2Ffull-record%2FWOS:001137901900001","View Full Record in Web of Science")</f>
        <v>View Full Record in Web of Science</v>
      </c>
    </row>
    <row r="834" spans="1:72" x14ac:dyDescent="0.35">
      <c r="A834" t="s">
        <v>72</v>
      </c>
      <c r="B834" t="s">
        <v>14405</v>
      </c>
      <c r="C834" t="s">
        <v>74</v>
      </c>
      <c r="D834" t="s">
        <v>74</v>
      </c>
      <c r="E834" t="s">
        <v>74</v>
      </c>
      <c r="F834" t="s">
        <v>14406</v>
      </c>
      <c r="G834" t="s">
        <v>74</v>
      </c>
      <c r="H834" t="s">
        <v>74</v>
      </c>
      <c r="I834" t="s">
        <v>14407</v>
      </c>
      <c r="J834" t="s">
        <v>6288</v>
      </c>
      <c r="K834" t="s">
        <v>74</v>
      </c>
      <c r="L834" t="s">
        <v>74</v>
      </c>
      <c r="M834" t="s">
        <v>78</v>
      </c>
      <c r="N834" t="s">
        <v>1328</v>
      </c>
      <c r="O834" t="s">
        <v>74</v>
      </c>
      <c r="P834" t="s">
        <v>74</v>
      </c>
      <c r="Q834" t="s">
        <v>74</v>
      </c>
      <c r="R834" t="s">
        <v>74</v>
      </c>
      <c r="S834" t="s">
        <v>74</v>
      </c>
      <c r="T834" t="s">
        <v>74</v>
      </c>
      <c r="U834" t="s">
        <v>74</v>
      </c>
      <c r="V834" t="s">
        <v>74</v>
      </c>
      <c r="W834" t="s">
        <v>14408</v>
      </c>
      <c r="X834" t="s">
        <v>14409</v>
      </c>
      <c r="Y834" t="s">
        <v>14410</v>
      </c>
      <c r="Z834" t="s">
        <v>74</v>
      </c>
      <c r="AA834" t="s">
        <v>74</v>
      </c>
      <c r="AB834" t="s">
        <v>14411</v>
      </c>
      <c r="AC834" t="s">
        <v>74</v>
      </c>
      <c r="AD834" t="s">
        <v>74</v>
      </c>
      <c r="AE834" t="s">
        <v>74</v>
      </c>
      <c r="AF834" t="s">
        <v>74</v>
      </c>
      <c r="AG834">
        <v>5</v>
      </c>
      <c r="AH834">
        <v>7</v>
      </c>
      <c r="AI834">
        <v>7</v>
      </c>
      <c r="AJ834">
        <v>2</v>
      </c>
      <c r="AK834">
        <v>8</v>
      </c>
      <c r="AL834" t="s">
        <v>1965</v>
      </c>
      <c r="AM834" t="s">
        <v>666</v>
      </c>
      <c r="AN834" t="s">
        <v>1966</v>
      </c>
      <c r="AO834" t="s">
        <v>6297</v>
      </c>
      <c r="AP834" t="s">
        <v>6298</v>
      </c>
      <c r="AQ834" t="s">
        <v>74</v>
      </c>
      <c r="AR834" t="s">
        <v>6299</v>
      </c>
      <c r="AS834" t="s">
        <v>6300</v>
      </c>
      <c r="AT834" t="s">
        <v>1484</v>
      </c>
      <c r="AU834">
        <v>2022</v>
      </c>
      <c r="AV834">
        <v>70</v>
      </c>
      <c r="AW834">
        <v>3</v>
      </c>
      <c r="AX834" t="s">
        <v>74</v>
      </c>
      <c r="AY834" t="s">
        <v>74</v>
      </c>
      <c r="AZ834" t="s">
        <v>74</v>
      </c>
      <c r="BA834" t="s">
        <v>74</v>
      </c>
      <c r="BB834">
        <v>514</v>
      </c>
      <c r="BC834">
        <v>514</v>
      </c>
      <c r="BD834" t="s">
        <v>74</v>
      </c>
      <c r="BE834" t="s">
        <v>14412</v>
      </c>
      <c r="BF834" t="str">
        <f>HYPERLINK("http://dx.doi.org/10.1016/j.jadohealth.2021.12.004","http://dx.doi.org/10.1016/j.jadohealth.2021.12.004")</f>
        <v>http://dx.doi.org/10.1016/j.jadohealth.2021.12.004</v>
      </c>
      <c r="BG834" t="s">
        <v>74</v>
      </c>
      <c r="BH834" t="s">
        <v>259</v>
      </c>
      <c r="BI834">
        <v>1</v>
      </c>
      <c r="BJ834" t="s">
        <v>6302</v>
      </c>
      <c r="BK834" t="s">
        <v>182</v>
      </c>
      <c r="BL834" t="s">
        <v>6303</v>
      </c>
      <c r="BM834" t="s">
        <v>14413</v>
      </c>
      <c r="BN834">
        <v>35183320</v>
      </c>
      <c r="BO834" t="s">
        <v>2194</v>
      </c>
      <c r="BP834" t="s">
        <v>74</v>
      </c>
      <c r="BQ834" t="s">
        <v>74</v>
      </c>
      <c r="BR834" t="s">
        <v>102</v>
      </c>
      <c r="BS834" t="s">
        <v>14414</v>
      </c>
      <c r="BT834" t="str">
        <f>HYPERLINK("https%3A%2F%2Fwww.webofscience.com%2Fwos%2Fwoscc%2Ffull-record%2FWOS:000760316700026","View Full Record in Web of Science")</f>
        <v>View Full Record in Web of Science</v>
      </c>
    </row>
    <row r="835" spans="1:72" x14ac:dyDescent="0.35">
      <c r="A835" t="s">
        <v>72</v>
      </c>
      <c r="B835" t="s">
        <v>14415</v>
      </c>
      <c r="C835" t="s">
        <v>74</v>
      </c>
      <c r="D835" t="s">
        <v>74</v>
      </c>
      <c r="E835" t="s">
        <v>74</v>
      </c>
      <c r="F835" t="s">
        <v>14416</v>
      </c>
      <c r="G835" t="s">
        <v>74</v>
      </c>
      <c r="H835" t="s">
        <v>74</v>
      </c>
      <c r="I835" t="s">
        <v>14417</v>
      </c>
      <c r="J835" t="s">
        <v>9249</v>
      </c>
      <c r="K835" t="s">
        <v>74</v>
      </c>
      <c r="L835" t="s">
        <v>74</v>
      </c>
      <c r="M835" t="s">
        <v>78</v>
      </c>
      <c r="N835" t="s">
        <v>52</v>
      </c>
      <c r="O835" t="s">
        <v>12287</v>
      </c>
      <c r="P835" t="s">
        <v>12288</v>
      </c>
      <c r="Q835" t="s">
        <v>12289</v>
      </c>
      <c r="R835" t="s">
        <v>12290</v>
      </c>
      <c r="S835" t="s">
        <v>74</v>
      </c>
      <c r="T835" t="s">
        <v>74</v>
      </c>
      <c r="U835" t="s">
        <v>74</v>
      </c>
      <c r="V835" t="s">
        <v>74</v>
      </c>
      <c r="W835" t="s">
        <v>14418</v>
      </c>
      <c r="X835" t="s">
        <v>14419</v>
      </c>
      <c r="Y835" t="s">
        <v>74</v>
      </c>
      <c r="Z835" t="s">
        <v>14420</v>
      </c>
      <c r="AA835" t="s">
        <v>14421</v>
      </c>
      <c r="AB835" t="s">
        <v>74</v>
      </c>
      <c r="AC835" t="s">
        <v>74</v>
      </c>
      <c r="AD835" t="s">
        <v>74</v>
      </c>
      <c r="AE835" t="s">
        <v>74</v>
      </c>
      <c r="AF835" t="s">
        <v>74</v>
      </c>
      <c r="AG835">
        <v>0</v>
      </c>
      <c r="AH835">
        <v>0</v>
      </c>
      <c r="AI835">
        <v>0</v>
      </c>
      <c r="AJ835">
        <v>2</v>
      </c>
      <c r="AK835">
        <v>10</v>
      </c>
      <c r="AL835" t="s">
        <v>1965</v>
      </c>
      <c r="AM835" t="s">
        <v>666</v>
      </c>
      <c r="AN835" t="s">
        <v>1966</v>
      </c>
      <c r="AO835" t="s">
        <v>9256</v>
      </c>
      <c r="AP835" t="s">
        <v>9257</v>
      </c>
      <c r="AQ835" t="s">
        <v>74</v>
      </c>
      <c r="AR835" t="s">
        <v>9258</v>
      </c>
      <c r="AS835" t="s">
        <v>9259</v>
      </c>
      <c r="AT835" t="s">
        <v>594</v>
      </c>
      <c r="AU835">
        <v>2023</v>
      </c>
      <c r="AV835">
        <v>62</v>
      </c>
      <c r="AW835">
        <v>10</v>
      </c>
      <c r="AX835" t="s">
        <v>74</v>
      </c>
      <c r="AY835">
        <v>1</v>
      </c>
      <c r="AZ835" t="s">
        <v>74</v>
      </c>
      <c r="BA835">
        <v>46.2</v>
      </c>
      <c r="BB835" t="s">
        <v>14422</v>
      </c>
      <c r="BC835" t="s">
        <v>14422</v>
      </c>
      <c r="BD835" t="s">
        <v>74</v>
      </c>
      <c r="BE835" t="s">
        <v>14423</v>
      </c>
      <c r="BF835" t="str">
        <f>HYPERLINK("http://dx.doi.org/10.1016/j.jaac.2023.07.882","http://dx.doi.org/10.1016/j.jaac.2023.07.882")</f>
        <v>http://dx.doi.org/10.1016/j.jaac.2023.07.882</v>
      </c>
      <c r="BG835" t="s">
        <v>74</v>
      </c>
      <c r="BH835" t="s">
        <v>207</v>
      </c>
      <c r="BI835">
        <v>1</v>
      </c>
      <c r="BJ835" t="s">
        <v>5098</v>
      </c>
      <c r="BK835" t="s">
        <v>3030</v>
      </c>
      <c r="BL835" t="s">
        <v>5099</v>
      </c>
      <c r="BM835" t="s">
        <v>12296</v>
      </c>
      <c r="BN835" t="s">
        <v>74</v>
      </c>
      <c r="BO835" t="s">
        <v>74</v>
      </c>
      <c r="BP835" t="s">
        <v>74</v>
      </c>
      <c r="BQ835" t="s">
        <v>74</v>
      </c>
      <c r="BR835" t="s">
        <v>102</v>
      </c>
      <c r="BS835" t="s">
        <v>14424</v>
      </c>
      <c r="BT835" t="str">
        <f>HYPERLINK("https%3A%2F%2Fwww.webofscience.com%2Fwos%2Fwoscc%2Ffull-record%2FWOS:001098830401589","View Full Record in Web of Science")</f>
        <v>View Full Record in Web of Science</v>
      </c>
    </row>
    <row r="836" spans="1:72" x14ac:dyDescent="0.35">
      <c r="A836" t="s">
        <v>72</v>
      </c>
      <c r="B836" t="s">
        <v>14425</v>
      </c>
      <c r="C836" t="s">
        <v>74</v>
      </c>
      <c r="D836" t="s">
        <v>74</v>
      </c>
      <c r="E836" t="s">
        <v>74</v>
      </c>
      <c r="F836" t="s">
        <v>14426</v>
      </c>
      <c r="G836" t="s">
        <v>74</v>
      </c>
      <c r="H836" t="s">
        <v>74</v>
      </c>
      <c r="I836" t="s">
        <v>14427</v>
      </c>
      <c r="J836" t="s">
        <v>14428</v>
      </c>
      <c r="K836" t="s">
        <v>74</v>
      </c>
      <c r="L836" t="s">
        <v>74</v>
      </c>
      <c r="M836" t="s">
        <v>3503</v>
      </c>
      <c r="N836" t="s">
        <v>108</v>
      </c>
      <c r="O836" t="s">
        <v>74</v>
      </c>
      <c r="P836" t="s">
        <v>74</v>
      </c>
      <c r="Q836" t="s">
        <v>74</v>
      </c>
      <c r="R836" t="s">
        <v>74</v>
      </c>
      <c r="S836" t="s">
        <v>74</v>
      </c>
      <c r="T836" t="s">
        <v>14429</v>
      </c>
      <c r="U836" t="s">
        <v>14430</v>
      </c>
      <c r="V836" t="s">
        <v>14431</v>
      </c>
      <c r="W836" t="s">
        <v>14432</v>
      </c>
      <c r="X836" t="s">
        <v>14433</v>
      </c>
      <c r="Y836" t="s">
        <v>14434</v>
      </c>
      <c r="Z836" t="s">
        <v>13768</v>
      </c>
      <c r="AA836" t="s">
        <v>14435</v>
      </c>
      <c r="AB836" t="s">
        <v>14436</v>
      </c>
      <c r="AC836" t="s">
        <v>74</v>
      </c>
      <c r="AD836" t="s">
        <v>74</v>
      </c>
      <c r="AE836" t="s">
        <v>74</v>
      </c>
      <c r="AF836" t="s">
        <v>74</v>
      </c>
      <c r="AG836">
        <v>79</v>
      </c>
      <c r="AH836">
        <v>0</v>
      </c>
      <c r="AI836">
        <v>0</v>
      </c>
      <c r="AJ836">
        <v>5</v>
      </c>
      <c r="AK836">
        <v>13</v>
      </c>
      <c r="AL836" t="s">
        <v>14437</v>
      </c>
      <c r="AM836" t="s">
        <v>6529</v>
      </c>
      <c r="AN836" t="s">
        <v>14438</v>
      </c>
      <c r="AO836" t="s">
        <v>14439</v>
      </c>
      <c r="AP836" t="s">
        <v>14440</v>
      </c>
      <c r="AQ836" t="s">
        <v>74</v>
      </c>
      <c r="AR836" t="s">
        <v>14441</v>
      </c>
      <c r="AS836" t="s">
        <v>14442</v>
      </c>
      <c r="AT836" t="s">
        <v>74</v>
      </c>
      <c r="AU836">
        <v>2022</v>
      </c>
      <c r="AV836">
        <v>27</v>
      </c>
      <c r="AW836">
        <v>2</v>
      </c>
      <c r="AX836" t="s">
        <v>74</v>
      </c>
      <c r="AY836" t="s">
        <v>74</v>
      </c>
      <c r="AZ836" t="s">
        <v>74</v>
      </c>
      <c r="BA836" t="s">
        <v>74</v>
      </c>
      <c r="BB836">
        <v>401</v>
      </c>
      <c r="BC836">
        <v>413</v>
      </c>
      <c r="BD836" t="s">
        <v>74</v>
      </c>
      <c r="BE836" t="s">
        <v>14443</v>
      </c>
      <c r="BF836" t="str">
        <f>HYPERLINK("http://dx.doi.org/10.5209/hics.84389","http://dx.doi.org/10.5209/hics.84389")</f>
        <v>http://dx.doi.org/10.5209/hics.84389</v>
      </c>
      <c r="BG836" t="s">
        <v>74</v>
      </c>
      <c r="BH836" t="s">
        <v>74</v>
      </c>
      <c r="BI836">
        <v>13</v>
      </c>
      <c r="BJ836" t="s">
        <v>14444</v>
      </c>
      <c r="BK836" t="s">
        <v>316</v>
      </c>
      <c r="BL836" t="s">
        <v>14445</v>
      </c>
      <c r="BM836" t="s">
        <v>14446</v>
      </c>
      <c r="BN836" t="s">
        <v>74</v>
      </c>
      <c r="BO836" t="s">
        <v>235</v>
      </c>
      <c r="BP836" t="s">
        <v>74</v>
      </c>
      <c r="BQ836" t="s">
        <v>74</v>
      </c>
      <c r="BR836" t="s">
        <v>102</v>
      </c>
      <c r="BS836" t="s">
        <v>14447</v>
      </c>
      <c r="BT836" t="str">
        <f>HYPERLINK("https%3A%2F%2Fwww.webofscience.com%2Fwos%2Fwoscc%2Ffull-record%2FWOS:000965478900003","View Full Record in Web of Science")</f>
        <v>View Full Record in Web of Science</v>
      </c>
    </row>
    <row r="837" spans="1:72" x14ac:dyDescent="0.35">
      <c r="A837" t="s">
        <v>72</v>
      </c>
      <c r="B837" t="s">
        <v>14448</v>
      </c>
      <c r="C837" t="s">
        <v>74</v>
      </c>
      <c r="D837" t="s">
        <v>74</v>
      </c>
      <c r="E837" t="s">
        <v>74</v>
      </c>
      <c r="F837" t="s">
        <v>14449</v>
      </c>
      <c r="G837" t="s">
        <v>74</v>
      </c>
      <c r="H837" t="s">
        <v>74</v>
      </c>
      <c r="I837" t="s">
        <v>14450</v>
      </c>
      <c r="J837" t="s">
        <v>14451</v>
      </c>
      <c r="K837" t="s">
        <v>74</v>
      </c>
      <c r="L837" t="s">
        <v>74</v>
      </c>
      <c r="M837" t="s">
        <v>78</v>
      </c>
      <c r="N837" t="s">
        <v>79</v>
      </c>
      <c r="O837" t="s">
        <v>74</v>
      </c>
      <c r="P837" t="s">
        <v>74</v>
      </c>
      <c r="Q837" t="s">
        <v>74</v>
      </c>
      <c r="R837" t="s">
        <v>74</v>
      </c>
      <c r="S837" t="s">
        <v>74</v>
      </c>
      <c r="T837" t="s">
        <v>14452</v>
      </c>
      <c r="U837" t="s">
        <v>14453</v>
      </c>
      <c r="V837" t="s">
        <v>14454</v>
      </c>
      <c r="W837" t="s">
        <v>14455</v>
      </c>
      <c r="X837" t="s">
        <v>14456</v>
      </c>
      <c r="Y837" t="s">
        <v>14457</v>
      </c>
      <c r="Z837" t="s">
        <v>14458</v>
      </c>
      <c r="AA837" t="s">
        <v>74</v>
      </c>
      <c r="AB837" t="s">
        <v>14459</v>
      </c>
      <c r="AC837" t="s">
        <v>14460</v>
      </c>
      <c r="AD837" t="s">
        <v>1108</v>
      </c>
      <c r="AE837" t="s">
        <v>14461</v>
      </c>
      <c r="AF837" t="s">
        <v>74</v>
      </c>
      <c r="AG837">
        <v>64</v>
      </c>
      <c r="AH837">
        <v>0</v>
      </c>
      <c r="AI837">
        <v>0</v>
      </c>
      <c r="AJ837">
        <v>2</v>
      </c>
      <c r="AK837">
        <v>2</v>
      </c>
      <c r="AL837" t="s">
        <v>88</v>
      </c>
      <c r="AM837" t="s">
        <v>89</v>
      </c>
      <c r="AN837" t="s">
        <v>90</v>
      </c>
      <c r="AO837" t="s">
        <v>14462</v>
      </c>
      <c r="AP837" t="s">
        <v>14463</v>
      </c>
      <c r="AQ837" t="s">
        <v>74</v>
      </c>
      <c r="AR837" t="s">
        <v>14464</v>
      </c>
      <c r="AS837" t="s">
        <v>14465</v>
      </c>
      <c r="AT837" t="s">
        <v>3415</v>
      </c>
      <c r="AU837">
        <v>2024</v>
      </c>
      <c r="AV837" t="s">
        <v>74</v>
      </c>
      <c r="AW837" t="s">
        <v>74</v>
      </c>
      <c r="AX837" t="s">
        <v>74</v>
      </c>
      <c r="AY837" t="s">
        <v>74</v>
      </c>
      <c r="AZ837" t="s">
        <v>74</v>
      </c>
      <c r="BA837" t="s">
        <v>74</v>
      </c>
      <c r="BB837" t="s">
        <v>74</v>
      </c>
      <c r="BC837" t="s">
        <v>74</v>
      </c>
      <c r="BD837" t="s">
        <v>74</v>
      </c>
      <c r="BE837" t="s">
        <v>14466</v>
      </c>
      <c r="BF837" t="str">
        <f>HYPERLINK("http://dx.doi.org/10.1080/14742837.2024.2415672","http://dx.doi.org/10.1080/14742837.2024.2415672")</f>
        <v>http://dx.doi.org/10.1080/14742837.2024.2415672</v>
      </c>
      <c r="BG837" t="s">
        <v>74</v>
      </c>
      <c r="BH837" t="s">
        <v>1721</v>
      </c>
      <c r="BI837">
        <v>19</v>
      </c>
      <c r="BJ837" t="s">
        <v>14467</v>
      </c>
      <c r="BK837" t="s">
        <v>99</v>
      </c>
      <c r="BL837" t="s">
        <v>14468</v>
      </c>
      <c r="BM837" t="s">
        <v>14469</v>
      </c>
      <c r="BN837" t="s">
        <v>74</v>
      </c>
      <c r="BO837" t="s">
        <v>156</v>
      </c>
      <c r="BP837" t="s">
        <v>74</v>
      </c>
      <c r="BQ837" t="s">
        <v>74</v>
      </c>
      <c r="BR837" t="s">
        <v>102</v>
      </c>
      <c r="BS837" t="s">
        <v>14470</v>
      </c>
      <c r="BT837" t="str">
        <f>HYPERLINK("https%3A%2F%2Fwww.webofscience.com%2Fwos%2Fwoscc%2Ffull-record%2FWOS:001338184100001","View Full Record in Web of Science")</f>
        <v>View Full Record in Web of Science</v>
      </c>
    </row>
    <row r="838" spans="1:72" x14ac:dyDescent="0.35">
      <c r="A838" t="s">
        <v>72</v>
      </c>
      <c r="B838" t="s">
        <v>14471</v>
      </c>
      <c r="C838" t="s">
        <v>74</v>
      </c>
      <c r="D838" t="s">
        <v>74</v>
      </c>
      <c r="E838" t="s">
        <v>74</v>
      </c>
      <c r="F838" t="s">
        <v>14472</v>
      </c>
      <c r="G838" t="s">
        <v>74</v>
      </c>
      <c r="H838" t="s">
        <v>74</v>
      </c>
      <c r="I838" t="s">
        <v>14473</v>
      </c>
      <c r="J838" t="s">
        <v>14474</v>
      </c>
      <c r="K838" t="s">
        <v>74</v>
      </c>
      <c r="L838" t="s">
        <v>74</v>
      </c>
      <c r="M838" t="s">
        <v>78</v>
      </c>
      <c r="N838" t="s">
        <v>108</v>
      </c>
      <c r="O838" t="s">
        <v>74</v>
      </c>
      <c r="P838" t="s">
        <v>74</v>
      </c>
      <c r="Q838" t="s">
        <v>74</v>
      </c>
      <c r="R838" t="s">
        <v>74</v>
      </c>
      <c r="S838" t="s">
        <v>74</v>
      </c>
      <c r="T838" t="s">
        <v>14475</v>
      </c>
      <c r="U838" t="s">
        <v>14476</v>
      </c>
      <c r="V838" t="s">
        <v>14477</v>
      </c>
      <c r="W838" t="s">
        <v>14478</v>
      </c>
      <c r="X838" t="s">
        <v>5754</v>
      </c>
      <c r="Y838" t="s">
        <v>14479</v>
      </c>
      <c r="Z838" t="s">
        <v>14480</v>
      </c>
      <c r="AA838" t="s">
        <v>14481</v>
      </c>
      <c r="AB838" t="s">
        <v>14482</v>
      </c>
      <c r="AC838" t="s">
        <v>74</v>
      </c>
      <c r="AD838" t="s">
        <v>74</v>
      </c>
      <c r="AE838" t="s">
        <v>74</v>
      </c>
      <c r="AF838" t="s">
        <v>74</v>
      </c>
      <c r="AG838">
        <v>49</v>
      </c>
      <c r="AH838">
        <v>6</v>
      </c>
      <c r="AI838">
        <v>6</v>
      </c>
      <c r="AJ838">
        <v>4</v>
      </c>
      <c r="AK838">
        <v>16</v>
      </c>
      <c r="AL838" t="s">
        <v>251</v>
      </c>
      <c r="AM838" t="s">
        <v>252</v>
      </c>
      <c r="AN838" t="s">
        <v>253</v>
      </c>
      <c r="AO838" t="s">
        <v>14483</v>
      </c>
      <c r="AP838" t="s">
        <v>14484</v>
      </c>
      <c r="AQ838" t="s">
        <v>74</v>
      </c>
      <c r="AR838" t="s">
        <v>14485</v>
      </c>
      <c r="AS838" t="s">
        <v>14486</v>
      </c>
      <c r="AT838" t="s">
        <v>232</v>
      </c>
      <c r="AU838">
        <v>2023</v>
      </c>
      <c r="AV838">
        <v>40</v>
      </c>
      <c r="AW838">
        <v>1</v>
      </c>
      <c r="AX838" t="s">
        <v>74</v>
      </c>
      <c r="AY838" t="s">
        <v>74</v>
      </c>
      <c r="AZ838" t="s">
        <v>74</v>
      </c>
      <c r="BA838" t="s">
        <v>74</v>
      </c>
      <c r="BB838">
        <v>135</v>
      </c>
      <c r="BC838">
        <v>143</v>
      </c>
      <c r="BD838" t="s">
        <v>74</v>
      </c>
      <c r="BE838" t="s">
        <v>14487</v>
      </c>
      <c r="BF838" t="str">
        <f>HYPERLINK("http://dx.doi.org/10.1111/phn.13143","http://dx.doi.org/10.1111/phn.13143")</f>
        <v>http://dx.doi.org/10.1111/phn.13143</v>
      </c>
      <c r="BG838" t="s">
        <v>74</v>
      </c>
      <c r="BH838" t="s">
        <v>2034</v>
      </c>
      <c r="BI838">
        <v>9</v>
      </c>
      <c r="BJ838" t="s">
        <v>14488</v>
      </c>
      <c r="BK838" t="s">
        <v>182</v>
      </c>
      <c r="BL838" t="s">
        <v>14488</v>
      </c>
      <c r="BM838" t="s">
        <v>14489</v>
      </c>
      <c r="BN838">
        <v>36300833</v>
      </c>
      <c r="BO838" t="s">
        <v>2194</v>
      </c>
      <c r="BP838" t="s">
        <v>74</v>
      </c>
      <c r="BQ838" t="s">
        <v>74</v>
      </c>
      <c r="BR838" t="s">
        <v>102</v>
      </c>
      <c r="BS838" t="s">
        <v>14490</v>
      </c>
      <c r="BT838" t="str">
        <f>HYPERLINK("https%3A%2F%2Fwww.webofscience.com%2Fwos%2Fwoscc%2Ffull-record%2FWOS:000876015700001","View Full Record in Web of Science")</f>
        <v>View Full Record in Web of Science</v>
      </c>
    </row>
    <row r="839" spans="1:72" x14ac:dyDescent="0.35">
      <c r="A839" t="s">
        <v>72</v>
      </c>
      <c r="B839" t="s">
        <v>14491</v>
      </c>
      <c r="C839" t="s">
        <v>74</v>
      </c>
      <c r="D839" t="s">
        <v>74</v>
      </c>
      <c r="E839" t="s">
        <v>74</v>
      </c>
      <c r="F839" t="s">
        <v>14492</v>
      </c>
      <c r="G839" t="s">
        <v>74</v>
      </c>
      <c r="H839" t="s">
        <v>74</v>
      </c>
      <c r="I839" t="s">
        <v>14493</v>
      </c>
      <c r="J839" t="s">
        <v>14494</v>
      </c>
      <c r="K839" t="s">
        <v>74</v>
      </c>
      <c r="L839" t="s">
        <v>74</v>
      </c>
      <c r="M839" t="s">
        <v>3503</v>
      </c>
      <c r="N839" t="s">
        <v>1328</v>
      </c>
      <c r="O839" t="s">
        <v>74</v>
      </c>
      <c r="P839" t="s">
        <v>74</v>
      </c>
      <c r="Q839" t="s">
        <v>74</v>
      </c>
      <c r="R839" t="s">
        <v>74</v>
      </c>
      <c r="S839" t="s">
        <v>74</v>
      </c>
      <c r="T839" t="s">
        <v>74</v>
      </c>
      <c r="U839" t="s">
        <v>74</v>
      </c>
      <c r="V839" t="s">
        <v>74</v>
      </c>
      <c r="W839" t="s">
        <v>14495</v>
      </c>
      <c r="X839" t="s">
        <v>14496</v>
      </c>
      <c r="Y839" t="s">
        <v>14497</v>
      </c>
      <c r="Z839" t="s">
        <v>14498</v>
      </c>
      <c r="AA839" t="s">
        <v>14499</v>
      </c>
      <c r="AB839" t="s">
        <v>74</v>
      </c>
      <c r="AC839" t="s">
        <v>74</v>
      </c>
      <c r="AD839" t="s">
        <v>74</v>
      </c>
      <c r="AE839" t="s">
        <v>74</v>
      </c>
      <c r="AF839" t="s">
        <v>74</v>
      </c>
      <c r="AG839">
        <v>5</v>
      </c>
      <c r="AH839">
        <v>0</v>
      </c>
      <c r="AI839">
        <v>0</v>
      </c>
      <c r="AJ839">
        <v>1</v>
      </c>
      <c r="AK839">
        <v>1</v>
      </c>
      <c r="AL839" t="s">
        <v>14500</v>
      </c>
      <c r="AM839" t="s">
        <v>5232</v>
      </c>
      <c r="AN839" t="s">
        <v>14501</v>
      </c>
      <c r="AO839" t="s">
        <v>14502</v>
      </c>
      <c r="AP839" t="s">
        <v>14503</v>
      </c>
      <c r="AQ839" t="s">
        <v>74</v>
      </c>
      <c r="AR839" t="s">
        <v>14504</v>
      </c>
      <c r="AS839" t="s">
        <v>14505</v>
      </c>
      <c r="AT839" t="s">
        <v>930</v>
      </c>
      <c r="AU839">
        <v>2024</v>
      </c>
      <c r="AV839">
        <v>56</v>
      </c>
      <c r="AW839">
        <v>4</v>
      </c>
      <c r="AX839" t="s">
        <v>74</v>
      </c>
      <c r="AY839" t="s">
        <v>74</v>
      </c>
      <c r="AZ839" t="s">
        <v>74</v>
      </c>
      <c r="BA839" t="s">
        <v>74</v>
      </c>
      <c r="BB839" t="s">
        <v>74</v>
      </c>
      <c r="BC839" t="s">
        <v>74</v>
      </c>
      <c r="BD839">
        <v>102812</v>
      </c>
      <c r="BE839" t="s">
        <v>14506</v>
      </c>
      <c r="BF839" t="str">
        <f>HYPERLINK("http://dx.doi.org/10.1016/j.aprim.2023.102812","http://dx.doi.org/10.1016/j.aprim.2023.102812")</f>
        <v>http://dx.doi.org/10.1016/j.aprim.2023.102812</v>
      </c>
      <c r="BG839" t="s">
        <v>74</v>
      </c>
      <c r="BH839" t="s">
        <v>786</v>
      </c>
      <c r="BI839">
        <v>2</v>
      </c>
      <c r="BJ839" t="s">
        <v>14507</v>
      </c>
      <c r="BK839" t="s">
        <v>209</v>
      </c>
      <c r="BL839" t="s">
        <v>812</v>
      </c>
      <c r="BM839" t="s">
        <v>14508</v>
      </c>
      <c r="BN839">
        <v>38330809</v>
      </c>
      <c r="BO839" t="s">
        <v>394</v>
      </c>
      <c r="BP839" t="s">
        <v>74</v>
      </c>
      <c r="BQ839" t="s">
        <v>74</v>
      </c>
      <c r="BR839" t="s">
        <v>102</v>
      </c>
      <c r="BS839" t="s">
        <v>14509</v>
      </c>
      <c r="BT839" t="str">
        <f>HYPERLINK("https%3A%2F%2Fwww.webofscience.com%2Fwos%2Fwoscc%2Ffull-record%2FWOS:001181098400001","View Full Record in Web of Science")</f>
        <v>View Full Record in Web of Science</v>
      </c>
    </row>
    <row r="840" spans="1:72" x14ac:dyDescent="0.35">
      <c r="A840" t="s">
        <v>72</v>
      </c>
      <c r="B840" t="s">
        <v>13734</v>
      </c>
      <c r="C840" t="s">
        <v>74</v>
      </c>
      <c r="D840" t="s">
        <v>74</v>
      </c>
      <c r="E840" t="s">
        <v>74</v>
      </c>
      <c r="F840" t="s">
        <v>13735</v>
      </c>
      <c r="G840" t="s">
        <v>74</v>
      </c>
      <c r="H840" t="s">
        <v>74</v>
      </c>
      <c r="I840" t="s">
        <v>14510</v>
      </c>
      <c r="J840" t="s">
        <v>13146</v>
      </c>
      <c r="K840" t="s">
        <v>74</v>
      </c>
      <c r="L840" t="s">
        <v>74</v>
      </c>
      <c r="M840" t="s">
        <v>78</v>
      </c>
      <c r="N840" t="s">
        <v>2042</v>
      </c>
      <c r="O840" t="s">
        <v>74</v>
      </c>
      <c r="P840" t="s">
        <v>74</v>
      </c>
      <c r="Q840" t="s">
        <v>74</v>
      </c>
      <c r="R840" t="s">
        <v>74</v>
      </c>
      <c r="S840" t="s">
        <v>74</v>
      </c>
      <c r="T840" t="s">
        <v>74</v>
      </c>
      <c r="U840" t="s">
        <v>74</v>
      </c>
      <c r="V840" t="s">
        <v>74</v>
      </c>
      <c r="W840" t="s">
        <v>13737</v>
      </c>
      <c r="X840" t="s">
        <v>13738</v>
      </c>
      <c r="Y840" t="s">
        <v>14511</v>
      </c>
      <c r="Z840" t="s">
        <v>14512</v>
      </c>
      <c r="AA840" t="s">
        <v>74</v>
      </c>
      <c r="AB840" t="s">
        <v>14513</v>
      </c>
      <c r="AC840" t="s">
        <v>74</v>
      </c>
      <c r="AD840" t="s">
        <v>74</v>
      </c>
      <c r="AE840" t="s">
        <v>74</v>
      </c>
      <c r="AF840" t="s">
        <v>74</v>
      </c>
      <c r="AG840">
        <v>5</v>
      </c>
      <c r="AH840">
        <v>2</v>
      </c>
      <c r="AI840">
        <v>2</v>
      </c>
      <c r="AJ840">
        <v>1</v>
      </c>
      <c r="AK840">
        <v>2</v>
      </c>
      <c r="AL840" t="s">
        <v>1901</v>
      </c>
      <c r="AM840" t="s">
        <v>995</v>
      </c>
      <c r="AN840" t="s">
        <v>1902</v>
      </c>
      <c r="AO840" t="s">
        <v>13151</v>
      </c>
      <c r="AP840" t="s">
        <v>13152</v>
      </c>
      <c r="AQ840" t="s">
        <v>74</v>
      </c>
      <c r="AR840" t="s">
        <v>13153</v>
      </c>
      <c r="AS840" t="s">
        <v>13154</v>
      </c>
      <c r="AT840" t="s">
        <v>455</v>
      </c>
      <c r="AU840">
        <v>2022</v>
      </c>
      <c r="AV840">
        <v>48</v>
      </c>
      <c r="AW840">
        <v>9</v>
      </c>
      <c r="AX840" t="s">
        <v>74</v>
      </c>
      <c r="AY840" t="s">
        <v>74</v>
      </c>
      <c r="AZ840" t="s">
        <v>74</v>
      </c>
      <c r="BA840" t="s">
        <v>74</v>
      </c>
      <c r="BB840">
        <v>1021</v>
      </c>
      <c r="BC840">
        <v>1022</v>
      </c>
      <c r="BD840" t="s">
        <v>74</v>
      </c>
      <c r="BE840" t="s">
        <v>14514</v>
      </c>
      <c r="BF840" t="str">
        <f>HYPERLINK("http://dx.doi.org/10.1097/DSS.0000000000003538","http://dx.doi.org/10.1097/DSS.0000000000003538")</f>
        <v>http://dx.doi.org/10.1097/DSS.0000000000003538</v>
      </c>
      <c r="BG840" t="s">
        <v>74</v>
      </c>
      <c r="BH840" t="s">
        <v>74</v>
      </c>
      <c r="BI840">
        <v>2</v>
      </c>
      <c r="BJ840" t="s">
        <v>13156</v>
      </c>
      <c r="BK840" t="s">
        <v>209</v>
      </c>
      <c r="BL840" t="s">
        <v>13156</v>
      </c>
      <c r="BM840" t="s">
        <v>14515</v>
      </c>
      <c r="BN840">
        <v>36054061</v>
      </c>
      <c r="BO840" t="s">
        <v>74</v>
      </c>
      <c r="BP840" t="s">
        <v>74</v>
      </c>
      <c r="BQ840" t="s">
        <v>74</v>
      </c>
      <c r="BR840" t="s">
        <v>102</v>
      </c>
      <c r="BS840" t="s">
        <v>14516</v>
      </c>
      <c r="BT840" t="str">
        <f>HYPERLINK("https%3A%2F%2Fwww.webofscience.com%2Fwos%2Fwoscc%2Ffull-record%2FWOS:000849034200031","View Full Record in Web of Science")</f>
        <v>View Full Record in Web of Science</v>
      </c>
    </row>
    <row r="841" spans="1:72" x14ac:dyDescent="0.35">
      <c r="A841" t="s">
        <v>72</v>
      </c>
      <c r="B841" t="s">
        <v>14517</v>
      </c>
      <c r="C841" t="s">
        <v>74</v>
      </c>
      <c r="D841" t="s">
        <v>74</v>
      </c>
      <c r="E841" t="s">
        <v>74</v>
      </c>
      <c r="F841" t="s">
        <v>14518</v>
      </c>
      <c r="G841" t="s">
        <v>74</v>
      </c>
      <c r="H841" t="s">
        <v>74</v>
      </c>
      <c r="I841" t="s">
        <v>14519</v>
      </c>
      <c r="J841" t="s">
        <v>14520</v>
      </c>
      <c r="K841" t="s">
        <v>74</v>
      </c>
      <c r="L841" t="s">
        <v>74</v>
      </c>
      <c r="M841" t="s">
        <v>78</v>
      </c>
      <c r="N841" t="s">
        <v>108</v>
      </c>
      <c r="O841" t="s">
        <v>74</v>
      </c>
      <c r="P841" t="s">
        <v>74</v>
      </c>
      <c r="Q841" t="s">
        <v>74</v>
      </c>
      <c r="R841" t="s">
        <v>74</v>
      </c>
      <c r="S841" t="s">
        <v>74</v>
      </c>
      <c r="T841" t="s">
        <v>14521</v>
      </c>
      <c r="U841" t="s">
        <v>14522</v>
      </c>
      <c r="V841" t="s">
        <v>14523</v>
      </c>
      <c r="W841" t="s">
        <v>14524</v>
      </c>
      <c r="X841" t="s">
        <v>14525</v>
      </c>
      <c r="Y841" t="s">
        <v>14526</v>
      </c>
      <c r="Z841" t="s">
        <v>14527</v>
      </c>
      <c r="AA841" t="s">
        <v>14528</v>
      </c>
      <c r="AB841" t="s">
        <v>74</v>
      </c>
      <c r="AC841" t="s">
        <v>14529</v>
      </c>
      <c r="AD841" t="s">
        <v>14530</v>
      </c>
      <c r="AE841" t="s">
        <v>14531</v>
      </c>
      <c r="AF841" t="s">
        <v>74</v>
      </c>
      <c r="AG841">
        <v>41</v>
      </c>
      <c r="AH841">
        <v>23</v>
      </c>
      <c r="AI841">
        <v>24</v>
      </c>
      <c r="AJ841">
        <v>25</v>
      </c>
      <c r="AK841">
        <v>116</v>
      </c>
      <c r="AL841" t="s">
        <v>516</v>
      </c>
      <c r="AM841" t="s">
        <v>517</v>
      </c>
      <c r="AN841" t="s">
        <v>518</v>
      </c>
      <c r="AO841" t="s">
        <v>74</v>
      </c>
      <c r="AP841" t="s">
        <v>14532</v>
      </c>
      <c r="AQ841" t="s">
        <v>74</v>
      </c>
      <c r="AR841" t="s">
        <v>14533</v>
      </c>
      <c r="AS841" t="s">
        <v>14534</v>
      </c>
      <c r="AT841" t="s">
        <v>1275</v>
      </c>
      <c r="AU841">
        <v>2022</v>
      </c>
      <c r="AV841">
        <v>30</v>
      </c>
      <c r="AW841" t="s">
        <v>74</v>
      </c>
      <c r="AX841" t="s">
        <v>74</v>
      </c>
      <c r="AY841" t="s">
        <v>74</v>
      </c>
      <c r="AZ841" t="s">
        <v>74</v>
      </c>
      <c r="BA841" t="s">
        <v>74</v>
      </c>
      <c r="BB841" t="s">
        <v>74</v>
      </c>
      <c r="BC841" t="s">
        <v>74</v>
      </c>
      <c r="BD841">
        <v>100591</v>
      </c>
      <c r="BE841" t="s">
        <v>14535</v>
      </c>
      <c r="BF841" t="str">
        <f>HYPERLINK("http://dx.doi.org/10.1016/j.invent.2022.100591","http://dx.doi.org/10.1016/j.invent.2022.100591")</f>
        <v>http://dx.doi.org/10.1016/j.invent.2022.100591</v>
      </c>
      <c r="BG841" t="s">
        <v>74</v>
      </c>
      <c r="BH841" t="s">
        <v>366</v>
      </c>
      <c r="BI841">
        <v>7</v>
      </c>
      <c r="BJ841" t="s">
        <v>14536</v>
      </c>
      <c r="BK841" t="s">
        <v>182</v>
      </c>
      <c r="BL841" t="s">
        <v>14537</v>
      </c>
      <c r="BM841" t="s">
        <v>14538</v>
      </c>
      <c r="BN841">
        <v>36458161</v>
      </c>
      <c r="BO841" t="s">
        <v>552</v>
      </c>
      <c r="BP841" t="s">
        <v>74</v>
      </c>
      <c r="BQ841" t="s">
        <v>74</v>
      </c>
      <c r="BR841" t="s">
        <v>102</v>
      </c>
      <c r="BS841" t="s">
        <v>14539</v>
      </c>
      <c r="BT841" t="str">
        <f>HYPERLINK("https%3A%2F%2Fwww.webofscience.com%2Fwos%2Fwoscc%2Ffull-record%2FWOS:000891793900002","View Full Record in Web of Science")</f>
        <v>View Full Record in Web of Science</v>
      </c>
    </row>
    <row r="842" spans="1:72" x14ac:dyDescent="0.35">
      <c r="A842" t="s">
        <v>72</v>
      </c>
      <c r="B842" t="s">
        <v>14540</v>
      </c>
      <c r="C842" t="s">
        <v>74</v>
      </c>
      <c r="D842" t="s">
        <v>74</v>
      </c>
      <c r="E842" t="s">
        <v>74</v>
      </c>
      <c r="F842" t="s">
        <v>14541</v>
      </c>
      <c r="G842" t="s">
        <v>74</v>
      </c>
      <c r="H842" t="s">
        <v>74</v>
      </c>
      <c r="I842" t="s">
        <v>14542</v>
      </c>
      <c r="J842" t="s">
        <v>3502</v>
      </c>
      <c r="K842" t="s">
        <v>74</v>
      </c>
      <c r="L842" t="s">
        <v>74</v>
      </c>
      <c r="M842" t="s">
        <v>3503</v>
      </c>
      <c r="N842" t="s">
        <v>108</v>
      </c>
      <c r="O842" t="s">
        <v>74</v>
      </c>
      <c r="P842" t="s">
        <v>74</v>
      </c>
      <c r="Q842" t="s">
        <v>74</v>
      </c>
      <c r="R842" t="s">
        <v>74</v>
      </c>
      <c r="S842" t="s">
        <v>74</v>
      </c>
      <c r="T842" t="s">
        <v>14543</v>
      </c>
      <c r="U842" t="s">
        <v>14544</v>
      </c>
      <c r="V842" t="s">
        <v>14545</v>
      </c>
      <c r="W842" t="s">
        <v>14546</v>
      </c>
      <c r="X842" t="s">
        <v>8393</v>
      </c>
      <c r="Y842" t="s">
        <v>14547</v>
      </c>
      <c r="Z842" t="s">
        <v>14548</v>
      </c>
      <c r="AA842" t="s">
        <v>14549</v>
      </c>
      <c r="AB842" t="s">
        <v>74</v>
      </c>
      <c r="AC842" t="s">
        <v>74</v>
      </c>
      <c r="AD842" t="s">
        <v>74</v>
      </c>
      <c r="AE842" t="s">
        <v>74</v>
      </c>
      <c r="AF842" t="s">
        <v>74</v>
      </c>
      <c r="AG842">
        <v>58</v>
      </c>
      <c r="AH842">
        <v>8</v>
      </c>
      <c r="AI842">
        <v>8</v>
      </c>
      <c r="AJ842">
        <v>6</v>
      </c>
      <c r="AK842">
        <v>15</v>
      </c>
      <c r="AL842" t="s">
        <v>3511</v>
      </c>
      <c r="AM842" t="s">
        <v>3512</v>
      </c>
      <c r="AN842" t="s">
        <v>3513</v>
      </c>
      <c r="AO842" t="s">
        <v>3514</v>
      </c>
      <c r="AP842" t="s">
        <v>74</v>
      </c>
      <c r="AQ842" t="s">
        <v>74</v>
      </c>
      <c r="AR842" t="s">
        <v>3515</v>
      </c>
      <c r="AS842" t="s">
        <v>3516</v>
      </c>
      <c r="AT842" t="s">
        <v>3517</v>
      </c>
      <c r="AU842">
        <v>2023</v>
      </c>
      <c r="AV842">
        <v>14</v>
      </c>
      <c r="AW842">
        <v>1</v>
      </c>
      <c r="AX842" t="s">
        <v>74</v>
      </c>
      <c r="AY842" t="s">
        <v>74</v>
      </c>
      <c r="AZ842" t="s">
        <v>456</v>
      </c>
      <c r="BA842" t="s">
        <v>74</v>
      </c>
      <c r="BB842">
        <v>83</v>
      </c>
      <c r="BC842">
        <v>98</v>
      </c>
      <c r="BD842" t="s">
        <v>74</v>
      </c>
      <c r="BE842" t="s">
        <v>14550</v>
      </c>
      <c r="BF842" t="str">
        <f>HYPERLINK("http://dx.doi.org/10.14198/MEDCOM.23435","http://dx.doi.org/10.14198/MEDCOM.23435")</f>
        <v>http://dx.doi.org/10.14198/MEDCOM.23435</v>
      </c>
      <c r="BG842" t="s">
        <v>74</v>
      </c>
      <c r="BH842" t="s">
        <v>74</v>
      </c>
      <c r="BI842">
        <v>16</v>
      </c>
      <c r="BJ842" t="s">
        <v>124</v>
      </c>
      <c r="BK842" t="s">
        <v>125</v>
      </c>
      <c r="BL842" t="s">
        <v>124</v>
      </c>
      <c r="BM842" t="s">
        <v>14551</v>
      </c>
      <c r="BN842" t="s">
        <v>74</v>
      </c>
      <c r="BO842" t="s">
        <v>552</v>
      </c>
      <c r="BP842" t="s">
        <v>74</v>
      </c>
      <c r="BQ842" t="s">
        <v>74</v>
      </c>
      <c r="BR842" t="s">
        <v>102</v>
      </c>
      <c r="BS842" t="s">
        <v>14552</v>
      </c>
      <c r="BT842" t="str">
        <f>HYPERLINK("https%3A%2F%2Fwww.webofscience.com%2Fwos%2Fwoscc%2Ffull-record%2FWOS:001065878900007","View Full Record in Web of Science")</f>
        <v>View Full Record in Web of Science</v>
      </c>
    </row>
    <row r="843" spans="1:72" x14ac:dyDescent="0.35">
      <c r="A843" t="s">
        <v>72</v>
      </c>
      <c r="B843" t="s">
        <v>14553</v>
      </c>
      <c r="C843" t="s">
        <v>74</v>
      </c>
      <c r="D843" t="s">
        <v>74</v>
      </c>
      <c r="E843" t="s">
        <v>74</v>
      </c>
      <c r="F843" t="s">
        <v>14554</v>
      </c>
      <c r="G843" t="s">
        <v>74</v>
      </c>
      <c r="H843" t="s">
        <v>74</v>
      </c>
      <c r="I843" t="s">
        <v>14555</v>
      </c>
      <c r="J843" t="s">
        <v>14556</v>
      </c>
      <c r="K843" t="s">
        <v>74</v>
      </c>
      <c r="L843" t="s">
        <v>74</v>
      </c>
      <c r="M843" t="s">
        <v>78</v>
      </c>
      <c r="N843" t="s">
        <v>108</v>
      </c>
      <c r="O843" t="s">
        <v>74</v>
      </c>
      <c r="P843" t="s">
        <v>74</v>
      </c>
      <c r="Q843" t="s">
        <v>74</v>
      </c>
      <c r="R843" t="s">
        <v>74</v>
      </c>
      <c r="S843" t="s">
        <v>74</v>
      </c>
      <c r="T843" t="s">
        <v>14557</v>
      </c>
      <c r="U843" t="s">
        <v>14558</v>
      </c>
      <c r="V843" t="s">
        <v>14559</v>
      </c>
      <c r="W843" t="s">
        <v>14560</v>
      </c>
      <c r="X843" t="s">
        <v>14561</v>
      </c>
      <c r="Y843" t="s">
        <v>14562</v>
      </c>
      <c r="Z843" t="s">
        <v>14563</v>
      </c>
      <c r="AA843" t="s">
        <v>74</v>
      </c>
      <c r="AB843" t="s">
        <v>14564</v>
      </c>
      <c r="AC843" t="s">
        <v>74</v>
      </c>
      <c r="AD843" t="s">
        <v>74</v>
      </c>
      <c r="AE843" t="s">
        <v>74</v>
      </c>
      <c r="AF843" t="s">
        <v>74</v>
      </c>
      <c r="AG843">
        <v>64</v>
      </c>
      <c r="AH843">
        <v>75</v>
      </c>
      <c r="AI843">
        <v>84</v>
      </c>
      <c r="AJ843">
        <v>2</v>
      </c>
      <c r="AK843">
        <v>89</v>
      </c>
      <c r="AL843" t="s">
        <v>171</v>
      </c>
      <c r="AM843" t="s">
        <v>172</v>
      </c>
      <c r="AN843" t="s">
        <v>173</v>
      </c>
      <c r="AO843" t="s">
        <v>74</v>
      </c>
      <c r="AP843" t="s">
        <v>14565</v>
      </c>
      <c r="AQ843" t="s">
        <v>74</v>
      </c>
      <c r="AR843" t="s">
        <v>14556</v>
      </c>
      <c r="AS843" t="s">
        <v>14566</v>
      </c>
      <c r="AT843" t="s">
        <v>178</v>
      </c>
      <c r="AU843">
        <v>2021</v>
      </c>
      <c r="AV843">
        <v>7</v>
      </c>
      <c r="AW843" t="s">
        <v>74</v>
      </c>
      <c r="AX843" t="s">
        <v>74</v>
      </c>
      <c r="AY843" t="s">
        <v>74</v>
      </c>
      <c r="AZ843" t="s">
        <v>74</v>
      </c>
      <c r="BA843" t="s">
        <v>74</v>
      </c>
      <c r="BB843" t="s">
        <v>74</v>
      </c>
      <c r="BC843" t="s">
        <v>74</v>
      </c>
      <c r="BD843">
        <v>2332858421995537</v>
      </c>
      <c r="BE843" t="s">
        <v>14567</v>
      </c>
      <c r="BF843" t="str">
        <f>HYPERLINK("http://dx.doi.org/10.1177/2332858421995537","http://dx.doi.org/10.1177/2332858421995537")</f>
        <v>http://dx.doi.org/10.1177/2332858421995537</v>
      </c>
      <c r="BG843" t="s">
        <v>74</v>
      </c>
      <c r="BH843" t="s">
        <v>74</v>
      </c>
      <c r="BI843">
        <v>15</v>
      </c>
      <c r="BJ843" t="s">
        <v>787</v>
      </c>
      <c r="BK843" t="s">
        <v>99</v>
      </c>
      <c r="BL843" t="s">
        <v>787</v>
      </c>
      <c r="BM843" t="s">
        <v>14568</v>
      </c>
      <c r="BN843" t="s">
        <v>74</v>
      </c>
      <c r="BO843" t="s">
        <v>235</v>
      </c>
      <c r="BP843" t="s">
        <v>74</v>
      </c>
      <c r="BQ843" t="s">
        <v>74</v>
      </c>
      <c r="BR843" t="s">
        <v>102</v>
      </c>
      <c r="BS843" t="s">
        <v>14569</v>
      </c>
      <c r="BT843" t="str">
        <f>HYPERLINK("https%3A%2F%2Fwww.webofscience.com%2Fwos%2Fwoscc%2Ffull-record%2FWOS:000625067500001","View Full Record in Web of Science")</f>
        <v>View Full Record in Web of Science</v>
      </c>
    </row>
    <row r="844" spans="1:72" x14ac:dyDescent="0.35">
      <c r="A844" t="s">
        <v>72</v>
      </c>
      <c r="B844" t="s">
        <v>13684</v>
      </c>
      <c r="C844" t="s">
        <v>74</v>
      </c>
      <c r="D844" t="s">
        <v>74</v>
      </c>
      <c r="E844" t="s">
        <v>74</v>
      </c>
      <c r="F844" t="s">
        <v>13685</v>
      </c>
      <c r="G844" t="s">
        <v>74</v>
      </c>
      <c r="H844" t="s">
        <v>74</v>
      </c>
      <c r="I844" t="s">
        <v>13686</v>
      </c>
      <c r="J844" t="s">
        <v>10062</v>
      </c>
      <c r="K844" t="s">
        <v>74</v>
      </c>
      <c r="L844" t="s">
        <v>74</v>
      </c>
      <c r="M844" t="s">
        <v>78</v>
      </c>
      <c r="N844" t="s">
        <v>108</v>
      </c>
      <c r="O844" t="s">
        <v>74</v>
      </c>
      <c r="P844" t="s">
        <v>74</v>
      </c>
      <c r="Q844" t="s">
        <v>74</v>
      </c>
      <c r="R844" t="s">
        <v>74</v>
      </c>
      <c r="S844" t="s">
        <v>74</v>
      </c>
      <c r="T844" t="s">
        <v>13687</v>
      </c>
      <c r="U844" t="s">
        <v>74</v>
      </c>
      <c r="V844" t="s">
        <v>14570</v>
      </c>
      <c r="W844" t="s">
        <v>14571</v>
      </c>
      <c r="X844" t="s">
        <v>74</v>
      </c>
      <c r="Y844" t="s">
        <v>14572</v>
      </c>
      <c r="Z844" t="s">
        <v>74</v>
      </c>
      <c r="AA844" t="s">
        <v>74</v>
      </c>
      <c r="AB844" t="s">
        <v>74</v>
      </c>
      <c r="AC844" t="s">
        <v>13691</v>
      </c>
      <c r="AD844" t="s">
        <v>13692</v>
      </c>
      <c r="AE844" t="s">
        <v>14573</v>
      </c>
      <c r="AF844" t="s">
        <v>74</v>
      </c>
      <c r="AG844">
        <v>30</v>
      </c>
      <c r="AH844">
        <v>0</v>
      </c>
      <c r="AI844">
        <v>0</v>
      </c>
      <c r="AJ844">
        <v>0</v>
      </c>
      <c r="AK844">
        <v>0</v>
      </c>
      <c r="AL844" t="s">
        <v>10071</v>
      </c>
      <c r="AM844" t="s">
        <v>10072</v>
      </c>
      <c r="AN844" t="s">
        <v>10073</v>
      </c>
      <c r="AO844" t="s">
        <v>10074</v>
      </c>
      <c r="AP844" t="s">
        <v>10075</v>
      </c>
      <c r="AQ844" t="s">
        <v>74</v>
      </c>
      <c r="AR844" t="s">
        <v>10076</v>
      </c>
      <c r="AS844" t="s">
        <v>10077</v>
      </c>
      <c r="AT844" t="s">
        <v>178</v>
      </c>
      <c r="AU844">
        <v>2024</v>
      </c>
      <c r="AV844">
        <v>15</v>
      </c>
      <c r="AW844">
        <v>2</v>
      </c>
      <c r="AX844" t="s">
        <v>74</v>
      </c>
      <c r="AY844" t="s">
        <v>74</v>
      </c>
      <c r="AZ844" t="s">
        <v>74</v>
      </c>
      <c r="BA844" t="s">
        <v>74</v>
      </c>
      <c r="BB844">
        <v>323</v>
      </c>
      <c r="BC844">
        <v>330</v>
      </c>
      <c r="BD844" t="s">
        <v>74</v>
      </c>
      <c r="BE844" t="s">
        <v>74</v>
      </c>
      <c r="BF844" t="s">
        <v>74</v>
      </c>
      <c r="BG844" t="s">
        <v>74</v>
      </c>
      <c r="BH844" t="s">
        <v>74</v>
      </c>
      <c r="BI844">
        <v>8</v>
      </c>
      <c r="BJ844" t="s">
        <v>6668</v>
      </c>
      <c r="BK844" t="s">
        <v>125</v>
      </c>
      <c r="BL844" t="s">
        <v>210</v>
      </c>
      <c r="BM844" t="s">
        <v>14574</v>
      </c>
      <c r="BN844" t="s">
        <v>74</v>
      </c>
      <c r="BO844" t="s">
        <v>74</v>
      </c>
      <c r="BP844" t="s">
        <v>74</v>
      </c>
      <c r="BQ844" t="s">
        <v>74</v>
      </c>
      <c r="BR844" t="s">
        <v>102</v>
      </c>
      <c r="BS844" t="s">
        <v>14575</v>
      </c>
      <c r="BT844" t="str">
        <f>HYPERLINK("https%3A%2F%2Fwww.webofscience.com%2Fwos%2Fwoscc%2Ffull-record%2FWOS:001324548200001","View Full Record in Web of Science")</f>
        <v>View Full Record in Web of Science</v>
      </c>
    </row>
    <row r="845" spans="1:72" x14ac:dyDescent="0.35">
      <c r="A845" t="s">
        <v>72</v>
      </c>
      <c r="B845" t="s">
        <v>14576</v>
      </c>
      <c r="C845" t="s">
        <v>74</v>
      </c>
      <c r="D845" t="s">
        <v>74</v>
      </c>
      <c r="E845" t="s">
        <v>74</v>
      </c>
      <c r="F845" t="s">
        <v>14577</v>
      </c>
      <c r="G845" t="s">
        <v>74</v>
      </c>
      <c r="H845" t="s">
        <v>74</v>
      </c>
      <c r="I845" t="s">
        <v>14578</v>
      </c>
      <c r="J845" t="s">
        <v>4341</v>
      </c>
      <c r="K845" t="s">
        <v>74</v>
      </c>
      <c r="L845" t="s">
        <v>74</v>
      </c>
      <c r="M845" t="s">
        <v>78</v>
      </c>
      <c r="N845" t="s">
        <v>108</v>
      </c>
      <c r="O845" t="s">
        <v>74</v>
      </c>
      <c r="P845" t="s">
        <v>74</v>
      </c>
      <c r="Q845" t="s">
        <v>74</v>
      </c>
      <c r="R845" t="s">
        <v>74</v>
      </c>
      <c r="S845" t="s">
        <v>74</v>
      </c>
      <c r="T845" t="s">
        <v>14579</v>
      </c>
      <c r="U845" t="s">
        <v>14580</v>
      </c>
      <c r="V845" t="s">
        <v>14581</v>
      </c>
      <c r="W845" t="s">
        <v>14582</v>
      </c>
      <c r="X845" t="s">
        <v>14583</v>
      </c>
      <c r="Y845" t="s">
        <v>14584</v>
      </c>
      <c r="Z845" t="s">
        <v>14585</v>
      </c>
      <c r="AA845" t="s">
        <v>9727</v>
      </c>
      <c r="AB845" t="s">
        <v>14586</v>
      </c>
      <c r="AC845" t="s">
        <v>74</v>
      </c>
      <c r="AD845" t="s">
        <v>74</v>
      </c>
      <c r="AE845" t="s">
        <v>74</v>
      </c>
      <c r="AF845" t="s">
        <v>74</v>
      </c>
      <c r="AG845">
        <v>32</v>
      </c>
      <c r="AH845">
        <v>1</v>
      </c>
      <c r="AI845">
        <v>1</v>
      </c>
      <c r="AJ845">
        <v>0</v>
      </c>
      <c r="AK845">
        <v>0</v>
      </c>
      <c r="AL845" t="s">
        <v>1195</v>
      </c>
      <c r="AM845" t="s">
        <v>1196</v>
      </c>
      <c r="AN845" t="s">
        <v>1197</v>
      </c>
      <c r="AO845" t="s">
        <v>74</v>
      </c>
      <c r="AP845" t="s">
        <v>4353</v>
      </c>
      <c r="AQ845" t="s">
        <v>74</v>
      </c>
      <c r="AR845" t="s">
        <v>4354</v>
      </c>
      <c r="AS845" t="s">
        <v>4355</v>
      </c>
      <c r="AT845" t="s">
        <v>455</v>
      </c>
      <c r="AU845">
        <v>2024</v>
      </c>
      <c r="AV845">
        <v>12</v>
      </c>
      <c r="AW845">
        <v>17</v>
      </c>
      <c r="AX845" t="s">
        <v>74</v>
      </c>
      <c r="AY845" t="s">
        <v>74</v>
      </c>
      <c r="AZ845" t="s">
        <v>74</v>
      </c>
      <c r="BA845" t="s">
        <v>74</v>
      </c>
      <c r="BB845" t="s">
        <v>74</v>
      </c>
      <c r="BC845" t="s">
        <v>74</v>
      </c>
      <c r="BD845">
        <v>1697</v>
      </c>
      <c r="BE845" t="s">
        <v>14587</v>
      </c>
      <c r="BF845" t="str">
        <f>HYPERLINK("http://dx.doi.org/10.3390/healthcare12171697","http://dx.doi.org/10.3390/healthcare12171697")</f>
        <v>http://dx.doi.org/10.3390/healthcare12171697</v>
      </c>
      <c r="BG845" t="s">
        <v>74</v>
      </c>
      <c r="BH845" t="s">
        <v>74</v>
      </c>
      <c r="BI845">
        <v>10</v>
      </c>
      <c r="BJ845" t="s">
        <v>4357</v>
      </c>
      <c r="BK845" t="s">
        <v>182</v>
      </c>
      <c r="BL845" t="s">
        <v>4358</v>
      </c>
      <c r="BM845" t="s">
        <v>14588</v>
      </c>
      <c r="BN845">
        <v>39273722</v>
      </c>
      <c r="BO845" t="s">
        <v>235</v>
      </c>
      <c r="BP845" t="s">
        <v>74</v>
      </c>
      <c r="BQ845" t="s">
        <v>74</v>
      </c>
      <c r="BR845" t="s">
        <v>102</v>
      </c>
      <c r="BS845" t="s">
        <v>14589</v>
      </c>
      <c r="BT845" t="str">
        <f>HYPERLINK("https%3A%2F%2Fwww.webofscience.com%2Fwos%2Fwoscc%2Ffull-record%2FWOS:001311204900001","View Full Record in Web of Science")</f>
        <v>View Full Record in Web of Science</v>
      </c>
    </row>
    <row r="846" spans="1:72" x14ac:dyDescent="0.35">
      <c r="A846" t="s">
        <v>72</v>
      </c>
      <c r="B846" t="s">
        <v>14590</v>
      </c>
      <c r="C846" t="s">
        <v>74</v>
      </c>
      <c r="D846" t="s">
        <v>74</v>
      </c>
      <c r="E846" t="s">
        <v>74</v>
      </c>
      <c r="F846" t="s">
        <v>14591</v>
      </c>
      <c r="G846" t="s">
        <v>74</v>
      </c>
      <c r="H846" t="s">
        <v>74</v>
      </c>
      <c r="I846" t="s">
        <v>14592</v>
      </c>
      <c r="J846" t="s">
        <v>280</v>
      </c>
      <c r="K846" t="s">
        <v>74</v>
      </c>
      <c r="L846" t="s">
        <v>74</v>
      </c>
      <c r="M846" t="s">
        <v>78</v>
      </c>
      <c r="N846" t="s">
        <v>108</v>
      </c>
      <c r="O846" t="s">
        <v>74</v>
      </c>
      <c r="P846" t="s">
        <v>74</v>
      </c>
      <c r="Q846" t="s">
        <v>74</v>
      </c>
      <c r="R846" t="s">
        <v>74</v>
      </c>
      <c r="S846" t="s">
        <v>74</v>
      </c>
      <c r="T846" t="s">
        <v>14593</v>
      </c>
      <c r="U846" t="s">
        <v>14594</v>
      </c>
      <c r="V846" t="s">
        <v>14595</v>
      </c>
      <c r="W846" t="s">
        <v>14596</v>
      </c>
      <c r="X846" t="s">
        <v>14597</v>
      </c>
      <c r="Y846" t="s">
        <v>14598</v>
      </c>
      <c r="Z846" t="s">
        <v>14599</v>
      </c>
      <c r="AA846" t="s">
        <v>14600</v>
      </c>
      <c r="AB846" t="s">
        <v>14601</v>
      </c>
      <c r="AC846" t="s">
        <v>14602</v>
      </c>
      <c r="AD846" t="s">
        <v>14603</v>
      </c>
      <c r="AE846" t="s">
        <v>14604</v>
      </c>
      <c r="AF846" t="s">
        <v>74</v>
      </c>
      <c r="AG846">
        <v>101</v>
      </c>
      <c r="AH846">
        <v>9</v>
      </c>
      <c r="AI846">
        <v>11</v>
      </c>
      <c r="AJ846">
        <v>28</v>
      </c>
      <c r="AK846">
        <v>99</v>
      </c>
      <c r="AL846" t="s">
        <v>290</v>
      </c>
      <c r="AM846" t="s">
        <v>291</v>
      </c>
      <c r="AN846" t="s">
        <v>292</v>
      </c>
      <c r="AO846" t="s">
        <v>293</v>
      </c>
      <c r="AP846" t="s">
        <v>294</v>
      </c>
      <c r="AQ846" t="s">
        <v>74</v>
      </c>
      <c r="AR846" t="s">
        <v>295</v>
      </c>
      <c r="AS846" t="s">
        <v>296</v>
      </c>
      <c r="AT846" t="s">
        <v>1275</v>
      </c>
      <c r="AU846">
        <v>2023</v>
      </c>
      <c r="AV846">
        <v>149</v>
      </c>
      <c r="AW846" t="s">
        <v>74</v>
      </c>
      <c r="AX846" t="s">
        <v>74</v>
      </c>
      <c r="AY846" t="s">
        <v>74</v>
      </c>
      <c r="AZ846" t="s">
        <v>74</v>
      </c>
      <c r="BA846" t="s">
        <v>74</v>
      </c>
      <c r="BB846" t="s">
        <v>74</v>
      </c>
      <c r="BC846" t="s">
        <v>74</v>
      </c>
      <c r="BD846">
        <v>107951</v>
      </c>
      <c r="BE846" t="s">
        <v>14605</v>
      </c>
      <c r="BF846" t="str">
        <f>HYPERLINK("http://dx.doi.org/10.1016/j.chb.2023.107951","http://dx.doi.org/10.1016/j.chb.2023.107951")</f>
        <v>http://dx.doi.org/10.1016/j.chb.2023.107951</v>
      </c>
      <c r="BG846" t="s">
        <v>74</v>
      </c>
      <c r="BH846" t="s">
        <v>2929</v>
      </c>
      <c r="BI846">
        <v>10</v>
      </c>
      <c r="BJ846" t="s">
        <v>300</v>
      </c>
      <c r="BK846" t="s">
        <v>99</v>
      </c>
      <c r="BL846" t="s">
        <v>301</v>
      </c>
      <c r="BM846" t="s">
        <v>14606</v>
      </c>
      <c r="BN846" t="s">
        <v>74</v>
      </c>
      <c r="BO846" t="s">
        <v>74</v>
      </c>
      <c r="BP846" t="s">
        <v>74</v>
      </c>
      <c r="BQ846" t="s">
        <v>74</v>
      </c>
      <c r="BR846" t="s">
        <v>102</v>
      </c>
      <c r="BS846" t="s">
        <v>14607</v>
      </c>
      <c r="BT846" t="str">
        <f>HYPERLINK("https%3A%2F%2Fwww.webofscience.com%2Fwos%2Fwoscc%2Ffull-record%2FWOS:001080920400001","View Full Record in Web of Science")</f>
        <v>View Full Record in Web of Science</v>
      </c>
    </row>
    <row r="847" spans="1:72" x14ac:dyDescent="0.35">
      <c r="A847" t="s">
        <v>72</v>
      </c>
      <c r="B847" t="s">
        <v>14608</v>
      </c>
      <c r="C847" t="s">
        <v>74</v>
      </c>
      <c r="D847" t="s">
        <v>74</v>
      </c>
      <c r="E847" t="s">
        <v>74</v>
      </c>
      <c r="F847" t="s">
        <v>14609</v>
      </c>
      <c r="G847" t="s">
        <v>74</v>
      </c>
      <c r="H847" t="s">
        <v>74</v>
      </c>
      <c r="I847" t="s">
        <v>14610</v>
      </c>
      <c r="J847" t="s">
        <v>373</v>
      </c>
      <c r="K847" t="s">
        <v>74</v>
      </c>
      <c r="L847" t="s">
        <v>74</v>
      </c>
      <c r="M847" t="s">
        <v>78</v>
      </c>
      <c r="N847" t="s">
        <v>108</v>
      </c>
      <c r="O847" t="s">
        <v>74</v>
      </c>
      <c r="P847" t="s">
        <v>74</v>
      </c>
      <c r="Q847" t="s">
        <v>74</v>
      </c>
      <c r="R847" t="s">
        <v>74</v>
      </c>
      <c r="S847" t="s">
        <v>74</v>
      </c>
      <c r="T847" t="s">
        <v>14611</v>
      </c>
      <c r="U847" t="s">
        <v>14612</v>
      </c>
      <c r="V847" t="s">
        <v>14613</v>
      </c>
      <c r="W847" t="s">
        <v>14614</v>
      </c>
      <c r="X847" t="s">
        <v>14615</v>
      </c>
      <c r="Y847" t="s">
        <v>14616</v>
      </c>
      <c r="Z847" t="s">
        <v>14617</v>
      </c>
      <c r="AA847" t="s">
        <v>74</v>
      </c>
      <c r="AB847" t="s">
        <v>74</v>
      </c>
      <c r="AC847" t="s">
        <v>14618</v>
      </c>
      <c r="AD847" t="s">
        <v>14619</v>
      </c>
      <c r="AE847" t="s">
        <v>14620</v>
      </c>
      <c r="AF847" t="s">
        <v>74</v>
      </c>
      <c r="AG847">
        <v>37</v>
      </c>
      <c r="AH847">
        <v>4</v>
      </c>
      <c r="AI847">
        <v>4</v>
      </c>
      <c r="AJ847">
        <v>2</v>
      </c>
      <c r="AK847">
        <v>14</v>
      </c>
      <c r="AL847" t="s">
        <v>384</v>
      </c>
      <c r="AM847" t="s">
        <v>385</v>
      </c>
      <c r="AN847" t="s">
        <v>386</v>
      </c>
      <c r="AO847" t="s">
        <v>74</v>
      </c>
      <c r="AP847" t="s">
        <v>387</v>
      </c>
      <c r="AQ847" t="s">
        <v>74</v>
      </c>
      <c r="AR847" t="s">
        <v>388</v>
      </c>
      <c r="AS847" t="s">
        <v>389</v>
      </c>
      <c r="AT847" t="s">
        <v>14621</v>
      </c>
      <c r="AU847">
        <v>2023</v>
      </c>
      <c r="AV847">
        <v>11</v>
      </c>
      <c r="AW847" t="s">
        <v>74</v>
      </c>
      <c r="AX847" t="s">
        <v>74</v>
      </c>
      <c r="AY847" t="s">
        <v>74</v>
      </c>
      <c r="AZ847" t="s">
        <v>74</v>
      </c>
      <c r="BA847" t="s">
        <v>74</v>
      </c>
      <c r="BB847" t="s">
        <v>74</v>
      </c>
      <c r="BC847" t="s">
        <v>74</v>
      </c>
      <c r="BD847">
        <v>1049728</v>
      </c>
      <c r="BE847" t="s">
        <v>14622</v>
      </c>
      <c r="BF847" t="str">
        <f>HYPERLINK("http://dx.doi.org/10.3389/fpubh.2023.1049728","http://dx.doi.org/10.3389/fpubh.2023.1049728")</f>
        <v>http://dx.doi.org/10.3389/fpubh.2023.1049728</v>
      </c>
      <c r="BG847" t="s">
        <v>74</v>
      </c>
      <c r="BH847" t="s">
        <v>74</v>
      </c>
      <c r="BI847">
        <v>6</v>
      </c>
      <c r="BJ847" t="s">
        <v>392</v>
      </c>
      <c r="BK847" t="s">
        <v>182</v>
      </c>
      <c r="BL847" t="s">
        <v>392</v>
      </c>
      <c r="BM847" t="s">
        <v>14623</v>
      </c>
      <c r="BN847">
        <v>37033054</v>
      </c>
      <c r="BO847" t="s">
        <v>394</v>
      </c>
      <c r="BP847" t="s">
        <v>74</v>
      </c>
      <c r="BQ847" t="s">
        <v>74</v>
      </c>
      <c r="BR847" t="s">
        <v>102</v>
      </c>
      <c r="BS847" t="s">
        <v>14624</v>
      </c>
      <c r="BT847" t="str">
        <f>HYPERLINK("https%3A%2F%2Fwww.webofscience.com%2Fwos%2Fwoscc%2Ffull-record%2FWOS:000963343300001","View Full Record in Web of Science")</f>
        <v>View Full Record in Web of Science</v>
      </c>
    </row>
    <row r="848" spans="1:72" x14ac:dyDescent="0.35">
      <c r="A848" t="s">
        <v>72</v>
      </c>
      <c r="B848" t="s">
        <v>14625</v>
      </c>
      <c r="C848" t="s">
        <v>74</v>
      </c>
      <c r="D848" t="s">
        <v>74</v>
      </c>
      <c r="E848" t="s">
        <v>74</v>
      </c>
      <c r="F848" t="s">
        <v>14626</v>
      </c>
      <c r="G848" t="s">
        <v>74</v>
      </c>
      <c r="H848" t="s">
        <v>74</v>
      </c>
      <c r="I848" t="s">
        <v>14627</v>
      </c>
      <c r="J848" t="s">
        <v>1186</v>
      </c>
      <c r="K848" t="s">
        <v>74</v>
      </c>
      <c r="L848" t="s">
        <v>74</v>
      </c>
      <c r="M848" t="s">
        <v>78</v>
      </c>
      <c r="N848" t="s">
        <v>108</v>
      </c>
      <c r="O848" t="s">
        <v>74</v>
      </c>
      <c r="P848" t="s">
        <v>74</v>
      </c>
      <c r="Q848" t="s">
        <v>74</v>
      </c>
      <c r="R848" t="s">
        <v>74</v>
      </c>
      <c r="S848" t="s">
        <v>74</v>
      </c>
      <c r="T848" t="s">
        <v>14628</v>
      </c>
      <c r="U848" t="s">
        <v>14629</v>
      </c>
      <c r="V848" t="s">
        <v>14630</v>
      </c>
      <c r="W848" t="s">
        <v>14631</v>
      </c>
      <c r="X848" t="s">
        <v>14632</v>
      </c>
      <c r="Y848" t="s">
        <v>14633</v>
      </c>
      <c r="Z848" t="s">
        <v>14634</v>
      </c>
      <c r="AA848" t="s">
        <v>14635</v>
      </c>
      <c r="AB848" t="s">
        <v>14636</v>
      </c>
      <c r="AC848" t="s">
        <v>14637</v>
      </c>
      <c r="AD848" t="s">
        <v>14638</v>
      </c>
      <c r="AE848" t="s">
        <v>14639</v>
      </c>
      <c r="AF848" t="s">
        <v>74</v>
      </c>
      <c r="AG848">
        <v>52</v>
      </c>
      <c r="AH848">
        <v>8</v>
      </c>
      <c r="AI848">
        <v>8</v>
      </c>
      <c r="AJ848">
        <v>1</v>
      </c>
      <c r="AK848">
        <v>23</v>
      </c>
      <c r="AL848" t="s">
        <v>1195</v>
      </c>
      <c r="AM848" t="s">
        <v>1196</v>
      </c>
      <c r="AN848" t="s">
        <v>1197</v>
      </c>
      <c r="AO848" t="s">
        <v>74</v>
      </c>
      <c r="AP848" t="s">
        <v>1198</v>
      </c>
      <c r="AQ848" t="s">
        <v>74</v>
      </c>
      <c r="AR848" t="s">
        <v>1199</v>
      </c>
      <c r="AS848" t="s">
        <v>1200</v>
      </c>
      <c r="AT848" t="s">
        <v>257</v>
      </c>
      <c r="AU848">
        <v>2022</v>
      </c>
      <c r="AV848">
        <v>19</v>
      </c>
      <c r="AW848">
        <v>12</v>
      </c>
      <c r="AX848" t="s">
        <v>74</v>
      </c>
      <c r="AY848" t="s">
        <v>74</v>
      </c>
      <c r="AZ848" t="s">
        <v>74</v>
      </c>
      <c r="BA848" t="s">
        <v>74</v>
      </c>
      <c r="BB848" t="s">
        <v>74</v>
      </c>
      <c r="BC848" t="s">
        <v>74</v>
      </c>
      <c r="BD848">
        <v>7064</v>
      </c>
      <c r="BE848" t="s">
        <v>14640</v>
      </c>
      <c r="BF848" t="str">
        <f>HYPERLINK("http://dx.doi.org/10.3390/ijerph19127064","http://dx.doi.org/10.3390/ijerph19127064")</f>
        <v>http://dx.doi.org/10.3390/ijerph19127064</v>
      </c>
      <c r="BG848" t="s">
        <v>74</v>
      </c>
      <c r="BH848" t="s">
        <v>74</v>
      </c>
      <c r="BI848">
        <v>14</v>
      </c>
      <c r="BJ848" t="s">
        <v>1202</v>
      </c>
      <c r="BK848" t="s">
        <v>182</v>
      </c>
      <c r="BL848" t="s">
        <v>1203</v>
      </c>
      <c r="BM848" t="s">
        <v>14641</v>
      </c>
      <c r="BN848">
        <v>35742315</v>
      </c>
      <c r="BO848" t="s">
        <v>394</v>
      </c>
      <c r="BP848" t="s">
        <v>74</v>
      </c>
      <c r="BQ848" t="s">
        <v>74</v>
      </c>
      <c r="BR848" t="s">
        <v>102</v>
      </c>
      <c r="BS848" t="s">
        <v>14642</v>
      </c>
      <c r="BT848" t="str">
        <f>HYPERLINK("https%3A%2F%2Fwww.webofscience.com%2Fwos%2Fwoscc%2Ffull-record%2FWOS:000817417100001","View Full Record in Web of Science")</f>
        <v>View Full Record in Web of Science</v>
      </c>
    </row>
    <row r="849" spans="1:72" x14ac:dyDescent="0.35">
      <c r="A849" t="s">
        <v>72</v>
      </c>
      <c r="B849" t="s">
        <v>14643</v>
      </c>
      <c r="C849" t="s">
        <v>74</v>
      </c>
      <c r="D849" t="s">
        <v>74</v>
      </c>
      <c r="E849" t="s">
        <v>74</v>
      </c>
      <c r="F849" t="s">
        <v>14644</v>
      </c>
      <c r="G849" t="s">
        <v>74</v>
      </c>
      <c r="H849" t="s">
        <v>74</v>
      </c>
      <c r="I849" t="s">
        <v>14645</v>
      </c>
      <c r="J849" t="s">
        <v>13254</v>
      </c>
      <c r="K849" t="s">
        <v>74</v>
      </c>
      <c r="L849" t="s">
        <v>74</v>
      </c>
      <c r="M849" t="s">
        <v>78</v>
      </c>
      <c r="N849" t="s">
        <v>52</v>
      </c>
      <c r="O849" t="s">
        <v>13790</v>
      </c>
      <c r="P849" t="s">
        <v>13791</v>
      </c>
      <c r="Q849" t="s">
        <v>13792</v>
      </c>
      <c r="R849" t="s">
        <v>74</v>
      </c>
      <c r="S849" t="s">
        <v>74</v>
      </c>
      <c r="T849" t="s">
        <v>74</v>
      </c>
      <c r="U849" t="s">
        <v>74</v>
      </c>
      <c r="V849" t="s">
        <v>74</v>
      </c>
      <c r="W849" t="s">
        <v>14646</v>
      </c>
      <c r="X849" t="s">
        <v>9831</v>
      </c>
      <c r="Y849" t="s">
        <v>74</v>
      </c>
      <c r="Z849" t="s">
        <v>74</v>
      </c>
      <c r="AA849" t="s">
        <v>74</v>
      </c>
      <c r="AB849" t="s">
        <v>74</v>
      </c>
      <c r="AC849" t="s">
        <v>74</v>
      </c>
      <c r="AD849" t="s">
        <v>74</v>
      </c>
      <c r="AE849" t="s">
        <v>74</v>
      </c>
      <c r="AF849" t="s">
        <v>74</v>
      </c>
      <c r="AG849">
        <v>0</v>
      </c>
      <c r="AH849">
        <v>0</v>
      </c>
      <c r="AI849">
        <v>0</v>
      </c>
      <c r="AJ849">
        <v>0</v>
      </c>
      <c r="AK849">
        <v>0</v>
      </c>
      <c r="AL849" t="s">
        <v>1901</v>
      </c>
      <c r="AM849" t="s">
        <v>995</v>
      </c>
      <c r="AN849" t="s">
        <v>1902</v>
      </c>
      <c r="AO849" t="s">
        <v>13258</v>
      </c>
      <c r="AP849" t="s">
        <v>13259</v>
      </c>
      <c r="AQ849" t="s">
        <v>74</v>
      </c>
      <c r="AR849" t="s">
        <v>13260</v>
      </c>
      <c r="AS849" t="s">
        <v>13261</v>
      </c>
      <c r="AT849" t="s">
        <v>594</v>
      </c>
      <c r="AU849">
        <v>2023</v>
      </c>
      <c r="AV849">
        <v>118</v>
      </c>
      <c r="AW849">
        <v>10</v>
      </c>
      <c r="AX849" t="s">
        <v>74</v>
      </c>
      <c r="AY849" t="s">
        <v>4946</v>
      </c>
      <c r="AZ849" t="s">
        <v>74</v>
      </c>
      <c r="BA849" t="s">
        <v>14647</v>
      </c>
      <c r="BB849" t="s">
        <v>14648</v>
      </c>
      <c r="BC849" t="s">
        <v>14649</v>
      </c>
      <c r="BD849" t="s">
        <v>74</v>
      </c>
      <c r="BE849" t="s">
        <v>74</v>
      </c>
      <c r="BF849" t="s">
        <v>74</v>
      </c>
      <c r="BG849" t="s">
        <v>74</v>
      </c>
      <c r="BH849" t="s">
        <v>74</v>
      </c>
      <c r="BI849">
        <v>2</v>
      </c>
      <c r="BJ849" t="s">
        <v>12536</v>
      </c>
      <c r="BK849" t="s">
        <v>2257</v>
      </c>
      <c r="BL849" t="s">
        <v>12536</v>
      </c>
      <c r="BM849" t="s">
        <v>13798</v>
      </c>
      <c r="BN849" t="s">
        <v>74</v>
      </c>
      <c r="BO849" t="s">
        <v>74</v>
      </c>
      <c r="BP849" t="s">
        <v>74</v>
      </c>
      <c r="BQ849" t="s">
        <v>74</v>
      </c>
      <c r="BR849" t="s">
        <v>102</v>
      </c>
      <c r="BS849" t="s">
        <v>14650</v>
      </c>
      <c r="BT849" t="str">
        <f>HYPERLINK("https%3A%2F%2Fwww.webofscience.com%2Fwos%2Fwoscc%2Ffull-record%2FWOS:001091849301191","View Full Record in Web of Science")</f>
        <v>View Full Record in Web of Science</v>
      </c>
    </row>
    <row r="850" spans="1:72" x14ac:dyDescent="0.35">
      <c r="A850" t="s">
        <v>72</v>
      </c>
      <c r="B850" t="s">
        <v>14651</v>
      </c>
      <c r="C850" t="s">
        <v>74</v>
      </c>
      <c r="D850" t="s">
        <v>74</v>
      </c>
      <c r="E850" t="s">
        <v>74</v>
      </c>
      <c r="F850" t="s">
        <v>14652</v>
      </c>
      <c r="G850" t="s">
        <v>74</v>
      </c>
      <c r="H850" t="s">
        <v>74</v>
      </c>
      <c r="I850" t="s">
        <v>14653</v>
      </c>
      <c r="J850" t="s">
        <v>14284</v>
      </c>
      <c r="K850" t="s">
        <v>74</v>
      </c>
      <c r="L850" t="s">
        <v>74</v>
      </c>
      <c r="M850" t="s">
        <v>78</v>
      </c>
      <c r="N850" t="s">
        <v>52</v>
      </c>
      <c r="O850" t="s">
        <v>74</v>
      </c>
      <c r="P850" t="s">
        <v>74</v>
      </c>
      <c r="Q850" t="s">
        <v>74</v>
      </c>
      <c r="R850" t="s">
        <v>74</v>
      </c>
      <c r="S850" t="s">
        <v>74</v>
      </c>
      <c r="T850" t="s">
        <v>74</v>
      </c>
      <c r="U850" t="s">
        <v>74</v>
      </c>
      <c r="V850" t="s">
        <v>74</v>
      </c>
      <c r="W850" t="s">
        <v>14654</v>
      </c>
      <c r="X850" t="s">
        <v>14286</v>
      </c>
      <c r="Y850" t="s">
        <v>74</v>
      </c>
      <c r="Z850" t="s">
        <v>74</v>
      </c>
      <c r="AA850" t="s">
        <v>74</v>
      </c>
      <c r="AB850" t="s">
        <v>74</v>
      </c>
      <c r="AC850" t="s">
        <v>74</v>
      </c>
      <c r="AD850" t="s">
        <v>74</v>
      </c>
      <c r="AE850" t="s">
        <v>74</v>
      </c>
      <c r="AF850" t="s">
        <v>74</v>
      </c>
      <c r="AG850">
        <v>0</v>
      </c>
      <c r="AH850">
        <v>0</v>
      </c>
      <c r="AI850">
        <v>0</v>
      </c>
      <c r="AJ850">
        <v>0</v>
      </c>
      <c r="AK850">
        <v>0</v>
      </c>
      <c r="AL850" t="s">
        <v>12436</v>
      </c>
      <c r="AM850" t="s">
        <v>12437</v>
      </c>
      <c r="AN850" t="s">
        <v>12438</v>
      </c>
      <c r="AO850" t="s">
        <v>14287</v>
      </c>
      <c r="AP850" t="s">
        <v>14288</v>
      </c>
      <c r="AQ850" t="s">
        <v>74</v>
      </c>
      <c r="AR850" t="s">
        <v>14289</v>
      </c>
      <c r="AS850" t="s">
        <v>14290</v>
      </c>
      <c r="AT850" t="s">
        <v>455</v>
      </c>
      <c r="AU850">
        <v>2023</v>
      </c>
      <c r="AV850">
        <v>176</v>
      </c>
      <c r="AW850" t="s">
        <v>74</v>
      </c>
      <c r="AX850" t="s">
        <v>74</v>
      </c>
      <c r="AY850">
        <v>1</v>
      </c>
      <c r="AZ850" t="s">
        <v>74</v>
      </c>
      <c r="BA850">
        <v>2131</v>
      </c>
      <c r="BB850" t="s">
        <v>14655</v>
      </c>
      <c r="BC850" t="s">
        <v>14655</v>
      </c>
      <c r="BD850" t="s">
        <v>74</v>
      </c>
      <c r="BE850" t="s">
        <v>14656</v>
      </c>
      <c r="BF850" t="str">
        <f>HYPERLINK("http://dx.doi.org/10.1016/j.ygyno.2023.06.256","http://dx.doi.org/10.1016/j.ygyno.2023.06.256")</f>
        <v>http://dx.doi.org/10.1016/j.ygyno.2023.06.256</v>
      </c>
      <c r="BG850" t="s">
        <v>74</v>
      </c>
      <c r="BH850" t="s">
        <v>2929</v>
      </c>
      <c r="BI850">
        <v>1</v>
      </c>
      <c r="BJ850" t="s">
        <v>14293</v>
      </c>
      <c r="BK850" t="s">
        <v>209</v>
      </c>
      <c r="BL850" t="s">
        <v>14293</v>
      </c>
      <c r="BM850" t="s">
        <v>14294</v>
      </c>
      <c r="BN850" t="s">
        <v>74</v>
      </c>
      <c r="BO850" t="s">
        <v>74</v>
      </c>
      <c r="BP850" t="s">
        <v>74</v>
      </c>
      <c r="BQ850" t="s">
        <v>74</v>
      </c>
      <c r="BR850" t="s">
        <v>102</v>
      </c>
      <c r="BS850" t="s">
        <v>14657</v>
      </c>
      <c r="BT850" t="str">
        <f>HYPERLINK("https%3A%2F%2Fwww.webofscience.com%2Fwos%2Fwoscc%2Ffull-record%2FWOS:001079556100343","View Full Record in Web of Science")</f>
        <v>View Full Record in Web of Science</v>
      </c>
    </row>
    <row r="851" spans="1:72" x14ac:dyDescent="0.35">
      <c r="A851" t="s">
        <v>72</v>
      </c>
      <c r="B851" t="s">
        <v>14658</v>
      </c>
      <c r="C851" t="s">
        <v>74</v>
      </c>
      <c r="D851" t="s">
        <v>74</v>
      </c>
      <c r="E851" t="s">
        <v>74</v>
      </c>
      <c r="F851" t="s">
        <v>14659</v>
      </c>
      <c r="G851" t="s">
        <v>74</v>
      </c>
      <c r="H851" t="s">
        <v>74</v>
      </c>
      <c r="I851" t="s">
        <v>14660</v>
      </c>
      <c r="J851" t="s">
        <v>14661</v>
      </c>
      <c r="K851" t="s">
        <v>74</v>
      </c>
      <c r="L851" t="s">
        <v>74</v>
      </c>
      <c r="M851" t="s">
        <v>78</v>
      </c>
      <c r="N851" t="s">
        <v>108</v>
      </c>
      <c r="O851" t="s">
        <v>74</v>
      </c>
      <c r="P851" t="s">
        <v>74</v>
      </c>
      <c r="Q851" t="s">
        <v>74</v>
      </c>
      <c r="R851" t="s">
        <v>74</v>
      </c>
      <c r="S851" t="s">
        <v>74</v>
      </c>
      <c r="T851" t="s">
        <v>14662</v>
      </c>
      <c r="U851" t="s">
        <v>74</v>
      </c>
      <c r="V851" t="s">
        <v>14663</v>
      </c>
      <c r="W851" t="s">
        <v>14664</v>
      </c>
      <c r="X851" t="s">
        <v>14665</v>
      </c>
      <c r="Y851" t="s">
        <v>14666</v>
      </c>
      <c r="Z851" t="s">
        <v>14667</v>
      </c>
      <c r="AA851" t="s">
        <v>14668</v>
      </c>
      <c r="AB851" t="s">
        <v>14669</v>
      </c>
      <c r="AC851" t="s">
        <v>74</v>
      </c>
      <c r="AD851" t="s">
        <v>74</v>
      </c>
      <c r="AE851" t="s">
        <v>74</v>
      </c>
      <c r="AF851" t="s">
        <v>74</v>
      </c>
      <c r="AG851">
        <v>30</v>
      </c>
      <c r="AH851">
        <v>0</v>
      </c>
      <c r="AI851">
        <v>0</v>
      </c>
      <c r="AJ851">
        <v>1</v>
      </c>
      <c r="AK851">
        <v>4</v>
      </c>
      <c r="AL851" t="s">
        <v>88</v>
      </c>
      <c r="AM851" t="s">
        <v>89</v>
      </c>
      <c r="AN851" t="s">
        <v>90</v>
      </c>
      <c r="AO851" t="s">
        <v>14670</v>
      </c>
      <c r="AP851" t="s">
        <v>14671</v>
      </c>
      <c r="AQ851" t="s">
        <v>74</v>
      </c>
      <c r="AR851" t="s">
        <v>14672</v>
      </c>
      <c r="AS851" t="s">
        <v>14673</v>
      </c>
      <c r="AT851" t="s">
        <v>3554</v>
      </c>
      <c r="AU851">
        <v>2023</v>
      </c>
      <c r="AV851">
        <v>21</v>
      </c>
      <c r="AW851">
        <v>3</v>
      </c>
      <c r="AX851" t="s">
        <v>74</v>
      </c>
      <c r="AY851" t="s">
        <v>74</v>
      </c>
      <c r="AZ851" t="s">
        <v>456</v>
      </c>
      <c r="BA851" t="s">
        <v>74</v>
      </c>
      <c r="BB851">
        <v>307</v>
      </c>
      <c r="BC851">
        <v>323</v>
      </c>
      <c r="BD851" t="s">
        <v>74</v>
      </c>
      <c r="BE851" t="s">
        <v>14674</v>
      </c>
      <c r="BF851" t="str">
        <f>HYPERLINK("http://dx.doi.org/10.1080/14746689.2023.2215227","http://dx.doi.org/10.1080/14746689.2023.2215227")</f>
        <v>http://dx.doi.org/10.1080/14746689.2023.2215227</v>
      </c>
      <c r="BG851" t="s">
        <v>74</v>
      </c>
      <c r="BH851" t="s">
        <v>180</v>
      </c>
      <c r="BI851">
        <v>17</v>
      </c>
      <c r="BJ851" t="s">
        <v>14675</v>
      </c>
      <c r="BK851" t="s">
        <v>125</v>
      </c>
      <c r="BL851" t="s">
        <v>14675</v>
      </c>
      <c r="BM851" t="s">
        <v>14676</v>
      </c>
      <c r="BN851" t="s">
        <v>74</v>
      </c>
      <c r="BO851" t="s">
        <v>156</v>
      </c>
      <c r="BP851" t="s">
        <v>74</v>
      </c>
      <c r="BQ851" t="s">
        <v>74</v>
      </c>
      <c r="BR851" t="s">
        <v>102</v>
      </c>
      <c r="BS851" t="s">
        <v>14677</v>
      </c>
      <c r="BT851" t="str">
        <f>HYPERLINK("https%3A%2F%2Fwww.webofscience.com%2Fwos%2Fwoscc%2Ffull-record%2FWOS:000996094700001","View Full Record in Web of Science")</f>
        <v>View Full Record in Web of Science</v>
      </c>
    </row>
    <row r="852" spans="1:72" x14ac:dyDescent="0.35">
      <c r="A852" t="s">
        <v>72</v>
      </c>
      <c r="B852" t="s">
        <v>14678</v>
      </c>
      <c r="C852" t="s">
        <v>74</v>
      </c>
      <c r="D852" t="s">
        <v>74</v>
      </c>
      <c r="E852" t="s">
        <v>74</v>
      </c>
      <c r="F852" t="s">
        <v>14679</v>
      </c>
      <c r="G852" t="s">
        <v>74</v>
      </c>
      <c r="H852" t="s">
        <v>74</v>
      </c>
      <c r="I852" t="s">
        <v>14680</v>
      </c>
      <c r="J852" t="s">
        <v>2493</v>
      </c>
      <c r="K852" t="s">
        <v>74</v>
      </c>
      <c r="L852" t="s">
        <v>74</v>
      </c>
      <c r="M852" t="s">
        <v>78</v>
      </c>
      <c r="N852" t="s">
        <v>52</v>
      </c>
      <c r="O852" t="s">
        <v>9678</v>
      </c>
      <c r="P852" t="s">
        <v>9679</v>
      </c>
      <c r="Q852" t="s">
        <v>6651</v>
      </c>
      <c r="R852" t="s">
        <v>9680</v>
      </c>
      <c r="S852" t="s">
        <v>74</v>
      </c>
      <c r="T852" t="s">
        <v>74</v>
      </c>
      <c r="U852" t="s">
        <v>74</v>
      </c>
      <c r="V852" t="s">
        <v>74</v>
      </c>
      <c r="W852" t="s">
        <v>14681</v>
      </c>
      <c r="X852" t="s">
        <v>13016</v>
      </c>
      <c r="Y852" t="s">
        <v>74</v>
      </c>
      <c r="Z852" t="s">
        <v>74</v>
      </c>
      <c r="AA852" t="s">
        <v>74</v>
      </c>
      <c r="AB852" t="s">
        <v>74</v>
      </c>
      <c r="AC852" t="s">
        <v>74</v>
      </c>
      <c r="AD852" t="s">
        <v>74</v>
      </c>
      <c r="AE852" t="s">
        <v>74</v>
      </c>
      <c r="AF852" t="s">
        <v>74</v>
      </c>
      <c r="AG852">
        <v>0</v>
      </c>
      <c r="AH852">
        <v>1</v>
      </c>
      <c r="AI852">
        <v>1</v>
      </c>
      <c r="AJ852">
        <v>2</v>
      </c>
      <c r="AK852">
        <v>7</v>
      </c>
      <c r="AL852" t="s">
        <v>2027</v>
      </c>
      <c r="AM852" t="s">
        <v>666</v>
      </c>
      <c r="AN852" t="s">
        <v>2028</v>
      </c>
      <c r="AO852" t="s">
        <v>2498</v>
      </c>
      <c r="AP852" t="s">
        <v>2499</v>
      </c>
      <c r="AQ852" t="s">
        <v>74</v>
      </c>
      <c r="AR852" t="s">
        <v>2500</v>
      </c>
      <c r="AS852" t="s">
        <v>2501</v>
      </c>
      <c r="AT852" t="s">
        <v>455</v>
      </c>
      <c r="AU852">
        <v>2023</v>
      </c>
      <c r="AV852">
        <v>89</v>
      </c>
      <c r="AW852">
        <v>3</v>
      </c>
      <c r="AX852" t="s">
        <v>74</v>
      </c>
      <c r="AY852" t="s">
        <v>4946</v>
      </c>
      <c r="AZ852" t="s">
        <v>74</v>
      </c>
      <c r="BA852">
        <v>42223</v>
      </c>
      <c r="BB852" t="s">
        <v>14682</v>
      </c>
      <c r="BC852" t="s">
        <v>14682</v>
      </c>
      <c r="BD852" t="s">
        <v>74</v>
      </c>
      <c r="BE852" t="s">
        <v>74</v>
      </c>
      <c r="BF852" t="s">
        <v>74</v>
      </c>
      <c r="BG852" t="s">
        <v>74</v>
      </c>
      <c r="BH852" t="s">
        <v>74</v>
      </c>
      <c r="BI852">
        <v>1</v>
      </c>
      <c r="BJ852" t="s">
        <v>1341</v>
      </c>
      <c r="BK852" t="s">
        <v>2257</v>
      </c>
      <c r="BL852" t="s">
        <v>1341</v>
      </c>
      <c r="BM852" t="s">
        <v>9684</v>
      </c>
      <c r="BN852" t="s">
        <v>74</v>
      </c>
      <c r="BO852" t="s">
        <v>74</v>
      </c>
      <c r="BP852" t="s">
        <v>74</v>
      </c>
      <c r="BQ852" t="s">
        <v>74</v>
      </c>
      <c r="BR852" t="s">
        <v>102</v>
      </c>
      <c r="BS852" t="s">
        <v>14683</v>
      </c>
      <c r="BT852" t="str">
        <f>HYPERLINK("https%3A%2F%2Fwww.webofscience.com%2Fwos%2Fwoscc%2Ffull-record%2FWOS:001078492800479","View Full Record in Web of Science")</f>
        <v>View Full Record in Web of Science</v>
      </c>
    </row>
    <row r="853" spans="1:72" x14ac:dyDescent="0.35">
      <c r="A853" t="s">
        <v>72</v>
      </c>
      <c r="B853" t="s">
        <v>14684</v>
      </c>
      <c r="C853" t="s">
        <v>74</v>
      </c>
      <c r="D853" t="s">
        <v>74</v>
      </c>
      <c r="E853" t="s">
        <v>74</v>
      </c>
      <c r="F853" t="s">
        <v>14685</v>
      </c>
      <c r="G853" t="s">
        <v>74</v>
      </c>
      <c r="H853" t="s">
        <v>74</v>
      </c>
      <c r="I853" t="s">
        <v>14686</v>
      </c>
      <c r="J853" t="s">
        <v>14687</v>
      </c>
      <c r="K853" t="s">
        <v>74</v>
      </c>
      <c r="L853" t="s">
        <v>74</v>
      </c>
      <c r="M853" t="s">
        <v>78</v>
      </c>
      <c r="N853" t="s">
        <v>108</v>
      </c>
      <c r="O853" t="s">
        <v>74</v>
      </c>
      <c r="P853" t="s">
        <v>74</v>
      </c>
      <c r="Q853" t="s">
        <v>74</v>
      </c>
      <c r="R853" t="s">
        <v>74</v>
      </c>
      <c r="S853" t="s">
        <v>74</v>
      </c>
      <c r="T853" t="s">
        <v>14688</v>
      </c>
      <c r="U853" t="s">
        <v>14689</v>
      </c>
      <c r="V853" t="s">
        <v>14690</v>
      </c>
      <c r="W853" t="s">
        <v>14691</v>
      </c>
      <c r="X853" t="s">
        <v>14692</v>
      </c>
      <c r="Y853" t="s">
        <v>14693</v>
      </c>
      <c r="Z853" t="s">
        <v>14694</v>
      </c>
      <c r="AA853" t="s">
        <v>14695</v>
      </c>
      <c r="AB853" t="s">
        <v>14696</v>
      </c>
      <c r="AC853" t="s">
        <v>14697</v>
      </c>
      <c r="AD853" t="s">
        <v>14698</v>
      </c>
      <c r="AE853" t="s">
        <v>14699</v>
      </c>
      <c r="AF853" t="s">
        <v>74</v>
      </c>
      <c r="AG853">
        <v>30</v>
      </c>
      <c r="AH853">
        <v>13</v>
      </c>
      <c r="AI853">
        <v>13</v>
      </c>
      <c r="AJ853">
        <v>3</v>
      </c>
      <c r="AK853">
        <v>21</v>
      </c>
      <c r="AL853" t="s">
        <v>8334</v>
      </c>
      <c r="AM853" t="s">
        <v>291</v>
      </c>
      <c r="AN853" t="s">
        <v>8335</v>
      </c>
      <c r="AO853" t="s">
        <v>74</v>
      </c>
      <c r="AP853" t="s">
        <v>14700</v>
      </c>
      <c r="AQ853" t="s">
        <v>74</v>
      </c>
      <c r="AR853" t="s">
        <v>14687</v>
      </c>
      <c r="AS853" t="s">
        <v>14701</v>
      </c>
      <c r="AT853" t="s">
        <v>14702</v>
      </c>
      <c r="AU853">
        <v>2023</v>
      </c>
      <c r="AV853">
        <v>6</v>
      </c>
      <c r="AW853">
        <v>1</v>
      </c>
      <c r="AX853" t="s">
        <v>74</v>
      </c>
      <c r="AY853" t="s">
        <v>74</v>
      </c>
      <c r="AZ853" t="s">
        <v>74</v>
      </c>
      <c r="BA853" t="s">
        <v>74</v>
      </c>
      <c r="BB853" t="s">
        <v>74</v>
      </c>
      <c r="BC853" t="s">
        <v>74</v>
      </c>
      <c r="BD853" t="s">
        <v>14703</v>
      </c>
      <c r="BE853" t="s">
        <v>14704</v>
      </c>
      <c r="BF853" t="str">
        <f>HYPERLINK("http://dx.doi.org/10.1093/jamiaopen/ooad013","http://dx.doi.org/10.1093/jamiaopen/ooad013")</f>
        <v>http://dx.doi.org/10.1093/jamiaopen/ooad013</v>
      </c>
      <c r="BG853" t="s">
        <v>74</v>
      </c>
      <c r="BH853" t="s">
        <v>74</v>
      </c>
      <c r="BI853">
        <v>5</v>
      </c>
      <c r="BJ853" t="s">
        <v>550</v>
      </c>
      <c r="BK853" t="s">
        <v>125</v>
      </c>
      <c r="BL853" t="s">
        <v>550</v>
      </c>
      <c r="BM853" t="s">
        <v>14705</v>
      </c>
      <c r="BN853">
        <v>36844368</v>
      </c>
      <c r="BO853" t="s">
        <v>394</v>
      </c>
      <c r="BP853" t="s">
        <v>74</v>
      </c>
      <c r="BQ853" t="s">
        <v>74</v>
      </c>
      <c r="BR853" t="s">
        <v>102</v>
      </c>
      <c r="BS853" t="s">
        <v>14706</v>
      </c>
      <c r="BT853" t="str">
        <f>HYPERLINK("https%3A%2F%2Fwww.webofscience.com%2Fwos%2Fwoscc%2Ffull-record%2FWOS:000938855100001","View Full Record in Web of Science")</f>
        <v>View Full Record in Web of Science</v>
      </c>
    </row>
    <row r="854" spans="1:72" x14ac:dyDescent="0.35">
      <c r="A854" t="s">
        <v>72</v>
      </c>
      <c r="B854" t="s">
        <v>13420</v>
      </c>
      <c r="C854" t="s">
        <v>74</v>
      </c>
      <c r="D854" t="s">
        <v>74</v>
      </c>
      <c r="E854" t="s">
        <v>74</v>
      </c>
      <c r="F854" t="s">
        <v>14707</v>
      </c>
      <c r="G854" t="s">
        <v>74</v>
      </c>
      <c r="H854" t="s">
        <v>74</v>
      </c>
      <c r="I854" t="s">
        <v>14708</v>
      </c>
      <c r="J854" t="s">
        <v>11599</v>
      </c>
      <c r="K854" t="s">
        <v>74</v>
      </c>
      <c r="L854" t="s">
        <v>74</v>
      </c>
      <c r="M854" t="s">
        <v>78</v>
      </c>
      <c r="N854" t="s">
        <v>52</v>
      </c>
      <c r="O854" t="s">
        <v>74</v>
      </c>
      <c r="P854" t="s">
        <v>74</v>
      </c>
      <c r="Q854" t="s">
        <v>74</v>
      </c>
      <c r="R854" t="s">
        <v>74</v>
      </c>
      <c r="S854" t="s">
        <v>74</v>
      </c>
      <c r="T854" t="s">
        <v>74</v>
      </c>
      <c r="U854" t="s">
        <v>74</v>
      </c>
      <c r="V854" t="s">
        <v>74</v>
      </c>
      <c r="W854" t="s">
        <v>74</v>
      </c>
      <c r="X854" t="s">
        <v>74</v>
      </c>
      <c r="Y854" t="s">
        <v>74</v>
      </c>
      <c r="Z854" t="s">
        <v>74</v>
      </c>
      <c r="AA854" t="s">
        <v>74</v>
      </c>
      <c r="AB854" t="s">
        <v>74</v>
      </c>
      <c r="AC854" t="s">
        <v>74</v>
      </c>
      <c r="AD854" t="s">
        <v>74</v>
      </c>
      <c r="AE854" t="s">
        <v>74</v>
      </c>
      <c r="AF854" t="s">
        <v>74</v>
      </c>
      <c r="AG854">
        <v>0</v>
      </c>
      <c r="AH854">
        <v>0</v>
      </c>
      <c r="AI854">
        <v>0</v>
      </c>
      <c r="AJ854">
        <v>0</v>
      </c>
      <c r="AK854">
        <v>0</v>
      </c>
      <c r="AL854" t="s">
        <v>1901</v>
      </c>
      <c r="AM854" t="s">
        <v>995</v>
      </c>
      <c r="AN854" t="s">
        <v>1902</v>
      </c>
      <c r="AO854" t="s">
        <v>11600</v>
      </c>
      <c r="AP854" t="s">
        <v>11601</v>
      </c>
      <c r="AQ854" t="s">
        <v>74</v>
      </c>
      <c r="AR854" t="s">
        <v>11602</v>
      </c>
      <c r="AS854" t="s">
        <v>11603</v>
      </c>
      <c r="AT854" t="s">
        <v>930</v>
      </c>
      <c r="AU854">
        <v>2023</v>
      </c>
      <c r="AV854">
        <v>209</v>
      </c>
      <c r="AW854" t="s">
        <v>74</v>
      </c>
      <c r="AX854" t="s">
        <v>74</v>
      </c>
      <c r="AY854">
        <v>4</v>
      </c>
      <c r="AZ854" t="s">
        <v>74</v>
      </c>
      <c r="BA854" t="s">
        <v>14709</v>
      </c>
      <c r="BB854" t="s">
        <v>14710</v>
      </c>
      <c r="BC854" t="s">
        <v>14710</v>
      </c>
      <c r="BD854" t="s">
        <v>74</v>
      </c>
      <c r="BE854" t="s">
        <v>74</v>
      </c>
      <c r="BF854" t="s">
        <v>74</v>
      </c>
      <c r="BG854" t="s">
        <v>74</v>
      </c>
      <c r="BH854" t="s">
        <v>74</v>
      </c>
      <c r="BI854">
        <v>1</v>
      </c>
      <c r="BJ854" t="s">
        <v>1908</v>
      </c>
      <c r="BK854" t="s">
        <v>209</v>
      </c>
      <c r="BL854" t="s">
        <v>1908</v>
      </c>
      <c r="BM854" t="s">
        <v>12811</v>
      </c>
      <c r="BN854" t="s">
        <v>74</v>
      </c>
      <c r="BO854" t="s">
        <v>74</v>
      </c>
      <c r="BP854" t="s">
        <v>74</v>
      </c>
      <c r="BQ854" t="s">
        <v>74</v>
      </c>
      <c r="BR854" t="s">
        <v>102</v>
      </c>
      <c r="BS854" t="s">
        <v>14711</v>
      </c>
      <c r="BT854" t="str">
        <f>HYPERLINK("https%3A%2F%2Fwww.webofscience.com%2Fwos%2Fwoscc%2Ffull-record%2FWOS:000994549502082","View Full Record in Web of Science")</f>
        <v>View Full Record in Web of Science</v>
      </c>
    </row>
    <row r="855" spans="1:72" x14ac:dyDescent="0.35">
      <c r="A855" t="s">
        <v>72</v>
      </c>
      <c r="B855" t="s">
        <v>13561</v>
      </c>
      <c r="C855" t="s">
        <v>74</v>
      </c>
      <c r="D855" t="s">
        <v>74</v>
      </c>
      <c r="E855" t="s">
        <v>74</v>
      </c>
      <c r="F855" t="s">
        <v>13562</v>
      </c>
      <c r="G855" t="s">
        <v>74</v>
      </c>
      <c r="H855" t="s">
        <v>74</v>
      </c>
      <c r="I855" t="s">
        <v>13563</v>
      </c>
      <c r="J855" t="s">
        <v>11599</v>
      </c>
      <c r="K855" t="s">
        <v>74</v>
      </c>
      <c r="L855" t="s">
        <v>74</v>
      </c>
      <c r="M855" t="s">
        <v>78</v>
      </c>
      <c r="N855" t="s">
        <v>52</v>
      </c>
      <c r="O855" t="s">
        <v>74</v>
      </c>
      <c r="P855" t="s">
        <v>74</v>
      </c>
      <c r="Q855" t="s">
        <v>74</v>
      </c>
      <c r="R855" t="s">
        <v>74</v>
      </c>
      <c r="S855" t="s">
        <v>74</v>
      </c>
      <c r="T855" t="s">
        <v>74</v>
      </c>
      <c r="U855" t="s">
        <v>74</v>
      </c>
      <c r="V855" t="s">
        <v>74</v>
      </c>
      <c r="W855" t="s">
        <v>74</v>
      </c>
      <c r="X855" t="s">
        <v>74</v>
      </c>
      <c r="Y855" t="s">
        <v>74</v>
      </c>
      <c r="Z855" t="s">
        <v>74</v>
      </c>
      <c r="AA855" t="s">
        <v>12808</v>
      </c>
      <c r="AB855" t="s">
        <v>74</v>
      </c>
      <c r="AC855" t="s">
        <v>74</v>
      </c>
      <c r="AD855" t="s">
        <v>74</v>
      </c>
      <c r="AE855" t="s">
        <v>74</v>
      </c>
      <c r="AF855" t="s">
        <v>74</v>
      </c>
      <c r="AG855">
        <v>0</v>
      </c>
      <c r="AH855">
        <v>1</v>
      </c>
      <c r="AI855">
        <v>1</v>
      </c>
      <c r="AJ855">
        <v>0</v>
      </c>
      <c r="AK855">
        <v>0</v>
      </c>
      <c r="AL855" t="s">
        <v>1901</v>
      </c>
      <c r="AM855" t="s">
        <v>995</v>
      </c>
      <c r="AN855" t="s">
        <v>1902</v>
      </c>
      <c r="AO855" t="s">
        <v>11600</v>
      </c>
      <c r="AP855" t="s">
        <v>11601</v>
      </c>
      <c r="AQ855" t="s">
        <v>74</v>
      </c>
      <c r="AR855" t="s">
        <v>11602</v>
      </c>
      <c r="AS855" t="s">
        <v>11603</v>
      </c>
      <c r="AT855" t="s">
        <v>930</v>
      </c>
      <c r="AU855">
        <v>2023</v>
      </c>
      <c r="AV855">
        <v>209</v>
      </c>
      <c r="AW855" t="s">
        <v>74</v>
      </c>
      <c r="AX855" t="s">
        <v>74</v>
      </c>
      <c r="AY855">
        <v>4</v>
      </c>
      <c r="AZ855" t="s">
        <v>74</v>
      </c>
      <c r="BA855" t="s">
        <v>14712</v>
      </c>
      <c r="BB855" t="s">
        <v>14713</v>
      </c>
      <c r="BC855" t="s">
        <v>14714</v>
      </c>
      <c r="BD855" t="s">
        <v>74</v>
      </c>
      <c r="BE855" t="s">
        <v>74</v>
      </c>
      <c r="BF855" t="s">
        <v>74</v>
      </c>
      <c r="BG855" t="s">
        <v>74</v>
      </c>
      <c r="BH855" t="s">
        <v>74</v>
      </c>
      <c r="BI855">
        <v>2</v>
      </c>
      <c r="BJ855" t="s">
        <v>1908</v>
      </c>
      <c r="BK855" t="s">
        <v>209</v>
      </c>
      <c r="BL855" t="s">
        <v>1908</v>
      </c>
      <c r="BM855" t="s">
        <v>12811</v>
      </c>
      <c r="BN855" t="s">
        <v>74</v>
      </c>
      <c r="BO855" t="s">
        <v>74</v>
      </c>
      <c r="BP855" t="s">
        <v>74</v>
      </c>
      <c r="BQ855" t="s">
        <v>74</v>
      </c>
      <c r="BR855" t="s">
        <v>102</v>
      </c>
      <c r="BS855" t="s">
        <v>14715</v>
      </c>
      <c r="BT855" t="str">
        <f>HYPERLINK("https%3A%2F%2Fwww.webofscience.com%2Fwos%2Fwoscc%2Ffull-record%2FWOS:000994549501240","View Full Record in Web of Science")</f>
        <v>View Full Record in Web of Science</v>
      </c>
    </row>
    <row r="856" spans="1:72" x14ac:dyDescent="0.35">
      <c r="A856" t="s">
        <v>72</v>
      </c>
      <c r="B856" t="s">
        <v>14716</v>
      </c>
      <c r="C856" t="s">
        <v>74</v>
      </c>
      <c r="D856" t="s">
        <v>74</v>
      </c>
      <c r="E856" t="s">
        <v>74</v>
      </c>
      <c r="F856" t="s">
        <v>14717</v>
      </c>
      <c r="G856" t="s">
        <v>74</v>
      </c>
      <c r="H856" t="s">
        <v>74</v>
      </c>
      <c r="I856" t="s">
        <v>14718</v>
      </c>
      <c r="J856" t="s">
        <v>14719</v>
      </c>
      <c r="K856" t="s">
        <v>74</v>
      </c>
      <c r="L856" t="s">
        <v>74</v>
      </c>
      <c r="M856" t="s">
        <v>78</v>
      </c>
      <c r="N856" t="s">
        <v>52</v>
      </c>
      <c r="O856" t="s">
        <v>74</v>
      </c>
      <c r="P856" t="s">
        <v>74</v>
      </c>
      <c r="Q856" t="s">
        <v>74</v>
      </c>
      <c r="R856" t="s">
        <v>74</v>
      </c>
      <c r="S856" t="s">
        <v>74</v>
      </c>
      <c r="T856" t="s">
        <v>74</v>
      </c>
      <c r="U856" t="s">
        <v>74</v>
      </c>
      <c r="V856" t="s">
        <v>74</v>
      </c>
      <c r="W856" t="s">
        <v>14720</v>
      </c>
      <c r="X856" t="s">
        <v>14721</v>
      </c>
      <c r="Y856" t="s">
        <v>74</v>
      </c>
      <c r="Z856" t="s">
        <v>74</v>
      </c>
      <c r="AA856" t="s">
        <v>14722</v>
      </c>
      <c r="AB856" t="s">
        <v>74</v>
      </c>
      <c r="AC856" t="s">
        <v>74</v>
      </c>
      <c r="AD856" t="s">
        <v>74</v>
      </c>
      <c r="AE856" t="s">
        <v>74</v>
      </c>
      <c r="AF856" t="s">
        <v>74</v>
      </c>
      <c r="AG856">
        <v>0</v>
      </c>
      <c r="AH856">
        <v>0</v>
      </c>
      <c r="AI856">
        <v>0</v>
      </c>
      <c r="AJ856">
        <v>0</v>
      </c>
      <c r="AK856">
        <v>0</v>
      </c>
      <c r="AL856" t="s">
        <v>251</v>
      </c>
      <c r="AM856" t="s">
        <v>252</v>
      </c>
      <c r="AN856" t="s">
        <v>253</v>
      </c>
      <c r="AO856" t="s">
        <v>14723</v>
      </c>
      <c r="AP856" t="s">
        <v>14724</v>
      </c>
      <c r="AQ856" t="s">
        <v>74</v>
      </c>
      <c r="AR856" t="s">
        <v>14725</v>
      </c>
      <c r="AS856" t="s">
        <v>14726</v>
      </c>
      <c r="AT856" t="s">
        <v>1484</v>
      </c>
      <c r="AU856">
        <v>2023</v>
      </c>
      <c r="AV856">
        <v>55</v>
      </c>
      <c r="AW856" t="s">
        <v>74</v>
      </c>
      <c r="AX856" t="s">
        <v>74</v>
      </c>
      <c r="AY856">
        <v>35</v>
      </c>
      <c r="AZ856" t="s">
        <v>74</v>
      </c>
      <c r="BA856" t="s">
        <v>74</v>
      </c>
      <c r="BB856" t="s">
        <v>9926</v>
      </c>
      <c r="BC856" t="s">
        <v>9926</v>
      </c>
      <c r="BD856" t="s">
        <v>74</v>
      </c>
      <c r="BE856" t="s">
        <v>74</v>
      </c>
      <c r="BF856" t="s">
        <v>74</v>
      </c>
      <c r="BG856" t="s">
        <v>74</v>
      </c>
      <c r="BH856" t="s">
        <v>74</v>
      </c>
      <c r="BI856">
        <v>1</v>
      </c>
      <c r="BJ856" t="s">
        <v>13156</v>
      </c>
      <c r="BK856" t="s">
        <v>209</v>
      </c>
      <c r="BL856" t="s">
        <v>13156</v>
      </c>
      <c r="BM856" t="s">
        <v>14727</v>
      </c>
      <c r="BN856" t="s">
        <v>74</v>
      </c>
      <c r="BO856" t="s">
        <v>74</v>
      </c>
      <c r="BP856" t="s">
        <v>74</v>
      </c>
      <c r="BQ856" t="s">
        <v>74</v>
      </c>
      <c r="BR856" t="s">
        <v>102</v>
      </c>
      <c r="BS856" t="s">
        <v>14728</v>
      </c>
      <c r="BT856" t="str">
        <f>HYPERLINK("https%3A%2F%2Fwww.webofscience.com%2Fwos%2Fwoscc%2Ffull-record%2FWOS:001042980400222","View Full Record in Web of Science")</f>
        <v>View Full Record in Web of Science</v>
      </c>
    </row>
    <row r="857" spans="1:72" x14ac:dyDescent="0.35">
      <c r="A857" t="s">
        <v>72</v>
      </c>
      <c r="B857" t="s">
        <v>14729</v>
      </c>
      <c r="C857" t="s">
        <v>74</v>
      </c>
      <c r="D857" t="s">
        <v>74</v>
      </c>
      <c r="E857" t="s">
        <v>74</v>
      </c>
      <c r="F857" t="s">
        <v>14730</v>
      </c>
      <c r="G857" t="s">
        <v>74</v>
      </c>
      <c r="H857" t="s">
        <v>74</v>
      </c>
      <c r="I857" t="s">
        <v>14731</v>
      </c>
      <c r="J857" t="s">
        <v>14732</v>
      </c>
      <c r="K857" t="s">
        <v>74</v>
      </c>
      <c r="L857" t="s">
        <v>74</v>
      </c>
      <c r="M857" t="s">
        <v>78</v>
      </c>
      <c r="N857" t="s">
        <v>79</v>
      </c>
      <c r="O857" t="s">
        <v>74</v>
      </c>
      <c r="P857" t="s">
        <v>74</v>
      </c>
      <c r="Q857" t="s">
        <v>74</v>
      </c>
      <c r="R857" t="s">
        <v>74</v>
      </c>
      <c r="S857" t="s">
        <v>74</v>
      </c>
      <c r="T857" t="s">
        <v>14733</v>
      </c>
      <c r="U857" t="s">
        <v>14734</v>
      </c>
      <c r="V857" t="s">
        <v>14735</v>
      </c>
      <c r="W857" t="s">
        <v>14736</v>
      </c>
      <c r="X857" t="s">
        <v>14737</v>
      </c>
      <c r="Y857" t="s">
        <v>14738</v>
      </c>
      <c r="Z857" t="s">
        <v>14739</v>
      </c>
      <c r="AA857" t="s">
        <v>74</v>
      </c>
      <c r="AB857" t="s">
        <v>14740</v>
      </c>
      <c r="AC857" t="s">
        <v>74</v>
      </c>
      <c r="AD857" t="s">
        <v>74</v>
      </c>
      <c r="AE857" t="s">
        <v>74</v>
      </c>
      <c r="AF857" t="s">
        <v>74</v>
      </c>
      <c r="AG857">
        <v>24</v>
      </c>
      <c r="AH857">
        <v>1</v>
      </c>
      <c r="AI857">
        <v>1</v>
      </c>
      <c r="AJ857">
        <v>3</v>
      </c>
      <c r="AK857">
        <v>6</v>
      </c>
      <c r="AL857" t="s">
        <v>171</v>
      </c>
      <c r="AM857" t="s">
        <v>172</v>
      </c>
      <c r="AN857" t="s">
        <v>173</v>
      </c>
      <c r="AO857" t="s">
        <v>14741</v>
      </c>
      <c r="AP857" t="s">
        <v>14742</v>
      </c>
      <c r="AQ857" t="s">
        <v>74</v>
      </c>
      <c r="AR857" t="s">
        <v>14743</v>
      </c>
      <c r="AS857" t="s">
        <v>14744</v>
      </c>
      <c r="AT857" t="s">
        <v>14745</v>
      </c>
      <c r="AU857">
        <v>2024</v>
      </c>
      <c r="AV857" t="s">
        <v>74</v>
      </c>
      <c r="AW857" t="s">
        <v>74</v>
      </c>
      <c r="AX857" t="s">
        <v>74</v>
      </c>
      <c r="AY857" t="s">
        <v>74</v>
      </c>
      <c r="AZ857" t="s">
        <v>74</v>
      </c>
      <c r="BA857" t="s">
        <v>74</v>
      </c>
      <c r="BB857" t="s">
        <v>74</v>
      </c>
      <c r="BC857" t="s">
        <v>74</v>
      </c>
      <c r="BD857" t="s">
        <v>74</v>
      </c>
      <c r="BE857" t="s">
        <v>14746</v>
      </c>
      <c r="BF857" t="str">
        <f>HYPERLINK("http://dx.doi.org/10.1177/22925503241234936","http://dx.doi.org/10.1177/22925503241234936")</f>
        <v>http://dx.doi.org/10.1177/22925503241234936</v>
      </c>
      <c r="BG857" t="s">
        <v>74</v>
      </c>
      <c r="BH857" t="s">
        <v>2410</v>
      </c>
      <c r="BI857">
        <v>9</v>
      </c>
      <c r="BJ857" t="s">
        <v>4994</v>
      </c>
      <c r="BK857" t="s">
        <v>209</v>
      </c>
      <c r="BL857" t="s">
        <v>4994</v>
      </c>
      <c r="BM857" t="s">
        <v>14747</v>
      </c>
      <c r="BN857">
        <v>39553514</v>
      </c>
      <c r="BO857" t="s">
        <v>74</v>
      </c>
      <c r="BP857" t="s">
        <v>74</v>
      </c>
      <c r="BQ857" t="s">
        <v>74</v>
      </c>
      <c r="BR857" t="s">
        <v>102</v>
      </c>
      <c r="BS857" t="s">
        <v>14748</v>
      </c>
      <c r="BT857" t="str">
        <f>HYPERLINK("https%3A%2F%2Fwww.webofscience.com%2Fwos%2Fwoscc%2Ffull-record%2FWOS:001196186000001","View Full Record in Web of Science")</f>
        <v>View Full Record in Web of Science</v>
      </c>
    </row>
    <row r="858" spans="1:72" x14ac:dyDescent="0.35">
      <c r="A858" t="s">
        <v>72</v>
      </c>
      <c r="B858" t="s">
        <v>14749</v>
      </c>
      <c r="C858" t="s">
        <v>74</v>
      </c>
      <c r="D858" t="s">
        <v>74</v>
      </c>
      <c r="E858" t="s">
        <v>74</v>
      </c>
      <c r="F858" t="s">
        <v>14750</v>
      </c>
      <c r="G858" t="s">
        <v>74</v>
      </c>
      <c r="H858" t="s">
        <v>74</v>
      </c>
      <c r="I858" t="s">
        <v>14751</v>
      </c>
      <c r="J858" t="s">
        <v>8324</v>
      </c>
      <c r="K858" t="s">
        <v>74</v>
      </c>
      <c r="L858" t="s">
        <v>74</v>
      </c>
      <c r="M858" t="s">
        <v>78</v>
      </c>
      <c r="N858" t="s">
        <v>108</v>
      </c>
      <c r="O858" t="s">
        <v>74</v>
      </c>
      <c r="P858" t="s">
        <v>74</v>
      </c>
      <c r="Q858" t="s">
        <v>74</v>
      </c>
      <c r="R858" t="s">
        <v>74</v>
      </c>
      <c r="S858" t="s">
        <v>74</v>
      </c>
      <c r="T858" t="s">
        <v>74</v>
      </c>
      <c r="U858" t="s">
        <v>74</v>
      </c>
      <c r="V858" t="s">
        <v>14752</v>
      </c>
      <c r="W858" t="s">
        <v>14753</v>
      </c>
      <c r="X858" t="s">
        <v>14754</v>
      </c>
      <c r="Y858" t="s">
        <v>14755</v>
      </c>
      <c r="Z858" t="s">
        <v>14756</v>
      </c>
      <c r="AA858" t="s">
        <v>14757</v>
      </c>
      <c r="AB858" t="s">
        <v>14758</v>
      </c>
      <c r="AC858" t="s">
        <v>14759</v>
      </c>
      <c r="AD858" t="s">
        <v>14760</v>
      </c>
      <c r="AE858" t="s">
        <v>14761</v>
      </c>
      <c r="AF858" t="s">
        <v>74</v>
      </c>
      <c r="AG858">
        <v>36</v>
      </c>
      <c r="AH858">
        <v>3</v>
      </c>
      <c r="AI858">
        <v>3</v>
      </c>
      <c r="AJ858">
        <v>2</v>
      </c>
      <c r="AK858">
        <v>7</v>
      </c>
      <c r="AL858" t="s">
        <v>8334</v>
      </c>
      <c r="AM858" t="s">
        <v>291</v>
      </c>
      <c r="AN858" t="s">
        <v>8335</v>
      </c>
      <c r="AO858" t="s">
        <v>8336</v>
      </c>
      <c r="AP858" t="s">
        <v>8337</v>
      </c>
      <c r="AQ858" t="s">
        <v>74</v>
      </c>
      <c r="AR858" t="s">
        <v>8338</v>
      </c>
      <c r="AS858" t="s">
        <v>8339</v>
      </c>
      <c r="AT858" t="s">
        <v>11548</v>
      </c>
      <c r="AU858">
        <v>2024</v>
      </c>
      <c r="AV858">
        <v>26</v>
      </c>
      <c r="AW858" t="s">
        <v>74</v>
      </c>
      <c r="AX858" t="s">
        <v>74</v>
      </c>
      <c r="AY858" t="s">
        <v>14762</v>
      </c>
      <c r="AZ858" t="s">
        <v>456</v>
      </c>
      <c r="BA858" t="s">
        <v>74</v>
      </c>
      <c r="BB858" t="s">
        <v>14763</v>
      </c>
      <c r="BC858" t="s">
        <v>14764</v>
      </c>
      <c r="BD858" t="s">
        <v>74</v>
      </c>
      <c r="BE858" t="s">
        <v>14765</v>
      </c>
      <c r="BF858" t="str">
        <f>HYPERLINK("http://dx.doi.org/10.1093/ntr/ntad184","http://dx.doi.org/10.1093/ntr/ntad184")</f>
        <v>http://dx.doi.org/10.1093/ntr/ntad184</v>
      </c>
      <c r="BG858" t="s">
        <v>74</v>
      </c>
      <c r="BH858" t="s">
        <v>786</v>
      </c>
      <c r="BI858">
        <v>7</v>
      </c>
      <c r="BJ858" t="s">
        <v>8342</v>
      </c>
      <c r="BK858" t="s">
        <v>182</v>
      </c>
      <c r="BL858" t="s">
        <v>8342</v>
      </c>
      <c r="BM858" t="s">
        <v>14766</v>
      </c>
      <c r="BN858">
        <v>38366342</v>
      </c>
      <c r="BO858" t="s">
        <v>156</v>
      </c>
      <c r="BP858" t="s">
        <v>74</v>
      </c>
      <c r="BQ858" t="s">
        <v>74</v>
      </c>
      <c r="BR858" t="s">
        <v>102</v>
      </c>
      <c r="BS858" t="s">
        <v>14767</v>
      </c>
      <c r="BT858" t="str">
        <f>HYPERLINK("https%3A%2F%2Fwww.webofscience.com%2Fwos%2Fwoscc%2Ffull-record%2FWOS:001163609800005","View Full Record in Web of Science")</f>
        <v>View Full Record in Web of Science</v>
      </c>
    </row>
    <row r="859" spans="1:72" x14ac:dyDescent="0.35">
      <c r="A859" t="s">
        <v>72</v>
      </c>
      <c r="B859" t="s">
        <v>9061</v>
      </c>
      <c r="C859" t="s">
        <v>74</v>
      </c>
      <c r="D859" t="s">
        <v>74</v>
      </c>
      <c r="E859" t="s">
        <v>74</v>
      </c>
      <c r="F859" t="s">
        <v>9062</v>
      </c>
      <c r="G859" t="s">
        <v>74</v>
      </c>
      <c r="H859" t="s">
        <v>74</v>
      </c>
      <c r="I859" t="s">
        <v>14768</v>
      </c>
      <c r="J859" t="s">
        <v>2450</v>
      </c>
      <c r="K859" t="s">
        <v>74</v>
      </c>
      <c r="L859" t="s">
        <v>74</v>
      </c>
      <c r="M859" t="s">
        <v>78</v>
      </c>
      <c r="N859" t="s">
        <v>108</v>
      </c>
      <c r="O859" t="s">
        <v>74</v>
      </c>
      <c r="P859" t="s">
        <v>74</v>
      </c>
      <c r="Q859" t="s">
        <v>74</v>
      </c>
      <c r="R859" t="s">
        <v>74</v>
      </c>
      <c r="S859" t="s">
        <v>74</v>
      </c>
      <c r="T859" t="s">
        <v>74</v>
      </c>
      <c r="U859" t="s">
        <v>14769</v>
      </c>
      <c r="V859" t="s">
        <v>14770</v>
      </c>
      <c r="W859" t="s">
        <v>13224</v>
      </c>
      <c r="X859" t="s">
        <v>9069</v>
      </c>
      <c r="Y859" t="s">
        <v>14771</v>
      </c>
      <c r="Z859" t="s">
        <v>9071</v>
      </c>
      <c r="AA859" t="s">
        <v>9072</v>
      </c>
      <c r="AB859" t="s">
        <v>13226</v>
      </c>
      <c r="AC859" t="s">
        <v>9074</v>
      </c>
      <c r="AD859" t="s">
        <v>9075</v>
      </c>
      <c r="AE859" t="s">
        <v>14772</v>
      </c>
      <c r="AF859" t="s">
        <v>74</v>
      </c>
      <c r="AG859">
        <v>90</v>
      </c>
      <c r="AH859">
        <v>10</v>
      </c>
      <c r="AI859">
        <v>10</v>
      </c>
      <c r="AJ859">
        <v>11</v>
      </c>
      <c r="AK859">
        <v>58</v>
      </c>
      <c r="AL859" t="s">
        <v>2458</v>
      </c>
      <c r="AM859" t="s">
        <v>2459</v>
      </c>
      <c r="AN859" t="s">
        <v>2460</v>
      </c>
      <c r="AO859" t="s">
        <v>2461</v>
      </c>
      <c r="AP859" t="s">
        <v>74</v>
      </c>
      <c r="AQ859" t="s">
        <v>74</v>
      </c>
      <c r="AR859" t="s">
        <v>2450</v>
      </c>
      <c r="AS859" t="s">
        <v>2462</v>
      </c>
      <c r="AT859" t="s">
        <v>14773</v>
      </c>
      <c r="AU859">
        <v>2023</v>
      </c>
      <c r="AV859">
        <v>18</v>
      </c>
      <c r="AW859">
        <v>2</v>
      </c>
      <c r="AX859" t="s">
        <v>74</v>
      </c>
      <c r="AY859" t="s">
        <v>74</v>
      </c>
      <c r="AZ859" t="s">
        <v>74</v>
      </c>
      <c r="BA859" t="s">
        <v>74</v>
      </c>
      <c r="BB859" t="s">
        <v>74</v>
      </c>
      <c r="BC859" t="s">
        <v>74</v>
      </c>
      <c r="BD859" t="s">
        <v>14774</v>
      </c>
      <c r="BE859" t="s">
        <v>14775</v>
      </c>
      <c r="BF859" t="str">
        <f>HYPERLINK("http://dx.doi.org/10.1371/journal.pone.0280281","http://dx.doi.org/10.1371/journal.pone.0280281")</f>
        <v>http://dx.doi.org/10.1371/journal.pone.0280281</v>
      </c>
      <c r="BG859" t="s">
        <v>74</v>
      </c>
      <c r="BH859" t="s">
        <v>74</v>
      </c>
      <c r="BI859">
        <v>14</v>
      </c>
      <c r="BJ859" t="s">
        <v>1301</v>
      </c>
      <c r="BK859" t="s">
        <v>209</v>
      </c>
      <c r="BL859" t="s">
        <v>1302</v>
      </c>
      <c r="BM859" t="s">
        <v>14776</v>
      </c>
      <c r="BN859">
        <v>36749797</v>
      </c>
      <c r="BO859" t="s">
        <v>394</v>
      </c>
      <c r="BP859" t="s">
        <v>74</v>
      </c>
      <c r="BQ859" t="s">
        <v>74</v>
      </c>
      <c r="BR859" t="s">
        <v>102</v>
      </c>
      <c r="BS859" t="s">
        <v>14777</v>
      </c>
      <c r="BT859" t="str">
        <f>HYPERLINK("https%3A%2F%2Fwww.webofscience.com%2Fwos%2Fwoscc%2Ffull-record%2FWOS:000988955100001","View Full Record in Web of Science")</f>
        <v>View Full Record in Web of Science</v>
      </c>
    </row>
    <row r="860" spans="1:72" x14ac:dyDescent="0.35">
      <c r="A860" t="s">
        <v>8845</v>
      </c>
      <c r="B860" t="s">
        <v>8846</v>
      </c>
      <c r="C860" t="s">
        <v>8847</v>
      </c>
      <c r="D860" t="s">
        <v>74</v>
      </c>
      <c r="E860" t="s">
        <v>74</v>
      </c>
      <c r="F860" t="s">
        <v>8848</v>
      </c>
      <c r="G860" t="s">
        <v>8847</v>
      </c>
      <c r="H860" t="s">
        <v>74</v>
      </c>
      <c r="I860" t="s">
        <v>14778</v>
      </c>
      <c r="J860" t="s">
        <v>8850</v>
      </c>
      <c r="K860" t="s">
        <v>8851</v>
      </c>
      <c r="L860" t="s">
        <v>74</v>
      </c>
      <c r="M860" t="s">
        <v>78</v>
      </c>
      <c r="N860" t="s">
        <v>14779</v>
      </c>
      <c r="O860" t="s">
        <v>74</v>
      </c>
      <c r="P860" t="s">
        <v>74</v>
      </c>
      <c r="Q860" t="s">
        <v>74</v>
      </c>
      <c r="R860" t="s">
        <v>74</v>
      </c>
      <c r="S860" t="s">
        <v>74</v>
      </c>
      <c r="T860" t="s">
        <v>74</v>
      </c>
      <c r="U860" t="s">
        <v>74</v>
      </c>
      <c r="V860" t="s">
        <v>74</v>
      </c>
      <c r="W860" t="s">
        <v>8852</v>
      </c>
      <c r="X860" t="s">
        <v>8853</v>
      </c>
      <c r="Y860" t="s">
        <v>8854</v>
      </c>
      <c r="Z860" t="s">
        <v>74</v>
      </c>
      <c r="AA860" t="s">
        <v>14780</v>
      </c>
      <c r="AB860" t="s">
        <v>74</v>
      </c>
      <c r="AC860" t="s">
        <v>74</v>
      </c>
      <c r="AD860" t="s">
        <v>74</v>
      </c>
      <c r="AE860" t="s">
        <v>74</v>
      </c>
      <c r="AF860" t="s">
        <v>74</v>
      </c>
      <c r="AG860">
        <v>0</v>
      </c>
      <c r="AH860">
        <v>0</v>
      </c>
      <c r="AI860">
        <v>0</v>
      </c>
      <c r="AJ860">
        <v>0</v>
      </c>
      <c r="AK860">
        <v>0</v>
      </c>
      <c r="AL860" t="s">
        <v>8855</v>
      </c>
      <c r="AM860" t="s">
        <v>89</v>
      </c>
      <c r="AN860" t="s">
        <v>8856</v>
      </c>
      <c r="AO860" t="s">
        <v>74</v>
      </c>
      <c r="AP860" t="s">
        <v>74</v>
      </c>
      <c r="AQ860" t="s">
        <v>8857</v>
      </c>
      <c r="AR860" t="s">
        <v>8858</v>
      </c>
      <c r="AS860" t="s">
        <v>74</v>
      </c>
      <c r="AT860" t="s">
        <v>74</v>
      </c>
      <c r="AU860">
        <v>2024</v>
      </c>
      <c r="AV860" t="s">
        <v>74</v>
      </c>
      <c r="AW860" t="s">
        <v>74</v>
      </c>
      <c r="AX860" t="s">
        <v>74</v>
      </c>
      <c r="AY860" t="s">
        <v>74</v>
      </c>
      <c r="AZ860" t="s">
        <v>74</v>
      </c>
      <c r="BA860" t="s">
        <v>74</v>
      </c>
      <c r="BB860" t="s">
        <v>14781</v>
      </c>
      <c r="BC860" t="s">
        <v>14782</v>
      </c>
      <c r="BD860" t="s">
        <v>74</v>
      </c>
      <c r="BE860" t="s">
        <v>74</v>
      </c>
      <c r="BF860" t="s">
        <v>74</v>
      </c>
      <c r="BG860" t="s">
        <v>8860</v>
      </c>
      <c r="BH860" t="s">
        <v>74</v>
      </c>
      <c r="BI860">
        <v>2</v>
      </c>
      <c r="BJ860" t="s">
        <v>8861</v>
      </c>
      <c r="BK860" t="s">
        <v>8862</v>
      </c>
      <c r="BL860" t="s">
        <v>8861</v>
      </c>
      <c r="BM860" t="s">
        <v>8863</v>
      </c>
      <c r="BN860" t="s">
        <v>74</v>
      </c>
      <c r="BO860" t="s">
        <v>74</v>
      </c>
      <c r="BP860" t="s">
        <v>74</v>
      </c>
      <c r="BQ860" t="s">
        <v>74</v>
      </c>
      <c r="BR860" t="s">
        <v>102</v>
      </c>
      <c r="BS860" t="s">
        <v>14783</v>
      </c>
      <c r="BT860" t="str">
        <f>HYPERLINK("https%3A%2F%2Fwww.webofscience.com%2Fwos%2Fwoscc%2Ffull-record%2FWOS:001219761700001","View Full Record in Web of Science")</f>
        <v>View Full Record in Web of Science</v>
      </c>
    </row>
    <row r="861" spans="1:72" x14ac:dyDescent="0.35">
      <c r="A861" t="s">
        <v>72</v>
      </c>
      <c r="B861" t="s">
        <v>14784</v>
      </c>
      <c r="C861" t="s">
        <v>74</v>
      </c>
      <c r="D861" t="s">
        <v>74</v>
      </c>
      <c r="E861" t="s">
        <v>74</v>
      </c>
      <c r="F861" t="s">
        <v>14785</v>
      </c>
      <c r="G861" t="s">
        <v>74</v>
      </c>
      <c r="H861" t="s">
        <v>74</v>
      </c>
      <c r="I861" t="s">
        <v>14786</v>
      </c>
      <c r="J861" t="s">
        <v>13146</v>
      </c>
      <c r="K861" t="s">
        <v>74</v>
      </c>
      <c r="L861" t="s">
        <v>74</v>
      </c>
      <c r="M861" t="s">
        <v>78</v>
      </c>
      <c r="N861" t="s">
        <v>2042</v>
      </c>
      <c r="O861" t="s">
        <v>74</v>
      </c>
      <c r="P861" t="s">
        <v>74</v>
      </c>
      <c r="Q861" t="s">
        <v>74</v>
      </c>
      <c r="R861" t="s">
        <v>74</v>
      </c>
      <c r="S861" t="s">
        <v>74</v>
      </c>
      <c r="T861" t="s">
        <v>74</v>
      </c>
      <c r="U861" t="s">
        <v>74</v>
      </c>
      <c r="V861" t="s">
        <v>74</v>
      </c>
      <c r="W861" t="s">
        <v>14787</v>
      </c>
      <c r="X861" t="s">
        <v>14788</v>
      </c>
      <c r="Y861" t="s">
        <v>14789</v>
      </c>
      <c r="Z861" t="s">
        <v>14047</v>
      </c>
      <c r="AA861" t="s">
        <v>74</v>
      </c>
      <c r="AB861" t="s">
        <v>74</v>
      </c>
      <c r="AC861" t="s">
        <v>74</v>
      </c>
      <c r="AD861" t="s">
        <v>74</v>
      </c>
      <c r="AE861" t="s">
        <v>74</v>
      </c>
      <c r="AF861" t="s">
        <v>74</v>
      </c>
      <c r="AG861">
        <v>4</v>
      </c>
      <c r="AH861">
        <v>4</v>
      </c>
      <c r="AI861">
        <v>4</v>
      </c>
      <c r="AJ861">
        <v>0</v>
      </c>
      <c r="AK861">
        <v>1</v>
      </c>
      <c r="AL861" t="s">
        <v>1901</v>
      </c>
      <c r="AM861" t="s">
        <v>995</v>
      </c>
      <c r="AN861" t="s">
        <v>1902</v>
      </c>
      <c r="AO861" t="s">
        <v>13151</v>
      </c>
      <c r="AP861" t="s">
        <v>13152</v>
      </c>
      <c r="AQ861" t="s">
        <v>74</v>
      </c>
      <c r="AR861" t="s">
        <v>13153</v>
      </c>
      <c r="AS861" t="s">
        <v>13154</v>
      </c>
      <c r="AT861" t="s">
        <v>455</v>
      </c>
      <c r="AU861">
        <v>2022</v>
      </c>
      <c r="AV861">
        <v>48</v>
      </c>
      <c r="AW861">
        <v>9</v>
      </c>
      <c r="AX861" t="s">
        <v>74</v>
      </c>
      <c r="AY861" t="s">
        <v>74</v>
      </c>
      <c r="AZ861" t="s">
        <v>74</v>
      </c>
      <c r="BA861" t="s">
        <v>74</v>
      </c>
      <c r="BB861">
        <v>1018</v>
      </c>
      <c r="BC861">
        <v>1020</v>
      </c>
      <c r="BD861" t="s">
        <v>74</v>
      </c>
      <c r="BE861" t="s">
        <v>14790</v>
      </c>
      <c r="BF861" t="str">
        <f>HYPERLINK("http://dx.doi.org/10.1097/DSS.0000000000003549","http://dx.doi.org/10.1097/DSS.0000000000003549")</f>
        <v>http://dx.doi.org/10.1097/DSS.0000000000003549</v>
      </c>
      <c r="BG861" t="s">
        <v>74</v>
      </c>
      <c r="BH861" t="s">
        <v>74</v>
      </c>
      <c r="BI861">
        <v>3</v>
      </c>
      <c r="BJ861" t="s">
        <v>13156</v>
      </c>
      <c r="BK861" t="s">
        <v>209</v>
      </c>
      <c r="BL861" t="s">
        <v>13156</v>
      </c>
      <c r="BM861" t="s">
        <v>14515</v>
      </c>
      <c r="BN861">
        <v>35862647</v>
      </c>
      <c r="BO861" t="s">
        <v>74</v>
      </c>
      <c r="BP861" t="s">
        <v>74</v>
      </c>
      <c r="BQ861" t="s">
        <v>74</v>
      </c>
      <c r="BR861" t="s">
        <v>102</v>
      </c>
      <c r="BS861" t="s">
        <v>14791</v>
      </c>
      <c r="BT861" t="str">
        <f>HYPERLINK("https%3A%2F%2Fwww.webofscience.com%2Fwos%2Fwoscc%2Ffull-record%2FWOS:000849034200030","View Full Record in Web of Science")</f>
        <v>View Full Record in Web of Science</v>
      </c>
    </row>
    <row r="862" spans="1:72" x14ac:dyDescent="0.35">
      <c r="A862" t="s">
        <v>72</v>
      </c>
      <c r="B862" t="s">
        <v>14792</v>
      </c>
      <c r="C862" t="s">
        <v>74</v>
      </c>
      <c r="D862" t="s">
        <v>74</v>
      </c>
      <c r="E862" t="s">
        <v>74</v>
      </c>
      <c r="F862" t="s">
        <v>14793</v>
      </c>
      <c r="G862" t="s">
        <v>74</v>
      </c>
      <c r="H862" t="s">
        <v>74</v>
      </c>
      <c r="I862" t="s">
        <v>14794</v>
      </c>
      <c r="J862" t="s">
        <v>14795</v>
      </c>
      <c r="K862" t="s">
        <v>74</v>
      </c>
      <c r="L862" t="s">
        <v>74</v>
      </c>
      <c r="M862" t="s">
        <v>78</v>
      </c>
      <c r="N862" t="s">
        <v>1328</v>
      </c>
      <c r="O862" t="s">
        <v>74</v>
      </c>
      <c r="P862" t="s">
        <v>74</v>
      </c>
      <c r="Q862" t="s">
        <v>74</v>
      </c>
      <c r="R862" t="s">
        <v>74</v>
      </c>
      <c r="S862" t="s">
        <v>74</v>
      </c>
      <c r="T862" t="s">
        <v>74</v>
      </c>
      <c r="U862" t="s">
        <v>74</v>
      </c>
      <c r="V862" t="s">
        <v>74</v>
      </c>
      <c r="W862" t="s">
        <v>14796</v>
      </c>
      <c r="X862" t="s">
        <v>14797</v>
      </c>
      <c r="Y862" t="s">
        <v>14798</v>
      </c>
      <c r="Z862" t="s">
        <v>14799</v>
      </c>
      <c r="AA862" t="s">
        <v>14800</v>
      </c>
      <c r="AB862" t="s">
        <v>14801</v>
      </c>
      <c r="AC862" t="s">
        <v>74</v>
      </c>
      <c r="AD862" t="s">
        <v>74</v>
      </c>
      <c r="AE862" t="s">
        <v>74</v>
      </c>
      <c r="AF862" t="s">
        <v>74</v>
      </c>
      <c r="AG862">
        <v>5</v>
      </c>
      <c r="AH862">
        <v>1</v>
      </c>
      <c r="AI862">
        <v>1</v>
      </c>
      <c r="AJ862">
        <v>0</v>
      </c>
      <c r="AK862">
        <v>1</v>
      </c>
      <c r="AL862" t="s">
        <v>516</v>
      </c>
      <c r="AM862" t="s">
        <v>517</v>
      </c>
      <c r="AN862" t="s">
        <v>518</v>
      </c>
      <c r="AO862" t="s">
        <v>14802</v>
      </c>
      <c r="AP862" t="s">
        <v>74</v>
      </c>
      <c r="AQ862" t="s">
        <v>74</v>
      </c>
      <c r="AR862" t="s">
        <v>14803</v>
      </c>
      <c r="AS862" t="s">
        <v>14804</v>
      </c>
      <c r="AT862" t="s">
        <v>523</v>
      </c>
      <c r="AU862">
        <v>2023</v>
      </c>
      <c r="AV862">
        <v>5</v>
      </c>
      <c r="AW862">
        <v>11</v>
      </c>
      <c r="AX862" t="s">
        <v>74</v>
      </c>
      <c r="AY862" t="s">
        <v>74</v>
      </c>
      <c r="AZ862" t="s">
        <v>74</v>
      </c>
      <c r="BA862" t="s">
        <v>74</v>
      </c>
      <c r="BB862" t="s">
        <v>74</v>
      </c>
      <c r="BC862" t="s">
        <v>74</v>
      </c>
      <c r="BD862">
        <v>101138</v>
      </c>
      <c r="BE862" t="s">
        <v>14805</v>
      </c>
      <c r="BF862" t="str">
        <f>HYPERLINK("http://dx.doi.org/10.1016/j.ajogmf.2023.101138","http://dx.doi.org/10.1016/j.ajogmf.2023.101138")</f>
        <v>http://dx.doi.org/10.1016/j.ajogmf.2023.101138</v>
      </c>
      <c r="BG862" t="s">
        <v>74</v>
      </c>
      <c r="BH862" t="s">
        <v>2929</v>
      </c>
      <c r="BI862">
        <v>3</v>
      </c>
      <c r="BJ862" t="s">
        <v>1971</v>
      </c>
      <c r="BK862" t="s">
        <v>209</v>
      </c>
      <c r="BL862" t="s">
        <v>1971</v>
      </c>
      <c r="BM862" t="s">
        <v>14806</v>
      </c>
      <c r="BN862">
        <v>37619780</v>
      </c>
      <c r="BO862" t="s">
        <v>74</v>
      </c>
      <c r="BP862" t="s">
        <v>74</v>
      </c>
      <c r="BQ862" t="s">
        <v>74</v>
      </c>
      <c r="BR862" t="s">
        <v>102</v>
      </c>
      <c r="BS862" t="s">
        <v>14807</v>
      </c>
      <c r="BT862" t="str">
        <f>HYPERLINK("https%3A%2F%2Fwww.webofscience.com%2Fwos%2Fwoscc%2Ffull-record%2FWOS:001083657900001","View Full Record in Web of Science")</f>
        <v>View Full Record in Web of Science</v>
      </c>
    </row>
    <row r="863" spans="1:72" x14ac:dyDescent="0.35">
      <c r="A863" t="s">
        <v>72</v>
      </c>
      <c r="B863" t="s">
        <v>14808</v>
      </c>
      <c r="C863" t="s">
        <v>74</v>
      </c>
      <c r="D863" t="s">
        <v>74</v>
      </c>
      <c r="E863" t="s">
        <v>74</v>
      </c>
      <c r="F863" t="s">
        <v>14809</v>
      </c>
      <c r="G863" t="s">
        <v>74</v>
      </c>
      <c r="H863" t="s">
        <v>74</v>
      </c>
      <c r="I863" t="s">
        <v>14810</v>
      </c>
      <c r="J863" t="s">
        <v>14811</v>
      </c>
      <c r="K863" t="s">
        <v>74</v>
      </c>
      <c r="L863" t="s">
        <v>74</v>
      </c>
      <c r="M863" t="s">
        <v>78</v>
      </c>
      <c r="N863" t="s">
        <v>1328</v>
      </c>
      <c r="O863" t="s">
        <v>74</v>
      </c>
      <c r="P863" t="s">
        <v>74</v>
      </c>
      <c r="Q863" t="s">
        <v>74</v>
      </c>
      <c r="R863" t="s">
        <v>74</v>
      </c>
      <c r="S863" t="s">
        <v>74</v>
      </c>
      <c r="T863" t="s">
        <v>74</v>
      </c>
      <c r="U863" t="s">
        <v>74</v>
      </c>
      <c r="V863" t="s">
        <v>74</v>
      </c>
      <c r="W863" t="s">
        <v>14812</v>
      </c>
      <c r="X863" t="s">
        <v>14813</v>
      </c>
      <c r="Y863" t="s">
        <v>14814</v>
      </c>
      <c r="Z863" t="s">
        <v>14815</v>
      </c>
      <c r="AA863" t="s">
        <v>14816</v>
      </c>
      <c r="AB863" t="s">
        <v>14817</v>
      </c>
      <c r="AC863" t="s">
        <v>74</v>
      </c>
      <c r="AD863" t="s">
        <v>74</v>
      </c>
      <c r="AE863" t="s">
        <v>74</v>
      </c>
      <c r="AF863" t="s">
        <v>74</v>
      </c>
      <c r="AG863">
        <v>7</v>
      </c>
      <c r="AH863">
        <v>0</v>
      </c>
      <c r="AI863">
        <v>0</v>
      </c>
      <c r="AJ863">
        <v>0</v>
      </c>
      <c r="AK863">
        <v>7</v>
      </c>
      <c r="AL863" t="s">
        <v>171</v>
      </c>
      <c r="AM863" t="s">
        <v>172</v>
      </c>
      <c r="AN863" t="s">
        <v>173</v>
      </c>
      <c r="AO863" t="s">
        <v>14818</v>
      </c>
      <c r="AP863" t="s">
        <v>14819</v>
      </c>
      <c r="AQ863" t="s">
        <v>74</v>
      </c>
      <c r="AR863" t="s">
        <v>14820</v>
      </c>
      <c r="AS863" t="s">
        <v>14821</v>
      </c>
      <c r="AT863" t="s">
        <v>232</v>
      </c>
      <c r="AU863">
        <v>2022</v>
      </c>
      <c r="AV863">
        <v>34</v>
      </c>
      <c r="AW863">
        <v>1</v>
      </c>
      <c r="AX863" t="s">
        <v>74</v>
      </c>
      <c r="AY863" t="s">
        <v>74</v>
      </c>
      <c r="AZ863" t="s">
        <v>74</v>
      </c>
      <c r="BA863" t="s">
        <v>74</v>
      </c>
      <c r="BB863">
        <v>149</v>
      </c>
      <c r="BC863">
        <v>150</v>
      </c>
      <c r="BD863">
        <v>1.010539521104648E+16</v>
      </c>
      <c r="BE863" t="s">
        <v>14822</v>
      </c>
      <c r="BF863" t="str">
        <f>HYPERLINK("http://dx.doi.org/10.1177/10105395211046479","http://dx.doi.org/10.1177/10105395211046479")</f>
        <v>http://dx.doi.org/10.1177/10105395211046479</v>
      </c>
      <c r="BG863" t="s">
        <v>74</v>
      </c>
      <c r="BH863" t="s">
        <v>2056</v>
      </c>
      <c r="BI863">
        <v>2</v>
      </c>
      <c r="BJ863" t="s">
        <v>392</v>
      </c>
      <c r="BK863" t="s">
        <v>182</v>
      </c>
      <c r="BL863" t="s">
        <v>392</v>
      </c>
      <c r="BM863" t="s">
        <v>14823</v>
      </c>
      <c r="BN863">
        <v>34549622</v>
      </c>
      <c r="BO863" t="s">
        <v>156</v>
      </c>
      <c r="BP863" t="s">
        <v>74</v>
      </c>
      <c r="BQ863" t="s">
        <v>74</v>
      </c>
      <c r="BR863" t="s">
        <v>102</v>
      </c>
      <c r="BS863" t="s">
        <v>14824</v>
      </c>
      <c r="BT863" t="str">
        <f>HYPERLINK("https%3A%2F%2Fwww.webofscience.com%2Fwos%2Fwoscc%2Ffull-record%2FWOS:000700417300001","View Full Record in Web of Science")</f>
        <v>View Full Record in Web of Science</v>
      </c>
    </row>
    <row r="864" spans="1:72" x14ac:dyDescent="0.35">
      <c r="A864" t="s">
        <v>72</v>
      </c>
      <c r="B864" t="s">
        <v>14825</v>
      </c>
      <c r="C864" t="s">
        <v>74</v>
      </c>
      <c r="D864" t="s">
        <v>74</v>
      </c>
      <c r="E864" t="s">
        <v>74</v>
      </c>
      <c r="F864" t="s">
        <v>14826</v>
      </c>
      <c r="G864" t="s">
        <v>74</v>
      </c>
      <c r="H864" t="s">
        <v>74</v>
      </c>
      <c r="I864" t="s">
        <v>14827</v>
      </c>
      <c r="J864" t="s">
        <v>1603</v>
      </c>
      <c r="K864" t="s">
        <v>74</v>
      </c>
      <c r="L864" t="s">
        <v>74</v>
      </c>
      <c r="M864" t="s">
        <v>78</v>
      </c>
      <c r="N864" t="s">
        <v>108</v>
      </c>
      <c r="O864" t="s">
        <v>74</v>
      </c>
      <c r="P864" t="s">
        <v>74</v>
      </c>
      <c r="Q864" t="s">
        <v>74</v>
      </c>
      <c r="R864" t="s">
        <v>74</v>
      </c>
      <c r="S864" t="s">
        <v>74</v>
      </c>
      <c r="T864" t="s">
        <v>14828</v>
      </c>
      <c r="U864" t="s">
        <v>14829</v>
      </c>
      <c r="V864" t="s">
        <v>14830</v>
      </c>
      <c r="W864" t="s">
        <v>14831</v>
      </c>
      <c r="X864" t="s">
        <v>14832</v>
      </c>
      <c r="Y864" t="s">
        <v>14833</v>
      </c>
      <c r="Z864" t="s">
        <v>1610</v>
      </c>
      <c r="AA864" t="s">
        <v>74</v>
      </c>
      <c r="AB864" t="s">
        <v>14834</v>
      </c>
      <c r="AC864" t="s">
        <v>74</v>
      </c>
      <c r="AD864" t="s">
        <v>74</v>
      </c>
      <c r="AE864" t="s">
        <v>74</v>
      </c>
      <c r="AF864" t="s">
        <v>74</v>
      </c>
      <c r="AG864">
        <v>74</v>
      </c>
      <c r="AH864">
        <v>0</v>
      </c>
      <c r="AI864">
        <v>0</v>
      </c>
      <c r="AJ864">
        <v>16</v>
      </c>
      <c r="AK864">
        <v>16</v>
      </c>
      <c r="AL864" t="s">
        <v>516</v>
      </c>
      <c r="AM864" t="s">
        <v>517</v>
      </c>
      <c r="AN864" t="s">
        <v>518</v>
      </c>
      <c r="AO864" t="s">
        <v>1612</v>
      </c>
      <c r="AP864" t="s">
        <v>1613</v>
      </c>
      <c r="AQ864" t="s">
        <v>74</v>
      </c>
      <c r="AR864" t="s">
        <v>1603</v>
      </c>
      <c r="AS864" t="s">
        <v>1614</v>
      </c>
      <c r="AT864" t="s">
        <v>1275</v>
      </c>
      <c r="AU864">
        <v>2024</v>
      </c>
      <c r="AV864">
        <v>51</v>
      </c>
      <c r="AW864" t="s">
        <v>74</v>
      </c>
      <c r="AX864" t="s">
        <v>74</v>
      </c>
      <c r="AY864" t="s">
        <v>74</v>
      </c>
      <c r="AZ864" t="s">
        <v>74</v>
      </c>
      <c r="BA864" t="s">
        <v>74</v>
      </c>
      <c r="BB864" t="s">
        <v>74</v>
      </c>
      <c r="BC864" t="s">
        <v>74</v>
      </c>
      <c r="BD864">
        <v>101769</v>
      </c>
      <c r="BE864" t="s">
        <v>14835</v>
      </c>
      <c r="BF864" t="str">
        <f>HYPERLINK("http://dx.doi.org/10.1016/j.bodyim.2024.101769","http://dx.doi.org/10.1016/j.bodyim.2024.101769")</f>
        <v>http://dx.doi.org/10.1016/j.bodyim.2024.101769</v>
      </c>
      <c r="BG864" t="s">
        <v>74</v>
      </c>
      <c r="BH864" t="s">
        <v>478</v>
      </c>
      <c r="BI864">
        <v>11</v>
      </c>
      <c r="BJ864" t="s">
        <v>1616</v>
      </c>
      <c r="BK864" t="s">
        <v>99</v>
      </c>
      <c r="BL864" t="s">
        <v>1617</v>
      </c>
      <c r="BM864" t="s">
        <v>14836</v>
      </c>
      <c r="BN864">
        <v>39013285</v>
      </c>
      <c r="BO864" t="s">
        <v>156</v>
      </c>
      <c r="BP864" t="s">
        <v>74</v>
      </c>
      <c r="BQ864" t="s">
        <v>74</v>
      </c>
      <c r="BR864" t="s">
        <v>102</v>
      </c>
      <c r="BS864" t="s">
        <v>14837</v>
      </c>
      <c r="BT864" t="str">
        <f>HYPERLINK("https%3A%2F%2Fwww.webofscience.com%2Fwos%2Fwoscc%2Ffull-record%2FWOS:001271914700001","View Full Record in Web of Science")</f>
        <v>View Full Record in Web of Science</v>
      </c>
    </row>
    <row r="865" spans="1:72" x14ac:dyDescent="0.35">
      <c r="A865" t="s">
        <v>72</v>
      </c>
      <c r="B865" t="s">
        <v>14838</v>
      </c>
      <c r="C865" t="s">
        <v>74</v>
      </c>
      <c r="D865" t="s">
        <v>74</v>
      </c>
      <c r="E865" t="s">
        <v>74</v>
      </c>
      <c r="F865" t="s">
        <v>14839</v>
      </c>
      <c r="G865" t="s">
        <v>74</v>
      </c>
      <c r="H865" t="s">
        <v>74</v>
      </c>
      <c r="I865" t="s">
        <v>14840</v>
      </c>
      <c r="J865" t="s">
        <v>14123</v>
      </c>
      <c r="K865" t="s">
        <v>74</v>
      </c>
      <c r="L865" t="s">
        <v>74</v>
      </c>
      <c r="M865" t="s">
        <v>78</v>
      </c>
      <c r="N865" t="s">
        <v>108</v>
      </c>
      <c r="O865" t="s">
        <v>74</v>
      </c>
      <c r="P865" t="s">
        <v>74</v>
      </c>
      <c r="Q865" t="s">
        <v>74</v>
      </c>
      <c r="R865" t="s">
        <v>74</v>
      </c>
      <c r="S865" t="s">
        <v>74</v>
      </c>
      <c r="T865" t="s">
        <v>14841</v>
      </c>
      <c r="U865" t="s">
        <v>14842</v>
      </c>
      <c r="V865" t="s">
        <v>14843</v>
      </c>
      <c r="W865" t="s">
        <v>14844</v>
      </c>
      <c r="X865" t="s">
        <v>6905</v>
      </c>
      <c r="Y865" t="s">
        <v>14845</v>
      </c>
      <c r="Z865" t="s">
        <v>14846</v>
      </c>
      <c r="AA865" t="s">
        <v>14847</v>
      </c>
      <c r="AB865" t="s">
        <v>14848</v>
      </c>
      <c r="AC865" t="s">
        <v>74</v>
      </c>
      <c r="AD865" t="s">
        <v>74</v>
      </c>
      <c r="AE865" t="s">
        <v>74</v>
      </c>
      <c r="AF865" t="s">
        <v>74</v>
      </c>
      <c r="AG865">
        <v>58</v>
      </c>
      <c r="AH865">
        <v>5</v>
      </c>
      <c r="AI865">
        <v>5</v>
      </c>
      <c r="AJ865">
        <v>2</v>
      </c>
      <c r="AK865">
        <v>15</v>
      </c>
      <c r="AL865" t="s">
        <v>14132</v>
      </c>
      <c r="AM865" t="s">
        <v>14133</v>
      </c>
      <c r="AN865" t="s">
        <v>14134</v>
      </c>
      <c r="AO865" t="s">
        <v>14135</v>
      </c>
      <c r="AP865" t="s">
        <v>74</v>
      </c>
      <c r="AQ865" t="s">
        <v>74</v>
      </c>
      <c r="AR865" t="s">
        <v>14136</v>
      </c>
      <c r="AS865" t="s">
        <v>14137</v>
      </c>
      <c r="AT865" t="s">
        <v>74</v>
      </c>
      <c r="AU865">
        <v>2023</v>
      </c>
      <c r="AV865">
        <v>36</v>
      </c>
      <c r="AW865">
        <v>3</v>
      </c>
      <c r="AX865" t="s">
        <v>74</v>
      </c>
      <c r="AY865" t="s">
        <v>74</v>
      </c>
      <c r="AZ865" t="s">
        <v>74</v>
      </c>
      <c r="BA865" t="s">
        <v>74</v>
      </c>
      <c r="BB865">
        <v>87</v>
      </c>
      <c r="BC865">
        <v>101</v>
      </c>
      <c r="BD865" t="s">
        <v>74</v>
      </c>
      <c r="BE865" t="s">
        <v>14849</v>
      </c>
      <c r="BF865" t="str">
        <f>HYPERLINK("http://dx.doi.org/10.15581/003.36.3.87-101","http://dx.doi.org/10.15581/003.36.3.87-101")</f>
        <v>http://dx.doi.org/10.15581/003.36.3.87-101</v>
      </c>
      <c r="BG865" t="s">
        <v>74</v>
      </c>
      <c r="BH865" t="s">
        <v>74</v>
      </c>
      <c r="BI865">
        <v>15</v>
      </c>
      <c r="BJ865" t="s">
        <v>124</v>
      </c>
      <c r="BK865" t="s">
        <v>125</v>
      </c>
      <c r="BL865" t="s">
        <v>124</v>
      </c>
      <c r="BM865" t="s">
        <v>14850</v>
      </c>
      <c r="BN865" t="s">
        <v>74</v>
      </c>
      <c r="BO865" t="s">
        <v>394</v>
      </c>
      <c r="BP865" t="s">
        <v>74</v>
      </c>
      <c r="BQ865" t="s">
        <v>74</v>
      </c>
      <c r="BR865" t="s">
        <v>102</v>
      </c>
      <c r="BS865" t="s">
        <v>14851</v>
      </c>
      <c r="BT865" t="str">
        <f>HYPERLINK("https%3A%2F%2Fwww.webofscience.com%2Fwos%2Fwoscc%2Ffull-record%2FWOS:001016423000006","View Full Record in Web of Science")</f>
        <v>View Full Record in Web of Science</v>
      </c>
    </row>
    <row r="866" spans="1:72" x14ac:dyDescent="0.35">
      <c r="A866" t="s">
        <v>72</v>
      </c>
      <c r="B866" t="s">
        <v>14852</v>
      </c>
      <c r="C866" t="s">
        <v>74</v>
      </c>
      <c r="D866" t="s">
        <v>74</v>
      </c>
      <c r="E866" t="s">
        <v>74</v>
      </c>
      <c r="F866" t="s">
        <v>14853</v>
      </c>
      <c r="G866" t="s">
        <v>74</v>
      </c>
      <c r="H866" t="s">
        <v>74</v>
      </c>
      <c r="I866" t="s">
        <v>14854</v>
      </c>
      <c r="J866" t="s">
        <v>6288</v>
      </c>
      <c r="K866" t="s">
        <v>74</v>
      </c>
      <c r="L866" t="s">
        <v>74</v>
      </c>
      <c r="M866" t="s">
        <v>78</v>
      </c>
      <c r="N866" t="s">
        <v>52</v>
      </c>
      <c r="O866" t="s">
        <v>74</v>
      </c>
      <c r="P866" t="s">
        <v>74</v>
      </c>
      <c r="Q866" t="s">
        <v>74</v>
      </c>
      <c r="R866" t="s">
        <v>74</v>
      </c>
      <c r="S866" t="s">
        <v>74</v>
      </c>
      <c r="T866" t="s">
        <v>74</v>
      </c>
      <c r="U866" t="s">
        <v>74</v>
      </c>
      <c r="V866" t="s">
        <v>74</v>
      </c>
      <c r="W866" t="s">
        <v>14855</v>
      </c>
      <c r="X866" t="s">
        <v>14856</v>
      </c>
      <c r="Y866" t="s">
        <v>74</v>
      </c>
      <c r="Z866" t="s">
        <v>74</v>
      </c>
      <c r="AA866" t="s">
        <v>14857</v>
      </c>
      <c r="AB866" t="s">
        <v>14858</v>
      </c>
      <c r="AC866" t="s">
        <v>14859</v>
      </c>
      <c r="AD866" t="s">
        <v>14859</v>
      </c>
      <c r="AE866" t="s">
        <v>14860</v>
      </c>
      <c r="AF866" t="s">
        <v>74</v>
      </c>
      <c r="AG866">
        <v>0</v>
      </c>
      <c r="AH866">
        <v>0</v>
      </c>
      <c r="AI866">
        <v>0</v>
      </c>
      <c r="AJ866">
        <v>0</v>
      </c>
      <c r="AK866">
        <v>2</v>
      </c>
      <c r="AL866" t="s">
        <v>1965</v>
      </c>
      <c r="AM866" t="s">
        <v>666</v>
      </c>
      <c r="AN866" t="s">
        <v>1966</v>
      </c>
      <c r="AO866" t="s">
        <v>6297</v>
      </c>
      <c r="AP866" t="s">
        <v>6298</v>
      </c>
      <c r="AQ866" t="s">
        <v>74</v>
      </c>
      <c r="AR866" t="s">
        <v>6299</v>
      </c>
      <c r="AS866" t="s">
        <v>6300</v>
      </c>
      <c r="AT866" t="s">
        <v>1484</v>
      </c>
      <c r="AU866">
        <v>2023</v>
      </c>
      <c r="AV866">
        <v>72</v>
      </c>
      <c r="AW866">
        <v>3</v>
      </c>
      <c r="AX866" t="s">
        <v>74</v>
      </c>
      <c r="AY866" t="s">
        <v>4946</v>
      </c>
      <c r="AZ866" t="s">
        <v>74</v>
      </c>
      <c r="BA866">
        <v>104</v>
      </c>
      <c r="BB866" t="s">
        <v>12787</v>
      </c>
      <c r="BC866" t="s">
        <v>12787</v>
      </c>
      <c r="BD866" t="s">
        <v>74</v>
      </c>
      <c r="BE866" t="s">
        <v>74</v>
      </c>
      <c r="BF866" t="s">
        <v>74</v>
      </c>
      <c r="BG866" t="s">
        <v>74</v>
      </c>
      <c r="BH866" t="s">
        <v>74</v>
      </c>
      <c r="BI866">
        <v>1</v>
      </c>
      <c r="BJ866" t="s">
        <v>6302</v>
      </c>
      <c r="BK866" t="s">
        <v>182</v>
      </c>
      <c r="BL866" t="s">
        <v>6303</v>
      </c>
      <c r="BM866" t="s">
        <v>14861</v>
      </c>
      <c r="BN866" t="s">
        <v>74</v>
      </c>
      <c r="BO866" t="s">
        <v>74</v>
      </c>
      <c r="BP866" t="s">
        <v>74</v>
      </c>
      <c r="BQ866" t="s">
        <v>74</v>
      </c>
      <c r="BR866" t="s">
        <v>102</v>
      </c>
      <c r="BS866" t="s">
        <v>14862</v>
      </c>
      <c r="BT866" t="str">
        <f>HYPERLINK("https%3A%2F%2Fwww.webofscience.com%2Fwos%2Fwoscc%2Ffull-record%2FWOS:000995238000104","View Full Record in Web of Science")</f>
        <v>View Full Record in Web of Science</v>
      </c>
    </row>
    <row r="867" spans="1:72" x14ac:dyDescent="0.35">
      <c r="A867" t="s">
        <v>72</v>
      </c>
      <c r="B867" t="s">
        <v>14863</v>
      </c>
      <c r="C867" t="s">
        <v>74</v>
      </c>
      <c r="D867" t="s">
        <v>74</v>
      </c>
      <c r="E867" t="s">
        <v>74</v>
      </c>
      <c r="F867" t="s">
        <v>14864</v>
      </c>
      <c r="G867" t="s">
        <v>74</v>
      </c>
      <c r="H867" t="s">
        <v>74</v>
      </c>
      <c r="I867" t="s">
        <v>14865</v>
      </c>
      <c r="J867" t="s">
        <v>14866</v>
      </c>
      <c r="K867" t="s">
        <v>74</v>
      </c>
      <c r="L867" t="s">
        <v>74</v>
      </c>
      <c r="M867" t="s">
        <v>78</v>
      </c>
      <c r="N867" t="s">
        <v>108</v>
      </c>
      <c r="O867" t="s">
        <v>74</v>
      </c>
      <c r="P867" t="s">
        <v>74</v>
      </c>
      <c r="Q867" t="s">
        <v>74</v>
      </c>
      <c r="R867" t="s">
        <v>74</v>
      </c>
      <c r="S867" t="s">
        <v>74</v>
      </c>
      <c r="T867" t="s">
        <v>14867</v>
      </c>
      <c r="U867" t="s">
        <v>74</v>
      </c>
      <c r="V867" t="s">
        <v>14868</v>
      </c>
      <c r="W867" t="s">
        <v>14869</v>
      </c>
      <c r="X867" t="s">
        <v>14870</v>
      </c>
      <c r="Y867" t="s">
        <v>14871</v>
      </c>
      <c r="Z867" t="s">
        <v>14872</v>
      </c>
      <c r="AA867" t="s">
        <v>74</v>
      </c>
      <c r="AB867" t="s">
        <v>14873</v>
      </c>
      <c r="AC867" t="s">
        <v>74</v>
      </c>
      <c r="AD867" t="s">
        <v>74</v>
      </c>
      <c r="AE867" t="s">
        <v>74</v>
      </c>
      <c r="AF867" t="s">
        <v>74</v>
      </c>
      <c r="AG867">
        <v>10</v>
      </c>
      <c r="AH867">
        <v>48</v>
      </c>
      <c r="AI867">
        <v>56</v>
      </c>
      <c r="AJ867">
        <v>9</v>
      </c>
      <c r="AK867">
        <v>92</v>
      </c>
      <c r="AL867" t="s">
        <v>171</v>
      </c>
      <c r="AM867" t="s">
        <v>172</v>
      </c>
      <c r="AN867" t="s">
        <v>173</v>
      </c>
      <c r="AO867" t="s">
        <v>14874</v>
      </c>
      <c r="AP867" t="s">
        <v>14875</v>
      </c>
      <c r="AQ867" t="s">
        <v>74</v>
      </c>
      <c r="AR867" t="s">
        <v>14876</v>
      </c>
      <c r="AS867" t="s">
        <v>14877</v>
      </c>
      <c r="AT867" t="s">
        <v>455</v>
      </c>
      <c r="AU867">
        <v>2022</v>
      </c>
      <c r="AV867">
        <v>23</v>
      </c>
      <c r="AW867">
        <v>5</v>
      </c>
      <c r="AX867" t="s">
        <v>74</v>
      </c>
      <c r="AY867" t="s">
        <v>74</v>
      </c>
      <c r="AZ867" t="s">
        <v>74</v>
      </c>
      <c r="BA867" t="s">
        <v>74</v>
      </c>
      <c r="BB867">
        <v>739</v>
      </c>
      <c r="BC867">
        <v>742</v>
      </c>
      <c r="BD867">
        <v>1.5248399211031536E+16</v>
      </c>
      <c r="BE867" t="s">
        <v>14878</v>
      </c>
      <c r="BF867" t="str">
        <f>HYPERLINK("http://dx.doi.org/10.1177/15248399211031536","http://dx.doi.org/10.1177/15248399211031536")</f>
        <v>http://dx.doi.org/10.1177/15248399211031536</v>
      </c>
      <c r="BG867" t="s">
        <v>74</v>
      </c>
      <c r="BH867" t="s">
        <v>97</v>
      </c>
      <c r="BI867">
        <v>4</v>
      </c>
      <c r="BJ867" t="s">
        <v>392</v>
      </c>
      <c r="BK867" t="s">
        <v>125</v>
      </c>
      <c r="BL867" t="s">
        <v>392</v>
      </c>
      <c r="BM867" t="s">
        <v>14879</v>
      </c>
      <c r="BN867">
        <v>34416842</v>
      </c>
      <c r="BO867" t="s">
        <v>74</v>
      </c>
      <c r="BP867" t="s">
        <v>74</v>
      </c>
      <c r="BQ867" t="s">
        <v>74</v>
      </c>
      <c r="BR867" t="s">
        <v>102</v>
      </c>
      <c r="BS867" t="s">
        <v>14880</v>
      </c>
      <c r="BT867" t="str">
        <f>HYPERLINK("https%3A%2F%2Fwww.webofscience.com%2Fwos%2Fwoscc%2Ffull-record%2FWOS:000686976800001","View Full Record in Web of Science")</f>
        <v>View Full Record in Web of Science</v>
      </c>
    </row>
    <row r="868" spans="1:72" x14ac:dyDescent="0.35">
      <c r="A868" t="s">
        <v>72</v>
      </c>
      <c r="B868" t="s">
        <v>14881</v>
      </c>
      <c r="C868" t="s">
        <v>74</v>
      </c>
      <c r="D868" t="s">
        <v>74</v>
      </c>
      <c r="E868" t="s">
        <v>74</v>
      </c>
      <c r="F868" t="s">
        <v>14882</v>
      </c>
      <c r="G868" t="s">
        <v>74</v>
      </c>
      <c r="H868" t="s">
        <v>74</v>
      </c>
      <c r="I868" t="s">
        <v>14883</v>
      </c>
      <c r="J868" t="s">
        <v>14884</v>
      </c>
      <c r="K868" t="s">
        <v>74</v>
      </c>
      <c r="L868" t="s">
        <v>74</v>
      </c>
      <c r="M868" t="s">
        <v>78</v>
      </c>
      <c r="N868" t="s">
        <v>2042</v>
      </c>
      <c r="O868" t="s">
        <v>74</v>
      </c>
      <c r="P868" t="s">
        <v>74</v>
      </c>
      <c r="Q868" t="s">
        <v>74</v>
      </c>
      <c r="R868" t="s">
        <v>74</v>
      </c>
      <c r="S868" t="s">
        <v>74</v>
      </c>
      <c r="T868" t="s">
        <v>14885</v>
      </c>
      <c r="U868" t="s">
        <v>74</v>
      </c>
      <c r="V868" t="s">
        <v>74</v>
      </c>
      <c r="W868" t="s">
        <v>14886</v>
      </c>
      <c r="X868" t="s">
        <v>14887</v>
      </c>
      <c r="Y868" t="s">
        <v>14888</v>
      </c>
      <c r="Z868" t="s">
        <v>14889</v>
      </c>
      <c r="AA868" t="s">
        <v>14890</v>
      </c>
      <c r="AB868" t="s">
        <v>14891</v>
      </c>
      <c r="AC868" t="s">
        <v>14892</v>
      </c>
      <c r="AD868" t="s">
        <v>14893</v>
      </c>
      <c r="AE868" t="s">
        <v>14894</v>
      </c>
      <c r="AF868" t="s">
        <v>74</v>
      </c>
      <c r="AG868">
        <v>23</v>
      </c>
      <c r="AH868">
        <v>9</v>
      </c>
      <c r="AI868">
        <v>9</v>
      </c>
      <c r="AJ868">
        <v>0</v>
      </c>
      <c r="AK868">
        <v>13</v>
      </c>
      <c r="AL868" t="s">
        <v>9222</v>
      </c>
      <c r="AM868" t="s">
        <v>227</v>
      </c>
      <c r="AN868" t="s">
        <v>9223</v>
      </c>
      <c r="AO868" t="s">
        <v>14895</v>
      </c>
      <c r="AP868" t="s">
        <v>74</v>
      </c>
      <c r="AQ868" t="s">
        <v>74</v>
      </c>
      <c r="AR868" t="s">
        <v>14896</v>
      </c>
      <c r="AS868" t="s">
        <v>14897</v>
      </c>
      <c r="AT868" t="s">
        <v>232</v>
      </c>
      <c r="AU868">
        <v>2023</v>
      </c>
      <c r="AV868">
        <v>8</v>
      </c>
      <c r="AW868">
        <v>1</v>
      </c>
      <c r="AX868" t="s">
        <v>74</v>
      </c>
      <c r="AY868" t="s">
        <v>74</v>
      </c>
      <c r="AZ868" t="s">
        <v>74</v>
      </c>
      <c r="BA868" t="s">
        <v>74</v>
      </c>
      <c r="BB868" t="s">
        <v>74</v>
      </c>
      <c r="BC868" t="s">
        <v>74</v>
      </c>
      <c r="BD868" t="s">
        <v>14898</v>
      </c>
      <c r="BE868" t="s">
        <v>14899</v>
      </c>
      <c r="BF868" t="str">
        <f>HYPERLINK("http://dx.doi.org/10.1136/bmjgh-2022-009954","http://dx.doi.org/10.1136/bmjgh-2022-009954")</f>
        <v>http://dx.doi.org/10.1136/bmjgh-2022-009954</v>
      </c>
      <c r="BG868" t="s">
        <v>74</v>
      </c>
      <c r="BH868" t="s">
        <v>74</v>
      </c>
      <c r="BI868">
        <v>4</v>
      </c>
      <c r="BJ868" t="s">
        <v>392</v>
      </c>
      <c r="BK868" t="s">
        <v>182</v>
      </c>
      <c r="BL868" t="s">
        <v>392</v>
      </c>
      <c r="BM868" t="s">
        <v>14900</v>
      </c>
      <c r="BN868">
        <v>36717153</v>
      </c>
      <c r="BO868" t="s">
        <v>552</v>
      </c>
      <c r="BP868" t="s">
        <v>74</v>
      </c>
      <c r="BQ868" t="s">
        <v>74</v>
      </c>
      <c r="BR868" t="s">
        <v>102</v>
      </c>
      <c r="BS868" t="s">
        <v>14901</v>
      </c>
      <c r="BT868" t="str">
        <f>HYPERLINK("https%3A%2F%2Fwww.webofscience.com%2Fwos%2Fwoscc%2Ffull-record%2FWOS:000924601900001","View Full Record in Web of Science")</f>
        <v>View Full Record in Web of Science</v>
      </c>
    </row>
    <row r="869" spans="1:72" x14ac:dyDescent="0.35">
      <c r="A869" t="s">
        <v>72</v>
      </c>
      <c r="B869" t="s">
        <v>14902</v>
      </c>
      <c r="C869" t="s">
        <v>74</v>
      </c>
      <c r="D869" t="s">
        <v>74</v>
      </c>
      <c r="E869" t="s">
        <v>74</v>
      </c>
      <c r="F869" t="s">
        <v>14903</v>
      </c>
      <c r="G869" t="s">
        <v>74</v>
      </c>
      <c r="H869" t="s">
        <v>74</v>
      </c>
      <c r="I869" t="s">
        <v>14904</v>
      </c>
      <c r="J869" t="s">
        <v>14905</v>
      </c>
      <c r="K869" t="s">
        <v>74</v>
      </c>
      <c r="L869" t="s">
        <v>74</v>
      </c>
      <c r="M869" t="s">
        <v>78</v>
      </c>
      <c r="N869" t="s">
        <v>108</v>
      </c>
      <c r="O869" t="s">
        <v>74</v>
      </c>
      <c r="P869" t="s">
        <v>74</v>
      </c>
      <c r="Q869" t="s">
        <v>74</v>
      </c>
      <c r="R869" t="s">
        <v>74</v>
      </c>
      <c r="S869" t="s">
        <v>74</v>
      </c>
      <c r="T869" t="s">
        <v>14906</v>
      </c>
      <c r="U869" t="s">
        <v>795</v>
      </c>
      <c r="V869" t="s">
        <v>14907</v>
      </c>
      <c r="W869" t="s">
        <v>14908</v>
      </c>
      <c r="X869" t="s">
        <v>14909</v>
      </c>
      <c r="Y869" t="s">
        <v>14910</v>
      </c>
      <c r="Z869" t="s">
        <v>3149</v>
      </c>
      <c r="AA869" t="s">
        <v>74</v>
      </c>
      <c r="AB869" t="s">
        <v>74</v>
      </c>
      <c r="AC869" t="s">
        <v>74</v>
      </c>
      <c r="AD869" t="s">
        <v>74</v>
      </c>
      <c r="AE869" t="s">
        <v>74</v>
      </c>
      <c r="AF869" t="s">
        <v>74</v>
      </c>
      <c r="AG869">
        <v>14</v>
      </c>
      <c r="AH869">
        <v>1</v>
      </c>
      <c r="AI869">
        <v>1</v>
      </c>
      <c r="AJ869">
        <v>0</v>
      </c>
      <c r="AK869">
        <v>4</v>
      </c>
      <c r="AL869" t="s">
        <v>11669</v>
      </c>
      <c r="AM869" t="s">
        <v>1196</v>
      </c>
      <c r="AN869" t="s">
        <v>11670</v>
      </c>
      <c r="AO869" t="s">
        <v>14911</v>
      </c>
      <c r="AP869" t="s">
        <v>14912</v>
      </c>
      <c r="AQ869" t="s">
        <v>74</v>
      </c>
      <c r="AR869" t="s">
        <v>14913</v>
      </c>
      <c r="AS869" t="s">
        <v>14914</v>
      </c>
      <c r="AT869" t="s">
        <v>1275</v>
      </c>
      <c r="AU869">
        <v>2023</v>
      </c>
      <c r="AV869">
        <v>9</v>
      </c>
      <c r="AW869">
        <v>6</v>
      </c>
      <c r="AX869" t="s">
        <v>74</v>
      </c>
      <c r="AY869" t="s">
        <v>74</v>
      </c>
      <c r="AZ869" t="s">
        <v>74</v>
      </c>
      <c r="BA869" t="s">
        <v>74</v>
      </c>
      <c r="BB869">
        <v>444</v>
      </c>
      <c r="BC869">
        <v>448</v>
      </c>
      <c r="BD869" t="s">
        <v>74</v>
      </c>
      <c r="BE869" t="s">
        <v>14915</v>
      </c>
      <c r="BF869" t="str">
        <f>HYPERLINK("http://dx.doi.org/10.1159/000533319","http://dx.doi.org/10.1159/000533319")</f>
        <v>http://dx.doi.org/10.1159/000533319</v>
      </c>
      <c r="BG869" t="s">
        <v>74</v>
      </c>
      <c r="BH869" t="s">
        <v>2929</v>
      </c>
      <c r="BI869">
        <v>5</v>
      </c>
      <c r="BJ869" t="s">
        <v>1341</v>
      </c>
      <c r="BK869" t="s">
        <v>125</v>
      </c>
      <c r="BL869" t="s">
        <v>1341</v>
      </c>
      <c r="BM869" t="s">
        <v>14916</v>
      </c>
      <c r="BN869">
        <v>38058543</v>
      </c>
      <c r="BO869" t="s">
        <v>156</v>
      </c>
      <c r="BP869" t="s">
        <v>74</v>
      </c>
      <c r="BQ869" t="s">
        <v>74</v>
      </c>
      <c r="BR869" t="s">
        <v>102</v>
      </c>
      <c r="BS869" t="s">
        <v>14917</v>
      </c>
      <c r="BT869" t="str">
        <f>HYPERLINK("https%3A%2F%2Fwww.webofscience.com%2Fwos%2Fwoscc%2Ffull-record%2FWOS:001063366900001","View Full Record in Web of Science")</f>
        <v>View Full Record in Web of Science</v>
      </c>
    </row>
    <row r="870" spans="1:72" x14ac:dyDescent="0.35">
      <c r="A870" t="s">
        <v>72</v>
      </c>
      <c r="B870" t="s">
        <v>14918</v>
      </c>
      <c r="C870" t="s">
        <v>74</v>
      </c>
      <c r="D870" t="s">
        <v>74</v>
      </c>
      <c r="E870" t="s">
        <v>74</v>
      </c>
      <c r="F870" t="s">
        <v>14919</v>
      </c>
      <c r="G870" t="s">
        <v>74</v>
      </c>
      <c r="H870" t="s">
        <v>74</v>
      </c>
      <c r="I870" t="s">
        <v>14920</v>
      </c>
      <c r="J870" t="s">
        <v>681</v>
      </c>
      <c r="K870" t="s">
        <v>74</v>
      </c>
      <c r="L870" t="s">
        <v>74</v>
      </c>
      <c r="M870" t="s">
        <v>78</v>
      </c>
      <c r="N870" t="s">
        <v>108</v>
      </c>
      <c r="O870" t="s">
        <v>74</v>
      </c>
      <c r="P870" t="s">
        <v>74</v>
      </c>
      <c r="Q870" t="s">
        <v>74</v>
      </c>
      <c r="R870" t="s">
        <v>74</v>
      </c>
      <c r="S870" t="s">
        <v>74</v>
      </c>
      <c r="T870" t="s">
        <v>14921</v>
      </c>
      <c r="U870" t="s">
        <v>14922</v>
      </c>
      <c r="V870" t="s">
        <v>14923</v>
      </c>
      <c r="W870" t="s">
        <v>14924</v>
      </c>
      <c r="X870" t="s">
        <v>14925</v>
      </c>
      <c r="Y870" t="s">
        <v>14926</v>
      </c>
      <c r="Z870" t="s">
        <v>14927</v>
      </c>
      <c r="AA870" t="s">
        <v>14928</v>
      </c>
      <c r="AB870" t="s">
        <v>14929</v>
      </c>
      <c r="AC870" t="s">
        <v>14930</v>
      </c>
      <c r="AD870" t="s">
        <v>14931</v>
      </c>
      <c r="AE870" t="s">
        <v>14932</v>
      </c>
      <c r="AF870" t="s">
        <v>74</v>
      </c>
      <c r="AG870">
        <v>98</v>
      </c>
      <c r="AH870">
        <v>0</v>
      </c>
      <c r="AI870">
        <v>0</v>
      </c>
      <c r="AJ870">
        <v>25</v>
      </c>
      <c r="AK870">
        <v>51</v>
      </c>
      <c r="AL870" t="s">
        <v>384</v>
      </c>
      <c r="AM870" t="s">
        <v>385</v>
      </c>
      <c r="AN870" t="s">
        <v>386</v>
      </c>
      <c r="AO870" t="s">
        <v>693</v>
      </c>
      <c r="AP870" t="s">
        <v>74</v>
      </c>
      <c r="AQ870" t="s">
        <v>74</v>
      </c>
      <c r="AR870" t="s">
        <v>694</v>
      </c>
      <c r="AS870" t="s">
        <v>695</v>
      </c>
      <c r="AT870" t="s">
        <v>14933</v>
      </c>
      <c r="AU870">
        <v>2024</v>
      </c>
      <c r="AV870">
        <v>14</v>
      </c>
      <c r="AW870" t="s">
        <v>74</v>
      </c>
      <c r="AX870" t="s">
        <v>74</v>
      </c>
      <c r="AY870" t="s">
        <v>74</v>
      </c>
      <c r="AZ870" t="s">
        <v>74</v>
      </c>
      <c r="BA870" t="s">
        <v>74</v>
      </c>
      <c r="BB870" t="s">
        <v>74</v>
      </c>
      <c r="BC870" t="s">
        <v>74</v>
      </c>
      <c r="BD870">
        <v>1217014</v>
      </c>
      <c r="BE870" t="s">
        <v>14934</v>
      </c>
      <c r="BF870" t="str">
        <f>HYPERLINK("http://dx.doi.org/10.3389/fpsyg.2023.1217014","http://dx.doi.org/10.3389/fpsyg.2023.1217014")</f>
        <v>http://dx.doi.org/10.3389/fpsyg.2023.1217014</v>
      </c>
      <c r="BG870" t="s">
        <v>74</v>
      </c>
      <c r="BH870" t="s">
        <v>74</v>
      </c>
      <c r="BI870">
        <v>13</v>
      </c>
      <c r="BJ870" t="s">
        <v>698</v>
      </c>
      <c r="BK870" t="s">
        <v>99</v>
      </c>
      <c r="BL870" t="s">
        <v>301</v>
      </c>
      <c r="BM870" t="s">
        <v>14935</v>
      </c>
      <c r="BN870">
        <v>38440371</v>
      </c>
      <c r="BO870" t="s">
        <v>552</v>
      </c>
      <c r="BP870" t="s">
        <v>74</v>
      </c>
      <c r="BQ870" t="s">
        <v>74</v>
      </c>
      <c r="BR870" t="s">
        <v>102</v>
      </c>
      <c r="BS870" t="s">
        <v>14936</v>
      </c>
      <c r="BT870" t="str">
        <f>HYPERLINK("https%3A%2F%2Fwww.webofscience.com%2Fwos%2Fwoscc%2Ffull-record%2FWOS:001175160300001","View Full Record in Web of Science")</f>
        <v>View Full Record in Web of Science</v>
      </c>
    </row>
    <row r="871" spans="1:72" x14ac:dyDescent="0.35">
      <c r="A871" t="s">
        <v>72</v>
      </c>
      <c r="B871" t="s">
        <v>14937</v>
      </c>
      <c r="C871" t="s">
        <v>74</v>
      </c>
      <c r="D871" t="s">
        <v>74</v>
      </c>
      <c r="E871" t="s">
        <v>74</v>
      </c>
      <c r="F871" t="s">
        <v>14938</v>
      </c>
      <c r="G871" t="s">
        <v>74</v>
      </c>
      <c r="H871" t="s">
        <v>74</v>
      </c>
      <c r="I871" t="s">
        <v>14939</v>
      </c>
      <c r="J871" t="s">
        <v>2450</v>
      </c>
      <c r="K871" t="s">
        <v>74</v>
      </c>
      <c r="L871" t="s">
        <v>74</v>
      </c>
      <c r="M871" t="s">
        <v>78</v>
      </c>
      <c r="N871" t="s">
        <v>108</v>
      </c>
      <c r="O871" t="s">
        <v>74</v>
      </c>
      <c r="P871" t="s">
        <v>74</v>
      </c>
      <c r="Q871" t="s">
        <v>74</v>
      </c>
      <c r="R871" t="s">
        <v>74</v>
      </c>
      <c r="S871" t="s">
        <v>74</v>
      </c>
      <c r="T871" t="s">
        <v>74</v>
      </c>
      <c r="U871" t="s">
        <v>74</v>
      </c>
      <c r="V871" t="s">
        <v>14940</v>
      </c>
      <c r="W871" t="s">
        <v>14941</v>
      </c>
      <c r="X871" t="s">
        <v>14942</v>
      </c>
      <c r="Y871" t="s">
        <v>14943</v>
      </c>
      <c r="Z871" t="s">
        <v>14944</v>
      </c>
      <c r="AA871" t="s">
        <v>14945</v>
      </c>
      <c r="AB871" t="s">
        <v>74</v>
      </c>
      <c r="AC871" t="s">
        <v>74</v>
      </c>
      <c r="AD871" t="s">
        <v>74</v>
      </c>
      <c r="AE871" t="s">
        <v>74</v>
      </c>
      <c r="AF871" t="s">
        <v>74</v>
      </c>
      <c r="AG871">
        <v>24</v>
      </c>
      <c r="AH871">
        <v>0</v>
      </c>
      <c r="AI871">
        <v>0</v>
      </c>
      <c r="AJ871">
        <v>10</v>
      </c>
      <c r="AK871">
        <v>16</v>
      </c>
      <c r="AL871" t="s">
        <v>2458</v>
      </c>
      <c r="AM871" t="s">
        <v>2459</v>
      </c>
      <c r="AN871" t="s">
        <v>2460</v>
      </c>
      <c r="AO871" t="s">
        <v>2461</v>
      </c>
      <c r="AP871" t="s">
        <v>74</v>
      </c>
      <c r="AQ871" t="s">
        <v>74</v>
      </c>
      <c r="AR871" t="s">
        <v>2450</v>
      </c>
      <c r="AS871" t="s">
        <v>2462</v>
      </c>
      <c r="AT871" t="s">
        <v>11987</v>
      </c>
      <c r="AU871">
        <v>2024</v>
      </c>
      <c r="AV871">
        <v>19</v>
      </c>
      <c r="AW871">
        <v>3</v>
      </c>
      <c r="AX871" t="s">
        <v>74</v>
      </c>
      <c r="AY871" t="s">
        <v>74</v>
      </c>
      <c r="AZ871" t="s">
        <v>74</v>
      </c>
      <c r="BA871" t="s">
        <v>74</v>
      </c>
      <c r="BB871" t="s">
        <v>74</v>
      </c>
      <c r="BC871" t="s">
        <v>74</v>
      </c>
      <c r="BD871" t="s">
        <v>14946</v>
      </c>
      <c r="BE871" t="s">
        <v>14947</v>
      </c>
      <c r="BF871" t="str">
        <f>HYPERLINK("http://dx.doi.org/10.1371/journal.pone.0300180","http://dx.doi.org/10.1371/journal.pone.0300180")</f>
        <v>http://dx.doi.org/10.1371/journal.pone.0300180</v>
      </c>
      <c r="BG871" t="s">
        <v>74</v>
      </c>
      <c r="BH871" t="s">
        <v>74</v>
      </c>
      <c r="BI871">
        <v>10</v>
      </c>
      <c r="BJ871" t="s">
        <v>1301</v>
      </c>
      <c r="BK871" t="s">
        <v>209</v>
      </c>
      <c r="BL871" t="s">
        <v>1302</v>
      </c>
      <c r="BM871" t="s">
        <v>14948</v>
      </c>
      <c r="BN871">
        <v>38457419</v>
      </c>
      <c r="BO871" t="s">
        <v>394</v>
      </c>
      <c r="BP871" t="s">
        <v>74</v>
      </c>
      <c r="BQ871" t="s">
        <v>74</v>
      </c>
      <c r="BR871" t="s">
        <v>102</v>
      </c>
      <c r="BS871" t="s">
        <v>14949</v>
      </c>
      <c r="BT871" t="str">
        <f>HYPERLINK("https%3A%2F%2Fwww.webofscience.com%2Fwos%2Fwoscc%2Ffull-record%2FWOS:001181701200055","View Full Record in Web of Science")</f>
        <v>View Full Record in Web of Science</v>
      </c>
    </row>
    <row r="872" spans="1:72" x14ac:dyDescent="0.35">
      <c r="A872" t="s">
        <v>72</v>
      </c>
      <c r="B872" t="s">
        <v>14950</v>
      </c>
      <c r="C872" t="s">
        <v>74</v>
      </c>
      <c r="D872" t="s">
        <v>74</v>
      </c>
      <c r="E872" t="s">
        <v>74</v>
      </c>
      <c r="F872" t="s">
        <v>14951</v>
      </c>
      <c r="G872" t="s">
        <v>74</v>
      </c>
      <c r="H872" t="s">
        <v>74</v>
      </c>
      <c r="I872" t="s">
        <v>14952</v>
      </c>
      <c r="J872" t="s">
        <v>580</v>
      </c>
      <c r="K872" t="s">
        <v>74</v>
      </c>
      <c r="L872" t="s">
        <v>74</v>
      </c>
      <c r="M872" t="s">
        <v>78</v>
      </c>
      <c r="N872" t="s">
        <v>1328</v>
      </c>
      <c r="O872" t="s">
        <v>74</v>
      </c>
      <c r="P872" t="s">
        <v>74</v>
      </c>
      <c r="Q872" t="s">
        <v>74</v>
      </c>
      <c r="R872" t="s">
        <v>74</v>
      </c>
      <c r="S872" t="s">
        <v>74</v>
      </c>
      <c r="T872" t="s">
        <v>14953</v>
      </c>
      <c r="U872" t="s">
        <v>74</v>
      </c>
      <c r="V872" t="s">
        <v>74</v>
      </c>
      <c r="W872" t="s">
        <v>14954</v>
      </c>
      <c r="X872" t="s">
        <v>14955</v>
      </c>
      <c r="Y872" t="s">
        <v>14956</v>
      </c>
      <c r="Z872" t="s">
        <v>14957</v>
      </c>
      <c r="AA872" t="s">
        <v>14958</v>
      </c>
      <c r="AB872" t="s">
        <v>14959</v>
      </c>
      <c r="AC872" t="s">
        <v>74</v>
      </c>
      <c r="AD872" t="s">
        <v>74</v>
      </c>
      <c r="AE872" t="s">
        <v>74</v>
      </c>
      <c r="AF872" t="s">
        <v>74</v>
      </c>
      <c r="AG872">
        <v>5</v>
      </c>
      <c r="AH872">
        <v>0</v>
      </c>
      <c r="AI872">
        <v>0</v>
      </c>
      <c r="AJ872">
        <v>1</v>
      </c>
      <c r="AK872">
        <v>1</v>
      </c>
      <c r="AL872" t="s">
        <v>516</v>
      </c>
      <c r="AM872" t="s">
        <v>517</v>
      </c>
      <c r="AN872" t="s">
        <v>518</v>
      </c>
      <c r="AO872" t="s">
        <v>590</v>
      </c>
      <c r="AP872" t="s">
        <v>591</v>
      </c>
      <c r="AQ872" t="s">
        <v>74</v>
      </c>
      <c r="AR872" t="s">
        <v>592</v>
      </c>
      <c r="AS872" t="s">
        <v>593</v>
      </c>
      <c r="AT872" t="s">
        <v>930</v>
      </c>
      <c r="AU872">
        <v>2024</v>
      </c>
      <c r="AV872">
        <v>125</v>
      </c>
      <c r="AW872">
        <v>2</v>
      </c>
      <c r="AX872" t="s">
        <v>74</v>
      </c>
      <c r="AY872" t="s">
        <v>74</v>
      </c>
      <c r="AZ872" t="s">
        <v>74</v>
      </c>
      <c r="BA872" t="s">
        <v>74</v>
      </c>
      <c r="BB872" t="s">
        <v>74</v>
      </c>
      <c r="BC872" t="s">
        <v>74</v>
      </c>
      <c r="BD872">
        <v>101783</v>
      </c>
      <c r="BE872" t="s">
        <v>14960</v>
      </c>
      <c r="BF872" t="str">
        <f>HYPERLINK("http://dx.doi.org/10.1016/j.jormas.2024.101783","http://dx.doi.org/10.1016/j.jormas.2024.101783")</f>
        <v>http://dx.doi.org/10.1016/j.jormas.2024.101783</v>
      </c>
      <c r="BG872" t="s">
        <v>74</v>
      </c>
      <c r="BH872" t="s">
        <v>1377</v>
      </c>
      <c r="BI872">
        <v>2</v>
      </c>
      <c r="BJ872" t="s">
        <v>599</v>
      </c>
      <c r="BK872" t="s">
        <v>209</v>
      </c>
      <c r="BL872" t="s">
        <v>599</v>
      </c>
      <c r="BM872" t="s">
        <v>14961</v>
      </c>
      <c r="BN872">
        <v>38278441</v>
      </c>
      <c r="BO872" t="s">
        <v>74</v>
      </c>
      <c r="BP872" t="s">
        <v>74</v>
      </c>
      <c r="BQ872" t="s">
        <v>74</v>
      </c>
      <c r="BR872" t="s">
        <v>102</v>
      </c>
      <c r="BS872" t="s">
        <v>14962</v>
      </c>
      <c r="BT872" t="str">
        <f>HYPERLINK("https%3A%2F%2Fwww.webofscience.com%2Fwos%2Fwoscc%2Ffull-record%2FWOS:001175818700001","View Full Record in Web of Science")</f>
        <v>View Full Record in Web of Science</v>
      </c>
    </row>
    <row r="873" spans="1:72" x14ac:dyDescent="0.35">
      <c r="A873" t="s">
        <v>72</v>
      </c>
      <c r="B873" t="s">
        <v>14963</v>
      </c>
      <c r="C873" t="s">
        <v>74</v>
      </c>
      <c r="D873" t="s">
        <v>74</v>
      </c>
      <c r="E873" t="s">
        <v>74</v>
      </c>
      <c r="F873" t="s">
        <v>14964</v>
      </c>
      <c r="G873" t="s">
        <v>74</v>
      </c>
      <c r="H873" t="s">
        <v>74</v>
      </c>
      <c r="I873" t="s">
        <v>14965</v>
      </c>
      <c r="J873" t="s">
        <v>8249</v>
      </c>
      <c r="K873" t="s">
        <v>74</v>
      </c>
      <c r="L873" t="s">
        <v>74</v>
      </c>
      <c r="M873" t="s">
        <v>3503</v>
      </c>
      <c r="N873" t="s">
        <v>108</v>
      </c>
      <c r="O873" t="s">
        <v>74</v>
      </c>
      <c r="P873" t="s">
        <v>74</v>
      </c>
      <c r="Q873" t="s">
        <v>74</v>
      </c>
      <c r="R873" t="s">
        <v>74</v>
      </c>
      <c r="S873" t="s">
        <v>74</v>
      </c>
      <c r="T873" t="s">
        <v>14966</v>
      </c>
      <c r="U873" t="s">
        <v>14967</v>
      </c>
      <c r="V873" t="s">
        <v>14968</v>
      </c>
      <c r="W873" t="s">
        <v>14969</v>
      </c>
      <c r="X873" t="s">
        <v>14970</v>
      </c>
      <c r="Y873" t="s">
        <v>14971</v>
      </c>
      <c r="Z873" t="s">
        <v>14972</v>
      </c>
      <c r="AA873" t="s">
        <v>74</v>
      </c>
      <c r="AB873" t="s">
        <v>74</v>
      </c>
      <c r="AC873" t="s">
        <v>74</v>
      </c>
      <c r="AD873" t="s">
        <v>74</v>
      </c>
      <c r="AE873" t="s">
        <v>74</v>
      </c>
      <c r="AF873" t="s">
        <v>74</v>
      </c>
      <c r="AG873">
        <v>65</v>
      </c>
      <c r="AH873">
        <v>0</v>
      </c>
      <c r="AI873">
        <v>0</v>
      </c>
      <c r="AJ873">
        <v>5</v>
      </c>
      <c r="AK873">
        <v>5</v>
      </c>
      <c r="AL873" t="s">
        <v>8256</v>
      </c>
      <c r="AM873" t="s">
        <v>8257</v>
      </c>
      <c r="AN873" t="s">
        <v>8258</v>
      </c>
      <c r="AO873" t="s">
        <v>8259</v>
      </c>
      <c r="AP873" t="s">
        <v>74</v>
      </c>
      <c r="AQ873" t="s">
        <v>74</v>
      </c>
      <c r="AR873" t="s">
        <v>8260</v>
      </c>
      <c r="AS873" t="s">
        <v>8261</v>
      </c>
      <c r="AT873" t="s">
        <v>74</v>
      </c>
      <c r="AU873">
        <v>2024</v>
      </c>
      <c r="AV873">
        <v>82</v>
      </c>
      <c r="AW873" t="s">
        <v>74</v>
      </c>
      <c r="AX873" t="s">
        <v>74</v>
      </c>
      <c r="AY873" t="s">
        <v>74</v>
      </c>
      <c r="AZ873" t="s">
        <v>74</v>
      </c>
      <c r="BA873" t="s">
        <v>74</v>
      </c>
      <c r="BB873" t="s">
        <v>74</v>
      </c>
      <c r="BC873" t="s">
        <v>74</v>
      </c>
      <c r="BD873">
        <v>2262</v>
      </c>
      <c r="BE873" t="s">
        <v>14973</v>
      </c>
      <c r="BF873" t="str">
        <f>HYPERLINK("http://dx.doi.org/10.4185/RLCS-2024-2262","http://dx.doi.org/10.4185/RLCS-2024-2262")</f>
        <v>http://dx.doi.org/10.4185/RLCS-2024-2262</v>
      </c>
      <c r="BG873" t="s">
        <v>74</v>
      </c>
      <c r="BH873" t="s">
        <v>74</v>
      </c>
      <c r="BI873">
        <v>26</v>
      </c>
      <c r="BJ873" t="s">
        <v>124</v>
      </c>
      <c r="BK873" t="s">
        <v>125</v>
      </c>
      <c r="BL873" t="s">
        <v>124</v>
      </c>
      <c r="BM873" t="s">
        <v>14974</v>
      </c>
      <c r="BN873" t="s">
        <v>74</v>
      </c>
      <c r="BO873" t="s">
        <v>235</v>
      </c>
      <c r="BP873" t="s">
        <v>74</v>
      </c>
      <c r="BQ873" t="s">
        <v>74</v>
      </c>
      <c r="BR873" t="s">
        <v>102</v>
      </c>
      <c r="BS873" t="s">
        <v>14975</v>
      </c>
      <c r="BT873" t="str">
        <f>HYPERLINK("https%3A%2F%2Fwww.webofscience.com%2Fwos%2Fwoscc%2Ffull-record%2FWOS:001239839100001","View Full Record in Web of Science")</f>
        <v>View Full Record in Web of Science</v>
      </c>
    </row>
    <row r="874" spans="1:72" x14ac:dyDescent="0.35">
      <c r="A874" t="s">
        <v>72</v>
      </c>
      <c r="B874" t="s">
        <v>14976</v>
      </c>
      <c r="C874" t="s">
        <v>74</v>
      </c>
      <c r="D874" t="s">
        <v>74</v>
      </c>
      <c r="E874" t="s">
        <v>74</v>
      </c>
      <c r="F874" t="s">
        <v>14977</v>
      </c>
      <c r="G874" t="s">
        <v>74</v>
      </c>
      <c r="H874" t="s">
        <v>74</v>
      </c>
      <c r="I874" t="s">
        <v>14978</v>
      </c>
      <c r="J874" t="s">
        <v>14979</v>
      </c>
      <c r="K874" t="s">
        <v>74</v>
      </c>
      <c r="L874" t="s">
        <v>74</v>
      </c>
      <c r="M874" t="s">
        <v>78</v>
      </c>
      <c r="N874" t="s">
        <v>108</v>
      </c>
      <c r="O874" t="s">
        <v>74</v>
      </c>
      <c r="P874" t="s">
        <v>74</v>
      </c>
      <c r="Q874" t="s">
        <v>74</v>
      </c>
      <c r="R874" t="s">
        <v>74</v>
      </c>
      <c r="S874" t="s">
        <v>74</v>
      </c>
      <c r="T874" t="s">
        <v>14980</v>
      </c>
      <c r="U874" t="s">
        <v>14981</v>
      </c>
      <c r="V874" t="s">
        <v>14982</v>
      </c>
      <c r="W874" t="s">
        <v>14983</v>
      </c>
      <c r="X874" t="s">
        <v>14984</v>
      </c>
      <c r="Y874" t="s">
        <v>14985</v>
      </c>
      <c r="Z874" t="s">
        <v>14986</v>
      </c>
      <c r="AA874" t="s">
        <v>74</v>
      </c>
      <c r="AB874" t="s">
        <v>14987</v>
      </c>
      <c r="AC874" t="s">
        <v>14988</v>
      </c>
      <c r="AD874" t="s">
        <v>14989</v>
      </c>
      <c r="AE874" t="s">
        <v>14990</v>
      </c>
      <c r="AF874" t="s">
        <v>74</v>
      </c>
      <c r="AG874">
        <v>88</v>
      </c>
      <c r="AH874">
        <v>2</v>
      </c>
      <c r="AI874">
        <v>2</v>
      </c>
      <c r="AJ874">
        <v>9</v>
      </c>
      <c r="AK874">
        <v>29</v>
      </c>
      <c r="AL874" t="s">
        <v>290</v>
      </c>
      <c r="AM874" t="s">
        <v>291</v>
      </c>
      <c r="AN874" t="s">
        <v>292</v>
      </c>
      <c r="AO874" t="s">
        <v>14991</v>
      </c>
      <c r="AP874" t="s">
        <v>14992</v>
      </c>
      <c r="AQ874" t="s">
        <v>74</v>
      </c>
      <c r="AR874" t="s">
        <v>14993</v>
      </c>
      <c r="AS874" t="s">
        <v>14994</v>
      </c>
      <c r="AT874" t="s">
        <v>297</v>
      </c>
      <c r="AU874">
        <v>2023</v>
      </c>
      <c r="AV874">
        <v>102</v>
      </c>
      <c r="AW874" t="s">
        <v>74</v>
      </c>
      <c r="AX874" t="s">
        <v>74</v>
      </c>
      <c r="AY874" t="s">
        <v>74</v>
      </c>
      <c r="AZ874" t="s">
        <v>74</v>
      </c>
      <c r="BA874" t="s">
        <v>74</v>
      </c>
      <c r="BB874" t="s">
        <v>74</v>
      </c>
      <c r="BC874" t="s">
        <v>74</v>
      </c>
      <c r="BD874">
        <v>103075</v>
      </c>
      <c r="BE874" t="s">
        <v>14995</v>
      </c>
      <c r="BF874" t="str">
        <f>HYPERLINK("http://dx.doi.org/10.1016/j.jrurstud.2023.103075","http://dx.doi.org/10.1016/j.jrurstud.2023.103075")</f>
        <v>http://dx.doi.org/10.1016/j.jrurstud.2023.103075</v>
      </c>
      <c r="BG874" t="s">
        <v>74</v>
      </c>
      <c r="BH874" t="s">
        <v>3138</v>
      </c>
      <c r="BI874">
        <v>13</v>
      </c>
      <c r="BJ874" t="s">
        <v>14996</v>
      </c>
      <c r="BK874" t="s">
        <v>99</v>
      </c>
      <c r="BL874" t="s">
        <v>14997</v>
      </c>
      <c r="BM874" t="s">
        <v>14998</v>
      </c>
      <c r="BN874" t="s">
        <v>74</v>
      </c>
      <c r="BO874" t="s">
        <v>4154</v>
      </c>
      <c r="BP874" t="s">
        <v>74</v>
      </c>
      <c r="BQ874" t="s">
        <v>74</v>
      </c>
      <c r="BR874" t="s">
        <v>102</v>
      </c>
      <c r="BS874" t="s">
        <v>14999</v>
      </c>
      <c r="BT874" t="str">
        <f>HYPERLINK("https%3A%2F%2Fwww.webofscience.com%2Fwos%2Fwoscc%2Ffull-record%2FWOS:001097796200001","View Full Record in Web of Science")</f>
        <v>View Full Record in Web of Science</v>
      </c>
    </row>
    <row r="875" spans="1:72" x14ac:dyDescent="0.35">
      <c r="A875" t="s">
        <v>72</v>
      </c>
      <c r="B875" t="s">
        <v>5243</v>
      </c>
      <c r="C875" t="s">
        <v>74</v>
      </c>
      <c r="D875" t="s">
        <v>74</v>
      </c>
      <c r="E875" t="s">
        <v>74</v>
      </c>
      <c r="F875" t="s">
        <v>5244</v>
      </c>
      <c r="G875" t="s">
        <v>74</v>
      </c>
      <c r="H875" t="s">
        <v>74</v>
      </c>
      <c r="I875" t="s">
        <v>15000</v>
      </c>
      <c r="J875" t="s">
        <v>15001</v>
      </c>
      <c r="K875" t="s">
        <v>74</v>
      </c>
      <c r="L875" t="s">
        <v>74</v>
      </c>
      <c r="M875" t="s">
        <v>78</v>
      </c>
      <c r="N875" t="s">
        <v>1328</v>
      </c>
      <c r="O875" t="s">
        <v>74</v>
      </c>
      <c r="P875" t="s">
        <v>74</v>
      </c>
      <c r="Q875" t="s">
        <v>74</v>
      </c>
      <c r="R875" t="s">
        <v>74</v>
      </c>
      <c r="S875" t="s">
        <v>74</v>
      </c>
      <c r="T875" t="s">
        <v>74</v>
      </c>
      <c r="U875" t="s">
        <v>74</v>
      </c>
      <c r="V875" t="s">
        <v>74</v>
      </c>
      <c r="W875" t="s">
        <v>15002</v>
      </c>
      <c r="X875" t="s">
        <v>1438</v>
      </c>
      <c r="Y875" t="s">
        <v>14033</v>
      </c>
      <c r="Z875" t="s">
        <v>15003</v>
      </c>
      <c r="AA875" t="s">
        <v>5253</v>
      </c>
      <c r="AB875" t="s">
        <v>5254</v>
      </c>
      <c r="AC875" t="s">
        <v>74</v>
      </c>
      <c r="AD875" t="s">
        <v>74</v>
      </c>
      <c r="AE875" t="s">
        <v>74</v>
      </c>
      <c r="AF875" t="s">
        <v>74</v>
      </c>
      <c r="AG875">
        <v>2</v>
      </c>
      <c r="AH875">
        <v>2</v>
      </c>
      <c r="AI875">
        <v>2</v>
      </c>
      <c r="AJ875">
        <v>1</v>
      </c>
      <c r="AK875">
        <v>1</v>
      </c>
      <c r="AL875" t="s">
        <v>1901</v>
      </c>
      <c r="AM875" t="s">
        <v>995</v>
      </c>
      <c r="AN875" t="s">
        <v>1902</v>
      </c>
      <c r="AO875" t="s">
        <v>15004</v>
      </c>
      <c r="AP875" t="s">
        <v>15005</v>
      </c>
      <c r="AQ875" t="s">
        <v>74</v>
      </c>
      <c r="AR875" t="s">
        <v>15006</v>
      </c>
      <c r="AS875" t="s">
        <v>15007</v>
      </c>
      <c r="AT875" t="s">
        <v>232</v>
      </c>
      <c r="AU875">
        <v>2024</v>
      </c>
      <c r="AV875">
        <v>32</v>
      </c>
      <c r="AW875">
        <v>1</v>
      </c>
      <c r="AX875" t="s">
        <v>74</v>
      </c>
      <c r="AY875" t="s">
        <v>74</v>
      </c>
      <c r="AZ875" t="s">
        <v>74</v>
      </c>
      <c r="BA875" t="s">
        <v>74</v>
      </c>
      <c r="BB875">
        <v>4</v>
      </c>
      <c r="BC875">
        <v>4</v>
      </c>
      <c r="BD875" t="s">
        <v>74</v>
      </c>
      <c r="BE875" t="s">
        <v>15008</v>
      </c>
      <c r="BF875" t="str">
        <f>HYPERLINK("http://dx.doi.org/10.1097/IPC.0000000000001319","http://dx.doi.org/10.1097/IPC.0000000000001319")</f>
        <v>http://dx.doi.org/10.1097/IPC.0000000000001319</v>
      </c>
      <c r="BG875" t="s">
        <v>74</v>
      </c>
      <c r="BH875" t="s">
        <v>74</v>
      </c>
      <c r="BI875">
        <v>1</v>
      </c>
      <c r="BJ875" t="s">
        <v>15009</v>
      </c>
      <c r="BK875" t="s">
        <v>125</v>
      </c>
      <c r="BL875" t="s">
        <v>15009</v>
      </c>
      <c r="BM875" t="s">
        <v>15010</v>
      </c>
      <c r="BN875" t="s">
        <v>74</v>
      </c>
      <c r="BO875" t="s">
        <v>74</v>
      </c>
      <c r="BP875" t="s">
        <v>74</v>
      </c>
      <c r="BQ875" t="s">
        <v>74</v>
      </c>
      <c r="BR875" t="s">
        <v>102</v>
      </c>
      <c r="BS875" t="s">
        <v>15011</v>
      </c>
      <c r="BT875" t="str">
        <f>HYPERLINK("https%3A%2F%2Fwww.webofscience.com%2Fwos%2Fwoscc%2Ffull-record%2FWOS:001179376600009","View Full Record in Web of Science")</f>
        <v>View Full Record in Web of Science</v>
      </c>
    </row>
    <row r="876" spans="1:72" x14ac:dyDescent="0.35">
      <c r="A876" t="s">
        <v>72</v>
      </c>
      <c r="B876" t="s">
        <v>15012</v>
      </c>
      <c r="C876" t="s">
        <v>74</v>
      </c>
      <c r="D876" t="s">
        <v>74</v>
      </c>
      <c r="E876" t="s">
        <v>74</v>
      </c>
      <c r="F876" t="s">
        <v>15013</v>
      </c>
      <c r="G876" t="s">
        <v>74</v>
      </c>
      <c r="H876" t="s">
        <v>74</v>
      </c>
      <c r="I876" t="s">
        <v>15014</v>
      </c>
      <c r="J876" t="s">
        <v>15015</v>
      </c>
      <c r="K876" t="s">
        <v>74</v>
      </c>
      <c r="L876" t="s">
        <v>74</v>
      </c>
      <c r="M876" t="s">
        <v>78</v>
      </c>
      <c r="N876" t="s">
        <v>79</v>
      </c>
      <c r="O876" t="s">
        <v>74</v>
      </c>
      <c r="P876" t="s">
        <v>74</v>
      </c>
      <c r="Q876" t="s">
        <v>74</v>
      </c>
      <c r="R876" t="s">
        <v>74</v>
      </c>
      <c r="S876" t="s">
        <v>74</v>
      </c>
      <c r="T876" t="s">
        <v>15016</v>
      </c>
      <c r="U876" t="s">
        <v>74</v>
      </c>
      <c r="V876" t="s">
        <v>15017</v>
      </c>
      <c r="W876" t="s">
        <v>15018</v>
      </c>
      <c r="X876" t="s">
        <v>15019</v>
      </c>
      <c r="Y876" t="s">
        <v>15020</v>
      </c>
      <c r="Z876" t="s">
        <v>15021</v>
      </c>
      <c r="AA876" t="s">
        <v>74</v>
      </c>
      <c r="AB876" t="s">
        <v>15022</v>
      </c>
      <c r="AC876" t="s">
        <v>74</v>
      </c>
      <c r="AD876" t="s">
        <v>74</v>
      </c>
      <c r="AE876" t="s">
        <v>15023</v>
      </c>
      <c r="AF876" t="s">
        <v>74</v>
      </c>
      <c r="AG876">
        <v>25</v>
      </c>
      <c r="AH876">
        <v>0</v>
      </c>
      <c r="AI876">
        <v>0</v>
      </c>
      <c r="AJ876">
        <v>0</v>
      </c>
      <c r="AK876">
        <v>0</v>
      </c>
      <c r="AL876" t="s">
        <v>171</v>
      </c>
      <c r="AM876" t="s">
        <v>172</v>
      </c>
      <c r="AN876" t="s">
        <v>173</v>
      </c>
      <c r="AO876" t="s">
        <v>15024</v>
      </c>
      <c r="AP876" t="s">
        <v>15025</v>
      </c>
      <c r="AQ876" t="s">
        <v>74</v>
      </c>
      <c r="AR876" t="s">
        <v>15026</v>
      </c>
      <c r="AS876" t="s">
        <v>15027</v>
      </c>
      <c r="AT876" t="s">
        <v>15028</v>
      </c>
      <c r="AU876">
        <v>2024</v>
      </c>
      <c r="AV876" t="s">
        <v>74</v>
      </c>
      <c r="AW876" t="s">
        <v>74</v>
      </c>
      <c r="AX876" t="s">
        <v>74</v>
      </c>
      <c r="AY876" t="s">
        <v>74</v>
      </c>
      <c r="AZ876" t="s">
        <v>74</v>
      </c>
      <c r="BA876" t="s">
        <v>74</v>
      </c>
      <c r="BB876" t="s">
        <v>74</v>
      </c>
      <c r="BC876" t="s">
        <v>74</v>
      </c>
      <c r="BD876" t="s">
        <v>74</v>
      </c>
      <c r="BE876" t="s">
        <v>15029</v>
      </c>
      <c r="BF876" t="str">
        <f>HYPERLINK("http://dx.doi.org/10.1177/15910199241272621","http://dx.doi.org/10.1177/15910199241272621")</f>
        <v>http://dx.doi.org/10.1177/15910199241272621</v>
      </c>
      <c r="BG876" t="s">
        <v>74</v>
      </c>
      <c r="BH876" t="s">
        <v>337</v>
      </c>
      <c r="BI876">
        <v>6</v>
      </c>
      <c r="BJ876" t="s">
        <v>15030</v>
      </c>
      <c r="BK876" t="s">
        <v>209</v>
      </c>
      <c r="BL876" t="s">
        <v>15031</v>
      </c>
      <c r="BM876" t="s">
        <v>15032</v>
      </c>
      <c r="BN876">
        <v>39238239</v>
      </c>
      <c r="BO876" t="s">
        <v>74</v>
      </c>
      <c r="BP876" t="s">
        <v>74</v>
      </c>
      <c r="BQ876" t="s">
        <v>74</v>
      </c>
      <c r="BR876" t="s">
        <v>102</v>
      </c>
      <c r="BS876" t="s">
        <v>15033</v>
      </c>
      <c r="BT876" t="str">
        <f>HYPERLINK("https%3A%2F%2Fwww.webofscience.com%2Fwos%2Fwoscc%2Ffull-record%2FWOS:001306461900001","View Full Record in Web of Science")</f>
        <v>View Full Record in Web of Science</v>
      </c>
    </row>
    <row r="877" spans="1:72" x14ac:dyDescent="0.35">
      <c r="A877" t="s">
        <v>72</v>
      </c>
      <c r="B877" t="s">
        <v>15034</v>
      </c>
      <c r="C877" t="s">
        <v>74</v>
      </c>
      <c r="D877" t="s">
        <v>74</v>
      </c>
      <c r="E877" t="s">
        <v>74</v>
      </c>
      <c r="F877" t="s">
        <v>15035</v>
      </c>
      <c r="G877" t="s">
        <v>74</v>
      </c>
      <c r="H877" t="s">
        <v>74</v>
      </c>
      <c r="I877" t="s">
        <v>15036</v>
      </c>
      <c r="J877" t="s">
        <v>13206</v>
      </c>
      <c r="K877" t="s">
        <v>74</v>
      </c>
      <c r="L877" t="s">
        <v>74</v>
      </c>
      <c r="M877" t="s">
        <v>78</v>
      </c>
      <c r="N877" t="s">
        <v>108</v>
      </c>
      <c r="O877" t="s">
        <v>74</v>
      </c>
      <c r="P877" t="s">
        <v>74</v>
      </c>
      <c r="Q877" t="s">
        <v>74</v>
      </c>
      <c r="R877" t="s">
        <v>74</v>
      </c>
      <c r="S877" t="s">
        <v>74</v>
      </c>
      <c r="T877" t="s">
        <v>15037</v>
      </c>
      <c r="U877" t="s">
        <v>15038</v>
      </c>
      <c r="V877" t="s">
        <v>15039</v>
      </c>
      <c r="W877" t="s">
        <v>15040</v>
      </c>
      <c r="X877" t="s">
        <v>15041</v>
      </c>
      <c r="Y877" t="s">
        <v>15042</v>
      </c>
      <c r="Z877" t="s">
        <v>15043</v>
      </c>
      <c r="AA877" t="s">
        <v>15044</v>
      </c>
      <c r="AB877" t="s">
        <v>15045</v>
      </c>
      <c r="AC877" t="s">
        <v>74</v>
      </c>
      <c r="AD877" t="s">
        <v>74</v>
      </c>
      <c r="AE877" t="s">
        <v>74</v>
      </c>
      <c r="AF877" t="s">
        <v>74</v>
      </c>
      <c r="AG877">
        <v>69</v>
      </c>
      <c r="AH877">
        <v>0</v>
      </c>
      <c r="AI877">
        <v>0</v>
      </c>
      <c r="AJ877">
        <v>4</v>
      </c>
      <c r="AK877">
        <v>5</v>
      </c>
      <c r="AL877" t="s">
        <v>171</v>
      </c>
      <c r="AM877" t="s">
        <v>172</v>
      </c>
      <c r="AN877" t="s">
        <v>173</v>
      </c>
      <c r="AO877" t="s">
        <v>13213</v>
      </c>
      <c r="AP877" t="s">
        <v>13214</v>
      </c>
      <c r="AQ877" t="s">
        <v>74</v>
      </c>
      <c r="AR877" t="s">
        <v>13215</v>
      </c>
      <c r="AS877" t="s">
        <v>13216</v>
      </c>
      <c r="AT877" t="s">
        <v>297</v>
      </c>
      <c r="AU877">
        <v>2023</v>
      </c>
      <c r="AV877">
        <v>29</v>
      </c>
      <c r="AW877">
        <v>4</v>
      </c>
      <c r="AX877" t="s">
        <v>74</v>
      </c>
      <c r="AY877" t="s">
        <v>74</v>
      </c>
      <c r="AZ877" t="s">
        <v>74</v>
      </c>
      <c r="BA877" t="s">
        <v>74</v>
      </c>
      <c r="BB877">
        <v>962</v>
      </c>
      <c r="BC877">
        <v>979</v>
      </c>
      <c r="BD877" t="s">
        <v>74</v>
      </c>
      <c r="BE877" t="s">
        <v>15046</v>
      </c>
      <c r="BF877" t="str">
        <f>HYPERLINK("http://dx.doi.org/10.1177/13548565231178005","http://dx.doi.org/10.1177/13548565231178005")</f>
        <v>http://dx.doi.org/10.1177/13548565231178005</v>
      </c>
      <c r="BG877" t="s">
        <v>74</v>
      </c>
      <c r="BH877" t="s">
        <v>74</v>
      </c>
      <c r="BI877">
        <v>18</v>
      </c>
      <c r="BJ877" t="s">
        <v>124</v>
      </c>
      <c r="BK877" t="s">
        <v>99</v>
      </c>
      <c r="BL877" t="s">
        <v>124</v>
      </c>
      <c r="BM877" t="s">
        <v>15047</v>
      </c>
      <c r="BN877" t="s">
        <v>74</v>
      </c>
      <c r="BO877" t="s">
        <v>156</v>
      </c>
      <c r="BP877" t="s">
        <v>74</v>
      </c>
      <c r="BQ877" t="s">
        <v>74</v>
      </c>
      <c r="BR877" t="s">
        <v>102</v>
      </c>
      <c r="BS877" t="s">
        <v>15048</v>
      </c>
      <c r="BT877" t="str">
        <f>HYPERLINK("https%3A%2F%2Fwww.webofscience.com%2Fwos%2Fwoscc%2Ffull-record%2FWOS:001185830500010","View Full Record in Web of Science")</f>
        <v>View Full Record in Web of Science</v>
      </c>
    </row>
    <row r="878" spans="1:72" x14ac:dyDescent="0.35">
      <c r="A878" t="s">
        <v>72</v>
      </c>
      <c r="B878" t="s">
        <v>15049</v>
      </c>
      <c r="C878" t="s">
        <v>74</v>
      </c>
      <c r="D878" t="s">
        <v>74</v>
      </c>
      <c r="E878" t="s">
        <v>74</v>
      </c>
      <c r="F878" t="s">
        <v>15050</v>
      </c>
      <c r="G878" t="s">
        <v>74</v>
      </c>
      <c r="H878" t="s">
        <v>74</v>
      </c>
      <c r="I878" t="s">
        <v>15051</v>
      </c>
      <c r="J878" t="s">
        <v>15052</v>
      </c>
      <c r="K878" t="s">
        <v>74</v>
      </c>
      <c r="L878" t="s">
        <v>74</v>
      </c>
      <c r="M878" t="s">
        <v>78</v>
      </c>
      <c r="N878" t="s">
        <v>2042</v>
      </c>
      <c r="O878" t="s">
        <v>74</v>
      </c>
      <c r="P878" t="s">
        <v>74</v>
      </c>
      <c r="Q878" t="s">
        <v>74</v>
      </c>
      <c r="R878" t="s">
        <v>74</v>
      </c>
      <c r="S878" t="s">
        <v>74</v>
      </c>
      <c r="T878" t="s">
        <v>74</v>
      </c>
      <c r="U878" t="s">
        <v>74</v>
      </c>
      <c r="V878" t="s">
        <v>74</v>
      </c>
      <c r="W878" t="s">
        <v>15053</v>
      </c>
      <c r="X878" t="s">
        <v>14419</v>
      </c>
      <c r="Y878" t="s">
        <v>15054</v>
      </c>
      <c r="Z878" t="s">
        <v>15055</v>
      </c>
      <c r="AA878" t="s">
        <v>74</v>
      </c>
      <c r="AB878" t="s">
        <v>15056</v>
      </c>
      <c r="AC878" t="s">
        <v>15057</v>
      </c>
      <c r="AD878" t="s">
        <v>15058</v>
      </c>
      <c r="AE878" t="s">
        <v>15059</v>
      </c>
      <c r="AF878" t="s">
        <v>74</v>
      </c>
      <c r="AG878">
        <v>11</v>
      </c>
      <c r="AH878">
        <v>4</v>
      </c>
      <c r="AI878">
        <v>4</v>
      </c>
      <c r="AJ878">
        <v>0</v>
      </c>
      <c r="AK878">
        <v>12</v>
      </c>
      <c r="AL878" t="s">
        <v>9222</v>
      </c>
      <c r="AM878" t="s">
        <v>227</v>
      </c>
      <c r="AN878" t="s">
        <v>9223</v>
      </c>
      <c r="AO878" t="s">
        <v>15060</v>
      </c>
      <c r="AP878" t="s">
        <v>15061</v>
      </c>
      <c r="AQ878" t="s">
        <v>74</v>
      </c>
      <c r="AR878" t="s">
        <v>15062</v>
      </c>
      <c r="AS878" t="s">
        <v>15063</v>
      </c>
      <c r="AT878" t="s">
        <v>523</v>
      </c>
      <c r="AU878">
        <v>2021</v>
      </c>
      <c r="AV878">
        <v>30</v>
      </c>
      <c r="AW878" t="s">
        <v>15064</v>
      </c>
      <c r="AX878" t="s">
        <v>74</v>
      </c>
      <c r="AY878" t="s">
        <v>74</v>
      </c>
      <c r="AZ878" t="s">
        <v>74</v>
      </c>
      <c r="BA878" t="s">
        <v>74</v>
      </c>
      <c r="BB878" t="s">
        <v>15065</v>
      </c>
      <c r="BC878" t="s">
        <v>15066</v>
      </c>
      <c r="BD878" t="s">
        <v>74</v>
      </c>
      <c r="BE878" t="s">
        <v>15067</v>
      </c>
      <c r="BF878" t="str">
        <f>HYPERLINK("http://dx.doi.org/10.1136/tobaccocontrol-2020-055936","http://dx.doi.org/10.1136/tobaccocontrol-2020-055936")</f>
        <v>http://dx.doi.org/10.1136/tobaccocontrol-2020-055936</v>
      </c>
      <c r="BG878" t="s">
        <v>74</v>
      </c>
      <c r="BH878" t="s">
        <v>74</v>
      </c>
      <c r="BI878">
        <v>2</v>
      </c>
      <c r="BJ878" t="s">
        <v>8342</v>
      </c>
      <c r="BK878" t="s">
        <v>182</v>
      </c>
      <c r="BL878" t="s">
        <v>8342</v>
      </c>
      <c r="BM878" t="s">
        <v>15068</v>
      </c>
      <c r="BN878">
        <v>33093188</v>
      </c>
      <c r="BO878" t="s">
        <v>74</v>
      </c>
      <c r="BP878" t="s">
        <v>74</v>
      </c>
      <c r="BQ878" t="s">
        <v>74</v>
      </c>
      <c r="BR878" t="s">
        <v>102</v>
      </c>
      <c r="BS878" t="s">
        <v>15069</v>
      </c>
      <c r="BT878" t="str">
        <f>HYPERLINK("https%3A%2F%2Fwww.webofscience.com%2Fwos%2Fwoscc%2Ffull-record%2FWOS:000722240400012","View Full Record in Web of Science")</f>
        <v>View Full Record in Web of Science</v>
      </c>
    </row>
    <row r="879" spans="1:72" x14ac:dyDescent="0.35">
      <c r="A879" t="s">
        <v>72</v>
      </c>
      <c r="B879" t="s">
        <v>15070</v>
      </c>
      <c r="C879" t="s">
        <v>74</v>
      </c>
      <c r="D879" t="s">
        <v>74</v>
      </c>
      <c r="E879" t="s">
        <v>74</v>
      </c>
      <c r="F879" t="s">
        <v>15071</v>
      </c>
      <c r="G879" t="s">
        <v>74</v>
      </c>
      <c r="H879" t="s">
        <v>74</v>
      </c>
      <c r="I879" t="s">
        <v>15072</v>
      </c>
      <c r="J879" t="s">
        <v>5221</v>
      </c>
      <c r="K879" t="s">
        <v>74</v>
      </c>
      <c r="L879" t="s">
        <v>74</v>
      </c>
      <c r="M879" t="s">
        <v>78</v>
      </c>
      <c r="N879" t="s">
        <v>108</v>
      </c>
      <c r="O879" t="s">
        <v>74</v>
      </c>
      <c r="P879" t="s">
        <v>74</v>
      </c>
      <c r="Q879" t="s">
        <v>74</v>
      </c>
      <c r="R879" t="s">
        <v>74</v>
      </c>
      <c r="S879" t="s">
        <v>74</v>
      </c>
      <c r="T879" t="s">
        <v>15073</v>
      </c>
      <c r="U879" t="s">
        <v>15074</v>
      </c>
      <c r="V879" t="s">
        <v>15075</v>
      </c>
      <c r="W879" t="s">
        <v>15076</v>
      </c>
      <c r="X879" t="s">
        <v>15077</v>
      </c>
      <c r="Y879" t="s">
        <v>15078</v>
      </c>
      <c r="Z879" t="s">
        <v>15079</v>
      </c>
      <c r="AA879" t="s">
        <v>15080</v>
      </c>
      <c r="AB879" t="s">
        <v>15081</v>
      </c>
      <c r="AC879" t="s">
        <v>15082</v>
      </c>
      <c r="AD879" t="s">
        <v>15083</v>
      </c>
      <c r="AE879" t="s">
        <v>15084</v>
      </c>
      <c r="AF879" t="s">
        <v>74</v>
      </c>
      <c r="AG879">
        <v>58</v>
      </c>
      <c r="AH879">
        <v>4</v>
      </c>
      <c r="AI879">
        <v>5</v>
      </c>
      <c r="AJ879">
        <v>9</v>
      </c>
      <c r="AK879">
        <v>12</v>
      </c>
      <c r="AL879" t="s">
        <v>5231</v>
      </c>
      <c r="AM879" t="s">
        <v>5232</v>
      </c>
      <c r="AN879" t="s">
        <v>5233</v>
      </c>
      <c r="AO879" t="s">
        <v>5234</v>
      </c>
      <c r="AP879" t="s">
        <v>5235</v>
      </c>
      <c r="AQ879" t="s">
        <v>74</v>
      </c>
      <c r="AR879" t="s">
        <v>5236</v>
      </c>
      <c r="AS879" t="s">
        <v>5237</v>
      </c>
      <c r="AT879" t="s">
        <v>74</v>
      </c>
      <c r="AU879">
        <v>2023</v>
      </c>
      <c r="AV879">
        <v>32</v>
      </c>
      <c r="AW879">
        <v>6</v>
      </c>
      <c r="AX879" t="s">
        <v>74</v>
      </c>
      <c r="AY879" t="s">
        <v>74</v>
      </c>
      <c r="AZ879" t="s">
        <v>74</v>
      </c>
      <c r="BA879" t="s">
        <v>74</v>
      </c>
      <c r="BB879" t="s">
        <v>74</v>
      </c>
      <c r="BC879" t="s">
        <v>74</v>
      </c>
      <c r="BD879" t="s">
        <v>15085</v>
      </c>
      <c r="BE879" t="s">
        <v>15086</v>
      </c>
      <c r="BF879" t="str">
        <f>HYPERLINK("http://dx.doi.org/10.3145/epi.2023.nov.11","http://dx.doi.org/10.3145/epi.2023.nov.11")</f>
        <v>http://dx.doi.org/10.3145/epi.2023.nov.11</v>
      </c>
      <c r="BG879" t="s">
        <v>74</v>
      </c>
      <c r="BH879" t="s">
        <v>74</v>
      </c>
      <c r="BI879">
        <v>16</v>
      </c>
      <c r="BJ879" t="s">
        <v>5240</v>
      </c>
      <c r="BK879" t="s">
        <v>99</v>
      </c>
      <c r="BL879" t="s">
        <v>5240</v>
      </c>
      <c r="BM879" t="s">
        <v>15087</v>
      </c>
      <c r="BN879" t="s">
        <v>74</v>
      </c>
      <c r="BO879" t="s">
        <v>156</v>
      </c>
      <c r="BP879" t="s">
        <v>74</v>
      </c>
      <c r="BQ879" t="s">
        <v>74</v>
      </c>
      <c r="BR879" t="s">
        <v>102</v>
      </c>
      <c r="BS879" t="s">
        <v>15088</v>
      </c>
      <c r="BT879" t="str">
        <f>HYPERLINK("https%3A%2F%2Fwww.webofscience.com%2Fwos%2Fwoscc%2Ffull-record%2FWOS:001156562800004","View Full Record in Web of Science")</f>
        <v>View Full Record in Web of Science</v>
      </c>
    </row>
    <row r="880" spans="1:72" x14ac:dyDescent="0.35">
      <c r="A880" t="s">
        <v>72</v>
      </c>
      <c r="B880" t="s">
        <v>15089</v>
      </c>
      <c r="C880" t="s">
        <v>74</v>
      </c>
      <c r="D880" t="s">
        <v>74</v>
      </c>
      <c r="E880" t="s">
        <v>74</v>
      </c>
      <c r="F880" t="s">
        <v>15090</v>
      </c>
      <c r="G880" t="s">
        <v>74</v>
      </c>
      <c r="H880" t="s">
        <v>74</v>
      </c>
      <c r="I880" t="s">
        <v>15091</v>
      </c>
      <c r="J880" t="s">
        <v>13254</v>
      </c>
      <c r="K880" t="s">
        <v>74</v>
      </c>
      <c r="L880" t="s">
        <v>74</v>
      </c>
      <c r="M880" t="s">
        <v>78</v>
      </c>
      <c r="N880" t="s">
        <v>52</v>
      </c>
      <c r="O880" t="s">
        <v>13790</v>
      </c>
      <c r="P880" t="s">
        <v>13791</v>
      </c>
      <c r="Q880" t="s">
        <v>13792</v>
      </c>
      <c r="R880" t="s">
        <v>74</v>
      </c>
      <c r="S880" t="s">
        <v>74</v>
      </c>
      <c r="T880" t="s">
        <v>74</v>
      </c>
      <c r="U880" t="s">
        <v>74</v>
      </c>
      <c r="V880" t="s">
        <v>74</v>
      </c>
      <c r="W880" t="s">
        <v>15092</v>
      </c>
      <c r="X880" t="s">
        <v>11521</v>
      </c>
      <c r="Y880" t="s">
        <v>74</v>
      </c>
      <c r="Z880" t="s">
        <v>74</v>
      </c>
      <c r="AA880" t="s">
        <v>74</v>
      </c>
      <c r="AB880" t="s">
        <v>74</v>
      </c>
      <c r="AC880" t="s">
        <v>74</v>
      </c>
      <c r="AD880" t="s">
        <v>74</v>
      </c>
      <c r="AE880" t="s">
        <v>74</v>
      </c>
      <c r="AF880" t="s">
        <v>74</v>
      </c>
      <c r="AG880">
        <v>0</v>
      </c>
      <c r="AH880">
        <v>0</v>
      </c>
      <c r="AI880">
        <v>0</v>
      </c>
      <c r="AJ880">
        <v>0</v>
      </c>
      <c r="AK880">
        <v>1</v>
      </c>
      <c r="AL880" t="s">
        <v>1901</v>
      </c>
      <c r="AM880" t="s">
        <v>995</v>
      </c>
      <c r="AN880" t="s">
        <v>1902</v>
      </c>
      <c r="AO880" t="s">
        <v>13258</v>
      </c>
      <c r="AP880" t="s">
        <v>13259</v>
      </c>
      <c r="AQ880" t="s">
        <v>74</v>
      </c>
      <c r="AR880" t="s">
        <v>13260</v>
      </c>
      <c r="AS880" t="s">
        <v>13261</v>
      </c>
      <c r="AT880" t="s">
        <v>594</v>
      </c>
      <c r="AU880">
        <v>2023</v>
      </c>
      <c r="AV880">
        <v>118</v>
      </c>
      <c r="AW880">
        <v>10</v>
      </c>
      <c r="AX880" t="s">
        <v>74</v>
      </c>
      <c r="AY880" t="s">
        <v>4946</v>
      </c>
      <c r="AZ880" t="s">
        <v>74</v>
      </c>
      <c r="BA880" t="s">
        <v>15093</v>
      </c>
      <c r="BB880" t="s">
        <v>15094</v>
      </c>
      <c r="BC880" t="s">
        <v>15094</v>
      </c>
      <c r="BD880" t="s">
        <v>74</v>
      </c>
      <c r="BE880" t="s">
        <v>74</v>
      </c>
      <c r="BF880" t="s">
        <v>74</v>
      </c>
      <c r="BG880" t="s">
        <v>74</v>
      </c>
      <c r="BH880" t="s">
        <v>74</v>
      </c>
      <c r="BI880">
        <v>1</v>
      </c>
      <c r="BJ880" t="s">
        <v>12536</v>
      </c>
      <c r="BK880" t="s">
        <v>2257</v>
      </c>
      <c r="BL880" t="s">
        <v>12536</v>
      </c>
      <c r="BM880" t="s">
        <v>13798</v>
      </c>
      <c r="BN880" t="s">
        <v>74</v>
      </c>
      <c r="BO880" t="s">
        <v>74</v>
      </c>
      <c r="BP880" t="s">
        <v>74</v>
      </c>
      <c r="BQ880" t="s">
        <v>74</v>
      </c>
      <c r="BR880" t="s">
        <v>102</v>
      </c>
      <c r="BS880" t="s">
        <v>15095</v>
      </c>
      <c r="BT880" t="str">
        <f>HYPERLINK("https%3A%2F%2Fwww.webofscience.com%2Fwos%2Fwoscc%2Ffull-record%2FWOS:001091849300254","View Full Record in Web of Science")</f>
        <v>View Full Record in Web of Science</v>
      </c>
    </row>
    <row r="881" spans="1:72" x14ac:dyDescent="0.35">
      <c r="A881" t="s">
        <v>72</v>
      </c>
      <c r="B881" t="s">
        <v>15096</v>
      </c>
      <c r="C881" t="s">
        <v>74</v>
      </c>
      <c r="D881" t="s">
        <v>74</v>
      </c>
      <c r="E881" t="s">
        <v>74</v>
      </c>
      <c r="F881" t="s">
        <v>15097</v>
      </c>
      <c r="G881" t="s">
        <v>74</v>
      </c>
      <c r="H881" t="s">
        <v>74</v>
      </c>
      <c r="I881" t="s">
        <v>15098</v>
      </c>
      <c r="J881" t="s">
        <v>12524</v>
      </c>
      <c r="K881" t="s">
        <v>74</v>
      </c>
      <c r="L881" t="s">
        <v>74</v>
      </c>
      <c r="M881" t="s">
        <v>78</v>
      </c>
      <c r="N881" t="s">
        <v>52</v>
      </c>
      <c r="O881" t="s">
        <v>12525</v>
      </c>
      <c r="P881" t="s">
        <v>12526</v>
      </c>
      <c r="Q881" t="s">
        <v>12527</v>
      </c>
      <c r="R881" t="s">
        <v>74</v>
      </c>
      <c r="S881" t="s">
        <v>74</v>
      </c>
      <c r="T881" t="s">
        <v>74</v>
      </c>
      <c r="U881" t="s">
        <v>74</v>
      </c>
      <c r="V881" t="s">
        <v>74</v>
      </c>
      <c r="W881" t="s">
        <v>74</v>
      </c>
      <c r="X881" t="s">
        <v>74</v>
      </c>
      <c r="Y881" t="s">
        <v>74</v>
      </c>
      <c r="Z881" t="s">
        <v>74</v>
      </c>
      <c r="AA881" t="s">
        <v>74</v>
      </c>
      <c r="AB881" t="s">
        <v>74</v>
      </c>
      <c r="AC881" t="s">
        <v>74</v>
      </c>
      <c r="AD881" t="s">
        <v>74</v>
      </c>
      <c r="AE881" t="s">
        <v>74</v>
      </c>
      <c r="AF881" t="s">
        <v>74</v>
      </c>
      <c r="AG881">
        <v>0</v>
      </c>
      <c r="AH881">
        <v>0</v>
      </c>
      <c r="AI881">
        <v>0</v>
      </c>
      <c r="AJ881">
        <v>0</v>
      </c>
      <c r="AK881">
        <v>0</v>
      </c>
      <c r="AL881" t="s">
        <v>12528</v>
      </c>
      <c r="AM881" t="s">
        <v>995</v>
      </c>
      <c r="AN881" t="s">
        <v>12529</v>
      </c>
      <c r="AO881" t="s">
        <v>12530</v>
      </c>
      <c r="AP881" t="s">
        <v>12531</v>
      </c>
      <c r="AQ881" t="s">
        <v>74</v>
      </c>
      <c r="AR881" t="s">
        <v>12524</v>
      </c>
      <c r="AS881" t="s">
        <v>12532</v>
      </c>
      <c r="AT881" t="s">
        <v>745</v>
      </c>
      <c r="AU881">
        <v>2023</v>
      </c>
      <c r="AV881">
        <v>164</v>
      </c>
      <c r="AW881">
        <v>6</v>
      </c>
      <c r="AX881" t="s">
        <v>74</v>
      </c>
      <c r="AY881" t="s">
        <v>4946</v>
      </c>
      <c r="AZ881" t="s">
        <v>74</v>
      </c>
      <c r="BA881" t="s">
        <v>15099</v>
      </c>
      <c r="BB881" t="s">
        <v>13105</v>
      </c>
      <c r="BC881" t="s">
        <v>13105</v>
      </c>
      <c r="BD881" t="s">
        <v>74</v>
      </c>
      <c r="BE881" t="s">
        <v>74</v>
      </c>
      <c r="BF881" t="s">
        <v>74</v>
      </c>
      <c r="BG881" t="s">
        <v>74</v>
      </c>
      <c r="BH881" t="s">
        <v>74</v>
      </c>
      <c r="BI881">
        <v>1</v>
      </c>
      <c r="BJ881" t="s">
        <v>12536</v>
      </c>
      <c r="BK881" t="s">
        <v>2257</v>
      </c>
      <c r="BL881" t="s">
        <v>12536</v>
      </c>
      <c r="BM881" t="s">
        <v>12537</v>
      </c>
      <c r="BN881" t="s">
        <v>74</v>
      </c>
      <c r="BO881" t="s">
        <v>74</v>
      </c>
      <c r="BP881" t="s">
        <v>74</v>
      </c>
      <c r="BQ881" t="s">
        <v>74</v>
      </c>
      <c r="BR881" t="s">
        <v>102</v>
      </c>
      <c r="BS881" t="s">
        <v>15100</v>
      </c>
      <c r="BT881" t="str">
        <f>HYPERLINK("https%3A%2F%2Fwww.webofscience.com%2Fwos%2Fwoscc%2Ffull-record%2FWOS:001040954704063","View Full Record in Web of Science")</f>
        <v>View Full Record in Web of Science</v>
      </c>
    </row>
    <row r="882" spans="1:72" x14ac:dyDescent="0.35">
      <c r="A882" t="s">
        <v>72</v>
      </c>
      <c r="B882" t="s">
        <v>15101</v>
      </c>
      <c r="C882" t="s">
        <v>74</v>
      </c>
      <c r="D882" t="s">
        <v>74</v>
      </c>
      <c r="E882" t="s">
        <v>74</v>
      </c>
      <c r="F882" t="s">
        <v>15102</v>
      </c>
      <c r="G882" t="s">
        <v>74</v>
      </c>
      <c r="H882" t="s">
        <v>74</v>
      </c>
      <c r="I882" t="s">
        <v>15103</v>
      </c>
      <c r="J882" t="s">
        <v>9249</v>
      </c>
      <c r="K882" t="s">
        <v>74</v>
      </c>
      <c r="L882" t="s">
        <v>74</v>
      </c>
      <c r="M882" t="s">
        <v>78</v>
      </c>
      <c r="N882" t="s">
        <v>2042</v>
      </c>
      <c r="O882" t="s">
        <v>74</v>
      </c>
      <c r="P882" t="s">
        <v>74</v>
      </c>
      <c r="Q882" t="s">
        <v>74</v>
      </c>
      <c r="R882" t="s">
        <v>74</v>
      </c>
      <c r="S882" t="s">
        <v>74</v>
      </c>
      <c r="T882" t="s">
        <v>74</v>
      </c>
      <c r="U882" t="s">
        <v>74</v>
      </c>
      <c r="V882" t="s">
        <v>74</v>
      </c>
      <c r="W882" t="s">
        <v>15104</v>
      </c>
      <c r="X882" t="s">
        <v>15105</v>
      </c>
      <c r="Y882" t="s">
        <v>15106</v>
      </c>
      <c r="Z882" t="s">
        <v>15107</v>
      </c>
      <c r="AA882" t="s">
        <v>15108</v>
      </c>
      <c r="AB882" t="s">
        <v>15109</v>
      </c>
      <c r="AC882" t="s">
        <v>74</v>
      </c>
      <c r="AD882" t="s">
        <v>74</v>
      </c>
      <c r="AE882" t="s">
        <v>74</v>
      </c>
      <c r="AF882" t="s">
        <v>74</v>
      </c>
      <c r="AG882">
        <v>12</v>
      </c>
      <c r="AH882">
        <v>3</v>
      </c>
      <c r="AI882">
        <v>4</v>
      </c>
      <c r="AJ882">
        <v>4</v>
      </c>
      <c r="AK882">
        <v>28</v>
      </c>
      <c r="AL882" t="s">
        <v>1965</v>
      </c>
      <c r="AM882" t="s">
        <v>666</v>
      </c>
      <c r="AN882" t="s">
        <v>1966</v>
      </c>
      <c r="AO882" t="s">
        <v>9256</v>
      </c>
      <c r="AP882" t="s">
        <v>9257</v>
      </c>
      <c r="AQ882" t="s">
        <v>74</v>
      </c>
      <c r="AR882" t="s">
        <v>9258</v>
      </c>
      <c r="AS882" t="s">
        <v>9259</v>
      </c>
      <c r="AT882" t="s">
        <v>273</v>
      </c>
      <c r="AU882">
        <v>2023</v>
      </c>
      <c r="AV882">
        <v>62</v>
      </c>
      <c r="AW882">
        <v>7</v>
      </c>
      <c r="AX882" t="s">
        <v>74</v>
      </c>
      <c r="AY882" t="s">
        <v>74</v>
      </c>
      <c r="AZ882" t="s">
        <v>74</v>
      </c>
      <c r="BA882" t="s">
        <v>74</v>
      </c>
      <c r="BB882">
        <v>710</v>
      </c>
      <c r="BC882">
        <v>712</v>
      </c>
      <c r="BD882" t="s">
        <v>74</v>
      </c>
      <c r="BE882" t="s">
        <v>15110</v>
      </c>
      <c r="BF882" t="str">
        <f>HYPERLINK("http://dx.doi.org/10.1016/j.jaac.2022.11.015","http://dx.doi.org/10.1016/j.jaac.2022.11.015")</f>
        <v>http://dx.doi.org/10.1016/j.jaac.2022.11.015</v>
      </c>
      <c r="BG882" t="s">
        <v>74</v>
      </c>
      <c r="BH882" t="s">
        <v>1954</v>
      </c>
      <c r="BI882">
        <v>3</v>
      </c>
      <c r="BJ882" t="s">
        <v>5098</v>
      </c>
      <c r="BK882" t="s">
        <v>182</v>
      </c>
      <c r="BL882" t="s">
        <v>5099</v>
      </c>
      <c r="BM882" t="s">
        <v>15111</v>
      </c>
      <c r="BN882">
        <v>36773699</v>
      </c>
      <c r="BO882" t="s">
        <v>74</v>
      </c>
      <c r="BP882" t="s">
        <v>74</v>
      </c>
      <c r="BQ882" t="s">
        <v>74</v>
      </c>
      <c r="BR882" t="s">
        <v>102</v>
      </c>
      <c r="BS882" t="s">
        <v>15112</v>
      </c>
      <c r="BT882" t="str">
        <f>HYPERLINK("https%3A%2F%2Fwww.webofscience.com%2Fwos%2Fwoscc%2Ffull-record%2FWOS:001038811300001","View Full Record in Web of Science")</f>
        <v>View Full Record in Web of Science</v>
      </c>
    </row>
    <row r="883" spans="1:72" x14ac:dyDescent="0.35">
      <c r="A883" t="s">
        <v>72</v>
      </c>
      <c r="B883" t="s">
        <v>15113</v>
      </c>
      <c r="C883" t="s">
        <v>74</v>
      </c>
      <c r="D883" t="s">
        <v>74</v>
      </c>
      <c r="E883" t="s">
        <v>74</v>
      </c>
      <c r="F883" t="s">
        <v>15114</v>
      </c>
      <c r="G883" t="s">
        <v>74</v>
      </c>
      <c r="H883" t="s">
        <v>74</v>
      </c>
      <c r="I883" t="s">
        <v>15115</v>
      </c>
      <c r="J883" t="s">
        <v>2493</v>
      </c>
      <c r="K883" t="s">
        <v>74</v>
      </c>
      <c r="L883" t="s">
        <v>74</v>
      </c>
      <c r="M883" t="s">
        <v>78</v>
      </c>
      <c r="N883" t="s">
        <v>52</v>
      </c>
      <c r="O883" t="s">
        <v>9678</v>
      </c>
      <c r="P883" t="s">
        <v>10990</v>
      </c>
      <c r="Q883" t="s">
        <v>5386</v>
      </c>
      <c r="R883" t="s">
        <v>9680</v>
      </c>
      <c r="S883" t="s">
        <v>74</v>
      </c>
      <c r="T883" t="s">
        <v>74</v>
      </c>
      <c r="U883" t="s">
        <v>74</v>
      </c>
      <c r="V883" t="s">
        <v>74</v>
      </c>
      <c r="W883" t="s">
        <v>15116</v>
      </c>
      <c r="X883" t="s">
        <v>15117</v>
      </c>
      <c r="Y883" t="s">
        <v>74</v>
      </c>
      <c r="Z883" t="s">
        <v>74</v>
      </c>
      <c r="AA883" t="s">
        <v>11637</v>
      </c>
      <c r="AB883" t="s">
        <v>74</v>
      </c>
      <c r="AC883" t="s">
        <v>74</v>
      </c>
      <c r="AD883" t="s">
        <v>74</v>
      </c>
      <c r="AE883" t="s">
        <v>74</v>
      </c>
      <c r="AF883" t="s">
        <v>74</v>
      </c>
      <c r="AG883">
        <v>0</v>
      </c>
      <c r="AH883">
        <v>0</v>
      </c>
      <c r="AI883">
        <v>0</v>
      </c>
      <c r="AJ883">
        <v>0</v>
      </c>
      <c r="AK883">
        <v>1</v>
      </c>
      <c r="AL883" t="s">
        <v>2027</v>
      </c>
      <c r="AM883" t="s">
        <v>666</v>
      </c>
      <c r="AN883" t="s">
        <v>2028</v>
      </c>
      <c r="AO883" t="s">
        <v>2498</v>
      </c>
      <c r="AP883" t="s">
        <v>2499</v>
      </c>
      <c r="AQ883" t="s">
        <v>74</v>
      </c>
      <c r="AR883" t="s">
        <v>2500</v>
      </c>
      <c r="AS883" t="s">
        <v>2501</v>
      </c>
      <c r="AT883" t="s">
        <v>455</v>
      </c>
      <c r="AU883">
        <v>2022</v>
      </c>
      <c r="AV883">
        <v>87</v>
      </c>
      <c r="AW883">
        <v>3</v>
      </c>
      <c r="AX883" t="s">
        <v>74</v>
      </c>
      <c r="AY883" t="s">
        <v>4946</v>
      </c>
      <c r="AZ883" t="s">
        <v>74</v>
      </c>
      <c r="BA883">
        <v>34394</v>
      </c>
      <c r="BB883" t="s">
        <v>15118</v>
      </c>
      <c r="BC883" t="s">
        <v>15118</v>
      </c>
      <c r="BD883" t="s">
        <v>74</v>
      </c>
      <c r="BE883" t="s">
        <v>74</v>
      </c>
      <c r="BF883" t="s">
        <v>74</v>
      </c>
      <c r="BG883" t="s">
        <v>74</v>
      </c>
      <c r="BH883" t="s">
        <v>74</v>
      </c>
      <c r="BI883">
        <v>1</v>
      </c>
      <c r="BJ883" t="s">
        <v>1341</v>
      </c>
      <c r="BK883" t="s">
        <v>2257</v>
      </c>
      <c r="BL883" t="s">
        <v>1341</v>
      </c>
      <c r="BM883" t="s">
        <v>10994</v>
      </c>
      <c r="BN883" t="s">
        <v>74</v>
      </c>
      <c r="BO883" t="s">
        <v>74</v>
      </c>
      <c r="BP883" t="s">
        <v>74</v>
      </c>
      <c r="BQ883" t="s">
        <v>74</v>
      </c>
      <c r="BR883" t="s">
        <v>102</v>
      </c>
      <c r="BS883" t="s">
        <v>15119</v>
      </c>
      <c r="BT883" t="str">
        <f>HYPERLINK("https%3A%2F%2Fwww.webofscience.com%2Fwos%2Fwoscc%2Ffull-record%2FWOS:000891793200438","View Full Record in Web of Science")</f>
        <v>View Full Record in Web of Science</v>
      </c>
    </row>
    <row r="884" spans="1:72" x14ac:dyDescent="0.35">
      <c r="A884" t="s">
        <v>72</v>
      </c>
      <c r="B884" t="s">
        <v>15120</v>
      </c>
      <c r="C884" t="s">
        <v>74</v>
      </c>
      <c r="D884" t="s">
        <v>74</v>
      </c>
      <c r="E884" t="s">
        <v>74</v>
      </c>
      <c r="F884" t="s">
        <v>15121</v>
      </c>
      <c r="G884" t="s">
        <v>74</v>
      </c>
      <c r="H884" t="s">
        <v>74</v>
      </c>
      <c r="I884" t="s">
        <v>15122</v>
      </c>
      <c r="J884" t="s">
        <v>438</v>
      </c>
      <c r="K884" t="s">
        <v>74</v>
      </c>
      <c r="L884" t="s">
        <v>74</v>
      </c>
      <c r="M884" t="s">
        <v>78</v>
      </c>
      <c r="N884" t="s">
        <v>79</v>
      </c>
      <c r="O884" t="s">
        <v>74</v>
      </c>
      <c r="P884" t="s">
        <v>74</v>
      </c>
      <c r="Q884" t="s">
        <v>74</v>
      </c>
      <c r="R884" t="s">
        <v>74</v>
      </c>
      <c r="S884" t="s">
        <v>74</v>
      </c>
      <c r="T884" t="s">
        <v>15123</v>
      </c>
      <c r="U884" t="s">
        <v>15124</v>
      </c>
      <c r="V884" t="s">
        <v>15125</v>
      </c>
      <c r="W884" t="s">
        <v>15126</v>
      </c>
      <c r="X884" t="s">
        <v>15127</v>
      </c>
      <c r="Y884" t="s">
        <v>15128</v>
      </c>
      <c r="Z884" t="s">
        <v>15129</v>
      </c>
      <c r="AA884" t="s">
        <v>74</v>
      </c>
      <c r="AB884" t="s">
        <v>15130</v>
      </c>
      <c r="AC884" t="s">
        <v>74</v>
      </c>
      <c r="AD884" t="s">
        <v>74</v>
      </c>
      <c r="AE884" t="s">
        <v>74</v>
      </c>
      <c r="AF884" t="s">
        <v>74</v>
      </c>
      <c r="AG884">
        <v>62</v>
      </c>
      <c r="AH884">
        <v>1</v>
      </c>
      <c r="AI884">
        <v>1</v>
      </c>
      <c r="AJ884">
        <v>7</v>
      </c>
      <c r="AK884">
        <v>26</v>
      </c>
      <c r="AL884" t="s">
        <v>226</v>
      </c>
      <c r="AM884" t="s">
        <v>227</v>
      </c>
      <c r="AN884" t="s">
        <v>228</v>
      </c>
      <c r="AO884" t="s">
        <v>451</v>
      </c>
      <c r="AP884" t="s">
        <v>452</v>
      </c>
      <c r="AQ884" t="s">
        <v>74</v>
      </c>
      <c r="AR884" t="s">
        <v>453</v>
      </c>
      <c r="AS884" t="s">
        <v>454</v>
      </c>
      <c r="AT884" t="s">
        <v>15131</v>
      </c>
      <c r="AU884">
        <v>2023</v>
      </c>
      <c r="AV884" t="s">
        <v>74</v>
      </c>
      <c r="AW884" t="s">
        <v>74</v>
      </c>
      <c r="AX884" t="s">
        <v>74</v>
      </c>
      <c r="AY884" t="s">
        <v>74</v>
      </c>
      <c r="AZ884" t="s">
        <v>74</v>
      </c>
      <c r="BA884" t="s">
        <v>74</v>
      </c>
      <c r="BB884" t="s">
        <v>74</v>
      </c>
      <c r="BC884" t="s">
        <v>74</v>
      </c>
      <c r="BD884" t="s">
        <v>74</v>
      </c>
      <c r="BE884" t="s">
        <v>15132</v>
      </c>
      <c r="BF884" t="str">
        <f>HYPERLINK("http://dx.doi.org/10.1177/14614448231217425","http://dx.doi.org/10.1177/14614448231217425")</f>
        <v>http://dx.doi.org/10.1177/14614448231217425</v>
      </c>
      <c r="BG884" t="s">
        <v>74</v>
      </c>
      <c r="BH884" t="s">
        <v>1449</v>
      </c>
      <c r="BI884">
        <v>26</v>
      </c>
      <c r="BJ884" t="s">
        <v>124</v>
      </c>
      <c r="BK884" t="s">
        <v>99</v>
      </c>
      <c r="BL884" t="s">
        <v>124</v>
      </c>
      <c r="BM884" t="s">
        <v>15133</v>
      </c>
      <c r="BN884" t="s">
        <v>74</v>
      </c>
      <c r="BO884" t="s">
        <v>74</v>
      </c>
      <c r="BP884" t="s">
        <v>74</v>
      </c>
      <c r="BQ884" t="s">
        <v>74</v>
      </c>
      <c r="BR884" t="s">
        <v>102</v>
      </c>
      <c r="BS884" t="s">
        <v>15134</v>
      </c>
      <c r="BT884" t="str">
        <f>HYPERLINK("https%3A%2F%2Fwww.webofscience.com%2Fwos%2Fwoscc%2Ffull-record%2FWOS:001125871300001","View Full Record in Web of Science")</f>
        <v>View Full Record in Web of Science</v>
      </c>
    </row>
    <row r="885" spans="1:72" x14ac:dyDescent="0.35">
      <c r="A885" t="s">
        <v>72</v>
      </c>
      <c r="B885" t="s">
        <v>15135</v>
      </c>
      <c r="C885" t="s">
        <v>74</v>
      </c>
      <c r="D885" t="s">
        <v>74</v>
      </c>
      <c r="E885" t="s">
        <v>74</v>
      </c>
      <c r="F885" t="s">
        <v>15136</v>
      </c>
      <c r="G885" t="s">
        <v>74</v>
      </c>
      <c r="H885" t="s">
        <v>74</v>
      </c>
      <c r="I885" t="s">
        <v>15137</v>
      </c>
      <c r="J885" t="s">
        <v>12691</v>
      </c>
      <c r="K885" t="s">
        <v>74</v>
      </c>
      <c r="L885" t="s">
        <v>74</v>
      </c>
      <c r="M885" t="s">
        <v>78</v>
      </c>
      <c r="N885" t="s">
        <v>52</v>
      </c>
      <c r="O885" t="s">
        <v>15138</v>
      </c>
      <c r="P885" t="s">
        <v>15139</v>
      </c>
      <c r="Q885" t="s">
        <v>15140</v>
      </c>
      <c r="R885" t="s">
        <v>15141</v>
      </c>
      <c r="S885" t="s">
        <v>74</v>
      </c>
      <c r="T885" t="s">
        <v>74</v>
      </c>
      <c r="U885" t="s">
        <v>74</v>
      </c>
      <c r="V885" t="s">
        <v>74</v>
      </c>
      <c r="W885" t="s">
        <v>15142</v>
      </c>
      <c r="X885" t="s">
        <v>15143</v>
      </c>
      <c r="Y885" t="s">
        <v>74</v>
      </c>
      <c r="Z885" t="s">
        <v>74</v>
      </c>
      <c r="AA885" t="s">
        <v>74</v>
      </c>
      <c r="AB885" t="s">
        <v>74</v>
      </c>
      <c r="AC885" t="s">
        <v>74</v>
      </c>
      <c r="AD885" t="s">
        <v>74</v>
      </c>
      <c r="AE885" t="s">
        <v>74</v>
      </c>
      <c r="AF885" t="s">
        <v>74</v>
      </c>
      <c r="AG885">
        <v>0</v>
      </c>
      <c r="AH885">
        <v>0</v>
      </c>
      <c r="AI885">
        <v>0</v>
      </c>
      <c r="AJ885">
        <v>0</v>
      </c>
      <c r="AK885">
        <v>0</v>
      </c>
      <c r="AL885" t="s">
        <v>251</v>
      </c>
      <c r="AM885" t="s">
        <v>252</v>
      </c>
      <c r="AN885" t="s">
        <v>253</v>
      </c>
      <c r="AO885" t="s">
        <v>12700</v>
      </c>
      <c r="AP885" t="s">
        <v>12701</v>
      </c>
      <c r="AQ885" t="s">
        <v>74</v>
      </c>
      <c r="AR885" t="s">
        <v>12702</v>
      </c>
      <c r="AS885" t="s">
        <v>12703</v>
      </c>
      <c r="AT885" t="s">
        <v>523</v>
      </c>
      <c r="AU885">
        <v>2023</v>
      </c>
      <c r="AV885">
        <v>132</v>
      </c>
      <c r="AW885" t="s">
        <v>74</v>
      </c>
      <c r="AX885" t="s">
        <v>74</v>
      </c>
      <c r="AY885">
        <v>1</v>
      </c>
      <c r="AZ885" t="s">
        <v>456</v>
      </c>
      <c r="BA885">
        <v>21</v>
      </c>
      <c r="BB885">
        <v>4</v>
      </c>
      <c r="BC885">
        <v>4</v>
      </c>
      <c r="BD885" t="s">
        <v>74</v>
      </c>
      <c r="BE885" t="s">
        <v>74</v>
      </c>
      <c r="BF885" t="s">
        <v>74</v>
      </c>
      <c r="BG885" t="s">
        <v>74</v>
      </c>
      <c r="BH885" t="s">
        <v>74</v>
      </c>
      <c r="BI885">
        <v>1</v>
      </c>
      <c r="BJ885" t="s">
        <v>1908</v>
      </c>
      <c r="BK885" t="s">
        <v>2257</v>
      </c>
      <c r="BL885" t="s">
        <v>1908</v>
      </c>
      <c r="BM885" t="s">
        <v>15144</v>
      </c>
      <c r="BN885" t="s">
        <v>74</v>
      </c>
      <c r="BO885" t="s">
        <v>74</v>
      </c>
      <c r="BP885" t="s">
        <v>74</v>
      </c>
      <c r="BQ885" t="s">
        <v>74</v>
      </c>
      <c r="BR885" t="s">
        <v>102</v>
      </c>
      <c r="BS885" t="s">
        <v>15145</v>
      </c>
      <c r="BT885" t="str">
        <f>HYPERLINK("https%3A%2F%2Fwww.webofscience.com%2Fwos%2Fwoscc%2Ffull-record%2FWOS:001184359200002","View Full Record in Web of Science")</f>
        <v>View Full Record in Web of Science</v>
      </c>
    </row>
    <row r="886" spans="1:72" x14ac:dyDescent="0.35">
      <c r="A886" t="s">
        <v>72</v>
      </c>
      <c r="B886" t="s">
        <v>15146</v>
      </c>
      <c r="C886" t="s">
        <v>74</v>
      </c>
      <c r="D886" t="s">
        <v>74</v>
      </c>
      <c r="E886" t="s">
        <v>74</v>
      </c>
      <c r="F886" t="s">
        <v>15147</v>
      </c>
      <c r="G886" t="s">
        <v>74</v>
      </c>
      <c r="H886" t="s">
        <v>74</v>
      </c>
      <c r="I886" t="s">
        <v>15148</v>
      </c>
      <c r="J886" t="s">
        <v>15149</v>
      </c>
      <c r="K886" t="s">
        <v>74</v>
      </c>
      <c r="L886" t="s">
        <v>74</v>
      </c>
      <c r="M886" t="s">
        <v>78</v>
      </c>
      <c r="N886" t="s">
        <v>108</v>
      </c>
      <c r="O886" t="s">
        <v>74</v>
      </c>
      <c r="P886" t="s">
        <v>74</v>
      </c>
      <c r="Q886" t="s">
        <v>74</v>
      </c>
      <c r="R886" t="s">
        <v>74</v>
      </c>
      <c r="S886" t="s">
        <v>74</v>
      </c>
      <c r="T886" t="s">
        <v>74</v>
      </c>
      <c r="U886" t="s">
        <v>74</v>
      </c>
      <c r="V886" t="s">
        <v>15150</v>
      </c>
      <c r="W886" t="s">
        <v>15151</v>
      </c>
      <c r="X886" t="s">
        <v>15152</v>
      </c>
      <c r="Y886" t="s">
        <v>15153</v>
      </c>
      <c r="Z886" t="s">
        <v>15154</v>
      </c>
      <c r="AA886" t="s">
        <v>74</v>
      </c>
      <c r="AB886" t="s">
        <v>74</v>
      </c>
      <c r="AC886" t="s">
        <v>74</v>
      </c>
      <c r="AD886" t="s">
        <v>74</v>
      </c>
      <c r="AE886" t="s">
        <v>74</v>
      </c>
      <c r="AF886" t="s">
        <v>74</v>
      </c>
      <c r="AG886">
        <v>0</v>
      </c>
      <c r="AH886">
        <v>0</v>
      </c>
      <c r="AI886">
        <v>0</v>
      </c>
      <c r="AJ886">
        <v>0</v>
      </c>
      <c r="AK886">
        <v>1</v>
      </c>
      <c r="AL886" t="s">
        <v>1901</v>
      </c>
      <c r="AM886" t="s">
        <v>995</v>
      </c>
      <c r="AN886" t="s">
        <v>1902</v>
      </c>
      <c r="AO886" t="s">
        <v>15155</v>
      </c>
      <c r="AP886" t="s">
        <v>15156</v>
      </c>
      <c r="AQ886" t="s">
        <v>74</v>
      </c>
      <c r="AR886" t="s">
        <v>15157</v>
      </c>
      <c r="AS886" t="s">
        <v>15158</v>
      </c>
      <c r="AT886" t="s">
        <v>745</v>
      </c>
      <c r="AU886">
        <v>2024</v>
      </c>
      <c r="AV886">
        <v>124</v>
      </c>
      <c r="AW886">
        <v>5</v>
      </c>
      <c r="AX886" t="s">
        <v>74</v>
      </c>
      <c r="AY886" t="s">
        <v>74</v>
      </c>
      <c r="AZ886" t="s">
        <v>74</v>
      </c>
      <c r="BA886" t="s">
        <v>74</v>
      </c>
      <c r="BB886">
        <v>11</v>
      </c>
      <c r="BC886">
        <v>11</v>
      </c>
      <c r="BD886" t="s">
        <v>74</v>
      </c>
      <c r="BE886" t="s">
        <v>15159</v>
      </c>
      <c r="BF886" t="str">
        <f>HYPERLINK("http://dx.doi.org/10.1097/01.NAJ.0001016308.83547.53","http://dx.doi.org/10.1097/01.NAJ.0001016308.83547.53")</f>
        <v>http://dx.doi.org/10.1097/01.NAJ.0001016308.83547.53</v>
      </c>
      <c r="BG886" t="s">
        <v>74</v>
      </c>
      <c r="BH886" t="s">
        <v>74</v>
      </c>
      <c r="BI886">
        <v>1</v>
      </c>
      <c r="BJ886" t="s">
        <v>8110</v>
      </c>
      <c r="BK886" t="s">
        <v>182</v>
      </c>
      <c r="BL886" t="s">
        <v>8110</v>
      </c>
      <c r="BM886" t="s">
        <v>15160</v>
      </c>
      <c r="BN886">
        <v>38661684</v>
      </c>
      <c r="BO886" t="s">
        <v>74</v>
      </c>
      <c r="BP886" t="s">
        <v>74</v>
      </c>
      <c r="BQ886" t="s">
        <v>74</v>
      </c>
      <c r="BR886" t="s">
        <v>102</v>
      </c>
      <c r="BS886" t="s">
        <v>15161</v>
      </c>
      <c r="BT886" t="str">
        <f>HYPERLINK("https%3A%2F%2Fwww.webofscience.com%2Fwos%2Fwoscc%2Ffull-record%2FWOS:001235719500013","View Full Record in Web of Science")</f>
        <v>View Full Record in Web of Science</v>
      </c>
    </row>
    <row r="887" spans="1:72" x14ac:dyDescent="0.35">
      <c r="A887" t="s">
        <v>72</v>
      </c>
      <c r="B887" t="s">
        <v>15162</v>
      </c>
      <c r="C887" t="s">
        <v>74</v>
      </c>
      <c r="D887" t="s">
        <v>74</v>
      </c>
      <c r="E887" t="s">
        <v>74</v>
      </c>
      <c r="F887" t="s">
        <v>15163</v>
      </c>
      <c r="G887" t="s">
        <v>74</v>
      </c>
      <c r="H887" t="s">
        <v>74</v>
      </c>
      <c r="I887" t="s">
        <v>15164</v>
      </c>
      <c r="J887" t="s">
        <v>15165</v>
      </c>
      <c r="K887" t="s">
        <v>74</v>
      </c>
      <c r="L887" t="s">
        <v>74</v>
      </c>
      <c r="M887" t="s">
        <v>78</v>
      </c>
      <c r="N887" t="s">
        <v>1328</v>
      </c>
      <c r="O887" t="s">
        <v>74</v>
      </c>
      <c r="P887" t="s">
        <v>74</v>
      </c>
      <c r="Q887" t="s">
        <v>74</v>
      </c>
      <c r="R887" t="s">
        <v>74</v>
      </c>
      <c r="S887" t="s">
        <v>74</v>
      </c>
      <c r="T887" t="s">
        <v>74</v>
      </c>
      <c r="U887" t="s">
        <v>74</v>
      </c>
      <c r="V887" t="s">
        <v>74</v>
      </c>
      <c r="W887" t="s">
        <v>15166</v>
      </c>
      <c r="X887" t="s">
        <v>74</v>
      </c>
      <c r="Y887" t="s">
        <v>15167</v>
      </c>
      <c r="Z887" t="s">
        <v>15168</v>
      </c>
      <c r="AA887" t="s">
        <v>15169</v>
      </c>
      <c r="AB887" t="s">
        <v>74</v>
      </c>
      <c r="AC887" t="s">
        <v>74</v>
      </c>
      <c r="AD887" t="s">
        <v>74</v>
      </c>
      <c r="AE887" t="s">
        <v>74</v>
      </c>
      <c r="AF887" t="s">
        <v>74</v>
      </c>
      <c r="AG887">
        <v>8</v>
      </c>
      <c r="AH887">
        <v>0</v>
      </c>
      <c r="AI887">
        <v>0</v>
      </c>
      <c r="AJ887">
        <v>1</v>
      </c>
      <c r="AK887">
        <v>2</v>
      </c>
      <c r="AL887" t="s">
        <v>15170</v>
      </c>
      <c r="AM887" t="s">
        <v>15171</v>
      </c>
      <c r="AN887" t="s">
        <v>15172</v>
      </c>
      <c r="AO887" t="s">
        <v>15173</v>
      </c>
      <c r="AP887" t="s">
        <v>15174</v>
      </c>
      <c r="AQ887" t="s">
        <v>74</v>
      </c>
      <c r="AR887" t="s">
        <v>15165</v>
      </c>
      <c r="AS887" t="s">
        <v>15175</v>
      </c>
      <c r="AT887" t="s">
        <v>2968</v>
      </c>
      <c r="AU887">
        <v>2023</v>
      </c>
      <c r="AV887">
        <v>50</v>
      </c>
      <c r="AW887">
        <v>3</v>
      </c>
      <c r="AX887" t="s">
        <v>74</v>
      </c>
      <c r="AY887" t="s">
        <v>74</v>
      </c>
      <c r="AZ887" t="s">
        <v>74</v>
      </c>
      <c r="BA887" t="s">
        <v>74</v>
      </c>
      <c r="BB887">
        <v>151</v>
      </c>
      <c r="BC887">
        <v>153</v>
      </c>
      <c r="BD887" t="s">
        <v>74</v>
      </c>
      <c r="BE887" t="s">
        <v>15176</v>
      </c>
      <c r="BF887" t="str">
        <f>HYPERLINK("http://dx.doi.org/10.31698/ped.50032023002","http://dx.doi.org/10.31698/ped.50032023002")</f>
        <v>http://dx.doi.org/10.31698/ped.50032023002</v>
      </c>
      <c r="BG887" t="s">
        <v>74</v>
      </c>
      <c r="BH887" t="s">
        <v>74</v>
      </c>
      <c r="BI887">
        <v>3</v>
      </c>
      <c r="BJ887" t="s">
        <v>6641</v>
      </c>
      <c r="BK887" t="s">
        <v>125</v>
      </c>
      <c r="BL887" t="s">
        <v>6641</v>
      </c>
      <c r="BM887" t="s">
        <v>15177</v>
      </c>
      <c r="BN887" t="s">
        <v>74</v>
      </c>
      <c r="BO887" t="s">
        <v>5678</v>
      </c>
      <c r="BP887" t="s">
        <v>74</v>
      </c>
      <c r="BQ887" t="s">
        <v>74</v>
      </c>
      <c r="BR887" t="s">
        <v>102</v>
      </c>
      <c r="BS887" t="s">
        <v>15178</v>
      </c>
      <c r="BT887" t="str">
        <f>HYPERLINK("https%3A%2F%2Fwww.webofscience.com%2Fwos%2Fwoscc%2Ffull-record%2FWOS:001167292600004","View Full Record in Web of Science")</f>
        <v>View Full Record in Web of Science</v>
      </c>
    </row>
    <row r="888" spans="1:72" x14ac:dyDescent="0.35">
      <c r="A888" t="s">
        <v>72</v>
      </c>
      <c r="B888" t="s">
        <v>15179</v>
      </c>
      <c r="C888" t="s">
        <v>74</v>
      </c>
      <c r="D888" t="s">
        <v>74</v>
      </c>
      <c r="E888" t="s">
        <v>74</v>
      </c>
      <c r="F888" t="s">
        <v>15180</v>
      </c>
      <c r="G888" t="s">
        <v>74</v>
      </c>
      <c r="H888" t="s">
        <v>74</v>
      </c>
      <c r="I888" t="s">
        <v>15181</v>
      </c>
      <c r="J888" t="s">
        <v>11599</v>
      </c>
      <c r="K888" t="s">
        <v>74</v>
      </c>
      <c r="L888" t="s">
        <v>74</v>
      </c>
      <c r="M888" t="s">
        <v>78</v>
      </c>
      <c r="N888" t="s">
        <v>52</v>
      </c>
      <c r="O888" t="s">
        <v>5593</v>
      </c>
      <c r="P888" t="s">
        <v>15182</v>
      </c>
      <c r="Q888" t="s">
        <v>6651</v>
      </c>
      <c r="R888" t="s">
        <v>5595</v>
      </c>
      <c r="S888" t="s">
        <v>74</v>
      </c>
      <c r="T888" t="s">
        <v>74</v>
      </c>
      <c r="U888" t="s">
        <v>74</v>
      </c>
      <c r="V888" t="s">
        <v>74</v>
      </c>
      <c r="W888" t="s">
        <v>74</v>
      </c>
      <c r="X888" t="s">
        <v>74</v>
      </c>
      <c r="Y888" t="s">
        <v>74</v>
      </c>
      <c r="Z888" t="s">
        <v>74</v>
      </c>
      <c r="AA888" t="s">
        <v>74</v>
      </c>
      <c r="AB888" t="s">
        <v>74</v>
      </c>
      <c r="AC888" t="s">
        <v>15183</v>
      </c>
      <c r="AD888" t="s">
        <v>15184</v>
      </c>
      <c r="AE888" t="s">
        <v>15185</v>
      </c>
      <c r="AF888" t="s">
        <v>74</v>
      </c>
      <c r="AG888">
        <v>0</v>
      </c>
      <c r="AH888">
        <v>0</v>
      </c>
      <c r="AI888">
        <v>0</v>
      </c>
      <c r="AJ888">
        <v>0</v>
      </c>
      <c r="AK888">
        <v>1</v>
      </c>
      <c r="AL888" t="s">
        <v>1901</v>
      </c>
      <c r="AM888" t="s">
        <v>995</v>
      </c>
      <c r="AN888" t="s">
        <v>1902</v>
      </c>
      <c r="AO888" t="s">
        <v>11600</v>
      </c>
      <c r="AP888" t="s">
        <v>11601</v>
      </c>
      <c r="AQ888" t="s">
        <v>74</v>
      </c>
      <c r="AR888" t="s">
        <v>11602</v>
      </c>
      <c r="AS888" t="s">
        <v>11603</v>
      </c>
      <c r="AT888" t="s">
        <v>745</v>
      </c>
      <c r="AU888">
        <v>2022</v>
      </c>
      <c r="AV888">
        <v>207</v>
      </c>
      <c r="AW888">
        <v>5</v>
      </c>
      <c r="AX888" t="s">
        <v>74</v>
      </c>
      <c r="AY888" t="s">
        <v>4946</v>
      </c>
      <c r="AZ888" t="s">
        <v>74</v>
      </c>
      <c r="BA888" t="s">
        <v>15186</v>
      </c>
      <c r="BB888" t="s">
        <v>15187</v>
      </c>
      <c r="BC888" t="s">
        <v>15188</v>
      </c>
      <c r="BD888" t="s">
        <v>74</v>
      </c>
      <c r="BE888" t="s">
        <v>74</v>
      </c>
      <c r="BF888" t="s">
        <v>74</v>
      </c>
      <c r="BG888" t="s">
        <v>74</v>
      </c>
      <c r="BH888" t="s">
        <v>74</v>
      </c>
      <c r="BI888">
        <v>2</v>
      </c>
      <c r="BJ888" t="s">
        <v>1908</v>
      </c>
      <c r="BK888" t="s">
        <v>2257</v>
      </c>
      <c r="BL888" t="s">
        <v>1908</v>
      </c>
      <c r="BM888" t="s">
        <v>15189</v>
      </c>
      <c r="BN888" t="s">
        <v>74</v>
      </c>
      <c r="BO888" t="s">
        <v>74</v>
      </c>
      <c r="BP888" t="s">
        <v>74</v>
      </c>
      <c r="BQ888" t="s">
        <v>74</v>
      </c>
      <c r="BR888" t="s">
        <v>102</v>
      </c>
      <c r="BS888" t="s">
        <v>15190</v>
      </c>
      <c r="BT888" t="str">
        <f>HYPERLINK("https%3A%2F%2Fwww.webofscience.com%2Fwos%2Fwoscc%2Ffull-record%2FWOS:000836935501177","View Full Record in Web of Science")</f>
        <v>View Full Record in Web of Science</v>
      </c>
    </row>
    <row r="889" spans="1:72" x14ac:dyDescent="0.35">
      <c r="A889" t="s">
        <v>72</v>
      </c>
      <c r="B889" t="s">
        <v>15191</v>
      </c>
      <c r="C889" t="s">
        <v>74</v>
      </c>
      <c r="D889" t="s">
        <v>74</v>
      </c>
      <c r="E889" t="s">
        <v>74</v>
      </c>
      <c r="F889" t="s">
        <v>15192</v>
      </c>
      <c r="G889" t="s">
        <v>74</v>
      </c>
      <c r="H889" t="s">
        <v>74</v>
      </c>
      <c r="I889" t="s">
        <v>15193</v>
      </c>
      <c r="J889" t="s">
        <v>2493</v>
      </c>
      <c r="K889" t="s">
        <v>74</v>
      </c>
      <c r="L889" t="s">
        <v>74</v>
      </c>
      <c r="M889" t="s">
        <v>78</v>
      </c>
      <c r="N889" t="s">
        <v>1328</v>
      </c>
      <c r="O889" t="s">
        <v>74</v>
      </c>
      <c r="P889" t="s">
        <v>74</v>
      </c>
      <c r="Q889" t="s">
        <v>74</v>
      </c>
      <c r="R889" t="s">
        <v>74</v>
      </c>
      <c r="S889" t="s">
        <v>74</v>
      </c>
      <c r="T889" t="s">
        <v>74</v>
      </c>
      <c r="U889" t="s">
        <v>74</v>
      </c>
      <c r="V889" t="s">
        <v>74</v>
      </c>
      <c r="W889" t="s">
        <v>15194</v>
      </c>
      <c r="X889" t="s">
        <v>15195</v>
      </c>
      <c r="Y889" t="s">
        <v>15196</v>
      </c>
      <c r="Z889" t="s">
        <v>2497</v>
      </c>
      <c r="AA889" t="s">
        <v>74</v>
      </c>
      <c r="AB889" t="s">
        <v>74</v>
      </c>
      <c r="AC889" t="s">
        <v>74</v>
      </c>
      <c r="AD889" t="s">
        <v>74</v>
      </c>
      <c r="AE889" t="s">
        <v>74</v>
      </c>
      <c r="AF889" t="s">
        <v>74</v>
      </c>
      <c r="AG889">
        <v>5</v>
      </c>
      <c r="AH889">
        <v>33</v>
      </c>
      <c r="AI889">
        <v>33</v>
      </c>
      <c r="AJ889">
        <v>0</v>
      </c>
      <c r="AK889">
        <v>10</v>
      </c>
      <c r="AL889" t="s">
        <v>2027</v>
      </c>
      <c r="AM889" t="s">
        <v>666</v>
      </c>
      <c r="AN889" t="s">
        <v>2028</v>
      </c>
      <c r="AO889" t="s">
        <v>2498</v>
      </c>
      <c r="AP889" t="s">
        <v>2499</v>
      </c>
      <c r="AQ889" t="s">
        <v>74</v>
      </c>
      <c r="AR889" t="s">
        <v>2500</v>
      </c>
      <c r="AS889" t="s">
        <v>2501</v>
      </c>
      <c r="AT889" t="s">
        <v>273</v>
      </c>
      <c r="AU889">
        <v>2021</v>
      </c>
      <c r="AV889">
        <v>85</v>
      </c>
      <c r="AW889">
        <v>1</v>
      </c>
      <c r="AX889" t="s">
        <v>74</v>
      </c>
      <c r="AY889" t="s">
        <v>74</v>
      </c>
      <c r="AZ889" t="s">
        <v>74</v>
      </c>
      <c r="BA889" t="s">
        <v>74</v>
      </c>
      <c r="BB889">
        <v>273</v>
      </c>
      <c r="BC889">
        <v>274</v>
      </c>
      <c r="BD889" t="s">
        <v>74</v>
      </c>
      <c r="BE889" t="s">
        <v>15197</v>
      </c>
      <c r="BF889" t="str">
        <f>HYPERLINK("http://dx.doi.org/10.1016/j.jaad.2020.12.028","http://dx.doi.org/10.1016/j.jaad.2020.12.028")</f>
        <v>http://dx.doi.org/10.1016/j.jaad.2020.12.028</v>
      </c>
      <c r="BG889" t="s">
        <v>74</v>
      </c>
      <c r="BH889" t="s">
        <v>2090</v>
      </c>
      <c r="BI889">
        <v>2</v>
      </c>
      <c r="BJ889" t="s">
        <v>1341</v>
      </c>
      <c r="BK889" t="s">
        <v>209</v>
      </c>
      <c r="BL889" t="s">
        <v>1341</v>
      </c>
      <c r="BM889" t="s">
        <v>2505</v>
      </c>
      <c r="BN889">
        <v>33359080</v>
      </c>
      <c r="BO889" t="s">
        <v>767</v>
      </c>
      <c r="BP889" t="s">
        <v>74</v>
      </c>
      <c r="BQ889" t="s">
        <v>74</v>
      </c>
      <c r="BR889" t="s">
        <v>102</v>
      </c>
      <c r="BS889" t="s">
        <v>15198</v>
      </c>
      <c r="BT889" t="str">
        <f>HYPERLINK("https%3A%2F%2Fwww.webofscience.com%2Fwos%2Fwoscc%2Ffull-record%2FWOS:000659921800083","View Full Record in Web of Science")</f>
        <v>View Full Record in Web of Science</v>
      </c>
    </row>
    <row r="890" spans="1:72" x14ac:dyDescent="0.35">
      <c r="A890" t="s">
        <v>72</v>
      </c>
      <c r="B890" t="s">
        <v>15199</v>
      </c>
      <c r="C890" t="s">
        <v>74</v>
      </c>
      <c r="D890" t="s">
        <v>74</v>
      </c>
      <c r="E890" t="s">
        <v>74</v>
      </c>
      <c r="F890" t="s">
        <v>15200</v>
      </c>
      <c r="G890" t="s">
        <v>74</v>
      </c>
      <c r="H890" t="s">
        <v>74</v>
      </c>
      <c r="I890" t="s">
        <v>15201</v>
      </c>
      <c r="J890" t="s">
        <v>15202</v>
      </c>
      <c r="K890" t="s">
        <v>74</v>
      </c>
      <c r="L890" t="s">
        <v>74</v>
      </c>
      <c r="M890" t="s">
        <v>78</v>
      </c>
      <c r="N890" t="s">
        <v>52</v>
      </c>
      <c r="O890" t="s">
        <v>74</v>
      </c>
      <c r="P890" t="s">
        <v>74</v>
      </c>
      <c r="Q890" t="s">
        <v>74</v>
      </c>
      <c r="R890" t="s">
        <v>74</v>
      </c>
      <c r="S890" t="s">
        <v>74</v>
      </c>
      <c r="T890" t="s">
        <v>74</v>
      </c>
      <c r="U890" t="s">
        <v>74</v>
      </c>
      <c r="V890" t="s">
        <v>74</v>
      </c>
      <c r="W890" t="s">
        <v>15203</v>
      </c>
      <c r="X890" t="s">
        <v>15204</v>
      </c>
      <c r="Y890" t="s">
        <v>74</v>
      </c>
      <c r="Z890" t="s">
        <v>15205</v>
      </c>
      <c r="AA890" t="s">
        <v>15206</v>
      </c>
      <c r="AB890" t="s">
        <v>74</v>
      </c>
      <c r="AC890" t="s">
        <v>74</v>
      </c>
      <c r="AD890" t="s">
        <v>74</v>
      </c>
      <c r="AE890" t="s">
        <v>74</v>
      </c>
      <c r="AF890" t="s">
        <v>74</v>
      </c>
      <c r="AG890">
        <v>0</v>
      </c>
      <c r="AH890">
        <v>0</v>
      </c>
      <c r="AI890">
        <v>0</v>
      </c>
      <c r="AJ890">
        <v>1</v>
      </c>
      <c r="AK890">
        <v>3</v>
      </c>
      <c r="AL890" t="s">
        <v>1129</v>
      </c>
      <c r="AM890" t="s">
        <v>89</v>
      </c>
      <c r="AN890" t="s">
        <v>1130</v>
      </c>
      <c r="AO890" t="s">
        <v>15207</v>
      </c>
      <c r="AP890" t="s">
        <v>15208</v>
      </c>
      <c r="AQ890" t="s">
        <v>74</v>
      </c>
      <c r="AR890" t="s">
        <v>15209</v>
      </c>
      <c r="AS890" t="s">
        <v>15210</v>
      </c>
      <c r="AT890" t="s">
        <v>571</v>
      </c>
      <c r="AU890">
        <v>2021</v>
      </c>
      <c r="AV890">
        <v>59</v>
      </c>
      <c r="AW890">
        <v>11</v>
      </c>
      <c r="AX890" t="s">
        <v>74</v>
      </c>
      <c r="AY890" t="s">
        <v>74</v>
      </c>
      <c r="AZ890" t="s">
        <v>74</v>
      </c>
      <c r="BA890">
        <v>283</v>
      </c>
      <c r="BB890">
        <v>1173</v>
      </c>
      <c r="BC890">
        <v>1173</v>
      </c>
      <c r="BD890" t="s">
        <v>74</v>
      </c>
      <c r="BE890" t="s">
        <v>74</v>
      </c>
      <c r="BF890" t="s">
        <v>74</v>
      </c>
      <c r="BG890" t="s">
        <v>74</v>
      </c>
      <c r="BH890" t="s">
        <v>74</v>
      </c>
      <c r="BI890">
        <v>1</v>
      </c>
      <c r="BJ890" t="s">
        <v>15211</v>
      </c>
      <c r="BK890" t="s">
        <v>209</v>
      </c>
      <c r="BL890" t="s">
        <v>15211</v>
      </c>
      <c r="BM890" t="s">
        <v>15212</v>
      </c>
      <c r="BN890" t="s">
        <v>74</v>
      </c>
      <c r="BO890" t="s">
        <v>74</v>
      </c>
      <c r="BP890" t="s">
        <v>74</v>
      </c>
      <c r="BQ890" t="s">
        <v>74</v>
      </c>
      <c r="BR890" t="s">
        <v>102</v>
      </c>
      <c r="BS890" t="s">
        <v>15213</v>
      </c>
      <c r="BT890" t="str">
        <f>HYPERLINK("https%3A%2F%2Fwww.webofscience.com%2Fwos%2Fwoscc%2Ffull-record%2FWOS:000708210400302","View Full Record in Web of Science")</f>
        <v>View Full Record in Web of Science</v>
      </c>
    </row>
    <row r="891" spans="1:72" x14ac:dyDescent="0.35">
      <c r="A891" t="s">
        <v>72</v>
      </c>
      <c r="B891" t="s">
        <v>15214</v>
      </c>
      <c r="C891" t="s">
        <v>74</v>
      </c>
      <c r="D891" t="s">
        <v>74</v>
      </c>
      <c r="E891" t="s">
        <v>74</v>
      </c>
      <c r="F891" t="s">
        <v>15215</v>
      </c>
      <c r="G891" t="s">
        <v>74</v>
      </c>
      <c r="H891" t="s">
        <v>74</v>
      </c>
      <c r="I891" t="s">
        <v>15216</v>
      </c>
      <c r="J891" t="s">
        <v>9917</v>
      </c>
      <c r="K891" t="s">
        <v>74</v>
      </c>
      <c r="L891" t="s">
        <v>74</v>
      </c>
      <c r="M891" t="s">
        <v>78</v>
      </c>
      <c r="N891" t="s">
        <v>52</v>
      </c>
      <c r="O891" t="s">
        <v>74</v>
      </c>
      <c r="P891" t="s">
        <v>74</v>
      </c>
      <c r="Q891" t="s">
        <v>74</v>
      </c>
      <c r="R891" t="s">
        <v>74</v>
      </c>
      <c r="S891" t="s">
        <v>74</v>
      </c>
      <c r="T891" t="s">
        <v>74</v>
      </c>
      <c r="U891" t="s">
        <v>74</v>
      </c>
      <c r="V891" t="s">
        <v>74</v>
      </c>
      <c r="W891" t="s">
        <v>15217</v>
      </c>
      <c r="X891" t="s">
        <v>15218</v>
      </c>
      <c r="Y891" t="s">
        <v>74</v>
      </c>
      <c r="Z891" t="s">
        <v>15219</v>
      </c>
      <c r="AA891" t="s">
        <v>15220</v>
      </c>
      <c r="AB891" t="s">
        <v>74</v>
      </c>
      <c r="AC891" t="s">
        <v>74</v>
      </c>
      <c r="AD891" t="s">
        <v>74</v>
      </c>
      <c r="AE891" t="s">
        <v>74</v>
      </c>
      <c r="AF891" t="s">
        <v>74</v>
      </c>
      <c r="AG891">
        <v>0</v>
      </c>
      <c r="AH891">
        <v>0</v>
      </c>
      <c r="AI891">
        <v>0</v>
      </c>
      <c r="AJ891">
        <v>0</v>
      </c>
      <c r="AK891">
        <v>0</v>
      </c>
      <c r="AL891" t="s">
        <v>251</v>
      </c>
      <c r="AM891" t="s">
        <v>252</v>
      </c>
      <c r="AN891" t="s">
        <v>253</v>
      </c>
      <c r="AO891" t="s">
        <v>9922</v>
      </c>
      <c r="AP891" t="s">
        <v>9923</v>
      </c>
      <c r="AQ891" t="s">
        <v>74</v>
      </c>
      <c r="AR891" t="s">
        <v>9924</v>
      </c>
      <c r="AS891" t="s">
        <v>9925</v>
      </c>
      <c r="AT891" t="s">
        <v>523</v>
      </c>
      <c r="AU891">
        <v>2021</v>
      </c>
      <c r="AV891">
        <v>40</v>
      </c>
      <c r="AW891" t="s">
        <v>74</v>
      </c>
      <c r="AX891" t="s">
        <v>74</v>
      </c>
      <c r="AY891">
        <v>1</v>
      </c>
      <c r="AZ891" t="s">
        <v>456</v>
      </c>
      <c r="BA891">
        <v>126</v>
      </c>
      <c r="BB891" t="s">
        <v>15221</v>
      </c>
      <c r="BC891" t="s">
        <v>15221</v>
      </c>
      <c r="BD891" t="s">
        <v>74</v>
      </c>
      <c r="BE891" t="s">
        <v>74</v>
      </c>
      <c r="BF891" t="s">
        <v>74</v>
      </c>
      <c r="BG891" t="s">
        <v>74</v>
      </c>
      <c r="BH891" t="s">
        <v>74</v>
      </c>
      <c r="BI891">
        <v>1</v>
      </c>
      <c r="BJ891" t="s">
        <v>4614</v>
      </c>
      <c r="BK891" t="s">
        <v>99</v>
      </c>
      <c r="BL891" t="s">
        <v>4614</v>
      </c>
      <c r="BM891" t="s">
        <v>15222</v>
      </c>
      <c r="BN891" t="s">
        <v>74</v>
      </c>
      <c r="BO891" t="s">
        <v>74</v>
      </c>
      <c r="BP891" t="s">
        <v>74</v>
      </c>
      <c r="BQ891" t="s">
        <v>74</v>
      </c>
      <c r="BR891" t="s">
        <v>102</v>
      </c>
      <c r="BS891" t="s">
        <v>15223</v>
      </c>
      <c r="BT891" t="str">
        <f>HYPERLINK("https%3A%2F%2Fwww.webofscience.com%2Fwos%2Fwoscc%2Ffull-record%2FWOS:000715073200317","View Full Record in Web of Science")</f>
        <v>View Full Record in Web of Science</v>
      </c>
    </row>
    <row r="892" spans="1:72" x14ac:dyDescent="0.35">
      <c r="A892" t="s">
        <v>72</v>
      </c>
      <c r="B892" t="s">
        <v>15224</v>
      </c>
      <c r="C892" t="s">
        <v>74</v>
      </c>
      <c r="D892" t="s">
        <v>74</v>
      </c>
      <c r="E892" t="s">
        <v>74</v>
      </c>
      <c r="F892" t="s">
        <v>15225</v>
      </c>
      <c r="G892" t="s">
        <v>74</v>
      </c>
      <c r="H892" t="s">
        <v>74</v>
      </c>
      <c r="I892" t="s">
        <v>15226</v>
      </c>
      <c r="J892" t="s">
        <v>4112</v>
      </c>
      <c r="K892" t="s">
        <v>74</v>
      </c>
      <c r="L892" t="s">
        <v>74</v>
      </c>
      <c r="M892" t="s">
        <v>78</v>
      </c>
      <c r="N892" t="s">
        <v>108</v>
      </c>
      <c r="O892" t="s">
        <v>74</v>
      </c>
      <c r="P892" t="s">
        <v>74</v>
      </c>
      <c r="Q892" t="s">
        <v>74</v>
      </c>
      <c r="R892" t="s">
        <v>74</v>
      </c>
      <c r="S892" t="s">
        <v>74</v>
      </c>
      <c r="T892" t="s">
        <v>15227</v>
      </c>
      <c r="U892" t="s">
        <v>74</v>
      </c>
      <c r="V892" t="s">
        <v>15228</v>
      </c>
      <c r="W892" t="s">
        <v>15229</v>
      </c>
      <c r="X892" t="s">
        <v>15230</v>
      </c>
      <c r="Y892" t="s">
        <v>15231</v>
      </c>
      <c r="Z892" t="s">
        <v>15232</v>
      </c>
      <c r="AA892" t="s">
        <v>74</v>
      </c>
      <c r="AB892" t="s">
        <v>15233</v>
      </c>
      <c r="AC892" t="s">
        <v>74</v>
      </c>
      <c r="AD892" t="s">
        <v>74</v>
      </c>
      <c r="AE892" t="s">
        <v>74</v>
      </c>
      <c r="AF892" t="s">
        <v>74</v>
      </c>
      <c r="AG892">
        <v>40</v>
      </c>
      <c r="AH892">
        <v>3</v>
      </c>
      <c r="AI892">
        <v>3</v>
      </c>
      <c r="AJ892">
        <v>5</v>
      </c>
      <c r="AK892">
        <v>13</v>
      </c>
      <c r="AL892" t="s">
        <v>543</v>
      </c>
      <c r="AM892" t="s">
        <v>544</v>
      </c>
      <c r="AN892" t="s">
        <v>545</v>
      </c>
      <c r="AO892" t="s">
        <v>74</v>
      </c>
      <c r="AP892" t="s">
        <v>4124</v>
      </c>
      <c r="AQ892" t="s">
        <v>74</v>
      </c>
      <c r="AR892" t="s">
        <v>4125</v>
      </c>
      <c r="AS892" t="s">
        <v>4126</v>
      </c>
      <c r="AT892" t="s">
        <v>15234</v>
      </c>
      <c r="AU892">
        <v>2023</v>
      </c>
      <c r="AV892">
        <v>3</v>
      </c>
      <c r="AW892">
        <v>1</v>
      </c>
      <c r="AX892" t="s">
        <v>74</v>
      </c>
      <c r="AY892" t="s">
        <v>74</v>
      </c>
      <c r="AZ892" t="s">
        <v>74</v>
      </c>
      <c r="BA892" t="s">
        <v>74</v>
      </c>
      <c r="BB892" t="s">
        <v>74</v>
      </c>
      <c r="BC892" t="s">
        <v>74</v>
      </c>
      <c r="BD892" t="s">
        <v>15235</v>
      </c>
      <c r="BE892" t="s">
        <v>15236</v>
      </c>
      <c r="BF892" t="str">
        <f>HYPERLINK("http://dx.doi.org/10.2196/42810","http://dx.doi.org/10.2196/42810")</f>
        <v>http://dx.doi.org/10.2196/42810</v>
      </c>
      <c r="BG892" t="s">
        <v>74</v>
      </c>
      <c r="BH892" t="s">
        <v>74</v>
      </c>
      <c r="BI892">
        <v>13</v>
      </c>
      <c r="BJ892" t="s">
        <v>4129</v>
      </c>
      <c r="BK892" t="s">
        <v>125</v>
      </c>
      <c r="BL892" t="s">
        <v>4129</v>
      </c>
      <c r="BM892" t="s">
        <v>15237</v>
      </c>
      <c r="BN892">
        <v>37831780</v>
      </c>
      <c r="BO892" t="s">
        <v>394</v>
      </c>
      <c r="BP892" t="s">
        <v>74</v>
      </c>
      <c r="BQ892" t="s">
        <v>74</v>
      </c>
      <c r="BR892" t="s">
        <v>102</v>
      </c>
      <c r="BS892" t="s">
        <v>15238</v>
      </c>
      <c r="BT892" t="str">
        <f>HYPERLINK("https%3A%2F%2Fwww.webofscience.com%2Fwos%2Fwoscc%2Ffull-record%2FWOS:001170178800020","View Full Record in Web of Science")</f>
        <v>View Full Record in Web of Science</v>
      </c>
    </row>
    <row r="893" spans="1:72" x14ac:dyDescent="0.35">
      <c r="A893" t="s">
        <v>72</v>
      </c>
      <c r="B893" t="s">
        <v>15239</v>
      </c>
      <c r="C893" t="s">
        <v>74</v>
      </c>
      <c r="D893" t="s">
        <v>74</v>
      </c>
      <c r="E893" t="s">
        <v>74</v>
      </c>
      <c r="F893" t="s">
        <v>15240</v>
      </c>
      <c r="G893" t="s">
        <v>74</v>
      </c>
      <c r="H893" t="s">
        <v>74</v>
      </c>
      <c r="I893" t="s">
        <v>15241</v>
      </c>
      <c r="J893" t="s">
        <v>15242</v>
      </c>
      <c r="K893" t="s">
        <v>74</v>
      </c>
      <c r="L893" t="s">
        <v>74</v>
      </c>
      <c r="M893" t="s">
        <v>78</v>
      </c>
      <c r="N893" t="s">
        <v>108</v>
      </c>
      <c r="O893" t="s">
        <v>74</v>
      </c>
      <c r="P893" t="s">
        <v>74</v>
      </c>
      <c r="Q893" t="s">
        <v>74</v>
      </c>
      <c r="R893" t="s">
        <v>74</v>
      </c>
      <c r="S893" t="s">
        <v>74</v>
      </c>
      <c r="T893" t="s">
        <v>15243</v>
      </c>
      <c r="U893" t="s">
        <v>15244</v>
      </c>
      <c r="V893" t="s">
        <v>15245</v>
      </c>
      <c r="W893" t="s">
        <v>15246</v>
      </c>
      <c r="X893" t="s">
        <v>15247</v>
      </c>
      <c r="Y893" t="s">
        <v>15248</v>
      </c>
      <c r="Z893" t="s">
        <v>15249</v>
      </c>
      <c r="AA893" t="s">
        <v>74</v>
      </c>
      <c r="AB893" t="s">
        <v>15250</v>
      </c>
      <c r="AC893" t="s">
        <v>15251</v>
      </c>
      <c r="AD893" t="s">
        <v>15252</v>
      </c>
      <c r="AE893" t="s">
        <v>15253</v>
      </c>
      <c r="AF893" t="s">
        <v>74</v>
      </c>
      <c r="AG893">
        <v>30</v>
      </c>
      <c r="AH893">
        <v>11</v>
      </c>
      <c r="AI893">
        <v>11</v>
      </c>
      <c r="AJ893">
        <v>0</v>
      </c>
      <c r="AK893">
        <v>4</v>
      </c>
      <c r="AL893" t="s">
        <v>1901</v>
      </c>
      <c r="AM893" t="s">
        <v>995</v>
      </c>
      <c r="AN893" t="s">
        <v>1902</v>
      </c>
      <c r="AO893" t="s">
        <v>15254</v>
      </c>
      <c r="AP893" t="s">
        <v>15255</v>
      </c>
      <c r="AQ893" t="s">
        <v>74</v>
      </c>
      <c r="AR893" t="s">
        <v>15256</v>
      </c>
      <c r="AS893" t="s">
        <v>15257</v>
      </c>
      <c r="AT893" t="s">
        <v>930</v>
      </c>
      <c r="AU893">
        <v>2022</v>
      </c>
      <c r="AV893">
        <v>42</v>
      </c>
      <c r="AW893">
        <v>4</v>
      </c>
      <c r="AX893" t="s">
        <v>74</v>
      </c>
      <c r="AY893" t="s">
        <v>74</v>
      </c>
      <c r="AZ893" t="s">
        <v>74</v>
      </c>
      <c r="BA893" t="s">
        <v>74</v>
      </c>
      <c r="BB893">
        <v>233</v>
      </c>
      <c r="BC893">
        <v>238</v>
      </c>
      <c r="BD893" t="s">
        <v>74</v>
      </c>
      <c r="BE893" t="s">
        <v>15258</v>
      </c>
      <c r="BF893" t="str">
        <f>HYPERLINK("http://dx.doi.org/10.1097/BPO.0000000000002054","http://dx.doi.org/10.1097/BPO.0000000000002054")</f>
        <v>http://dx.doi.org/10.1097/BPO.0000000000002054</v>
      </c>
      <c r="BG893" t="s">
        <v>74</v>
      </c>
      <c r="BH893" t="s">
        <v>74</v>
      </c>
      <c r="BI893">
        <v>6</v>
      </c>
      <c r="BJ893" t="s">
        <v>15259</v>
      </c>
      <c r="BK893" t="s">
        <v>182</v>
      </c>
      <c r="BL893" t="s">
        <v>15259</v>
      </c>
      <c r="BM893" t="s">
        <v>15260</v>
      </c>
      <c r="BN893">
        <v>35067604</v>
      </c>
      <c r="BO893" t="s">
        <v>74</v>
      </c>
      <c r="BP893" t="s">
        <v>74</v>
      </c>
      <c r="BQ893" t="s">
        <v>74</v>
      </c>
      <c r="BR893" t="s">
        <v>102</v>
      </c>
      <c r="BS893" t="s">
        <v>15261</v>
      </c>
      <c r="BT893" t="str">
        <f>HYPERLINK("https%3A%2F%2Fwww.webofscience.com%2Fwos%2Fwoscc%2Ffull-record%2FWOS:000765471200011","View Full Record in Web of Science")</f>
        <v>View Full Record in Web of Science</v>
      </c>
    </row>
    <row r="894" spans="1:72" x14ac:dyDescent="0.35">
      <c r="A894" t="s">
        <v>72</v>
      </c>
      <c r="B894" t="s">
        <v>15262</v>
      </c>
      <c r="C894" t="s">
        <v>74</v>
      </c>
      <c r="D894" t="s">
        <v>74</v>
      </c>
      <c r="E894" t="s">
        <v>74</v>
      </c>
      <c r="F894" t="s">
        <v>15263</v>
      </c>
      <c r="G894" t="s">
        <v>74</v>
      </c>
      <c r="H894" t="s">
        <v>74</v>
      </c>
      <c r="I894" t="s">
        <v>15264</v>
      </c>
      <c r="J894" t="s">
        <v>15265</v>
      </c>
      <c r="K894" t="s">
        <v>74</v>
      </c>
      <c r="L894" t="s">
        <v>74</v>
      </c>
      <c r="M894" t="s">
        <v>78</v>
      </c>
      <c r="N894" t="s">
        <v>108</v>
      </c>
      <c r="O894" t="s">
        <v>74</v>
      </c>
      <c r="P894" t="s">
        <v>74</v>
      </c>
      <c r="Q894" t="s">
        <v>74</v>
      </c>
      <c r="R894" t="s">
        <v>74</v>
      </c>
      <c r="S894" t="s">
        <v>74</v>
      </c>
      <c r="T894" t="s">
        <v>15266</v>
      </c>
      <c r="U894" t="s">
        <v>15267</v>
      </c>
      <c r="V894" t="s">
        <v>15268</v>
      </c>
      <c r="W894" t="s">
        <v>15269</v>
      </c>
      <c r="X894" t="s">
        <v>15270</v>
      </c>
      <c r="Y894" t="s">
        <v>15271</v>
      </c>
      <c r="Z894" t="s">
        <v>15272</v>
      </c>
      <c r="AA894" t="s">
        <v>5552</v>
      </c>
      <c r="AB894" t="s">
        <v>15273</v>
      </c>
      <c r="AC894" t="s">
        <v>15274</v>
      </c>
      <c r="AD894" t="s">
        <v>15274</v>
      </c>
      <c r="AE894" t="s">
        <v>2921</v>
      </c>
      <c r="AF894" t="s">
        <v>74</v>
      </c>
      <c r="AG894">
        <v>48</v>
      </c>
      <c r="AH894">
        <v>0</v>
      </c>
      <c r="AI894">
        <v>0</v>
      </c>
      <c r="AJ894">
        <v>0</v>
      </c>
      <c r="AK894">
        <v>0</v>
      </c>
      <c r="AL894" t="s">
        <v>171</v>
      </c>
      <c r="AM894" t="s">
        <v>172</v>
      </c>
      <c r="AN894" t="s">
        <v>173</v>
      </c>
      <c r="AO894" t="s">
        <v>15275</v>
      </c>
      <c r="AP894" t="s">
        <v>15276</v>
      </c>
      <c r="AQ894" t="s">
        <v>74</v>
      </c>
      <c r="AR894" t="s">
        <v>15277</v>
      </c>
      <c r="AS894" t="s">
        <v>15278</v>
      </c>
      <c r="AT894" t="s">
        <v>257</v>
      </c>
      <c r="AU894">
        <v>2024</v>
      </c>
      <c r="AV894">
        <v>51</v>
      </c>
      <c r="AW894">
        <v>2</v>
      </c>
      <c r="AX894" t="s">
        <v>74</v>
      </c>
      <c r="AY894" t="s">
        <v>74</v>
      </c>
      <c r="AZ894" t="s">
        <v>74</v>
      </c>
      <c r="BA894" t="s">
        <v>74</v>
      </c>
      <c r="BB894">
        <v>67</v>
      </c>
      <c r="BC894">
        <v>88</v>
      </c>
      <c r="BD894" t="s">
        <v>74</v>
      </c>
      <c r="BE894" t="s">
        <v>15279</v>
      </c>
      <c r="BF894" t="str">
        <f>HYPERLINK("http://dx.doi.org/10.1177/00914509241252031","http://dx.doi.org/10.1177/00914509241252031")</f>
        <v>http://dx.doi.org/10.1177/00914509241252031</v>
      </c>
      <c r="BG894" t="s">
        <v>74</v>
      </c>
      <c r="BH894" t="s">
        <v>74</v>
      </c>
      <c r="BI894">
        <v>22</v>
      </c>
      <c r="BJ894" t="s">
        <v>4614</v>
      </c>
      <c r="BK894" t="s">
        <v>125</v>
      </c>
      <c r="BL894" t="s">
        <v>4614</v>
      </c>
      <c r="BM894" t="s">
        <v>15280</v>
      </c>
      <c r="BN894" t="s">
        <v>74</v>
      </c>
      <c r="BO894" t="s">
        <v>74</v>
      </c>
      <c r="BP894" t="s">
        <v>74</v>
      </c>
      <c r="BQ894" t="s">
        <v>74</v>
      </c>
      <c r="BR894" t="s">
        <v>102</v>
      </c>
      <c r="BS894" t="s">
        <v>15281</v>
      </c>
      <c r="BT894" t="str">
        <f>HYPERLINK("https%3A%2F%2Fwww.webofscience.com%2Fwos%2Fwoscc%2Ffull-record%2FWOS:001234384400002","View Full Record in Web of Science")</f>
        <v>View Full Record in Web of Science</v>
      </c>
    </row>
    <row r="895" spans="1:72" x14ac:dyDescent="0.35">
      <c r="A895" t="s">
        <v>72</v>
      </c>
      <c r="B895" t="s">
        <v>7959</v>
      </c>
      <c r="C895" t="s">
        <v>74</v>
      </c>
      <c r="D895" t="s">
        <v>74</v>
      </c>
      <c r="E895" t="s">
        <v>74</v>
      </c>
      <c r="F895" t="s">
        <v>7959</v>
      </c>
      <c r="G895" t="s">
        <v>74</v>
      </c>
      <c r="H895" t="s">
        <v>74</v>
      </c>
      <c r="I895" t="s">
        <v>15282</v>
      </c>
      <c r="J895" t="s">
        <v>15283</v>
      </c>
      <c r="K895" t="s">
        <v>74</v>
      </c>
      <c r="L895" t="s">
        <v>74</v>
      </c>
      <c r="M895" t="s">
        <v>1012</v>
      </c>
      <c r="N895" t="s">
        <v>9221</v>
      </c>
      <c r="O895" t="s">
        <v>74</v>
      </c>
      <c r="P895" t="s">
        <v>74</v>
      </c>
      <c r="Q895" t="s">
        <v>74</v>
      </c>
      <c r="R895" t="s">
        <v>74</v>
      </c>
      <c r="S895" t="s">
        <v>74</v>
      </c>
      <c r="T895" t="s">
        <v>74</v>
      </c>
      <c r="U895" t="s">
        <v>74</v>
      </c>
      <c r="V895" t="s">
        <v>74</v>
      </c>
      <c r="W895" t="s">
        <v>74</v>
      </c>
      <c r="X895" t="s">
        <v>74</v>
      </c>
      <c r="Y895" t="s">
        <v>74</v>
      </c>
      <c r="Z895" t="s">
        <v>74</v>
      </c>
      <c r="AA895" t="s">
        <v>74</v>
      </c>
      <c r="AB895" t="s">
        <v>74</v>
      </c>
      <c r="AC895" t="s">
        <v>74</v>
      </c>
      <c r="AD895" t="s">
        <v>74</v>
      </c>
      <c r="AE895" t="s">
        <v>74</v>
      </c>
      <c r="AF895" t="s">
        <v>74</v>
      </c>
      <c r="AG895">
        <v>1</v>
      </c>
      <c r="AH895">
        <v>0</v>
      </c>
      <c r="AI895">
        <v>0</v>
      </c>
      <c r="AJ895">
        <v>0</v>
      </c>
      <c r="AK895">
        <v>0</v>
      </c>
      <c r="AL895" t="s">
        <v>5781</v>
      </c>
      <c r="AM895" t="s">
        <v>15284</v>
      </c>
      <c r="AN895" t="s">
        <v>15285</v>
      </c>
      <c r="AO895" t="s">
        <v>15286</v>
      </c>
      <c r="AP895" t="s">
        <v>15287</v>
      </c>
      <c r="AQ895" t="s">
        <v>74</v>
      </c>
      <c r="AR895" t="s">
        <v>15288</v>
      </c>
      <c r="AS895" t="s">
        <v>15289</v>
      </c>
      <c r="AT895" t="s">
        <v>594</v>
      </c>
      <c r="AU895">
        <v>2022</v>
      </c>
      <c r="AV895">
        <v>57</v>
      </c>
      <c r="AW895">
        <v>5</v>
      </c>
      <c r="AX895" t="s">
        <v>74</v>
      </c>
      <c r="AY895" t="s">
        <v>74</v>
      </c>
      <c r="AZ895" t="s">
        <v>74</v>
      </c>
      <c r="BA895" t="s">
        <v>74</v>
      </c>
      <c r="BB895">
        <v>229</v>
      </c>
      <c r="BC895">
        <v>229</v>
      </c>
      <c r="BD895" t="s">
        <v>74</v>
      </c>
      <c r="BE895" t="s">
        <v>74</v>
      </c>
      <c r="BF895" t="s">
        <v>74</v>
      </c>
      <c r="BG895" t="s">
        <v>74</v>
      </c>
      <c r="BH895" t="s">
        <v>74</v>
      </c>
      <c r="BI895">
        <v>1</v>
      </c>
      <c r="BJ895" t="s">
        <v>6641</v>
      </c>
      <c r="BK895" t="s">
        <v>125</v>
      </c>
      <c r="BL895" t="s">
        <v>6641</v>
      </c>
      <c r="BM895" t="s">
        <v>15290</v>
      </c>
      <c r="BN895" t="s">
        <v>74</v>
      </c>
      <c r="BO895" t="s">
        <v>74</v>
      </c>
      <c r="BP895" t="s">
        <v>74</v>
      </c>
      <c r="BQ895" t="s">
        <v>74</v>
      </c>
      <c r="BR895" t="s">
        <v>102</v>
      </c>
      <c r="BS895" t="s">
        <v>15291</v>
      </c>
      <c r="BT895" t="str">
        <f>HYPERLINK("https%3A%2F%2Fwww.webofscience.com%2Fwos%2Fwoscc%2Ffull-record%2FWOS:000876273400014","View Full Record in Web of Science")</f>
        <v>View Full Record in Web of Science</v>
      </c>
    </row>
    <row r="896" spans="1:72" x14ac:dyDescent="0.35">
      <c r="A896" t="s">
        <v>72</v>
      </c>
      <c r="B896" t="s">
        <v>15292</v>
      </c>
      <c r="C896" t="s">
        <v>74</v>
      </c>
      <c r="D896" t="s">
        <v>74</v>
      </c>
      <c r="E896" t="s">
        <v>74</v>
      </c>
      <c r="F896" t="s">
        <v>15293</v>
      </c>
      <c r="G896" t="s">
        <v>74</v>
      </c>
      <c r="H896" t="s">
        <v>74</v>
      </c>
      <c r="I896" t="s">
        <v>15294</v>
      </c>
      <c r="J896" t="s">
        <v>15295</v>
      </c>
      <c r="K896" t="s">
        <v>74</v>
      </c>
      <c r="L896" t="s">
        <v>74</v>
      </c>
      <c r="M896" t="s">
        <v>78</v>
      </c>
      <c r="N896" t="s">
        <v>1328</v>
      </c>
      <c r="O896" t="s">
        <v>74</v>
      </c>
      <c r="P896" t="s">
        <v>74</v>
      </c>
      <c r="Q896" t="s">
        <v>74</v>
      </c>
      <c r="R896" t="s">
        <v>74</v>
      </c>
      <c r="S896" t="s">
        <v>74</v>
      </c>
      <c r="T896" t="s">
        <v>74</v>
      </c>
      <c r="U896" t="s">
        <v>15296</v>
      </c>
      <c r="V896" t="s">
        <v>74</v>
      </c>
      <c r="W896" t="s">
        <v>15297</v>
      </c>
      <c r="X896" t="s">
        <v>15298</v>
      </c>
      <c r="Y896" t="s">
        <v>15299</v>
      </c>
      <c r="Z896" t="s">
        <v>15300</v>
      </c>
      <c r="AA896" t="s">
        <v>74</v>
      </c>
      <c r="AB896" t="s">
        <v>15301</v>
      </c>
      <c r="AC896" t="s">
        <v>74</v>
      </c>
      <c r="AD896" t="s">
        <v>74</v>
      </c>
      <c r="AE896" t="s">
        <v>74</v>
      </c>
      <c r="AF896" t="s">
        <v>74</v>
      </c>
      <c r="AG896">
        <v>42</v>
      </c>
      <c r="AH896">
        <v>14</v>
      </c>
      <c r="AI896">
        <v>14</v>
      </c>
      <c r="AJ896">
        <v>1</v>
      </c>
      <c r="AK896">
        <v>8</v>
      </c>
      <c r="AL896" t="s">
        <v>88</v>
      </c>
      <c r="AM896" t="s">
        <v>89</v>
      </c>
      <c r="AN896" t="s">
        <v>90</v>
      </c>
      <c r="AO896" t="s">
        <v>15302</v>
      </c>
      <c r="AP896" t="s">
        <v>15303</v>
      </c>
      <c r="AQ896" t="s">
        <v>74</v>
      </c>
      <c r="AR896" t="s">
        <v>15304</v>
      </c>
      <c r="AS896" t="s">
        <v>15305</v>
      </c>
      <c r="AT896" t="s">
        <v>15306</v>
      </c>
      <c r="AU896">
        <v>2023</v>
      </c>
      <c r="AV896">
        <v>60</v>
      </c>
      <c r="AW896">
        <v>6</v>
      </c>
      <c r="AX896" t="s">
        <v>74</v>
      </c>
      <c r="AY896" t="s">
        <v>74</v>
      </c>
      <c r="AZ896" t="s">
        <v>74</v>
      </c>
      <c r="BA896" t="s">
        <v>74</v>
      </c>
      <c r="BB896">
        <v>763</v>
      </c>
      <c r="BC896">
        <v>767</v>
      </c>
      <c r="BD896" t="s">
        <v>74</v>
      </c>
      <c r="BE896" t="s">
        <v>15307</v>
      </c>
      <c r="BF896" t="str">
        <f>HYPERLINK("http://dx.doi.org/10.1080/00224499.2023.2220690","http://dx.doi.org/10.1080/00224499.2023.2220690")</f>
        <v>http://dx.doi.org/10.1080/00224499.2023.2220690</v>
      </c>
      <c r="BG896" t="s">
        <v>74</v>
      </c>
      <c r="BH896" t="s">
        <v>1954</v>
      </c>
      <c r="BI896">
        <v>5</v>
      </c>
      <c r="BJ896" t="s">
        <v>1029</v>
      </c>
      <c r="BK896" t="s">
        <v>99</v>
      </c>
      <c r="BL896" t="s">
        <v>1030</v>
      </c>
      <c r="BM896" t="s">
        <v>15308</v>
      </c>
      <c r="BN896">
        <v>37273178</v>
      </c>
      <c r="BO896" t="s">
        <v>74</v>
      </c>
      <c r="BP896" t="s">
        <v>74</v>
      </c>
      <c r="BQ896" t="s">
        <v>74</v>
      </c>
      <c r="BR896" t="s">
        <v>102</v>
      </c>
      <c r="BS896" t="s">
        <v>15309</v>
      </c>
      <c r="BT896" t="str">
        <f>HYPERLINK("https%3A%2F%2Fwww.webofscience.com%2Fwos%2Fwoscc%2Ffull-record%2FWOS:001000977000001","View Full Record in Web of Science")</f>
        <v>View Full Record in Web of Science</v>
      </c>
    </row>
    <row r="897" spans="1:72" x14ac:dyDescent="0.35">
      <c r="A897" t="s">
        <v>72</v>
      </c>
      <c r="B897" t="s">
        <v>15310</v>
      </c>
      <c r="C897" t="s">
        <v>74</v>
      </c>
      <c r="D897" t="s">
        <v>74</v>
      </c>
      <c r="E897" t="s">
        <v>74</v>
      </c>
      <c r="F897" t="s">
        <v>15311</v>
      </c>
      <c r="G897" t="s">
        <v>74</v>
      </c>
      <c r="H897" t="s">
        <v>74</v>
      </c>
      <c r="I897" t="s">
        <v>15312</v>
      </c>
      <c r="J897" t="s">
        <v>1936</v>
      </c>
      <c r="K897" t="s">
        <v>74</v>
      </c>
      <c r="L897" t="s">
        <v>74</v>
      </c>
      <c r="M897" t="s">
        <v>78</v>
      </c>
      <c r="N897" t="s">
        <v>108</v>
      </c>
      <c r="O897" t="s">
        <v>74</v>
      </c>
      <c r="P897" t="s">
        <v>74</v>
      </c>
      <c r="Q897" t="s">
        <v>74</v>
      </c>
      <c r="R897" t="s">
        <v>74</v>
      </c>
      <c r="S897" t="s">
        <v>74</v>
      </c>
      <c r="T897" t="s">
        <v>15313</v>
      </c>
      <c r="U897" t="s">
        <v>15314</v>
      </c>
      <c r="V897" t="s">
        <v>15315</v>
      </c>
      <c r="W897" t="s">
        <v>15316</v>
      </c>
      <c r="X897" t="s">
        <v>15317</v>
      </c>
      <c r="Y897" t="s">
        <v>15318</v>
      </c>
      <c r="Z897" t="s">
        <v>15319</v>
      </c>
      <c r="AA897" t="s">
        <v>15320</v>
      </c>
      <c r="AB897" t="s">
        <v>74</v>
      </c>
      <c r="AC897" t="s">
        <v>74</v>
      </c>
      <c r="AD897" t="s">
        <v>74</v>
      </c>
      <c r="AE897" t="s">
        <v>74</v>
      </c>
      <c r="AF897" t="s">
        <v>74</v>
      </c>
      <c r="AG897">
        <v>47</v>
      </c>
      <c r="AH897">
        <v>5</v>
      </c>
      <c r="AI897">
        <v>5</v>
      </c>
      <c r="AJ897">
        <v>9</v>
      </c>
      <c r="AK897">
        <v>21</v>
      </c>
      <c r="AL897" t="s">
        <v>516</v>
      </c>
      <c r="AM897" t="s">
        <v>517</v>
      </c>
      <c r="AN897" t="s">
        <v>518</v>
      </c>
      <c r="AO897" t="s">
        <v>1949</v>
      </c>
      <c r="AP897" t="s">
        <v>1950</v>
      </c>
      <c r="AQ897" t="s">
        <v>74</v>
      </c>
      <c r="AR897" t="s">
        <v>1951</v>
      </c>
      <c r="AS897" t="s">
        <v>1952</v>
      </c>
      <c r="AT897" t="s">
        <v>297</v>
      </c>
      <c r="AU897">
        <v>2023</v>
      </c>
      <c r="AV897">
        <v>50</v>
      </c>
      <c r="AW897" t="s">
        <v>74</v>
      </c>
      <c r="AX897" t="s">
        <v>74</v>
      </c>
      <c r="AY897" t="s">
        <v>74</v>
      </c>
      <c r="AZ897" t="s">
        <v>74</v>
      </c>
      <c r="BA897" t="s">
        <v>74</v>
      </c>
      <c r="BB897" t="s">
        <v>74</v>
      </c>
      <c r="BC897" t="s">
        <v>74</v>
      </c>
      <c r="BD897">
        <v>101793</v>
      </c>
      <c r="BE897" t="s">
        <v>15321</v>
      </c>
      <c r="BF897" t="str">
        <f>HYPERLINK("http://dx.doi.org/10.1016/j.eatbeh.2023.101793","http://dx.doi.org/10.1016/j.eatbeh.2023.101793")</f>
        <v>http://dx.doi.org/10.1016/j.eatbeh.2023.101793</v>
      </c>
      <c r="BG897" t="s">
        <v>74</v>
      </c>
      <c r="BH897" t="s">
        <v>3138</v>
      </c>
      <c r="BI897">
        <v>6</v>
      </c>
      <c r="BJ897" t="s">
        <v>1955</v>
      </c>
      <c r="BK897" t="s">
        <v>99</v>
      </c>
      <c r="BL897" t="s">
        <v>1617</v>
      </c>
      <c r="BM897" t="s">
        <v>15322</v>
      </c>
      <c r="BN897">
        <v>37633221</v>
      </c>
      <c r="BO897" t="s">
        <v>74</v>
      </c>
      <c r="BP897" t="s">
        <v>74</v>
      </c>
      <c r="BQ897" t="s">
        <v>74</v>
      </c>
      <c r="BR897" t="s">
        <v>102</v>
      </c>
      <c r="BS897" t="s">
        <v>15323</v>
      </c>
      <c r="BT897" t="str">
        <f>HYPERLINK("https%3A%2F%2Fwww.webofscience.com%2Fwos%2Fwoscc%2Ffull-record%2FWOS:001067801400001","View Full Record in Web of Science")</f>
        <v>View Full Record in Web of Science</v>
      </c>
    </row>
    <row r="898" spans="1:72" x14ac:dyDescent="0.35">
      <c r="A898" t="s">
        <v>72</v>
      </c>
      <c r="B898" t="s">
        <v>15324</v>
      </c>
      <c r="C898" t="s">
        <v>74</v>
      </c>
      <c r="D898" t="s">
        <v>74</v>
      </c>
      <c r="E898" t="s">
        <v>74</v>
      </c>
      <c r="F898" t="s">
        <v>15325</v>
      </c>
      <c r="G898" t="s">
        <v>74</v>
      </c>
      <c r="H898" t="s">
        <v>74</v>
      </c>
      <c r="I898" t="s">
        <v>15326</v>
      </c>
      <c r="J898" t="s">
        <v>1186</v>
      </c>
      <c r="K898" t="s">
        <v>74</v>
      </c>
      <c r="L898" t="s">
        <v>74</v>
      </c>
      <c r="M898" t="s">
        <v>78</v>
      </c>
      <c r="N898" t="s">
        <v>108</v>
      </c>
      <c r="O898" t="s">
        <v>74</v>
      </c>
      <c r="P898" t="s">
        <v>74</v>
      </c>
      <c r="Q898" t="s">
        <v>74</v>
      </c>
      <c r="R898" t="s">
        <v>74</v>
      </c>
      <c r="S898" t="s">
        <v>74</v>
      </c>
      <c r="T898" t="s">
        <v>15327</v>
      </c>
      <c r="U898" t="s">
        <v>15328</v>
      </c>
      <c r="V898" t="s">
        <v>15329</v>
      </c>
      <c r="W898" t="s">
        <v>15330</v>
      </c>
      <c r="X898" t="s">
        <v>15331</v>
      </c>
      <c r="Y898" t="s">
        <v>15332</v>
      </c>
      <c r="Z898" t="s">
        <v>15333</v>
      </c>
      <c r="AA898" t="s">
        <v>74</v>
      </c>
      <c r="AB898" t="s">
        <v>15334</v>
      </c>
      <c r="AC898" t="s">
        <v>74</v>
      </c>
      <c r="AD898" t="s">
        <v>74</v>
      </c>
      <c r="AE898" t="s">
        <v>74</v>
      </c>
      <c r="AF898" t="s">
        <v>74</v>
      </c>
      <c r="AG898">
        <v>53</v>
      </c>
      <c r="AH898">
        <v>21</v>
      </c>
      <c r="AI898">
        <v>23</v>
      </c>
      <c r="AJ898">
        <v>2</v>
      </c>
      <c r="AK898">
        <v>25</v>
      </c>
      <c r="AL898" t="s">
        <v>1195</v>
      </c>
      <c r="AM898" t="s">
        <v>1196</v>
      </c>
      <c r="AN898" t="s">
        <v>1197</v>
      </c>
      <c r="AO898" t="s">
        <v>74</v>
      </c>
      <c r="AP898" t="s">
        <v>1198</v>
      </c>
      <c r="AQ898" t="s">
        <v>74</v>
      </c>
      <c r="AR898" t="s">
        <v>1199</v>
      </c>
      <c r="AS898" t="s">
        <v>1200</v>
      </c>
      <c r="AT898" t="s">
        <v>178</v>
      </c>
      <c r="AU898">
        <v>2022</v>
      </c>
      <c r="AV898">
        <v>19</v>
      </c>
      <c r="AW898">
        <v>3</v>
      </c>
      <c r="AX898" t="s">
        <v>74</v>
      </c>
      <c r="AY898" t="s">
        <v>74</v>
      </c>
      <c r="AZ898" t="s">
        <v>74</v>
      </c>
      <c r="BA898" t="s">
        <v>74</v>
      </c>
      <c r="BB898" t="s">
        <v>74</v>
      </c>
      <c r="BC898" t="s">
        <v>74</v>
      </c>
      <c r="BD898">
        <v>1820</v>
      </c>
      <c r="BE898" t="s">
        <v>15335</v>
      </c>
      <c r="BF898" t="str">
        <f>HYPERLINK("http://dx.doi.org/10.3390/ijerph19031820","http://dx.doi.org/10.3390/ijerph19031820")</f>
        <v>http://dx.doi.org/10.3390/ijerph19031820</v>
      </c>
      <c r="BG898" t="s">
        <v>74</v>
      </c>
      <c r="BH898" t="s">
        <v>74</v>
      </c>
      <c r="BI898">
        <v>12</v>
      </c>
      <c r="BJ898" t="s">
        <v>1202</v>
      </c>
      <c r="BK898" t="s">
        <v>182</v>
      </c>
      <c r="BL898" t="s">
        <v>1203</v>
      </c>
      <c r="BM898" t="s">
        <v>15336</v>
      </c>
      <c r="BN898">
        <v>35162846</v>
      </c>
      <c r="BO898" t="s">
        <v>394</v>
      </c>
      <c r="BP898" t="s">
        <v>74</v>
      </c>
      <c r="BQ898" t="s">
        <v>74</v>
      </c>
      <c r="BR898" t="s">
        <v>102</v>
      </c>
      <c r="BS898" t="s">
        <v>15337</v>
      </c>
      <c r="BT898" t="str">
        <f>HYPERLINK("https%3A%2F%2Fwww.webofscience.com%2Fwos%2Fwoscc%2Ffull-record%2FWOS:000759131500001","View Full Record in Web of Science")</f>
        <v>View Full Record in Web of Science</v>
      </c>
    </row>
    <row r="899" spans="1:72" x14ac:dyDescent="0.35">
      <c r="A899" t="s">
        <v>72</v>
      </c>
      <c r="B899" t="s">
        <v>1051</v>
      </c>
      <c r="C899" t="s">
        <v>74</v>
      </c>
      <c r="D899" t="s">
        <v>74</v>
      </c>
      <c r="E899" t="s">
        <v>74</v>
      </c>
      <c r="F899" t="s">
        <v>15338</v>
      </c>
      <c r="G899" t="s">
        <v>74</v>
      </c>
      <c r="H899" t="s">
        <v>74</v>
      </c>
      <c r="I899" t="s">
        <v>15339</v>
      </c>
      <c r="J899" t="s">
        <v>15340</v>
      </c>
      <c r="K899" t="s">
        <v>74</v>
      </c>
      <c r="L899" t="s">
        <v>74</v>
      </c>
      <c r="M899" t="s">
        <v>78</v>
      </c>
      <c r="N899" t="s">
        <v>108</v>
      </c>
      <c r="O899" t="s">
        <v>74</v>
      </c>
      <c r="P899" t="s">
        <v>74</v>
      </c>
      <c r="Q899" t="s">
        <v>74</v>
      </c>
      <c r="R899" t="s">
        <v>74</v>
      </c>
      <c r="S899" t="s">
        <v>74</v>
      </c>
      <c r="T899" t="s">
        <v>15341</v>
      </c>
      <c r="U899" t="s">
        <v>15342</v>
      </c>
      <c r="V899" t="s">
        <v>15343</v>
      </c>
      <c r="W899" t="s">
        <v>15344</v>
      </c>
      <c r="X899" t="s">
        <v>15345</v>
      </c>
      <c r="Y899" t="s">
        <v>15346</v>
      </c>
      <c r="Z899" t="s">
        <v>15347</v>
      </c>
      <c r="AA899" t="s">
        <v>15348</v>
      </c>
      <c r="AB899" t="s">
        <v>15349</v>
      </c>
      <c r="AC899" t="s">
        <v>15350</v>
      </c>
      <c r="AD899" t="s">
        <v>15350</v>
      </c>
      <c r="AE899" t="s">
        <v>15351</v>
      </c>
      <c r="AF899" t="s">
        <v>74</v>
      </c>
      <c r="AG899">
        <v>36</v>
      </c>
      <c r="AH899">
        <v>0</v>
      </c>
      <c r="AI899">
        <v>0</v>
      </c>
      <c r="AJ899">
        <v>5</v>
      </c>
      <c r="AK899">
        <v>5</v>
      </c>
      <c r="AL899" t="s">
        <v>1061</v>
      </c>
      <c r="AM899" t="s">
        <v>1062</v>
      </c>
      <c r="AN899" t="s">
        <v>1063</v>
      </c>
      <c r="AO899" t="s">
        <v>15352</v>
      </c>
      <c r="AP899" t="s">
        <v>15353</v>
      </c>
      <c r="AQ899" t="s">
        <v>74</v>
      </c>
      <c r="AR899" t="s">
        <v>15354</v>
      </c>
      <c r="AS899" t="s">
        <v>15355</v>
      </c>
      <c r="AT899" t="s">
        <v>15356</v>
      </c>
      <c r="AU899">
        <v>2024</v>
      </c>
      <c r="AV899">
        <v>27</v>
      </c>
      <c r="AW899">
        <v>1</v>
      </c>
      <c r="AX899" t="s">
        <v>74</v>
      </c>
      <c r="AY899" t="s">
        <v>74</v>
      </c>
      <c r="AZ899" t="s">
        <v>74</v>
      </c>
      <c r="BA899" t="s">
        <v>74</v>
      </c>
      <c r="BB899" t="s">
        <v>74</v>
      </c>
      <c r="BC899" t="s">
        <v>74</v>
      </c>
      <c r="BD899" t="s">
        <v>15357</v>
      </c>
      <c r="BE899" t="s">
        <v>15358</v>
      </c>
      <c r="BF899" t="str">
        <f>HYPERLINK("http://dx.doi.org/10.1017/S1368980024001381","http://dx.doi.org/10.1017/S1368980024001381")</f>
        <v>http://dx.doi.org/10.1017/S1368980024001381</v>
      </c>
      <c r="BG899" t="s">
        <v>74</v>
      </c>
      <c r="BH899" t="s">
        <v>74</v>
      </c>
      <c r="BI899">
        <v>9</v>
      </c>
      <c r="BJ899" t="s">
        <v>15359</v>
      </c>
      <c r="BK899" t="s">
        <v>209</v>
      </c>
      <c r="BL899" t="s">
        <v>15359</v>
      </c>
      <c r="BM899" t="s">
        <v>15360</v>
      </c>
      <c r="BN899">
        <v>39310984</v>
      </c>
      <c r="BO899" t="s">
        <v>235</v>
      </c>
      <c r="BP899" t="s">
        <v>74</v>
      </c>
      <c r="BQ899" t="s">
        <v>74</v>
      </c>
      <c r="BR899" t="s">
        <v>102</v>
      </c>
      <c r="BS899" t="s">
        <v>15361</v>
      </c>
      <c r="BT899" t="str">
        <f>HYPERLINK("https%3A%2F%2Fwww.webofscience.com%2Fwos%2Fwoscc%2Ffull-record%2FWOS:001317804900001","View Full Record in Web of Science")</f>
        <v>View Full Record in Web of Science</v>
      </c>
    </row>
    <row r="900" spans="1:72" x14ac:dyDescent="0.35">
      <c r="A900" t="s">
        <v>72</v>
      </c>
      <c r="B900" t="s">
        <v>15362</v>
      </c>
      <c r="C900" t="s">
        <v>74</v>
      </c>
      <c r="D900" t="s">
        <v>74</v>
      </c>
      <c r="E900" t="s">
        <v>74</v>
      </c>
      <c r="F900" t="s">
        <v>15363</v>
      </c>
      <c r="G900" t="s">
        <v>74</v>
      </c>
      <c r="H900" t="s">
        <v>74</v>
      </c>
      <c r="I900" t="s">
        <v>15364</v>
      </c>
      <c r="J900" t="s">
        <v>216</v>
      </c>
      <c r="K900" t="s">
        <v>74</v>
      </c>
      <c r="L900" t="s">
        <v>74</v>
      </c>
      <c r="M900" t="s">
        <v>78</v>
      </c>
      <c r="N900" t="s">
        <v>108</v>
      </c>
      <c r="O900" t="s">
        <v>74</v>
      </c>
      <c r="P900" t="s">
        <v>74</v>
      </c>
      <c r="Q900" t="s">
        <v>74</v>
      </c>
      <c r="R900" t="s">
        <v>74</v>
      </c>
      <c r="S900" t="s">
        <v>74</v>
      </c>
      <c r="T900" t="s">
        <v>15365</v>
      </c>
      <c r="U900" t="s">
        <v>15366</v>
      </c>
      <c r="V900" t="s">
        <v>15367</v>
      </c>
      <c r="W900" t="s">
        <v>15368</v>
      </c>
      <c r="X900" t="s">
        <v>2307</v>
      </c>
      <c r="Y900" t="s">
        <v>15369</v>
      </c>
      <c r="Z900" t="s">
        <v>15370</v>
      </c>
      <c r="AA900" t="s">
        <v>74</v>
      </c>
      <c r="AB900" t="s">
        <v>15371</v>
      </c>
      <c r="AC900" t="s">
        <v>74</v>
      </c>
      <c r="AD900" t="s">
        <v>74</v>
      </c>
      <c r="AE900" t="s">
        <v>74</v>
      </c>
      <c r="AF900" t="s">
        <v>74</v>
      </c>
      <c r="AG900">
        <v>46</v>
      </c>
      <c r="AH900">
        <v>9</v>
      </c>
      <c r="AI900">
        <v>11</v>
      </c>
      <c r="AJ900">
        <v>2</v>
      </c>
      <c r="AK900">
        <v>31</v>
      </c>
      <c r="AL900" t="s">
        <v>226</v>
      </c>
      <c r="AM900" t="s">
        <v>227</v>
      </c>
      <c r="AN900" t="s">
        <v>228</v>
      </c>
      <c r="AO900" t="s">
        <v>229</v>
      </c>
      <c r="AP900" t="s">
        <v>74</v>
      </c>
      <c r="AQ900" t="s">
        <v>74</v>
      </c>
      <c r="AR900" t="s">
        <v>230</v>
      </c>
      <c r="AS900" t="s">
        <v>231</v>
      </c>
      <c r="AT900" t="s">
        <v>930</v>
      </c>
      <c r="AU900">
        <v>2022</v>
      </c>
      <c r="AV900">
        <v>8</v>
      </c>
      <c r="AW900">
        <v>2</v>
      </c>
      <c r="AX900" t="s">
        <v>74</v>
      </c>
      <c r="AY900" t="s">
        <v>74</v>
      </c>
      <c r="AZ900" t="s">
        <v>74</v>
      </c>
      <c r="BA900" t="s">
        <v>74</v>
      </c>
      <c r="BB900" t="s">
        <v>74</v>
      </c>
      <c r="BC900" t="s">
        <v>74</v>
      </c>
      <c r="BD900">
        <v>2.0563051221094768E+16</v>
      </c>
      <c r="BE900" t="s">
        <v>15372</v>
      </c>
      <c r="BF900" t="str">
        <f>HYPERLINK("http://dx.doi.org/10.1177/20563051221094769","http://dx.doi.org/10.1177/20563051221094769")</f>
        <v>http://dx.doi.org/10.1177/20563051221094769</v>
      </c>
      <c r="BG900" t="s">
        <v>74</v>
      </c>
      <c r="BH900" t="s">
        <v>74</v>
      </c>
      <c r="BI900">
        <v>10</v>
      </c>
      <c r="BJ900" t="s">
        <v>124</v>
      </c>
      <c r="BK900" t="s">
        <v>99</v>
      </c>
      <c r="BL900" t="s">
        <v>124</v>
      </c>
      <c r="BM900" t="s">
        <v>15373</v>
      </c>
      <c r="BN900" t="s">
        <v>74</v>
      </c>
      <c r="BO900" t="s">
        <v>235</v>
      </c>
      <c r="BP900" t="s">
        <v>74</v>
      </c>
      <c r="BQ900" t="s">
        <v>74</v>
      </c>
      <c r="BR900" t="s">
        <v>102</v>
      </c>
      <c r="BS900" t="s">
        <v>15374</v>
      </c>
      <c r="BT900" t="str">
        <f>HYPERLINK("https%3A%2F%2Fwww.webofscience.com%2Fwos%2Fwoscc%2Ffull-record%2FWOS:000789929100001","View Full Record in Web of Science")</f>
        <v>View Full Record in Web of Science</v>
      </c>
    </row>
    <row r="901" spans="1:72" x14ac:dyDescent="0.35">
      <c r="A901" t="s">
        <v>72</v>
      </c>
      <c r="B901" t="s">
        <v>15375</v>
      </c>
      <c r="C901" t="s">
        <v>74</v>
      </c>
      <c r="D901" t="s">
        <v>74</v>
      </c>
      <c r="E901" t="s">
        <v>74</v>
      </c>
      <c r="F901" t="s">
        <v>15376</v>
      </c>
      <c r="G901" t="s">
        <v>74</v>
      </c>
      <c r="H901" t="s">
        <v>74</v>
      </c>
      <c r="I901" t="s">
        <v>15377</v>
      </c>
      <c r="J901" t="s">
        <v>8249</v>
      </c>
      <c r="K901" t="s">
        <v>74</v>
      </c>
      <c r="L901" t="s">
        <v>74</v>
      </c>
      <c r="M901" t="s">
        <v>3503</v>
      </c>
      <c r="N901" t="s">
        <v>108</v>
      </c>
      <c r="O901" t="s">
        <v>74</v>
      </c>
      <c r="P901" t="s">
        <v>74</v>
      </c>
      <c r="Q901" t="s">
        <v>74</v>
      </c>
      <c r="R901" t="s">
        <v>74</v>
      </c>
      <c r="S901" t="s">
        <v>74</v>
      </c>
      <c r="T901" t="s">
        <v>15378</v>
      </c>
      <c r="U901" t="s">
        <v>6202</v>
      </c>
      <c r="V901" t="s">
        <v>15379</v>
      </c>
      <c r="W901" t="s">
        <v>15380</v>
      </c>
      <c r="X901" t="s">
        <v>15381</v>
      </c>
      <c r="Y901" t="s">
        <v>15382</v>
      </c>
      <c r="Z901" t="s">
        <v>15383</v>
      </c>
      <c r="AA901" t="s">
        <v>15384</v>
      </c>
      <c r="AB901" t="s">
        <v>6209</v>
      </c>
      <c r="AC901" t="s">
        <v>74</v>
      </c>
      <c r="AD901" t="s">
        <v>74</v>
      </c>
      <c r="AE901" t="s">
        <v>74</v>
      </c>
      <c r="AF901" t="s">
        <v>74</v>
      </c>
      <c r="AG901">
        <v>89</v>
      </c>
      <c r="AH901">
        <v>1</v>
      </c>
      <c r="AI901">
        <v>1</v>
      </c>
      <c r="AJ901">
        <v>10</v>
      </c>
      <c r="AK901">
        <v>14</v>
      </c>
      <c r="AL901" t="s">
        <v>8256</v>
      </c>
      <c r="AM901" t="s">
        <v>8257</v>
      </c>
      <c r="AN901" t="s">
        <v>8258</v>
      </c>
      <c r="AO901" t="s">
        <v>8259</v>
      </c>
      <c r="AP901" t="s">
        <v>74</v>
      </c>
      <c r="AQ901" t="s">
        <v>74</v>
      </c>
      <c r="AR901" t="s">
        <v>8260</v>
      </c>
      <c r="AS901" t="s">
        <v>8261</v>
      </c>
      <c r="AT901" t="s">
        <v>74</v>
      </c>
      <c r="AU901">
        <v>2024</v>
      </c>
      <c r="AV901">
        <v>82</v>
      </c>
      <c r="AW901" t="s">
        <v>74</v>
      </c>
      <c r="AX901" t="s">
        <v>74</v>
      </c>
      <c r="AY901" t="s">
        <v>74</v>
      </c>
      <c r="AZ901" t="s">
        <v>74</v>
      </c>
      <c r="BA901" t="s">
        <v>74</v>
      </c>
      <c r="BB901" t="s">
        <v>74</v>
      </c>
      <c r="BC901" t="s">
        <v>74</v>
      </c>
      <c r="BD901" t="s">
        <v>74</v>
      </c>
      <c r="BE901" t="s">
        <v>15385</v>
      </c>
      <c r="BF901" t="str">
        <f>HYPERLINK("http://dx.doi.org/10.4185/rlcs-2024-2234","http://dx.doi.org/10.4185/rlcs-2024-2234")</f>
        <v>http://dx.doi.org/10.4185/rlcs-2024-2234</v>
      </c>
      <c r="BG901" t="s">
        <v>74</v>
      </c>
      <c r="BH901" t="s">
        <v>74</v>
      </c>
      <c r="BI901">
        <v>29</v>
      </c>
      <c r="BJ901" t="s">
        <v>124</v>
      </c>
      <c r="BK901" t="s">
        <v>125</v>
      </c>
      <c r="BL901" t="s">
        <v>124</v>
      </c>
      <c r="BM901" t="s">
        <v>15386</v>
      </c>
      <c r="BN901" t="s">
        <v>74</v>
      </c>
      <c r="BO901" t="s">
        <v>235</v>
      </c>
      <c r="BP901" t="s">
        <v>74</v>
      </c>
      <c r="BQ901" t="s">
        <v>74</v>
      </c>
      <c r="BR901" t="s">
        <v>102</v>
      </c>
      <c r="BS901" t="s">
        <v>15387</v>
      </c>
      <c r="BT901" t="str">
        <f>HYPERLINK("https%3A%2F%2Fwww.webofscience.com%2Fwos%2Fwoscc%2Ffull-record%2FWOS:001179200700001","View Full Record in Web of Science")</f>
        <v>View Full Record in Web of Science</v>
      </c>
    </row>
    <row r="902" spans="1:72" x14ac:dyDescent="0.35">
      <c r="A902" t="s">
        <v>72</v>
      </c>
      <c r="B902" t="s">
        <v>15388</v>
      </c>
      <c r="C902" t="s">
        <v>74</v>
      </c>
      <c r="D902" t="s">
        <v>74</v>
      </c>
      <c r="E902" t="s">
        <v>74</v>
      </c>
      <c r="F902" t="s">
        <v>15389</v>
      </c>
      <c r="G902" t="s">
        <v>74</v>
      </c>
      <c r="H902" t="s">
        <v>74</v>
      </c>
      <c r="I902" t="s">
        <v>15390</v>
      </c>
      <c r="J902" t="s">
        <v>793</v>
      </c>
      <c r="K902" t="s">
        <v>74</v>
      </c>
      <c r="L902" t="s">
        <v>74</v>
      </c>
      <c r="M902" t="s">
        <v>78</v>
      </c>
      <c r="N902" t="s">
        <v>108</v>
      </c>
      <c r="O902" t="s">
        <v>74</v>
      </c>
      <c r="P902" t="s">
        <v>74</v>
      </c>
      <c r="Q902" t="s">
        <v>74</v>
      </c>
      <c r="R902" t="s">
        <v>74</v>
      </c>
      <c r="S902" t="s">
        <v>74</v>
      </c>
      <c r="T902" t="s">
        <v>15391</v>
      </c>
      <c r="U902" t="s">
        <v>15392</v>
      </c>
      <c r="V902" t="s">
        <v>15393</v>
      </c>
      <c r="W902" t="s">
        <v>15394</v>
      </c>
      <c r="X902" t="s">
        <v>15395</v>
      </c>
      <c r="Y902" t="s">
        <v>15396</v>
      </c>
      <c r="Z902" t="s">
        <v>15397</v>
      </c>
      <c r="AA902" t="s">
        <v>74</v>
      </c>
      <c r="AB902" t="s">
        <v>74</v>
      </c>
      <c r="AC902" t="s">
        <v>74</v>
      </c>
      <c r="AD902" t="s">
        <v>74</v>
      </c>
      <c r="AE902" t="s">
        <v>74</v>
      </c>
      <c r="AF902" t="s">
        <v>74</v>
      </c>
      <c r="AG902">
        <v>20</v>
      </c>
      <c r="AH902">
        <v>0</v>
      </c>
      <c r="AI902">
        <v>0</v>
      </c>
      <c r="AJ902">
        <v>0</v>
      </c>
      <c r="AK902">
        <v>0</v>
      </c>
      <c r="AL902" t="s">
        <v>803</v>
      </c>
      <c r="AM902" t="s">
        <v>227</v>
      </c>
      <c r="AN902" t="s">
        <v>804</v>
      </c>
      <c r="AO902" t="s">
        <v>74</v>
      </c>
      <c r="AP902" t="s">
        <v>805</v>
      </c>
      <c r="AQ902" t="s">
        <v>74</v>
      </c>
      <c r="AR902" t="s">
        <v>806</v>
      </c>
      <c r="AS902" t="s">
        <v>807</v>
      </c>
      <c r="AT902" t="s">
        <v>15398</v>
      </c>
      <c r="AU902">
        <v>2024</v>
      </c>
      <c r="AV902">
        <v>16</v>
      </c>
      <c r="AW902">
        <v>7</v>
      </c>
      <c r="AX902" t="s">
        <v>74</v>
      </c>
      <c r="AY902" t="s">
        <v>74</v>
      </c>
      <c r="AZ902" t="s">
        <v>74</v>
      </c>
      <c r="BA902" t="s">
        <v>74</v>
      </c>
      <c r="BB902" t="s">
        <v>74</v>
      </c>
      <c r="BC902" t="s">
        <v>74</v>
      </c>
      <c r="BD902" t="s">
        <v>15399</v>
      </c>
      <c r="BE902" t="s">
        <v>15400</v>
      </c>
      <c r="BF902" t="str">
        <f>HYPERLINK("http://dx.doi.org/10.7759/cureus.64704","http://dx.doi.org/10.7759/cureus.64704")</f>
        <v>http://dx.doi.org/10.7759/cureus.64704</v>
      </c>
      <c r="BG902" t="s">
        <v>74</v>
      </c>
      <c r="BH902" t="s">
        <v>74</v>
      </c>
      <c r="BI902">
        <v>8</v>
      </c>
      <c r="BJ902" t="s">
        <v>811</v>
      </c>
      <c r="BK902" t="s">
        <v>125</v>
      </c>
      <c r="BL902" t="s">
        <v>812</v>
      </c>
      <c r="BM902" t="s">
        <v>15401</v>
      </c>
      <c r="BN902">
        <v>39156279</v>
      </c>
      <c r="BO902" t="s">
        <v>552</v>
      </c>
      <c r="BP902" t="s">
        <v>74</v>
      </c>
      <c r="BQ902" t="s">
        <v>74</v>
      </c>
      <c r="BR902" t="s">
        <v>102</v>
      </c>
      <c r="BS902" t="s">
        <v>15402</v>
      </c>
      <c r="BT902" t="str">
        <f>HYPERLINK("https%3A%2F%2Fwww.webofscience.com%2Fwos%2Fwoscc%2Ffull-record%2FWOS:001273834800038","View Full Record in Web of Science")</f>
        <v>View Full Record in Web of Science</v>
      </c>
    </row>
    <row r="903" spans="1:72" x14ac:dyDescent="0.35">
      <c r="A903" t="s">
        <v>72</v>
      </c>
      <c r="B903" t="s">
        <v>15403</v>
      </c>
      <c r="C903" t="s">
        <v>74</v>
      </c>
      <c r="D903" t="s">
        <v>74</v>
      </c>
      <c r="E903" t="s">
        <v>74</v>
      </c>
      <c r="F903" t="s">
        <v>15404</v>
      </c>
      <c r="G903" t="s">
        <v>74</v>
      </c>
      <c r="H903" t="s">
        <v>74</v>
      </c>
      <c r="I903" t="s">
        <v>15405</v>
      </c>
      <c r="J903" t="s">
        <v>15406</v>
      </c>
      <c r="K903" t="s">
        <v>74</v>
      </c>
      <c r="L903" t="s">
        <v>74</v>
      </c>
      <c r="M903" t="s">
        <v>78</v>
      </c>
      <c r="N903" t="s">
        <v>108</v>
      </c>
      <c r="O903" t="s">
        <v>74</v>
      </c>
      <c r="P903" t="s">
        <v>74</v>
      </c>
      <c r="Q903" t="s">
        <v>74</v>
      </c>
      <c r="R903" t="s">
        <v>74</v>
      </c>
      <c r="S903" t="s">
        <v>74</v>
      </c>
      <c r="T903" t="s">
        <v>15407</v>
      </c>
      <c r="U903" t="s">
        <v>15408</v>
      </c>
      <c r="V903" t="s">
        <v>15409</v>
      </c>
      <c r="W903" t="s">
        <v>15410</v>
      </c>
      <c r="X903" t="s">
        <v>15411</v>
      </c>
      <c r="Y903" t="s">
        <v>15412</v>
      </c>
      <c r="Z903" t="s">
        <v>15413</v>
      </c>
      <c r="AA903" t="s">
        <v>15414</v>
      </c>
      <c r="AB903" t="s">
        <v>15415</v>
      </c>
      <c r="AC903" t="s">
        <v>74</v>
      </c>
      <c r="AD903" t="s">
        <v>74</v>
      </c>
      <c r="AE903" t="s">
        <v>74</v>
      </c>
      <c r="AF903" t="s">
        <v>74</v>
      </c>
      <c r="AG903">
        <v>75</v>
      </c>
      <c r="AH903">
        <v>110</v>
      </c>
      <c r="AI903">
        <v>129</v>
      </c>
      <c r="AJ903">
        <v>10</v>
      </c>
      <c r="AK903">
        <v>233</v>
      </c>
      <c r="AL903" t="s">
        <v>199</v>
      </c>
      <c r="AM903" t="s">
        <v>15416</v>
      </c>
      <c r="AN903" t="s">
        <v>15417</v>
      </c>
      <c r="AO903" t="s">
        <v>15418</v>
      </c>
      <c r="AP903" t="s">
        <v>15419</v>
      </c>
      <c r="AQ903" t="s">
        <v>74</v>
      </c>
      <c r="AR903" t="s">
        <v>15420</v>
      </c>
      <c r="AS903" t="s">
        <v>15421</v>
      </c>
      <c r="AT903" t="s">
        <v>15422</v>
      </c>
      <c r="AU903">
        <v>2020</v>
      </c>
      <c r="AV903">
        <v>21</v>
      </c>
      <c r="AW903">
        <v>4</v>
      </c>
      <c r="AX903" t="s">
        <v>74</v>
      </c>
      <c r="AY903" t="s">
        <v>74</v>
      </c>
      <c r="AZ903" t="s">
        <v>74</v>
      </c>
      <c r="BA903" t="s">
        <v>74</v>
      </c>
      <c r="BB903">
        <v>463</v>
      </c>
      <c r="BC903">
        <v>478</v>
      </c>
      <c r="BD903" t="s">
        <v>74</v>
      </c>
      <c r="BE903" t="s">
        <v>15423</v>
      </c>
      <c r="BF903" t="str">
        <f>HYPERLINK("http://dx.doi.org/10.1108/YC-07-2020-1186","http://dx.doi.org/10.1108/YC-07-2020-1186")</f>
        <v>http://dx.doi.org/10.1108/YC-07-2020-1186</v>
      </c>
      <c r="BG903" t="s">
        <v>74</v>
      </c>
      <c r="BH903" t="s">
        <v>2272</v>
      </c>
      <c r="BI903">
        <v>16</v>
      </c>
      <c r="BJ903" t="s">
        <v>1597</v>
      </c>
      <c r="BK903" t="s">
        <v>125</v>
      </c>
      <c r="BL903" t="s">
        <v>480</v>
      </c>
      <c r="BM903" t="s">
        <v>15424</v>
      </c>
      <c r="BN903" t="s">
        <v>74</v>
      </c>
      <c r="BO903" t="s">
        <v>5037</v>
      </c>
      <c r="BP903" t="s">
        <v>74</v>
      </c>
      <c r="BQ903" t="s">
        <v>74</v>
      </c>
      <c r="BR903" t="s">
        <v>102</v>
      </c>
      <c r="BS903" t="s">
        <v>15425</v>
      </c>
      <c r="BT903" t="str">
        <f>HYPERLINK("https%3A%2F%2Fwww.webofscience.com%2Fwos%2Fwoscc%2Ffull-record%2FWOS:000593245200001","View Full Record in Web of Science")</f>
        <v>View Full Record in Web of Science</v>
      </c>
    </row>
    <row r="904" spans="1:72" x14ac:dyDescent="0.35">
      <c r="A904" t="s">
        <v>128</v>
      </c>
      <c r="B904" t="s">
        <v>15426</v>
      </c>
      <c r="C904" t="s">
        <v>74</v>
      </c>
      <c r="D904" t="s">
        <v>15427</v>
      </c>
      <c r="E904" t="s">
        <v>74</v>
      </c>
      <c r="F904" t="s">
        <v>15428</v>
      </c>
      <c r="G904" t="s">
        <v>74</v>
      </c>
      <c r="H904" t="s">
        <v>74</v>
      </c>
      <c r="I904" t="s">
        <v>15429</v>
      </c>
      <c r="J904" t="s">
        <v>15430</v>
      </c>
      <c r="K904" t="s">
        <v>2133</v>
      </c>
      <c r="L904" t="s">
        <v>74</v>
      </c>
      <c r="M904" t="s">
        <v>78</v>
      </c>
      <c r="N904" t="s">
        <v>135</v>
      </c>
      <c r="O904" t="s">
        <v>15431</v>
      </c>
      <c r="P904" t="s">
        <v>15432</v>
      </c>
      <c r="Q904" t="s">
        <v>138</v>
      </c>
      <c r="R904" t="s">
        <v>15433</v>
      </c>
      <c r="S904" t="s">
        <v>74</v>
      </c>
      <c r="T904" t="s">
        <v>15434</v>
      </c>
      <c r="U904" t="s">
        <v>74</v>
      </c>
      <c r="V904" t="s">
        <v>15435</v>
      </c>
      <c r="W904" t="s">
        <v>15436</v>
      </c>
      <c r="X904" t="s">
        <v>15437</v>
      </c>
      <c r="Y904" t="s">
        <v>15438</v>
      </c>
      <c r="Z904" t="s">
        <v>15439</v>
      </c>
      <c r="AA904" t="s">
        <v>15440</v>
      </c>
      <c r="AB904" t="s">
        <v>15441</v>
      </c>
      <c r="AC904" t="s">
        <v>74</v>
      </c>
      <c r="AD904" t="s">
        <v>74</v>
      </c>
      <c r="AE904" t="s">
        <v>74</v>
      </c>
      <c r="AF904" t="s">
        <v>74</v>
      </c>
      <c r="AG904">
        <v>19</v>
      </c>
      <c r="AH904">
        <v>20</v>
      </c>
      <c r="AI904">
        <v>27</v>
      </c>
      <c r="AJ904">
        <v>6</v>
      </c>
      <c r="AK904">
        <v>35</v>
      </c>
      <c r="AL904" t="s">
        <v>1677</v>
      </c>
      <c r="AM904" t="s">
        <v>666</v>
      </c>
      <c r="AN904" t="s">
        <v>1692</v>
      </c>
      <c r="AO904" t="s">
        <v>2147</v>
      </c>
      <c r="AP904" t="s">
        <v>2148</v>
      </c>
      <c r="AQ904" t="s">
        <v>15442</v>
      </c>
      <c r="AR904" t="s">
        <v>2150</v>
      </c>
      <c r="AS904" t="s">
        <v>74</v>
      </c>
      <c r="AT904" t="s">
        <v>74</v>
      </c>
      <c r="AU904">
        <v>2021</v>
      </c>
      <c r="AV904" t="s">
        <v>74</v>
      </c>
      <c r="AW904" t="s">
        <v>74</v>
      </c>
      <c r="AX904" t="s">
        <v>74</v>
      </c>
      <c r="AY904" t="s">
        <v>74</v>
      </c>
      <c r="AZ904" t="s">
        <v>74</v>
      </c>
      <c r="BA904" t="s">
        <v>74</v>
      </c>
      <c r="BB904">
        <v>172</v>
      </c>
      <c r="BC904">
        <v>176</v>
      </c>
      <c r="BD904" t="s">
        <v>74</v>
      </c>
      <c r="BE904" t="s">
        <v>15443</v>
      </c>
      <c r="BF904" t="str">
        <f>HYPERLINK("http://dx.doi.org/10.1109/ICEDEG52154.2021.9530988","http://dx.doi.org/10.1109/ICEDEG52154.2021.9530988")</f>
        <v>http://dx.doi.org/10.1109/ICEDEG52154.2021.9530988</v>
      </c>
      <c r="BG904" t="s">
        <v>74</v>
      </c>
      <c r="BH904" t="s">
        <v>74</v>
      </c>
      <c r="BI904">
        <v>5</v>
      </c>
      <c r="BJ904" t="s">
        <v>2152</v>
      </c>
      <c r="BK904" t="s">
        <v>648</v>
      </c>
      <c r="BL904" t="s">
        <v>2153</v>
      </c>
      <c r="BM904" t="s">
        <v>15444</v>
      </c>
      <c r="BN904" t="s">
        <v>74</v>
      </c>
      <c r="BO904" t="s">
        <v>74</v>
      </c>
      <c r="BP904" t="s">
        <v>74</v>
      </c>
      <c r="BQ904" t="s">
        <v>74</v>
      </c>
      <c r="BR904" t="s">
        <v>102</v>
      </c>
      <c r="BS904" t="s">
        <v>15445</v>
      </c>
      <c r="BT904" t="str">
        <f>HYPERLINK("https%3A%2F%2Fwww.webofscience.com%2Fwos%2Fwoscc%2Ffull-record%2FWOS:000847020200022","View Full Record in Web of Science")</f>
        <v>View Full Record in Web of Science</v>
      </c>
    </row>
    <row r="905" spans="1:72" x14ac:dyDescent="0.35">
      <c r="A905" t="s">
        <v>72</v>
      </c>
      <c r="B905" t="s">
        <v>15446</v>
      </c>
      <c r="C905" t="s">
        <v>74</v>
      </c>
      <c r="D905" t="s">
        <v>74</v>
      </c>
      <c r="E905" t="s">
        <v>74</v>
      </c>
      <c r="F905" t="s">
        <v>15447</v>
      </c>
      <c r="G905" t="s">
        <v>74</v>
      </c>
      <c r="H905" t="s">
        <v>74</v>
      </c>
      <c r="I905" t="s">
        <v>15448</v>
      </c>
      <c r="J905" t="s">
        <v>15449</v>
      </c>
      <c r="K905" t="s">
        <v>74</v>
      </c>
      <c r="L905" t="s">
        <v>74</v>
      </c>
      <c r="M905" t="s">
        <v>78</v>
      </c>
      <c r="N905" t="s">
        <v>1328</v>
      </c>
      <c r="O905" t="s">
        <v>74</v>
      </c>
      <c r="P905" t="s">
        <v>74</v>
      </c>
      <c r="Q905" t="s">
        <v>74</v>
      </c>
      <c r="R905" t="s">
        <v>74</v>
      </c>
      <c r="S905" t="s">
        <v>74</v>
      </c>
      <c r="T905" t="s">
        <v>74</v>
      </c>
      <c r="U905" t="s">
        <v>74</v>
      </c>
      <c r="V905" t="s">
        <v>74</v>
      </c>
      <c r="W905" t="s">
        <v>15450</v>
      </c>
      <c r="X905" t="s">
        <v>15451</v>
      </c>
      <c r="Y905" t="s">
        <v>15452</v>
      </c>
      <c r="Z905" t="s">
        <v>11061</v>
      </c>
      <c r="AA905" t="s">
        <v>15453</v>
      </c>
      <c r="AB905" t="s">
        <v>15454</v>
      </c>
      <c r="AC905" t="s">
        <v>15455</v>
      </c>
      <c r="AD905" t="s">
        <v>15456</v>
      </c>
      <c r="AE905" t="s">
        <v>15457</v>
      </c>
      <c r="AF905" t="s">
        <v>74</v>
      </c>
      <c r="AG905">
        <v>5</v>
      </c>
      <c r="AH905">
        <v>5</v>
      </c>
      <c r="AI905">
        <v>5</v>
      </c>
      <c r="AJ905">
        <v>1</v>
      </c>
      <c r="AK905">
        <v>4</v>
      </c>
      <c r="AL905" t="s">
        <v>251</v>
      </c>
      <c r="AM905" t="s">
        <v>252</v>
      </c>
      <c r="AN905" t="s">
        <v>253</v>
      </c>
      <c r="AO905" t="s">
        <v>15458</v>
      </c>
      <c r="AP905" t="s">
        <v>15459</v>
      </c>
      <c r="AQ905" t="s">
        <v>74</v>
      </c>
      <c r="AR905" t="s">
        <v>15460</v>
      </c>
      <c r="AS905" t="s">
        <v>15461</v>
      </c>
      <c r="AT905" t="s">
        <v>523</v>
      </c>
      <c r="AU905">
        <v>2023</v>
      </c>
      <c r="AV905">
        <v>130</v>
      </c>
      <c r="AW905">
        <v>12</v>
      </c>
      <c r="AX905" t="s">
        <v>74</v>
      </c>
      <c r="AY905" t="s">
        <v>74</v>
      </c>
      <c r="AZ905" t="s">
        <v>74</v>
      </c>
      <c r="BA905" t="s">
        <v>74</v>
      </c>
      <c r="BB905">
        <v>1555</v>
      </c>
      <c r="BC905">
        <v>1556</v>
      </c>
      <c r="BD905" t="s">
        <v>74</v>
      </c>
      <c r="BE905" t="s">
        <v>15462</v>
      </c>
      <c r="BF905" t="str">
        <f>HYPERLINK("http://dx.doi.org/10.1111/1471-0528.17563","http://dx.doi.org/10.1111/1471-0528.17563")</f>
        <v>http://dx.doi.org/10.1111/1471-0528.17563</v>
      </c>
      <c r="BG905" t="s">
        <v>74</v>
      </c>
      <c r="BH905" t="s">
        <v>1954</v>
      </c>
      <c r="BI905">
        <v>2</v>
      </c>
      <c r="BJ905" t="s">
        <v>1971</v>
      </c>
      <c r="BK905" t="s">
        <v>209</v>
      </c>
      <c r="BL905" t="s">
        <v>1971</v>
      </c>
      <c r="BM905" t="s">
        <v>15463</v>
      </c>
      <c r="BN905">
        <v>37271737</v>
      </c>
      <c r="BO905" t="s">
        <v>74</v>
      </c>
      <c r="BP905" t="s">
        <v>74</v>
      </c>
      <c r="BQ905" t="s">
        <v>74</v>
      </c>
      <c r="BR905" t="s">
        <v>102</v>
      </c>
      <c r="BS905" t="s">
        <v>15464</v>
      </c>
      <c r="BT905" t="str">
        <f>HYPERLINK("https%3A%2F%2Fwww.webofscience.com%2Fwos%2Fwoscc%2Ffull-record%2FWOS:001000684000001","View Full Record in Web of Science")</f>
        <v>View Full Record in Web of Science</v>
      </c>
    </row>
    <row r="906" spans="1:72" x14ac:dyDescent="0.35">
      <c r="A906" t="s">
        <v>72</v>
      </c>
      <c r="B906" t="s">
        <v>15465</v>
      </c>
      <c r="C906" t="s">
        <v>74</v>
      </c>
      <c r="D906" t="s">
        <v>74</v>
      </c>
      <c r="E906" t="s">
        <v>74</v>
      </c>
      <c r="F906" t="s">
        <v>15466</v>
      </c>
      <c r="G906" t="s">
        <v>74</v>
      </c>
      <c r="H906" t="s">
        <v>74</v>
      </c>
      <c r="I906" t="s">
        <v>15467</v>
      </c>
      <c r="J906" t="s">
        <v>15468</v>
      </c>
      <c r="K906" t="s">
        <v>74</v>
      </c>
      <c r="L906" t="s">
        <v>74</v>
      </c>
      <c r="M906" t="s">
        <v>78</v>
      </c>
      <c r="N906" t="s">
        <v>79</v>
      </c>
      <c r="O906" t="s">
        <v>74</v>
      </c>
      <c r="P906" t="s">
        <v>74</v>
      </c>
      <c r="Q906" t="s">
        <v>74</v>
      </c>
      <c r="R906" t="s">
        <v>74</v>
      </c>
      <c r="S906" t="s">
        <v>74</v>
      </c>
      <c r="T906" t="s">
        <v>15469</v>
      </c>
      <c r="U906" t="s">
        <v>15470</v>
      </c>
      <c r="V906" t="s">
        <v>15471</v>
      </c>
      <c r="W906" t="s">
        <v>15472</v>
      </c>
      <c r="X906" t="s">
        <v>15473</v>
      </c>
      <c r="Y906" t="s">
        <v>15474</v>
      </c>
      <c r="Z906" t="s">
        <v>15475</v>
      </c>
      <c r="AA906" t="s">
        <v>15476</v>
      </c>
      <c r="AB906" t="s">
        <v>15477</v>
      </c>
      <c r="AC906" t="s">
        <v>15478</v>
      </c>
      <c r="AD906" t="s">
        <v>15478</v>
      </c>
      <c r="AE906" t="s">
        <v>15478</v>
      </c>
      <c r="AF906" t="s">
        <v>74</v>
      </c>
      <c r="AG906">
        <v>79</v>
      </c>
      <c r="AH906">
        <v>2</v>
      </c>
      <c r="AI906">
        <v>2</v>
      </c>
      <c r="AJ906">
        <v>4</v>
      </c>
      <c r="AK906">
        <v>23</v>
      </c>
      <c r="AL906" t="s">
        <v>11128</v>
      </c>
      <c r="AM906" t="s">
        <v>666</v>
      </c>
      <c r="AN906" t="s">
        <v>11129</v>
      </c>
      <c r="AO906" t="s">
        <v>15479</v>
      </c>
      <c r="AP906" t="s">
        <v>15480</v>
      </c>
      <c r="AQ906" t="s">
        <v>74</v>
      </c>
      <c r="AR906" t="s">
        <v>15481</v>
      </c>
      <c r="AS906" t="s">
        <v>15482</v>
      </c>
      <c r="AT906" t="s">
        <v>15483</v>
      </c>
      <c r="AU906">
        <v>2023</v>
      </c>
      <c r="AV906" t="s">
        <v>74</v>
      </c>
      <c r="AW906" t="s">
        <v>74</v>
      </c>
      <c r="AX906" t="s">
        <v>74</v>
      </c>
      <c r="AY906" t="s">
        <v>74</v>
      </c>
      <c r="AZ906" t="s">
        <v>74</v>
      </c>
      <c r="BA906" t="s">
        <v>74</v>
      </c>
      <c r="BB906" t="s">
        <v>74</v>
      </c>
      <c r="BC906" t="s">
        <v>74</v>
      </c>
      <c r="BD906" t="s">
        <v>74</v>
      </c>
      <c r="BE906" t="s">
        <v>15484</v>
      </c>
      <c r="BF906" t="str">
        <f>HYPERLINK("http://dx.doi.org/10.1007/s10964-023-01867-7","http://dx.doi.org/10.1007/s10964-023-01867-7")</f>
        <v>http://dx.doi.org/10.1007/s10964-023-01867-7</v>
      </c>
      <c r="BG906" t="s">
        <v>74</v>
      </c>
      <c r="BH906" t="s">
        <v>2929</v>
      </c>
      <c r="BI906">
        <v>15</v>
      </c>
      <c r="BJ906" t="s">
        <v>11136</v>
      </c>
      <c r="BK906" t="s">
        <v>99</v>
      </c>
      <c r="BL906" t="s">
        <v>301</v>
      </c>
      <c r="BM906" t="s">
        <v>15485</v>
      </c>
      <c r="BN906">
        <v>37733120</v>
      </c>
      <c r="BO906" t="s">
        <v>74</v>
      </c>
      <c r="BP906" t="s">
        <v>74</v>
      </c>
      <c r="BQ906" t="s">
        <v>74</v>
      </c>
      <c r="BR906" t="s">
        <v>102</v>
      </c>
      <c r="BS906" t="s">
        <v>15486</v>
      </c>
      <c r="BT906" t="str">
        <f>HYPERLINK("https%3A%2F%2Fwww.webofscience.com%2Fwos%2Fwoscc%2Ffull-record%2FWOS:001070968900001","View Full Record in Web of Science")</f>
        <v>View Full Record in Web of Science</v>
      </c>
    </row>
    <row r="907" spans="1:72" x14ac:dyDescent="0.35">
      <c r="A907" t="s">
        <v>72</v>
      </c>
      <c r="B907" t="s">
        <v>13973</v>
      </c>
      <c r="C907" t="s">
        <v>74</v>
      </c>
      <c r="D907" t="s">
        <v>74</v>
      </c>
      <c r="E907" t="s">
        <v>74</v>
      </c>
      <c r="F907" t="s">
        <v>13974</v>
      </c>
      <c r="G907" t="s">
        <v>74</v>
      </c>
      <c r="H907" t="s">
        <v>74</v>
      </c>
      <c r="I907" t="s">
        <v>15487</v>
      </c>
      <c r="J907" t="s">
        <v>11744</v>
      </c>
      <c r="K907" t="s">
        <v>74</v>
      </c>
      <c r="L907" t="s">
        <v>74</v>
      </c>
      <c r="M907" t="s">
        <v>78</v>
      </c>
      <c r="N907" t="s">
        <v>108</v>
      </c>
      <c r="O907" t="s">
        <v>74</v>
      </c>
      <c r="P907" t="s">
        <v>74</v>
      </c>
      <c r="Q907" t="s">
        <v>74</v>
      </c>
      <c r="R907" t="s">
        <v>74</v>
      </c>
      <c r="S907" t="s">
        <v>74</v>
      </c>
      <c r="T907" t="s">
        <v>15488</v>
      </c>
      <c r="U907" t="s">
        <v>74</v>
      </c>
      <c r="V907" t="s">
        <v>15489</v>
      </c>
      <c r="W907" t="s">
        <v>15490</v>
      </c>
      <c r="X907" t="s">
        <v>11378</v>
      </c>
      <c r="Y907" t="s">
        <v>15491</v>
      </c>
      <c r="Z907" t="s">
        <v>15492</v>
      </c>
      <c r="AA907" t="s">
        <v>13980</v>
      </c>
      <c r="AB907" t="s">
        <v>74</v>
      </c>
      <c r="AC907" t="s">
        <v>74</v>
      </c>
      <c r="AD907" t="s">
        <v>74</v>
      </c>
      <c r="AE907" t="s">
        <v>74</v>
      </c>
      <c r="AF907" t="s">
        <v>74</v>
      </c>
      <c r="AG907">
        <v>53</v>
      </c>
      <c r="AH907">
        <v>2</v>
      </c>
      <c r="AI907">
        <v>2</v>
      </c>
      <c r="AJ907">
        <v>5</v>
      </c>
      <c r="AK907">
        <v>20</v>
      </c>
      <c r="AL907" t="s">
        <v>3632</v>
      </c>
      <c r="AM907" t="s">
        <v>148</v>
      </c>
      <c r="AN907" t="s">
        <v>5053</v>
      </c>
      <c r="AO907" t="s">
        <v>11752</v>
      </c>
      <c r="AP907" t="s">
        <v>11753</v>
      </c>
      <c r="AQ907" t="s">
        <v>74</v>
      </c>
      <c r="AR907" t="s">
        <v>11754</v>
      </c>
      <c r="AS907" t="s">
        <v>11755</v>
      </c>
      <c r="AT907" t="s">
        <v>1275</v>
      </c>
      <c r="AU907">
        <v>2022</v>
      </c>
      <c r="AV907">
        <v>50</v>
      </c>
      <c r="AW907" t="s">
        <v>74</v>
      </c>
      <c r="AX907" t="s">
        <v>74</v>
      </c>
      <c r="AY907" t="s">
        <v>74</v>
      </c>
      <c r="AZ907" t="s">
        <v>74</v>
      </c>
      <c r="BA907" t="s">
        <v>74</v>
      </c>
      <c r="BB907" t="s">
        <v>74</v>
      </c>
      <c r="BC907" t="s">
        <v>74</v>
      </c>
      <c r="BD907">
        <v>100655</v>
      </c>
      <c r="BE907" t="s">
        <v>15493</v>
      </c>
      <c r="BF907" t="str">
        <f>HYPERLINK("http://dx.doi.org/10.1016/j.dcm.2022.100655","http://dx.doi.org/10.1016/j.dcm.2022.100655")</f>
        <v>http://dx.doi.org/10.1016/j.dcm.2022.100655</v>
      </c>
      <c r="BG907" t="s">
        <v>74</v>
      </c>
      <c r="BH907" t="s">
        <v>366</v>
      </c>
      <c r="BI907">
        <v>8</v>
      </c>
      <c r="BJ907" t="s">
        <v>124</v>
      </c>
      <c r="BK907" t="s">
        <v>99</v>
      </c>
      <c r="BL907" t="s">
        <v>124</v>
      </c>
      <c r="BM907" t="s">
        <v>15494</v>
      </c>
      <c r="BN907" t="s">
        <v>74</v>
      </c>
      <c r="BO907" t="s">
        <v>74</v>
      </c>
      <c r="BP907" t="s">
        <v>74</v>
      </c>
      <c r="BQ907" t="s">
        <v>74</v>
      </c>
      <c r="BR907" t="s">
        <v>102</v>
      </c>
      <c r="BS907" t="s">
        <v>15495</v>
      </c>
      <c r="BT907" t="str">
        <f>HYPERLINK("https%3A%2F%2Fwww.webofscience.com%2Fwos%2Fwoscc%2Ffull-record%2FWOS:000895739200001","View Full Record in Web of Science")</f>
        <v>View Full Record in Web of Science</v>
      </c>
    </row>
    <row r="908" spans="1:72" x14ac:dyDescent="0.35">
      <c r="A908" t="s">
        <v>72</v>
      </c>
      <c r="B908" t="s">
        <v>15496</v>
      </c>
      <c r="C908" t="s">
        <v>74</v>
      </c>
      <c r="D908" t="s">
        <v>74</v>
      </c>
      <c r="E908" t="s">
        <v>74</v>
      </c>
      <c r="F908" t="s">
        <v>15497</v>
      </c>
      <c r="G908" t="s">
        <v>74</v>
      </c>
      <c r="H908" t="s">
        <v>74</v>
      </c>
      <c r="I908" t="s">
        <v>15498</v>
      </c>
      <c r="J908" t="s">
        <v>14732</v>
      </c>
      <c r="K908" t="s">
        <v>74</v>
      </c>
      <c r="L908" t="s">
        <v>74</v>
      </c>
      <c r="M908" t="s">
        <v>78</v>
      </c>
      <c r="N908" t="s">
        <v>15499</v>
      </c>
      <c r="O908" t="s">
        <v>74</v>
      </c>
      <c r="P908" t="s">
        <v>74</v>
      </c>
      <c r="Q908" t="s">
        <v>74</v>
      </c>
      <c r="R908" t="s">
        <v>74</v>
      </c>
      <c r="S908" t="s">
        <v>74</v>
      </c>
      <c r="T908" t="s">
        <v>74</v>
      </c>
      <c r="U908" t="s">
        <v>74</v>
      </c>
      <c r="V908" t="s">
        <v>74</v>
      </c>
      <c r="W908" t="s">
        <v>15500</v>
      </c>
      <c r="X908" t="s">
        <v>10410</v>
      </c>
      <c r="Y908" t="s">
        <v>15501</v>
      </c>
      <c r="Z908" t="s">
        <v>15502</v>
      </c>
      <c r="AA908" t="s">
        <v>74</v>
      </c>
      <c r="AB908" t="s">
        <v>74</v>
      </c>
      <c r="AC908" t="s">
        <v>74</v>
      </c>
      <c r="AD908" t="s">
        <v>74</v>
      </c>
      <c r="AE908" t="s">
        <v>74</v>
      </c>
      <c r="AF908" t="s">
        <v>74</v>
      </c>
      <c r="AG908">
        <v>2</v>
      </c>
      <c r="AH908">
        <v>0</v>
      </c>
      <c r="AI908">
        <v>0</v>
      </c>
      <c r="AJ908">
        <v>0</v>
      </c>
      <c r="AK908">
        <v>0</v>
      </c>
      <c r="AL908" t="s">
        <v>171</v>
      </c>
      <c r="AM908" t="s">
        <v>172</v>
      </c>
      <c r="AN908" t="s">
        <v>173</v>
      </c>
      <c r="AO908" t="s">
        <v>14741</v>
      </c>
      <c r="AP908" t="s">
        <v>14742</v>
      </c>
      <c r="AQ908" t="s">
        <v>74</v>
      </c>
      <c r="AR908" t="s">
        <v>14743</v>
      </c>
      <c r="AS908" t="s">
        <v>14744</v>
      </c>
      <c r="AT908" t="s">
        <v>15503</v>
      </c>
      <c r="AU908">
        <v>2024</v>
      </c>
      <c r="AV908" t="s">
        <v>74</v>
      </c>
      <c r="AW908" t="s">
        <v>74</v>
      </c>
      <c r="AX908" t="s">
        <v>74</v>
      </c>
      <c r="AY908" t="s">
        <v>74</v>
      </c>
      <c r="AZ908" t="s">
        <v>74</v>
      </c>
      <c r="BA908" t="s">
        <v>74</v>
      </c>
      <c r="BB908" t="s">
        <v>74</v>
      </c>
      <c r="BC908" t="s">
        <v>74</v>
      </c>
      <c r="BD908" t="s">
        <v>74</v>
      </c>
      <c r="BE908" t="s">
        <v>15504</v>
      </c>
      <c r="BF908" t="str">
        <f>HYPERLINK("http://dx.doi.org/10.1177/22925503241281935","http://dx.doi.org/10.1177/22925503241281935")</f>
        <v>http://dx.doi.org/10.1177/22925503241281935</v>
      </c>
      <c r="BG908" t="s">
        <v>74</v>
      </c>
      <c r="BH908" t="s">
        <v>337</v>
      </c>
      <c r="BI908">
        <v>2</v>
      </c>
      <c r="BJ908" t="s">
        <v>4994</v>
      </c>
      <c r="BK908" t="s">
        <v>209</v>
      </c>
      <c r="BL908" t="s">
        <v>4994</v>
      </c>
      <c r="BM908" t="s">
        <v>15505</v>
      </c>
      <c r="BN908">
        <v>39545208</v>
      </c>
      <c r="BO908" t="s">
        <v>74</v>
      </c>
      <c r="BP908" t="s">
        <v>74</v>
      </c>
      <c r="BQ908" t="s">
        <v>74</v>
      </c>
      <c r="BR908" t="s">
        <v>102</v>
      </c>
      <c r="BS908" t="s">
        <v>15506</v>
      </c>
      <c r="BT908" t="str">
        <f>HYPERLINK("https%3A%2F%2Fwww.webofscience.com%2Fwos%2Fwoscc%2Ffull-record%2FWOS:001322389900001","View Full Record in Web of Science")</f>
        <v>View Full Record in Web of Science</v>
      </c>
    </row>
    <row r="909" spans="1:72" x14ac:dyDescent="0.35">
      <c r="A909" t="s">
        <v>72</v>
      </c>
      <c r="B909" t="s">
        <v>15507</v>
      </c>
      <c r="C909" t="s">
        <v>74</v>
      </c>
      <c r="D909" t="s">
        <v>74</v>
      </c>
      <c r="E909" t="s">
        <v>74</v>
      </c>
      <c r="F909" t="s">
        <v>15508</v>
      </c>
      <c r="G909" t="s">
        <v>74</v>
      </c>
      <c r="H909" t="s">
        <v>74</v>
      </c>
      <c r="I909" t="s">
        <v>15509</v>
      </c>
      <c r="J909" t="s">
        <v>793</v>
      </c>
      <c r="K909" t="s">
        <v>74</v>
      </c>
      <c r="L909" t="s">
        <v>74</v>
      </c>
      <c r="M909" t="s">
        <v>78</v>
      </c>
      <c r="N909" t="s">
        <v>108</v>
      </c>
      <c r="O909" t="s">
        <v>74</v>
      </c>
      <c r="P909" t="s">
        <v>74</v>
      </c>
      <c r="Q909" t="s">
        <v>74</v>
      </c>
      <c r="R909" t="s">
        <v>74</v>
      </c>
      <c r="S909" t="s">
        <v>74</v>
      </c>
      <c r="T909" t="s">
        <v>15510</v>
      </c>
      <c r="U909" t="s">
        <v>795</v>
      </c>
      <c r="V909" t="s">
        <v>15511</v>
      </c>
      <c r="W909" t="s">
        <v>15512</v>
      </c>
      <c r="X909" t="s">
        <v>15513</v>
      </c>
      <c r="Y909" t="s">
        <v>15514</v>
      </c>
      <c r="Z909" t="s">
        <v>15515</v>
      </c>
      <c r="AA909" t="s">
        <v>74</v>
      </c>
      <c r="AB909" t="s">
        <v>74</v>
      </c>
      <c r="AC909" t="s">
        <v>74</v>
      </c>
      <c r="AD909" t="s">
        <v>74</v>
      </c>
      <c r="AE909" t="s">
        <v>74</v>
      </c>
      <c r="AF909" t="s">
        <v>74</v>
      </c>
      <c r="AG909">
        <v>21</v>
      </c>
      <c r="AH909">
        <v>0</v>
      </c>
      <c r="AI909">
        <v>0</v>
      </c>
      <c r="AJ909">
        <v>2</v>
      </c>
      <c r="AK909">
        <v>2</v>
      </c>
      <c r="AL909" t="s">
        <v>803</v>
      </c>
      <c r="AM909" t="s">
        <v>227</v>
      </c>
      <c r="AN909" t="s">
        <v>804</v>
      </c>
      <c r="AO909" t="s">
        <v>74</v>
      </c>
      <c r="AP909" t="s">
        <v>805</v>
      </c>
      <c r="AQ909" t="s">
        <v>74</v>
      </c>
      <c r="AR909" t="s">
        <v>806</v>
      </c>
      <c r="AS909" t="s">
        <v>807</v>
      </c>
      <c r="AT909" t="s">
        <v>15516</v>
      </c>
      <c r="AU909">
        <v>2024</v>
      </c>
      <c r="AV909">
        <v>16</v>
      </c>
      <c r="AW909">
        <v>5</v>
      </c>
      <c r="AX909" t="s">
        <v>74</v>
      </c>
      <c r="AY909" t="s">
        <v>74</v>
      </c>
      <c r="AZ909" t="s">
        <v>74</v>
      </c>
      <c r="BA909" t="s">
        <v>74</v>
      </c>
      <c r="BB909" t="s">
        <v>74</v>
      </c>
      <c r="BC909" t="s">
        <v>74</v>
      </c>
      <c r="BD909" t="s">
        <v>15517</v>
      </c>
      <c r="BE909" t="s">
        <v>15518</v>
      </c>
      <c r="BF909" t="str">
        <f>HYPERLINK("http://dx.doi.org/10.7759/cureus.60548","http://dx.doi.org/10.7759/cureus.60548")</f>
        <v>http://dx.doi.org/10.7759/cureus.60548</v>
      </c>
      <c r="BG909" t="s">
        <v>74</v>
      </c>
      <c r="BH909" t="s">
        <v>74</v>
      </c>
      <c r="BI909">
        <v>5</v>
      </c>
      <c r="BJ909" t="s">
        <v>811</v>
      </c>
      <c r="BK909" t="s">
        <v>125</v>
      </c>
      <c r="BL909" t="s">
        <v>812</v>
      </c>
      <c r="BM909" t="s">
        <v>15519</v>
      </c>
      <c r="BN909">
        <v>38887329</v>
      </c>
      <c r="BO909" t="s">
        <v>235</v>
      </c>
      <c r="BP909" t="s">
        <v>74</v>
      </c>
      <c r="BQ909" t="s">
        <v>74</v>
      </c>
      <c r="BR909" t="s">
        <v>102</v>
      </c>
      <c r="BS909" t="s">
        <v>15520</v>
      </c>
      <c r="BT909" t="str">
        <f>HYPERLINK("https%3A%2F%2Fwww.webofscience.com%2Fwos%2Fwoscc%2Ffull-record%2FWOS:001237083700015","View Full Record in Web of Science")</f>
        <v>View Full Record in Web of Science</v>
      </c>
    </row>
    <row r="910" spans="1:72" x14ac:dyDescent="0.35">
      <c r="A910" t="s">
        <v>72</v>
      </c>
      <c r="B910" t="s">
        <v>15521</v>
      </c>
      <c r="C910" t="s">
        <v>74</v>
      </c>
      <c r="D910" t="s">
        <v>74</v>
      </c>
      <c r="E910" t="s">
        <v>74</v>
      </c>
      <c r="F910" t="s">
        <v>15522</v>
      </c>
      <c r="G910" t="s">
        <v>74</v>
      </c>
      <c r="H910" t="s">
        <v>74</v>
      </c>
      <c r="I910" t="s">
        <v>15523</v>
      </c>
      <c r="J910" t="s">
        <v>14284</v>
      </c>
      <c r="K910" t="s">
        <v>74</v>
      </c>
      <c r="L910" t="s">
        <v>74</v>
      </c>
      <c r="M910" t="s">
        <v>78</v>
      </c>
      <c r="N910" t="s">
        <v>108</v>
      </c>
      <c r="O910" t="s">
        <v>74</v>
      </c>
      <c r="P910" t="s">
        <v>74</v>
      </c>
      <c r="Q910" t="s">
        <v>74</v>
      </c>
      <c r="R910" t="s">
        <v>74</v>
      </c>
      <c r="S910" t="s">
        <v>74</v>
      </c>
      <c r="T910" t="s">
        <v>15524</v>
      </c>
      <c r="U910" t="s">
        <v>15525</v>
      </c>
      <c r="V910" t="s">
        <v>15526</v>
      </c>
      <c r="W910" t="s">
        <v>15527</v>
      </c>
      <c r="X910" t="s">
        <v>15528</v>
      </c>
      <c r="Y910" t="s">
        <v>15529</v>
      </c>
      <c r="Z910" t="s">
        <v>15530</v>
      </c>
      <c r="AA910" t="s">
        <v>15531</v>
      </c>
      <c r="AB910" t="s">
        <v>74</v>
      </c>
      <c r="AC910" t="s">
        <v>74</v>
      </c>
      <c r="AD910" t="s">
        <v>74</v>
      </c>
      <c r="AE910" t="s">
        <v>74</v>
      </c>
      <c r="AF910" t="s">
        <v>74</v>
      </c>
      <c r="AG910">
        <v>40</v>
      </c>
      <c r="AH910">
        <v>3</v>
      </c>
      <c r="AI910">
        <v>3</v>
      </c>
      <c r="AJ910">
        <v>1</v>
      </c>
      <c r="AK910">
        <v>9</v>
      </c>
      <c r="AL910" t="s">
        <v>12436</v>
      </c>
      <c r="AM910" t="s">
        <v>12437</v>
      </c>
      <c r="AN910" t="s">
        <v>12438</v>
      </c>
      <c r="AO910" t="s">
        <v>14287</v>
      </c>
      <c r="AP910" t="s">
        <v>14288</v>
      </c>
      <c r="AQ910" t="s">
        <v>74</v>
      </c>
      <c r="AR910" t="s">
        <v>14289</v>
      </c>
      <c r="AS910" t="s">
        <v>14290</v>
      </c>
      <c r="AT910" t="s">
        <v>297</v>
      </c>
      <c r="AU910">
        <v>2023</v>
      </c>
      <c r="AV910">
        <v>175</v>
      </c>
      <c r="AW910" t="s">
        <v>74</v>
      </c>
      <c r="AX910" t="s">
        <v>74</v>
      </c>
      <c r="AY910" t="s">
        <v>74</v>
      </c>
      <c r="AZ910" t="s">
        <v>74</v>
      </c>
      <c r="BA910" t="s">
        <v>74</v>
      </c>
      <c r="BB910">
        <v>81</v>
      </c>
      <c r="BC910">
        <v>87</v>
      </c>
      <c r="BD910" t="s">
        <v>74</v>
      </c>
      <c r="BE910" t="s">
        <v>15532</v>
      </c>
      <c r="BF910" t="str">
        <f>HYPERLINK("http://dx.doi.org/10.1016/j.ygyno.2023.06.004","http://dx.doi.org/10.1016/j.ygyno.2023.06.004")</f>
        <v>http://dx.doi.org/10.1016/j.ygyno.2023.06.004</v>
      </c>
      <c r="BG910" t="s">
        <v>74</v>
      </c>
      <c r="BH910" t="s">
        <v>1954</v>
      </c>
      <c r="BI910">
        <v>7</v>
      </c>
      <c r="BJ910" t="s">
        <v>14293</v>
      </c>
      <c r="BK910" t="s">
        <v>209</v>
      </c>
      <c r="BL910" t="s">
        <v>14293</v>
      </c>
      <c r="BM910" t="s">
        <v>15533</v>
      </c>
      <c r="BN910">
        <v>37329872</v>
      </c>
      <c r="BO910" t="s">
        <v>74</v>
      </c>
      <c r="BP910" t="s">
        <v>74</v>
      </c>
      <c r="BQ910" t="s">
        <v>74</v>
      </c>
      <c r="BR910" t="s">
        <v>102</v>
      </c>
      <c r="BS910" t="s">
        <v>15534</v>
      </c>
      <c r="BT910" t="str">
        <f>HYPERLINK("https%3A%2F%2Fwww.webofscience.com%2Fwos%2Fwoscc%2Ffull-record%2FWOS:001059519500001","View Full Record in Web of Science")</f>
        <v>View Full Record in Web of Science</v>
      </c>
    </row>
    <row r="911" spans="1:72" x14ac:dyDescent="0.35">
      <c r="A911" t="s">
        <v>72</v>
      </c>
      <c r="B911" t="s">
        <v>7959</v>
      </c>
      <c r="C911" t="s">
        <v>74</v>
      </c>
      <c r="D911" t="s">
        <v>74</v>
      </c>
      <c r="E911" t="s">
        <v>74</v>
      </c>
      <c r="F911" t="s">
        <v>7959</v>
      </c>
      <c r="G911" t="s">
        <v>74</v>
      </c>
      <c r="H911" t="s">
        <v>74</v>
      </c>
      <c r="I911" t="s">
        <v>15535</v>
      </c>
      <c r="J911" t="s">
        <v>9220</v>
      </c>
      <c r="K911" t="s">
        <v>74</v>
      </c>
      <c r="L911" t="s">
        <v>74</v>
      </c>
      <c r="M911" t="s">
        <v>78</v>
      </c>
      <c r="N911" t="s">
        <v>2042</v>
      </c>
      <c r="O911" t="s">
        <v>74</v>
      </c>
      <c r="P911" t="s">
        <v>74</v>
      </c>
      <c r="Q911" t="s">
        <v>74</v>
      </c>
      <c r="R911" t="s">
        <v>74</v>
      </c>
      <c r="S911" t="s">
        <v>74</v>
      </c>
      <c r="T911" t="s">
        <v>74</v>
      </c>
      <c r="U911" t="s">
        <v>74</v>
      </c>
      <c r="V911" t="s">
        <v>74</v>
      </c>
      <c r="W911" t="s">
        <v>74</v>
      </c>
      <c r="X911" t="s">
        <v>74</v>
      </c>
      <c r="Y911" t="s">
        <v>74</v>
      </c>
      <c r="Z911" t="s">
        <v>74</v>
      </c>
      <c r="AA911" t="s">
        <v>74</v>
      </c>
      <c r="AB911" t="s">
        <v>15536</v>
      </c>
      <c r="AC911" t="s">
        <v>74</v>
      </c>
      <c r="AD911" t="s">
        <v>74</v>
      </c>
      <c r="AE911" t="s">
        <v>74</v>
      </c>
      <c r="AF911" t="s">
        <v>74</v>
      </c>
      <c r="AG911">
        <v>5</v>
      </c>
      <c r="AH911">
        <v>1</v>
      </c>
      <c r="AI911">
        <v>1</v>
      </c>
      <c r="AJ911">
        <v>1</v>
      </c>
      <c r="AK911">
        <v>8</v>
      </c>
      <c r="AL911" t="s">
        <v>9222</v>
      </c>
      <c r="AM911" t="s">
        <v>227</v>
      </c>
      <c r="AN911" t="s">
        <v>9223</v>
      </c>
      <c r="AO911" t="s">
        <v>9224</v>
      </c>
      <c r="AP911" t="s">
        <v>9225</v>
      </c>
      <c r="AQ911" t="s">
        <v>74</v>
      </c>
      <c r="AR911" t="s">
        <v>9226</v>
      </c>
      <c r="AS911" t="s">
        <v>9227</v>
      </c>
      <c r="AT911" t="s">
        <v>15537</v>
      </c>
      <c r="AU911">
        <v>2023</v>
      </c>
      <c r="AV911">
        <v>382</v>
      </c>
      <c r="AW911" t="s">
        <v>74</v>
      </c>
      <c r="AX911" t="s">
        <v>74</v>
      </c>
      <c r="AY911" t="s">
        <v>74</v>
      </c>
      <c r="AZ911" t="s">
        <v>74</v>
      </c>
      <c r="BA911" t="s">
        <v>74</v>
      </c>
      <c r="BB911" t="s">
        <v>74</v>
      </c>
      <c r="BC911" t="s">
        <v>74</v>
      </c>
      <c r="BD911" t="s">
        <v>15538</v>
      </c>
      <c r="BE911" t="s">
        <v>15539</v>
      </c>
      <c r="BF911" t="str">
        <f>HYPERLINK("http://dx.doi.org/10.1136/bmj.p1754","http://dx.doi.org/10.1136/bmj.p1754")</f>
        <v>http://dx.doi.org/10.1136/bmj.p1754</v>
      </c>
      <c r="BG911" t="s">
        <v>74</v>
      </c>
      <c r="BH911" t="s">
        <v>74</v>
      </c>
      <c r="BI911">
        <v>2</v>
      </c>
      <c r="BJ911" t="s">
        <v>811</v>
      </c>
      <c r="BK911" t="s">
        <v>209</v>
      </c>
      <c r="BL911" t="s">
        <v>812</v>
      </c>
      <c r="BM911" t="s">
        <v>15540</v>
      </c>
      <c r="BN911">
        <v>37524394</v>
      </c>
      <c r="BO911" t="s">
        <v>767</v>
      </c>
      <c r="BP911" t="s">
        <v>74</v>
      </c>
      <c r="BQ911" t="s">
        <v>74</v>
      </c>
      <c r="BR911" t="s">
        <v>102</v>
      </c>
      <c r="BS911" t="s">
        <v>15541</v>
      </c>
      <c r="BT911" t="str">
        <f>HYPERLINK("https%3A%2F%2Fwww.webofscience.com%2Fwos%2Fwoscc%2Ffull-record%2FWOS:001050636600003","View Full Record in Web of Science")</f>
        <v>View Full Record in Web of Science</v>
      </c>
    </row>
    <row r="912" spans="1:72" x14ac:dyDescent="0.35">
      <c r="A912" t="s">
        <v>72</v>
      </c>
      <c r="B912" t="s">
        <v>15542</v>
      </c>
      <c r="C912" t="s">
        <v>74</v>
      </c>
      <c r="D912" t="s">
        <v>74</v>
      </c>
      <c r="E912" t="s">
        <v>74</v>
      </c>
      <c r="F912" t="s">
        <v>15543</v>
      </c>
      <c r="G912" t="s">
        <v>74</v>
      </c>
      <c r="H912" t="s">
        <v>74</v>
      </c>
      <c r="I912" t="s">
        <v>15544</v>
      </c>
      <c r="J912" t="s">
        <v>15545</v>
      </c>
      <c r="K912" t="s">
        <v>74</v>
      </c>
      <c r="L912" t="s">
        <v>74</v>
      </c>
      <c r="M912" t="s">
        <v>78</v>
      </c>
      <c r="N912" t="s">
        <v>374</v>
      </c>
      <c r="O912" t="s">
        <v>74</v>
      </c>
      <c r="P912" t="s">
        <v>74</v>
      </c>
      <c r="Q912" t="s">
        <v>74</v>
      </c>
      <c r="R912" t="s">
        <v>74</v>
      </c>
      <c r="S912" t="s">
        <v>74</v>
      </c>
      <c r="T912" t="s">
        <v>15546</v>
      </c>
      <c r="U912" t="s">
        <v>15547</v>
      </c>
      <c r="V912" t="s">
        <v>15548</v>
      </c>
      <c r="W912" t="s">
        <v>15549</v>
      </c>
      <c r="X912" t="s">
        <v>15550</v>
      </c>
      <c r="Y912" t="s">
        <v>15551</v>
      </c>
      <c r="Z912" t="s">
        <v>15552</v>
      </c>
      <c r="AA912" t="s">
        <v>74</v>
      </c>
      <c r="AB912" t="s">
        <v>15553</v>
      </c>
      <c r="AC912" t="s">
        <v>74</v>
      </c>
      <c r="AD912" t="s">
        <v>74</v>
      </c>
      <c r="AE912" t="s">
        <v>74</v>
      </c>
      <c r="AF912" t="s">
        <v>74</v>
      </c>
      <c r="AG912">
        <v>39</v>
      </c>
      <c r="AH912">
        <v>2</v>
      </c>
      <c r="AI912">
        <v>3</v>
      </c>
      <c r="AJ912">
        <v>1</v>
      </c>
      <c r="AK912">
        <v>10</v>
      </c>
      <c r="AL912" t="s">
        <v>2382</v>
      </c>
      <c r="AM912" t="s">
        <v>227</v>
      </c>
      <c r="AN912" t="s">
        <v>2383</v>
      </c>
      <c r="AO912" t="s">
        <v>74</v>
      </c>
      <c r="AP912" t="s">
        <v>15554</v>
      </c>
      <c r="AQ912" t="s">
        <v>74</v>
      </c>
      <c r="AR912" t="s">
        <v>15555</v>
      </c>
      <c r="AS912" t="s">
        <v>15556</v>
      </c>
      <c r="AT912" t="s">
        <v>15557</v>
      </c>
      <c r="AU912">
        <v>2023</v>
      </c>
      <c r="AV912">
        <v>18</v>
      </c>
      <c r="AW912">
        <v>1</v>
      </c>
      <c r="AX912" t="s">
        <v>74</v>
      </c>
      <c r="AY912" t="s">
        <v>74</v>
      </c>
      <c r="AZ912" t="s">
        <v>74</v>
      </c>
      <c r="BA912" t="s">
        <v>74</v>
      </c>
      <c r="BB912" t="s">
        <v>74</v>
      </c>
      <c r="BC912" t="s">
        <v>74</v>
      </c>
      <c r="BD912">
        <v>35</v>
      </c>
      <c r="BE912" t="s">
        <v>15558</v>
      </c>
      <c r="BF912" t="str">
        <f>HYPERLINK("http://dx.doi.org/10.1186/s13011-023-00546-x","http://dx.doi.org/10.1186/s13011-023-00546-x")</f>
        <v>http://dx.doi.org/10.1186/s13011-023-00546-x</v>
      </c>
      <c r="BG912" t="s">
        <v>74</v>
      </c>
      <c r="BH912" t="s">
        <v>74</v>
      </c>
      <c r="BI912">
        <v>8</v>
      </c>
      <c r="BJ912" t="s">
        <v>4614</v>
      </c>
      <c r="BK912" t="s">
        <v>99</v>
      </c>
      <c r="BL912" t="s">
        <v>4614</v>
      </c>
      <c r="BM912" t="s">
        <v>15559</v>
      </c>
      <c r="BN912">
        <v>37337216</v>
      </c>
      <c r="BO912" t="s">
        <v>552</v>
      </c>
      <c r="BP912" t="s">
        <v>74</v>
      </c>
      <c r="BQ912" t="s">
        <v>74</v>
      </c>
      <c r="BR912" t="s">
        <v>102</v>
      </c>
      <c r="BS912" t="s">
        <v>15560</v>
      </c>
      <c r="BT912" t="str">
        <f>HYPERLINK("https%3A%2F%2Fwww.webofscience.com%2Fwos%2Fwoscc%2Ffull-record%2FWOS:001008686900001","View Full Record in Web of Science")</f>
        <v>View Full Record in Web of Science</v>
      </c>
    </row>
    <row r="913" spans="1:72" x14ac:dyDescent="0.35">
      <c r="A913" t="s">
        <v>72</v>
      </c>
      <c r="B913" t="s">
        <v>15561</v>
      </c>
      <c r="C913" t="s">
        <v>74</v>
      </c>
      <c r="D913" t="s">
        <v>74</v>
      </c>
      <c r="E913" t="s">
        <v>74</v>
      </c>
      <c r="F913" t="s">
        <v>15562</v>
      </c>
      <c r="G913" t="s">
        <v>74</v>
      </c>
      <c r="H913" t="s">
        <v>74</v>
      </c>
      <c r="I913" t="s">
        <v>15563</v>
      </c>
      <c r="J913" t="s">
        <v>729</v>
      </c>
      <c r="K913" t="s">
        <v>74</v>
      </c>
      <c r="L913" t="s">
        <v>74</v>
      </c>
      <c r="M913" t="s">
        <v>78</v>
      </c>
      <c r="N913" t="s">
        <v>108</v>
      </c>
      <c r="O913" t="s">
        <v>74</v>
      </c>
      <c r="P913" t="s">
        <v>74</v>
      </c>
      <c r="Q913" t="s">
        <v>74</v>
      </c>
      <c r="R913" t="s">
        <v>74</v>
      </c>
      <c r="S913" t="s">
        <v>74</v>
      </c>
      <c r="T913" t="s">
        <v>15564</v>
      </c>
      <c r="U913" t="s">
        <v>74</v>
      </c>
      <c r="V913" t="s">
        <v>74</v>
      </c>
      <c r="W913" t="s">
        <v>15565</v>
      </c>
      <c r="X913" t="s">
        <v>14045</v>
      </c>
      <c r="Y913" t="s">
        <v>15566</v>
      </c>
      <c r="Z913" t="s">
        <v>15567</v>
      </c>
      <c r="AA913" t="s">
        <v>74</v>
      </c>
      <c r="AB913" t="s">
        <v>15568</v>
      </c>
      <c r="AC913" t="s">
        <v>74</v>
      </c>
      <c r="AD913" t="s">
        <v>74</v>
      </c>
      <c r="AE913" t="s">
        <v>74</v>
      </c>
      <c r="AF913" t="s">
        <v>74</v>
      </c>
      <c r="AG913">
        <v>14</v>
      </c>
      <c r="AH913">
        <v>0</v>
      </c>
      <c r="AI913">
        <v>0</v>
      </c>
      <c r="AJ913">
        <v>0</v>
      </c>
      <c r="AK913">
        <v>11</v>
      </c>
      <c r="AL913" t="s">
        <v>171</v>
      </c>
      <c r="AM913" t="s">
        <v>172</v>
      </c>
      <c r="AN913" t="s">
        <v>173</v>
      </c>
      <c r="AO913" t="s">
        <v>741</v>
      </c>
      <c r="AP913" t="s">
        <v>742</v>
      </c>
      <c r="AQ913" t="s">
        <v>74</v>
      </c>
      <c r="AR913" t="s">
        <v>743</v>
      </c>
      <c r="AS913" t="s">
        <v>744</v>
      </c>
      <c r="AT913" t="s">
        <v>232</v>
      </c>
      <c r="AU913">
        <v>2023</v>
      </c>
      <c r="AV913">
        <v>11</v>
      </c>
      <c r="AW913">
        <v>1</v>
      </c>
      <c r="AX913" t="s">
        <v>74</v>
      </c>
      <c r="AY913" t="s">
        <v>74</v>
      </c>
      <c r="AZ913" t="s">
        <v>456</v>
      </c>
      <c r="BA913" t="s">
        <v>74</v>
      </c>
      <c r="BB913">
        <v>47</v>
      </c>
      <c r="BC913">
        <v>51</v>
      </c>
      <c r="BD913" t="s">
        <v>74</v>
      </c>
      <c r="BE913" t="s">
        <v>15569</v>
      </c>
      <c r="BF913" t="str">
        <f>HYPERLINK("http://dx.doi.org/10.1177/20501579221132211","http://dx.doi.org/10.1177/20501579221132211")</f>
        <v>http://dx.doi.org/10.1177/20501579221132211</v>
      </c>
      <c r="BG913" t="s">
        <v>74</v>
      </c>
      <c r="BH913" t="s">
        <v>2034</v>
      </c>
      <c r="BI913">
        <v>5</v>
      </c>
      <c r="BJ913" t="s">
        <v>124</v>
      </c>
      <c r="BK913" t="s">
        <v>99</v>
      </c>
      <c r="BL913" t="s">
        <v>124</v>
      </c>
      <c r="BM913" t="s">
        <v>15570</v>
      </c>
      <c r="BN913" t="s">
        <v>74</v>
      </c>
      <c r="BO913" t="s">
        <v>74</v>
      </c>
      <c r="BP913" t="s">
        <v>74</v>
      </c>
      <c r="BQ913" t="s">
        <v>74</v>
      </c>
      <c r="BR913" t="s">
        <v>102</v>
      </c>
      <c r="BS913" t="s">
        <v>15571</v>
      </c>
      <c r="BT913" t="str">
        <f>HYPERLINK("https%3A%2F%2Fwww.webofscience.com%2Fwos%2Fwoscc%2Ffull-record%2FWOS:000869930000001","View Full Record in Web of Science")</f>
        <v>View Full Record in Web of Science</v>
      </c>
    </row>
    <row r="914" spans="1:72" x14ac:dyDescent="0.35">
      <c r="A914" t="s">
        <v>72</v>
      </c>
      <c r="B914" t="s">
        <v>15572</v>
      </c>
      <c r="C914" t="s">
        <v>74</v>
      </c>
      <c r="D914" t="s">
        <v>74</v>
      </c>
      <c r="E914" t="s">
        <v>74</v>
      </c>
      <c r="F914" t="s">
        <v>15573</v>
      </c>
      <c r="G914" t="s">
        <v>74</v>
      </c>
      <c r="H914" t="s">
        <v>74</v>
      </c>
      <c r="I914" t="s">
        <v>15574</v>
      </c>
      <c r="J914" t="s">
        <v>8636</v>
      </c>
      <c r="K914" t="s">
        <v>74</v>
      </c>
      <c r="L914" t="s">
        <v>74</v>
      </c>
      <c r="M914" t="s">
        <v>78</v>
      </c>
      <c r="N914" t="s">
        <v>2042</v>
      </c>
      <c r="O914" t="s">
        <v>74</v>
      </c>
      <c r="P914" t="s">
        <v>74</v>
      </c>
      <c r="Q914" t="s">
        <v>74</v>
      </c>
      <c r="R914" t="s">
        <v>74</v>
      </c>
      <c r="S914" t="s">
        <v>74</v>
      </c>
      <c r="T914" t="s">
        <v>74</v>
      </c>
      <c r="U914" t="s">
        <v>74</v>
      </c>
      <c r="V914" t="s">
        <v>74</v>
      </c>
      <c r="W914" t="s">
        <v>15575</v>
      </c>
      <c r="X914" t="s">
        <v>15576</v>
      </c>
      <c r="Y914" t="s">
        <v>15577</v>
      </c>
      <c r="Z914" t="s">
        <v>15578</v>
      </c>
      <c r="AA914" t="s">
        <v>74</v>
      </c>
      <c r="AB914" t="s">
        <v>15579</v>
      </c>
      <c r="AC914" t="s">
        <v>74</v>
      </c>
      <c r="AD914" t="s">
        <v>74</v>
      </c>
      <c r="AE914" t="s">
        <v>74</v>
      </c>
      <c r="AF914" t="s">
        <v>74</v>
      </c>
      <c r="AG914">
        <v>9</v>
      </c>
      <c r="AH914">
        <v>7</v>
      </c>
      <c r="AI914">
        <v>7</v>
      </c>
      <c r="AJ914">
        <v>0</v>
      </c>
      <c r="AK914">
        <v>6</v>
      </c>
      <c r="AL914" t="s">
        <v>251</v>
      </c>
      <c r="AM914" t="s">
        <v>252</v>
      </c>
      <c r="AN914" t="s">
        <v>253</v>
      </c>
      <c r="AO914" t="s">
        <v>8648</v>
      </c>
      <c r="AP914" t="s">
        <v>74</v>
      </c>
      <c r="AQ914" t="s">
        <v>74</v>
      </c>
      <c r="AR914" t="s">
        <v>8649</v>
      </c>
      <c r="AS914" t="s">
        <v>8650</v>
      </c>
      <c r="AT914" t="s">
        <v>523</v>
      </c>
      <c r="AU914">
        <v>2021</v>
      </c>
      <c r="AV914">
        <v>8</v>
      </c>
      <c r="AW914">
        <v>8</v>
      </c>
      <c r="AX914" t="s">
        <v>74</v>
      </c>
      <c r="AY914" t="s">
        <v>74</v>
      </c>
      <c r="AZ914" t="s">
        <v>74</v>
      </c>
      <c r="BA914" t="s">
        <v>74</v>
      </c>
      <c r="BB914">
        <v>1198</v>
      </c>
      <c r="BC914">
        <v>1199</v>
      </c>
      <c r="BD914" t="s">
        <v>74</v>
      </c>
      <c r="BE914" t="s">
        <v>15580</v>
      </c>
      <c r="BF914" t="str">
        <f>HYPERLINK("http://dx.doi.org/10.1002/mdc3.13362","http://dx.doi.org/10.1002/mdc3.13362")</f>
        <v>http://dx.doi.org/10.1002/mdc3.13362</v>
      </c>
      <c r="BG914" t="s">
        <v>74</v>
      </c>
      <c r="BH914" t="s">
        <v>74</v>
      </c>
      <c r="BI914">
        <v>2</v>
      </c>
      <c r="BJ914" t="s">
        <v>8652</v>
      </c>
      <c r="BK914" t="s">
        <v>209</v>
      </c>
      <c r="BL914" t="s">
        <v>2258</v>
      </c>
      <c r="BM914" t="s">
        <v>8653</v>
      </c>
      <c r="BN914">
        <v>34765686</v>
      </c>
      <c r="BO914" t="s">
        <v>12267</v>
      </c>
      <c r="BP914" t="s">
        <v>74</v>
      </c>
      <c r="BQ914" t="s">
        <v>74</v>
      </c>
      <c r="BR914" t="s">
        <v>102</v>
      </c>
      <c r="BS914" t="s">
        <v>15581</v>
      </c>
      <c r="BT914" t="str">
        <f>HYPERLINK("https%3A%2F%2Fwww.webofscience.com%2Fwos%2Fwoscc%2Ffull-record%2FWOS:000714090900006","View Full Record in Web of Science")</f>
        <v>View Full Record in Web of Science</v>
      </c>
    </row>
    <row r="915" spans="1:72" x14ac:dyDescent="0.35">
      <c r="A915" t="s">
        <v>72</v>
      </c>
      <c r="B915" t="s">
        <v>15582</v>
      </c>
      <c r="C915" t="s">
        <v>74</v>
      </c>
      <c r="D915" t="s">
        <v>74</v>
      </c>
      <c r="E915" t="s">
        <v>74</v>
      </c>
      <c r="F915" t="s">
        <v>15583</v>
      </c>
      <c r="G915" t="s">
        <v>74</v>
      </c>
      <c r="H915" t="s">
        <v>74</v>
      </c>
      <c r="I915" t="s">
        <v>15584</v>
      </c>
      <c r="J915" t="s">
        <v>15052</v>
      </c>
      <c r="K915" t="s">
        <v>74</v>
      </c>
      <c r="L915" t="s">
        <v>74</v>
      </c>
      <c r="M915" t="s">
        <v>78</v>
      </c>
      <c r="N915" t="s">
        <v>108</v>
      </c>
      <c r="O915" t="s">
        <v>74</v>
      </c>
      <c r="P915" t="s">
        <v>74</v>
      </c>
      <c r="Q915" t="s">
        <v>74</v>
      </c>
      <c r="R915" t="s">
        <v>74</v>
      </c>
      <c r="S915" t="s">
        <v>74</v>
      </c>
      <c r="T915" t="s">
        <v>15585</v>
      </c>
      <c r="U915" t="s">
        <v>74</v>
      </c>
      <c r="V915" t="s">
        <v>74</v>
      </c>
      <c r="W915" t="s">
        <v>15586</v>
      </c>
      <c r="X915" t="s">
        <v>12189</v>
      </c>
      <c r="Y915" t="s">
        <v>15587</v>
      </c>
      <c r="Z915" t="s">
        <v>15588</v>
      </c>
      <c r="AA915" t="s">
        <v>15589</v>
      </c>
      <c r="AB915" t="s">
        <v>74</v>
      </c>
      <c r="AC915" t="s">
        <v>15590</v>
      </c>
      <c r="AD915" t="s">
        <v>15591</v>
      </c>
      <c r="AE915" t="s">
        <v>15592</v>
      </c>
      <c r="AF915" t="s">
        <v>74</v>
      </c>
      <c r="AG915">
        <v>10</v>
      </c>
      <c r="AH915">
        <v>27</v>
      </c>
      <c r="AI915">
        <v>30</v>
      </c>
      <c r="AJ915">
        <v>0</v>
      </c>
      <c r="AK915">
        <v>13</v>
      </c>
      <c r="AL915" t="s">
        <v>9222</v>
      </c>
      <c r="AM915" t="s">
        <v>227</v>
      </c>
      <c r="AN915" t="s">
        <v>9223</v>
      </c>
      <c r="AO915" t="s">
        <v>15060</v>
      </c>
      <c r="AP915" t="s">
        <v>15061</v>
      </c>
      <c r="AQ915" t="s">
        <v>74</v>
      </c>
      <c r="AR915" t="s">
        <v>15062</v>
      </c>
      <c r="AS915" t="s">
        <v>15063</v>
      </c>
      <c r="AT915" t="s">
        <v>523</v>
      </c>
      <c r="AU915">
        <v>2021</v>
      </c>
      <c r="AV915">
        <v>30</v>
      </c>
      <c r="AW915">
        <v>6</v>
      </c>
      <c r="AX915" t="s">
        <v>74</v>
      </c>
      <c r="AY915" t="s">
        <v>74</v>
      </c>
      <c r="AZ915" t="s">
        <v>74</v>
      </c>
      <c r="BA915" t="s">
        <v>74</v>
      </c>
      <c r="BB915">
        <v>712</v>
      </c>
      <c r="BC915">
        <v>713</v>
      </c>
      <c r="BD915" t="s">
        <v>74</v>
      </c>
      <c r="BE915" t="s">
        <v>15593</v>
      </c>
      <c r="BF915" t="str">
        <f>HYPERLINK("http://dx.doi.org/10.1136/tobaccocontrol-2020-055970","http://dx.doi.org/10.1136/tobaccocontrol-2020-055970")</f>
        <v>http://dx.doi.org/10.1136/tobaccocontrol-2020-055970</v>
      </c>
      <c r="BG915" t="s">
        <v>74</v>
      </c>
      <c r="BH915" t="s">
        <v>74</v>
      </c>
      <c r="BI915">
        <v>2</v>
      </c>
      <c r="BJ915" t="s">
        <v>8342</v>
      </c>
      <c r="BK915" t="s">
        <v>182</v>
      </c>
      <c r="BL915" t="s">
        <v>8342</v>
      </c>
      <c r="BM915" t="s">
        <v>15594</v>
      </c>
      <c r="BN915">
        <v>32934090</v>
      </c>
      <c r="BO915" t="s">
        <v>6798</v>
      </c>
      <c r="BP915" t="s">
        <v>74</v>
      </c>
      <c r="BQ915" t="s">
        <v>74</v>
      </c>
      <c r="BR915" t="s">
        <v>102</v>
      </c>
      <c r="BS915" t="s">
        <v>15595</v>
      </c>
      <c r="BT915" t="str">
        <f>HYPERLINK("https%3A%2F%2Fwww.webofscience.com%2Fwos%2Fwoscc%2Ffull-record%2FWOS:000711061400020","View Full Record in Web of Science")</f>
        <v>View Full Record in Web of Science</v>
      </c>
    </row>
    <row r="916" spans="1:72" x14ac:dyDescent="0.35">
      <c r="A916" t="s">
        <v>72</v>
      </c>
      <c r="B916" t="s">
        <v>15596</v>
      </c>
      <c r="C916" t="s">
        <v>74</v>
      </c>
      <c r="D916" t="s">
        <v>74</v>
      </c>
      <c r="E916" t="s">
        <v>74</v>
      </c>
      <c r="F916" t="s">
        <v>15597</v>
      </c>
      <c r="G916" t="s">
        <v>74</v>
      </c>
      <c r="H916" t="s">
        <v>74</v>
      </c>
      <c r="I916" t="s">
        <v>15598</v>
      </c>
      <c r="J916" t="s">
        <v>15052</v>
      </c>
      <c r="K916" t="s">
        <v>74</v>
      </c>
      <c r="L916" t="s">
        <v>74</v>
      </c>
      <c r="M916" t="s">
        <v>78</v>
      </c>
      <c r="N916" t="s">
        <v>79</v>
      </c>
      <c r="O916" t="s">
        <v>74</v>
      </c>
      <c r="P916" t="s">
        <v>74</v>
      </c>
      <c r="Q916" t="s">
        <v>74</v>
      </c>
      <c r="R916" t="s">
        <v>74</v>
      </c>
      <c r="S916" t="s">
        <v>74</v>
      </c>
      <c r="T916" t="s">
        <v>15599</v>
      </c>
      <c r="U916" t="s">
        <v>74</v>
      </c>
      <c r="V916" t="s">
        <v>74</v>
      </c>
      <c r="W916" t="s">
        <v>15600</v>
      </c>
      <c r="X916" t="s">
        <v>14419</v>
      </c>
      <c r="Y916" t="s">
        <v>15601</v>
      </c>
      <c r="Z916" t="s">
        <v>8440</v>
      </c>
      <c r="AA916" t="s">
        <v>74</v>
      </c>
      <c r="AB916" t="s">
        <v>15602</v>
      </c>
      <c r="AC916" t="s">
        <v>74</v>
      </c>
      <c r="AD916" t="s">
        <v>74</v>
      </c>
      <c r="AE916" t="s">
        <v>74</v>
      </c>
      <c r="AF916" t="s">
        <v>74</v>
      </c>
      <c r="AG916">
        <v>15</v>
      </c>
      <c r="AH916">
        <v>3</v>
      </c>
      <c r="AI916">
        <v>3</v>
      </c>
      <c r="AJ916">
        <v>0</v>
      </c>
      <c r="AK916">
        <v>2</v>
      </c>
      <c r="AL916" t="s">
        <v>9222</v>
      </c>
      <c r="AM916" t="s">
        <v>227</v>
      </c>
      <c r="AN916" t="s">
        <v>9223</v>
      </c>
      <c r="AO916" t="s">
        <v>15060</v>
      </c>
      <c r="AP916" t="s">
        <v>15061</v>
      </c>
      <c r="AQ916" t="s">
        <v>74</v>
      </c>
      <c r="AR916" t="s">
        <v>15062</v>
      </c>
      <c r="AS916" t="s">
        <v>15063</v>
      </c>
      <c r="AT916" t="s">
        <v>15603</v>
      </c>
      <c r="AU916">
        <v>2024</v>
      </c>
      <c r="AV916" t="s">
        <v>74</v>
      </c>
      <c r="AW916" t="s">
        <v>74</v>
      </c>
      <c r="AX916" t="s">
        <v>74</v>
      </c>
      <c r="AY916" t="s">
        <v>74</v>
      </c>
      <c r="AZ916" t="s">
        <v>74</v>
      </c>
      <c r="BA916" t="s">
        <v>74</v>
      </c>
      <c r="BB916" t="s">
        <v>74</v>
      </c>
      <c r="BC916" t="s">
        <v>74</v>
      </c>
      <c r="BD916" t="s">
        <v>74</v>
      </c>
      <c r="BE916" t="s">
        <v>15604</v>
      </c>
      <c r="BF916" t="str">
        <f>HYPERLINK("http://dx.doi.org/10.1136/tc-2023-058315","http://dx.doi.org/10.1136/tc-2023-058315")</f>
        <v>http://dx.doi.org/10.1136/tc-2023-058315</v>
      </c>
      <c r="BG916" t="s">
        <v>74</v>
      </c>
      <c r="BH916" t="s">
        <v>1377</v>
      </c>
      <c r="BI916">
        <v>2</v>
      </c>
      <c r="BJ916" t="s">
        <v>8342</v>
      </c>
      <c r="BK916" t="s">
        <v>182</v>
      </c>
      <c r="BL916" t="s">
        <v>8342</v>
      </c>
      <c r="BM916" t="s">
        <v>15605</v>
      </c>
      <c r="BN916">
        <v>38191236</v>
      </c>
      <c r="BO916" t="s">
        <v>74</v>
      </c>
      <c r="BP916" t="s">
        <v>74</v>
      </c>
      <c r="BQ916" t="s">
        <v>74</v>
      </c>
      <c r="BR916" t="s">
        <v>102</v>
      </c>
      <c r="BS916" t="s">
        <v>15606</v>
      </c>
      <c r="BT916" t="str">
        <f>HYPERLINK("https%3A%2F%2Fwww.webofscience.com%2Fwos%2Fwoscc%2Ffull-record%2FWOS:001143642500001","View Full Record in Web of Science")</f>
        <v>View Full Record in Web of Science</v>
      </c>
    </row>
    <row r="917" spans="1:72" x14ac:dyDescent="0.35">
      <c r="A917" t="s">
        <v>72</v>
      </c>
      <c r="B917" t="s">
        <v>15607</v>
      </c>
      <c r="C917" t="s">
        <v>74</v>
      </c>
      <c r="D917" t="s">
        <v>74</v>
      </c>
      <c r="E917" t="s">
        <v>74</v>
      </c>
      <c r="F917" t="s">
        <v>15608</v>
      </c>
      <c r="G917" t="s">
        <v>74</v>
      </c>
      <c r="H917" t="s">
        <v>74</v>
      </c>
      <c r="I917" t="s">
        <v>15609</v>
      </c>
      <c r="J917" t="s">
        <v>15610</v>
      </c>
      <c r="K917" t="s">
        <v>74</v>
      </c>
      <c r="L917" t="s">
        <v>74</v>
      </c>
      <c r="M917" t="s">
        <v>78</v>
      </c>
      <c r="N917" t="s">
        <v>1328</v>
      </c>
      <c r="O917" t="s">
        <v>74</v>
      </c>
      <c r="P917" t="s">
        <v>74</v>
      </c>
      <c r="Q917" t="s">
        <v>74</v>
      </c>
      <c r="R917" t="s">
        <v>74</v>
      </c>
      <c r="S917" t="s">
        <v>74</v>
      </c>
      <c r="T917" t="s">
        <v>74</v>
      </c>
      <c r="U917" t="s">
        <v>74</v>
      </c>
      <c r="V917" t="s">
        <v>74</v>
      </c>
      <c r="W917" t="s">
        <v>15611</v>
      </c>
      <c r="X917" t="s">
        <v>5085</v>
      </c>
      <c r="Y917" t="s">
        <v>15612</v>
      </c>
      <c r="Z917" t="s">
        <v>15613</v>
      </c>
      <c r="AA917" t="s">
        <v>15614</v>
      </c>
      <c r="AB917" t="s">
        <v>74</v>
      </c>
      <c r="AC917" t="s">
        <v>74</v>
      </c>
      <c r="AD917" t="s">
        <v>74</v>
      </c>
      <c r="AE917" t="s">
        <v>74</v>
      </c>
      <c r="AF917" t="s">
        <v>74</v>
      </c>
      <c r="AG917">
        <v>1</v>
      </c>
      <c r="AH917">
        <v>0</v>
      </c>
      <c r="AI917">
        <v>0</v>
      </c>
      <c r="AJ917">
        <v>1</v>
      </c>
      <c r="AK917">
        <v>1</v>
      </c>
      <c r="AL917" t="s">
        <v>15615</v>
      </c>
      <c r="AM917" t="s">
        <v>15616</v>
      </c>
      <c r="AN917" t="s">
        <v>15617</v>
      </c>
      <c r="AO917" t="s">
        <v>15618</v>
      </c>
      <c r="AP917" t="s">
        <v>15619</v>
      </c>
      <c r="AQ917" t="s">
        <v>74</v>
      </c>
      <c r="AR917" t="s">
        <v>15620</v>
      </c>
      <c r="AS917" t="s">
        <v>15621</v>
      </c>
      <c r="AT917" t="s">
        <v>257</v>
      </c>
      <c r="AU917">
        <v>2024</v>
      </c>
      <c r="AV917">
        <v>159</v>
      </c>
      <c r="AW917">
        <v>3</v>
      </c>
      <c r="AX917" t="s">
        <v>74</v>
      </c>
      <c r="AY917" t="s">
        <v>74</v>
      </c>
      <c r="AZ917" t="s">
        <v>74</v>
      </c>
      <c r="BA917" t="s">
        <v>74</v>
      </c>
      <c r="BB917">
        <v>360</v>
      </c>
      <c r="BC917">
        <v>361</v>
      </c>
      <c r="BD917" t="s">
        <v>74</v>
      </c>
      <c r="BE917" t="s">
        <v>15622</v>
      </c>
      <c r="BF917" t="str">
        <f>HYPERLINK("http://dx.doi.org/10.23736/S2784-8671.24.07772-7","http://dx.doi.org/10.23736/S2784-8671.24.07772-7")</f>
        <v>http://dx.doi.org/10.23736/S2784-8671.24.07772-7</v>
      </c>
      <c r="BG917" t="s">
        <v>74</v>
      </c>
      <c r="BH917" t="s">
        <v>74</v>
      </c>
      <c r="BI917">
        <v>2</v>
      </c>
      <c r="BJ917" t="s">
        <v>1341</v>
      </c>
      <c r="BK917" t="s">
        <v>209</v>
      </c>
      <c r="BL917" t="s">
        <v>1341</v>
      </c>
      <c r="BM917" t="s">
        <v>15623</v>
      </c>
      <c r="BN917">
        <v>38808461</v>
      </c>
      <c r="BO917" t="s">
        <v>74</v>
      </c>
      <c r="BP917" t="s">
        <v>74</v>
      </c>
      <c r="BQ917" t="s">
        <v>74</v>
      </c>
      <c r="BR917" t="s">
        <v>102</v>
      </c>
      <c r="BS917" t="s">
        <v>15624</v>
      </c>
      <c r="BT917" t="str">
        <f>HYPERLINK("https%3A%2F%2Fwww.webofscience.com%2Fwos%2Fwoscc%2Ffull-record%2FWOS:001276925600015","View Full Record in Web of Science")</f>
        <v>View Full Record in Web of Science</v>
      </c>
    </row>
    <row r="918" spans="1:72" x14ac:dyDescent="0.35">
      <c r="A918" t="s">
        <v>72</v>
      </c>
      <c r="B918" t="s">
        <v>15625</v>
      </c>
      <c r="C918" t="s">
        <v>74</v>
      </c>
      <c r="D918" t="s">
        <v>74</v>
      </c>
      <c r="E918" t="s">
        <v>74</v>
      </c>
      <c r="F918" t="s">
        <v>15626</v>
      </c>
      <c r="G918" t="s">
        <v>74</v>
      </c>
      <c r="H918" t="s">
        <v>74</v>
      </c>
      <c r="I918" t="s">
        <v>15627</v>
      </c>
      <c r="J918" t="s">
        <v>15628</v>
      </c>
      <c r="K918" t="s">
        <v>74</v>
      </c>
      <c r="L918" t="s">
        <v>74</v>
      </c>
      <c r="M918" t="s">
        <v>78</v>
      </c>
      <c r="N918" t="s">
        <v>108</v>
      </c>
      <c r="O918" t="s">
        <v>74</v>
      </c>
      <c r="P918" t="s">
        <v>74</v>
      </c>
      <c r="Q918" t="s">
        <v>74</v>
      </c>
      <c r="R918" t="s">
        <v>74</v>
      </c>
      <c r="S918" t="s">
        <v>74</v>
      </c>
      <c r="T918" t="s">
        <v>15629</v>
      </c>
      <c r="U918" t="s">
        <v>15630</v>
      </c>
      <c r="V918" t="s">
        <v>15631</v>
      </c>
      <c r="W918" t="s">
        <v>15632</v>
      </c>
      <c r="X918" t="s">
        <v>15633</v>
      </c>
      <c r="Y918" t="s">
        <v>15634</v>
      </c>
      <c r="Z918" t="s">
        <v>15635</v>
      </c>
      <c r="AA918" t="s">
        <v>15636</v>
      </c>
      <c r="AB918" t="s">
        <v>15637</v>
      </c>
      <c r="AC918" t="s">
        <v>74</v>
      </c>
      <c r="AD918" t="s">
        <v>74</v>
      </c>
      <c r="AE918" t="s">
        <v>74</v>
      </c>
      <c r="AF918" t="s">
        <v>74</v>
      </c>
      <c r="AG918">
        <v>87</v>
      </c>
      <c r="AH918">
        <v>5</v>
      </c>
      <c r="AI918">
        <v>6</v>
      </c>
      <c r="AJ918">
        <v>14</v>
      </c>
      <c r="AK918">
        <v>42</v>
      </c>
      <c r="AL918" t="s">
        <v>384</v>
      </c>
      <c r="AM918" t="s">
        <v>385</v>
      </c>
      <c r="AN918" t="s">
        <v>386</v>
      </c>
      <c r="AO918" t="s">
        <v>74</v>
      </c>
      <c r="AP918" t="s">
        <v>15638</v>
      </c>
      <c r="AQ918" t="s">
        <v>74</v>
      </c>
      <c r="AR918" t="s">
        <v>15639</v>
      </c>
      <c r="AS918" t="s">
        <v>15640</v>
      </c>
      <c r="AT918" t="s">
        <v>15641</v>
      </c>
      <c r="AU918">
        <v>2023</v>
      </c>
      <c r="AV918">
        <v>5</v>
      </c>
      <c r="AW918" t="s">
        <v>74</v>
      </c>
      <c r="AX918" t="s">
        <v>74</v>
      </c>
      <c r="AY918" t="s">
        <v>74</v>
      </c>
      <c r="AZ918" t="s">
        <v>74</v>
      </c>
      <c r="BA918" t="s">
        <v>74</v>
      </c>
      <c r="BB918" t="s">
        <v>74</v>
      </c>
      <c r="BC918" t="s">
        <v>74</v>
      </c>
      <c r="BD918">
        <v>1085149</v>
      </c>
      <c r="BE918" t="s">
        <v>15642</v>
      </c>
      <c r="BF918" t="str">
        <f>HYPERLINK("http://dx.doi.org/10.3389/fpos.2023.1085149","http://dx.doi.org/10.3389/fpos.2023.1085149")</f>
        <v>http://dx.doi.org/10.3389/fpos.2023.1085149</v>
      </c>
      <c r="BG918" t="s">
        <v>74</v>
      </c>
      <c r="BH918" t="s">
        <v>74</v>
      </c>
      <c r="BI918">
        <v>10</v>
      </c>
      <c r="BJ918" t="s">
        <v>1004</v>
      </c>
      <c r="BK918" t="s">
        <v>125</v>
      </c>
      <c r="BL918" t="s">
        <v>1005</v>
      </c>
      <c r="BM918" t="s">
        <v>15643</v>
      </c>
      <c r="BN918" t="s">
        <v>74</v>
      </c>
      <c r="BO918" t="s">
        <v>235</v>
      </c>
      <c r="BP918" t="s">
        <v>74</v>
      </c>
      <c r="BQ918" t="s">
        <v>74</v>
      </c>
      <c r="BR918" t="s">
        <v>102</v>
      </c>
      <c r="BS918" t="s">
        <v>15644</v>
      </c>
      <c r="BT918" t="str">
        <f>HYPERLINK("https%3A%2F%2Fwww.webofscience.com%2Fwos%2Fwoscc%2Ffull-record%2FWOS:000993537100001","View Full Record in Web of Science")</f>
        <v>View Full Record in Web of Science</v>
      </c>
    </row>
    <row r="919" spans="1:72" x14ac:dyDescent="0.35">
      <c r="A919" t="s">
        <v>72</v>
      </c>
      <c r="B919" t="s">
        <v>15645</v>
      </c>
      <c r="C919" t="s">
        <v>74</v>
      </c>
      <c r="D919" t="s">
        <v>74</v>
      </c>
      <c r="E919" t="s">
        <v>74</v>
      </c>
      <c r="F919" t="s">
        <v>15646</v>
      </c>
      <c r="G919" t="s">
        <v>74</v>
      </c>
      <c r="H919" t="s">
        <v>74</v>
      </c>
      <c r="I919" t="s">
        <v>15647</v>
      </c>
      <c r="J919" t="s">
        <v>681</v>
      </c>
      <c r="K919" t="s">
        <v>74</v>
      </c>
      <c r="L919" t="s">
        <v>74</v>
      </c>
      <c r="M919" t="s">
        <v>78</v>
      </c>
      <c r="N919" t="s">
        <v>108</v>
      </c>
      <c r="O919" t="s">
        <v>74</v>
      </c>
      <c r="P919" t="s">
        <v>74</v>
      </c>
      <c r="Q919" t="s">
        <v>74</v>
      </c>
      <c r="R919" t="s">
        <v>74</v>
      </c>
      <c r="S919" t="s">
        <v>74</v>
      </c>
      <c r="T919" t="s">
        <v>15648</v>
      </c>
      <c r="U919" t="s">
        <v>15649</v>
      </c>
      <c r="V919" t="s">
        <v>15650</v>
      </c>
      <c r="W919" t="s">
        <v>15651</v>
      </c>
      <c r="X919" t="s">
        <v>15652</v>
      </c>
      <c r="Y919" t="s">
        <v>15653</v>
      </c>
      <c r="Z919" t="s">
        <v>15654</v>
      </c>
      <c r="AA919" t="s">
        <v>74</v>
      </c>
      <c r="AB919" t="s">
        <v>15655</v>
      </c>
      <c r="AC919" t="s">
        <v>15656</v>
      </c>
      <c r="AD919" t="s">
        <v>15657</v>
      </c>
      <c r="AE919" t="s">
        <v>15658</v>
      </c>
      <c r="AF919" t="s">
        <v>74</v>
      </c>
      <c r="AG919">
        <v>66</v>
      </c>
      <c r="AH919">
        <v>3</v>
      </c>
      <c r="AI919">
        <v>3</v>
      </c>
      <c r="AJ919">
        <v>2</v>
      </c>
      <c r="AK919">
        <v>34</v>
      </c>
      <c r="AL919" t="s">
        <v>384</v>
      </c>
      <c r="AM919" t="s">
        <v>385</v>
      </c>
      <c r="AN919" t="s">
        <v>386</v>
      </c>
      <c r="AO919" t="s">
        <v>693</v>
      </c>
      <c r="AP919" t="s">
        <v>74</v>
      </c>
      <c r="AQ919" t="s">
        <v>74</v>
      </c>
      <c r="AR919" t="s">
        <v>694</v>
      </c>
      <c r="AS919" t="s">
        <v>695</v>
      </c>
      <c r="AT919" t="s">
        <v>15659</v>
      </c>
      <c r="AU919">
        <v>2022</v>
      </c>
      <c r="AV919">
        <v>13</v>
      </c>
      <c r="AW919" t="s">
        <v>74</v>
      </c>
      <c r="AX919" t="s">
        <v>74</v>
      </c>
      <c r="AY919" t="s">
        <v>74</v>
      </c>
      <c r="AZ919" t="s">
        <v>74</v>
      </c>
      <c r="BA919" t="s">
        <v>74</v>
      </c>
      <c r="BB919" t="s">
        <v>74</v>
      </c>
      <c r="BC919" t="s">
        <v>74</v>
      </c>
      <c r="BD919">
        <v>938377</v>
      </c>
      <c r="BE919" t="s">
        <v>15660</v>
      </c>
      <c r="BF919" t="str">
        <f>HYPERLINK("http://dx.doi.org/10.3389/fpsyg.2022.938377","http://dx.doi.org/10.3389/fpsyg.2022.938377")</f>
        <v>http://dx.doi.org/10.3389/fpsyg.2022.938377</v>
      </c>
      <c r="BG919" t="s">
        <v>74</v>
      </c>
      <c r="BH919" t="s">
        <v>74</v>
      </c>
      <c r="BI919">
        <v>8</v>
      </c>
      <c r="BJ919" t="s">
        <v>698</v>
      </c>
      <c r="BK919" t="s">
        <v>99</v>
      </c>
      <c r="BL919" t="s">
        <v>301</v>
      </c>
      <c r="BM919" t="s">
        <v>15661</v>
      </c>
      <c r="BN919">
        <v>35874363</v>
      </c>
      <c r="BO919" t="s">
        <v>394</v>
      </c>
      <c r="BP919" t="s">
        <v>74</v>
      </c>
      <c r="BQ919" t="s">
        <v>74</v>
      </c>
      <c r="BR919" t="s">
        <v>102</v>
      </c>
      <c r="BS919" t="s">
        <v>15662</v>
      </c>
      <c r="BT919" t="str">
        <f>HYPERLINK("https%3A%2F%2Fwww.webofscience.com%2Fwos%2Fwoscc%2Ffull-record%2FWOS:000829736400001","View Full Record in Web of Science")</f>
        <v>View Full Record in Web of Science</v>
      </c>
    </row>
    <row r="920" spans="1:72" x14ac:dyDescent="0.35">
      <c r="A920" t="s">
        <v>72</v>
      </c>
      <c r="B920" t="s">
        <v>15663</v>
      </c>
      <c r="C920" t="s">
        <v>74</v>
      </c>
      <c r="D920" t="s">
        <v>74</v>
      </c>
      <c r="E920" t="s">
        <v>74</v>
      </c>
      <c r="F920" t="s">
        <v>15664</v>
      </c>
      <c r="G920" t="s">
        <v>74</v>
      </c>
      <c r="H920" t="s">
        <v>74</v>
      </c>
      <c r="I920" t="s">
        <v>15665</v>
      </c>
      <c r="J920" t="s">
        <v>2814</v>
      </c>
      <c r="K920" t="s">
        <v>74</v>
      </c>
      <c r="L920" t="s">
        <v>74</v>
      </c>
      <c r="M920" t="s">
        <v>78</v>
      </c>
      <c r="N920" t="s">
        <v>108</v>
      </c>
      <c r="O920" t="s">
        <v>74</v>
      </c>
      <c r="P920" t="s">
        <v>74</v>
      </c>
      <c r="Q920" t="s">
        <v>74</v>
      </c>
      <c r="R920" t="s">
        <v>74</v>
      </c>
      <c r="S920" t="s">
        <v>74</v>
      </c>
      <c r="T920" t="s">
        <v>15666</v>
      </c>
      <c r="U920" t="s">
        <v>15667</v>
      </c>
      <c r="V920" t="s">
        <v>15668</v>
      </c>
      <c r="W920" t="s">
        <v>15669</v>
      </c>
      <c r="X920" t="s">
        <v>15670</v>
      </c>
      <c r="Y920" t="s">
        <v>15671</v>
      </c>
      <c r="Z920" t="s">
        <v>3006</v>
      </c>
      <c r="AA920" t="s">
        <v>74</v>
      </c>
      <c r="AB920" t="s">
        <v>15672</v>
      </c>
      <c r="AC920" t="s">
        <v>3008</v>
      </c>
      <c r="AD920" t="s">
        <v>3009</v>
      </c>
      <c r="AE920" t="s">
        <v>15673</v>
      </c>
      <c r="AF920" t="s">
        <v>74</v>
      </c>
      <c r="AG920">
        <v>33</v>
      </c>
      <c r="AH920">
        <v>10</v>
      </c>
      <c r="AI920">
        <v>10</v>
      </c>
      <c r="AJ920">
        <v>5</v>
      </c>
      <c r="AK920">
        <v>19</v>
      </c>
      <c r="AL920" t="s">
        <v>543</v>
      </c>
      <c r="AM920" t="s">
        <v>544</v>
      </c>
      <c r="AN920" t="s">
        <v>545</v>
      </c>
      <c r="AO920" t="s">
        <v>2821</v>
      </c>
      <c r="AP920" t="s">
        <v>74</v>
      </c>
      <c r="AQ920" t="s">
        <v>74</v>
      </c>
      <c r="AR920" t="s">
        <v>2822</v>
      </c>
      <c r="AS920" t="s">
        <v>2823</v>
      </c>
      <c r="AT920" t="s">
        <v>15674</v>
      </c>
      <c r="AU920">
        <v>2022</v>
      </c>
      <c r="AV920">
        <v>24</v>
      </c>
      <c r="AW920">
        <v>11</v>
      </c>
      <c r="AX920" t="s">
        <v>74</v>
      </c>
      <c r="AY920" t="s">
        <v>74</v>
      </c>
      <c r="AZ920" t="s">
        <v>74</v>
      </c>
      <c r="BA920" t="s">
        <v>74</v>
      </c>
      <c r="BB920" t="s">
        <v>74</v>
      </c>
      <c r="BC920" t="s">
        <v>74</v>
      </c>
      <c r="BD920" t="s">
        <v>15675</v>
      </c>
      <c r="BE920" t="s">
        <v>15676</v>
      </c>
      <c r="BF920" t="str">
        <f>HYPERLINK("http://dx.doi.org/10.2196/42441","http://dx.doi.org/10.2196/42441")</f>
        <v>http://dx.doi.org/10.2196/42441</v>
      </c>
      <c r="BG920" t="s">
        <v>74</v>
      </c>
      <c r="BH920" t="s">
        <v>74</v>
      </c>
      <c r="BI920">
        <v>10</v>
      </c>
      <c r="BJ920" t="s">
        <v>550</v>
      </c>
      <c r="BK920" t="s">
        <v>209</v>
      </c>
      <c r="BL920" t="s">
        <v>550</v>
      </c>
      <c r="BM920" t="s">
        <v>15677</v>
      </c>
      <c r="BN920">
        <v>36383406</v>
      </c>
      <c r="BO920" t="s">
        <v>394</v>
      </c>
      <c r="BP920" t="s">
        <v>74</v>
      </c>
      <c r="BQ920" t="s">
        <v>74</v>
      </c>
      <c r="BR920" t="s">
        <v>102</v>
      </c>
      <c r="BS920" t="s">
        <v>15678</v>
      </c>
      <c r="BT920" t="str">
        <f>HYPERLINK("https%3A%2F%2Fwww.webofscience.com%2Fwos%2Fwoscc%2Ffull-record%2FWOS:000964923000003","View Full Record in Web of Science")</f>
        <v>View Full Record in Web of Science</v>
      </c>
    </row>
    <row r="921" spans="1:72" x14ac:dyDescent="0.35">
      <c r="A921" t="s">
        <v>72</v>
      </c>
      <c r="B921" t="s">
        <v>15679</v>
      </c>
      <c r="C921" t="s">
        <v>74</v>
      </c>
      <c r="D921" t="s">
        <v>74</v>
      </c>
      <c r="E921" t="s">
        <v>74</v>
      </c>
      <c r="F921" t="s">
        <v>15680</v>
      </c>
      <c r="G921" t="s">
        <v>74</v>
      </c>
      <c r="H921" t="s">
        <v>74</v>
      </c>
      <c r="I921" t="s">
        <v>15681</v>
      </c>
      <c r="J921" t="s">
        <v>13254</v>
      </c>
      <c r="K921" t="s">
        <v>74</v>
      </c>
      <c r="L921" t="s">
        <v>74</v>
      </c>
      <c r="M921" t="s">
        <v>78</v>
      </c>
      <c r="N921" t="s">
        <v>52</v>
      </c>
      <c r="O921" t="s">
        <v>74</v>
      </c>
      <c r="P921" t="s">
        <v>74</v>
      </c>
      <c r="Q921" t="s">
        <v>74</v>
      </c>
      <c r="R921" t="s">
        <v>74</v>
      </c>
      <c r="S921" t="s">
        <v>74</v>
      </c>
      <c r="T921" t="s">
        <v>74</v>
      </c>
      <c r="U921" t="s">
        <v>74</v>
      </c>
      <c r="V921" t="s">
        <v>74</v>
      </c>
      <c r="W921" t="s">
        <v>15682</v>
      </c>
      <c r="X921" t="s">
        <v>12416</v>
      </c>
      <c r="Y921" t="s">
        <v>74</v>
      </c>
      <c r="Z921" t="s">
        <v>74</v>
      </c>
      <c r="AA921" t="s">
        <v>15683</v>
      </c>
      <c r="AB921" t="s">
        <v>74</v>
      </c>
      <c r="AC921" t="s">
        <v>74</v>
      </c>
      <c r="AD921" t="s">
        <v>74</v>
      </c>
      <c r="AE921" t="s">
        <v>74</v>
      </c>
      <c r="AF921" t="s">
        <v>74</v>
      </c>
      <c r="AG921">
        <v>0</v>
      </c>
      <c r="AH921">
        <v>0</v>
      </c>
      <c r="AI921">
        <v>0</v>
      </c>
      <c r="AJ921">
        <v>0</v>
      </c>
      <c r="AK921">
        <v>2</v>
      </c>
      <c r="AL921" t="s">
        <v>1901</v>
      </c>
      <c r="AM921" t="s">
        <v>995</v>
      </c>
      <c r="AN921" t="s">
        <v>1902</v>
      </c>
      <c r="AO921" t="s">
        <v>13258</v>
      </c>
      <c r="AP921" t="s">
        <v>13259</v>
      </c>
      <c r="AQ921" t="s">
        <v>74</v>
      </c>
      <c r="AR921" t="s">
        <v>13260</v>
      </c>
      <c r="AS921" t="s">
        <v>13261</v>
      </c>
      <c r="AT921" t="s">
        <v>594</v>
      </c>
      <c r="AU921">
        <v>2022</v>
      </c>
      <c r="AV921">
        <v>117</v>
      </c>
      <c r="AW921">
        <v>10</v>
      </c>
      <c r="AX921" t="s">
        <v>74</v>
      </c>
      <c r="AY921" t="s">
        <v>4946</v>
      </c>
      <c r="AZ921" t="s">
        <v>74</v>
      </c>
      <c r="BA921" t="s">
        <v>15684</v>
      </c>
      <c r="BB921" t="s">
        <v>15685</v>
      </c>
      <c r="BC921" t="s">
        <v>15685</v>
      </c>
      <c r="BD921" t="s">
        <v>74</v>
      </c>
      <c r="BE921" t="s">
        <v>74</v>
      </c>
      <c r="BF921" t="s">
        <v>74</v>
      </c>
      <c r="BG921" t="s">
        <v>74</v>
      </c>
      <c r="BH921" t="s">
        <v>74</v>
      </c>
      <c r="BI921">
        <v>1</v>
      </c>
      <c r="BJ921" t="s">
        <v>12536</v>
      </c>
      <c r="BK921" t="s">
        <v>209</v>
      </c>
      <c r="BL921" t="s">
        <v>12536</v>
      </c>
      <c r="BM921" t="s">
        <v>13264</v>
      </c>
      <c r="BN921" t="s">
        <v>74</v>
      </c>
      <c r="BO921" t="s">
        <v>74</v>
      </c>
      <c r="BP921" t="s">
        <v>74</v>
      </c>
      <c r="BQ921" t="s">
        <v>74</v>
      </c>
      <c r="BR921" t="s">
        <v>102</v>
      </c>
      <c r="BS921" t="s">
        <v>15686</v>
      </c>
      <c r="BT921" t="str">
        <f>HYPERLINK("https%3A%2F%2Fwww.webofscience.com%2Fwos%2Fwoscc%2Ffull-record%2FWOS:000897916001172","View Full Record in Web of Science")</f>
        <v>View Full Record in Web of Science</v>
      </c>
    </row>
    <row r="922" spans="1:72" x14ac:dyDescent="0.35">
      <c r="A922" t="s">
        <v>72</v>
      </c>
      <c r="B922" t="s">
        <v>15687</v>
      </c>
      <c r="C922" t="s">
        <v>74</v>
      </c>
      <c r="D922" t="s">
        <v>74</v>
      </c>
      <c r="E922" t="s">
        <v>74</v>
      </c>
      <c r="F922" t="s">
        <v>15688</v>
      </c>
      <c r="G922" t="s">
        <v>74</v>
      </c>
      <c r="H922" t="s">
        <v>74</v>
      </c>
      <c r="I922" t="s">
        <v>15689</v>
      </c>
      <c r="J922" t="s">
        <v>15690</v>
      </c>
      <c r="K922" t="s">
        <v>74</v>
      </c>
      <c r="L922" t="s">
        <v>74</v>
      </c>
      <c r="M922" t="s">
        <v>78</v>
      </c>
      <c r="N922" t="s">
        <v>108</v>
      </c>
      <c r="O922" t="s">
        <v>74</v>
      </c>
      <c r="P922" t="s">
        <v>74</v>
      </c>
      <c r="Q922" t="s">
        <v>74</v>
      </c>
      <c r="R922" t="s">
        <v>74</v>
      </c>
      <c r="S922" t="s">
        <v>74</v>
      </c>
      <c r="T922" t="s">
        <v>15691</v>
      </c>
      <c r="U922" t="s">
        <v>15692</v>
      </c>
      <c r="V922" t="s">
        <v>15693</v>
      </c>
      <c r="W922" t="s">
        <v>15694</v>
      </c>
      <c r="X922" t="s">
        <v>15695</v>
      </c>
      <c r="Y922" t="s">
        <v>15696</v>
      </c>
      <c r="Z922" t="s">
        <v>15697</v>
      </c>
      <c r="AA922" t="s">
        <v>15698</v>
      </c>
      <c r="AB922" t="s">
        <v>15699</v>
      </c>
      <c r="AC922" t="s">
        <v>74</v>
      </c>
      <c r="AD922" t="s">
        <v>74</v>
      </c>
      <c r="AE922" t="s">
        <v>74</v>
      </c>
      <c r="AF922" t="s">
        <v>74</v>
      </c>
      <c r="AG922">
        <v>47</v>
      </c>
      <c r="AH922">
        <v>14</v>
      </c>
      <c r="AI922">
        <v>14</v>
      </c>
      <c r="AJ922">
        <v>4</v>
      </c>
      <c r="AK922">
        <v>18</v>
      </c>
      <c r="AL922" t="s">
        <v>88</v>
      </c>
      <c r="AM922" t="s">
        <v>89</v>
      </c>
      <c r="AN922" t="s">
        <v>90</v>
      </c>
      <c r="AO922" t="s">
        <v>15700</v>
      </c>
      <c r="AP922" t="s">
        <v>15701</v>
      </c>
      <c r="AQ922" t="s">
        <v>74</v>
      </c>
      <c r="AR922" t="s">
        <v>15702</v>
      </c>
      <c r="AS922" t="s">
        <v>15703</v>
      </c>
      <c r="AT922" t="s">
        <v>498</v>
      </c>
      <c r="AU922">
        <v>2024</v>
      </c>
      <c r="AV922">
        <v>32</v>
      </c>
      <c r="AW922">
        <v>3</v>
      </c>
      <c r="AX922" t="s">
        <v>74</v>
      </c>
      <c r="AY922" t="s">
        <v>74</v>
      </c>
      <c r="AZ922" t="s">
        <v>456</v>
      </c>
      <c r="BA922" t="s">
        <v>74</v>
      </c>
      <c r="BB922">
        <v>673</v>
      </c>
      <c r="BC922">
        <v>689</v>
      </c>
      <c r="BD922" t="s">
        <v>74</v>
      </c>
      <c r="BE922" t="s">
        <v>15704</v>
      </c>
      <c r="BF922" t="str">
        <f>HYPERLINK("http://dx.doi.org/10.1080/14782804.2022.2163380","http://dx.doi.org/10.1080/14782804.2022.2163380")</f>
        <v>http://dx.doi.org/10.1080/14782804.2022.2163380</v>
      </c>
      <c r="BG922" t="s">
        <v>74</v>
      </c>
      <c r="BH922" t="s">
        <v>3638</v>
      </c>
      <c r="BI922">
        <v>17</v>
      </c>
      <c r="BJ922" t="s">
        <v>11155</v>
      </c>
      <c r="BK922" t="s">
        <v>99</v>
      </c>
      <c r="BL922" t="s">
        <v>11156</v>
      </c>
      <c r="BM922" t="s">
        <v>15705</v>
      </c>
      <c r="BN922" t="s">
        <v>74</v>
      </c>
      <c r="BO922" t="s">
        <v>1343</v>
      </c>
      <c r="BP922" t="s">
        <v>74</v>
      </c>
      <c r="BQ922" t="s">
        <v>74</v>
      </c>
      <c r="BR922" t="s">
        <v>102</v>
      </c>
      <c r="BS922" t="s">
        <v>15706</v>
      </c>
      <c r="BT922" t="str">
        <f>HYPERLINK("https%3A%2F%2Fwww.webofscience.com%2Fwos%2Fwoscc%2Ffull-record%2FWOS:000921762100001","View Full Record in Web of Science")</f>
        <v>View Full Record in Web of Science</v>
      </c>
    </row>
    <row r="923" spans="1:72" x14ac:dyDescent="0.35">
      <c r="A923" t="s">
        <v>72</v>
      </c>
      <c r="B923" t="s">
        <v>15707</v>
      </c>
      <c r="C923" t="s">
        <v>74</v>
      </c>
      <c r="D923" t="s">
        <v>74</v>
      </c>
      <c r="E923" t="s">
        <v>74</v>
      </c>
      <c r="F923" t="s">
        <v>15708</v>
      </c>
      <c r="G923" t="s">
        <v>74</v>
      </c>
      <c r="H923" t="s">
        <v>74</v>
      </c>
      <c r="I923" t="s">
        <v>15709</v>
      </c>
      <c r="J923" t="s">
        <v>15710</v>
      </c>
      <c r="K923" t="s">
        <v>74</v>
      </c>
      <c r="L923" t="s">
        <v>74</v>
      </c>
      <c r="M923" t="s">
        <v>78</v>
      </c>
      <c r="N923" t="s">
        <v>108</v>
      </c>
      <c r="O923" t="s">
        <v>74</v>
      </c>
      <c r="P923" t="s">
        <v>74</v>
      </c>
      <c r="Q923" t="s">
        <v>74</v>
      </c>
      <c r="R923" t="s">
        <v>74</v>
      </c>
      <c r="S923" t="s">
        <v>74</v>
      </c>
      <c r="T923" t="s">
        <v>15711</v>
      </c>
      <c r="U923" t="s">
        <v>15712</v>
      </c>
      <c r="V923" t="s">
        <v>15713</v>
      </c>
      <c r="W923" t="s">
        <v>15714</v>
      </c>
      <c r="X923" t="s">
        <v>6523</v>
      </c>
      <c r="Y923" t="s">
        <v>6524</v>
      </c>
      <c r="Z923" t="s">
        <v>15715</v>
      </c>
      <c r="AA923" t="s">
        <v>15716</v>
      </c>
      <c r="AB923" t="s">
        <v>15717</v>
      </c>
      <c r="AC923" t="s">
        <v>74</v>
      </c>
      <c r="AD923" t="s">
        <v>74</v>
      </c>
      <c r="AE923" t="s">
        <v>74</v>
      </c>
      <c r="AF923" t="s">
        <v>74</v>
      </c>
      <c r="AG923">
        <v>53</v>
      </c>
      <c r="AH923">
        <v>1</v>
      </c>
      <c r="AI923">
        <v>2</v>
      </c>
      <c r="AJ923">
        <v>4</v>
      </c>
      <c r="AK923">
        <v>7</v>
      </c>
      <c r="AL923" t="s">
        <v>15718</v>
      </c>
      <c r="AM923" t="s">
        <v>15719</v>
      </c>
      <c r="AN923" t="s">
        <v>15720</v>
      </c>
      <c r="AO923" t="s">
        <v>15721</v>
      </c>
      <c r="AP923" t="s">
        <v>74</v>
      </c>
      <c r="AQ923" t="s">
        <v>74</v>
      </c>
      <c r="AR923" t="s">
        <v>15718</v>
      </c>
      <c r="AS923" t="s">
        <v>15722</v>
      </c>
      <c r="AT923" t="s">
        <v>74</v>
      </c>
      <c r="AU923">
        <v>2023</v>
      </c>
      <c r="AV923" t="s">
        <v>74</v>
      </c>
      <c r="AW923">
        <v>27</v>
      </c>
      <c r="AX923" t="s">
        <v>74</v>
      </c>
      <c r="AY923" t="s">
        <v>74</v>
      </c>
      <c r="AZ923" t="s">
        <v>74</v>
      </c>
      <c r="BA923" t="s">
        <v>74</v>
      </c>
      <c r="BB923">
        <v>9</v>
      </c>
      <c r="BC923">
        <v>32</v>
      </c>
      <c r="BD923" t="s">
        <v>74</v>
      </c>
      <c r="BE923" t="s">
        <v>74</v>
      </c>
      <c r="BF923" t="s">
        <v>74</v>
      </c>
      <c r="BG923" t="s">
        <v>74</v>
      </c>
      <c r="BH923" t="s">
        <v>74</v>
      </c>
      <c r="BI923">
        <v>24</v>
      </c>
      <c r="BJ923" t="s">
        <v>15723</v>
      </c>
      <c r="BK923" t="s">
        <v>125</v>
      </c>
      <c r="BL923" t="s">
        <v>15724</v>
      </c>
      <c r="BM923" t="s">
        <v>15725</v>
      </c>
      <c r="BN923" t="s">
        <v>74</v>
      </c>
      <c r="BO923" t="s">
        <v>74</v>
      </c>
      <c r="BP923" t="s">
        <v>74</v>
      </c>
      <c r="BQ923" t="s">
        <v>74</v>
      </c>
      <c r="BR923" t="s">
        <v>102</v>
      </c>
      <c r="BS923" t="s">
        <v>15726</v>
      </c>
      <c r="BT923" t="str">
        <f>HYPERLINK("https%3A%2F%2Fwww.webofscience.com%2Fwos%2Fwoscc%2Ffull-record%2FWOS:001041859700002","View Full Record in Web of Science")</f>
        <v>View Full Record in Web of Science</v>
      </c>
    </row>
    <row r="924" spans="1:72" x14ac:dyDescent="0.35">
      <c r="A924" t="s">
        <v>72</v>
      </c>
      <c r="B924" t="s">
        <v>15727</v>
      </c>
      <c r="C924" t="s">
        <v>74</v>
      </c>
      <c r="D924" t="s">
        <v>74</v>
      </c>
      <c r="E924" t="s">
        <v>74</v>
      </c>
      <c r="F924" t="s">
        <v>15728</v>
      </c>
      <c r="G924" t="s">
        <v>74</v>
      </c>
      <c r="H924" t="s">
        <v>74</v>
      </c>
      <c r="I924" t="s">
        <v>15729</v>
      </c>
      <c r="J924" t="s">
        <v>15730</v>
      </c>
      <c r="K924" t="s">
        <v>74</v>
      </c>
      <c r="L924" t="s">
        <v>74</v>
      </c>
      <c r="M924" t="s">
        <v>78</v>
      </c>
      <c r="N924" t="s">
        <v>108</v>
      </c>
      <c r="O924" t="s">
        <v>74</v>
      </c>
      <c r="P924" t="s">
        <v>74</v>
      </c>
      <c r="Q924" t="s">
        <v>74</v>
      </c>
      <c r="R924" t="s">
        <v>74</v>
      </c>
      <c r="S924" t="s">
        <v>74</v>
      </c>
      <c r="T924" t="s">
        <v>15731</v>
      </c>
      <c r="U924" t="s">
        <v>15732</v>
      </c>
      <c r="V924" t="s">
        <v>15733</v>
      </c>
      <c r="W924" t="s">
        <v>15734</v>
      </c>
      <c r="X924" t="s">
        <v>15735</v>
      </c>
      <c r="Y924" t="s">
        <v>15736</v>
      </c>
      <c r="Z924" t="s">
        <v>15737</v>
      </c>
      <c r="AA924" t="s">
        <v>74</v>
      </c>
      <c r="AB924" t="s">
        <v>74</v>
      </c>
      <c r="AC924" t="s">
        <v>15738</v>
      </c>
      <c r="AD924" t="s">
        <v>15739</v>
      </c>
      <c r="AE924" t="s">
        <v>15740</v>
      </c>
      <c r="AF924" t="s">
        <v>74</v>
      </c>
      <c r="AG924">
        <v>70</v>
      </c>
      <c r="AH924">
        <v>3</v>
      </c>
      <c r="AI924">
        <v>3</v>
      </c>
      <c r="AJ924">
        <v>3</v>
      </c>
      <c r="AK924">
        <v>21</v>
      </c>
      <c r="AL924" t="s">
        <v>15741</v>
      </c>
      <c r="AM924" t="s">
        <v>15742</v>
      </c>
      <c r="AN924" t="s">
        <v>15743</v>
      </c>
      <c r="AO924" t="s">
        <v>15744</v>
      </c>
      <c r="AP924" t="s">
        <v>15745</v>
      </c>
      <c r="AQ924" t="s">
        <v>74</v>
      </c>
      <c r="AR924" t="s">
        <v>15746</v>
      </c>
      <c r="AS924" t="s">
        <v>15747</v>
      </c>
      <c r="AT924" t="s">
        <v>5154</v>
      </c>
      <c r="AU924">
        <v>2023</v>
      </c>
      <c r="AV924">
        <v>22</v>
      </c>
      <c r="AW924">
        <v>1</v>
      </c>
      <c r="AX924" t="s">
        <v>74</v>
      </c>
      <c r="AY924" t="s">
        <v>74</v>
      </c>
      <c r="AZ924" t="s">
        <v>74</v>
      </c>
      <c r="BA924" t="s">
        <v>74</v>
      </c>
      <c r="BB924">
        <v>309</v>
      </c>
      <c r="BC924">
        <v>331</v>
      </c>
      <c r="BD924" t="s">
        <v>74</v>
      </c>
      <c r="BE924" t="s">
        <v>15748</v>
      </c>
      <c r="BF924" t="str">
        <f>HYPERLINK("http://dx.doi.org/10.26441/RC22.1-2023-2994","http://dx.doi.org/10.26441/RC22.1-2023-2994")</f>
        <v>http://dx.doi.org/10.26441/RC22.1-2023-2994</v>
      </c>
      <c r="BG924" t="s">
        <v>74</v>
      </c>
      <c r="BH924" t="s">
        <v>74</v>
      </c>
      <c r="BI924">
        <v>23</v>
      </c>
      <c r="BJ924" t="s">
        <v>124</v>
      </c>
      <c r="BK924" t="s">
        <v>125</v>
      </c>
      <c r="BL924" t="s">
        <v>124</v>
      </c>
      <c r="BM924" t="s">
        <v>15749</v>
      </c>
      <c r="BN924" t="s">
        <v>74</v>
      </c>
      <c r="BO924" t="s">
        <v>3287</v>
      </c>
      <c r="BP924" t="s">
        <v>74</v>
      </c>
      <c r="BQ924" t="s">
        <v>74</v>
      </c>
      <c r="BR924" t="s">
        <v>102</v>
      </c>
      <c r="BS924" t="s">
        <v>15750</v>
      </c>
      <c r="BT924" t="str">
        <f>HYPERLINK("https%3A%2F%2Fwww.webofscience.com%2Fwos%2Fwoscc%2Ffull-record%2FWOS:000961298700016","View Full Record in Web of Science")</f>
        <v>View Full Record in Web of Science</v>
      </c>
    </row>
    <row r="925" spans="1:72" x14ac:dyDescent="0.35">
      <c r="A925" t="s">
        <v>72</v>
      </c>
      <c r="B925" t="s">
        <v>15751</v>
      </c>
      <c r="C925" t="s">
        <v>74</v>
      </c>
      <c r="D925" t="s">
        <v>74</v>
      </c>
      <c r="E925" t="s">
        <v>74</v>
      </c>
      <c r="F925" t="s">
        <v>15752</v>
      </c>
      <c r="G925" t="s">
        <v>74</v>
      </c>
      <c r="H925" t="s">
        <v>74</v>
      </c>
      <c r="I925" t="s">
        <v>15753</v>
      </c>
      <c r="J925" t="s">
        <v>4984</v>
      </c>
      <c r="K925" t="s">
        <v>74</v>
      </c>
      <c r="L925" t="s">
        <v>74</v>
      </c>
      <c r="M925" t="s">
        <v>78</v>
      </c>
      <c r="N925" t="s">
        <v>1328</v>
      </c>
      <c r="O925" t="s">
        <v>74</v>
      </c>
      <c r="P925" t="s">
        <v>74</v>
      </c>
      <c r="Q925" t="s">
        <v>74</v>
      </c>
      <c r="R925" t="s">
        <v>74</v>
      </c>
      <c r="S925" t="s">
        <v>74</v>
      </c>
      <c r="T925" t="s">
        <v>74</v>
      </c>
      <c r="U925" t="s">
        <v>74</v>
      </c>
      <c r="V925" t="s">
        <v>74</v>
      </c>
      <c r="W925" t="s">
        <v>15754</v>
      </c>
      <c r="X925" t="s">
        <v>3004</v>
      </c>
      <c r="Y925" t="s">
        <v>15755</v>
      </c>
      <c r="Z925" t="s">
        <v>13990</v>
      </c>
      <c r="AA925" t="s">
        <v>74</v>
      </c>
      <c r="AB925" t="s">
        <v>15756</v>
      </c>
      <c r="AC925" t="s">
        <v>74</v>
      </c>
      <c r="AD925" t="s">
        <v>74</v>
      </c>
      <c r="AE925" t="s">
        <v>74</v>
      </c>
      <c r="AF925" t="s">
        <v>74</v>
      </c>
      <c r="AG925">
        <v>2</v>
      </c>
      <c r="AH925">
        <v>0</v>
      </c>
      <c r="AI925">
        <v>0</v>
      </c>
      <c r="AJ925">
        <v>0</v>
      </c>
      <c r="AK925">
        <v>0</v>
      </c>
      <c r="AL925" t="s">
        <v>357</v>
      </c>
      <c r="AM925" t="s">
        <v>358</v>
      </c>
      <c r="AN925" t="s">
        <v>359</v>
      </c>
      <c r="AO925" t="s">
        <v>4989</v>
      </c>
      <c r="AP925" t="s">
        <v>4990</v>
      </c>
      <c r="AQ925" t="s">
        <v>74</v>
      </c>
      <c r="AR925" t="s">
        <v>4991</v>
      </c>
      <c r="AS925" t="s">
        <v>4992</v>
      </c>
      <c r="AT925" t="s">
        <v>523</v>
      </c>
      <c r="AU925">
        <v>2023</v>
      </c>
      <c r="AV925">
        <v>25</v>
      </c>
      <c r="AW925">
        <v>6</v>
      </c>
      <c r="AX925" t="s">
        <v>74</v>
      </c>
      <c r="AY925" t="s">
        <v>74</v>
      </c>
      <c r="AZ925" t="s">
        <v>74</v>
      </c>
      <c r="BA925" t="s">
        <v>74</v>
      </c>
      <c r="BB925">
        <v>531</v>
      </c>
      <c r="BC925">
        <v>532</v>
      </c>
      <c r="BD925" t="s">
        <v>74</v>
      </c>
      <c r="BE925" t="s">
        <v>15757</v>
      </c>
      <c r="BF925" t="str">
        <f>HYPERLINK("http://dx.doi.org/10.1089/fpsam.2023.0130","http://dx.doi.org/10.1089/fpsam.2023.0130")</f>
        <v>http://dx.doi.org/10.1089/fpsam.2023.0130</v>
      </c>
      <c r="BG925" t="s">
        <v>74</v>
      </c>
      <c r="BH925" t="s">
        <v>1180</v>
      </c>
      <c r="BI925">
        <v>3</v>
      </c>
      <c r="BJ925" t="s">
        <v>4994</v>
      </c>
      <c r="BK925" t="s">
        <v>209</v>
      </c>
      <c r="BL925" t="s">
        <v>4994</v>
      </c>
      <c r="BM925" t="s">
        <v>4995</v>
      </c>
      <c r="BN925">
        <v>37405754</v>
      </c>
      <c r="BO925" t="s">
        <v>74</v>
      </c>
      <c r="BP925" t="s">
        <v>74</v>
      </c>
      <c r="BQ925" t="s">
        <v>74</v>
      </c>
      <c r="BR925" t="s">
        <v>102</v>
      </c>
      <c r="BS925" t="s">
        <v>15758</v>
      </c>
      <c r="BT925" t="str">
        <f>HYPERLINK("https%3A%2F%2Fwww.webofscience.com%2Fwos%2Fwoscc%2Ffull-record%2FWOS:001023674800001","View Full Record in Web of Science")</f>
        <v>View Full Record in Web of Science</v>
      </c>
    </row>
    <row r="926" spans="1:72" x14ac:dyDescent="0.35">
      <c r="A926" t="s">
        <v>72</v>
      </c>
      <c r="B926" t="s">
        <v>15759</v>
      </c>
      <c r="C926" t="s">
        <v>74</v>
      </c>
      <c r="D926" t="s">
        <v>74</v>
      </c>
      <c r="E926" t="s">
        <v>74</v>
      </c>
      <c r="F926" t="s">
        <v>15760</v>
      </c>
      <c r="G926" t="s">
        <v>74</v>
      </c>
      <c r="H926" t="s">
        <v>74</v>
      </c>
      <c r="I926" t="s">
        <v>15761</v>
      </c>
      <c r="J926" t="s">
        <v>4984</v>
      </c>
      <c r="K926" t="s">
        <v>74</v>
      </c>
      <c r="L926" t="s">
        <v>74</v>
      </c>
      <c r="M926" t="s">
        <v>78</v>
      </c>
      <c r="N926" t="s">
        <v>1328</v>
      </c>
      <c r="O926" t="s">
        <v>74</v>
      </c>
      <c r="P926" t="s">
        <v>74</v>
      </c>
      <c r="Q926" t="s">
        <v>74</v>
      </c>
      <c r="R926" t="s">
        <v>74</v>
      </c>
      <c r="S926" t="s">
        <v>74</v>
      </c>
      <c r="T926" t="s">
        <v>74</v>
      </c>
      <c r="U926" t="s">
        <v>74</v>
      </c>
      <c r="V926" t="s">
        <v>74</v>
      </c>
      <c r="W926" t="s">
        <v>15762</v>
      </c>
      <c r="X926" t="s">
        <v>3004</v>
      </c>
      <c r="Y926" t="s">
        <v>15763</v>
      </c>
      <c r="Z926" t="s">
        <v>15764</v>
      </c>
      <c r="AA926" t="s">
        <v>74</v>
      </c>
      <c r="AB926" t="s">
        <v>15765</v>
      </c>
      <c r="AC926" t="s">
        <v>74</v>
      </c>
      <c r="AD926" t="s">
        <v>74</v>
      </c>
      <c r="AE926" t="s">
        <v>74</v>
      </c>
      <c r="AF926" t="s">
        <v>74</v>
      </c>
      <c r="AG926">
        <v>6</v>
      </c>
      <c r="AH926">
        <v>3</v>
      </c>
      <c r="AI926">
        <v>3</v>
      </c>
      <c r="AJ926">
        <v>0</v>
      </c>
      <c r="AK926">
        <v>0</v>
      </c>
      <c r="AL926" t="s">
        <v>357</v>
      </c>
      <c r="AM926" t="s">
        <v>358</v>
      </c>
      <c r="AN926" t="s">
        <v>359</v>
      </c>
      <c r="AO926" t="s">
        <v>4989</v>
      </c>
      <c r="AP926" t="s">
        <v>4990</v>
      </c>
      <c r="AQ926" t="s">
        <v>74</v>
      </c>
      <c r="AR926" t="s">
        <v>4991</v>
      </c>
      <c r="AS926" t="s">
        <v>4992</v>
      </c>
      <c r="AT926" t="s">
        <v>523</v>
      </c>
      <c r="AU926">
        <v>2023</v>
      </c>
      <c r="AV926">
        <v>25</v>
      </c>
      <c r="AW926">
        <v>6</v>
      </c>
      <c r="AX926" t="s">
        <v>74</v>
      </c>
      <c r="AY926" t="s">
        <v>74</v>
      </c>
      <c r="AZ926" t="s">
        <v>74</v>
      </c>
      <c r="BA926" t="s">
        <v>74</v>
      </c>
      <c r="BB926">
        <v>528</v>
      </c>
      <c r="BC926">
        <v>530</v>
      </c>
      <c r="BD926" t="s">
        <v>74</v>
      </c>
      <c r="BE926" t="s">
        <v>15766</v>
      </c>
      <c r="BF926" t="str">
        <f>HYPERLINK("http://dx.doi.org/10.1089/fpsam.2022.0329","http://dx.doi.org/10.1089/fpsam.2022.0329")</f>
        <v>http://dx.doi.org/10.1089/fpsam.2022.0329</v>
      </c>
      <c r="BG926" t="s">
        <v>74</v>
      </c>
      <c r="BH926" t="s">
        <v>6895</v>
      </c>
      <c r="BI926">
        <v>3</v>
      </c>
      <c r="BJ926" t="s">
        <v>4994</v>
      </c>
      <c r="BK926" t="s">
        <v>209</v>
      </c>
      <c r="BL926" t="s">
        <v>4994</v>
      </c>
      <c r="BM926" t="s">
        <v>4995</v>
      </c>
      <c r="BN926">
        <v>36787469</v>
      </c>
      <c r="BO926" t="s">
        <v>74</v>
      </c>
      <c r="BP926" t="s">
        <v>74</v>
      </c>
      <c r="BQ926" t="s">
        <v>74</v>
      </c>
      <c r="BR926" t="s">
        <v>102</v>
      </c>
      <c r="BS926" t="s">
        <v>15767</v>
      </c>
      <c r="BT926" t="str">
        <f>HYPERLINK("https%3A%2F%2Fwww.webofscience.com%2Fwos%2Fwoscc%2Ffull-record%2FWOS:000932150400001","View Full Record in Web of Science")</f>
        <v>View Full Record in Web of Science</v>
      </c>
    </row>
    <row r="927" spans="1:72" x14ac:dyDescent="0.35">
      <c r="A927" t="s">
        <v>72</v>
      </c>
      <c r="B927" t="s">
        <v>15768</v>
      </c>
      <c r="C927" t="s">
        <v>74</v>
      </c>
      <c r="D927" t="s">
        <v>74</v>
      </c>
      <c r="E927" t="s">
        <v>74</v>
      </c>
      <c r="F927" t="s">
        <v>15769</v>
      </c>
      <c r="G927" t="s">
        <v>74</v>
      </c>
      <c r="H927" t="s">
        <v>15770</v>
      </c>
      <c r="I927" t="s">
        <v>15771</v>
      </c>
      <c r="J927" t="s">
        <v>15772</v>
      </c>
      <c r="K927" t="s">
        <v>74</v>
      </c>
      <c r="L927" t="s">
        <v>74</v>
      </c>
      <c r="M927" t="s">
        <v>78</v>
      </c>
      <c r="N927" t="s">
        <v>108</v>
      </c>
      <c r="O927" t="s">
        <v>74</v>
      </c>
      <c r="P927" t="s">
        <v>74</v>
      </c>
      <c r="Q927" t="s">
        <v>74</v>
      </c>
      <c r="R927" t="s">
        <v>74</v>
      </c>
      <c r="S927" t="s">
        <v>74</v>
      </c>
      <c r="T927" t="s">
        <v>15773</v>
      </c>
      <c r="U927" t="s">
        <v>15774</v>
      </c>
      <c r="V927" t="s">
        <v>15775</v>
      </c>
      <c r="W927" t="s">
        <v>15776</v>
      </c>
      <c r="X927" t="s">
        <v>15777</v>
      </c>
      <c r="Y927" t="s">
        <v>15778</v>
      </c>
      <c r="Z927" t="s">
        <v>15779</v>
      </c>
      <c r="AA927" t="s">
        <v>15780</v>
      </c>
      <c r="AB927" t="s">
        <v>15781</v>
      </c>
      <c r="AC927" t="s">
        <v>15782</v>
      </c>
      <c r="AD927" t="s">
        <v>15783</v>
      </c>
      <c r="AE927" t="s">
        <v>15784</v>
      </c>
      <c r="AF927" t="s">
        <v>74</v>
      </c>
      <c r="AG927">
        <v>27</v>
      </c>
      <c r="AH927">
        <v>0</v>
      </c>
      <c r="AI927">
        <v>0</v>
      </c>
      <c r="AJ927">
        <v>0</v>
      </c>
      <c r="AK927">
        <v>1</v>
      </c>
      <c r="AL927" t="s">
        <v>665</v>
      </c>
      <c r="AM927" t="s">
        <v>666</v>
      </c>
      <c r="AN927" t="s">
        <v>667</v>
      </c>
      <c r="AO927" t="s">
        <v>15785</v>
      </c>
      <c r="AP927" t="s">
        <v>15786</v>
      </c>
      <c r="AQ927" t="s">
        <v>74</v>
      </c>
      <c r="AR927" t="s">
        <v>15787</v>
      </c>
      <c r="AS927" t="s">
        <v>15788</v>
      </c>
      <c r="AT927" t="s">
        <v>14621</v>
      </c>
      <c r="AU927">
        <v>2024</v>
      </c>
      <c r="AV927">
        <v>25</v>
      </c>
      <c r="AW927">
        <v>1</v>
      </c>
      <c r="AX927" t="s">
        <v>74</v>
      </c>
      <c r="AY927" t="s">
        <v>74</v>
      </c>
      <c r="AZ927" t="s">
        <v>74</v>
      </c>
      <c r="BA927" t="s">
        <v>74</v>
      </c>
      <c r="BB927" t="s">
        <v>74</v>
      </c>
      <c r="BC927" t="s">
        <v>74</v>
      </c>
      <c r="BD927">
        <v>14</v>
      </c>
      <c r="BE927" t="s">
        <v>15789</v>
      </c>
      <c r="BF927" t="str">
        <f>HYPERLINK("http://dx.doi.org/10.1186/s10195-024-00757-3","http://dx.doi.org/10.1186/s10195-024-00757-3")</f>
        <v>http://dx.doi.org/10.1186/s10195-024-00757-3</v>
      </c>
      <c r="BG927" t="s">
        <v>74</v>
      </c>
      <c r="BH927" t="s">
        <v>74</v>
      </c>
      <c r="BI927">
        <v>8</v>
      </c>
      <c r="BJ927" t="s">
        <v>9734</v>
      </c>
      <c r="BK927" t="s">
        <v>209</v>
      </c>
      <c r="BL927" t="s">
        <v>9734</v>
      </c>
      <c r="BM927" t="s">
        <v>15790</v>
      </c>
      <c r="BN927">
        <v>38521890</v>
      </c>
      <c r="BO927" t="s">
        <v>394</v>
      </c>
      <c r="BP927" t="s">
        <v>74</v>
      </c>
      <c r="BQ927" t="s">
        <v>74</v>
      </c>
      <c r="BR927" t="s">
        <v>102</v>
      </c>
      <c r="BS927" t="s">
        <v>15791</v>
      </c>
      <c r="BT927" t="str">
        <f>HYPERLINK("https%3A%2F%2Fwww.webofscience.com%2Fwos%2Fwoscc%2Ffull-record%2FWOS:001189594800001","View Full Record in Web of Science")</f>
        <v>View Full Record in Web of Science</v>
      </c>
    </row>
    <row r="928" spans="1:72" x14ac:dyDescent="0.35">
      <c r="A928" t="s">
        <v>72</v>
      </c>
      <c r="B928" t="s">
        <v>15792</v>
      </c>
      <c r="C928" t="s">
        <v>74</v>
      </c>
      <c r="D928" t="s">
        <v>74</v>
      </c>
      <c r="E928" t="s">
        <v>74</v>
      </c>
      <c r="F928" t="s">
        <v>15793</v>
      </c>
      <c r="G928" t="s">
        <v>74</v>
      </c>
      <c r="H928" t="s">
        <v>74</v>
      </c>
      <c r="I928" t="s">
        <v>15794</v>
      </c>
      <c r="J928" t="s">
        <v>11665</v>
      </c>
      <c r="K928" t="s">
        <v>74</v>
      </c>
      <c r="L928" t="s">
        <v>74</v>
      </c>
      <c r="M928" t="s">
        <v>78</v>
      </c>
      <c r="N928" t="s">
        <v>52</v>
      </c>
      <c r="O928" t="s">
        <v>74</v>
      </c>
      <c r="P928" t="s">
        <v>74</v>
      </c>
      <c r="Q928" t="s">
        <v>74</v>
      </c>
      <c r="R928" t="s">
        <v>74</v>
      </c>
      <c r="S928" t="s">
        <v>74</v>
      </c>
      <c r="T928" t="s">
        <v>74</v>
      </c>
      <c r="U928" t="s">
        <v>74</v>
      </c>
      <c r="V928" t="s">
        <v>74</v>
      </c>
      <c r="W928" t="s">
        <v>15795</v>
      </c>
      <c r="X928" t="s">
        <v>15796</v>
      </c>
      <c r="Y928" t="s">
        <v>74</v>
      </c>
      <c r="Z928" t="s">
        <v>74</v>
      </c>
      <c r="AA928" t="s">
        <v>11668</v>
      </c>
      <c r="AB928" t="s">
        <v>74</v>
      </c>
      <c r="AC928" t="s">
        <v>74</v>
      </c>
      <c r="AD928" t="s">
        <v>74</v>
      </c>
      <c r="AE928" t="s">
        <v>74</v>
      </c>
      <c r="AF928" t="s">
        <v>74</v>
      </c>
      <c r="AG928">
        <v>0</v>
      </c>
      <c r="AH928">
        <v>0</v>
      </c>
      <c r="AI928">
        <v>0</v>
      </c>
      <c r="AJ928">
        <v>0</v>
      </c>
      <c r="AK928">
        <v>0</v>
      </c>
      <c r="AL928" t="s">
        <v>11669</v>
      </c>
      <c r="AM928" t="s">
        <v>1196</v>
      </c>
      <c r="AN928" t="s">
        <v>11670</v>
      </c>
      <c r="AO928" t="s">
        <v>11671</v>
      </c>
      <c r="AP928" t="s">
        <v>11672</v>
      </c>
      <c r="AQ928" t="s">
        <v>74</v>
      </c>
      <c r="AR928" t="s">
        <v>11673</v>
      </c>
      <c r="AS928" t="s">
        <v>11674</v>
      </c>
      <c r="AT928" t="s">
        <v>14244</v>
      </c>
      <c r="AU928">
        <v>2023</v>
      </c>
      <c r="AV928">
        <v>96</v>
      </c>
      <c r="AW928" t="s">
        <v>14245</v>
      </c>
      <c r="AX928" t="s">
        <v>74</v>
      </c>
      <c r="AY928">
        <v>3</v>
      </c>
      <c r="AZ928" t="s">
        <v>74</v>
      </c>
      <c r="BA928">
        <v>6113</v>
      </c>
      <c r="BB928">
        <v>323</v>
      </c>
      <c r="BC928">
        <v>327</v>
      </c>
      <c r="BD928" t="s">
        <v>74</v>
      </c>
      <c r="BE928" t="s">
        <v>74</v>
      </c>
      <c r="BF928" t="s">
        <v>74</v>
      </c>
      <c r="BG928" t="s">
        <v>74</v>
      </c>
      <c r="BH928" t="s">
        <v>74</v>
      </c>
      <c r="BI928">
        <v>5</v>
      </c>
      <c r="BJ928" t="s">
        <v>11677</v>
      </c>
      <c r="BK928" t="s">
        <v>209</v>
      </c>
      <c r="BL928" t="s">
        <v>11677</v>
      </c>
      <c r="BM928" t="s">
        <v>14246</v>
      </c>
      <c r="BN928" t="s">
        <v>74</v>
      </c>
      <c r="BO928" t="s">
        <v>74</v>
      </c>
      <c r="BP928" t="s">
        <v>74</v>
      </c>
      <c r="BQ928" t="s">
        <v>74</v>
      </c>
      <c r="BR928" t="s">
        <v>102</v>
      </c>
      <c r="BS928" t="s">
        <v>15797</v>
      </c>
      <c r="BT928" t="str">
        <f>HYPERLINK("https%3A%2F%2Fwww.webofscience.com%2Fwos%2Fwoscc%2Ffull-record%2FWOS:001050468900185","View Full Record in Web of Science")</f>
        <v>View Full Record in Web of Science</v>
      </c>
    </row>
    <row r="929" spans="1:72" x14ac:dyDescent="0.35">
      <c r="A929" t="s">
        <v>72</v>
      </c>
      <c r="B929" t="s">
        <v>15798</v>
      </c>
      <c r="C929" t="s">
        <v>74</v>
      </c>
      <c r="D929" t="s">
        <v>74</v>
      </c>
      <c r="E929" t="s">
        <v>74</v>
      </c>
      <c r="F929" t="s">
        <v>15799</v>
      </c>
      <c r="G929" t="s">
        <v>74</v>
      </c>
      <c r="H929" t="s">
        <v>74</v>
      </c>
      <c r="I929" t="s">
        <v>15800</v>
      </c>
      <c r="J929" t="s">
        <v>2370</v>
      </c>
      <c r="K929" t="s">
        <v>74</v>
      </c>
      <c r="L929" t="s">
        <v>74</v>
      </c>
      <c r="M929" t="s">
        <v>78</v>
      </c>
      <c r="N929" t="s">
        <v>108</v>
      </c>
      <c r="O929" t="s">
        <v>74</v>
      </c>
      <c r="P929" t="s">
        <v>74</v>
      </c>
      <c r="Q929" t="s">
        <v>74</v>
      </c>
      <c r="R929" t="s">
        <v>74</v>
      </c>
      <c r="S929" t="s">
        <v>74</v>
      </c>
      <c r="T929" t="s">
        <v>15801</v>
      </c>
      <c r="U929" t="s">
        <v>15802</v>
      </c>
      <c r="V929" t="s">
        <v>15803</v>
      </c>
      <c r="W929" t="s">
        <v>15804</v>
      </c>
      <c r="X929" t="s">
        <v>15805</v>
      </c>
      <c r="Y929" t="s">
        <v>15806</v>
      </c>
      <c r="Z929" t="s">
        <v>15807</v>
      </c>
      <c r="AA929" t="s">
        <v>74</v>
      </c>
      <c r="AB929" t="s">
        <v>74</v>
      </c>
      <c r="AC929" t="s">
        <v>74</v>
      </c>
      <c r="AD929" t="s">
        <v>74</v>
      </c>
      <c r="AE929" t="s">
        <v>74</v>
      </c>
      <c r="AF929" t="s">
        <v>74</v>
      </c>
      <c r="AG929">
        <v>25</v>
      </c>
      <c r="AH929">
        <v>1</v>
      </c>
      <c r="AI929">
        <v>1</v>
      </c>
      <c r="AJ929">
        <v>4</v>
      </c>
      <c r="AK929">
        <v>4</v>
      </c>
      <c r="AL929" t="s">
        <v>2382</v>
      </c>
      <c r="AM929" t="s">
        <v>227</v>
      </c>
      <c r="AN929" t="s">
        <v>2383</v>
      </c>
      <c r="AO929" t="s">
        <v>74</v>
      </c>
      <c r="AP929" t="s">
        <v>2384</v>
      </c>
      <c r="AQ929" t="s">
        <v>74</v>
      </c>
      <c r="AR929" t="s">
        <v>2370</v>
      </c>
      <c r="AS929" t="s">
        <v>2385</v>
      </c>
      <c r="AT929" t="s">
        <v>15808</v>
      </c>
      <c r="AU929">
        <v>2024</v>
      </c>
      <c r="AV929">
        <v>24</v>
      </c>
      <c r="AW929">
        <v>1</v>
      </c>
      <c r="AX929" t="s">
        <v>74</v>
      </c>
      <c r="AY929" t="s">
        <v>74</v>
      </c>
      <c r="AZ929" t="s">
        <v>74</v>
      </c>
      <c r="BA929" t="s">
        <v>74</v>
      </c>
      <c r="BB929" t="s">
        <v>74</v>
      </c>
      <c r="BC929" t="s">
        <v>74</v>
      </c>
      <c r="BD929">
        <v>1216</v>
      </c>
      <c r="BE929" t="s">
        <v>15809</v>
      </c>
      <c r="BF929" t="str">
        <f>HYPERLINK("http://dx.doi.org/10.1186/s12889-024-18708-2","http://dx.doi.org/10.1186/s12889-024-18708-2")</f>
        <v>http://dx.doi.org/10.1186/s12889-024-18708-2</v>
      </c>
      <c r="BG929" t="s">
        <v>74</v>
      </c>
      <c r="BH929" t="s">
        <v>74</v>
      </c>
      <c r="BI929">
        <v>8</v>
      </c>
      <c r="BJ929" t="s">
        <v>392</v>
      </c>
      <c r="BK929" t="s">
        <v>209</v>
      </c>
      <c r="BL929" t="s">
        <v>392</v>
      </c>
      <c r="BM929" t="s">
        <v>15810</v>
      </c>
      <c r="BN929">
        <v>38698404</v>
      </c>
      <c r="BO929" t="s">
        <v>552</v>
      </c>
      <c r="BP929" t="s">
        <v>74</v>
      </c>
      <c r="BQ929" t="s">
        <v>74</v>
      </c>
      <c r="BR929" t="s">
        <v>102</v>
      </c>
      <c r="BS929" t="s">
        <v>15811</v>
      </c>
      <c r="BT929" t="str">
        <f>HYPERLINK("https%3A%2F%2Fwww.webofscience.com%2Fwos%2Fwoscc%2Ffull-record%2FWOS:001327873200001","View Full Record in Web of Science")</f>
        <v>View Full Record in Web of Science</v>
      </c>
    </row>
    <row r="930" spans="1:72" x14ac:dyDescent="0.35">
      <c r="A930" t="s">
        <v>72</v>
      </c>
      <c r="B930" t="s">
        <v>15812</v>
      </c>
      <c r="C930" t="s">
        <v>74</v>
      </c>
      <c r="D930" t="s">
        <v>74</v>
      </c>
      <c r="E930" t="s">
        <v>74</v>
      </c>
      <c r="F930" t="s">
        <v>15813</v>
      </c>
      <c r="G930" t="s">
        <v>74</v>
      </c>
      <c r="H930" t="s">
        <v>74</v>
      </c>
      <c r="I930" t="s">
        <v>15814</v>
      </c>
      <c r="J930" t="s">
        <v>15815</v>
      </c>
      <c r="K930" t="s">
        <v>74</v>
      </c>
      <c r="L930" t="s">
        <v>74</v>
      </c>
      <c r="M930" t="s">
        <v>78</v>
      </c>
      <c r="N930" t="s">
        <v>108</v>
      </c>
      <c r="O930" t="s">
        <v>74</v>
      </c>
      <c r="P930" t="s">
        <v>74</v>
      </c>
      <c r="Q930" t="s">
        <v>74</v>
      </c>
      <c r="R930" t="s">
        <v>74</v>
      </c>
      <c r="S930" t="s">
        <v>74</v>
      </c>
      <c r="T930" t="s">
        <v>15816</v>
      </c>
      <c r="U930" t="s">
        <v>15817</v>
      </c>
      <c r="V930" t="s">
        <v>15818</v>
      </c>
      <c r="W930" t="s">
        <v>15819</v>
      </c>
      <c r="X930" t="s">
        <v>15820</v>
      </c>
      <c r="Y930" t="s">
        <v>15821</v>
      </c>
      <c r="Z930" t="s">
        <v>15822</v>
      </c>
      <c r="AA930" t="s">
        <v>15823</v>
      </c>
      <c r="AB930" t="s">
        <v>15824</v>
      </c>
      <c r="AC930" t="s">
        <v>74</v>
      </c>
      <c r="AD930" t="s">
        <v>74</v>
      </c>
      <c r="AE930" t="s">
        <v>74</v>
      </c>
      <c r="AF930" t="s">
        <v>74</v>
      </c>
      <c r="AG930">
        <v>86</v>
      </c>
      <c r="AH930">
        <v>1</v>
      </c>
      <c r="AI930">
        <v>1</v>
      </c>
      <c r="AJ930">
        <v>7</v>
      </c>
      <c r="AK930">
        <v>20</v>
      </c>
      <c r="AL930" t="s">
        <v>88</v>
      </c>
      <c r="AM930" t="s">
        <v>89</v>
      </c>
      <c r="AN930" t="s">
        <v>90</v>
      </c>
      <c r="AO930" t="s">
        <v>15825</v>
      </c>
      <c r="AP930" t="s">
        <v>15826</v>
      </c>
      <c r="AQ930" t="s">
        <v>74</v>
      </c>
      <c r="AR930" t="s">
        <v>15827</v>
      </c>
      <c r="AS930" t="s">
        <v>15828</v>
      </c>
      <c r="AT930" t="s">
        <v>6315</v>
      </c>
      <c r="AU930">
        <v>2024</v>
      </c>
      <c r="AV930">
        <v>24</v>
      </c>
      <c r="AW930">
        <v>6</v>
      </c>
      <c r="AX930" t="s">
        <v>74</v>
      </c>
      <c r="AY930" t="s">
        <v>74</v>
      </c>
      <c r="AZ930" t="s">
        <v>74</v>
      </c>
      <c r="BA930" t="s">
        <v>74</v>
      </c>
      <c r="BB930">
        <v>1215</v>
      </c>
      <c r="BC930">
        <v>1237</v>
      </c>
      <c r="BD930" t="s">
        <v>74</v>
      </c>
      <c r="BE930" t="s">
        <v>15829</v>
      </c>
      <c r="BF930" t="str">
        <f>HYPERLINK("http://dx.doi.org/10.1080/16184742.2023.2270566","http://dx.doi.org/10.1080/16184742.2023.2270566")</f>
        <v>http://dx.doi.org/10.1080/16184742.2023.2270566</v>
      </c>
      <c r="BG930" t="s">
        <v>74</v>
      </c>
      <c r="BH930" t="s">
        <v>674</v>
      </c>
      <c r="BI930">
        <v>23</v>
      </c>
      <c r="BJ930" t="s">
        <v>574</v>
      </c>
      <c r="BK930" t="s">
        <v>99</v>
      </c>
      <c r="BL930" t="s">
        <v>100</v>
      </c>
      <c r="BM930" t="s">
        <v>15830</v>
      </c>
      <c r="BN930" t="s">
        <v>74</v>
      </c>
      <c r="BO930" t="s">
        <v>15831</v>
      </c>
      <c r="BP930" t="s">
        <v>74</v>
      </c>
      <c r="BQ930" t="s">
        <v>74</v>
      </c>
      <c r="BR930" t="s">
        <v>102</v>
      </c>
      <c r="BS930" t="s">
        <v>15832</v>
      </c>
      <c r="BT930" t="str">
        <f>HYPERLINK("https%3A%2F%2Fwww.webofscience.com%2Fwos%2Fwoscc%2Ffull-record%2FWOS:001098790400001","View Full Record in Web of Science")</f>
        <v>View Full Record in Web of Science</v>
      </c>
    </row>
    <row r="931" spans="1:72" x14ac:dyDescent="0.35">
      <c r="A931" t="s">
        <v>72</v>
      </c>
      <c r="B931" t="s">
        <v>15833</v>
      </c>
      <c r="C931" t="s">
        <v>74</v>
      </c>
      <c r="D931" t="s">
        <v>74</v>
      </c>
      <c r="E931" t="s">
        <v>74</v>
      </c>
      <c r="F931" t="s">
        <v>15834</v>
      </c>
      <c r="G931" t="s">
        <v>74</v>
      </c>
      <c r="H931" t="s">
        <v>74</v>
      </c>
      <c r="I931" t="s">
        <v>15835</v>
      </c>
      <c r="J931" t="s">
        <v>2493</v>
      </c>
      <c r="K931" t="s">
        <v>74</v>
      </c>
      <c r="L931" t="s">
        <v>74</v>
      </c>
      <c r="M931" t="s">
        <v>78</v>
      </c>
      <c r="N931" t="s">
        <v>1328</v>
      </c>
      <c r="O931" t="s">
        <v>74</v>
      </c>
      <c r="P931" t="s">
        <v>74</v>
      </c>
      <c r="Q931" t="s">
        <v>74</v>
      </c>
      <c r="R931" t="s">
        <v>74</v>
      </c>
      <c r="S931" t="s">
        <v>74</v>
      </c>
      <c r="T931" t="s">
        <v>74</v>
      </c>
      <c r="U931" t="s">
        <v>74</v>
      </c>
      <c r="V931" t="s">
        <v>74</v>
      </c>
      <c r="W931" t="s">
        <v>15836</v>
      </c>
      <c r="X931" t="s">
        <v>15837</v>
      </c>
      <c r="Y931" t="s">
        <v>15838</v>
      </c>
      <c r="Z931" t="s">
        <v>15839</v>
      </c>
      <c r="AA931" t="s">
        <v>11637</v>
      </c>
      <c r="AB931" t="s">
        <v>74</v>
      </c>
      <c r="AC931" t="s">
        <v>74</v>
      </c>
      <c r="AD931" t="s">
        <v>74</v>
      </c>
      <c r="AE931" t="s">
        <v>74</v>
      </c>
      <c r="AF931" t="s">
        <v>74</v>
      </c>
      <c r="AG931">
        <v>4</v>
      </c>
      <c r="AH931">
        <v>3</v>
      </c>
      <c r="AI931">
        <v>3</v>
      </c>
      <c r="AJ931">
        <v>2</v>
      </c>
      <c r="AK931">
        <v>15</v>
      </c>
      <c r="AL931" t="s">
        <v>2027</v>
      </c>
      <c r="AM931" t="s">
        <v>666</v>
      </c>
      <c r="AN931" t="s">
        <v>2028</v>
      </c>
      <c r="AO931" t="s">
        <v>2498</v>
      </c>
      <c r="AP931" t="s">
        <v>2499</v>
      </c>
      <c r="AQ931" t="s">
        <v>74</v>
      </c>
      <c r="AR931" t="s">
        <v>2500</v>
      </c>
      <c r="AS931" t="s">
        <v>2501</v>
      </c>
      <c r="AT931" t="s">
        <v>178</v>
      </c>
      <c r="AU931">
        <v>2022</v>
      </c>
      <c r="AV931">
        <v>86</v>
      </c>
      <c r="AW931">
        <v>2</v>
      </c>
      <c r="AX931" t="s">
        <v>74</v>
      </c>
      <c r="AY931" t="s">
        <v>74</v>
      </c>
      <c r="AZ931" t="s">
        <v>74</v>
      </c>
      <c r="BA931" t="s">
        <v>74</v>
      </c>
      <c r="BB931" t="s">
        <v>15840</v>
      </c>
      <c r="BC931" t="s">
        <v>15841</v>
      </c>
      <c r="BD931" t="s">
        <v>74</v>
      </c>
      <c r="BE931" t="s">
        <v>15842</v>
      </c>
      <c r="BF931" t="str">
        <f>HYPERLINK("http://dx.doi.org/10.1016/j.jaad.2021.01.090","http://dx.doi.org/10.1016/j.jaad.2021.01.090")</f>
        <v>http://dx.doi.org/10.1016/j.jaad.2021.01.090</v>
      </c>
      <c r="BG931" t="s">
        <v>74</v>
      </c>
      <c r="BH931" t="s">
        <v>2076</v>
      </c>
      <c r="BI931">
        <v>3</v>
      </c>
      <c r="BJ931" t="s">
        <v>1341</v>
      </c>
      <c r="BK931" t="s">
        <v>209</v>
      </c>
      <c r="BL931" t="s">
        <v>1341</v>
      </c>
      <c r="BM931" t="s">
        <v>15843</v>
      </c>
      <c r="BN931">
        <v>33545222</v>
      </c>
      <c r="BO931" t="s">
        <v>767</v>
      </c>
      <c r="BP931" t="s">
        <v>74</v>
      </c>
      <c r="BQ931" t="s">
        <v>74</v>
      </c>
      <c r="BR931" t="s">
        <v>102</v>
      </c>
      <c r="BS931" t="s">
        <v>15844</v>
      </c>
      <c r="BT931" t="str">
        <f>HYPERLINK("https%3A%2F%2Fwww.webofscience.com%2Fwos%2Fwoscc%2Ffull-record%2FWOS:000748997000018","View Full Record in Web of Science")</f>
        <v>View Full Record in Web of Science</v>
      </c>
    </row>
    <row r="932" spans="1:72" x14ac:dyDescent="0.35">
      <c r="A932" t="s">
        <v>72</v>
      </c>
      <c r="B932" t="s">
        <v>15845</v>
      </c>
      <c r="C932" t="s">
        <v>74</v>
      </c>
      <c r="D932" t="s">
        <v>74</v>
      </c>
      <c r="E932" t="s">
        <v>74</v>
      </c>
      <c r="F932" t="s">
        <v>15846</v>
      </c>
      <c r="G932" t="s">
        <v>74</v>
      </c>
      <c r="H932" t="s">
        <v>74</v>
      </c>
      <c r="I932" t="s">
        <v>15847</v>
      </c>
      <c r="J932" t="s">
        <v>1034</v>
      </c>
      <c r="K932" t="s">
        <v>74</v>
      </c>
      <c r="L932" t="s">
        <v>74</v>
      </c>
      <c r="M932" t="s">
        <v>78</v>
      </c>
      <c r="N932" t="s">
        <v>108</v>
      </c>
      <c r="O932" t="s">
        <v>74</v>
      </c>
      <c r="P932" t="s">
        <v>74</v>
      </c>
      <c r="Q932" t="s">
        <v>74</v>
      </c>
      <c r="R932" t="s">
        <v>74</v>
      </c>
      <c r="S932" t="s">
        <v>74</v>
      </c>
      <c r="T932" t="s">
        <v>15848</v>
      </c>
      <c r="U932" t="s">
        <v>74</v>
      </c>
      <c r="V932" t="s">
        <v>15849</v>
      </c>
      <c r="W932" t="s">
        <v>15850</v>
      </c>
      <c r="X932" t="s">
        <v>15851</v>
      </c>
      <c r="Y932" t="s">
        <v>15852</v>
      </c>
      <c r="Z932" t="s">
        <v>15853</v>
      </c>
      <c r="AA932" t="s">
        <v>15854</v>
      </c>
      <c r="AB932" t="s">
        <v>15855</v>
      </c>
      <c r="AC932" t="s">
        <v>74</v>
      </c>
      <c r="AD932" t="s">
        <v>74</v>
      </c>
      <c r="AE932" t="s">
        <v>74</v>
      </c>
      <c r="AF932" t="s">
        <v>74</v>
      </c>
      <c r="AG932">
        <v>76</v>
      </c>
      <c r="AH932">
        <v>3</v>
      </c>
      <c r="AI932">
        <v>3</v>
      </c>
      <c r="AJ932">
        <v>16</v>
      </c>
      <c r="AK932">
        <v>56</v>
      </c>
      <c r="AL932" t="s">
        <v>226</v>
      </c>
      <c r="AM932" t="s">
        <v>227</v>
      </c>
      <c r="AN932" t="s">
        <v>228</v>
      </c>
      <c r="AO932" t="s">
        <v>1041</v>
      </c>
      <c r="AP932" t="s">
        <v>1042</v>
      </c>
      <c r="AQ932" t="s">
        <v>74</v>
      </c>
      <c r="AR932" t="s">
        <v>1043</v>
      </c>
      <c r="AS932" t="s">
        <v>1044</v>
      </c>
      <c r="AT932" t="s">
        <v>523</v>
      </c>
      <c r="AU932">
        <v>2023</v>
      </c>
      <c r="AV932">
        <v>45</v>
      </c>
      <c r="AW932">
        <v>8</v>
      </c>
      <c r="AX932" t="s">
        <v>74</v>
      </c>
      <c r="AY932" t="s">
        <v>74</v>
      </c>
      <c r="AZ932" t="s">
        <v>456</v>
      </c>
      <c r="BA932" t="s">
        <v>74</v>
      </c>
      <c r="BB932">
        <v>1583</v>
      </c>
      <c r="BC932">
        <v>1599</v>
      </c>
      <c r="BD932" t="s">
        <v>74</v>
      </c>
      <c r="BE932" t="s">
        <v>15856</v>
      </c>
      <c r="BF932" t="str">
        <f>HYPERLINK("http://dx.doi.org/10.1177/01634437231174351","http://dx.doi.org/10.1177/01634437231174351")</f>
        <v>http://dx.doi.org/10.1177/01634437231174351</v>
      </c>
      <c r="BG932" t="s">
        <v>74</v>
      </c>
      <c r="BH932" t="s">
        <v>180</v>
      </c>
      <c r="BI932">
        <v>17</v>
      </c>
      <c r="BJ932" t="s">
        <v>1047</v>
      </c>
      <c r="BK932" t="s">
        <v>99</v>
      </c>
      <c r="BL932" t="s">
        <v>1047</v>
      </c>
      <c r="BM932" t="s">
        <v>1048</v>
      </c>
      <c r="BN932" t="s">
        <v>74</v>
      </c>
      <c r="BO932" t="s">
        <v>74</v>
      </c>
      <c r="BP932" t="s">
        <v>74</v>
      </c>
      <c r="BQ932" t="s">
        <v>74</v>
      </c>
      <c r="BR932" t="s">
        <v>102</v>
      </c>
      <c r="BS932" t="s">
        <v>15857</v>
      </c>
      <c r="BT932" t="str">
        <f>HYPERLINK("https%3A%2F%2Fwww.webofscience.com%2Fwos%2Fwoscc%2Ffull-record%2FWOS:001001270000001","View Full Record in Web of Science")</f>
        <v>View Full Record in Web of Science</v>
      </c>
    </row>
    <row r="933" spans="1:72" x14ac:dyDescent="0.35">
      <c r="A933" t="s">
        <v>72</v>
      </c>
      <c r="B933" t="s">
        <v>15858</v>
      </c>
      <c r="C933" t="s">
        <v>74</v>
      </c>
      <c r="D933" t="s">
        <v>74</v>
      </c>
      <c r="E933" t="s">
        <v>74</v>
      </c>
      <c r="F933" t="s">
        <v>15859</v>
      </c>
      <c r="G933" t="s">
        <v>74</v>
      </c>
      <c r="H933" t="s">
        <v>74</v>
      </c>
      <c r="I933" t="s">
        <v>15860</v>
      </c>
      <c r="J933" t="s">
        <v>15861</v>
      </c>
      <c r="K933" t="s">
        <v>74</v>
      </c>
      <c r="L933" t="s">
        <v>74</v>
      </c>
      <c r="M933" t="s">
        <v>3503</v>
      </c>
      <c r="N933" t="s">
        <v>108</v>
      </c>
      <c r="O933" t="s">
        <v>74</v>
      </c>
      <c r="P933" t="s">
        <v>74</v>
      </c>
      <c r="Q933" t="s">
        <v>74</v>
      </c>
      <c r="R933" t="s">
        <v>74</v>
      </c>
      <c r="S933" t="s">
        <v>74</v>
      </c>
      <c r="T933" t="s">
        <v>15862</v>
      </c>
      <c r="U933" t="s">
        <v>15863</v>
      </c>
      <c r="V933" t="s">
        <v>15864</v>
      </c>
      <c r="W933" t="s">
        <v>15865</v>
      </c>
      <c r="X933" t="s">
        <v>15866</v>
      </c>
      <c r="Y933" t="s">
        <v>15867</v>
      </c>
      <c r="Z933" t="s">
        <v>74</v>
      </c>
      <c r="AA933" t="s">
        <v>15868</v>
      </c>
      <c r="AB933" t="s">
        <v>15869</v>
      </c>
      <c r="AC933" t="s">
        <v>74</v>
      </c>
      <c r="AD933" t="s">
        <v>74</v>
      </c>
      <c r="AE933" t="s">
        <v>74</v>
      </c>
      <c r="AF933" t="s">
        <v>74</v>
      </c>
      <c r="AG933">
        <v>46</v>
      </c>
      <c r="AH933">
        <v>13</v>
      </c>
      <c r="AI933">
        <v>14</v>
      </c>
      <c r="AJ933">
        <v>13</v>
      </c>
      <c r="AK933">
        <v>116</v>
      </c>
      <c r="AL933" t="s">
        <v>15870</v>
      </c>
      <c r="AM933" t="s">
        <v>15871</v>
      </c>
      <c r="AN933" t="s">
        <v>15872</v>
      </c>
      <c r="AO933" t="s">
        <v>15873</v>
      </c>
      <c r="AP933" t="s">
        <v>15874</v>
      </c>
      <c r="AQ933" t="s">
        <v>74</v>
      </c>
      <c r="AR933" t="s">
        <v>15861</v>
      </c>
      <c r="AS933" t="s">
        <v>15875</v>
      </c>
      <c r="AT933" t="s">
        <v>930</v>
      </c>
      <c r="AU933">
        <v>2022</v>
      </c>
      <c r="AV933">
        <v>30</v>
      </c>
      <c r="AW933">
        <v>71</v>
      </c>
      <c r="AX933" t="s">
        <v>74</v>
      </c>
      <c r="AY933" t="s">
        <v>74</v>
      </c>
      <c r="AZ933" t="s">
        <v>74</v>
      </c>
      <c r="BA933" t="s">
        <v>74</v>
      </c>
      <c r="BB933" t="s">
        <v>74</v>
      </c>
      <c r="BC933" t="s">
        <v>74</v>
      </c>
      <c r="BD933" t="s">
        <v>74</v>
      </c>
      <c r="BE933" t="s">
        <v>15876</v>
      </c>
      <c r="BF933" t="str">
        <f>HYPERLINK("http://dx.doi.org/10.3916/C71-2022-09","http://dx.doi.org/10.3916/C71-2022-09")</f>
        <v>http://dx.doi.org/10.3916/C71-2022-09</v>
      </c>
      <c r="BG933" t="s">
        <v>74</v>
      </c>
      <c r="BH933" t="s">
        <v>74</v>
      </c>
      <c r="BI933">
        <v>12</v>
      </c>
      <c r="BJ933" t="s">
        <v>15877</v>
      </c>
      <c r="BK933" t="s">
        <v>99</v>
      </c>
      <c r="BL933" t="s">
        <v>15877</v>
      </c>
      <c r="BM933" t="s">
        <v>15878</v>
      </c>
      <c r="BN933" t="s">
        <v>74</v>
      </c>
      <c r="BO933" t="s">
        <v>15879</v>
      </c>
      <c r="BP933" t="s">
        <v>74</v>
      </c>
      <c r="BQ933" t="s">
        <v>74</v>
      </c>
      <c r="BR933" t="s">
        <v>102</v>
      </c>
      <c r="BS933" t="s">
        <v>15880</v>
      </c>
      <c r="BT933" t="str">
        <f>HYPERLINK("https%3A%2F%2Fwww.webofscience.com%2Fwos%2Fwoscc%2Ffull-record%2FWOS:000747736200009","View Full Record in Web of Science")</f>
        <v>View Full Record in Web of Science</v>
      </c>
    </row>
    <row r="934" spans="1:72" x14ac:dyDescent="0.35">
      <c r="A934" t="s">
        <v>72</v>
      </c>
      <c r="B934" t="s">
        <v>15881</v>
      </c>
      <c r="C934" t="s">
        <v>74</v>
      </c>
      <c r="D934" t="s">
        <v>74</v>
      </c>
      <c r="E934" t="s">
        <v>74</v>
      </c>
      <c r="F934" t="s">
        <v>15882</v>
      </c>
      <c r="G934" t="s">
        <v>74</v>
      </c>
      <c r="H934" t="s">
        <v>74</v>
      </c>
      <c r="I934" t="s">
        <v>15883</v>
      </c>
      <c r="J934" t="s">
        <v>2582</v>
      </c>
      <c r="K934" t="s">
        <v>74</v>
      </c>
      <c r="L934" t="s">
        <v>74</v>
      </c>
      <c r="M934" t="s">
        <v>78</v>
      </c>
      <c r="N934" t="s">
        <v>108</v>
      </c>
      <c r="O934" t="s">
        <v>74</v>
      </c>
      <c r="P934" t="s">
        <v>74</v>
      </c>
      <c r="Q934" t="s">
        <v>74</v>
      </c>
      <c r="R934" t="s">
        <v>74</v>
      </c>
      <c r="S934" t="s">
        <v>74</v>
      </c>
      <c r="T934" t="s">
        <v>15884</v>
      </c>
      <c r="U934" t="s">
        <v>15885</v>
      </c>
      <c r="V934" t="s">
        <v>15886</v>
      </c>
      <c r="W934" t="s">
        <v>15887</v>
      </c>
      <c r="X934" t="s">
        <v>15888</v>
      </c>
      <c r="Y934" t="s">
        <v>15889</v>
      </c>
      <c r="Z934" t="s">
        <v>15890</v>
      </c>
      <c r="AA934" t="s">
        <v>74</v>
      </c>
      <c r="AB934" t="s">
        <v>15891</v>
      </c>
      <c r="AC934" t="s">
        <v>74</v>
      </c>
      <c r="AD934" t="s">
        <v>74</v>
      </c>
      <c r="AE934" t="s">
        <v>74</v>
      </c>
      <c r="AF934" t="s">
        <v>74</v>
      </c>
      <c r="AG934">
        <v>50</v>
      </c>
      <c r="AH934">
        <v>35</v>
      </c>
      <c r="AI934">
        <v>38</v>
      </c>
      <c r="AJ934">
        <v>16</v>
      </c>
      <c r="AK934">
        <v>135</v>
      </c>
      <c r="AL934" t="s">
        <v>88</v>
      </c>
      <c r="AM934" t="s">
        <v>89</v>
      </c>
      <c r="AN934" t="s">
        <v>90</v>
      </c>
      <c r="AO934" t="s">
        <v>2595</v>
      </c>
      <c r="AP934" t="s">
        <v>2596</v>
      </c>
      <c r="AQ934" t="s">
        <v>74</v>
      </c>
      <c r="AR934" t="s">
        <v>2597</v>
      </c>
      <c r="AS934" t="s">
        <v>2598</v>
      </c>
      <c r="AT934" t="s">
        <v>15892</v>
      </c>
      <c r="AU934">
        <v>2023</v>
      </c>
      <c r="AV934">
        <v>26</v>
      </c>
      <c r="AW934">
        <v>7</v>
      </c>
      <c r="AX934" t="s">
        <v>74</v>
      </c>
      <c r="AY934" t="s">
        <v>74</v>
      </c>
      <c r="AZ934" t="s">
        <v>74</v>
      </c>
      <c r="BA934" t="s">
        <v>74</v>
      </c>
      <c r="BB934">
        <v>925</v>
      </c>
      <c r="BC934">
        <v>946</v>
      </c>
      <c r="BD934" t="s">
        <v>74</v>
      </c>
      <c r="BE934" t="s">
        <v>15893</v>
      </c>
      <c r="BF934" t="str">
        <f>HYPERLINK("http://dx.doi.org/10.1080/13676261.2022.2053671","http://dx.doi.org/10.1080/13676261.2022.2053671")</f>
        <v>http://dx.doi.org/10.1080/13676261.2022.2053671</v>
      </c>
      <c r="BG934" t="s">
        <v>74</v>
      </c>
      <c r="BH934" t="s">
        <v>4941</v>
      </c>
      <c r="BI934">
        <v>22</v>
      </c>
      <c r="BJ934" t="s">
        <v>98</v>
      </c>
      <c r="BK934" t="s">
        <v>99</v>
      </c>
      <c r="BL934" t="s">
        <v>100</v>
      </c>
      <c r="BM934" t="s">
        <v>15894</v>
      </c>
      <c r="BN934" t="s">
        <v>74</v>
      </c>
      <c r="BO934" t="s">
        <v>74</v>
      </c>
      <c r="BP934" t="s">
        <v>74</v>
      </c>
      <c r="BQ934" t="s">
        <v>74</v>
      </c>
      <c r="BR934" t="s">
        <v>102</v>
      </c>
      <c r="BS934" t="s">
        <v>15895</v>
      </c>
      <c r="BT934" t="str">
        <f>HYPERLINK("https%3A%2F%2Fwww.webofscience.com%2Fwos%2Fwoscc%2Ffull-record%2FWOS:000777090300001","View Full Record in Web of Science")</f>
        <v>View Full Record in Web of Science</v>
      </c>
    </row>
    <row r="935" spans="1:72" x14ac:dyDescent="0.35">
      <c r="A935" t="s">
        <v>72</v>
      </c>
      <c r="B935" t="s">
        <v>15896</v>
      </c>
      <c r="C935" t="s">
        <v>74</v>
      </c>
      <c r="D935" t="s">
        <v>74</v>
      </c>
      <c r="E935" t="s">
        <v>74</v>
      </c>
      <c r="F935" t="s">
        <v>15897</v>
      </c>
      <c r="G935" t="s">
        <v>74</v>
      </c>
      <c r="H935" t="s">
        <v>74</v>
      </c>
      <c r="I935" t="s">
        <v>15898</v>
      </c>
      <c r="J935" t="s">
        <v>10612</v>
      </c>
      <c r="K935" t="s">
        <v>74</v>
      </c>
      <c r="L935" t="s">
        <v>74</v>
      </c>
      <c r="M935" t="s">
        <v>78</v>
      </c>
      <c r="N935" t="s">
        <v>108</v>
      </c>
      <c r="O935" t="s">
        <v>74</v>
      </c>
      <c r="P935" t="s">
        <v>74</v>
      </c>
      <c r="Q935" t="s">
        <v>74</v>
      </c>
      <c r="R935" t="s">
        <v>74</v>
      </c>
      <c r="S935" t="s">
        <v>74</v>
      </c>
      <c r="T935" t="s">
        <v>74</v>
      </c>
      <c r="U935" t="s">
        <v>74</v>
      </c>
      <c r="V935" t="s">
        <v>15899</v>
      </c>
      <c r="W935" t="s">
        <v>15900</v>
      </c>
      <c r="X935" t="s">
        <v>15901</v>
      </c>
      <c r="Y935" t="s">
        <v>15902</v>
      </c>
      <c r="Z935" t="s">
        <v>15903</v>
      </c>
      <c r="AA935" t="s">
        <v>74</v>
      </c>
      <c r="AB935" t="s">
        <v>74</v>
      </c>
      <c r="AC935" t="s">
        <v>74</v>
      </c>
      <c r="AD935" t="s">
        <v>74</v>
      </c>
      <c r="AE935" t="s">
        <v>74</v>
      </c>
      <c r="AF935" t="s">
        <v>74</v>
      </c>
      <c r="AG935">
        <v>17</v>
      </c>
      <c r="AH935">
        <v>0</v>
      </c>
      <c r="AI935">
        <v>0</v>
      </c>
      <c r="AJ935">
        <v>0</v>
      </c>
      <c r="AK935">
        <v>0</v>
      </c>
      <c r="AL935" t="s">
        <v>1901</v>
      </c>
      <c r="AM935" t="s">
        <v>995</v>
      </c>
      <c r="AN935" t="s">
        <v>1902</v>
      </c>
      <c r="AO935" t="s">
        <v>10620</v>
      </c>
      <c r="AP935" t="s">
        <v>74</v>
      </c>
      <c r="AQ935" t="s">
        <v>74</v>
      </c>
      <c r="AR935" t="s">
        <v>10621</v>
      </c>
      <c r="AS935" t="s">
        <v>10622</v>
      </c>
      <c r="AT935" t="s">
        <v>297</v>
      </c>
      <c r="AU935">
        <v>2024</v>
      </c>
      <c r="AV935">
        <v>12</v>
      </c>
      <c r="AW935">
        <v>8</v>
      </c>
      <c r="AX935" t="s">
        <v>74</v>
      </c>
      <c r="AY935" t="s">
        <v>74</v>
      </c>
      <c r="AZ935" t="s">
        <v>74</v>
      </c>
      <c r="BA935" t="s">
        <v>74</v>
      </c>
      <c r="BB935" t="s">
        <v>74</v>
      </c>
      <c r="BC935" t="s">
        <v>74</v>
      </c>
      <c r="BD935" t="s">
        <v>15904</v>
      </c>
      <c r="BE935" t="s">
        <v>15905</v>
      </c>
      <c r="BF935" t="str">
        <f>HYPERLINK("http://dx.doi.org/10.1097/GOX.0000000000006056","http://dx.doi.org/10.1097/GOX.0000000000006056")</f>
        <v>http://dx.doi.org/10.1097/GOX.0000000000006056</v>
      </c>
      <c r="BG935" t="s">
        <v>74</v>
      </c>
      <c r="BH935" t="s">
        <v>74</v>
      </c>
      <c r="BI935">
        <v>8</v>
      </c>
      <c r="BJ935" t="s">
        <v>4994</v>
      </c>
      <c r="BK935" t="s">
        <v>125</v>
      </c>
      <c r="BL935" t="s">
        <v>4994</v>
      </c>
      <c r="BM935" t="s">
        <v>15906</v>
      </c>
      <c r="BN935">
        <v>39157707</v>
      </c>
      <c r="BO935" t="s">
        <v>235</v>
      </c>
      <c r="BP935" t="s">
        <v>74</v>
      </c>
      <c r="BQ935" t="s">
        <v>74</v>
      </c>
      <c r="BR935" t="s">
        <v>102</v>
      </c>
      <c r="BS935" t="s">
        <v>15907</v>
      </c>
      <c r="BT935" t="str">
        <f>HYPERLINK("https%3A%2F%2Fwww.webofscience.com%2Fwos%2Fwoscc%2Ffull-record%2FWOS:001291545300002","View Full Record in Web of Science")</f>
        <v>View Full Record in Web of Science</v>
      </c>
    </row>
    <row r="936" spans="1:72" x14ac:dyDescent="0.35">
      <c r="A936" t="s">
        <v>72</v>
      </c>
      <c r="B936" t="s">
        <v>15908</v>
      </c>
      <c r="C936" t="s">
        <v>74</v>
      </c>
      <c r="D936" t="s">
        <v>74</v>
      </c>
      <c r="E936" t="s">
        <v>74</v>
      </c>
      <c r="F936" t="s">
        <v>15909</v>
      </c>
      <c r="G936" t="s">
        <v>74</v>
      </c>
      <c r="H936" t="s">
        <v>74</v>
      </c>
      <c r="I936" t="s">
        <v>15910</v>
      </c>
      <c r="J936" t="s">
        <v>1186</v>
      </c>
      <c r="K936" t="s">
        <v>74</v>
      </c>
      <c r="L936" t="s">
        <v>74</v>
      </c>
      <c r="M936" t="s">
        <v>78</v>
      </c>
      <c r="N936" t="s">
        <v>108</v>
      </c>
      <c r="O936" t="s">
        <v>74</v>
      </c>
      <c r="P936" t="s">
        <v>74</v>
      </c>
      <c r="Q936" t="s">
        <v>74</v>
      </c>
      <c r="R936" t="s">
        <v>74</v>
      </c>
      <c r="S936" t="s">
        <v>74</v>
      </c>
      <c r="T936" t="s">
        <v>15911</v>
      </c>
      <c r="U936" t="s">
        <v>15912</v>
      </c>
      <c r="V936" t="s">
        <v>15913</v>
      </c>
      <c r="W936" t="s">
        <v>15914</v>
      </c>
      <c r="X936" t="s">
        <v>15915</v>
      </c>
      <c r="Y936" t="s">
        <v>15916</v>
      </c>
      <c r="Z936" t="s">
        <v>15917</v>
      </c>
      <c r="AA936" t="s">
        <v>15918</v>
      </c>
      <c r="AB936" t="s">
        <v>15919</v>
      </c>
      <c r="AC936" t="s">
        <v>15920</v>
      </c>
      <c r="AD936" t="s">
        <v>15921</v>
      </c>
      <c r="AE936" t="s">
        <v>15922</v>
      </c>
      <c r="AF936" t="s">
        <v>74</v>
      </c>
      <c r="AG936">
        <v>30</v>
      </c>
      <c r="AH936">
        <v>16</v>
      </c>
      <c r="AI936">
        <v>16</v>
      </c>
      <c r="AJ936">
        <v>1</v>
      </c>
      <c r="AK936">
        <v>8</v>
      </c>
      <c r="AL936" t="s">
        <v>1195</v>
      </c>
      <c r="AM936" t="s">
        <v>1196</v>
      </c>
      <c r="AN936" t="s">
        <v>1197</v>
      </c>
      <c r="AO936" t="s">
        <v>74</v>
      </c>
      <c r="AP936" t="s">
        <v>1198</v>
      </c>
      <c r="AQ936" t="s">
        <v>74</v>
      </c>
      <c r="AR936" t="s">
        <v>1199</v>
      </c>
      <c r="AS936" t="s">
        <v>1200</v>
      </c>
      <c r="AT936" t="s">
        <v>178</v>
      </c>
      <c r="AU936">
        <v>2022</v>
      </c>
      <c r="AV936">
        <v>19</v>
      </c>
      <c r="AW936">
        <v>3</v>
      </c>
      <c r="AX936" t="s">
        <v>74</v>
      </c>
      <c r="AY936" t="s">
        <v>74</v>
      </c>
      <c r="AZ936" t="s">
        <v>74</v>
      </c>
      <c r="BA936" t="s">
        <v>74</v>
      </c>
      <c r="BB936" t="s">
        <v>74</v>
      </c>
      <c r="BC936" t="s">
        <v>74</v>
      </c>
      <c r="BD936">
        <v>1141</v>
      </c>
      <c r="BE936" t="s">
        <v>15923</v>
      </c>
      <c r="BF936" t="str">
        <f>HYPERLINK("http://dx.doi.org/10.3390/ijerph19031141","http://dx.doi.org/10.3390/ijerph19031141")</f>
        <v>http://dx.doi.org/10.3390/ijerph19031141</v>
      </c>
      <c r="BG936" t="s">
        <v>74</v>
      </c>
      <c r="BH936" t="s">
        <v>74</v>
      </c>
      <c r="BI936">
        <v>9</v>
      </c>
      <c r="BJ936" t="s">
        <v>1202</v>
      </c>
      <c r="BK936" t="s">
        <v>182</v>
      </c>
      <c r="BL936" t="s">
        <v>1203</v>
      </c>
      <c r="BM936" t="s">
        <v>15924</v>
      </c>
      <c r="BN936">
        <v>35162170</v>
      </c>
      <c r="BO936" t="s">
        <v>394</v>
      </c>
      <c r="BP936" t="s">
        <v>74</v>
      </c>
      <c r="BQ936" t="s">
        <v>74</v>
      </c>
      <c r="BR936" t="s">
        <v>102</v>
      </c>
      <c r="BS936" t="s">
        <v>15925</v>
      </c>
      <c r="BT936" t="str">
        <f>HYPERLINK("https%3A%2F%2Fwww.webofscience.com%2Fwos%2Fwoscc%2Ffull-record%2FWOS:000760019000001","View Full Record in Web of Science")</f>
        <v>View Full Record in Web of Science</v>
      </c>
    </row>
    <row r="937" spans="1:72" x14ac:dyDescent="0.35">
      <c r="A937" t="s">
        <v>72</v>
      </c>
      <c r="B937" t="s">
        <v>15926</v>
      </c>
      <c r="C937" t="s">
        <v>74</v>
      </c>
      <c r="D937" t="s">
        <v>74</v>
      </c>
      <c r="E937" t="s">
        <v>74</v>
      </c>
      <c r="F937" t="s">
        <v>15927</v>
      </c>
      <c r="G937" t="s">
        <v>74</v>
      </c>
      <c r="H937" t="s">
        <v>74</v>
      </c>
      <c r="I937" t="s">
        <v>15928</v>
      </c>
      <c r="J937" t="s">
        <v>8249</v>
      </c>
      <c r="K937" t="s">
        <v>74</v>
      </c>
      <c r="L937" t="s">
        <v>74</v>
      </c>
      <c r="M937" t="s">
        <v>3503</v>
      </c>
      <c r="N937" t="s">
        <v>108</v>
      </c>
      <c r="O937" t="s">
        <v>74</v>
      </c>
      <c r="P937" t="s">
        <v>74</v>
      </c>
      <c r="Q937" t="s">
        <v>74</v>
      </c>
      <c r="R937" t="s">
        <v>74</v>
      </c>
      <c r="S937" t="s">
        <v>74</v>
      </c>
      <c r="T937" t="s">
        <v>15929</v>
      </c>
      <c r="U937" t="s">
        <v>15930</v>
      </c>
      <c r="V937" t="s">
        <v>15931</v>
      </c>
      <c r="W937" t="s">
        <v>15932</v>
      </c>
      <c r="X937" t="s">
        <v>14433</v>
      </c>
      <c r="Y937" t="s">
        <v>15933</v>
      </c>
      <c r="Z937" t="s">
        <v>15934</v>
      </c>
      <c r="AA937" t="s">
        <v>13769</v>
      </c>
      <c r="AB937" t="s">
        <v>13770</v>
      </c>
      <c r="AC937" t="s">
        <v>74</v>
      </c>
      <c r="AD937" t="s">
        <v>74</v>
      </c>
      <c r="AE937" t="s">
        <v>74</v>
      </c>
      <c r="AF937" t="s">
        <v>74</v>
      </c>
      <c r="AG937">
        <v>86</v>
      </c>
      <c r="AH937">
        <v>28</v>
      </c>
      <c r="AI937">
        <v>28</v>
      </c>
      <c r="AJ937">
        <v>4</v>
      </c>
      <c r="AK937">
        <v>59</v>
      </c>
      <c r="AL937" t="s">
        <v>10032</v>
      </c>
      <c r="AM937" t="s">
        <v>10033</v>
      </c>
      <c r="AN937" t="s">
        <v>10034</v>
      </c>
      <c r="AO937" t="s">
        <v>8259</v>
      </c>
      <c r="AP937" t="s">
        <v>74</v>
      </c>
      <c r="AQ937" t="s">
        <v>74</v>
      </c>
      <c r="AR937" t="s">
        <v>8260</v>
      </c>
      <c r="AS937" t="s">
        <v>8261</v>
      </c>
      <c r="AT937" t="s">
        <v>74</v>
      </c>
      <c r="AU937">
        <v>2021</v>
      </c>
      <c r="AV937">
        <v>79</v>
      </c>
      <c r="AW937" t="s">
        <v>74</v>
      </c>
      <c r="AX937" t="s">
        <v>74</v>
      </c>
      <c r="AY937" t="s">
        <v>74</v>
      </c>
      <c r="AZ937" t="s">
        <v>74</v>
      </c>
      <c r="BA937" t="s">
        <v>74</v>
      </c>
      <c r="BB937">
        <v>1</v>
      </c>
      <c r="BC937">
        <v>22</v>
      </c>
      <c r="BD937" t="s">
        <v>74</v>
      </c>
      <c r="BE937" t="s">
        <v>15935</v>
      </c>
      <c r="BF937" t="str">
        <f>HYPERLINK("http://dx.doi.org/10.4185/RLCS-2021-1503","http://dx.doi.org/10.4185/RLCS-2021-1503")</f>
        <v>http://dx.doi.org/10.4185/RLCS-2021-1503</v>
      </c>
      <c r="BG937" t="s">
        <v>74</v>
      </c>
      <c r="BH937" t="s">
        <v>74</v>
      </c>
      <c r="BI937">
        <v>22</v>
      </c>
      <c r="BJ937" t="s">
        <v>124</v>
      </c>
      <c r="BK937" t="s">
        <v>125</v>
      </c>
      <c r="BL937" t="s">
        <v>124</v>
      </c>
      <c r="BM937" t="s">
        <v>15936</v>
      </c>
      <c r="BN937" t="s">
        <v>74</v>
      </c>
      <c r="BO937" t="s">
        <v>235</v>
      </c>
      <c r="BP937" t="s">
        <v>74</v>
      </c>
      <c r="BQ937" t="s">
        <v>74</v>
      </c>
      <c r="BR937" t="s">
        <v>102</v>
      </c>
      <c r="BS937" t="s">
        <v>15937</v>
      </c>
      <c r="BT937" t="str">
        <f>HYPERLINK("https%3A%2F%2Fwww.webofscience.com%2Fwos%2Fwoscc%2Ffull-record%2FWOS:000752046300001","View Full Record in Web of Science")</f>
        <v>View Full Record in Web of Science</v>
      </c>
    </row>
    <row r="938" spans="1:72" x14ac:dyDescent="0.35">
      <c r="A938" t="s">
        <v>72</v>
      </c>
      <c r="B938" t="s">
        <v>15938</v>
      </c>
      <c r="C938" t="s">
        <v>74</v>
      </c>
      <c r="D938" t="s">
        <v>74</v>
      </c>
      <c r="E938" t="s">
        <v>74</v>
      </c>
      <c r="F938" t="s">
        <v>15939</v>
      </c>
      <c r="G938" t="s">
        <v>74</v>
      </c>
      <c r="H938" t="s">
        <v>74</v>
      </c>
      <c r="I938" t="s">
        <v>15940</v>
      </c>
      <c r="J938" t="s">
        <v>9090</v>
      </c>
      <c r="K938" t="s">
        <v>74</v>
      </c>
      <c r="L938" t="s">
        <v>74</v>
      </c>
      <c r="M938" t="s">
        <v>78</v>
      </c>
      <c r="N938" t="s">
        <v>108</v>
      </c>
      <c r="O938" t="s">
        <v>74</v>
      </c>
      <c r="P938" t="s">
        <v>74</v>
      </c>
      <c r="Q938" t="s">
        <v>74</v>
      </c>
      <c r="R938" t="s">
        <v>74</v>
      </c>
      <c r="S938" t="s">
        <v>74</v>
      </c>
      <c r="T938" t="s">
        <v>74</v>
      </c>
      <c r="U938" t="s">
        <v>15941</v>
      </c>
      <c r="V938" t="s">
        <v>15942</v>
      </c>
      <c r="W938" t="s">
        <v>15943</v>
      </c>
      <c r="X938" t="s">
        <v>15944</v>
      </c>
      <c r="Y938" t="s">
        <v>15945</v>
      </c>
      <c r="Z938" t="s">
        <v>15946</v>
      </c>
      <c r="AA938" t="s">
        <v>74</v>
      </c>
      <c r="AB938" t="s">
        <v>15947</v>
      </c>
      <c r="AC938" t="s">
        <v>74</v>
      </c>
      <c r="AD938" t="s">
        <v>74</v>
      </c>
      <c r="AE938" t="s">
        <v>74</v>
      </c>
      <c r="AF938" t="s">
        <v>74</v>
      </c>
      <c r="AG938">
        <v>34</v>
      </c>
      <c r="AH938">
        <v>4</v>
      </c>
      <c r="AI938">
        <v>4</v>
      </c>
      <c r="AJ938">
        <v>3</v>
      </c>
      <c r="AK938">
        <v>6</v>
      </c>
      <c r="AL938" t="s">
        <v>2248</v>
      </c>
      <c r="AM938" t="s">
        <v>2249</v>
      </c>
      <c r="AN938" t="s">
        <v>2250</v>
      </c>
      <c r="AO938" t="s">
        <v>9096</v>
      </c>
      <c r="AP938" t="s">
        <v>9097</v>
      </c>
      <c r="AQ938" t="s">
        <v>74</v>
      </c>
      <c r="AR938" t="s">
        <v>9098</v>
      </c>
      <c r="AS938" t="s">
        <v>9099</v>
      </c>
      <c r="AT938" t="s">
        <v>6475</v>
      </c>
      <c r="AU938">
        <v>2023</v>
      </c>
      <c r="AV938">
        <v>43</v>
      </c>
      <c r="AW938">
        <v>9</v>
      </c>
      <c r="AX938" t="s">
        <v>74</v>
      </c>
      <c r="AY938" t="s">
        <v>74</v>
      </c>
      <c r="AZ938" t="s">
        <v>74</v>
      </c>
      <c r="BA938" t="s">
        <v>74</v>
      </c>
      <c r="BB938">
        <v>1048</v>
      </c>
      <c r="BC938">
        <v>1056</v>
      </c>
      <c r="BD938" t="s">
        <v>74</v>
      </c>
      <c r="BE938" t="s">
        <v>15948</v>
      </c>
      <c r="BF938" t="str">
        <f>HYPERLINK("http://dx.doi.org/10.1093/asj/sjad095","http://dx.doi.org/10.1093/asj/sjad095")</f>
        <v>http://dx.doi.org/10.1093/asj/sjad095</v>
      </c>
      <c r="BG938" t="s">
        <v>74</v>
      </c>
      <c r="BH938" t="s">
        <v>180</v>
      </c>
      <c r="BI938">
        <v>9</v>
      </c>
      <c r="BJ938" t="s">
        <v>4994</v>
      </c>
      <c r="BK938" t="s">
        <v>209</v>
      </c>
      <c r="BL938" t="s">
        <v>4994</v>
      </c>
      <c r="BM938" t="s">
        <v>15949</v>
      </c>
      <c r="BN938">
        <v>37032514</v>
      </c>
      <c r="BO938" t="s">
        <v>74</v>
      </c>
      <c r="BP938" t="s">
        <v>74</v>
      </c>
      <c r="BQ938" t="s">
        <v>74</v>
      </c>
      <c r="BR938" t="s">
        <v>102</v>
      </c>
      <c r="BS938" t="s">
        <v>15950</v>
      </c>
      <c r="BT938" t="str">
        <f>HYPERLINK("https%3A%2F%2Fwww.webofscience.com%2Fwos%2Fwoscc%2Ffull-record%2FWOS:000986253000001","View Full Record in Web of Science")</f>
        <v>View Full Record in Web of Science</v>
      </c>
    </row>
    <row r="939" spans="1:72" x14ac:dyDescent="0.35">
      <c r="A939" t="s">
        <v>72</v>
      </c>
      <c r="B939" t="s">
        <v>15951</v>
      </c>
      <c r="C939" t="s">
        <v>74</v>
      </c>
      <c r="D939" t="s">
        <v>74</v>
      </c>
      <c r="E939" t="s">
        <v>74</v>
      </c>
      <c r="F939" t="s">
        <v>15952</v>
      </c>
      <c r="G939" t="s">
        <v>74</v>
      </c>
      <c r="H939" t="s">
        <v>74</v>
      </c>
      <c r="I939" t="s">
        <v>15953</v>
      </c>
      <c r="J939" t="s">
        <v>10404</v>
      </c>
      <c r="K939" t="s">
        <v>74</v>
      </c>
      <c r="L939" t="s">
        <v>74</v>
      </c>
      <c r="M939" t="s">
        <v>78</v>
      </c>
      <c r="N939" t="s">
        <v>52</v>
      </c>
      <c r="O939" t="s">
        <v>10405</v>
      </c>
      <c r="P939" t="s">
        <v>10406</v>
      </c>
      <c r="Q939" t="s">
        <v>10407</v>
      </c>
      <c r="R939" t="s">
        <v>10408</v>
      </c>
      <c r="S939" t="s">
        <v>74</v>
      </c>
      <c r="T939" t="s">
        <v>74</v>
      </c>
      <c r="U939" t="s">
        <v>74</v>
      </c>
      <c r="V939" t="s">
        <v>74</v>
      </c>
      <c r="W939" t="s">
        <v>15954</v>
      </c>
      <c r="X939" t="s">
        <v>11557</v>
      </c>
      <c r="Y939" t="s">
        <v>74</v>
      </c>
      <c r="Z939" t="s">
        <v>74</v>
      </c>
      <c r="AA939" t="s">
        <v>74</v>
      </c>
      <c r="AB939" t="s">
        <v>74</v>
      </c>
      <c r="AC939" t="s">
        <v>15955</v>
      </c>
      <c r="AD939" t="s">
        <v>15955</v>
      </c>
      <c r="AE939" t="s">
        <v>15956</v>
      </c>
      <c r="AF939" t="s">
        <v>74</v>
      </c>
      <c r="AG939">
        <v>0</v>
      </c>
      <c r="AH939">
        <v>0</v>
      </c>
      <c r="AI939">
        <v>0</v>
      </c>
      <c r="AJ939">
        <v>0</v>
      </c>
      <c r="AK939">
        <v>0</v>
      </c>
      <c r="AL939" t="s">
        <v>1901</v>
      </c>
      <c r="AM939" t="s">
        <v>995</v>
      </c>
      <c r="AN939" t="s">
        <v>1902</v>
      </c>
      <c r="AO939" t="s">
        <v>10411</v>
      </c>
      <c r="AP939" t="s">
        <v>74</v>
      </c>
      <c r="AQ939" t="s">
        <v>74</v>
      </c>
      <c r="AR939" t="s">
        <v>10412</v>
      </c>
      <c r="AS939" t="s">
        <v>10413</v>
      </c>
      <c r="AT939" t="s">
        <v>745</v>
      </c>
      <c r="AU939">
        <v>2024</v>
      </c>
      <c r="AV939">
        <v>143</v>
      </c>
      <c r="AW939" t="s">
        <v>10414</v>
      </c>
      <c r="AX939" t="s">
        <v>74</v>
      </c>
      <c r="AY939">
        <v>5</v>
      </c>
      <c r="AZ939" t="s">
        <v>74</v>
      </c>
      <c r="BA939">
        <v>2683436</v>
      </c>
      <c r="BB939" t="s">
        <v>10415</v>
      </c>
      <c r="BC939" t="s">
        <v>10415</v>
      </c>
      <c r="BD939" t="s">
        <v>74</v>
      </c>
      <c r="BE939" t="s">
        <v>15957</v>
      </c>
      <c r="BF939" t="str">
        <f>HYPERLINK("http://dx.doi.org/10.1097/01.AOG.0001014040.57235.21","http://dx.doi.org/10.1097/01.AOG.0001014040.57235.21")</f>
        <v>http://dx.doi.org/10.1097/01.AOG.0001014040.57235.21</v>
      </c>
      <c r="BG939" t="s">
        <v>74</v>
      </c>
      <c r="BH939" t="s">
        <v>74</v>
      </c>
      <c r="BI939">
        <v>1</v>
      </c>
      <c r="BJ939" t="s">
        <v>1971</v>
      </c>
      <c r="BK939" t="s">
        <v>2257</v>
      </c>
      <c r="BL939" t="s">
        <v>1971</v>
      </c>
      <c r="BM939" t="s">
        <v>10417</v>
      </c>
      <c r="BN939" t="s">
        <v>74</v>
      </c>
      <c r="BO939" t="s">
        <v>767</v>
      </c>
      <c r="BP939" t="s">
        <v>74</v>
      </c>
      <c r="BQ939" t="s">
        <v>74</v>
      </c>
      <c r="BR939" t="s">
        <v>102</v>
      </c>
      <c r="BS939" t="s">
        <v>15958</v>
      </c>
      <c r="BT939" t="str">
        <f>HYPERLINK("https%3A%2F%2Fwww.webofscience.com%2Fwos%2Fwoscc%2Ffull-record%2FWOS:001258908200247","View Full Record in Web of Science")</f>
        <v>View Full Record in Web of Science</v>
      </c>
    </row>
    <row r="940" spans="1:72" x14ac:dyDescent="0.35">
      <c r="A940" t="s">
        <v>72</v>
      </c>
      <c r="B940" t="s">
        <v>15959</v>
      </c>
      <c r="C940" t="s">
        <v>74</v>
      </c>
      <c r="D940" t="s">
        <v>74</v>
      </c>
      <c r="E940" t="s">
        <v>74</v>
      </c>
      <c r="F940" t="s">
        <v>15960</v>
      </c>
      <c r="G940" t="s">
        <v>74</v>
      </c>
      <c r="H940" t="s">
        <v>74</v>
      </c>
      <c r="I940" t="s">
        <v>15961</v>
      </c>
      <c r="J940" t="s">
        <v>15962</v>
      </c>
      <c r="K940" t="s">
        <v>74</v>
      </c>
      <c r="L940" t="s">
        <v>74</v>
      </c>
      <c r="M940" t="s">
        <v>78</v>
      </c>
      <c r="N940" t="s">
        <v>9221</v>
      </c>
      <c r="O940" t="s">
        <v>74</v>
      </c>
      <c r="P940" t="s">
        <v>74</v>
      </c>
      <c r="Q940" t="s">
        <v>74</v>
      </c>
      <c r="R940" t="s">
        <v>74</v>
      </c>
      <c r="S940" t="s">
        <v>74</v>
      </c>
      <c r="T940" t="s">
        <v>74</v>
      </c>
      <c r="U940" t="s">
        <v>74</v>
      </c>
      <c r="V940" t="s">
        <v>15963</v>
      </c>
      <c r="W940" t="s">
        <v>74</v>
      </c>
      <c r="X940" t="s">
        <v>74</v>
      </c>
      <c r="Y940" t="s">
        <v>74</v>
      </c>
      <c r="Z940" t="s">
        <v>74</v>
      </c>
      <c r="AA940" t="s">
        <v>74</v>
      </c>
      <c r="AB940" t="s">
        <v>74</v>
      </c>
      <c r="AC940" t="s">
        <v>74</v>
      </c>
      <c r="AD940" t="s">
        <v>74</v>
      </c>
      <c r="AE940" t="s">
        <v>74</v>
      </c>
      <c r="AF940" t="s">
        <v>74</v>
      </c>
      <c r="AG940">
        <v>0</v>
      </c>
      <c r="AH940">
        <v>0</v>
      </c>
      <c r="AI940">
        <v>0</v>
      </c>
      <c r="AJ940">
        <v>7</v>
      </c>
      <c r="AK940">
        <v>10</v>
      </c>
      <c r="AL940" t="s">
        <v>15964</v>
      </c>
      <c r="AM940" t="s">
        <v>2853</v>
      </c>
      <c r="AN940" t="s">
        <v>15965</v>
      </c>
      <c r="AO940" t="s">
        <v>15966</v>
      </c>
      <c r="AP940" t="s">
        <v>15967</v>
      </c>
      <c r="AQ940" t="s">
        <v>74</v>
      </c>
      <c r="AR940" t="s">
        <v>15962</v>
      </c>
      <c r="AS940" t="s">
        <v>15968</v>
      </c>
      <c r="AT940" t="s">
        <v>10124</v>
      </c>
      <c r="AU940">
        <v>2024</v>
      </c>
      <c r="AV940">
        <v>383</v>
      </c>
      <c r="AW940">
        <v>6689</v>
      </c>
      <c r="AX940" t="s">
        <v>74</v>
      </c>
      <c r="AY940" t="s">
        <v>74</v>
      </c>
      <c r="AZ940" t="s">
        <v>74</v>
      </c>
      <c r="BA940" t="s">
        <v>74</v>
      </c>
      <c r="BB940">
        <v>1280</v>
      </c>
      <c r="BC940">
        <v>1280</v>
      </c>
      <c r="BD940" t="s">
        <v>74</v>
      </c>
      <c r="BE940" t="s">
        <v>15969</v>
      </c>
      <c r="BF940" t="str">
        <f>HYPERLINK("http://dx.doi.org/10.1126/science.adp3270","http://dx.doi.org/10.1126/science.adp3270")</f>
        <v>http://dx.doi.org/10.1126/science.adp3270</v>
      </c>
      <c r="BG940" t="s">
        <v>74</v>
      </c>
      <c r="BH940" t="s">
        <v>74</v>
      </c>
      <c r="BI940">
        <v>1</v>
      </c>
      <c r="BJ940" t="s">
        <v>1301</v>
      </c>
      <c r="BK940" t="s">
        <v>209</v>
      </c>
      <c r="BL940" t="s">
        <v>1302</v>
      </c>
      <c r="BM940" t="s">
        <v>15970</v>
      </c>
      <c r="BN940">
        <v>38513037</v>
      </c>
      <c r="BO940" t="s">
        <v>74</v>
      </c>
      <c r="BP940" t="s">
        <v>74</v>
      </c>
      <c r="BQ940" t="s">
        <v>74</v>
      </c>
      <c r="BR940" t="s">
        <v>102</v>
      </c>
      <c r="BS940" t="s">
        <v>15971</v>
      </c>
      <c r="BT940" t="str">
        <f>HYPERLINK("https%3A%2F%2Fwww.webofscience.com%2Fwos%2Fwoscc%2Ffull-record%2FWOS:001252955200025","View Full Record in Web of Science")</f>
        <v>View Full Record in Web of Science</v>
      </c>
    </row>
    <row r="941" spans="1:72" x14ac:dyDescent="0.35">
      <c r="A941" t="s">
        <v>72</v>
      </c>
      <c r="B941" t="s">
        <v>15972</v>
      </c>
      <c r="C941" t="s">
        <v>74</v>
      </c>
      <c r="D941" t="s">
        <v>74</v>
      </c>
      <c r="E941" t="s">
        <v>74</v>
      </c>
      <c r="F941" t="s">
        <v>15973</v>
      </c>
      <c r="G941" t="s">
        <v>74</v>
      </c>
      <c r="H941" t="s">
        <v>74</v>
      </c>
      <c r="I941" t="s">
        <v>15974</v>
      </c>
      <c r="J941" t="s">
        <v>5591</v>
      </c>
      <c r="K941" t="s">
        <v>74</v>
      </c>
      <c r="L941" t="s">
        <v>74</v>
      </c>
      <c r="M941" t="s">
        <v>78</v>
      </c>
      <c r="N941" t="s">
        <v>108</v>
      </c>
      <c r="O941" t="s">
        <v>74</v>
      </c>
      <c r="P941" t="s">
        <v>74</v>
      </c>
      <c r="Q941" t="s">
        <v>74</v>
      </c>
      <c r="R941" t="s">
        <v>74</v>
      </c>
      <c r="S941" t="s">
        <v>74</v>
      </c>
      <c r="T941" t="s">
        <v>74</v>
      </c>
      <c r="U941" t="s">
        <v>218</v>
      </c>
      <c r="V941" t="s">
        <v>15975</v>
      </c>
      <c r="W941" t="s">
        <v>15976</v>
      </c>
      <c r="X941" t="s">
        <v>15977</v>
      </c>
      <c r="Y941" t="s">
        <v>15978</v>
      </c>
      <c r="Z941" t="s">
        <v>15979</v>
      </c>
      <c r="AA941" t="s">
        <v>74</v>
      </c>
      <c r="AB941" t="s">
        <v>15980</v>
      </c>
      <c r="AC941" t="s">
        <v>74</v>
      </c>
      <c r="AD941" t="s">
        <v>74</v>
      </c>
      <c r="AE941" t="s">
        <v>74</v>
      </c>
      <c r="AF941" t="s">
        <v>74</v>
      </c>
      <c r="AG941">
        <v>28</v>
      </c>
      <c r="AH941">
        <v>10</v>
      </c>
      <c r="AI941">
        <v>10</v>
      </c>
      <c r="AJ941">
        <v>4</v>
      </c>
      <c r="AK941">
        <v>8</v>
      </c>
      <c r="AL941" t="s">
        <v>1965</v>
      </c>
      <c r="AM941" t="s">
        <v>666</v>
      </c>
      <c r="AN941" t="s">
        <v>1966</v>
      </c>
      <c r="AO941" t="s">
        <v>5601</v>
      </c>
      <c r="AP941" t="s">
        <v>5602</v>
      </c>
      <c r="AQ941" t="s">
        <v>74</v>
      </c>
      <c r="AR941" t="s">
        <v>5591</v>
      </c>
      <c r="AS941" t="s">
        <v>5603</v>
      </c>
      <c r="AT941" t="s">
        <v>745</v>
      </c>
      <c r="AU941">
        <v>2023</v>
      </c>
      <c r="AV941">
        <v>175</v>
      </c>
      <c r="AW941" t="s">
        <v>74</v>
      </c>
      <c r="AX941" t="s">
        <v>74</v>
      </c>
      <c r="AY941" t="s">
        <v>74</v>
      </c>
      <c r="AZ941" t="s">
        <v>74</v>
      </c>
      <c r="BA941" t="s">
        <v>74</v>
      </c>
      <c r="BB941">
        <v>170</v>
      </c>
      <c r="BC941">
        <v>174</v>
      </c>
      <c r="BD941" t="s">
        <v>74</v>
      </c>
      <c r="BE941" t="s">
        <v>15981</v>
      </c>
      <c r="BF941" t="str">
        <f>HYPERLINK("http://dx.doi.org/10.1016/j.urology.2022.12.016","http://dx.doi.org/10.1016/j.urology.2022.12.016")</f>
        <v>http://dx.doi.org/10.1016/j.urology.2022.12.016</v>
      </c>
      <c r="BG941" t="s">
        <v>74</v>
      </c>
      <c r="BH941" t="s">
        <v>180</v>
      </c>
      <c r="BI941">
        <v>5</v>
      </c>
      <c r="BJ941" t="s">
        <v>1908</v>
      </c>
      <c r="BK941" t="s">
        <v>209</v>
      </c>
      <c r="BL941" t="s">
        <v>1908</v>
      </c>
      <c r="BM941" t="s">
        <v>15982</v>
      </c>
      <c r="BN941">
        <v>36574910</v>
      </c>
      <c r="BO941" t="s">
        <v>74</v>
      </c>
      <c r="BP941" t="s">
        <v>74</v>
      </c>
      <c r="BQ941" t="s">
        <v>74</v>
      </c>
      <c r="BR941" t="s">
        <v>102</v>
      </c>
      <c r="BS941" t="s">
        <v>15983</v>
      </c>
      <c r="BT941" t="str">
        <f>HYPERLINK("https%3A%2F%2Fwww.webofscience.com%2Fwos%2Fwoscc%2Ffull-record%2FWOS:001014025700001","View Full Record in Web of Science")</f>
        <v>View Full Record in Web of Science</v>
      </c>
    </row>
    <row r="942" spans="1:72" x14ac:dyDescent="0.35">
      <c r="A942" t="s">
        <v>72</v>
      </c>
      <c r="B942" t="s">
        <v>15984</v>
      </c>
      <c r="C942" t="s">
        <v>74</v>
      </c>
      <c r="D942" t="s">
        <v>74</v>
      </c>
      <c r="E942" t="s">
        <v>74</v>
      </c>
      <c r="F942" t="s">
        <v>15985</v>
      </c>
      <c r="G942" t="s">
        <v>74</v>
      </c>
      <c r="H942" t="s">
        <v>74</v>
      </c>
      <c r="I942" t="s">
        <v>15986</v>
      </c>
      <c r="J942" t="s">
        <v>15987</v>
      </c>
      <c r="K942" t="s">
        <v>74</v>
      </c>
      <c r="L942" t="s">
        <v>74</v>
      </c>
      <c r="M942" t="s">
        <v>78</v>
      </c>
      <c r="N942" t="s">
        <v>374</v>
      </c>
      <c r="O942" t="s">
        <v>74</v>
      </c>
      <c r="P942" t="s">
        <v>74</v>
      </c>
      <c r="Q942" t="s">
        <v>74</v>
      </c>
      <c r="R942" t="s">
        <v>74</v>
      </c>
      <c r="S942" t="s">
        <v>74</v>
      </c>
      <c r="T942" t="s">
        <v>74</v>
      </c>
      <c r="U942" t="s">
        <v>74</v>
      </c>
      <c r="V942" t="s">
        <v>15988</v>
      </c>
      <c r="W942" t="s">
        <v>15989</v>
      </c>
      <c r="X942" t="s">
        <v>12416</v>
      </c>
      <c r="Y942" t="s">
        <v>15990</v>
      </c>
      <c r="Z942" t="s">
        <v>15991</v>
      </c>
      <c r="AA942" t="s">
        <v>74</v>
      </c>
      <c r="AB942" t="s">
        <v>74</v>
      </c>
      <c r="AC942" t="s">
        <v>74</v>
      </c>
      <c r="AD942" t="s">
        <v>74</v>
      </c>
      <c r="AE942" t="s">
        <v>74</v>
      </c>
      <c r="AF942" t="s">
        <v>74</v>
      </c>
      <c r="AG942">
        <v>11</v>
      </c>
      <c r="AH942">
        <v>5</v>
      </c>
      <c r="AI942">
        <v>5</v>
      </c>
      <c r="AJ942">
        <v>1</v>
      </c>
      <c r="AK942">
        <v>24</v>
      </c>
      <c r="AL942" t="s">
        <v>1061</v>
      </c>
      <c r="AM942" t="s">
        <v>666</v>
      </c>
      <c r="AN942" t="s">
        <v>9833</v>
      </c>
      <c r="AO942" t="s">
        <v>15992</v>
      </c>
      <c r="AP942" t="s">
        <v>74</v>
      </c>
      <c r="AQ942" t="s">
        <v>74</v>
      </c>
      <c r="AR942" t="s">
        <v>15993</v>
      </c>
      <c r="AS942" t="s">
        <v>15994</v>
      </c>
      <c r="AT942" t="s">
        <v>523</v>
      </c>
      <c r="AU942">
        <v>2022</v>
      </c>
      <c r="AV942">
        <v>10</v>
      </c>
      <c r="AW942">
        <v>4</v>
      </c>
      <c r="AX942" t="s">
        <v>74</v>
      </c>
      <c r="AY942" t="s">
        <v>74</v>
      </c>
      <c r="AZ942" t="s">
        <v>74</v>
      </c>
      <c r="BA942" t="s">
        <v>74</v>
      </c>
      <c r="BB942">
        <v>452</v>
      </c>
      <c r="BC942">
        <v>457</v>
      </c>
      <c r="BD942" t="s">
        <v>15995</v>
      </c>
      <c r="BE942" t="s">
        <v>15996</v>
      </c>
      <c r="BF942" t="str">
        <f>HYPERLINK("http://dx.doi.org/10.1017/aap.2022.28","http://dx.doi.org/10.1017/aap.2022.28")</f>
        <v>http://dx.doi.org/10.1017/aap.2022.28</v>
      </c>
      <c r="BG942" t="s">
        <v>74</v>
      </c>
      <c r="BH942" t="s">
        <v>74</v>
      </c>
      <c r="BI942">
        <v>6</v>
      </c>
      <c r="BJ942" t="s">
        <v>13667</v>
      </c>
      <c r="BK942" t="s">
        <v>316</v>
      </c>
      <c r="BL942" t="s">
        <v>13667</v>
      </c>
      <c r="BM942" t="s">
        <v>15997</v>
      </c>
      <c r="BN942" t="s">
        <v>74</v>
      </c>
      <c r="BO942" t="s">
        <v>767</v>
      </c>
      <c r="BP942" t="s">
        <v>74</v>
      </c>
      <c r="BQ942" t="s">
        <v>74</v>
      </c>
      <c r="BR942" t="s">
        <v>102</v>
      </c>
      <c r="BS942" t="s">
        <v>15998</v>
      </c>
      <c r="BT942" t="str">
        <f>HYPERLINK("https%3A%2F%2Fwww.webofscience.com%2Fwos%2Fwoscc%2Ffull-record%2FWOS:000901182700008","View Full Record in Web of Science")</f>
        <v>View Full Record in Web of Science</v>
      </c>
    </row>
    <row r="943" spans="1:72" x14ac:dyDescent="0.35">
      <c r="A943" t="s">
        <v>72</v>
      </c>
      <c r="B943" t="s">
        <v>13777</v>
      </c>
      <c r="C943" t="s">
        <v>74</v>
      </c>
      <c r="D943" t="s">
        <v>74</v>
      </c>
      <c r="E943" t="s">
        <v>74</v>
      </c>
      <c r="F943" t="s">
        <v>13778</v>
      </c>
      <c r="G943" t="s">
        <v>74</v>
      </c>
      <c r="H943" t="s">
        <v>74</v>
      </c>
      <c r="I943" t="s">
        <v>15999</v>
      </c>
      <c r="J943" t="s">
        <v>486</v>
      </c>
      <c r="K943" t="s">
        <v>74</v>
      </c>
      <c r="L943" t="s">
        <v>74</v>
      </c>
      <c r="M943" t="s">
        <v>78</v>
      </c>
      <c r="N943" t="s">
        <v>79</v>
      </c>
      <c r="O943" t="s">
        <v>74</v>
      </c>
      <c r="P943" t="s">
        <v>74</v>
      </c>
      <c r="Q943" t="s">
        <v>74</v>
      </c>
      <c r="R943" t="s">
        <v>74</v>
      </c>
      <c r="S943" t="s">
        <v>74</v>
      </c>
      <c r="T943" t="s">
        <v>16000</v>
      </c>
      <c r="U943" t="s">
        <v>16001</v>
      </c>
      <c r="V943" t="s">
        <v>16002</v>
      </c>
      <c r="W943" t="s">
        <v>16003</v>
      </c>
      <c r="X943" t="s">
        <v>74</v>
      </c>
      <c r="Y943" t="s">
        <v>16004</v>
      </c>
      <c r="Z943" t="s">
        <v>2838</v>
      </c>
      <c r="AA943" t="s">
        <v>74</v>
      </c>
      <c r="AB943" t="s">
        <v>74</v>
      </c>
      <c r="AC943" t="s">
        <v>74</v>
      </c>
      <c r="AD943" t="s">
        <v>74</v>
      </c>
      <c r="AE943" t="s">
        <v>74</v>
      </c>
      <c r="AF943" t="s">
        <v>74</v>
      </c>
      <c r="AG943">
        <v>57</v>
      </c>
      <c r="AH943">
        <v>0</v>
      </c>
      <c r="AI943">
        <v>0</v>
      </c>
      <c r="AJ943">
        <v>0</v>
      </c>
      <c r="AK943">
        <v>0</v>
      </c>
      <c r="AL943" t="s">
        <v>88</v>
      </c>
      <c r="AM943" t="s">
        <v>89</v>
      </c>
      <c r="AN943" t="s">
        <v>90</v>
      </c>
      <c r="AO943" t="s">
        <v>494</v>
      </c>
      <c r="AP943" t="s">
        <v>495</v>
      </c>
      <c r="AQ943" t="s">
        <v>74</v>
      </c>
      <c r="AR943" t="s">
        <v>496</v>
      </c>
      <c r="AS943" t="s">
        <v>497</v>
      </c>
      <c r="AT943" t="s">
        <v>16005</v>
      </c>
      <c r="AU943">
        <v>2024</v>
      </c>
      <c r="AV943" t="s">
        <v>74</v>
      </c>
      <c r="AW943" t="s">
        <v>74</v>
      </c>
      <c r="AX943" t="s">
        <v>74</v>
      </c>
      <c r="AY943" t="s">
        <v>74</v>
      </c>
      <c r="AZ943" t="s">
        <v>74</v>
      </c>
      <c r="BA943" t="s">
        <v>74</v>
      </c>
      <c r="BB943" t="s">
        <v>74</v>
      </c>
      <c r="BC943" t="s">
        <v>74</v>
      </c>
      <c r="BD943" t="s">
        <v>74</v>
      </c>
      <c r="BE943" t="s">
        <v>16006</v>
      </c>
      <c r="BF943" t="str">
        <f>HYPERLINK("http://dx.doi.org/10.1080/10714421.2024.2370124","http://dx.doi.org/10.1080/10714421.2024.2370124")</f>
        <v>http://dx.doi.org/10.1080/10714421.2024.2370124</v>
      </c>
      <c r="BG943" t="s">
        <v>74</v>
      </c>
      <c r="BH943" t="s">
        <v>500</v>
      </c>
      <c r="BI943">
        <v>19</v>
      </c>
      <c r="BJ943" t="s">
        <v>124</v>
      </c>
      <c r="BK943" t="s">
        <v>125</v>
      </c>
      <c r="BL943" t="s">
        <v>124</v>
      </c>
      <c r="BM943" t="s">
        <v>16007</v>
      </c>
      <c r="BN943" t="s">
        <v>74</v>
      </c>
      <c r="BO943" t="s">
        <v>74</v>
      </c>
      <c r="BP943" t="s">
        <v>74</v>
      </c>
      <c r="BQ943" t="s">
        <v>74</v>
      </c>
      <c r="BR943" t="s">
        <v>102</v>
      </c>
      <c r="BS943" t="s">
        <v>16008</v>
      </c>
      <c r="BT943" t="str">
        <f>HYPERLINK("https%3A%2F%2Fwww.webofscience.com%2Fwos%2Fwoscc%2Ffull-record%2FWOS:001254077300001","View Full Record in Web of Science")</f>
        <v>View Full Record in Web of Science</v>
      </c>
    </row>
    <row r="944" spans="1:72" x14ac:dyDescent="0.35">
      <c r="A944" t="s">
        <v>72</v>
      </c>
      <c r="B944" t="s">
        <v>16009</v>
      </c>
      <c r="C944" t="s">
        <v>74</v>
      </c>
      <c r="D944" t="s">
        <v>74</v>
      </c>
      <c r="E944" t="s">
        <v>74</v>
      </c>
      <c r="F944" t="s">
        <v>16010</v>
      </c>
      <c r="G944" t="s">
        <v>74</v>
      </c>
      <c r="H944" t="s">
        <v>74</v>
      </c>
      <c r="I944" t="s">
        <v>16011</v>
      </c>
      <c r="J944" t="s">
        <v>16012</v>
      </c>
      <c r="K944" t="s">
        <v>74</v>
      </c>
      <c r="L944" t="s">
        <v>74</v>
      </c>
      <c r="M944" t="s">
        <v>78</v>
      </c>
      <c r="N944" t="s">
        <v>108</v>
      </c>
      <c r="O944" t="s">
        <v>74</v>
      </c>
      <c r="P944" t="s">
        <v>74</v>
      </c>
      <c r="Q944" t="s">
        <v>74</v>
      </c>
      <c r="R944" t="s">
        <v>74</v>
      </c>
      <c r="S944" t="s">
        <v>74</v>
      </c>
      <c r="T944" t="s">
        <v>74</v>
      </c>
      <c r="U944" t="s">
        <v>74</v>
      </c>
      <c r="V944" t="s">
        <v>16013</v>
      </c>
      <c r="W944" t="s">
        <v>16014</v>
      </c>
      <c r="X944" t="s">
        <v>16015</v>
      </c>
      <c r="Y944" t="s">
        <v>16016</v>
      </c>
      <c r="Z944" t="s">
        <v>16017</v>
      </c>
      <c r="AA944" t="s">
        <v>16018</v>
      </c>
      <c r="AB944" t="s">
        <v>16019</v>
      </c>
      <c r="AC944" t="s">
        <v>16020</v>
      </c>
      <c r="AD944" t="s">
        <v>16021</v>
      </c>
      <c r="AE944" t="s">
        <v>16022</v>
      </c>
      <c r="AF944" t="s">
        <v>74</v>
      </c>
      <c r="AG944">
        <v>73</v>
      </c>
      <c r="AH944">
        <v>0</v>
      </c>
      <c r="AI944">
        <v>0</v>
      </c>
      <c r="AJ944">
        <v>0</v>
      </c>
      <c r="AK944">
        <v>0</v>
      </c>
      <c r="AL944" t="s">
        <v>88</v>
      </c>
      <c r="AM944" t="s">
        <v>89</v>
      </c>
      <c r="AN944" t="s">
        <v>90</v>
      </c>
      <c r="AO944" t="s">
        <v>16023</v>
      </c>
      <c r="AP944" t="s">
        <v>16024</v>
      </c>
      <c r="AQ944" t="s">
        <v>74</v>
      </c>
      <c r="AR944" t="s">
        <v>16025</v>
      </c>
      <c r="AS944" t="s">
        <v>16026</v>
      </c>
      <c r="AT944" t="s">
        <v>2323</v>
      </c>
      <c r="AU944">
        <v>2024</v>
      </c>
      <c r="AV944">
        <v>31</v>
      </c>
      <c r="AW944">
        <v>1</v>
      </c>
      <c r="AX944" t="s">
        <v>74</v>
      </c>
      <c r="AY944" t="s">
        <v>74</v>
      </c>
      <c r="AZ944" t="s">
        <v>74</v>
      </c>
      <c r="BA944" t="s">
        <v>74</v>
      </c>
      <c r="BB944">
        <v>14</v>
      </c>
      <c r="BC944">
        <v>31</v>
      </c>
      <c r="BD944" t="s">
        <v>74</v>
      </c>
      <c r="BE944" t="s">
        <v>16027</v>
      </c>
      <c r="BF944" t="str">
        <f>HYPERLINK("http://dx.doi.org/10.1080/15551393.2023.2300765","http://dx.doi.org/10.1080/15551393.2023.2300765")</f>
        <v>http://dx.doi.org/10.1080/15551393.2023.2300765</v>
      </c>
      <c r="BG944" t="s">
        <v>74</v>
      </c>
      <c r="BH944" t="s">
        <v>74</v>
      </c>
      <c r="BI944">
        <v>18</v>
      </c>
      <c r="BJ944" t="s">
        <v>124</v>
      </c>
      <c r="BK944" t="s">
        <v>125</v>
      </c>
      <c r="BL944" t="s">
        <v>124</v>
      </c>
      <c r="BM944" t="s">
        <v>16028</v>
      </c>
      <c r="BN944" t="s">
        <v>74</v>
      </c>
      <c r="BO944" t="s">
        <v>4154</v>
      </c>
      <c r="BP944" t="s">
        <v>74</v>
      </c>
      <c r="BQ944" t="s">
        <v>74</v>
      </c>
      <c r="BR944" t="s">
        <v>102</v>
      </c>
      <c r="BS944" t="s">
        <v>16029</v>
      </c>
      <c r="BT944" t="str">
        <f>HYPERLINK("https%3A%2F%2Fwww.webofscience.com%2Fwos%2Fwoscc%2Ffull-record%2FWOS:001194414500001","View Full Record in Web of Science")</f>
        <v>View Full Record in Web of Science</v>
      </c>
    </row>
    <row r="945" spans="1:72" x14ac:dyDescent="0.35">
      <c r="A945" t="s">
        <v>72</v>
      </c>
      <c r="B945" t="s">
        <v>16030</v>
      </c>
      <c r="C945" t="s">
        <v>74</v>
      </c>
      <c r="D945" t="s">
        <v>74</v>
      </c>
      <c r="E945" t="s">
        <v>74</v>
      </c>
      <c r="F945" t="s">
        <v>16031</v>
      </c>
      <c r="G945" t="s">
        <v>74</v>
      </c>
      <c r="H945" t="s">
        <v>74</v>
      </c>
      <c r="I945" t="s">
        <v>16032</v>
      </c>
      <c r="J945" t="s">
        <v>16033</v>
      </c>
      <c r="K945" t="s">
        <v>74</v>
      </c>
      <c r="L945" t="s">
        <v>74</v>
      </c>
      <c r="M945" t="s">
        <v>78</v>
      </c>
      <c r="N945" t="s">
        <v>108</v>
      </c>
      <c r="O945" t="s">
        <v>74</v>
      </c>
      <c r="P945" t="s">
        <v>74</v>
      </c>
      <c r="Q945" t="s">
        <v>74</v>
      </c>
      <c r="R945" t="s">
        <v>74</v>
      </c>
      <c r="S945" t="s">
        <v>74</v>
      </c>
      <c r="T945" t="s">
        <v>16034</v>
      </c>
      <c r="U945" t="s">
        <v>16035</v>
      </c>
      <c r="V945" t="s">
        <v>16036</v>
      </c>
      <c r="W945" t="s">
        <v>16037</v>
      </c>
      <c r="X945" t="s">
        <v>16038</v>
      </c>
      <c r="Y945" t="s">
        <v>16039</v>
      </c>
      <c r="Z945" t="s">
        <v>74</v>
      </c>
      <c r="AA945" t="s">
        <v>16040</v>
      </c>
      <c r="AB945" t="s">
        <v>74</v>
      </c>
      <c r="AC945" t="s">
        <v>74</v>
      </c>
      <c r="AD945" t="s">
        <v>74</v>
      </c>
      <c r="AE945" t="s">
        <v>16041</v>
      </c>
      <c r="AF945" t="s">
        <v>74</v>
      </c>
      <c r="AG945">
        <v>58</v>
      </c>
      <c r="AH945">
        <v>0</v>
      </c>
      <c r="AI945">
        <v>0</v>
      </c>
      <c r="AJ945">
        <v>19</v>
      </c>
      <c r="AK945">
        <v>19</v>
      </c>
      <c r="AL945" t="s">
        <v>16042</v>
      </c>
      <c r="AM945" t="s">
        <v>16043</v>
      </c>
      <c r="AN945" t="s">
        <v>16044</v>
      </c>
      <c r="AO945" t="s">
        <v>16045</v>
      </c>
      <c r="AP945" t="s">
        <v>16046</v>
      </c>
      <c r="AQ945" t="s">
        <v>74</v>
      </c>
      <c r="AR945" t="s">
        <v>16047</v>
      </c>
      <c r="AS945" t="s">
        <v>16048</v>
      </c>
      <c r="AT945" t="s">
        <v>74</v>
      </c>
      <c r="AU945">
        <v>2024</v>
      </c>
      <c r="AV945">
        <v>59</v>
      </c>
      <c r="AW945">
        <v>2</v>
      </c>
      <c r="AX945" t="s">
        <v>74</v>
      </c>
      <c r="AY945" t="s">
        <v>74</v>
      </c>
      <c r="AZ945" t="s">
        <v>74</v>
      </c>
      <c r="BA945" t="s">
        <v>74</v>
      </c>
      <c r="BB945" t="s">
        <v>74</v>
      </c>
      <c r="BC945" t="s">
        <v>74</v>
      </c>
      <c r="BD945" t="s">
        <v>74</v>
      </c>
      <c r="BE945" t="s">
        <v>16049</v>
      </c>
      <c r="BF945" t="str">
        <f>HYPERLINK("http://dx.doi.org/10.7560/IC59204","http://dx.doi.org/10.7560/IC59204")</f>
        <v>http://dx.doi.org/10.7560/IC59204</v>
      </c>
      <c r="BG945" t="s">
        <v>74</v>
      </c>
      <c r="BH945" t="s">
        <v>74</v>
      </c>
      <c r="BI945">
        <v>22</v>
      </c>
      <c r="BJ945" t="s">
        <v>16050</v>
      </c>
      <c r="BK945" t="s">
        <v>2125</v>
      </c>
      <c r="BL945" t="s">
        <v>16051</v>
      </c>
      <c r="BM945" t="s">
        <v>16052</v>
      </c>
      <c r="BN945" t="s">
        <v>74</v>
      </c>
      <c r="BO945" t="s">
        <v>74</v>
      </c>
      <c r="BP945" t="s">
        <v>74</v>
      </c>
      <c r="BQ945" t="s">
        <v>74</v>
      </c>
      <c r="BR945" t="s">
        <v>102</v>
      </c>
      <c r="BS945" t="s">
        <v>16053</v>
      </c>
      <c r="BT945" t="str">
        <f>HYPERLINK("https%3A%2F%2Fwww.webofscience.com%2Fwos%2Fwoscc%2Ffull-record%2FWOS:001299645800004","View Full Record in Web of Science")</f>
        <v>View Full Record in Web of Science</v>
      </c>
    </row>
    <row r="946" spans="1:72" x14ac:dyDescent="0.35">
      <c r="A946" t="s">
        <v>72</v>
      </c>
      <c r="B946" t="s">
        <v>16054</v>
      </c>
      <c r="C946" t="s">
        <v>74</v>
      </c>
      <c r="D946" t="s">
        <v>74</v>
      </c>
      <c r="E946" t="s">
        <v>74</v>
      </c>
      <c r="F946" t="s">
        <v>16055</v>
      </c>
      <c r="G946" t="s">
        <v>74</v>
      </c>
      <c r="H946" t="s">
        <v>74</v>
      </c>
      <c r="I946" t="s">
        <v>16056</v>
      </c>
      <c r="J946" t="s">
        <v>401</v>
      </c>
      <c r="K946" t="s">
        <v>74</v>
      </c>
      <c r="L946" t="s">
        <v>74</v>
      </c>
      <c r="M946" t="s">
        <v>78</v>
      </c>
      <c r="N946" t="s">
        <v>108</v>
      </c>
      <c r="O946" t="s">
        <v>74</v>
      </c>
      <c r="P946" t="s">
        <v>74</v>
      </c>
      <c r="Q946" t="s">
        <v>74</v>
      </c>
      <c r="R946" t="s">
        <v>74</v>
      </c>
      <c r="S946" t="s">
        <v>74</v>
      </c>
      <c r="T946" t="s">
        <v>16057</v>
      </c>
      <c r="U946" t="s">
        <v>74</v>
      </c>
      <c r="V946" t="s">
        <v>16058</v>
      </c>
      <c r="W946" t="s">
        <v>16059</v>
      </c>
      <c r="X946" t="s">
        <v>16060</v>
      </c>
      <c r="Y946" t="s">
        <v>16061</v>
      </c>
      <c r="Z946" t="s">
        <v>74</v>
      </c>
      <c r="AA946" t="s">
        <v>16062</v>
      </c>
      <c r="AB946" t="s">
        <v>16063</v>
      </c>
      <c r="AC946" t="s">
        <v>74</v>
      </c>
      <c r="AD946" t="s">
        <v>74</v>
      </c>
      <c r="AE946" t="s">
        <v>74</v>
      </c>
      <c r="AF946" t="s">
        <v>74</v>
      </c>
      <c r="AG946">
        <v>44</v>
      </c>
      <c r="AH946">
        <v>14</v>
      </c>
      <c r="AI946">
        <v>16</v>
      </c>
      <c r="AJ946">
        <v>2</v>
      </c>
      <c r="AK946">
        <v>58</v>
      </c>
      <c r="AL946" t="s">
        <v>409</v>
      </c>
      <c r="AM946" t="s">
        <v>410</v>
      </c>
      <c r="AN946" t="s">
        <v>411</v>
      </c>
      <c r="AO946" t="s">
        <v>412</v>
      </c>
      <c r="AP946" t="s">
        <v>74</v>
      </c>
      <c r="AQ946" t="s">
        <v>74</v>
      </c>
      <c r="AR946" t="s">
        <v>413</v>
      </c>
      <c r="AS946" t="s">
        <v>414</v>
      </c>
      <c r="AT946" t="s">
        <v>74</v>
      </c>
      <c r="AU946">
        <v>2021</v>
      </c>
      <c r="AV946">
        <v>15</v>
      </c>
      <c r="AW946" t="s">
        <v>74</v>
      </c>
      <c r="AX946" t="s">
        <v>74</v>
      </c>
      <c r="AY946" t="s">
        <v>74</v>
      </c>
      <c r="AZ946" t="s">
        <v>74</v>
      </c>
      <c r="BA946" t="s">
        <v>74</v>
      </c>
      <c r="BB946">
        <v>3173</v>
      </c>
      <c r="BC946">
        <v>3194</v>
      </c>
      <c r="BD946" t="s">
        <v>74</v>
      </c>
      <c r="BE946" t="s">
        <v>74</v>
      </c>
      <c r="BF946" t="s">
        <v>74</v>
      </c>
      <c r="BG946" t="s">
        <v>74</v>
      </c>
      <c r="BH946" t="s">
        <v>74</v>
      </c>
      <c r="BI946">
        <v>22</v>
      </c>
      <c r="BJ946" t="s">
        <v>124</v>
      </c>
      <c r="BK946" t="s">
        <v>99</v>
      </c>
      <c r="BL946" t="s">
        <v>124</v>
      </c>
      <c r="BM946" t="s">
        <v>1217</v>
      </c>
      <c r="BN946" t="s">
        <v>74</v>
      </c>
      <c r="BO946" t="s">
        <v>74</v>
      </c>
      <c r="BP946" t="s">
        <v>74</v>
      </c>
      <c r="BQ946" t="s">
        <v>74</v>
      </c>
      <c r="BR946" t="s">
        <v>102</v>
      </c>
      <c r="BS946" t="s">
        <v>16064</v>
      </c>
      <c r="BT946" t="str">
        <f>HYPERLINK("https%3A%2F%2Fwww.webofscience.com%2Fwos%2Fwoscc%2Ffull-record%2FWOS:000729944300051","View Full Record in Web of Science")</f>
        <v>View Full Record in Web of Science</v>
      </c>
    </row>
    <row r="947" spans="1:72" x14ac:dyDescent="0.35">
      <c r="A947" t="s">
        <v>72</v>
      </c>
      <c r="B947" t="s">
        <v>16065</v>
      </c>
      <c r="C947" t="s">
        <v>74</v>
      </c>
      <c r="D947" t="s">
        <v>74</v>
      </c>
      <c r="E947" t="s">
        <v>74</v>
      </c>
      <c r="F947" t="s">
        <v>16066</v>
      </c>
      <c r="G947" t="s">
        <v>74</v>
      </c>
      <c r="H947" t="s">
        <v>74</v>
      </c>
      <c r="I947" t="s">
        <v>16067</v>
      </c>
      <c r="J947" t="s">
        <v>681</v>
      </c>
      <c r="K947" t="s">
        <v>74</v>
      </c>
      <c r="L947" t="s">
        <v>74</v>
      </c>
      <c r="M947" t="s">
        <v>78</v>
      </c>
      <c r="N947" t="s">
        <v>108</v>
      </c>
      <c r="O947" t="s">
        <v>74</v>
      </c>
      <c r="P947" t="s">
        <v>74</v>
      </c>
      <c r="Q947" t="s">
        <v>74</v>
      </c>
      <c r="R947" t="s">
        <v>74</v>
      </c>
      <c r="S947" t="s">
        <v>74</v>
      </c>
      <c r="T947" t="s">
        <v>16068</v>
      </c>
      <c r="U947" t="s">
        <v>16069</v>
      </c>
      <c r="V947" t="s">
        <v>16070</v>
      </c>
      <c r="W947" t="s">
        <v>16071</v>
      </c>
      <c r="X947" t="s">
        <v>16072</v>
      </c>
      <c r="Y947" t="s">
        <v>16073</v>
      </c>
      <c r="Z947" t="s">
        <v>16074</v>
      </c>
      <c r="AA947" t="s">
        <v>16075</v>
      </c>
      <c r="AB947" t="s">
        <v>74</v>
      </c>
      <c r="AC947" t="s">
        <v>16076</v>
      </c>
      <c r="AD947" t="s">
        <v>16077</v>
      </c>
      <c r="AE947" t="s">
        <v>16078</v>
      </c>
      <c r="AF947" t="s">
        <v>74</v>
      </c>
      <c r="AG947">
        <v>61</v>
      </c>
      <c r="AH947">
        <v>3</v>
      </c>
      <c r="AI947">
        <v>3</v>
      </c>
      <c r="AJ947">
        <v>48</v>
      </c>
      <c r="AK947">
        <v>216</v>
      </c>
      <c r="AL947" t="s">
        <v>384</v>
      </c>
      <c r="AM947" t="s">
        <v>385</v>
      </c>
      <c r="AN947" t="s">
        <v>386</v>
      </c>
      <c r="AO947" t="s">
        <v>693</v>
      </c>
      <c r="AP947" t="s">
        <v>74</v>
      </c>
      <c r="AQ947" t="s">
        <v>74</v>
      </c>
      <c r="AR947" t="s">
        <v>694</v>
      </c>
      <c r="AS947" t="s">
        <v>695</v>
      </c>
      <c r="AT947" t="s">
        <v>16079</v>
      </c>
      <c r="AU947">
        <v>2023</v>
      </c>
      <c r="AV947">
        <v>13</v>
      </c>
      <c r="AW947" t="s">
        <v>74</v>
      </c>
      <c r="AX947" t="s">
        <v>74</v>
      </c>
      <c r="AY947" t="s">
        <v>74</v>
      </c>
      <c r="AZ947" t="s">
        <v>74</v>
      </c>
      <c r="BA947" t="s">
        <v>74</v>
      </c>
      <c r="BB947" t="s">
        <v>74</v>
      </c>
      <c r="BC947" t="s">
        <v>74</v>
      </c>
      <c r="BD947">
        <v>1110011</v>
      </c>
      <c r="BE947" t="s">
        <v>16080</v>
      </c>
      <c r="BF947" t="str">
        <f>HYPERLINK("http://dx.doi.org/10.3389/fpsyg.2022.1110011","http://dx.doi.org/10.3389/fpsyg.2022.1110011")</f>
        <v>http://dx.doi.org/10.3389/fpsyg.2022.1110011</v>
      </c>
      <c r="BG947" t="s">
        <v>74</v>
      </c>
      <c r="BH947" t="s">
        <v>74</v>
      </c>
      <c r="BI947">
        <v>14</v>
      </c>
      <c r="BJ947" t="s">
        <v>698</v>
      </c>
      <c r="BK947" t="s">
        <v>99</v>
      </c>
      <c r="BL947" t="s">
        <v>301</v>
      </c>
      <c r="BM947" t="s">
        <v>16081</v>
      </c>
      <c r="BN947">
        <v>36778171</v>
      </c>
      <c r="BO947" t="s">
        <v>394</v>
      </c>
      <c r="BP947" t="s">
        <v>74</v>
      </c>
      <c r="BQ947" t="s">
        <v>74</v>
      </c>
      <c r="BR947" t="s">
        <v>102</v>
      </c>
      <c r="BS947" t="s">
        <v>16082</v>
      </c>
      <c r="BT947" t="str">
        <f>HYPERLINK("https%3A%2F%2Fwww.webofscience.com%2Fwos%2Fwoscc%2Ffull-record%2FWOS:000928772700001","View Full Record in Web of Science")</f>
        <v>View Full Record in Web of Science</v>
      </c>
    </row>
    <row r="948" spans="1:72" x14ac:dyDescent="0.35">
      <c r="A948" t="s">
        <v>72</v>
      </c>
      <c r="B948" t="s">
        <v>16083</v>
      </c>
      <c r="C948" t="s">
        <v>74</v>
      </c>
      <c r="D948" t="s">
        <v>74</v>
      </c>
      <c r="E948" t="s">
        <v>74</v>
      </c>
      <c r="F948" t="s">
        <v>16084</v>
      </c>
      <c r="G948" t="s">
        <v>74</v>
      </c>
      <c r="H948" t="s">
        <v>74</v>
      </c>
      <c r="I948" t="s">
        <v>16085</v>
      </c>
      <c r="J948" t="s">
        <v>16086</v>
      </c>
      <c r="K948" t="s">
        <v>74</v>
      </c>
      <c r="L948" t="s">
        <v>74</v>
      </c>
      <c r="M948" t="s">
        <v>78</v>
      </c>
      <c r="N948" t="s">
        <v>108</v>
      </c>
      <c r="O948" t="s">
        <v>74</v>
      </c>
      <c r="P948" t="s">
        <v>74</v>
      </c>
      <c r="Q948" t="s">
        <v>74</v>
      </c>
      <c r="R948" t="s">
        <v>74</v>
      </c>
      <c r="S948" t="s">
        <v>74</v>
      </c>
      <c r="T948" t="s">
        <v>16087</v>
      </c>
      <c r="U948" t="s">
        <v>74</v>
      </c>
      <c r="V948" t="s">
        <v>16088</v>
      </c>
      <c r="W948" t="s">
        <v>16089</v>
      </c>
      <c r="X948" t="s">
        <v>16090</v>
      </c>
      <c r="Y948" t="s">
        <v>16091</v>
      </c>
      <c r="Z948" t="s">
        <v>16092</v>
      </c>
      <c r="AA948" t="s">
        <v>16093</v>
      </c>
      <c r="AB948" t="s">
        <v>16094</v>
      </c>
      <c r="AC948" t="s">
        <v>16095</v>
      </c>
      <c r="AD948" t="s">
        <v>16096</v>
      </c>
      <c r="AE948" t="s">
        <v>16097</v>
      </c>
      <c r="AF948" t="s">
        <v>74</v>
      </c>
      <c r="AG948">
        <v>0</v>
      </c>
      <c r="AH948">
        <v>0</v>
      </c>
      <c r="AI948">
        <v>0</v>
      </c>
      <c r="AJ948">
        <v>10</v>
      </c>
      <c r="AK948">
        <v>10</v>
      </c>
      <c r="AL948" t="s">
        <v>16098</v>
      </c>
      <c r="AM948" t="s">
        <v>16099</v>
      </c>
      <c r="AN948" t="s">
        <v>16100</v>
      </c>
      <c r="AO948" t="s">
        <v>16101</v>
      </c>
      <c r="AP948" t="s">
        <v>16102</v>
      </c>
      <c r="AQ948" t="s">
        <v>74</v>
      </c>
      <c r="AR948" t="s">
        <v>16103</v>
      </c>
      <c r="AS948" t="s">
        <v>16104</v>
      </c>
      <c r="AT948" t="s">
        <v>74</v>
      </c>
      <c r="AU948">
        <v>2024</v>
      </c>
      <c r="AV948">
        <v>27</v>
      </c>
      <c r="AW948">
        <v>1</v>
      </c>
      <c r="AX948" t="s">
        <v>74</v>
      </c>
      <c r="AY948" t="s">
        <v>74</v>
      </c>
      <c r="AZ948" t="s">
        <v>74</v>
      </c>
      <c r="BA948" t="s">
        <v>74</v>
      </c>
      <c r="BB948">
        <v>70</v>
      </c>
      <c r="BC948">
        <v>86</v>
      </c>
      <c r="BD948" t="s">
        <v>74</v>
      </c>
      <c r="BE948" t="s">
        <v>16105</v>
      </c>
      <c r="BF948" t="str">
        <f>HYPERLINK("http://dx.doi.org/10.15240/tul/001/2024-1-005","http://dx.doi.org/10.15240/tul/001/2024-1-005")</f>
        <v>http://dx.doi.org/10.15240/tul/001/2024-1-005</v>
      </c>
      <c r="BG948" t="s">
        <v>74</v>
      </c>
      <c r="BH948" t="s">
        <v>74</v>
      </c>
      <c r="BI948">
        <v>17</v>
      </c>
      <c r="BJ948" t="s">
        <v>16106</v>
      </c>
      <c r="BK948" t="s">
        <v>99</v>
      </c>
      <c r="BL948" t="s">
        <v>480</v>
      </c>
      <c r="BM948" t="s">
        <v>16107</v>
      </c>
      <c r="BN948" t="s">
        <v>74</v>
      </c>
      <c r="BO948" t="s">
        <v>394</v>
      </c>
      <c r="BP948" t="s">
        <v>74</v>
      </c>
      <c r="BQ948" t="s">
        <v>74</v>
      </c>
      <c r="BR948" t="s">
        <v>102</v>
      </c>
      <c r="BS948" t="s">
        <v>16108</v>
      </c>
      <c r="BT948" t="str">
        <f>HYPERLINK("https%3A%2F%2Fwww.webofscience.com%2Fwos%2Fwoscc%2Ffull-record%2FWOS:001207109300008","View Full Record in Web of Science")</f>
        <v>View Full Record in Web of Science</v>
      </c>
    </row>
    <row r="949" spans="1:72" x14ac:dyDescent="0.35">
      <c r="A949" t="s">
        <v>72</v>
      </c>
      <c r="B949" t="s">
        <v>16109</v>
      </c>
      <c r="C949" t="s">
        <v>74</v>
      </c>
      <c r="D949" t="s">
        <v>74</v>
      </c>
      <c r="E949" t="s">
        <v>74</v>
      </c>
      <c r="F949" t="s">
        <v>16110</v>
      </c>
      <c r="G949" t="s">
        <v>74</v>
      </c>
      <c r="H949" t="s">
        <v>74</v>
      </c>
      <c r="I949" t="s">
        <v>16111</v>
      </c>
      <c r="J949" t="s">
        <v>9090</v>
      </c>
      <c r="K949" t="s">
        <v>74</v>
      </c>
      <c r="L949" t="s">
        <v>74</v>
      </c>
      <c r="M949" t="s">
        <v>78</v>
      </c>
      <c r="N949" t="s">
        <v>108</v>
      </c>
      <c r="O949" t="s">
        <v>74</v>
      </c>
      <c r="P949" t="s">
        <v>74</v>
      </c>
      <c r="Q949" t="s">
        <v>74</v>
      </c>
      <c r="R949" t="s">
        <v>74</v>
      </c>
      <c r="S949" t="s">
        <v>74</v>
      </c>
      <c r="T949" t="s">
        <v>74</v>
      </c>
      <c r="U949" t="s">
        <v>16112</v>
      </c>
      <c r="V949" t="s">
        <v>16113</v>
      </c>
      <c r="W949" t="s">
        <v>16114</v>
      </c>
      <c r="X949" t="s">
        <v>16115</v>
      </c>
      <c r="Y949" t="s">
        <v>16116</v>
      </c>
      <c r="Z949" t="s">
        <v>15946</v>
      </c>
      <c r="AA949" t="s">
        <v>74</v>
      </c>
      <c r="AB949" t="s">
        <v>15947</v>
      </c>
      <c r="AC949" t="s">
        <v>74</v>
      </c>
      <c r="AD949" t="s">
        <v>74</v>
      </c>
      <c r="AE949" t="s">
        <v>74</v>
      </c>
      <c r="AF949" t="s">
        <v>74</v>
      </c>
      <c r="AG949">
        <v>36</v>
      </c>
      <c r="AH949">
        <v>1</v>
      </c>
      <c r="AI949">
        <v>1</v>
      </c>
      <c r="AJ949">
        <v>3</v>
      </c>
      <c r="AK949">
        <v>5</v>
      </c>
      <c r="AL949" t="s">
        <v>2248</v>
      </c>
      <c r="AM949" t="s">
        <v>2249</v>
      </c>
      <c r="AN949" t="s">
        <v>2250</v>
      </c>
      <c r="AO949" t="s">
        <v>9096</v>
      </c>
      <c r="AP949" t="s">
        <v>9097</v>
      </c>
      <c r="AQ949" t="s">
        <v>74</v>
      </c>
      <c r="AR949" t="s">
        <v>9098</v>
      </c>
      <c r="AS949" t="s">
        <v>9099</v>
      </c>
      <c r="AT949" t="s">
        <v>12346</v>
      </c>
      <c r="AU949">
        <v>2024</v>
      </c>
      <c r="AV949">
        <v>44</v>
      </c>
      <c r="AW949">
        <v>5</v>
      </c>
      <c r="AX949" t="s">
        <v>74</v>
      </c>
      <c r="AY949" t="s">
        <v>74</v>
      </c>
      <c r="AZ949" t="s">
        <v>74</v>
      </c>
      <c r="BA949" t="s">
        <v>74</v>
      </c>
      <c r="BB949">
        <v>556</v>
      </c>
      <c r="BC949">
        <v>564</v>
      </c>
      <c r="BD949" t="s">
        <v>74</v>
      </c>
      <c r="BE949" t="s">
        <v>16117</v>
      </c>
      <c r="BF949" t="str">
        <f>HYPERLINK("http://dx.doi.org/10.1093/asj/sjad350","http://dx.doi.org/10.1093/asj/sjad350")</f>
        <v>http://dx.doi.org/10.1093/asj/sjad350</v>
      </c>
      <c r="BG949" t="s">
        <v>74</v>
      </c>
      <c r="BH949" t="s">
        <v>1449</v>
      </c>
      <c r="BI949">
        <v>9</v>
      </c>
      <c r="BJ949" t="s">
        <v>4994</v>
      </c>
      <c r="BK949" t="s">
        <v>209</v>
      </c>
      <c r="BL949" t="s">
        <v>4994</v>
      </c>
      <c r="BM949" t="s">
        <v>16118</v>
      </c>
      <c r="BN949">
        <v>37972242</v>
      </c>
      <c r="BO949" t="s">
        <v>74</v>
      </c>
      <c r="BP949" t="s">
        <v>74</v>
      </c>
      <c r="BQ949" t="s">
        <v>74</v>
      </c>
      <c r="BR949" t="s">
        <v>102</v>
      </c>
      <c r="BS949" t="s">
        <v>16119</v>
      </c>
      <c r="BT949" t="str">
        <f>HYPERLINK("https%3A%2F%2Fwww.webofscience.com%2Fwos%2Fwoscc%2Ffull-record%2FWOS:001122492900001","View Full Record in Web of Science")</f>
        <v>View Full Record in Web of Science</v>
      </c>
    </row>
    <row r="950" spans="1:72" x14ac:dyDescent="0.35">
      <c r="A950" t="s">
        <v>72</v>
      </c>
      <c r="B950" t="s">
        <v>16120</v>
      </c>
      <c r="C950" t="s">
        <v>74</v>
      </c>
      <c r="D950" t="s">
        <v>74</v>
      </c>
      <c r="E950" t="s">
        <v>74</v>
      </c>
      <c r="F950" t="s">
        <v>16121</v>
      </c>
      <c r="G950" t="s">
        <v>74</v>
      </c>
      <c r="H950" t="s">
        <v>74</v>
      </c>
      <c r="I950" t="s">
        <v>16122</v>
      </c>
      <c r="J950" t="s">
        <v>5221</v>
      </c>
      <c r="K950" t="s">
        <v>74</v>
      </c>
      <c r="L950" t="s">
        <v>74</v>
      </c>
      <c r="M950" t="s">
        <v>78</v>
      </c>
      <c r="N950" t="s">
        <v>108</v>
      </c>
      <c r="O950" t="s">
        <v>74</v>
      </c>
      <c r="P950" t="s">
        <v>74</v>
      </c>
      <c r="Q950" t="s">
        <v>74</v>
      </c>
      <c r="R950" t="s">
        <v>74</v>
      </c>
      <c r="S950" t="s">
        <v>74</v>
      </c>
      <c r="T950" t="s">
        <v>16123</v>
      </c>
      <c r="U950" t="s">
        <v>16124</v>
      </c>
      <c r="V950" t="s">
        <v>16125</v>
      </c>
      <c r="W950" t="s">
        <v>16126</v>
      </c>
      <c r="X950" t="s">
        <v>8393</v>
      </c>
      <c r="Y950" t="s">
        <v>16127</v>
      </c>
      <c r="Z950" t="s">
        <v>16128</v>
      </c>
      <c r="AA950" t="s">
        <v>16129</v>
      </c>
      <c r="AB950" t="s">
        <v>16130</v>
      </c>
      <c r="AC950" t="s">
        <v>16131</v>
      </c>
      <c r="AD950" t="s">
        <v>16132</v>
      </c>
      <c r="AE950" t="s">
        <v>16133</v>
      </c>
      <c r="AF950" t="s">
        <v>74</v>
      </c>
      <c r="AG950">
        <v>61</v>
      </c>
      <c r="AH950">
        <v>1</v>
      </c>
      <c r="AI950">
        <v>1</v>
      </c>
      <c r="AJ950">
        <v>11</v>
      </c>
      <c r="AK950">
        <v>23</v>
      </c>
      <c r="AL950" t="s">
        <v>5231</v>
      </c>
      <c r="AM950" t="s">
        <v>5232</v>
      </c>
      <c r="AN950" t="s">
        <v>5233</v>
      </c>
      <c r="AO950" t="s">
        <v>5234</v>
      </c>
      <c r="AP950" t="s">
        <v>5235</v>
      </c>
      <c r="AQ950" t="s">
        <v>74</v>
      </c>
      <c r="AR950" t="s">
        <v>5236</v>
      </c>
      <c r="AS950" t="s">
        <v>5237</v>
      </c>
      <c r="AT950" t="s">
        <v>74</v>
      </c>
      <c r="AU950">
        <v>2023</v>
      </c>
      <c r="AV950">
        <v>32</v>
      </c>
      <c r="AW950">
        <v>3</v>
      </c>
      <c r="AX950" t="s">
        <v>74</v>
      </c>
      <c r="AY950" t="s">
        <v>74</v>
      </c>
      <c r="AZ950" t="s">
        <v>74</v>
      </c>
      <c r="BA950" t="s">
        <v>74</v>
      </c>
      <c r="BB950" t="s">
        <v>74</v>
      </c>
      <c r="BC950" t="s">
        <v>74</v>
      </c>
      <c r="BD950" t="s">
        <v>16134</v>
      </c>
      <c r="BE950" t="s">
        <v>16135</v>
      </c>
      <c r="BF950" t="str">
        <f>HYPERLINK("http://dx.doi.org/10.3145/epi.2023.may.05","http://dx.doi.org/10.3145/epi.2023.may.05")</f>
        <v>http://dx.doi.org/10.3145/epi.2023.may.05</v>
      </c>
      <c r="BG950" t="s">
        <v>74</v>
      </c>
      <c r="BH950" t="s">
        <v>74</v>
      </c>
      <c r="BI950">
        <v>13</v>
      </c>
      <c r="BJ950" t="s">
        <v>5240</v>
      </c>
      <c r="BK950" t="s">
        <v>99</v>
      </c>
      <c r="BL950" t="s">
        <v>5240</v>
      </c>
      <c r="BM950" t="s">
        <v>16136</v>
      </c>
      <c r="BN950" t="s">
        <v>74</v>
      </c>
      <c r="BO950" t="s">
        <v>156</v>
      </c>
      <c r="BP950" t="s">
        <v>74</v>
      </c>
      <c r="BQ950" t="s">
        <v>74</v>
      </c>
      <c r="BR950" t="s">
        <v>102</v>
      </c>
      <c r="BS950" t="s">
        <v>16137</v>
      </c>
      <c r="BT950" t="str">
        <f>HYPERLINK("https%3A%2F%2Fwww.webofscience.com%2Fwos%2Fwoscc%2Ffull-record%2FWOS:001074871700007","View Full Record in Web of Science")</f>
        <v>View Full Record in Web of Science</v>
      </c>
    </row>
    <row r="951" spans="1:72" x14ac:dyDescent="0.35">
      <c r="A951" t="s">
        <v>72</v>
      </c>
      <c r="B951" t="s">
        <v>16138</v>
      </c>
      <c r="C951" t="s">
        <v>74</v>
      </c>
      <c r="D951" t="s">
        <v>74</v>
      </c>
      <c r="E951" t="s">
        <v>74</v>
      </c>
      <c r="F951" t="s">
        <v>16139</v>
      </c>
      <c r="G951" t="s">
        <v>74</v>
      </c>
      <c r="H951" t="s">
        <v>74</v>
      </c>
      <c r="I951" t="s">
        <v>16140</v>
      </c>
      <c r="J951" t="s">
        <v>2041</v>
      </c>
      <c r="K951" t="s">
        <v>74</v>
      </c>
      <c r="L951" t="s">
        <v>74</v>
      </c>
      <c r="M951" t="s">
        <v>78</v>
      </c>
      <c r="N951" t="s">
        <v>1328</v>
      </c>
      <c r="O951" t="s">
        <v>74</v>
      </c>
      <c r="P951" t="s">
        <v>74</v>
      </c>
      <c r="Q951" t="s">
        <v>74</v>
      </c>
      <c r="R951" t="s">
        <v>74</v>
      </c>
      <c r="S951" t="s">
        <v>74</v>
      </c>
      <c r="T951" t="s">
        <v>16141</v>
      </c>
      <c r="U951" t="s">
        <v>74</v>
      </c>
      <c r="V951" t="s">
        <v>74</v>
      </c>
      <c r="W951" t="s">
        <v>16142</v>
      </c>
      <c r="X951" t="s">
        <v>74</v>
      </c>
      <c r="Y951" t="s">
        <v>16143</v>
      </c>
      <c r="Z951" t="s">
        <v>16144</v>
      </c>
      <c r="AA951" t="s">
        <v>16145</v>
      </c>
      <c r="AB951" t="s">
        <v>16146</v>
      </c>
      <c r="AC951" t="s">
        <v>74</v>
      </c>
      <c r="AD951" t="s">
        <v>74</v>
      </c>
      <c r="AE951" t="s">
        <v>74</v>
      </c>
      <c r="AF951" t="s">
        <v>74</v>
      </c>
      <c r="AG951">
        <v>8</v>
      </c>
      <c r="AH951">
        <v>1</v>
      </c>
      <c r="AI951">
        <v>1</v>
      </c>
      <c r="AJ951">
        <v>0</v>
      </c>
      <c r="AK951">
        <v>3</v>
      </c>
      <c r="AL951" t="s">
        <v>171</v>
      </c>
      <c r="AM951" t="s">
        <v>172</v>
      </c>
      <c r="AN951" t="s">
        <v>173</v>
      </c>
      <c r="AO951" t="s">
        <v>2049</v>
      </c>
      <c r="AP951" t="s">
        <v>2050</v>
      </c>
      <c r="AQ951" t="s">
        <v>74</v>
      </c>
      <c r="AR951" t="s">
        <v>2051</v>
      </c>
      <c r="AS951" t="s">
        <v>2052</v>
      </c>
      <c r="AT951" t="s">
        <v>257</v>
      </c>
      <c r="AU951">
        <v>2024</v>
      </c>
      <c r="AV951">
        <v>103</v>
      </c>
      <c r="AW951" t="s">
        <v>16147</v>
      </c>
      <c r="AX951" t="s">
        <v>74</v>
      </c>
      <c r="AY951" t="s">
        <v>16148</v>
      </c>
      <c r="AZ951" t="s">
        <v>456</v>
      </c>
      <c r="BA951" t="s">
        <v>74</v>
      </c>
      <c r="BB951" t="s">
        <v>16149</v>
      </c>
      <c r="BC951" t="s">
        <v>16150</v>
      </c>
      <c r="BD951">
        <v>1455613211063241</v>
      </c>
      <c r="BE951" t="s">
        <v>16151</v>
      </c>
      <c r="BF951" t="str">
        <f>HYPERLINK("http://dx.doi.org/10.1177/01455613211063241","http://dx.doi.org/10.1177/01455613211063241")</f>
        <v>http://dx.doi.org/10.1177/01455613211063241</v>
      </c>
      <c r="BG951" t="s">
        <v>74</v>
      </c>
      <c r="BH951" t="s">
        <v>16152</v>
      </c>
      <c r="BI951">
        <v>2</v>
      </c>
      <c r="BJ951" t="s">
        <v>2057</v>
      </c>
      <c r="BK951" t="s">
        <v>209</v>
      </c>
      <c r="BL951" t="s">
        <v>2057</v>
      </c>
      <c r="BM951" t="s">
        <v>16153</v>
      </c>
      <c r="BN951">
        <v>34875888</v>
      </c>
      <c r="BO951" t="s">
        <v>74</v>
      </c>
      <c r="BP951" t="s">
        <v>74</v>
      </c>
      <c r="BQ951" t="s">
        <v>74</v>
      </c>
      <c r="BR951" t="s">
        <v>102</v>
      </c>
      <c r="BS951" t="s">
        <v>16154</v>
      </c>
      <c r="BT951" t="str">
        <f>HYPERLINK("https%3A%2F%2Fwww.webofscience.com%2Fwos%2Fwoscc%2Ffull-record%2FWOS:000729791700001","View Full Record in Web of Science")</f>
        <v>View Full Record in Web of Science</v>
      </c>
    </row>
    <row r="952" spans="1:72" x14ac:dyDescent="0.35">
      <c r="A952" t="s">
        <v>8845</v>
      </c>
      <c r="B952" t="s">
        <v>16155</v>
      </c>
      <c r="C952" t="s">
        <v>74</v>
      </c>
      <c r="D952" t="s">
        <v>16156</v>
      </c>
      <c r="E952" t="s">
        <v>74</v>
      </c>
      <c r="F952" t="s">
        <v>16157</v>
      </c>
      <c r="G952" t="s">
        <v>74</v>
      </c>
      <c r="H952" t="s">
        <v>74</v>
      </c>
      <c r="I952" t="s">
        <v>16158</v>
      </c>
      <c r="J952" t="s">
        <v>16159</v>
      </c>
      <c r="K952" t="s">
        <v>16160</v>
      </c>
      <c r="L952" t="s">
        <v>74</v>
      </c>
      <c r="M952" t="s">
        <v>78</v>
      </c>
      <c r="N952" t="s">
        <v>4953</v>
      </c>
      <c r="O952" t="s">
        <v>74</v>
      </c>
      <c r="P952" t="s">
        <v>74</v>
      </c>
      <c r="Q952" t="s">
        <v>74</v>
      </c>
      <c r="R952" t="s">
        <v>74</v>
      </c>
      <c r="S952" t="s">
        <v>74</v>
      </c>
      <c r="T952" t="s">
        <v>74</v>
      </c>
      <c r="U952" t="s">
        <v>16161</v>
      </c>
      <c r="V952" t="s">
        <v>74</v>
      </c>
      <c r="W952" t="s">
        <v>16162</v>
      </c>
      <c r="X952" t="s">
        <v>16163</v>
      </c>
      <c r="Y952" t="s">
        <v>16164</v>
      </c>
      <c r="Z952" t="s">
        <v>74</v>
      </c>
      <c r="AA952" t="s">
        <v>16165</v>
      </c>
      <c r="AB952" t="s">
        <v>2658</v>
      </c>
      <c r="AC952" t="s">
        <v>74</v>
      </c>
      <c r="AD952" t="s">
        <v>74</v>
      </c>
      <c r="AE952" t="s">
        <v>74</v>
      </c>
      <c r="AF952" t="s">
        <v>74</v>
      </c>
      <c r="AG952">
        <v>59</v>
      </c>
      <c r="AH952">
        <v>1</v>
      </c>
      <c r="AI952">
        <v>1</v>
      </c>
      <c r="AJ952">
        <v>1</v>
      </c>
      <c r="AK952">
        <v>1</v>
      </c>
      <c r="AL952" t="s">
        <v>16166</v>
      </c>
      <c r="AM952" t="s">
        <v>16167</v>
      </c>
      <c r="AN952" t="s">
        <v>16168</v>
      </c>
      <c r="AO952" t="s">
        <v>74</v>
      </c>
      <c r="AP952" t="s">
        <v>74</v>
      </c>
      <c r="AQ952" t="s">
        <v>16169</v>
      </c>
      <c r="AR952" t="s">
        <v>16170</v>
      </c>
      <c r="AS952" t="s">
        <v>74</v>
      </c>
      <c r="AT952" t="s">
        <v>74</v>
      </c>
      <c r="AU952">
        <v>2023</v>
      </c>
      <c r="AV952">
        <v>7</v>
      </c>
      <c r="AW952" t="s">
        <v>74</v>
      </c>
      <c r="AX952" t="s">
        <v>74</v>
      </c>
      <c r="AY952" t="s">
        <v>74</v>
      </c>
      <c r="AZ952" t="s">
        <v>74</v>
      </c>
      <c r="BA952" t="s">
        <v>74</v>
      </c>
      <c r="BB952">
        <v>228</v>
      </c>
      <c r="BC952">
        <v>243</v>
      </c>
      <c r="BD952" t="s">
        <v>74</v>
      </c>
      <c r="BE952" t="s">
        <v>74</v>
      </c>
      <c r="BF952" t="s">
        <v>74</v>
      </c>
      <c r="BG952" t="s">
        <v>16171</v>
      </c>
      <c r="BH952" t="s">
        <v>74</v>
      </c>
      <c r="BI952">
        <v>16</v>
      </c>
      <c r="BJ952" t="s">
        <v>16172</v>
      </c>
      <c r="BK952" t="s">
        <v>8862</v>
      </c>
      <c r="BL952" t="s">
        <v>16173</v>
      </c>
      <c r="BM952" t="s">
        <v>16174</v>
      </c>
      <c r="BN952" t="s">
        <v>74</v>
      </c>
      <c r="BO952" t="s">
        <v>74</v>
      </c>
      <c r="BP952" t="s">
        <v>74</v>
      </c>
      <c r="BQ952" t="s">
        <v>74</v>
      </c>
      <c r="BR952" t="s">
        <v>102</v>
      </c>
      <c r="BS952" t="s">
        <v>16175</v>
      </c>
      <c r="BT952" t="str">
        <f>HYPERLINK("https%3A%2F%2Fwww.webofscience.com%2Fwos%2Fwoscc%2Ffull-record%2FWOS:001011030100018","View Full Record in Web of Science")</f>
        <v>View Full Record in Web of Science</v>
      </c>
    </row>
    <row r="953" spans="1:72" x14ac:dyDescent="0.35">
      <c r="A953" t="s">
        <v>72</v>
      </c>
      <c r="B953" t="s">
        <v>16176</v>
      </c>
      <c r="C953" t="s">
        <v>74</v>
      </c>
      <c r="D953" t="s">
        <v>74</v>
      </c>
      <c r="E953" t="s">
        <v>74</v>
      </c>
      <c r="F953" t="s">
        <v>16177</v>
      </c>
      <c r="G953" t="s">
        <v>74</v>
      </c>
      <c r="H953" t="s">
        <v>74</v>
      </c>
      <c r="I953" t="s">
        <v>16178</v>
      </c>
      <c r="J953" t="s">
        <v>655</v>
      </c>
      <c r="K953" t="s">
        <v>74</v>
      </c>
      <c r="L953" t="s">
        <v>74</v>
      </c>
      <c r="M953" t="s">
        <v>78</v>
      </c>
      <c r="N953" t="s">
        <v>79</v>
      </c>
      <c r="O953" t="s">
        <v>74</v>
      </c>
      <c r="P953" t="s">
        <v>74</v>
      </c>
      <c r="Q953" t="s">
        <v>74</v>
      </c>
      <c r="R953" t="s">
        <v>74</v>
      </c>
      <c r="S953" t="s">
        <v>74</v>
      </c>
      <c r="T953" t="s">
        <v>16179</v>
      </c>
      <c r="U953" t="s">
        <v>16180</v>
      </c>
      <c r="V953" t="s">
        <v>16181</v>
      </c>
      <c r="W953" t="s">
        <v>16182</v>
      </c>
      <c r="X953" t="s">
        <v>16183</v>
      </c>
      <c r="Y953" t="s">
        <v>16184</v>
      </c>
      <c r="Z953" t="s">
        <v>16185</v>
      </c>
      <c r="AA953" t="s">
        <v>74</v>
      </c>
      <c r="AB953" t="s">
        <v>74</v>
      </c>
      <c r="AC953" t="s">
        <v>74</v>
      </c>
      <c r="AD953" t="s">
        <v>74</v>
      </c>
      <c r="AE953" t="s">
        <v>74</v>
      </c>
      <c r="AF953" t="s">
        <v>74</v>
      </c>
      <c r="AG953">
        <v>93</v>
      </c>
      <c r="AH953">
        <v>1</v>
      </c>
      <c r="AI953">
        <v>1</v>
      </c>
      <c r="AJ953">
        <v>36</v>
      </c>
      <c r="AK953">
        <v>73</v>
      </c>
      <c r="AL953" t="s">
        <v>665</v>
      </c>
      <c r="AM953" t="s">
        <v>666</v>
      </c>
      <c r="AN953" t="s">
        <v>667</v>
      </c>
      <c r="AO953" t="s">
        <v>668</v>
      </c>
      <c r="AP953" t="s">
        <v>669</v>
      </c>
      <c r="AQ953" t="s">
        <v>74</v>
      </c>
      <c r="AR953" t="s">
        <v>670</v>
      </c>
      <c r="AS953" t="s">
        <v>671</v>
      </c>
      <c r="AT953" t="s">
        <v>16186</v>
      </c>
      <c r="AU953">
        <v>2024</v>
      </c>
      <c r="AV953" t="s">
        <v>74</v>
      </c>
      <c r="AW953" t="s">
        <v>74</v>
      </c>
      <c r="AX953" t="s">
        <v>74</v>
      </c>
      <c r="AY953" t="s">
        <v>74</v>
      </c>
      <c r="AZ953" t="s">
        <v>74</v>
      </c>
      <c r="BA953" t="s">
        <v>74</v>
      </c>
      <c r="BB953" t="s">
        <v>74</v>
      </c>
      <c r="BC953" t="s">
        <v>74</v>
      </c>
      <c r="BD953" t="s">
        <v>74</v>
      </c>
      <c r="BE953" t="s">
        <v>16187</v>
      </c>
      <c r="BF953" t="str">
        <f>HYPERLINK("http://dx.doi.org/10.1007/s13132-024-01786-3","http://dx.doi.org/10.1007/s13132-024-01786-3")</f>
        <v>http://dx.doi.org/10.1007/s13132-024-01786-3</v>
      </c>
      <c r="BG953" t="s">
        <v>74</v>
      </c>
      <c r="BH953" t="s">
        <v>786</v>
      </c>
      <c r="BI953">
        <v>32</v>
      </c>
      <c r="BJ953" t="s">
        <v>675</v>
      </c>
      <c r="BK953" t="s">
        <v>99</v>
      </c>
      <c r="BL953" t="s">
        <v>480</v>
      </c>
      <c r="BM953" t="s">
        <v>16188</v>
      </c>
      <c r="BN953" t="s">
        <v>74</v>
      </c>
      <c r="BO953" t="s">
        <v>74</v>
      </c>
      <c r="BP953" t="s">
        <v>74</v>
      </c>
      <c r="BQ953" t="s">
        <v>74</v>
      </c>
      <c r="BR953" t="s">
        <v>102</v>
      </c>
      <c r="BS953" t="s">
        <v>16189</v>
      </c>
      <c r="BT953" t="str">
        <f>HYPERLINK("https%3A%2F%2Fwww.webofscience.com%2Fwos%2Fwoscc%2Ffull-record%2FWOS:001153740300001","View Full Record in Web of Science")</f>
        <v>View Full Record in Web of Science</v>
      </c>
    </row>
    <row r="954" spans="1:72" x14ac:dyDescent="0.35">
      <c r="A954" t="s">
        <v>72</v>
      </c>
      <c r="B954" t="s">
        <v>4109</v>
      </c>
      <c r="C954" t="s">
        <v>74</v>
      </c>
      <c r="D954" t="s">
        <v>74</v>
      </c>
      <c r="E954" t="s">
        <v>74</v>
      </c>
      <c r="F954" t="s">
        <v>4110</v>
      </c>
      <c r="G954" t="s">
        <v>74</v>
      </c>
      <c r="H954" t="s">
        <v>74</v>
      </c>
      <c r="I954" t="s">
        <v>16190</v>
      </c>
      <c r="J954" t="s">
        <v>3687</v>
      </c>
      <c r="K954" t="s">
        <v>74</v>
      </c>
      <c r="L954" t="s">
        <v>74</v>
      </c>
      <c r="M954" t="s">
        <v>78</v>
      </c>
      <c r="N954" t="s">
        <v>108</v>
      </c>
      <c r="O954" t="s">
        <v>74</v>
      </c>
      <c r="P954" t="s">
        <v>74</v>
      </c>
      <c r="Q954" t="s">
        <v>74</v>
      </c>
      <c r="R954" t="s">
        <v>74</v>
      </c>
      <c r="S954" t="s">
        <v>74</v>
      </c>
      <c r="T954" t="s">
        <v>74</v>
      </c>
      <c r="U954" t="s">
        <v>16191</v>
      </c>
      <c r="V954" t="s">
        <v>16192</v>
      </c>
      <c r="W954" t="s">
        <v>16193</v>
      </c>
      <c r="X954" t="s">
        <v>16194</v>
      </c>
      <c r="Y954" t="s">
        <v>4118</v>
      </c>
      <c r="Z954" t="s">
        <v>4119</v>
      </c>
      <c r="AA954" t="s">
        <v>4120</v>
      </c>
      <c r="AB954" t="s">
        <v>4121</v>
      </c>
      <c r="AC954" t="s">
        <v>16195</v>
      </c>
      <c r="AD954" t="s">
        <v>16195</v>
      </c>
      <c r="AE954" t="s">
        <v>16196</v>
      </c>
      <c r="AF954" t="s">
        <v>74</v>
      </c>
      <c r="AG954">
        <v>73</v>
      </c>
      <c r="AH954">
        <v>5</v>
      </c>
      <c r="AI954">
        <v>5</v>
      </c>
      <c r="AJ954">
        <v>14</v>
      </c>
      <c r="AK954">
        <v>33</v>
      </c>
      <c r="AL954" t="s">
        <v>88</v>
      </c>
      <c r="AM954" t="s">
        <v>89</v>
      </c>
      <c r="AN954" t="s">
        <v>90</v>
      </c>
      <c r="AO954" t="s">
        <v>3695</v>
      </c>
      <c r="AP954" t="s">
        <v>3696</v>
      </c>
      <c r="AQ954" t="s">
        <v>74</v>
      </c>
      <c r="AR954" t="s">
        <v>3697</v>
      </c>
      <c r="AS954" t="s">
        <v>3698</v>
      </c>
      <c r="AT954" t="s">
        <v>5293</v>
      </c>
      <c r="AU954">
        <v>2024</v>
      </c>
      <c r="AV954">
        <v>39</v>
      </c>
      <c r="AW954">
        <v>10</v>
      </c>
      <c r="AX954" t="s">
        <v>74</v>
      </c>
      <c r="AY954" t="s">
        <v>74</v>
      </c>
      <c r="AZ954" t="s">
        <v>74</v>
      </c>
      <c r="BA954" t="s">
        <v>74</v>
      </c>
      <c r="BB954">
        <v>2066</v>
      </c>
      <c r="BC954">
        <v>2078</v>
      </c>
      <c r="BD954" t="s">
        <v>74</v>
      </c>
      <c r="BE954" t="s">
        <v>16197</v>
      </c>
      <c r="BF954" t="str">
        <f>HYPERLINK("http://dx.doi.org/10.1080/10410236.2023.2254962","http://dx.doi.org/10.1080/10410236.2023.2254962")</f>
        <v>http://dx.doi.org/10.1080/10410236.2023.2254962</v>
      </c>
      <c r="BG954" t="s">
        <v>74</v>
      </c>
      <c r="BH954" t="s">
        <v>2929</v>
      </c>
      <c r="BI954">
        <v>13</v>
      </c>
      <c r="BJ954" t="s">
        <v>3701</v>
      </c>
      <c r="BK954" t="s">
        <v>99</v>
      </c>
      <c r="BL954" t="s">
        <v>3702</v>
      </c>
      <c r="BM954" t="s">
        <v>16198</v>
      </c>
      <c r="BN954">
        <v>37691164</v>
      </c>
      <c r="BO954" t="s">
        <v>74</v>
      </c>
      <c r="BP954" t="s">
        <v>74</v>
      </c>
      <c r="BQ954" t="s">
        <v>74</v>
      </c>
      <c r="BR954" t="s">
        <v>102</v>
      </c>
      <c r="BS954" t="s">
        <v>16199</v>
      </c>
      <c r="BT954" t="str">
        <f>HYPERLINK("https%3A%2F%2Fwww.webofscience.com%2Fwos%2Fwoscc%2Ffull-record%2FWOS:001070120600001","View Full Record in Web of Science")</f>
        <v>View Full Record in Web of Science</v>
      </c>
    </row>
    <row r="955" spans="1:72" x14ac:dyDescent="0.35">
      <c r="A955" t="s">
        <v>72</v>
      </c>
      <c r="B955" t="s">
        <v>16200</v>
      </c>
      <c r="C955" t="s">
        <v>74</v>
      </c>
      <c r="D955" t="s">
        <v>74</v>
      </c>
      <c r="E955" t="s">
        <v>74</v>
      </c>
      <c r="F955" t="s">
        <v>16201</v>
      </c>
      <c r="G955" t="s">
        <v>74</v>
      </c>
      <c r="H955" t="s">
        <v>74</v>
      </c>
      <c r="I955" t="s">
        <v>16202</v>
      </c>
      <c r="J955" t="s">
        <v>16203</v>
      </c>
      <c r="K955" t="s">
        <v>74</v>
      </c>
      <c r="L955" t="s">
        <v>74</v>
      </c>
      <c r="M955" t="s">
        <v>78</v>
      </c>
      <c r="N955" t="s">
        <v>108</v>
      </c>
      <c r="O955" t="s">
        <v>74</v>
      </c>
      <c r="P955" t="s">
        <v>74</v>
      </c>
      <c r="Q955" t="s">
        <v>74</v>
      </c>
      <c r="R955" t="s">
        <v>74</v>
      </c>
      <c r="S955" t="s">
        <v>74</v>
      </c>
      <c r="T955" t="s">
        <v>16204</v>
      </c>
      <c r="U955" t="s">
        <v>16205</v>
      </c>
      <c r="V955" t="s">
        <v>16206</v>
      </c>
      <c r="W955" t="s">
        <v>16207</v>
      </c>
      <c r="X955" t="s">
        <v>16208</v>
      </c>
      <c r="Y955" t="s">
        <v>16209</v>
      </c>
      <c r="Z955" t="s">
        <v>16210</v>
      </c>
      <c r="AA955" t="s">
        <v>16211</v>
      </c>
      <c r="AB955" t="s">
        <v>16212</v>
      </c>
      <c r="AC955" t="s">
        <v>74</v>
      </c>
      <c r="AD955" t="s">
        <v>74</v>
      </c>
      <c r="AE955" t="s">
        <v>74</v>
      </c>
      <c r="AF955" t="s">
        <v>74</v>
      </c>
      <c r="AG955">
        <v>43</v>
      </c>
      <c r="AH955">
        <v>1</v>
      </c>
      <c r="AI955">
        <v>1</v>
      </c>
      <c r="AJ955">
        <v>3</v>
      </c>
      <c r="AK955">
        <v>44</v>
      </c>
      <c r="AL955" t="s">
        <v>384</v>
      </c>
      <c r="AM955" t="s">
        <v>385</v>
      </c>
      <c r="AN955" t="s">
        <v>386</v>
      </c>
      <c r="AO955" t="s">
        <v>16213</v>
      </c>
      <c r="AP955" t="s">
        <v>74</v>
      </c>
      <c r="AQ955" t="s">
        <v>74</v>
      </c>
      <c r="AR955" t="s">
        <v>16214</v>
      </c>
      <c r="AS955" t="s">
        <v>16215</v>
      </c>
      <c r="AT955" t="s">
        <v>7764</v>
      </c>
      <c r="AU955">
        <v>2023</v>
      </c>
      <c r="AV955">
        <v>14</v>
      </c>
      <c r="AW955" t="s">
        <v>74</v>
      </c>
      <c r="AX955" t="s">
        <v>74</v>
      </c>
      <c r="AY955" t="s">
        <v>74</v>
      </c>
      <c r="AZ955" t="s">
        <v>74</v>
      </c>
      <c r="BA955" t="s">
        <v>74</v>
      </c>
      <c r="BB955" t="s">
        <v>74</v>
      </c>
      <c r="BC955" t="s">
        <v>74</v>
      </c>
      <c r="BD955">
        <v>1068431</v>
      </c>
      <c r="BE955" t="s">
        <v>16216</v>
      </c>
      <c r="BF955" t="str">
        <f>HYPERLINK("http://dx.doi.org/10.3389/fpsyt.2023.1068431","http://dx.doi.org/10.3389/fpsyt.2023.1068431")</f>
        <v>http://dx.doi.org/10.3389/fpsyt.2023.1068431</v>
      </c>
      <c r="BG955" t="s">
        <v>74</v>
      </c>
      <c r="BH955" t="s">
        <v>74</v>
      </c>
      <c r="BI955">
        <v>9</v>
      </c>
      <c r="BJ955" t="s">
        <v>1847</v>
      </c>
      <c r="BK955" t="s">
        <v>182</v>
      </c>
      <c r="BL955" t="s">
        <v>1847</v>
      </c>
      <c r="BM955" t="s">
        <v>16217</v>
      </c>
      <c r="BN955">
        <v>37056408</v>
      </c>
      <c r="BO955" t="s">
        <v>552</v>
      </c>
      <c r="BP955" t="s">
        <v>74</v>
      </c>
      <c r="BQ955" t="s">
        <v>74</v>
      </c>
      <c r="BR955" t="s">
        <v>102</v>
      </c>
      <c r="BS955" t="s">
        <v>16218</v>
      </c>
      <c r="BT955" t="str">
        <f>HYPERLINK("https%3A%2F%2Fwww.webofscience.com%2Fwos%2Fwoscc%2Ffull-record%2FWOS:000966748100001","View Full Record in Web of Science")</f>
        <v>View Full Record in Web of Science</v>
      </c>
    </row>
    <row r="956" spans="1:72" x14ac:dyDescent="0.35">
      <c r="A956" t="s">
        <v>72</v>
      </c>
      <c r="B956" t="s">
        <v>16219</v>
      </c>
      <c r="C956" t="s">
        <v>74</v>
      </c>
      <c r="D956" t="s">
        <v>74</v>
      </c>
      <c r="E956" t="s">
        <v>74</v>
      </c>
      <c r="F956" t="s">
        <v>16220</v>
      </c>
      <c r="G956" t="s">
        <v>74</v>
      </c>
      <c r="H956" t="s">
        <v>74</v>
      </c>
      <c r="I956" t="s">
        <v>16221</v>
      </c>
      <c r="J956" t="s">
        <v>2743</v>
      </c>
      <c r="K956" t="s">
        <v>74</v>
      </c>
      <c r="L956" t="s">
        <v>74</v>
      </c>
      <c r="M956" t="s">
        <v>78</v>
      </c>
      <c r="N956" t="s">
        <v>2042</v>
      </c>
      <c r="O956" t="s">
        <v>74</v>
      </c>
      <c r="P956" t="s">
        <v>74</v>
      </c>
      <c r="Q956" t="s">
        <v>74</v>
      </c>
      <c r="R956" t="s">
        <v>74</v>
      </c>
      <c r="S956" t="s">
        <v>74</v>
      </c>
      <c r="T956" t="s">
        <v>16222</v>
      </c>
      <c r="U956" t="s">
        <v>16223</v>
      </c>
      <c r="V956" t="s">
        <v>74</v>
      </c>
      <c r="W956" t="s">
        <v>16224</v>
      </c>
      <c r="X956" t="s">
        <v>16225</v>
      </c>
      <c r="Y956" t="s">
        <v>16226</v>
      </c>
      <c r="Z956" t="s">
        <v>16227</v>
      </c>
      <c r="AA956" t="s">
        <v>74</v>
      </c>
      <c r="AB956" t="s">
        <v>74</v>
      </c>
      <c r="AC956" t="s">
        <v>74</v>
      </c>
      <c r="AD956" t="s">
        <v>74</v>
      </c>
      <c r="AE956" t="s">
        <v>74</v>
      </c>
      <c r="AF956" t="s">
        <v>74</v>
      </c>
      <c r="AG956">
        <v>44</v>
      </c>
      <c r="AH956">
        <v>3</v>
      </c>
      <c r="AI956">
        <v>3</v>
      </c>
      <c r="AJ956">
        <v>0</v>
      </c>
      <c r="AK956">
        <v>0</v>
      </c>
      <c r="AL956" t="s">
        <v>516</v>
      </c>
      <c r="AM956" t="s">
        <v>517</v>
      </c>
      <c r="AN956" t="s">
        <v>518</v>
      </c>
      <c r="AO956" t="s">
        <v>74</v>
      </c>
      <c r="AP956" t="s">
        <v>2751</v>
      </c>
      <c r="AQ956" t="s">
        <v>74</v>
      </c>
      <c r="AR956" t="s">
        <v>2752</v>
      </c>
      <c r="AS956" t="s">
        <v>2753</v>
      </c>
      <c r="AT956" t="s">
        <v>455</v>
      </c>
      <c r="AU956">
        <v>2023</v>
      </c>
      <c r="AV956">
        <v>12</v>
      </c>
      <c r="AW956" t="s">
        <v>74</v>
      </c>
      <c r="AX956" t="s">
        <v>74</v>
      </c>
      <c r="AY956" t="s">
        <v>74</v>
      </c>
      <c r="AZ956" t="s">
        <v>74</v>
      </c>
      <c r="BA956" t="s">
        <v>74</v>
      </c>
      <c r="BB956">
        <v>101</v>
      </c>
      <c r="BC956">
        <v>102</v>
      </c>
      <c r="BD956" t="s">
        <v>74</v>
      </c>
      <c r="BE956" t="s">
        <v>16228</v>
      </c>
      <c r="BF956" t="str">
        <f>HYPERLINK("http://dx.doi.org/10.1016/j.jdin.2023.05.004","http://dx.doi.org/10.1016/j.jdin.2023.05.004")</f>
        <v>http://dx.doi.org/10.1016/j.jdin.2023.05.004</v>
      </c>
      <c r="BG956" t="s">
        <v>74</v>
      </c>
      <c r="BH956" t="s">
        <v>74</v>
      </c>
      <c r="BI956">
        <v>2</v>
      </c>
      <c r="BJ956" t="s">
        <v>1341</v>
      </c>
      <c r="BK956" t="s">
        <v>125</v>
      </c>
      <c r="BL956" t="s">
        <v>1341</v>
      </c>
      <c r="BM956" t="s">
        <v>16229</v>
      </c>
      <c r="BN956">
        <v>37404249</v>
      </c>
      <c r="BO956" t="s">
        <v>552</v>
      </c>
      <c r="BP956" t="s">
        <v>74</v>
      </c>
      <c r="BQ956" t="s">
        <v>74</v>
      </c>
      <c r="BR956" t="s">
        <v>102</v>
      </c>
      <c r="BS956" t="s">
        <v>16230</v>
      </c>
      <c r="BT956" t="str">
        <f>HYPERLINK("https%3A%2F%2Fwww.webofscience.com%2Fwos%2Fwoscc%2Ffull-record%2FWOS:001226945900020","View Full Record in Web of Science")</f>
        <v>View Full Record in Web of Science</v>
      </c>
    </row>
    <row r="957" spans="1:72" x14ac:dyDescent="0.35">
      <c r="A957" t="s">
        <v>72</v>
      </c>
      <c r="B957" t="s">
        <v>16231</v>
      </c>
      <c r="C957" t="s">
        <v>74</v>
      </c>
      <c r="D957" t="s">
        <v>74</v>
      </c>
      <c r="E957" t="s">
        <v>74</v>
      </c>
      <c r="F957" t="s">
        <v>16232</v>
      </c>
      <c r="G957" t="s">
        <v>74</v>
      </c>
      <c r="H957" t="s">
        <v>74</v>
      </c>
      <c r="I957" t="s">
        <v>16233</v>
      </c>
      <c r="J957" t="s">
        <v>1874</v>
      </c>
      <c r="K957" t="s">
        <v>74</v>
      </c>
      <c r="L957" t="s">
        <v>74</v>
      </c>
      <c r="M957" t="s">
        <v>78</v>
      </c>
      <c r="N957" t="s">
        <v>52</v>
      </c>
      <c r="O957" t="s">
        <v>74</v>
      </c>
      <c r="P957" t="s">
        <v>74</v>
      </c>
      <c r="Q957" t="s">
        <v>74</v>
      </c>
      <c r="R957" t="s">
        <v>74</v>
      </c>
      <c r="S957" t="s">
        <v>74</v>
      </c>
      <c r="T957" t="s">
        <v>74</v>
      </c>
      <c r="U957" t="s">
        <v>74</v>
      </c>
      <c r="V957" t="s">
        <v>74</v>
      </c>
      <c r="W957" t="s">
        <v>16234</v>
      </c>
      <c r="X957" t="s">
        <v>3187</v>
      </c>
      <c r="Y957" t="s">
        <v>74</v>
      </c>
      <c r="Z957" t="s">
        <v>74</v>
      </c>
      <c r="AA957" t="s">
        <v>74</v>
      </c>
      <c r="AB957" t="s">
        <v>74</v>
      </c>
      <c r="AC957" t="s">
        <v>74</v>
      </c>
      <c r="AD957" t="s">
        <v>74</v>
      </c>
      <c r="AE957" t="s">
        <v>74</v>
      </c>
      <c r="AF957" t="s">
        <v>74</v>
      </c>
      <c r="AG957">
        <v>0</v>
      </c>
      <c r="AH957">
        <v>0</v>
      </c>
      <c r="AI957">
        <v>0</v>
      </c>
      <c r="AJ957">
        <v>0</v>
      </c>
      <c r="AK957">
        <v>0</v>
      </c>
      <c r="AL957" t="s">
        <v>1061</v>
      </c>
      <c r="AM957" t="s">
        <v>1062</v>
      </c>
      <c r="AN957" t="s">
        <v>1063</v>
      </c>
      <c r="AO957" t="s">
        <v>1880</v>
      </c>
      <c r="AP957" t="s">
        <v>1881</v>
      </c>
      <c r="AQ957" t="s">
        <v>74</v>
      </c>
      <c r="AR957" t="s">
        <v>1882</v>
      </c>
      <c r="AS957" t="s">
        <v>1883</v>
      </c>
      <c r="AT957" t="s">
        <v>930</v>
      </c>
      <c r="AU957">
        <v>2024</v>
      </c>
      <c r="AV957">
        <v>67</v>
      </c>
      <c r="AW957" t="s">
        <v>74</v>
      </c>
      <c r="AX957" t="s">
        <v>74</v>
      </c>
      <c r="AY957">
        <v>1</v>
      </c>
      <c r="AZ957" t="s">
        <v>456</v>
      </c>
      <c r="BA957" t="s">
        <v>16235</v>
      </c>
      <c r="BB957" t="s">
        <v>16236</v>
      </c>
      <c r="BC957" t="s">
        <v>16236</v>
      </c>
      <c r="BD957" t="s">
        <v>74</v>
      </c>
      <c r="BE957" t="s">
        <v>74</v>
      </c>
      <c r="BF957" t="s">
        <v>74</v>
      </c>
      <c r="BG957" t="s">
        <v>74</v>
      </c>
      <c r="BH957" t="s">
        <v>74</v>
      </c>
      <c r="BI957">
        <v>1</v>
      </c>
      <c r="BJ957" t="s">
        <v>1847</v>
      </c>
      <c r="BK957" t="s">
        <v>182</v>
      </c>
      <c r="BL957" t="s">
        <v>1847</v>
      </c>
      <c r="BM957" t="s">
        <v>16237</v>
      </c>
      <c r="BN957" t="s">
        <v>74</v>
      </c>
      <c r="BO957" t="s">
        <v>74</v>
      </c>
      <c r="BP957" t="s">
        <v>74</v>
      </c>
      <c r="BQ957" t="s">
        <v>74</v>
      </c>
      <c r="BR957" t="s">
        <v>102</v>
      </c>
      <c r="BS957" t="s">
        <v>16238</v>
      </c>
      <c r="BT957" t="str">
        <f>HYPERLINK("https%3A%2F%2Fwww.webofscience.com%2Fwos%2Fwoscc%2Ffull-record%2FWOS:001310523500104","View Full Record in Web of Science")</f>
        <v>View Full Record in Web of Science</v>
      </c>
    </row>
    <row r="958" spans="1:72" x14ac:dyDescent="0.35">
      <c r="A958" t="s">
        <v>72</v>
      </c>
      <c r="B958" t="s">
        <v>16239</v>
      </c>
      <c r="C958" t="s">
        <v>74</v>
      </c>
      <c r="D958" t="s">
        <v>74</v>
      </c>
      <c r="E958" t="s">
        <v>74</v>
      </c>
      <c r="F958" t="s">
        <v>16240</v>
      </c>
      <c r="G958" t="s">
        <v>74</v>
      </c>
      <c r="H958" t="s">
        <v>74</v>
      </c>
      <c r="I958" t="s">
        <v>16241</v>
      </c>
      <c r="J958" t="s">
        <v>16242</v>
      </c>
      <c r="K958" t="s">
        <v>74</v>
      </c>
      <c r="L958" t="s">
        <v>74</v>
      </c>
      <c r="M958" t="s">
        <v>78</v>
      </c>
      <c r="N958" t="s">
        <v>108</v>
      </c>
      <c r="O958" t="s">
        <v>74</v>
      </c>
      <c r="P958" t="s">
        <v>74</v>
      </c>
      <c r="Q958" t="s">
        <v>74</v>
      </c>
      <c r="R958" t="s">
        <v>74</v>
      </c>
      <c r="S958" t="s">
        <v>74</v>
      </c>
      <c r="T958" t="s">
        <v>16243</v>
      </c>
      <c r="U958" t="s">
        <v>74</v>
      </c>
      <c r="V958" t="s">
        <v>16244</v>
      </c>
      <c r="W958" t="s">
        <v>16245</v>
      </c>
      <c r="X958" t="s">
        <v>11059</v>
      </c>
      <c r="Y958" t="s">
        <v>16246</v>
      </c>
      <c r="Z958" t="s">
        <v>16247</v>
      </c>
      <c r="AA958" t="s">
        <v>74</v>
      </c>
      <c r="AB958" t="s">
        <v>16248</v>
      </c>
      <c r="AC958" t="s">
        <v>15455</v>
      </c>
      <c r="AD958" t="s">
        <v>15456</v>
      </c>
      <c r="AE958" t="s">
        <v>16249</v>
      </c>
      <c r="AF958" t="s">
        <v>74</v>
      </c>
      <c r="AG958">
        <v>6</v>
      </c>
      <c r="AH958">
        <v>2</v>
      </c>
      <c r="AI958">
        <v>2</v>
      </c>
      <c r="AJ958">
        <v>1</v>
      </c>
      <c r="AK958">
        <v>6</v>
      </c>
      <c r="AL958" t="s">
        <v>3632</v>
      </c>
      <c r="AM958" t="s">
        <v>148</v>
      </c>
      <c r="AN958" t="s">
        <v>5053</v>
      </c>
      <c r="AO958" t="s">
        <v>16250</v>
      </c>
      <c r="AP958" t="s">
        <v>16251</v>
      </c>
      <c r="AQ958" t="s">
        <v>74</v>
      </c>
      <c r="AR958" t="s">
        <v>16252</v>
      </c>
      <c r="AS958" t="s">
        <v>16253</v>
      </c>
      <c r="AT958" t="s">
        <v>1275</v>
      </c>
      <c r="AU958">
        <v>2023</v>
      </c>
      <c r="AV958">
        <v>47</v>
      </c>
      <c r="AW958">
        <v>6</v>
      </c>
      <c r="AX958" t="s">
        <v>74</v>
      </c>
      <c r="AY958" t="s">
        <v>74</v>
      </c>
      <c r="AZ958" t="s">
        <v>74</v>
      </c>
      <c r="BA958" t="s">
        <v>74</v>
      </c>
      <c r="BB958" t="s">
        <v>74</v>
      </c>
      <c r="BC958" t="s">
        <v>74</v>
      </c>
      <c r="BD958">
        <v>103372</v>
      </c>
      <c r="BE958" t="s">
        <v>16254</v>
      </c>
      <c r="BF958" t="str">
        <f>HYPERLINK("http://dx.doi.org/10.1016/j.rbmo.2023.103372","http://dx.doi.org/10.1016/j.rbmo.2023.103372")</f>
        <v>http://dx.doi.org/10.1016/j.rbmo.2023.103372</v>
      </c>
      <c r="BG958" t="s">
        <v>74</v>
      </c>
      <c r="BH958" t="s">
        <v>207</v>
      </c>
      <c r="BI958">
        <v>3</v>
      </c>
      <c r="BJ958" t="s">
        <v>11405</v>
      </c>
      <c r="BK958" t="s">
        <v>209</v>
      </c>
      <c r="BL958" t="s">
        <v>11405</v>
      </c>
      <c r="BM958" t="s">
        <v>16255</v>
      </c>
      <c r="BN958">
        <v>37866215</v>
      </c>
      <c r="BO958" t="s">
        <v>74</v>
      </c>
      <c r="BP958" t="s">
        <v>74</v>
      </c>
      <c r="BQ958" t="s">
        <v>74</v>
      </c>
      <c r="BR958" t="s">
        <v>102</v>
      </c>
      <c r="BS958" t="s">
        <v>16256</v>
      </c>
      <c r="BT958" t="str">
        <f>HYPERLINK("https%3A%2F%2Fwww.webofscience.com%2Fwos%2Fwoscc%2Ffull-record%2FWOS:001106103200001","View Full Record in Web of Science")</f>
        <v>View Full Record in Web of Science</v>
      </c>
    </row>
    <row r="959" spans="1:72" x14ac:dyDescent="0.35">
      <c r="A959" t="s">
        <v>72</v>
      </c>
      <c r="B959" t="s">
        <v>16257</v>
      </c>
      <c r="C959" t="s">
        <v>74</v>
      </c>
      <c r="D959" t="s">
        <v>74</v>
      </c>
      <c r="E959" t="s">
        <v>74</v>
      </c>
      <c r="F959" t="s">
        <v>16258</v>
      </c>
      <c r="G959" t="s">
        <v>74</v>
      </c>
      <c r="H959" t="s">
        <v>74</v>
      </c>
      <c r="I959" t="s">
        <v>16259</v>
      </c>
      <c r="J959" t="s">
        <v>9917</v>
      </c>
      <c r="K959" t="s">
        <v>74</v>
      </c>
      <c r="L959" t="s">
        <v>74</v>
      </c>
      <c r="M959" t="s">
        <v>78</v>
      </c>
      <c r="N959" t="s">
        <v>108</v>
      </c>
      <c r="O959" t="s">
        <v>74</v>
      </c>
      <c r="P959" t="s">
        <v>74</v>
      </c>
      <c r="Q959" t="s">
        <v>74</v>
      </c>
      <c r="R959" t="s">
        <v>74</v>
      </c>
      <c r="S959" t="s">
        <v>74</v>
      </c>
      <c r="T959" t="s">
        <v>16260</v>
      </c>
      <c r="U959" t="s">
        <v>16261</v>
      </c>
      <c r="V959" t="s">
        <v>16262</v>
      </c>
      <c r="W959" t="s">
        <v>16263</v>
      </c>
      <c r="X959" t="s">
        <v>16264</v>
      </c>
      <c r="Y959" t="s">
        <v>16265</v>
      </c>
      <c r="Z959" t="s">
        <v>16266</v>
      </c>
      <c r="AA959" t="s">
        <v>16267</v>
      </c>
      <c r="AB959" t="s">
        <v>16268</v>
      </c>
      <c r="AC959" t="s">
        <v>74</v>
      </c>
      <c r="AD959" t="s">
        <v>74</v>
      </c>
      <c r="AE959" t="s">
        <v>74</v>
      </c>
      <c r="AF959" t="s">
        <v>74</v>
      </c>
      <c r="AG959">
        <v>24</v>
      </c>
      <c r="AH959">
        <v>2</v>
      </c>
      <c r="AI959">
        <v>2</v>
      </c>
      <c r="AJ959">
        <v>3</v>
      </c>
      <c r="AK959">
        <v>4</v>
      </c>
      <c r="AL959" t="s">
        <v>251</v>
      </c>
      <c r="AM959" t="s">
        <v>252</v>
      </c>
      <c r="AN959" t="s">
        <v>253</v>
      </c>
      <c r="AO959" t="s">
        <v>9922</v>
      </c>
      <c r="AP959" t="s">
        <v>9923</v>
      </c>
      <c r="AQ959" t="s">
        <v>74</v>
      </c>
      <c r="AR959" t="s">
        <v>9924</v>
      </c>
      <c r="AS959" t="s">
        <v>9925</v>
      </c>
      <c r="AT959" t="s">
        <v>232</v>
      </c>
      <c r="AU959">
        <v>2024</v>
      </c>
      <c r="AV959">
        <v>43</v>
      </c>
      <c r="AW959">
        <v>1</v>
      </c>
      <c r="AX959" t="s">
        <v>74</v>
      </c>
      <c r="AY959" t="s">
        <v>74</v>
      </c>
      <c r="AZ959" t="s">
        <v>74</v>
      </c>
      <c r="BA959" t="s">
        <v>74</v>
      </c>
      <c r="BB959">
        <v>36</v>
      </c>
      <c r="BC959">
        <v>44</v>
      </c>
      <c r="BD959" t="s">
        <v>74</v>
      </c>
      <c r="BE959" t="s">
        <v>16269</v>
      </c>
      <c r="BF959" t="str">
        <f>HYPERLINK("http://dx.doi.org/10.1111/dar.13640","http://dx.doi.org/10.1111/dar.13640")</f>
        <v>http://dx.doi.org/10.1111/dar.13640</v>
      </c>
      <c r="BG959" t="s">
        <v>74</v>
      </c>
      <c r="BH959" t="s">
        <v>1046</v>
      </c>
      <c r="BI959">
        <v>9</v>
      </c>
      <c r="BJ959" t="s">
        <v>4614</v>
      </c>
      <c r="BK959" t="s">
        <v>99</v>
      </c>
      <c r="BL959" t="s">
        <v>4614</v>
      </c>
      <c r="BM959" t="s">
        <v>16270</v>
      </c>
      <c r="BN959">
        <v>36917507</v>
      </c>
      <c r="BO959" t="s">
        <v>156</v>
      </c>
      <c r="BP959" t="s">
        <v>74</v>
      </c>
      <c r="BQ959" t="s">
        <v>74</v>
      </c>
      <c r="BR959" t="s">
        <v>102</v>
      </c>
      <c r="BS959" t="s">
        <v>16271</v>
      </c>
      <c r="BT959" t="str">
        <f>HYPERLINK("https%3A%2F%2Fwww.webofscience.com%2Fwos%2Fwoscc%2Ffull-record%2FWOS:000949899000001","View Full Record in Web of Science")</f>
        <v>View Full Record in Web of Science</v>
      </c>
    </row>
    <row r="960" spans="1:72" x14ac:dyDescent="0.35">
      <c r="A960" t="s">
        <v>72</v>
      </c>
      <c r="B960" t="s">
        <v>16272</v>
      </c>
      <c r="C960" t="s">
        <v>74</v>
      </c>
      <c r="D960" t="s">
        <v>74</v>
      </c>
      <c r="E960" t="s">
        <v>74</v>
      </c>
      <c r="F960" t="s">
        <v>16273</v>
      </c>
      <c r="G960" t="s">
        <v>74</v>
      </c>
      <c r="H960" t="s">
        <v>74</v>
      </c>
      <c r="I960" t="s">
        <v>16274</v>
      </c>
      <c r="J960" t="s">
        <v>16275</v>
      </c>
      <c r="K960" t="s">
        <v>74</v>
      </c>
      <c r="L960" t="s">
        <v>74</v>
      </c>
      <c r="M960" t="s">
        <v>78</v>
      </c>
      <c r="N960" t="s">
        <v>108</v>
      </c>
      <c r="O960" t="s">
        <v>74</v>
      </c>
      <c r="P960" t="s">
        <v>74</v>
      </c>
      <c r="Q960" t="s">
        <v>74</v>
      </c>
      <c r="R960" t="s">
        <v>74</v>
      </c>
      <c r="S960" t="s">
        <v>74</v>
      </c>
      <c r="T960" t="s">
        <v>16276</v>
      </c>
      <c r="U960" t="s">
        <v>16277</v>
      </c>
      <c r="V960" t="s">
        <v>16278</v>
      </c>
      <c r="W960" t="s">
        <v>16279</v>
      </c>
      <c r="X960" t="s">
        <v>16280</v>
      </c>
      <c r="Y960" t="s">
        <v>16281</v>
      </c>
      <c r="Z960" t="s">
        <v>16282</v>
      </c>
      <c r="AA960" t="s">
        <v>16283</v>
      </c>
      <c r="AB960" t="s">
        <v>16284</v>
      </c>
      <c r="AC960" t="s">
        <v>74</v>
      </c>
      <c r="AD960" t="s">
        <v>74</v>
      </c>
      <c r="AE960" t="s">
        <v>74</v>
      </c>
      <c r="AF960" t="s">
        <v>74</v>
      </c>
      <c r="AG960">
        <v>83</v>
      </c>
      <c r="AH960">
        <v>1</v>
      </c>
      <c r="AI960">
        <v>1</v>
      </c>
      <c r="AJ960">
        <v>20</v>
      </c>
      <c r="AK960">
        <v>31</v>
      </c>
      <c r="AL960" t="s">
        <v>1195</v>
      </c>
      <c r="AM960" t="s">
        <v>1196</v>
      </c>
      <c r="AN960" t="s">
        <v>1197</v>
      </c>
      <c r="AO960" t="s">
        <v>16285</v>
      </c>
      <c r="AP960" t="s">
        <v>74</v>
      </c>
      <c r="AQ960" t="s">
        <v>74</v>
      </c>
      <c r="AR960" t="s">
        <v>16286</v>
      </c>
      <c r="AS960" t="s">
        <v>16287</v>
      </c>
      <c r="AT960" t="s">
        <v>1484</v>
      </c>
      <c r="AU960">
        <v>2024</v>
      </c>
      <c r="AV960">
        <v>19</v>
      </c>
      <c r="AW960">
        <v>1</v>
      </c>
      <c r="AX960" t="s">
        <v>74</v>
      </c>
      <c r="AY960" t="s">
        <v>74</v>
      </c>
      <c r="AZ960" t="s">
        <v>74</v>
      </c>
      <c r="BA960" t="s">
        <v>74</v>
      </c>
      <c r="BB960">
        <v>95</v>
      </c>
      <c r="BC960">
        <v>115</v>
      </c>
      <c r="BD960" t="s">
        <v>74</v>
      </c>
      <c r="BE960" t="s">
        <v>16288</v>
      </c>
      <c r="BF960" t="str">
        <f>HYPERLINK("http://dx.doi.org/10.3390/jtaer19010006","http://dx.doi.org/10.3390/jtaer19010006")</f>
        <v>http://dx.doi.org/10.3390/jtaer19010006</v>
      </c>
      <c r="BG960" t="s">
        <v>74</v>
      </c>
      <c r="BH960" t="s">
        <v>74</v>
      </c>
      <c r="BI960">
        <v>21</v>
      </c>
      <c r="BJ960" t="s">
        <v>1597</v>
      </c>
      <c r="BK960" t="s">
        <v>99</v>
      </c>
      <c r="BL960" t="s">
        <v>480</v>
      </c>
      <c r="BM960" t="s">
        <v>16289</v>
      </c>
      <c r="BN960" t="s">
        <v>74</v>
      </c>
      <c r="BO960" t="s">
        <v>235</v>
      </c>
      <c r="BP960" t="s">
        <v>74</v>
      </c>
      <c r="BQ960" t="s">
        <v>74</v>
      </c>
      <c r="BR960" t="s">
        <v>102</v>
      </c>
      <c r="BS960" t="s">
        <v>16290</v>
      </c>
      <c r="BT960" t="str">
        <f>HYPERLINK("https%3A%2F%2Fwww.webofscience.com%2Fwos%2Fwoscc%2Ffull-record%2FWOS:001192963500001","View Full Record in Web of Science")</f>
        <v>View Full Record in Web of Science</v>
      </c>
    </row>
    <row r="961" spans="1:72" x14ac:dyDescent="0.35">
      <c r="A961" t="s">
        <v>128</v>
      </c>
      <c r="B961" t="s">
        <v>16291</v>
      </c>
      <c r="C961" t="s">
        <v>74</v>
      </c>
      <c r="D961" t="s">
        <v>16292</v>
      </c>
      <c r="E961" t="s">
        <v>74</v>
      </c>
      <c r="F961" t="s">
        <v>16293</v>
      </c>
      <c r="G961" t="s">
        <v>74</v>
      </c>
      <c r="H961" t="s">
        <v>74</v>
      </c>
      <c r="I961" t="s">
        <v>16294</v>
      </c>
      <c r="J961" t="s">
        <v>16295</v>
      </c>
      <c r="K961" t="s">
        <v>16296</v>
      </c>
      <c r="L961" t="s">
        <v>74</v>
      </c>
      <c r="M961" t="s">
        <v>78</v>
      </c>
      <c r="N961" t="s">
        <v>135</v>
      </c>
      <c r="O961" t="s">
        <v>16297</v>
      </c>
      <c r="P961" t="s">
        <v>16298</v>
      </c>
      <c r="Q961" t="s">
        <v>8367</v>
      </c>
      <c r="R961" t="s">
        <v>74</v>
      </c>
      <c r="S961" t="s">
        <v>74</v>
      </c>
      <c r="T961" t="s">
        <v>16299</v>
      </c>
      <c r="U961" t="s">
        <v>74</v>
      </c>
      <c r="V961" t="s">
        <v>16300</v>
      </c>
      <c r="W961" t="s">
        <v>16301</v>
      </c>
      <c r="X961" t="s">
        <v>14302</v>
      </c>
      <c r="Y961" t="s">
        <v>16302</v>
      </c>
      <c r="Z961" t="s">
        <v>16303</v>
      </c>
      <c r="AA961" t="s">
        <v>74</v>
      </c>
      <c r="AB961" t="s">
        <v>74</v>
      </c>
      <c r="AC961" t="s">
        <v>74</v>
      </c>
      <c r="AD961" t="s">
        <v>74</v>
      </c>
      <c r="AE961" t="s">
        <v>74</v>
      </c>
      <c r="AF961" t="s">
        <v>74</v>
      </c>
      <c r="AG961">
        <v>41</v>
      </c>
      <c r="AH961">
        <v>34</v>
      </c>
      <c r="AI961">
        <v>42</v>
      </c>
      <c r="AJ961">
        <v>11</v>
      </c>
      <c r="AK961">
        <v>44</v>
      </c>
      <c r="AL961" t="s">
        <v>639</v>
      </c>
      <c r="AM961" t="s">
        <v>640</v>
      </c>
      <c r="AN961" t="s">
        <v>641</v>
      </c>
      <c r="AO961" t="s">
        <v>74</v>
      </c>
      <c r="AP961" t="s">
        <v>74</v>
      </c>
      <c r="AQ961" t="s">
        <v>16304</v>
      </c>
      <c r="AR961" t="s">
        <v>16305</v>
      </c>
      <c r="AS961" t="s">
        <v>74</v>
      </c>
      <c r="AT961" t="s">
        <v>74</v>
      </c>
      <c r="AU961">
        <v>2020</v>
      </c>
      <c r="AV961">
        <v>12195</v>
      </c>
      <c r="AW961" t="s">
        <v>74</v>
      </c>
      <c r="AX961" t="s">
        <v>74</v>
      </c>
      <c r="AY961" t="s">
        <v>74</v>
      </c>
      <c r="AZ961" t="s">
        <v>74</v>
      </c>
      <c r="BA961" t="s">
        <v>74</v>
      </c>
      <c r="BB961">
        <v>108</v>
      </c>
      <c r="BC961">
        <v>125</v>
      </c>
      <c r="BD961" t="s">
        <v>74</v>
      </c>
      <c r="BE961" t="s">
        <v>16306</v>
      </c>
      <c r="BF961" t="str">
        <f>HYPERLINK("http://dx.doi.org/10.1007/978-3-030-49576-3_8","http://dx.doi.org/10.1007/978-3-030-49576-3_8")</f>
        <v>http://dx.doi.org/10.1007/978-3-030-49576-3_8</v>
      </c>
      <c r="BG961" t="s">
        <v>74</v>
      </c>
      <c r="BH961" t="s">
        <v>74</v>
      </c>
      <c r="BI961">
        <v>18</v>
      </c>
      <c r="BJ961" t="s">
        <v>16307</v>
      </c>
      <c r="BK961" t="s">
        <v>648</v>
      </c>
      <c r="BL961" t="s">
        <v>16308</v>
      </c>
      <c r="BM961" t="s">
        <v>16309</v>
      </c>
      <c r="BN961" t="s">
        <v>74</v>
      </c>
      <c r="BO961" t="s">
        <v>74</v>
      </c>
      <c r="BP961" t="s">
        <v>74</v>
      </c>
      <c r="BQ961" t="s">
        <v>74</v>
      </c>
      <c r="BR961" t="s">
        <v>102</v>
      </c>
      <c r="BS961" t="s">
        <v>16310</v>
      </c>
      <c r="BT961" t="str">
        <f>HYPERLINK("https%3A%2F%2Fwww.webofscience.com%2Fwos%2Fwoscc%2Ffull-record%2FWOS:001297926500008","View Full Record in Web of Science")</f>
        <v>View Full Record in Web of Science</v>
      </c>
    </row>
    <row r="962" spans="1:72" x14ac:dyDescent="0.35">
      <c r="A962" t="s">
        <v>72</v>
      </c>
      <c r="B962" t="s">
        <v>16311</v>
      </c>
      <c r="C962" t="s">
        <v>74</v>
      </c>
      <c r="D962" t="s">
        <v>74</v>
      </c>
      <c r="E962" t="s">
        <v>74</v>
      </c>
      <c r="F962" t="s">
        <v>16312</v>
      </c>
      <c r="G962" t="s">
        <v>74</v>
      </c>
      <c r="H962" t="s">
        <v>74</v>
      </c>
      <c r="I962" t="s">
        <v>16313</v>
      </c>
      <c r="J962" t="s">
        <v>16314</v>
      </c>
      <c r="K962" t="s">
        <v>74</v>
      </c>
      <c r="L962" t="s">
        <v>74</v>
      </c>
      <c r="M962" t="s">
        <v>78</v>
      </c>
      <c r="N962" t="s">
        <v>1328</v>
      </c>
      <c r="O962" t="s">
        <v>74</v>
      </c>
      <c r="P962" t="s">
        <v>74</v>
      </c>
      <c r="Q962" t="s">
        <v>74</v>
      </c>
      <c r="R962" t="s">
        <v>74</v>
      </c>
      <c r="S962" t="s">
        <v>74</v>
      </c>
      <c r="T962" t="s">
        <v>74</v>
      </c>
      <c r="U962" t="s">
        <v>74</v>
      </c>
      <c r="V962" t="s">
        <v>16315</v>
      </c>
      <c r="W962" t="s">
        <v>16316</v>
      </c>
      <c r="X962" t="s">
        <v>16317</v>
      </c>
      <c r="Y962" t="s">
        <v>16318</v>
      </c>
      <c r="Z962" t="s">
        <v>16319</v>
      </c>
      <c r="AA962" t="s">
        <v>74</v>
      </c>
      <c r="AB962" t="s">
        <v>16320</v>
      </c>
      <c r="AC962" t="s">
        <v>74</v>
      </c>
      <c r="AD962" t="s">
        <v>74</v>
      </c>
      <c r="AE962" t="s">
        <v>74</v>
      </c>
      <c r="AF962" t="s">
        <v>74</v>
      </c>
      <c r="AG962">
        <v>5</v>
      </c>
      <c r="AH962">
        <v>1</v>
      </c>
      <c r="AI962">
        <v>1</v>
      </c>
      <c r="AJ962">
        <v>6</v>
      </c>
      <c r="AK962">
        <v>9</v>
      </c>
      <c r="AL962" t="s">
        <v>665</v>
      </c>
      <c r="AM962" t="s">
        <v>666</v>
      </c>
      <c r="AN962" t="s">
        <v>667</v>
      </c>
      <c r="AO962" t="s">
        <v>16321</v>
      </c>
      <c r="AP962" t="s">
        <v>16322</v>
      </c>
      <c r="AQ962" t="s">
        <v>74</v>
      </c>
      <c r="AR962" t="s">
        <v>16323</v>
      </c>
      <c r="AS962" t="s">
        <v>16324</v>
      </c>
      <c r="AT962" t="s">
        <v>273</v>
      </c>
      <c r="AU962">
        <v>2024</v>
      </c>
      <c r="AV962">
        <v>31</v>
      </c>
      <c r="AW962">
        <v>7</v>
      </c>
      <c r="AX962" t="s">
        <v>74</v>
      </c>
      <c r="AY962" t="s">
        <v>74</v>
      </c>
      <c r="AZ962" t="s">
        <v>74</v>
      </c>
      <c r="BA962" t="s">
        <v>74</v>
      </c>
      <c r="BB962">
        <v>4182</v>
      </c>
      <c r="BC962">
        <v>4184</v>
      </c>
      <c r="BD962" t="s">
        <v>74</v>
      </c>
      <c r="BE962" t="s">
        <v>16325</v>
      </c>
      <c r="BF962" t="str">
        <f>HYPERLINK("http://dx.doi.org/10.1245/s10434-024-15268-y","http://dx.doi.org/10.1245/s10434-024-15268-y")</f>
        <v>http://dx.doi.org/10.1245/s10434-024-15268-y</v>
      </c>
      <c r="BG962" t="s">
        <v>74</v>
      </c>
      <c r="BH962" t="s">
        <v>2410</v>
      </c>
      <c r="BI962">
        <v>3</v>
      </c>
      <c r="BJ962" t="s">
        <v>16326</v>
      </c>
      <c r="BK962" t="s">
        <v>209</v>
      </c>
      <c r="BL962" t="s">
        <v>16326</v>
      </c>
      <c r="BM962" t="s">
        <v>16327</v>
      </c>
      <c r="BN962">
        <v>38592623</v>
      </c>
      <c r="BO962" t="s">
        <v>74</v>
      </c>
      <c r="BP962" t="s">
        <v>74</v>
      </c>
      <c r="BQ962" t="s">
        <v>74</v>
      </c>
      <c r="BR962" t="s">
        <v>102</v>
      </c>
      <c r="BS962" t="s">
        <v>16328</v>
      </c>
      <c r="BT962" t="str">
        <f>HYPERLINK("https%3A%2F%2Fwww.webofscience.com%2Fwos%2Fwoscc%2Ffull-record%2FWOS:001199256700007","View Full Record in Web of Science")</f>
        <v>View Full Record in Web of Science</v>
      </c>
    </row>
    <row r="963" spans="1:72" x14ac:dyDescent="0.35">
      <c r="A963" t="s">
        <v>72</v>
      </c>
      <c r="B963" t="s">
        <v>16329</v>
      </c>
      <c r="C963" t="s">
        <v>74</v>
      </c>
      <c r="D963" t="s">
        <v>74</v>
      </c>
      <c r="E963" t="s">
        <v>74</v>
      </c>
      <c r="F963" t="s">
        <v>16330</v>
      </c>
      <c r="G963" t="s">
        <v>74</v>
      </c>
      <c r="H963" t="s">
        <v>74</v>
      </c>
      <c r="I963" t="s">
        <v>16331</v>
      </c>
      <c r="J963" t="s">
        <v>16332</v>
      </c>
      <c r="K963" t="s">
        <v>74</v>
      </c>
      <c r="L963" t="s">
        <v>74</v>
      </c>
      <c r="M963" t="s">
        <v>78</v>
      </c>
      <c r="N963" t="s">
        <v>108</v>
      </c>
      <c r="O963" t="s">
        <v>74</v>
      </c>
      <c r="P963" t="s">
        <v>74</v>
      </c>
      <c r="Q963" t="s">
        <v>74</v>
      </c>
      <c r="R963" t="s">
        <v>74</v>
      </c>
      <c r="S963" t="s">
        <v>74</v>
      </c>
      <c r="T963" t="s">
        <v>74</v>
      </c>
      <c r="U963" t="s">
        <v>74</v>
      </c>
      <c r="V963" t="s">
        <v>74</v>
      </c>
      <c r="W963" t="s">
        <v>16333</v>
      </c>
      <c r="X963" t="s">
        <v>74</v>
      </c>
      <c r="Y963" t="s">
        <v>16334</v>
      </c>
      <c r="Z963" t="s">
        <v>16335</v>
      </c>
      <c r="AA963" t="s">
        <v>74</v>
      </c>
      <c r="AB963" t="s">
        <v>74</v>
      </c>
      <c r="AC963" t="s">
        <v>74</v>
      </c>
      <c r="AD963" t="s">
        <v>74</v>
      </c>
      <c r="AE963" t="s">
        <v>74</v>
      </c>
      <c r="AF963" t="s">
        <v>74</v>
      </c>
      <c r="AG963">
        <v>8</v>
      </c>
      <c r="AH963">
        <v>1</v>
      </c>
      <c r="AI963">
        <v>1</v>
      </c>
      <c r="AJ963">
        <v>0</v>
      </c>
      <c r="AK963">
        <v>2</v>
      </c>
      <c r="AL963" t="s">
        <v>8334</v>
      </c>
      <c r="AM963" t="s">
        <v>291</v>
      </c>
      <c r="AN963" t="s">
        <v>8335</v>
      </c>
      <c r="AO963" t="s">
        <v>16336</v>
      </c>
      <c r="AP963" t="s">
        <v>16337</v>
      </c>
      <c r="AQ963" t="s">
        <v>74</v>
      </c>
      <c r="AR963" t="s">
        <v>16338</v>
      </c>
      <c r="AS963" t="s">
        <v>16339</v>
      </c>
      <c r="AT963" t="s">
        <v>1484</v>
      </c>
      <c r="AU963">
        <v>2021</v>
      </c>
      <c r="AV963">
        <v>16</v>
      </c>
      <c r="AW963">
        <v>3</v>
      </c>
      <c r="AX963" t="s">
        <v>74</v>
      </c>
      <c r="AY963" t="s">
        <v>74</v>
      </c>
      <c r="AZ963" t="s">
        <v>74</v>
      </c>
      <c r="BA963" t="s">
        <v>74</v>
      </c>
      <c r="BB963">
        <v>259</v>
      </c>
      <c r="BC963">
        <v>264</v>
      </c>
      <c r="BD963" t="s">
        <v>74</v>
      </c>
      <c r="BE963" t="s">
        <v>16340</v>
      </c>
      <c r="BF963" t="str">
        <f>HYPERLINK("http://dx.doi.org/10.1093/jiplp/jpaa211","http://dx.doi.org/10.1093/jiplp/jpaa211")</f>
        <v>http://dx.doi.org/10.1093/jiplp/jpaa211</v>
      </c>
      <c r="BG963" t="s">
        <v>74</v>
      </c>
      <c r="BH963" t="s">
        <v>8593</v>
      </c>
      <c r="BI963">
        <v>6</v>
      </c>
      <c r="BJ963" t="s">
        <v>10320</v>
      </c>
      <c r="BK963" t="s">
        <v>125</v>
      </c>
      <c r="BL963" t="s">
        <v>8015</v>
      </c>
      <c r="BM963" t="s">
        <v>16341</v>
      </c>
      <c r="BN963" t="s">
        <v>74</v>
      </c>
      <c r="BO963" t="s">
        <v>74</v>
      </c>
      <c r="BP963" t="s">
        <v>74</v>
      </c>
      <c r="BQ963" t="s">
        <v>74</v>
      </c>
      <c r="BR963" t="s">
        <v>102</v>
      </c>
      <c r="BS963" t="s">
        <v>16342</v>
      </c>
      <c r="BT963" t="str">
        <f>HYPERLINK("https%3A%2F%2Fwww.webofscience.com%2Fwos%2Fwoscc%2Ffull-record%2FWOS:000658169800014","View Full Record in Web of Science")</f>
        <v>View Full Record in Web of Science</v>
      </c>
    </row>
    <row r="964" spans="1:72" x14ac:dyDescent="0.35">
      <c r="A964" t="s">
        <v>72</v>
      </c>
      <c r="B964" t="s">
        <v>304</v>
      </c>
      <c r="C964" t="s">
        <v>74</v>
      </c>
      <c r="D964" t="s">
        <v>74</v>
      </c>
      <c r="E964" t="s">
        <v>74</v>
      </c>
      <c r="F964" t="s">
        <v>305</v>
      </c>
      <c r="G964" t="s">
        <v>74</v>
      </c>
      <c r="H964" t="s">
        <v>74</v>
      </c>
      <c r="I964" t="s">
        <v>16343</v>
      </c>
      <c r="J964" t="s">
        <v>16344</v>
      </c>
      <c r="K964" t="s">
        <v>74</v>
      </c>
      <c r="L964" t="s">
        <v>74</v>
      </c>
      <c r="M964" t="s">
        <v>78</v>
      </c>
      <c r="N964" t="s">
        <v>2042</v>
      </c>
      <c r="O964" t="s">
        <v>74</v>
      </c>
      <c r="P964" t="s">
        <v>74</v>
      </c>
      <c r="Q964" t="s">
        <v>74</v>
      </c>
      <c r="R964" t="s">
        <v>74</v>
      </c>
      <c r="S964" t="s">
        <v>74</v>
      </c>
      <c r="T964" t="s">
        <v>74</v>
      </c>
      <c r="U964" t="s">
        <v>4366</v>
      </c>
      <c r="V964" t="s">
        <v>74</v>
      </c>
      <c r="W964" t="s">
        <v>16345</v>
      </c>
      <c r="X964" t="s">
        <v>3466</v>
      </c>
      <c r="Y964" t="s">
        <v>16346</v>
      </c>
      <c r="Z964" t="s">
        <v>74</v>
      </c>
      <c r="AA964" t="s">
        <v>74</v>
      </c>
      <c r="AB964" t="s">
        <v>74</v>
      </c>
      <c r="AC964" t="s">
        <v>74</v>
      </c>
      <c r="AD964" t="s">
        <v>74</v>
      </c>
      <c r="AE964" t="s">
        <v>74</v>
      </c>
      <c r="AF964" t="s">
        <v>74</v>
      </c>
      <c r="AG964">
        <v>16</v>
      </c>
      <c r="AH964">
        <v>5</v>
      </c>
      <c r="AI964">
        <v>7</v>
      </c>
      <c r="AJ964">
        <v>2</v>
      </c>
      <c r="AK964">
        <v>9</v>
      </c>
      <c r="AL964" t="s">
        <v>16347</v>
      </c>
      <c r="AM964" t="s">
        <v>16348</v>
      </c>
      <c r="AN964" t="s">
        <v>16349</v>
      </c>
      <c r="AO964" t="s">
        <v>16350</v>
      </c>
      <c r="AP964" t="s">
        <v>74</v>
      </c>
      <c r="AQ964" t="s">
        <v>74</v>
      </c>
      <c r="AR964" t="s">
        <v>16351</v>
      </c>
      <c r="AS964" t="s">
        <v>16352</v>
      </c>
      <c r="AT964" t="s">
        <v>74</v>
      </c>
      <c r="AU964">
        <v>2022</v>
      </c>
      <c r="AV964">
        <v>18</v>
      </c>
      <c r="AW964">
        <v>2</v>
      </c>
      <c r="AX964" t="s">
        <v>74</v>
      </c>
      <c r="AY964" t="s">
        <v>74</v>
      </c>
      <c r="AZ964" t="s">
        <v>74</v>
      </c>
      <c r="BA964" t="s">
        <v>74</v>
      </c>
      <c r="BB964" t="s">
        <v>74</v>
      </c>
      <c r="BC964" t="s">
        <v>74</v>
      </c>
      <c r="BD964" t="s">
        <v>74</v>
      </c>
      <c r="BE964" t="s">
        <v>74</v>
      </c>
      <c r="BF964" t="s">
        <v>74</v>
      </c>
      <c r="BG964" t="s">
        <v>74</v>
      </c>
      <c r="BH964" t="s">
        <v>74</v>
      </c>
      <c r="BI964">
        <v>7</v>
      </c>
      <c r="BJ964" t="s">
        <v>3284</v>
      </c>
      <c r="BK964" t="s">
        <v>125</v>
      </c>
      <c r="BL964" t="s">
        <v>3285</v>
      </c>
      <c r="BM964" t="s">
        <v>16353</v>
      </c>
      <c r="BN964" t="s">
        <v>74</v>
      </c>
      <c r="BO964" t="s">
        <v>74</v>
      </c>
      <c r="BP964" t="s">
        <v>74</v>
      </c>
      <c r="BQ964" t="s">
        <v>74</v>
      </c>
      <c r="BR964" t="s">
        <v>102</v>
      </c>
      <c r="BS964" t="s">
        <v>16354</v>
      </c>
      <c r="BT964" t="str">
        <f>HYPERLINK("https%3A%2F%2Fwww.webofscience.com%2Fwos%2Fwoscc%2Ffull-record%2FWOS:001015142100018","View Full Record in Web of Science")</f>
        <v>View Full Record in Web of Science</v>
      </c>
    </row>
    <row r="965" spans="1:72" x14ac:dyDescent="0.35">
      <c r="A965" t="s">
        <v>72</v>
      </c>
      <c r="B965" t="s">
        <v>16355</v>
      </c>
      <c r="C965" t="s">
        <v>74</v>
      </c>
      <c r="D965" t="s">
        <v>74</v>
      </c>
      <c r="E965" t="s">
        <v>74</v>
      </c>
      <c r="F965" t="s">
        <v>16356</v>
      </c>
      <c r="G965" t="s">
        <v>74</v>
      </c>
      <c r="H965" t="s">
        <v>74</v>
      </c>
      <c r="I965" t="s">
        <v>16357</v>
      </c>
      <c r="J965" t="s">
        <v>16358</v>
      </c>
      <c r="K965" t="s">
        <v>74</v>
      </c>
      <c r="L965" t="s">
        <v>74</v>
      </c>
      <c r="M965" t="s">
        <v>3503</v>
      </c>
      <c r="N965" t="s">
        <v>108</v>
      </c>
      <c r="O965" t="s">
        <v>74</v>
      </c>
      <c r="P965" t="s">
        <v>74</v>
      </c>
      <c r="Q965" t="s">
        <v>74</v>
      </c>
      <c r="R965" t="s">
        <v>74</v>
      </c>
      <c r="S965" t="s">
        <v>74</v>
      </c>
      <c r="T965" t="s">
        <v>16359</v>
      </c>
      <c r="U965" t="s">
        <v>16360</v>
      </c>
      <c r="V965" t="s">
        <v>16361</v>
      </c>
      <c r="W965" t="s">
        <v>16362</v>
      </c>
      <c r="X965" t="s">
        <v>9327</v>
      </c>
      <c r="Y965" t="s">
        <v>16363</v>
      </c>
      <c r="Z965" t="s">
        <v>16364</v>
      </c>
      <c r="AA965" t="s">
        <v>74</v>
      </c>
      <c r="AB965" t="s">
        <v>74</v>
      </c>
      <c r="AC965" t="s">
        <v>74</v>
      </c>
      <c r="AD965" t="s">
        <v>74</v>
      </c>
      <c r="AE965" t="s">
        <v>74</v>
      </c>
      <c r="AF965" t="s">
        <v>74</v>
      </c>
      <c r="AG965">
        <v>52</v>
      </c>
      <c r="AH965">
        <v>6</v>
      </c>
      <c r="AI965">
        <v>7</v>
      </c>
      <c r="AJ965">
        <v>5</v>
      </c>
      <c r="AK965">
        <v>52</v>
      </c>
      <c r="AL965" t="s">
        <v>16365</v>
      </c>
      <c r="AM965" t="s">
        <v>16366</v>
      </c>
      <c r="AN965" t="s">
        <v>16367</v>
      </c>
      <c r="AO965" t="s">
        <v>16368</v>
      </c>
      <c r="AP965" t="s">
        <v>16369</v>
      </c>
      <c r="AQ965" t="s">
        <v>74</v>
      </c>
      <c r="AR965" t="s">
        <v>16370</v>
      </c>
      <c r="AS965" t="s">
        <v>16358</v>
      </c>
      <c r="AT965" t="s">
        <v>16371</v>
      </c>
      <c r="AU965">
        <v>2021</v>
      </c>
      <c r="AV965">
        <v>39</v>
      </c>
      <c r="AW965">
        <v>2</v>
      </c>
      <c r="AX965" t="s">
        <v>74</v>
      </c>
      <c r="AY965" t="s">
        <v>74</v>
      </c>
      <c r="AZ965" t="s">
        <v>74</v>
      </c>
      <c r="BA965" t="s">
        <v>74</v>
      </c>
      <c r="BB965">
        <v>169</v>
      </c>
      <c r="BC965">
        <v>190</v>
      </c>
      <c r="BD965" t="s">
        <v>74</v>
      </c>
      <c r="BE965" t="s">
        <v>16372</v>
      </c>
      <c r="BF965" t="str">
        <f>HYPERLINK("http://dx.doi.org/10.6018/educatio.465551","http://dx.doi.org/10.6018/educatio.465551")</f>
        <v>http://dx.doi.org/10.6018/educatio.465551</v>
      </c>
      <c r="BG965" t="s">
        <v>74</v>
      </c>
      <c r="BH965" t="s">
        <v>74</v>
      </c>
      <c r="BI965">
        <v>22</v>
      </c>
      <c r="BJ965" t="s">
        <v>787</v>
      </c>
      <c r="BK965" t="s">
        <v>125</v>
      </c>
      <c r="BL965" t="s">
        <v>787</v>
      </c>
      <c r="BM965" t="s">
        <v>16373</v>
      </c>
      <c r="BN965" t="s">
        <v>74</v>
      </c>
      <c r="BO965" t="s">
        <v>235</v>
      </c>
      <c r="BP965" t="s">
        <v>74</v>
      </c>
      <c r="BQ965" t="s">
        <v>74</v>
      </c>
      <c r="BR965" t="s">
        <v>102</v>
      </c>
      <c r="BS965" t="s">
        <v>16374</v>
      </c>
      <c r="BT965" t="str">
        <f>HYPERLINK("https%3A%2F%2Fwww.webofscience.com%2Fwos%2Fwoscc%2Ffull-record%2FWOS:000665803000009","View Full Record in Web of Science")</f>
        <v>View Full Record in Web of Science</v>
      </c>
    </row>
    <row r="966" spans="1:72" x14ac:dyDescent="0.35">
      <c r="A966" t="s">
        <v>72</v>
      </c>
      <c r="B966" t="s">
        <v>16375</v>
      </c>
      <c r="C966" t="s">
        <v>74</v>
      </c>
      <c r="D966" t="s">
        <v>74</v>
      </c>
      <c r="E966" t="s">
        <v>74</v>
      </c>
      <c r="F966" t="s">
        <v>16376</v>
      </c>
      <c r="G966" t="s">
        <v>74</v>
      </c>
      <c r="H966" t="s">
        <v>74</v>
      </c>
      <c r="I966" t="s">
        <v>16377</v>
      </c>
      <c r="J966" t="s">
        <v>14884</v>
      </c>
      <c r="K966" t="s">
        <v>74</v>
      </c>
      <c r="L966" t="s">
        <v>74</v>
      </c>
      <c r="M966" t="s">
        <v>78</v>
      </c>
      <c r="N966" t="s">
        <v>2042</v>
      </c>
      <c r="O966" t="s">
        <v>74</v>
      </c>
      <c r="P966" t="s">
        <v>74</v>
      </c>
      <c r="Q966" t="s">
        <v>74</v>
      </c>
      <c r="R966" t="s">
        <v>74</v>
      </c>
      <c r="S966" t="s">
        <v>74</v>
      </c>
      <c r="T966" t="s">
        <v>16378</v>
      </c>
      <c r="U966" t="s">
        <v>74</v>
      </c>
      <c r="V966" t="s">
        <v>74</v>
      </c>
      <c r="W966" t="s">
        <v>16379</v>
      </c>
      <c r="X966" t="s">
        <v>16380</v>
      </c>
      <c r="Y966" t="s">
        <v>16381</v>
      </c>
      <c r="Z966" t="s">
        <v>16382</v>
      </c>
      <c r="AA966" t="s">
        <v>16383</v>
      </c>
      <c r="AB966" t="s">
        <v>16384</v>
      </c>
      <c r="AC966" t="s">
        <v>74</v>
      </c>
      <c r="AD966" t="s">
        <v>74</v>
      </c>
      <c r="AE966" t="s">
        <v>74</v>
      </c>
      <c r="AF966" t="s">
        <v>74</v>
      </c>
      <c r="AG966">
        <v>18</v>
      </c>
      <c r="AH966">
        <v>49</v>
      </c>
      <c r="AI966">
        <v>52</v>
      </c>
      <c r="AJ966">
        <v>3</v>
      </c>
      <c r="AK966">
        <v>43</v>
      </c>
      <c r="AL966" t="s">
        <v>9222</v>
      </c>
      <c r="AM966" t="s">
        <v>227</v>
      </c>
      <c r="AN966" t="s">
        <v>9223</v>
      </c>
      <c r="AO966" t="s">
        <v>14895</v>
      </c>
      <c r="AP966" t="s">
        <v>74</v>
      </c>
      <c r="AQ966" t="s">
        <v>74</v>
      </c>
      <c r="AR966" t="s">
        <v>14896</v>
      </c>
      <c r="AS966" t="s">
        <v>14897</v>
      </c>
      <c r="AT966" t="s">
        <v>523</v>
      </c>
      <c r="AU966">
        <v>2021</v>
      </c>
      <c r="AV966">
        <v>6</v>
      </c>
      <c r="AW966">
        <v>11</v>
      </c>
      <c r="AX966" t="s">
        <v>74</v>
      </c>
      <c r="AY966" t="s">
        <v>74</v>
      </c>
      <c r="AZ966" t="s">
        <v>74</v>
      </c>
      <c r="BA966" t="s">
        <v>74</v>
      </c>
      <c r="BB966" t="s">
        <v>74</v>
      </c>
      <c r="BC966" t="s">
        <v>74</v>
      </c>
      <c r="BD966" t="s">
        <v>16385</v>
      </c>
      <c r="BE966" t="s">
        <v>16386</v>
      </c>
      <c r="BF966" t="str">
        <f>HYPERLINK("http://dx.doi.org/10.1136/bmjgh-2021-007648","http://dx.doi.org/10.1136/bmjgh-2021-007648")</f>
        <v>http://dx.doi.org/10.1136/bmjgh-2021-007648</v>
      </c>
      <c r="BG966" t="s">
        <v>74</v>
      </c>
      <c r="BH966" t="s">
        <v>74</v>
      </c>
      <c r="BI966">
        <v>3</v>
      </c>
      <c r="BJ966" t="s">
        <v>392</v>
      </c>
      <c r="BK966" t="s">
        <v>182</v>
      </c>
      <c r="BL966" t="s">
        <v>392</v>
      </c>
      <c r="BM966" t="s">
        <v>16387</v>
      </c>
      <c r="BN966">
        <v>34819326</v>
      </c>
      <c r="BO966" t="s">
        <v>16388</v>
      </c>
      <c r="BP966" t="s">
        <v>74</v>
      </c>
      <c r="BQ966" t="s">
        <v>74</v>
      </c>
      <c r="BR966" t="s">
        <v>102</v>
      </c>
      <c r="BS966" t="s">
        <v>16389</v>
      </c>
      <c r="BT966" t="str">
        <f>HYPERLINK("https%3A%2F%2Fwww.webofscience.com%2Fwos%2Fwoscc%2Ffull-record%2FWOS:000722677700001","View Full Record in Web of Science")</f>
        <v>View Full Record in Web of Science</v>
      </c>
    </row>
    <row r="967" spans="1:72" x14ac:dyDescent="0.35">
      <c r="A967" t="s">
        <v>72</v>
      </c>
      <c r="B967" t="s">
        <v>16390</v>
      </c>
      <c r="C967" t="s">
        <v>74</v>
      </c>
      <c r="D967" t="s">
        <v>74</v>
      </c>
      <c r="E967" t="s">
        <v>74</v>
      </c>
      <c r="F967" t="s">
        <v>16391</v>
      </c>
      <c r="G967" t="s">
        <v>74</v>
      </c>
      <c r="H967" t="s">
        <v>74</v>
      </c>
      <c r="I967" t="s">
        <v>16392</v>
      </c>
      <c r="J967" t="s">
        <v>13056</v>
      </c>
      <c r="K967" t="s">
        <v>74</v>
      </c>
      <c r="L967" t="s">
        <v>74</v>
      </c>
      <c r="M967" t="s">
        <v>78</v>
      </c>
      <c r="N967" t="s">
        <v>13911</v>
      </c>
      <c r="O967" t="s">
        <v>74</v>
      </c>
      <c r="P967" t="s">
        <v>74</v>
      </c>
      <c r="Q967" t="s">
        <v>74</v>
      </c>
      <c r="R967" t="s">
        <v>74</v>
      </c>
      <c r="S967" t="s">
        <v>74</v>
      </c>
      <c r="T967" t="s">
        <v>74</v>
      </c>
      <c r="U967" t="s">
        <v>74</v>
      </c>
      <c r="V967" t="s">
        <v>74</v>
      </c>
      <c r="W967" t="s">
        <v>16393</v>
      </c>
      <c r="X967" t="s">
        <v>16394</v>
      </c>
      <c r="Y967" t="s">
        <v>14184</v>
      </c>
      <c r="Z967" t="s">
        <v>13062</v>
      </c>
      <c r="AA967" t="s">
        <v>74</v>
      </c>
      <c r="AB967" t="s">
        <v>16395</v>
      </c>
      <c r="AC967" t="s">
        <v>74</v>
      </c>
      <c r="AD967" t="s">
        <v>74</v>
      </c>
      <c r="AE967" t="s">
        <v>74</v>
      </c>
      <c r="AF967" t="s">
        <v>74</v>
      </c>
      <c r="AG967">
        <v>1</v>
      </c>
      <c r="AH967">
        <v>0</v>
      </c>
      <c r="AI967">
        <v>0</v>
      </c>
      <c r="AJ967">
        <v>0</v>
      </c>
      <c r="AK967">
        <v>3</v>
      </c>
      <c r="AL967" t="s">
        <v>543</v>
      </c>
      <c r="AM967" t="s">
        <v>544</v>
      </c>
      <c r="AN967" t="s">
        <v>16396</v>
      </c>
      <c r="AO967" t="s">
        <v>13064</v>
      </c>
      <c r="AP967" t="s">
        <v>74</v>
      </c>
      <c r="AQ967" t="s">
        <v>74</v>
      </c>
      <c r="AR967" t="s">
        <v>13065</v>
      </c>
      <c r="AS967" t="s">
        <v>13066</v>
      </c>
      <c r="AT967" t="s">
        <v>257</v>
      </c>
      <c r="AU967">
        <v>2021</v>
      </c>
      <c r="AV967">
        <v>7</v>
      </c>
      <c r="AW967">
        <v>6</v>
      </c>
      <c r="AX967" t="s">
        <v>74</v>
      </c>
      <c r="AY967" t="s">
        <v>74</v>
      </c>
      <c r="AZ967" t="s">
        <v>74</v>
      </c>
      <c r="BA967" t="s">
        <v>74</v>
      </c>
      <c r="BB967" t="s">
        <v>74</v>
      </c>
      <c r="BC967" t="s">
        <v>74</v>
      </c>
      <c r="BD967" t="s">
        <v>16397</v>
      </c>
      <c r="BE967" t="s">
        <v>16398</v>
      </c>
      <c r="BF967" t="str">
        <f>HYPERLINK("http://dx.doi.org/10.2196/31542","http://dx.doi.org/10.2196/31542")</f>
        <v>http://dx.doi.org/10.2196/31542</v>
      </c>
      <c r="BG967" t="s">
        <v>74</v>
      </c>
      <c r="BH967" t="s">
        <v>74</v>
      </c>
      <c r="BI967">
        <v>2</v>
      </c>
      <c r="BJ967" t="s">
        <v>392</v>
      </c>
      <c r="BK967" t="s">
        <v>182</v>
      </c>
      <c r="BL967" t="s">
        <v>392</v>
      </c>
      <c r="BM967" t="s">
        <v>16399</v>
      </c>
      <c r="BN967">
        <v>34185674</v>
      </c>
      <c r="BO967" t="s">
        <v>552</v>
      </c>
      <c r="BP967" t="s">
        <v>74</v>
      </c>
      <c r="BQ967" t="s">
        <v>74</v>
      </c>
      <c r="BR967" t="s">
        <v>102</v>
      </c>
      <c r="BS967" t="s">
        <v>16400</v>
      </c>
      <c r="BT967" t="str">
        <f>HYPERLINK("https%3A%2F%2Fwww.webofscience.com%2Fwos%2Fwoscc%2Ffull-record%2FWOS:000738510300024","View Full Record in Web of Science")</f>
        <v>View Full Record in Web of Science</v>
      </c>
    </row>
    <row r="968" spans="1:72" x14ac:dyDescent="0.35">
      <c r="A968" t="s">
        <v>72</v>
      </c>
      <c r="B968" t="s">
        <v>16401</v>
      </c>
      <c r="C968" t="s">
        <v>74</v>
      </c>
      <c r="D968" t="s">
        <v>74</v>
      </c>
      <c r="E968" t="s">
        <v>74</v>
      </c>
      <c r="F968" t="s">
        <v>16402</v>
      </c>
      <c r="G968" t="s">
        <v>74</v>
      </c>
      <c r="H968" t="s">
        <v>74</v>
      </c>
      <c r="I968" t="s">
        <v>16403</v>
      </c>
      <c r="J968" t="s">
        <v>216</v>
      </c>
      <c r="K968" t="s">
        <v>74</v>
      </c>
      <c r="L968" t="s">
        <v>74</v>
      </c>
      <c r="M968" t="s">
        <v>78</v>
      </c>
      <c r="N968" t="s">
        <v>108</v>
      </c>
      <c r="O968" t="s">
        <v>74</v>
      </c>
      <c r="P968" t="s">
        <v>74</v>
      </c>
      <c r="Q968" t="s">
        <v>74</v>
      </c>
      <c r="R968" t="s">
        <v>74</v>
      </c>
      <c r="S968" t="s">
        <v>74</v>
      </c>
      <c r="T968" t="s">
        <v>16404</v>
      </c>
      <c r="U968" t="s">
        <v>16405</v>
      </c>
      <c r="V968" t="s">
        <v>16406</v>
      </c>
      <c r="W968" t="s">
        <v>16407</v>
      </c>
      <c r="X968" t="s">
        <v>16408</v>
      </c>
      <c r="Y968" t="s">
        <v>16409</v>
      </c>
      <c r="Z968" t="s">
        <v>16410</v>
      </c>
      <c r="AA968" t="s">
        <v>16411</v>
      </c>
      <c r="AB968" t="s">
        <v>16412</v>
      </c>
      <c r="AC968" t="s">
        <v>16413</v>
      </c>
      <c r="AD968" t="s">
        <v>16413</v>
      </c>
      <c r="AE968" t="s">
        <v>16414</v>
      </c>
      <c r="AF968" t="s">
        <v>74</v>
      </c>
      <c r="AG968">
        <v>104</v>
      </c>
      <c r="AH968">
        <v>5</v>
      </c>
      <c r="AI968">
        <v>5</v>
      </c>
      <c r="AJ968">
        <v>32</v>
      </c>
      <c r="AK968">
        <v>110</v>
      </c>
      <c r="AL968" t="s">
        <v>226</v>
      </c>
      <c r="AM968" t="s">
        <v>227</v>
      </c>
      <c r="AN968" t="s">
        <v>228</v>
      </c>
      <c r="AO968" t="s">
        <v>229</v>
      </c>
      <c r="AP968" t="s">
        <v>74</v>
      </c>
      <c r="AQ968" t="s">
        <v>74</v>
      </c>
      <c r="AR968" t="s">
        <v>230</v>
      </c>
      <c r="AS968" t="s">
        <v>231</v>
      </c>
      <c r="AT968" t="s">
        <v>273</v>
      </c>
      <c r="AU968">
        <v>2023</v>
      </c>
      <c r="AV968">
        <v>9</v>
      </c>
      <c r="AW968">
        <v>3</v>
      </c>
      <c r="AX968" t="s">
        <v>74</v>
      </c>
      <c r="AY968" t="s">
        <v>74</v>
      </c>
      <c r="AZ968" t="s">
        <v>74</v>
      </c>
      <c r="BA968" t="s">
        <v>74</v>
      </c>
      <c r="BB968" t="s">
        <v>74</v>
      </c>
      <c r="BC968" t="s">
        <v>74</v>
      </c>
      <c r="BD968">
        <v>2.0563051231186364E+16</v>
      </c>
      <c r="BE968" t="s">
        <v>16415</v>
      </c>
      <c r="BF968" t="str">
        <f>HYPERLINK("http://dx.doi.org/10.1177/20563051231186364","http://dx.doi.org/10.1177/20563051231186364")</f>
        <v>http://dx.doi.org/10.1177/20563051231186364</v>
      </c>
      <c r="BG968" t="s">
        <v>74</v>
      </c>
      <c r="BH968" t="s">
        <v>74</v>
      </c>
      <c r="BI968">
        <v>12</v>
      </c>
      <c r="BJ968" t="s">
        <v>124</v>
      </c>
      <c r="BK968" t="s">
        <v>99</v>
      </c>
      <c r="BL968" t="s">
        <v>124</v>
      </c>
      <c r="BM968" t="s">
        <v>16416</v>
      </c>
      <c r="BN968" t="s">
        <v>74</v>
      </c>
      <c r="BO968" t="s">
        <v>235</v>
      </c>
      <c r="BP968" t="s">
        <v>74</v>
      </c>
      <c r="BQ968" t="s">
        <v>74</v>
      </c>
      <c r="BR968" t="s">
        <v>102</v>
      </c>
      <c r="BS968" t="s">
        <v>16417</v>
      </c>
      <c r="BT968" t="str">
        <f>HYPERLINK("https%3A%2F%2Fwww.webofscience.com%2Fwos%2Fwoscc%2Ffull-record%2FWOS:001037722800001","View Full Record in Web of Science")</f>
        <v>View Full Record in Web of Science</v>
      </c>
    </row>
    <row r="969" spans="1:72" x14ac:dyDescent="0.35">
      <c r="A969" t="s">
        <v>128</v>
      </c>
      <c r="B969" t="s">
        <v>16418</v>
      </c>
      <c r="C969" t="s">
        <v>74</v>
      </c>
      <c r="D969" t="s">
        <v>16419</v>
      </c>
      <c r="E969" t="s">
        <v>74</v>
      </c>
      <c r="F969" t="s">
        <v>16420</v>
      </c>
      <c r="G969" t="s">
        <v>74</v>
      </c>
      <c r="H969" t="s">
        <v>74</v>
      </c>
      <c r="I969" t="s">
        <v>16421</v>
      </c>
      <c r="J969" t="s">
        <v>16422</v>
      </c>
      <c r="K969" t="s">
        <v>16423</v>
      </c>
      <c r="L969" t="s">
        <v>74</v>
      </c>
      <c r="M969" t="s">
        <v>78</v>
      </c>
      <c r="N969" t="s">
        <v>135</v>
      </c>
      <c r="O969" t="s">
        <v>16424</v>
      </c>
      <c r="P969" t="s">
        <v>16425</v>
      </c>
      <c r="Q969" t="s">
        <v>138</v>
      </c>
      <c r="R969" t="s">
        <v>16426</v>
      </c>
      <c r="S969" t="s">
        <v>74</v>
      </c>
      <c r="T969" t="s">
        <v>16427</v>
      </c>
      <c r="U969" t="s">
        <v>74</v>
      </c>
      <c r="V969" t="s">
        <v>16428</v>
      </c>
      <c r="W969" t="s">
        <v>16429</v>
      </c>
      <c r="X969" t="s">
        <v>16430</v>
      </c>
      <c r="Y969" t="s">
        <v>16431</v>
      </c>
      <c r="Z969" t="s">
        <v>16432</v>
      </c>
      <c r="AA969" t="s">
        <v>16433</v>
      </c>
      <c r="AB969" t="s">
        <v>16434</v>
      </c>
      <c r="AC969" t="s">
        <v>74</v>
      </c>
      <c r="AD969" t="s">
        <v>74</v>
      </c>
      <c r="AE969" t="s">
        <v>74</v>
      </c>
      <c r="AF969" t="s">
        <v>74</v>
      </c>
      <c r="AG969">
        <v>31</v>
      </c>
      <c r="AH969">
        <v>4</v>
      </c>
      <c r="AI969">
        <v>4</v>
      </c>
      <c r="AJ969">
        <v>2</v>
      </c>
      <c r="AK969">
        <v>8</v>
      </c>
      <c r="AL969" t="s">
        <v>1677</v>
      </c>
      <c r="AM969" t="s">
        <v>666</v>
      </c>
      <c r="AN969" t="s">
        <v>1692</v>
      </c>
      <c r="AO969" t="s">
        <v>16435</v>
      </c>
      <c r="AP969" t="s">
        <v>16436</v>
      </c>
      <c r="AQ969" t="s">
        <v>16437</v>
      </c>
      <c r="AR969" t="s">
        <v>16438</v>
      </c>
      <c r="AS969" t="s">
        <v>74</v>
      </c>
      <c r="AT969" t="s">
        <v>74</v>
      </c>
      <c r="AU969">
        <v>2021</v>
      </c>
      <c r="AV969" t="s">
        <v>74</v>
      </c>
      <c r="AW969" t="s">
        <v>74</v>
      </c>
      <c r="AX969" t="s">
        <v>74</v>
      </c>
      <c r="AY969" t="s">
        <v>74</v>
      </c>
      <c r="AZ969" t="s">
        <v>74</v>
      </c>
      <c r="BA969" t="s">
        <v>74</v>
      </c>
      <c r="BB969">
        <v>72</v>
      </c>
      <c r="BC969">
        <v>77</v>
      </c>
      <c r="BD969" t="s">
        <v>74</v>
      </c>
      <c r="BE969" t="s">
        <v>16439</v>
      </c>
      <c r="BF969" t="str">
        <f>HYPERLINK("http://dx.doi.org/10.1109/IALP54817.2021.9675250","http://dx.doi.org/10.1109/IALP54817.2021.9675250")</f>
        <v>http://dx.doi.org/10.1109/IALP54817.2021.9675250</v>
      </c>
      <c r="BG969" t="s">
        <v>74</v>
      </c>
      <c r="BH969" t="s">
        <v>74</v>
      </c>
      <c r="BI969">
        <v>6</v>
      </c>
      <c r="BJ969" t="s">
        <v>16440</v>
      </c>
      <c r="BK969" t="s">
        <v>648</v>
      </c>
      <c r="BL969" t="s">
        <v>16441</v>
      </c>
      <c r="BM969" t="s">
        <v>16442</v>
      </c>
      <c r="BN969" t="s">
        <v>74</v>
      </c>
      <c r="BO969" t="s">
        <v>74</v>
      </c>
      <c r="BP969" t="s">
        <v>74</v>
      </c>
      <c r="BQ969" t="s">
        <v>74</v>
      </c>
      <c r="BR969" t="s">
        <v>102</v>
      </c>
      <c r="BS969" t="s">
        <v>16443</v>
      </c>
      <c r="BT969" t="str">
        <f>HYPERLINK("https%3A%2F%2Fwww.webofscience.com%2Fwos%2Fwoscc%2Ffull-record%2FWOS:000803972300014","View Full Record in Web of Science")</f>
        <v>View Full Record in Web of Science</v>
      </c>
    </row>
    <row r="970" spans="1:72" x14ac:dyDescent="0.35">
      <c r="A970" t="s">
        <v>72</v>
      </c>
      <c r="B970" t="s">
        <v>16444</v>
      </c>
      <c r="C970" t="s">
        <v>74</v>
      </c>
      <c r="D970" t="s">
        <v>74</v>
      </c>
      <c r="E970" t="s">
        <v>74</v>
      </c>
      <c r="F970" t="s">
        <v>16445</v>
      </c>
      <c r="G970" t="s">
        <v>74</v>
      </c>
      <c r="H970" t="s">
        <v>74</v>
      </c>
      <c r="I970" t="s">
        <v>16446</v>
      </c>
      <c r="J970" t="s">
        <v>16447</v>
      </c>
      <c r="K970" t="s">
        <v>74</v>
      </c>
      <c r="L970" t="s">
        <v>74</v>
      </c>
      <c r="M970" t="s">
        <v>78</v>
      </c>
      <c r="N970" t="s">
        <v>108</v>
      </c>
      <c r="O970" t="s">
        <v>74</v>
      </c>
      <c r="P970" t="s">
        <v>74</v>
      </c>
      <c r="Q970" t="s">
        <v>74</v>
      </c>
      <c r="R970" t="s">
        <v>74</v>
      </c>
      <c r="S970" t="s">
        <v>74</v>
      </c>
      <c r="T970" t="s">
        <v>16448</v>
      </c>
      <c r="U970" t="s">
        <v>16449</v>
      </c>
      <c r="V970" t="s">
        <v>16450</v>
      </c>
      <c r="W970" t="s">
        <v>16451</v>
      </c>
      <c r="X970" t="s">
        <v>16452</v>
      </c>
      <c r="Y970" t="s">
        <v>16453</v>
      </c>
      <c r="Z970" t="s">
        <v>16454</v>
      </c>
      <c r="AA970" t="s">
        <v>74</v>
      </c>
      <c r="AB970" t="s">
        <v>16455</v>
      </c>
      <c r="AC970" t="s">
        <v>16456</v>
      </c>
      <c r="AD970" t="s">
        <v>16457</v>
      </c>
      <c r="AE970" t="s">
        <v>16458</v>
      </c>
      <c r="AF970" t="s">
        <v>74</v>
      </c>
      <c r="AG970">
        <v>72</v>
      </c>
      <c r="AH970">
        <v>0</v>
      </c>
      <c r="AI970">
        <v>0</v>
      </c>
      <c r="AJ970">
        <v>6</v>
      </c>
      <c r="AK970">
        <v>27</v>
      </c>
      <c r="AL970" t="s">
        <v>1195</v>
      </c>
      <c r="AM970" t="s">
        <v>1196</v>
      </c>
      <c r="AN970" t="s">
        <v>1197</v>
      </c>
      <c r="AO970" t="s">
        <v>74</v>
      </c>
      <c r="AP970" t="s">
        <v>16459</v>
      </c>
      <c r="AQ970" t="s">
        <v>74</v>
      </c>
      <c r="AR970" t="s">
        <v>16460</v>
      </c>
      <c r="AS970" t="s">
        <v>16461</v>
      </c>
      <c r="AT970" t="s">
        <v>594</v>
      </c>
      <c r="AU970">
        <v>2023</v>
      </c>
      <c r="AV970">
        <v>15</v>
      </c>
      <c r="AW970">
        <v>19</v>
      </c>
      <c r="AX970" t="s">
        <v>74</v>
      </c>
      <c r="AY970" t="s">
        <v>74</v>
      </c>
      <c r="AZ970" t="s">
        <v>74</v>
      </c>
      <c r="BA970" t="s">
        <v>74</v>
      </c>
      <c r="BB970" t="s">
        <v>74</v>
      </c>
      <c r="BC970" t="s">
        <v>74</v>
      </c>
      <c r="BD970">
        <v>3516</v>
      </c>
      <c r="BE970" t="s">
        <v>16462</v>
      </c>
      <c r="BF970" t="str">
        <f>HYPERLINK("http://dx.doi.org/10.3390/w15193516","http://dx.doi.org/10.3390/w15193516")</f>
        <v>http://dx.doi.org/10.3390/w15193516</v>
      </c>
      <c r="BG970" t="s">
        <v>74</v>
      </c>
      <c r="BH970" t="s">
        <v>74</v>
      </c>
      <c r="BI970">
        <v>16</v>
      </c>
      <c r="BJ970" t="s">
        <v>16463</v>
      </c>
      <c r="BK970" t="s">
        <v>209</v>
      </c>
      <c r="BL970" t="s">
        <v>16464</v>
      </c>
      <c r="BM970" t="s">
        <v>16465</v>
      </c>
      <c r="BN970" t="s">
        <v>74</v>
      </c>
      <c r="BO970" t="s">
        <v>235</v>
      </c>
      <c r="BP970" t="s">
        <v>74</v>
      </c>
      <c r="BQ970" t="s">
        <v>74</v>
      </c>
      <c r="BR970" t="s">
        <v>102</v>
      </c>
      <c r="BS970" t="s">
        <v>16466</v>
      </c>
      <c r="BT970" t="str">
        <f>HYPERLINK("https%3A%2F%2Fwww.webofscience.com%2Fwos%2Fwoscc%2Ffull-record%2FWOS:001083399600001","View Full Record in Web of Science")</f>
        <v>View Full Record in Web of Science</v>
      </c>
    </row>
    <row r="971" spans="1:72" x14ac:dyDescent="0.35">
      <c r="A971" t="s">
        <v>72</v>
      </c>
      <c r="B971" t="s">
        <v>16467</v>
      </c>
      <c r="C971" t="s">
        <v>74</v>
      </c>
      <c r="D971" t="s">
        <v>74</v>
      </c>
      <c r="E971" t="s">
        <v>74</v>
      </c>
      <c r="F971" t="s">
        <v>16468</v>
      </c>
      <c r="G971" t="s">
        <v>74</v>
      </c>
      <c r="H971" t="s">
        <v>74</v>
      </c>
      <c r="I971" t="s">
        <v>16469</v>
      </c>
      <c r="J971" t="s">
        <v>2743</v>
      </c>
      <c r="K971" t="s">
        <v>74</v>
      </c>
      <c r="L971" t="s">
        <v>74</v>
      </c>
      <c r="M971" t="s">
        <v>78</v>
      </c>
      <c r="N971" t="s">
        <v>2042</v>
      </c>
      <c r="O971" t="s">
        <v>74</v>
      </c>
      <c r="P971" t="s">
        <v>74</v>
      </c>
      <c r="Q971" t="s">
        <v>74</v>
      </c>
      <c r="R971" t="s">
        <v>74</v>
      </c>
      <c r="S971" t="s">
        <v>74</v>
      </c>
      <c r="T971" t="s">
        <v>16470</v>
      </c>
      <c r="U971" t="s">
        <v>74</v>
      </c>
      <c r="V971" t="s">
        <v>74</v>
      </c>
      <c r="W971" t="s">
        <v>16471</v>
      </c>
      <c r="X971" t="s">
        <v>12416</v>
      </c>
      <c r="Y971" t="s">
        <v>16472</v>
      </c>
      <c r="Z971" t="s">
        <v>16473</v>
      </c>
      <c r="AA971" t="s">
        <v>74</v>
      </c>
      <c r="AB971" t="s">
        <v>16474</v>
      </c>
      <c r="AC971" t="s">
        <v>74</v>
      </c>
      <c r="AD971" t="s">
        <v>74</v>
      </c>
      <c r="AE971" t="s">
        <v>74</v>
      </c>
      <c r="AF971" t="s">
        <v>74</v>
      </c>
      <c r="AG971">
        <v>5</v>
      </c>
      <c r="AH971">
        <v>0</v>
      </c>
      <c r="AI971">
        <v>0</v>
      </c>
      <c r="AJ971">
        <v>0</v>
      </c>
      <c r="AK971">
        <v>0</v>
      </c>
      <c r="AL971" t="s">
        <v>516</v>
      </c>
      <c r="AM971" t="s">
        <v>517</v>
      </c>
      <c r="AN971" t="s">
        <v>518</v>
      </c>
      <c r="AO971" t="s">
        <v>74</v>
      </c>
      <c r="AP971" t="s">
        <v>2751</v>
      </c>
      <c r="AQ971" t="s">
        <v>74</v>
      </c>
      <c r="AR971" t="s">
        <v>2752</v>
      </c>
      <c r="AS971" t="s">
        <v>2753</v>
      </c>
      <c r="AT971" t="s">
        <v>178</v>
      </c>
      <c r="AU971">
        <v>2025</v>
      </c>
      <c r="AV971">
        <v>18</v>
      </c>
      <c r="AW971" t="s">
        <v>74</v>
      </c>
      <c r="AX971" t="s">
        <v>74</v>
      </c>
      <c r="AY971" t="s">
        <v>74</v>
      </c>
      <c r="AZ971" t="s">
        <v>74</v>
      </c>
      <c r="BA971" t="s">
        <v>74</v>
      </c>
      <c r="BB971">
        <v>30</v>
      </c>
      <c r="BC971">
        <v>31</v>
      </c>
      <c r="BD971" t="s">
        <v>74</v>
      </c>
      <c r="BE971" t="s">
        <v>16475</v>
      </c>
      <c r="BF971" t="str">
        <f>HYPERLINK("http://dx.doi.org/10.1016/j.jdin.2024.08.004","http://dx.doi.org/10.1016/j.jdin.2024.08.004")</f>
        <v>http://dx.doi.org/10.1016/j.jdin.2024.08.004</v>
      </c>
      <c r="BG971" t="s">
        <v>74</v>
      </c>
      <c r="BH971" t="s">
        <v>74</v>
      </c>
      <c r="BI971">
        <v>2</v>
      </c>
      <c r="BJ971" t="s">
        <v>1341</v>
      </c>
      <c r="BK971" t="s">
        <v>125</v>
      </c>
      <c r="BL971" t="s">
        <v>1341</v>
      </c>
      <c r="BM971" t="s">
        <v>16476</v>
      </c>
      <c r="BN971" t="s">
        <v>74</v>
      </c>
      <c r="BO971" t="s">
        <v>235</v>
      </c>
      <c r="BP971" t="s">
        <v>74</v>
      </c>
      <c r="BQ971" t="s">
        <v>74</v>
      </c>
      <c r="BR971" t="s">
        <v>102</v>
      </c>
      <c r="BS971" t="s">
        <v>16477</v>
      </c>
      <c r="BT971" t="str">
        <f>HYPERLINK("https%3A%2F%2Fwww.webofscience.com%2Fwos%2Fwoscc%2Ffull-record%2FWOS:001356734600001","View Full Record in Web of Science")</f>
        <v>View Full Record in Web of Science</v>
      </c>
    </row>
    <row r="972" spans="1:72" x14ac:dyDescent="0.35">
      <c r="A972" t="s">
        <v>72</v>
      </c>
      <c r="B972" t="s">
        <v>16478</v>
      </c>
      <c r="C972" t="s">
        <v>74</v>
      </c>
      <c r="D972" t="s">
        <v>74</v>
      </c>
      <c r="E972" t="s">
        <v>74</v>
      </c>
      <c r="F972" t="s">
        <v>16479</v>
      </c>
      <c r="G972" t="s">
        <v>74</v>
      </c>
      <c r="H972" t="s">
        <v>74</v>
      </c>
      <c r="I972" t="s">
        <v>16480</v>
      </c>
      <c r="J972" t="s">
        <v>10404</v>
      </c>
      <c r="K972" t="s">
        <v>74</v>
      </c>
      <c r="L972" t="s">
        <v>74</v>
      </c>
      <c r="M972" t="s">
        <v>78</v>
      </c>
      <c r="N972" t="s">
        <v>5592</v>
      </c>
      <c r="O972" t="s">
        <v>16481</v>
      </c>
      <c r="P972" t="s">
        <v>16482</v>
      </c>
      <c r="Q972" t="s">
        <v>16483</v>
      </c>
      <c r="R972" t="s">
        <v>16484</v>
      </c>
      <c r="S972" t="s">
        <v>74</v>
      </c>
      <c r="T972" t="s">
        <v>74</v>
      </c>
      <c r="U972" t="s">
        <v>74</v>
      </c>
      <c r="V972" t="s">
        <v>16485</v>
      </c>
      <c r="W972" t="s">
        <v>16486</v>
      </c>
      <c r="X972" t="s">
        <v>11059</v>
      </c>
      <c r="Y972" t="s">
        <v>16487</v>
      </c>
      <c r="Z972" t="s">
        <v>11061</v>
      </c>
      <c r="AA972" t="s">
        <v>11062</v>
      </c>
      <c r="AB972" t="s">
        <v>16488</v>
      </c>
      <c r="AC972" t="s">
        <v>16489</v>
      </c>
      <c r="AD972" t="s">
        <v>16490</v>
      </c>
      <c r="AE972" t="s">
        <v>16491</v>
      </c>
      <c r="AF972" t="s">
        <v>74</v>
      </c>
      <c r="AG972">
        <v>10</v>
      </c>
      <c r="AH972">
        <v>26</v>
      </c>
      <c r="AI972">
        <v>26</v>
      </c>
      <c r="AJ972">
        <v>3</v>
      </c>
      <c r="AK972">
        <v>15</v>
      </c>
      <c r="AL972" t="s">
        <v>1901</v>
      </c>
      <c r="AM972" t="s">
        <v>995</v>
      </c>
      <c r="AN972" t="s">
        <v>1902</v>
      </c>
      <c r="AO972" t="s">
        <v>10411</v>
      </c>
      <c r="AP972" t="s">
        <v>74</v>
      </c>
      <c r="AQ972" t="s">
        <v>74</v>
      </c>
      <c r="AR972" t="s">
        <v>10412</v>
      </c>
      <c r="AS972" t="s">
        <v>10413</v>
      </c>
      <c r="AT972" t="s">
        <v>232</v>
      </c>
      <c r="AU972">
        <v>2023</v>
      </c>
      <c r="AV972">
        <v>141</v>
      </c>
      <c r="AW972">
        <v>1</v>
      </c>
      <c r="AX972" t="s">
        <v>74</v>
      </c>
      <c r="AY972" t="s">
        <v>74</v>
      </c>
      <c r="AZ972" t="s">
        <v>74</v>
      </c>
      <c r="BA972" t="s">
        <v>74</v>
      </c>
      <c r="BB972">
        <v>215</v>
      </c>
      <c r="BC972">
        <v>217</v>
      </c>
      <c r="BD972" t="s">
        <v>74</v>
      </c>
      <c r="BE972" t="s">
        <v>16492</v>
      </c>
      <c r="BF972" t="str">
        <f>HYPERLINK("http://dx.doi.org/10.1097/AOG.0000000000005027","http://dx.doi.org/10.1097/AOG.0000000000005027")</f>
        <v>http://dx.doi.org/10.1097/AOG.0000000000005027</v>
      </c>
      <c r="BG972" t="s">
        <v>74</v>
      </c>
      <c r="BH972" t="s">
        <v>74</v>
      </c>
      <c r="BI972">
        <v>3</v>
      </c>
      <c r="BJ972" t="s">
        <v>1971</v>
      </c>
      <c r="BK972" t="s">
        <v>2257</v>
      </c>
      <c r="BL972" t="s">
        <v>1971</v>
      </c>
      <c r="BM972" t="s">
        <v>16493</v>
      </c>
      <c r="BN972">
        <v>36473194</v>
      </c>
      <c r="BO972" t="s">
        <v>6798</v>
      </c>
      <c r="BP972" t="s">
        <v>74</v>
      </c>
      <c r="BQ972" t="s">
        <v>74</v>
      </c>
      <c r="BR972" t="s">
        <v>102</v>
      </c>
      <c r="BS972" t="s">
        <v>16494</v>
      </c>
      <c r="BT972" t="str">
        <f>HYPERLINK("https%3A%2F%2Fwww.webofscience.com%2Fwos%2Fwoscc%2Ffull-record%2FWOS:000926177900024","View Full Record in Web of Science")</f>
        <v>View Full Record in Web of Science</v>
      </c>
    </row>
    <row r="973" spans="1:72" x14ac:dyDescent="0.35">
      <c r="A973" t="s">
        <v>72</v>
      </c>
      <c r="B973" t="s">
        <v>16495</v>
      </c>
      <c r="C973" t="s">
        <v>74</v>
      </c>
      <c r="D973" t="s">
        <v>74</v>
      </c>
      <c r="E973" t="s">
        <v>74</v>
      </c>
      <c r="F973" t="s">
        <v>16496</v>
      </c>
      <c r="G973" t="s">
        <v>74</v>
      </c>
      <c r="H973" t="s">
        <v>74</v>
      </c>
      <c r="I973" t="s">
        <v>16497</v>
      </c>
      <c r="J973" t="s">
        <v>438</v>
      </c>
      <c r="K973" t="s">
        <v>74</v>
      </c>
      <c r="L973" t="s">
        <v>74</v>
      </c>
      <c r="M973" t="s">
        <v>78</v>
      </c>
      <c r="N973" t="s">
        <v>79</v>
      </c>
      <c r="O973" t="s">
        <v>74</v>
      </c>
      <c r="P973" t="s">
        <v>74</v>
      </c>
      <c r="Q973" t="s">
        <v>74</v>
      </c>
      <c r="R973" t="s">
        <v>74</v>
      </c>
      <c r="S973" t="s">
        <v>74</v>
      </c>
      <c r="T973" t="s">
        <v>16498</v>
      </c>
      <c r="U973" t="s">
        <v>74</v>
      </c>
      <c r="V973" t="s">
        <v>16499</v>
      </c>
      <c r="W973" t="s">
        <v>16500</v>
      </c>
      <c r="X973" t="s">
        <v>7446</v>
      </c>
      <c r="Y973" t="s">
        <v>16501</v>
      </c>
      <c r="Z973" t="s">
        <v>16502</v>
      </c>
      <c r="AA973" t="s">
        <v>16503</v>
      </c>
      <c r="AB973" t="s">
        <v>16504</v>
      </c>
      <c r="AC973" t="s">
        <v>16505</v>
      </c>
      <c r="AD973" t="s">
        <v>16506</v>
      </c>
      <c r="AE973" t="s">
        <v>16507</v>
      </c>
      <c r="AF973" t="s">
        <v>74</v>
      </c>
      <c r="AG973">
        <v>57</v>
      </c>
      <c r="AH973">
        <v>3</v>
      </c>
      <c r="AI973">
        <v>3</v>
      </c>
      <c r="AJ973">
        <v>4</v>
      </c>
      <c r="AK973">
        <v>11</v>
      </c>
      <c r="AL973" t="s">
        <v>226</v>
      </c>
      <c r="AM973" t="s">
        <v>227</v>
      </c>
      <c r="AN973" t="s">
        <v>228</v>
      </c>
      <c r="AO973" t="s">
        <v>451</v>
      </c>
      <c r="AP973" t="s">
        <v>452</v>
      </c>
      <c r="AQ973" t="s">
        <v>74</v>
      </c>
      <c r="AR973" t="s">
        <v>453</v>
      </c>
      <c r="AS973" t="s">
        <v>454</v>
      </c>
      <c r="AT973" t="s">
        <v>16508</v>
      </c>
      <c r="AU973">
        <v>2024</v>
      </c>
      <c r="AV973" t="s">
        <v>74</v>
      </c>
      <c r="AW973" t="s">
        <v>74</v>
      </c>
      <c r="AX973" t="s">
        <v>74</v>
      </c>
      <c r="AY973" t="s">
        <v>74</v>
      </c>
      <c r="AZ973" t="s">
        <v>74</v>
      </c>
      <c r="BA973" t="s">
        <v>74</v>
      </c>
      <c r="BB973" t="s">
        <v>74</v>
      </c>
      <c r="BC973" t="s">
        <v>74</v>
      </c>
      <c r="BD973" t="s">
        <v>74</v>
      </c>
      <c r="BE973" t="s">
        <v>16509</v>
      </c>
      <c r="BF973" t="str">
        <f>HYPERLINK("http://dx.doi.org/10.1177/14614448241228544","http://dx.doi.org/10.1177/14614448241228544")</f>
        <v>http://dx.doi.org/10.1177/14614448241228544</v>
      </c>
      <c r="BG973" t="s">
        <v>74</v>
      </c>
      <c r="BH973" t="s">
        <v>786</v>
      </c>
      <c r="BI973">
        <v>19</v>
      </c>
      <c r="BJ973" t="s">
        <v>124</v>
      </c>
      <c r="BK973" t="s">
        <v>99</v>
      </c>
      <c r="BL973" t="s">
        <v>124</v>
      </c>
      <c r="BM973" t="s">
        <v>16510</v>
      </c>
      <c r="BN973" t="s">
        <v>74</v>
      </c>
      <c r="BO973" t="s">
        <v>156</v>
      </c>
      <c r="BP973" t="s">
        <v>74</v>
      </c>
      <c r="BQ973" t="s">
        <v>74</v>
      </c>
      <c r="BR973" t="s">
        <v>102</v>
      </c>
      <c r="BS973" t="s">
        <v>16511</v>
      </c>
      <c r="BT973" t="str">
        <f>HYPERLINK("https%3A%2F%2Fwww.webofscience.com%2Fwos%2Fwoscc%2Ffull-record%2FWOS:001159573100001","View Full Record in Web of Science")</f>
        <v>View Full Record in Web of Science</v>
      </c>
    </row>
    <row r="974" spans="1:72" x14ac:dyDescent="0.35">
      <c r="A974" t="s">
        <v>72</v>
      </c>
      <c r="B974" t="s">
        <v>16512</v>
      </c>
      <c r="C974" t="s">
        <v>74</v>
      </c>
      <c r="D974" t="s">
        <v>74</v>
      </c>
      <c r="E974" t="s">
        <v>74</v>
      </c>
      <c r="F974" t="s">
        <v>16513</v>
      </c>
      <c r="G974" t="s">
        <v>74</v>
      </c>
      <c r="H974" t="s">
        <v>74</v>
      </c>
      <c r="I974" t="s">
        <v>16514</v>
      </c>
      <c r="J974" t="s">
        <v>16515</v>
      </c>
      <c r="K974" t="s">
        <v>74</v>
      </c>
      <c r="L974" t="s">
        <v>74</v>
      </c>
      <c r="M974" t="s">
        <v>78</v>
      </c>
      <c r="N974" t="s">
        <v>108</v>
      </c>
      <c r="O974" t="s">
        <v>74</v>
      </c>
      <c r="P974" t="s">
        <v>74</v>
      </c>
      <c r="Q974" t="s">
        <v>74</v>
      </c>
      <c r="R974" t="s">
        <v>74</v>
      </c>
      <c r="S974" t="s">
        <v>74</v>
      </c>
      <c r="T974" t="s">
        <v>74</v>
      </c>
      <c r="U974" t="s">
        <v>74</v>
      </c>
      <c r="V974" t="s">
        <v>74</v>
      </c>
      <c r="W974" t="s">
        <v>16516</v>
      </c>
      <c r="X974" t="s">
        <v>16517</v>
      </c>
      <c r="Y974" t="s">
        <v>16518</v>
      </c>
      <c r="Z974" t="s">
        <v>74</v>
      </c>
      <c r="AA974" t="s">
        <v>74</v>
      </c>
      <c r="AB974" t="s">
        <v>74</v>
      </c>
      <c r="AC974" t="s">
        <v>74</v>
      </c>
      <c r="AD974" t="s">
        <v>74</v>
      </c>
      <c r="AE974" t="s">
        <v>74</v>
      </c>
      <c r="AF974" t="s">
        <v>74</v>
      </c>
      <c r="AG974">
        <v>24</v>
      </c>
      <c r="AH974">
        <v>3</v>
      </c>
      <c r="AI974">
        <v>4</v>
      </c>
      <c r="AJ974">
        <v>0</v>
      </c>
      <c r="AK974">
        <v>10</v>
      </c>
      <c r="AL974" t="s">
        <v>16519</v>
      </c>
      <c r="AM974" t="s">
        <v>16520</v>
      </c>
      <c r="AN974" t="s">
        <v>16521</v>
      </c>
      <c r="AO974" t="s">
        <v>16522</v>
      </c>
      <c r="AP974" t="s">
        <v>74</v>
      </c>
      <c r="AQ974" t="s">
        <v>74</v>
      </c>
      <c r="AR974" t="s">
        <v>16523</v>
      </c>
      <c r="AS974" t="s">
        <v>16524</v>
      </c>
      <c r="AT974" t="s">
        <v>4056</v>
      </c>
      <c r="AU974">
        <v>2021</v>
      </c>
      <c r="AV974" t="s">
        <v>74</v>
      </c>
      <c r="AW974">
        <v>119</v>
      </c>
      <c r="AX974" t="s">
        <v>74</v>
      </c>
      <c r="AY974" t="s">
        <v>74</v>
      </c>
      <c r="AZ974" t="s">
        <v>74</v>
      </c>
      <c r="BA974" t="s">
        <v>74</v>
      </c>
      <c r="BB974">
        <v>61</v>
      </c>
      <c r="BC974">
        <v>67</v>
      </c>
      <c r="BD974" t="s">
        <v>74</v>
      </c>
      <c r="BE974" t="s">
        <v>16525</v>
      </c>
      <c r="BF974" t="str">
        <f>HYPERLINK("http://dx.doi.org/10.5195/rt.2021.777","http://dx.doi.org/10.5195/rt.2021.777")</f>
        <v>http://dx.doi.org/10.5195/rt.2021.777</v>
      </c>
      <c r="BG974" t="s">
        <v>74</v>
      </c>
      <c r="BH974" t="s">
        <v>74</v>
      </c>
      <c r="BI974">
        <v>7</v>
      </c>
      <c r="BJ974" t="s">
        <v>787</v>
      </c>
      <c r="BK974" t="s">
        <v>125</v>
      </c>
      <c r="BL974" t="s">
        <v>787</v>
      </c>
      <c r="BM974" t="s">
        <v>16526</v>
      </c>
      <c r="BN974" t="s">
        <v>74</v>
      </c>
      <c r="BO974" t="s">
        <v>235</v>
      </c>
      <c r="BP974" t="s">
        <v>74</v>
      </c>
      <c r="BQ974" t="s">
        <v>74</v>
      </c>
      <c r="BR974" t="s">
        <v>102</v>
      </c>
      <c r="BS974" t="s">
        <v>16527</v>
      </c>
      <c r="BT974" t="str">
        <f>HYPERLINK("https%3A%2F%2Fwww.webofscience.com%2Fwos%2Fwoscc%2Ffull-record%2FWOS:000642465500008","View Full Record in Web of Science")</f>
        <v>View Full Record in Web of Science</v>
      </c>
    </row>
    <row r="975" spans="1:72" x14ac:dyDescent="0.35">
      <c r="A975" t="s">
        <v>72</v>
      </c>
      <c r="B975" t="s">
        <v>16528</v>
      </c>
      <c r="C975" t="s">
        <v>74</v>
      </c>
      <c r="D975" t="s">
        <v>74</v>
      </c>
      <c r="E975" t="s">
        <v>74</v>
      </c>
      <c r="F975" t="s">
        <v>16529</v>
      </c>
      <c r="G975" t="s">
        <v>74</v>
      </c>
      <c r="H975" t="s">
        <v>74</v>
      </c>
      <c r="I975" t="s">
        <v>16530</v>
      </c>
      <c r="J975" t="s">
        <v>16531</v>
      </c>
      <c r="K975" t="s">
        <v>74</v>
      </c>
      <c r="L975" t="s">
        <v>74</v>
      </c>
      <c r="M975" t="s">
        <v>78</v>
      </c>
      <c r="N975" t="s">
        <v>2042</v>
      </c>
      <c r="O975" t="s">
        <v>74</v>
      </c>
      <c r="P975" t="s">
        <v>74</v>
      </c>
      <c r="Q975" t="s">
        <v>74</v>
      </c>
      <c r="R975" t="s">
        <v>74</v>
      </c>
      <c r="S975" t="s">
        <v>74</v>
      </c>
      <c r="T975" t="s">
        <v>74</v>
      </c>
      <c r="U975" t="s">
        <v>74</v>
      </c>
      <c r="V975" t="s">
        <v>74</v>
      </c>
      <c r="W975" t="s">
        <v>16532</v>
      </c>
      <c r="X975" t="s">
        <v>74</v>
      </c>
      <c r="Y975" t="s">
        <v>16533</v>
      </c>
      <c r="Z975" t="s">
        <v>16534</v>
      </c>
      <c r="AA975" t="s">
        <v>74</v>
      </c>
      <c r="AB975" t="s">
        <v>74</v>
      </c>
      <c r="AC975" t="s">
        <v>74</v>
      </c>
      <c r="AD975" t="s">
        <v>74</v>
      </c>
      <c r="AE975" t="s">
        <v>74</v>
      </c>
      <c r="AF975" t="s">
        <v>74</v>
      </c>
      <c r="AG975">
        <v>4</v>
      </c>
      <c r="AH975">
        <v>0</v>
      </c>
      <c r="AI975">
        <v>0</v>
      </c>
      <c r="AJ975">
        <v>0</v>
      </c>
      <c r="AK975">
        <v>1</v>
      </c>
      <c r="AL975" t="s">
        <v>16535</v>
      </c>
      <c r="AM975" t="s">
        <v>10224</v>
      </c>
      <c r="AN975" t="s">
        <v>16536</v>
      </c>
      <c r="AO975" t="s">
        <v>16537</v>
      </c>
      <c r="AP975" t="s">
        <v>16538</v>
      </c>
      <c r="AQ975" t="s">
        <v>74</v>
      </c>
      <c r="AR975" t="s">
        <v>16539</v>
      </c>
      <c r="AS975" t="s">
        <v>16540</v>
      </c>
      <c r="AT975" t="s">
        <v>1275</v>
      </c>
      <c r="AU975">
        <v>2022</v>
      </c>
      <c r="AV975">
        <v>153</v>
      </c>
      <c r="AW975">
        <v>12</v>
      </c>
      <c r="AX975" t="s">
        <v>74</v>
      </c>
      <c r="AY975" t="s">
        <v>74</v>
      </c>
      <c r="AZ975" t="s">
        <v>74</v>
      </c>
      <c r="BA975" t="s">
        <v>74</v>
      </c>
      <c r="BB975">
        <v>1191</v>
      </c>
      <c r="BC975">
        <v>1192</v>
      </c>
      <c r="BD975" t="s">
        <v>74</v>
      </c>
      <c r="BE975" t="s">
        <v>16541</v>
      </c>
      <c r="BF975" t="str">
        <f>HYPERLINK("http://dx.doi.org/10.1016/j.adaj.2022.08.010","http://dx.doi.org/10.1016/j.adaj.2022.08.010")</f>
        <v>http://dx.doi.org/10.1016/j.adaj.2022.08.010</v>
      </c>
      <c r="BG975" t="s">
        <v>74</v>
      </c>
      <c r="BH975" t="s">
        <v>74</v>
      </c>
      <c r="BI975">
        <v>2</v>
      </c>
      <c r="BJ975" t="s">
        <v>599</v>
      </c>
      <c r="BK975" t="s">
        <v>209</v>
      </c>
      <c r="BL975" t="s">
        <v>599</v>
      </c>
      <c r="BM975" t="s">
        <v>16542</v>
      </c>
      <c r="BN975">
        <v>36220694</v>
      </c>
      <c r="BO975" t="s">
        <v>74</v>
      </c>
      <c r="BP975" t="s">
        <v>74</v>
      </c>
      <c r="BQ975" t="s">
        <v>74</v>
      </c>
      <c r="BR975" t="s">
        <v>102</v>
      </c>
      <c r="BS975" t="s">
        <v>16543</v>
      </c>
      <c r="BT975" t="str">
        <f>HYPERLINK("https%3A%2F%2Fwww.webofscience.com%2Fwos%2Fwoscc%2Ffull-record%2FWOS:001124876800012","View Full Record in Web of Science")</f>
        <v>View Full Record in Web of Science</v>
      </c>
    </row>
    <row r="976" spans="1:72" x14ac:dyDescent="0.35">
      <c r="A976" t="s">
        <v>72</v>
      </c>
      <c r="B976" t="s">
        <v>16544</v>
      </c>
      <c r="C976" t="s">
        <v>74</v>
      </c>
      <c r="D976" t="s">
        <v>74</v>
      </c>
      <c r="E976" t="s">
        <v>74</v>
      </c>
      <c r="F976" t="s">
        <v>16545</v>
      </c>
      <c r="G976" t="s">
        <v>74</v>
      </c>
      <c r="H976" t="s">
        <v>74</v>
      </c>
      <c r="I976" t="s">
        <v>16546</v>
      </c>
      <c r="J976" t="s">
        <v>16547</v>
      </c>
      <c r="K976" t="s">
        <v>74</v>
      </c>
      <c r="L976" t="s">
        <v>74</v>
      </c>
      <c r="M976" t="s">
        <v>78</v>
      </c>
      <c r="N976" t="s">
        <v>108</v>
      </c>
      <c r="O976" t="s">
        <v>74</v>
      </c>
      <c r="P976" t="s">
        <v>74</v>
      </c>
      <c r="Q976" t="s">
        <v>74</v>
      </c>
      <c r="R976" t="s">
        <v>74</v>
      </c>
      <c r="S976" t="s">
        <v>74</v>
      </c>
      <c r="T976" t="s">
        <v>74</v>
      </c>
      <c r="U976" t="s">
        <v>16548</v>
      </c>
      <c r="V976" t="s">
        <v>16549</v>
      </c>
      <c r="W976" t="s">
        <v>16550</v>
      </c>
      <c r="X976" t="s">
        <v>16551</v>
      </c>
      <c r="Y976" t="s">
        <v>16552</v>
      </c>
      <c r="Z976" t="s">
        <v>74</v>
      </c>
      <c r="AA976" t="s">
        <v>74</v>
      </c>
      <c r="AB976" t="s">
        <v>16553</v>
      </c>
      <c r="AC976" t="s">
        <v>16554</v>
      </c>
      <c r="AD976" t="s">
        <v>16555</v>
      </c>
      <c r="AE976" t="s">
        <v>16556</v>
      </c>
      <c r="AF976" t="s">
        <v>74</v>
      </c>
      <c r="AG976">
        <v>95</v>
      </c>
      <c r="AH976">
        <v>1</v>
      </c>
      <c r="AI976">
        <v>1</v>
      </c>
      <c r="AJ976">
        <v>0</v>
      </c>
      <c r="AK976">
        <v>7</v>
      </c>
      <c r="AL976" t="s">
        <v>1129</v>
      </c>
      <c r="AM976" t="s">
        <v>89</v>
      </c>
      <c r="AN976" t="s">
        <v>1130</v>
      </c>
      <c r="AO976" t="s">
        <v>16557</v>
      </c>
      <c r="AP976" t="s">
        <v>16558</v>
      </c>
      <c r="AQ976" t="s">
        <v>74</v>
      </c>
      <c r="AR976" t="s">
        <v>16559</v>
      </c>
      <c r="AS976" t="s">
        <v>16560</v>
      </c>
      <c r="AT976" t="s">
        <v>16561</v>
      </c>
      <c r="AU976">
        <v>2023</v>
      </c>
      <c r="AV976">
        <v>38</v>
      </c>
      <c r="AW976">
        <v>5</v>
      </c>
      <c r="AX976" t="s">
        <v>74</v>
      </c>
      <c r="AY976" t="s">
        <v>74</v>
      </c>
      <c r="AZ976" t="s">
        <v>74</v>
      </c>
      <c r="BA976" t="s">
        <v>74</v>
      </c>
      <c r="BB976">
        <v>834</v>
      </c>
      <c r="BC976">
        <v>850</v>
      </c>
      <c r="BD976" t="s">
        <v>74</v>
      </c>
      <c r="BE976" t="s">
        <v>16562</v>
      </c>
      <c r="BF976" t="str">
        <f>HYPERLINK("http://dx.doi.org/10.1080/1472586X.2023.2274890","http://dx.doi.org/10.1080/1472586X.2023.2274890")</f>
        <v>http://dx.doi.org/10.1080/1472586X.2023.2274890</v>
      </c>
      <c r="BG976" t="s">
        <v>74</v>
      </c>
      <c r="BH976" t="s">
        <v>207</v>
      </c>
      <c r="BI976">
        <v>17</v>
      </c>
      <c r="BJ976" t="s">
        <v>4461</v>
      </c>
      <c r="BK976" t="s">
        <v>316</v>
      </c>
      <c r="BL976" t="s">
        <v>4462</v>
      </c>
      <c r="BM976" t="s">
        <v>16563</v>
      </c>
      <c r="BN976" t="s">
        <v>74</v>
      </c>
      <c r="BO976" t="s">
        <v>6425</v>
      </c>
      <c r="BP976" t="s">
        <v>74</v>
      </c>
      <c r="BQ976" t="s">
        <v>74</v>
      </c>
      <c r="BR976" t="s">
        <v>102</v>
      </c>
      <c r="BS976" t="s">
        <v>16564</v>
      </c>
      <c r="BT976" t="str">
        <f>HYPERLINK("https%3A%2F%2Fwww.webofscience.com%2Fwos%2Fwoscc%2Ffull-record%2FWOS:001105091700001","View Full Record in Web of Science")</f>
        <v>View Full Record in Web of Science</v>
      </c>
    </row>
    <row r="977" spans="1:72" x14ac:dyDescent="0.35">
      <c r="A977" t="s">
        <v>72</v>
      </c>
      <c r="B977" t="s">
        <v>16565</v>
      </c>
      <c r="C977" t="s">
        <v>74</v>
      </c>
      <c r="D977" t="s">
        <v>74</v>
      </c>
      <c r="E977" t="s">
        <v>74</v>
      </c>
      <c r="F977" t="s">
        <v>16566</v>
      </c>
      <c r="G977" t="s">
        <v>74</v>
      </c>
      <c r="H977" t="s">
        <v>74</v>
      </c>
      <c r="I977" t="s">
        <v>16567</v>
      </c>
      <c r="J977" t="s">
        <v>16568</v>
      </c>
      <c r="K977" t="s">
        <v>74</v>
      </c>
      <c r="L977" t="s">
        <v>74</v>
      </c>
      <c r="M977" t="s">
        <v>3503</v>
      </c>
      <c r="N977" t="s">
        <v>108</v>
      </c>
      <c r="O977" t="s">
        <v>74</v>
      </c>
      <c r="P977" t="s">
        <v>74</v>
      </c>
      <c r="Q977" t="s">
        <v>74</v>
      </c>
      <c r="R977" t="s">
        <v>74</v>
      </c>
      <c r="S977" t="s">
        <v>74</v>
      </c>
      <c r="T977" t="s">
        <v>16569</v>
      </c>
      <c r="U977" t="s">
        <v>16570</v>
      </c>
      <c r="V977" t="s">
        <v>16571</v>
      </c>
      <c r="W977" t="s">
        <v>16572</v>
      </c>
      <c r="X977" t="s">
        <v>16573</v>
      </c>
      <c r="Y977" t="s">
        <v>16574</v>
      </c>
      <c r="Z977" t="s">
        <v>16575</v>
      </c>
      <c r="AA977" t="s">
        <v>16576</v>
      </c>
      <c r="AB977" t="s">
        <v>74</v>
      </c>
      <c r="AC977" t="s">
        <v>74</v>
      </c>
      <c r="AD977" t="s">
        <v>74</v>
      </c>
      <c r="AE977" t="s">
        <v>74</v>
      </c>
      <c r="AF977" t="s">
        <v>74</v>
      </c>
      <c r="AG977">
        <v>55</v>
      </c>
      <c r="AH977">
        <v>1</v>
      </c>
      <c r="AI977">
        <v>1</v>
      </c>
      <c r="AJ977">
        <v>2</v>
      </c>
      <c r="AK977">
        <v>8</v>
      </c>
      <c r="AL977" t="s">
        <v>16577</v>
      </c>
      <c r="AM977" t="s">
        <v>16578</v>
      </c>
      <c r="AN977" t="s">
        <v>16579</v>
      </c>
      <c r="AO977" t="s">
        <v>16580</v>
      </c>
      <c r="AP977" t="s">
        <v>16581</v>
      </c>
      <c r="AQ977" t="s">
        <v>74</v>
      </c>
      <c r="AR977" t="s">
        <v>16568</v>
      </c>
      <c r="AS977" t="s">
        <v>16582</v>
      </c>
      <c r="AT977" t="s">
        <v>8762</v>
      </c>
      <c r="AU977">
        <v>2022</v>
      </c>
      <c r="AV977" t="s">
        <v>74</v>
      </c>
      <c r="AW977">
        <v>24</v>
      </c>
      <c r="AX977" t="s">
        <v>74</v>
      </c>
      <c r="AY977" t="s">
        <v>74</v>
      </c>
      <c r="AZ977" t="s">
        <v>74</v>
      </c>
      <c r="BA977" t="s">
        <v>74</v>
      </c>
      <c r="BB977">
        <v>76</v>
      </c>
      <c r="BC977">
        <v>109</v>
      </c>
      <c r="BD977" t="s">
        <v>74</v>
      </c>
      <c r="BE977" t="s">
        <v>74</v>
      </c>
      <c r="BF977" t="s">
        <v>74</v>
      </c>
      <c r="BG977" t="s">
        <v>74</v>
      </c>
      <c r="BH977" t="s">
        <v>74</v>
      </c>
      <c r="BI977">
        <v>34</v>
      </c>
      <c r="BJ977" t="s">
        <v>16583</v>
      </c>
      <c r="BK977" t="s">
        <v>125</v>
      </c>
      <c r="BL977" t="s">
        <v>16584</v>
      </c>
      <c r="BM977" t="s">
        <v>16585</v>
      </c>
      <c r="BN977" t="s">
        <v>74</v>
      </c>
      <c r="BO977" t="s">
        <v>74</v>
      </c>
      <c r="BP977" t="s">
        <v>74</v>
      </c>
      <c r="BQ977" t="s">
        <v>74</v>
      </c>
      <c r="BR977" t="s">
        <v>102</v>
      </c>
      <c r="BS977" t="s">
        <v>16586</v>
      </c>
      <c r="BT977" t="str">
        <f>HYPERLINK("https%3A%2F%2Fwww.webofscience.com%2Fwos%2Fwoscc%2Ffull-record%2FWOS:000893917700004","View Full Record in Web of Science")</f>
        <v>View Full Record in Web of Science</v>
      </c>
    </row>
    <row r="978" spans="1:72" x14ac:dyDescent="0.35">
      <c r="A978" t="s">
        <v>72</v>
      </c>
      <c r="B978" t="s">
        <v>16587</v>
      </c>
      <c r="C978" t="s">
        <v>74</v>
      </c>
      <c r="D978" t="s">
        <v>74</v>
      </c>
      <c r="E978" t="s">
        <v>74</v>
      </c>
      <c r="F978" t="s">
        <v>16588</v>
      </c>
      <c r="G978" t="s">
        <v>74</v>
      </c>
      <c r="H978" t="s">
        <v>74</v>
      </c>
      <c r="I978" t="s">
        <v>16589</v>
      </c>
      <c r="J978" t="s">
        <v>12524</v>
      </c>
      <c r="K978" t="s">
        <v>74</v>
      </c>
      <c r="L978" t="s">
        <v>74</v>
      </c>
      <c r="M978" t="s">
        <v>78</v>
      </c>
      <c r="N978" t="s">
        <v>52</v>
      </c>
      <c r="O978" t="s">
        <v>12525</v>
      </c>
      <c r="P978" t="s">
        <v>12526</v>
      </c>
      <c r="Q978" t="s">
        <v>12527</v>
      </c>
      <c r="R978" t="s">
        <v>74</v>
      </c>
      <c r="S978" t="s">
        <v>74</v>
      </c>
      <c r="T978" t="s">
        <v>74</v>
      </c>
      <c r="U978" t="s">
        <v>74</v>
      </c>
      <c r="V978" t="s">
        <v>74</v>
      </c>
      <c r="W978" t="s">
        <v>74</v>
      </c>
      <c r="X978" t="s">
        <v>74</v>
      </c>
      <c r="Y978" t="s">
        <v>74</v>
      </c>
      <c r="Z978" t="s">
        <v>74</v>
      </c>
      <c r="AA978" t="s">
        <v>74</v>
      </c>
      <c r="AB978" t="s">
        <v>74</v>
      </c>
      <c r="AC978" t="s">
        <v>74</v>
      </c>
      <c r="AD978" t="s">
        <v>74</v>
      </c>
      <c r="AE978" t="s">
        <v>74</v>
      </c>
      <c r="AF978" t="s">
        <v>74</v>
      </c>
      <c r="AG978">
        <v>0</v>
      </c>
      <c r="AH978">
        <v>1</v>
      </c>
      <c r="AI978">
        <v>1</v>
      </c>
      <c r="AJ978">
        <v>0</v>
      </c>
      <c r="AK978">
        <v>0</v>
      </c>
      <c r="AL978" t="s">
        <v>12528</v>
      </c>
      <c r="AM978" t="s">
        <v>995</v>
      </c>
      <c r="AN978" t="s">
        <v>12529</v>
      </c>
      <c r="AO978" t="s">
        <v>12530</v>
      </c>
      <c r="AP978" t="s">
        <v>12531</v>
      </c>
      <c r="AQ978" t="s">
        <v>74</v>
      </c>
      <c r="AR978" t="s">
        <v>12524</v>
      </c>
      <c r="AS978" t="s">
        <v>12532</v>
      </c>
      <c r="AT978" t="s">
        <v>745</v>
      </c>
      <c r="AU978">
        <v>2023</v>
      </c>
      <c r="AV978">
        <v>164</v>
      </c>
      <c r="AW978">
        <v>6</v>
      </c>
      <c r="AX978" t="s">
        <v>74</v>
      </c>
      <c r="AY978" t="s">
        <v>4946</v>
      </c>
      <c r="AZ978" t="s">
        <v>74</v>
      </c>
      <c r="BA978" t="s">
        <v>16590</v>
      </c>
      <c r="BB978" t="s">
        <v>16591</v>
      </c>
      <c r="BC978" t="s">
        <v>16591</v>
      </c>
      <c r="BD978" t="s">
        <v>74</v>
      </c>
      <c r="BE978" t="s">
        <v>74</v>
      </c>
      <c r="BF978" t="s">
        <v>74</v>
      </c>
      <c r="BG978" t="s">
        <v>74</v>
      </c>
      <c r="BH978" t="s">
        <v>74</v>
      </c>
      <c r="BI978">
        <v>1</v>
      </c>
      <c r="BJ978" t="s">
        <v>12536</v>
      </c>
      <c r="BK978" t="s">
        <v>2257</v>
      </c>
      <c r="BL978" t="s">
        <v>12536</v>
      </c>
      <c r="BM978" t="s">
        <v>12537</v>
      </c>
      <c r="BN978" t="s">
        <v>74</v>
      </c>
      <c r="BO978" t="s">
        <v>74</v>
      </c>
      <c r="BP978" t="s">
        <v>74</v>
      </c>
      <c r="BQ978" t="s">
        <v>74</v>
      </c>
      <c r="BR978" t="s">
        <v>102</v>
      </c>
      <c r="BS978" t="s">
        <v>16592</v>
      </c>
      <c r="BT978" t="str">
        <f>HYPERLINK("https%3A%2F%2Fwww.webofscience.com%2Fwos%2Fwoscc%2Ffull-record%2FWOS:001040954703004","View Full Record in Web of Science")</f>
        <v>View Full Record in Web of Science</v>
      </c>
    </row>
    <row r="979" spans="1:72" x14ac:dyDescent="0.35">
      <c r="A979" t="s">
        <v>72</v>
      </c>
      <c r="B979" t="s">
        <v>16593</v>
      </c>
      <c r="C979" t="s">
        <v>74</v>
      </c>
      <c r="D979" t="s">
        <v>74</v>
      </c>
      <c r="E979" t="s">
        <v>74</v>
      </c>
      <c r="F979" t="s">
        <v>16594</v>
      </c>
      <c r="G979" t="s">
        <v>74</v>
      </c>
      <c r="H979" t="s">
        <v>74</v>
      </c>
      <c r="I979" t="s">
        <v>16595</v>
      </c>
      <c r="J979" t="s">
        <v>16596</v>
      </c>
      <c r="K979" t="s">
        <v>74</v>
      </c>
      <c r="L979" t="s">
        <v>74</v>
      </c>
      <c r="M979" t="s">
        <v>78</v>
      </c>
      <c r="N979" t="s">
        <v>108</v>
      </c>
      <c r="O979" t="s">
        <v>74</v>
      </c>
      <c r="P979" t="s">
        <v>74</v>
      </c>
      <c r="Q979" t="s">
        <v>74</v>
      </c>
      <c r="R979" t="s">
        <v>74</v>
      </c>
      <c r="S979" t="s">
        <v>74</v>
      </c>
      <c r="T979" t="s">
        <v>74</v>
      </c>
      <c r="U979" t="s">
        <v>74</v>
      </c>
      <c r="V979" t="s">
        <v>74</v>
      </c>
      <c r="W979" t="s">
        <v>16597</v>
      </c>
      <c r="X979" t="s">
        <v>16598</v>
      </c>
      <c r="Y979" t="s">
        <v>16599</v>
      </c>
      <c r="Z979" t="s">
        <v>74</v>
      </c>
      <c r="AA979" t="s">
        <v>74</v>
      </c>
      <c r="AB979" t="s">
        <v>16600</v>
      </c>
      <c r="AC979" t="s">
        <v>74</v>
      </c>
      <c r="AD979" t="s">
        <v>74</v>
      </c>
      <c r="AE979" t="s">
        <v>74</v>
      </c>
      <c r="AF979" t="s">
        <v>74</v>
      </c>
      <c r="AG979">
        <v>51</v>
      </c>
      <c r="AH979">
        <v>1</v>
      </c>
      <c r="AI979">
        <v>1</v>
      </c>
      <c r="AJ979">
        <v>1</v>
      </c>
      <c r="AK979">
        <v>1</v>
      </c>
      <c r="AL979" t="s">
        <v>16601</v>
      </c>
      <c r="AM979" t="s">
        <v>995</v>
      </c>
      <c r="AN979" t="s">
        <v>16602</v>
      </c>
      <c r="AO979" t="s">
        <v>16603</v>
      </c>
      <c r="AP979" t="s">
        <v>16604</v>
      </c>
      <c r="AQ979" t="s">
        <v>74</v>
      </c>
      <c r="AR979" t="s">
        <v>16605</v>
      </c>
      <c r="AS979" t="s">
        <v>16606</v>
      </c>
      <c r="AT979" t="s">
        <v>74</v>
      </c>
      <c r="AU979">
        <v>2023</v>
      </c>
      <c r="AV979">
        <v>18</v>
      </c>
      <c r="AW979">
        <v>1</v>
      </c>
      <c r="AX979" t="s">
        <v>74</v>
      </c>
      <c r="AY979" t="s">
        <v>74</v>
      </c>
      <c r="AZ979" t="s">
        <v>74</v>
      </c>
      <c r="BA979" t="s">
        <v>74</v>
      </c>
      <c r="BB979">
        <v>1</v>
      </c>
      <c r="BC979">
        <v>31</v>
      </c>
      <c r="BD979" t="s">
        <v>74</v>
      </c>
      <c r="BE979" t="s">
        <v>16607</v>
      </c>
      <c r="BF979" t="str">
        <f>HYPERLINK("http://dx.doi.org/10.1353/mrw.2023.a906600","http://dx.doi.org/10.1353/mrw.2023.a906600")</f>
        <v>http://dx.doi.org/10.1353/mrw.2023.a906600</v>
      </c>
      <c r="BG979" t="s">
        <v>74</v>
      </c>
      <c r="BH979" t="s">
        <v>74</v>
      </c>
      <c r="BI979">
        <v>31</v>
      </c>
      <c r="BJ979" t="s">
        <v>4461</v>
      </c>
      <c r="BK979" t="s">
        <v>316</v>
      </c>
      <c r="BL979" t="s">
        <v>4462</v>
      </c>
      <c r="BM979" t="s">
        <v>16608</v>
      </c>
      <c r="BN979" t="s">
        <v>74</v>
      </c>
      <c r="BO979" t="s">
        <v>6798</v>
      </c>
      <c r="BP979" t="s">
        <v>74</v>
      </c>
      <c r="BQ979" t="s">
        <v>74</v>
      </c>
      <c r="BR979" t="s">
        <v>102</v>
      </c>
      <c r="BS979" t="s">
        <v>16609</v>
      </c>
      <c r="BT979" t="str">
        <f>HYPERLINK("https%3A%2F%2Fwww.webofscience.com%2Fwos%2Fwoscc%2Ffull-record%2FWOS:001168039900001","View Full Record in Web of Science")</f>
        <v>View Full Record in Web of Science</v>
      </c>
    </row>
    <row r="980" spans="1:72" x14ac:dyDescent="0.35">
      <c r="A980" t="s">
        <v>72</v>
      </c>
      <c r="B980" t="s">
        <v>7691</v>
      </c>
      <c r="C980" t="s">
        <v>74</v>
      </c>
      <c r="D980" t="s">
        <v>74</v>
      </c>
      <c r="E980" t="s">
        <v>74</v>
      </c>
      <c r="F980" t="s">
        <v>7692</v>
      </c>
      <c r="G980" t="s">
        <v>74</v>
      </c>
      <c r="H980" t="s">
        <v>74</v>
      </c>
      <c r="I980" t="s">
        <v>16610</v>
      </c>
      <c r="J980" t="s">
        <v>968</v>
      </c>
      <c r="K980" t="s">
        <v>74</v>
      </c>
      <c r="L980" t="s">
        <v>74</v>
      </c>
      <c r="M980" t="s">
        <v>78</v>
      </c>
      <c r="N980" t="s">
        <v>13911</v>
      </c>
      <c r="O980" t="s">
        <v>74</v>
      </c>
      <c r="P980" t="s">
        <v>74</v>
      </c>
      <c r="Q980" t="s">
        <v>74</v>
      </c>
      <c r="R980" t="s">
        <v>74</v>
      </c>
      <c r="S980" t="s">
        <v>74</v>
      </c>
      <c r="T980" t="s">
        <v>74</v>
      </c>
      <c r="U980" t="s">
        <v>74</v>
      </c>
      <c r="V980" t="s">
        <v>74</v>
      </c>
      <c r="W980" t="s">
        <v>74</v>
      </c>
      <c r="X980" t="s">
        <v>74</v>
      </c>
      <c r="Y980" t="s">
        <v>74</v>
      </c>
      <c r="Z980" t="s">
        <v>74</v>
      </c>
      <c r="AA980" t="s">
        <v>7701</v>
      </c>
      <c r="AB980" t="s">
        <v>7702</v>
      </c>
      <c r="AC980" t="s">
        <v>74</v>
      </c>
      <c r="AD980" t="s">
        <v>74</v>
      </c>
      <c r="AE980" t="s">
        <v>74</v>
      </c>
      <c r="AF980" t="s">
        <v>74</v>
      </c>
      <c r="AG980">
        <v>1</v>
      </c>
      <c r="AH980">
        <v>0</v>
      </c>
      <c r="AI980">
        <v>0</v>
      </c>
      <c r="AJ980">
        <v>0</v>
      </c>
      <c r="AK980">
        <v>4</v>
      </c>
      <c r="AL980" t="s">
        <v>226</v>
      </c>
      <c r="AM980" t="s">
        <v>227</v>
      </c>
      <c r="AN980" t="s">
        <v>228</v>
      </c>
      <c r="AO980" t="s">
        <v>978</v>
      </c>
      <c r="AP980" t="s">
        <v>979</v>
      </c>
      <c r="AQ980" t="s">
        <v>74</v>
      </c>
      <c r="AR980" t="s">
        <v>980</v>
      </c>
      <c r="AS980" t="s">
        <v>981</v>
      </c>
      <c r="AT980" t="s">
        <v>745</v>
      </c>
      <c r="AU980">
        <v>2023</v>
      </c>
      <c r="AV980">
        <v>187</v>
      </c>
      <c r="AW980">
        <v>1</v>
      </c>
      <c r="AX980" t="s">
        <v>74</v>
      </c>
      <c r="AY980" t="s">
        <v>74</v>
      </c>
      <c r="AZ980" t="s">
        <v>456</v>
      </c>
      <c r="BA980" t="s">
        <v>74</v>
      </c>
      <c r="BB980">
        <v>156</v>
      </c>
      <c r="BC980">
        <v>156</v>
      </c>
      <c r="BD980" t="s">
        <v>74</v>
      </c>
      <c r="BE980" t="s">
        <v>16611</v>
      </c>
      <c r="BF980" t="str">
        <f>HYPERLINK("http://dx.doi.org/10.1177/1329878X221121424","http://dx.doi.org/10.1177/1329878X221121424")</f>
        <v>http://dx.doi.org/10.1177/1329878X221121424</v>
      </c>
      <c r="BG980" t="s">
        <v>74</v>
      </c>
      <c r="BH980" t="s">
        <v>1527</v>
      </c>
      <c r="BI980">
        <v>1</v>
      </c>
      <c r="BJ980" t="s">
        <v>124</v>
      </c>
      <c r="BK980" t="s">
        <v>99</v>
      </c>
      <c r="BL980" t="s">
        <v>124</v>
      </c>
      <c r="BM980" t="s">
        <v>16612</v>
      </c>
      <c r="BN980" t="s">
        <v>74</v>
      </c>
      <c r="BO980" t="s">
        <v>74</v>
      </c>
      <c r="BP980" t="s">
        <v>74</v>
      </c>
      <c r="BQ980" t="s">
        <v>74</v>
      </c>
      <c r="BR980" t="s">
        <v>102</v>
      </c>
      <c r="BS980" t="s">
        <v>16613</v>
      </c>
      <c r="BT980" t="str">
        <f>HYPERLINK("https%3A%2F%2Fwww.webofscience.com%2Fwos%2Fwoscc%2Ffull-record%2FWOS:000847152300001","View Full Record in Web of Science")</f>
        <v>View Full Record in Web of Science</v>
      </c>
    </row>
    <row r="981" spans="1:72" x14ac:dyDescent="0.35">
      <c r="A981" t="s">
        <v>72</v>
      </c>
      <c r="B981" t="s">
        <v>16614</v>
      </c>
      <c r="C981" t="s">
        <v>74</v>
      </c>
      <c r="D981" t="s">
        <v>74</v>
      </c>
      <c r="E981" t="s">
        <v>74</v>
      </c>
      <c r="F981" t="s">
        <v>16615</v>
      </c>
      <c r="G981" t="s">
        <v>74</v>
      </c>
      <c r="H981" t="s">
        <v>74</v>
      </c>
      <c r="I981" t="s">
        <v>16616</v>
      </c>
      <c r="J981" t="s">
        <v>8324</v>
      </c>
      <c r="K981" t="s">
        <v>74</v>
      </c>
      <c r="L981" t="s">
        <v>74</v>
      </c>
      <c r="M981" t="s">
        <v>78</v>
      </c>
      <c r="N981" t="s">
        <v>79</v>
      </c>
      <c r="O981" t="s">
        <v>74</v>
      </c>
      <c r="P981" t="s">
        <v>74</v>
      </c>
      <c r="Q981" t="s">
        <v>74</v>
      </c>
      <c r="R981" t="s">
        <v>74</v>
      </c>
      <c r="S981" t="s">
        <v>74</v>
      </c>
      <c r="T981" t="s">
        <v>74</v>
      </c>
      <c r="U981" t="s">
        <v>74</v>
      </c>
      <c r="V981" t="s">
        <v>16617</v>
      </c>
      <c r="W981" t="s">
        <v>16618</v>
      </c>
      <c r="X981" t="s">
        <v>16619</v>
      </c>
      <c r="Y981" t="s">
        <v>16620</v>
      </c>
      <c r="Z981" t="s">
        <v>7546</v>
      </c>
      <c r="AA981" t="s">
        <v>74</v>
      </c>
      <c r="AB981" t="s">
        <v>16621</v>
      </c>
      <c r="AC981" t="s">
        <v>16622</v>
      </c>
      <c r="AD981" t="s">
        <v>16623</v>
      </c>
      <c r="AE981" t="s">
        <v>16624</v>
      </c>
      <c r="AF981" t="s">
        <v>74</v>
      </c>
      <c r="AG981">
        <v>52</v>
      </c>
      <c r="AH981">
        <v>5</v>
      </c>
      <c r="AI981">
        <v>5</v>
      </c>
      <c r="AJ981">
        <v>3</v>
      </c>
      <c r="AK981">
        <v>10</v>
      </c>
      <c r="AL981" t="s">
        <v>8334</v>
      </c>
      <c r="AM981" t="s">
        <v>291</v>
      </c>
      <c r="AN981" t="s">
        <v>8335</v>
      </c>
      <c r="AO981" t="s">
        <v>8336</v>
      </c>
      <c r="AP981" t="s">
        <v>8337</v>
      </c>
      <c r="AQ981" t="s">
        <v>74</v>
      </c>
      <c r="AR981" t="s">
        <v>8338</v>
      </c>
      <c r="AS981" t="s">
        <v>8339</v>
      </c>
      <c r="AT981" t="s">
        <v>16625</v>
      </c>
      <c r="AU981">
        <v>2023</v>
      </c>
      <c r="AV981" t="s">
        <v>74</v>
      </c>
      <c r="AW981" t="s">
        <v>74</v>
      </c>
      <c r="AX981" t="s">
        <v>74</v>
      </c>
      <c r="AY981" t="s">
        <v>74</v>
      </c>
      <c r="AZ981" t="s">
        <v>74</v>
      </c>
      <c r="BA981" t="s">
        <v>74</v>
      </c>
      <c r="BB981" t="s">
        <v>74</v>
      </c>
      <c r="BC981" t="s">
        <v>74</v>
      </c>
      <c r="BD981" t="s">
        <v>74</v>
      </c>
      <c r="BE981" t="s">
        <v>16626</v>
      </c>
      <c r="BF981" t="str">
        <f>HYPERLINK("http://dx.doi.org/10.1093/ntr/ntad224","http://dx.doi.org/10.1093/ntr/ntad224")</f>
        <v>http://dx.doi.org/10.1093/ntr/ntad224</v>
      </c>
      <c r="BG981" t="s">
        <v>74</v>
      </c>
      <c r="BH981" t="s">
        <v>674</v>
      </c>
      <c r="BI981">
        <v>9</v>
      </c>
      <c r="BJ981" t="s">
        <v>8342</v>
      </c>
      <c r="BK981" t="s">
        <v>182</v>
      </c>
      <c r="BL981" t="s">
        <v>8342</v>
      </c>
      <c r="BM981" t="s">
        <v>16627</v>
      </c>
      <c r="BN981">
        <v>37947283</v>
      </c>
      <c r="BO981" t="s">
        <v>4154</v>
      </c>
      <c r="BP981" t="s">
        <v>74</v>
      </c>
      <c r="BQ981" t="s">
        <v>74</v>
      </c>
      <c r="BR981" t="s">
        <v>102</v>
      </c>
      <c r="BS981" t="s">
        <v>16628</v>
      </c>
      <c r="BT981" t="str">
        <f>HYPERLINK("https%3A%2F%2Fwww.webofscience.com%2Fwos%2Fwoscc%2Ffull-record%2FWOS:001186467800001","View Full Record in Web of Science")</f>
        <v>View Full Record in Web of Science</v>
      </c>
    </row>
    <row r="982" spans="1:72" x14ac:dyDescent="0.35">
      <c r="A982" t="s">
        <v>72</v>
      </c>
      <c r="B982" t="s">
        <v>5766</v>
      </c>
      <c r="C982" t="s">
        <v>74</v>
      </c>
      <c r="D982" t="s">
        <v>74</v>
      </c>
      <c r="E982" t="s">
        <v>74</v>
      </c>
      <c r="F982" t="s">
        <v>5767</v>
      </c>
      <c r="G982" t="s">
        <v>74</v>
      </c>
      <c r="H982" t="s">
        <v>74</v>
      </c>
      <c r="I982" t="s">
        <v>16629</v>
      </c>
      <c r="J982" t="s">
        <v>5769</v>
      </c>
      <c r="K982" t="s">
        <v>74</v>
      </c>
      <c r="L982" t="s">
        <v>74</v>
      </c>
      <c r="M982" t="s">
        <v>78</v>
      </c>
      <c r="N982" t="s">
        <v>13911</v>
      </c>
      <c r="O982" t="s">
        <v>74</v>
      </c>
      <c r="P982" t="s">
        <v>74</v>
      </c>
      <c r="Q982" t="s">
        <v>74</v>
      </c>
      <c r="R982" t="s">
        <v>74</v>
      </c>
      <c r="S982" t="s">
        <v>74</v>
      </c>
      <c r="T982" t="s">
        <v>74</v>
      </c>
      <c r="U982" t="s">
        <v>74</v>
      </c>
      <c r="V982" t="s">
        <v>74</v>
      </c>
      <c r="W982" t="s">
        <v>5773</v>
      </c>
      <c r="X982" t="s">
        <v>5774</v>
      </c>
      <c r="Y982" t="s">
        <v>5775</v>
      </c>
      <c r="Z982" t="s">
        <v>5776</v>
      </c>
      <c r="AA982" t="s">
        <v>16630</v>
      </c>
      <c r="AB982" t="s">
        <v>16631</v>
      </c>
      <c r="AC982" t="s">
        <v>74</v>
      </c>
      <c r="AD982" t="s">
        <v>74</v>
      </c>
      <c r="AE982" t="s">
        <v>74</v>
      </c>
      <c r="AF982" t="s">
        <v>74</v>
      </c>
      <c r="AG982">
        <v>1</v>
      </c>
      <c r="AH982">
        <v>0</v>
      </c>
      <c r="AI982">
        <v>0</v>
      </c>
      <c r="AJ982">
        <v>0</v>
      </c>
      <c r="AK982">
        <v>3</v>
      </c>
      <c r="AL982" t="s">
        <v>5781</v>
      </c>
      <c r="AM982" t="s">
        <v>15284</v>
      </c>
      <c r="AN982" t="s">
        <v>15285</v>
      </c>
      <c r="AO982" t="s">
        <v>5784</v>
      </c>
      <c r="AP982" t="s">
        <v>5785</v>
      </c>
      <c r="AQ982" t="s">
        <v>74</v>
      </c>
      <c r="AR982" t="s">
        <v>5786</v>
      </c>
      <c r="AS982" t="s">
        <v>5787</v>
      </c>
      <c r="AT982" t="s">
        <v>1275</v>
      </c>
      <c r="AU982">
        <v>2022</v>
      </c>
      <c r="AV982">
        <v>12</v>
      </c>
      <c r="AW982">
        <v>1</v>
      </c>
      <c r="AX982" t="s">
        <v>74</v>
      </c>
      <c r="AY982" t="s">
        <v>74</v>
      </c>
      <c r="AZ982" t="s">
        <v>74</v>
      </c>
      <c r="BA982" t="s">
        <v>74</v>
      </c>
      <c r="BB982" t="s">
        <v>74</v>
      </c>
      <c r="BC982" t="s">
        <v>74</v>
      </c>
      <c r="BD982">
        <v>142</v>
      </c>
      <c r="BE982" t="s">
        <v>16632</v>
      </c>
      <c r="BF982" t="str">
        <f>HYPERLINK("http://dx.doi.org/10.1007/s13278-022-00965-x","http://dx.doi.org/10.1007/s13278-022-00965-x")</f>
        <v>http://dx.doi.org/10.1007/s13278-022-00965-x</v>
      </c>
      <c r="BG982" t="s">
        <v>74</v>
      </c>
      <c r="BH982" t="s">
        <v>74</v>
      </c>
      <c r="BI982">
        <v>1</v>
      </c>
      <c r="BJ982" t="s">
        <v>5789</v>
      </c>
      <c r="BK982" t="s">
        <v>125</v>
      </c>
      <c r="BL982" t="s">
        <v>210</v>
      </c>
      <c r="BM982" t="s">
        <v>16633</v>
      </c>
      <c r="BN982" t="s">
        <v>74</v>
      </c>
      <c r="BO982" t="s">
        <v>156</v>
      </c>
      <c r="BP982" t="s">
        <v>74</v>
      </c>
      <c r="BQ982" t="s">
        <v>74</v>
      </c>
      <c r="BR982" t="s">
        <v>102</v>
      </c>
      <c r="BS982" t="s">
        <v>16634</v>
      </c>
      <c r="BT982" t="str">
        <f>HYPERLINK("https%3A%2F%2Fwww.webofscience.com%2Fwos%2Fwoscc%2Ffull-record%2FWOS:000861466000001","View Full Record in Web of Science")</f>
        <v>View Full Record in Web of Science</v>
      </c>
    </row>
    <row r="983" spans="1:72" x14ac:dyDescent="0.35">
      <c r="A983" t="s">
        <v>72</v>
      </c>
      <c r="B983" t="s">
        <v>16635</v>
      </c>
      <c r="C983" t="s">
        <v>74</v>
      </c>
      <c r="D983" t="s">
        <v>74</v>
      </c>
      <c r="E983" t="s">
        <v>74</v>
      </c>
      <c r="F983" t="s">
        <v>16636</v>
      </c>
      <c r="G983" t="s">
        <v>74</v>
      </c>
      <c r="H983" t="s">
        <v>74</v>
      </c>
      <c r="I983" t="s">
        <v>16637</v>
      </c>
      <c r="J983" t="s">
        <v>8324</v>
      </c>
      <c r="K983" t="s">
        <v>74</v>
      </c>
      <c r="L983" t="s">
        <v>74</v>
      </c>
      <c r="M983" t="s">
        <v>78</v>
      </c>
      <c r="N983" t="s">
        <v>79</v>
      </c>
      <c r="O983" t="s">
        <v>74</v>
      </c>
      <c r="P983" t="s">
        <v>74</v>
      </c>
      <c r="Q983" t="s">
        <v>74</v>
      </c>
      <c r="R983" t="s">
        <v>74</v>
      </c>
      <c r="S983" t="s">
        <v>74</v>
      </c>
      <c r="T983" t="s">
        <v>74</v>
      </c>
      <c r="U983" t="s">
        <v>74</v>
      </c>
      <c r="V983" t="s">
        <v>16638</v>
      </c>
      <c r="W983" t="s">
        <v>16639</v>
      </c>
      <c r="X983" t="s">
        <v>13274</v>
      </c>
      <c r="Y983" t="s">
        <v>16640</v>
      </c>
      <c r="Z983" t="s">
        <v>16641</v>
      </c>
      <c r="AA983" t="s">
        <v>14757</v>
      </c>
      <c r="AB983" t="s">
        <v>16642</v>
      </c>
      <c r="AC983" t="s">
        <v>16643</v>
      </c>
      <c r="AD983" t="s">
        <v>16644</v>
      </c>
      <c r="AE983" t="s">
        <v>16645</v>
      </c>
      <c r="AF983" t="s">
        <v>74</v>
      </c>
      <c r="AG983">
        <v>33</v>
      </c>
      <c r="AH983">
        <v>0</v>
      </c>
      <c r="AI983">
        <v>0</v>
      </c>
      <c r="AJ983">
        <v>20</v>
      </c>
      <c r="AK983">
        <v>20</v>
      </c>
      <c r="AL983" t="s">
        <v>8334</v>
      </c>
      <c r="AM983" t="s">
        <v>291</v>
      </c>
      <c r="AN983" t="s">
        <v>8335</v>
      </c>
      <c r="AO983" t="s">
        <v>8336</v>
      </c>
      <c r="AP983" t="s">
        <v>8337</v>
      </c>
      <c r="AQ983" t="s">
        <v>74</v>
      </c>
      <c r="AR983" t="s">
        <v>8338</v>
      </c>
      <c r="AS983" t="s">
        <v>8339</v>
      </c>
      <c r="AT983" t="s">
        <v>16646</v>
      </c>
      <c r="AU983">
        <v>2024</v>
      </c>
      <c r="AV983" t="s">
        <v>74</v>
      </c>
      <c r="AW983" t="s">
        <v>74</v>
      </c>
      <c r="AX983" t="s">
        <v>74</v>
      </c>
      <c r="AY983" t="s">
        <v>74</v>
      </c>
      <c r="AZ983" t="s">
        <v>74</v>
      </c>
      <c r="BA983" t="s">
        <v>74</v>
      </c>
      <c r="BB983" t="s">
        <v>74</v>
      </c>
      <c r="BC983" t="s">
        <v>74</v>
      </c>
      <c r="BD983" t="s">
        <v>74</v>
      </c>
      <c r="BE983" t="s">
        <v>16647</v>
      </c>
      <c r="BF983" t="str">
        <f>HYPERLINK("http://dx.doi.org/10.1093/ntr/ntae171","http://dx.doi.org/10.1093/ntr/ntae171")</f>
        <v>http://dx.doi.org/10.1093/ntr/ntae171</v>
      </c>
      <c r="BG983" t="s">
        <v>74</v>
      </c>
      <c r="BH983" t="s">
        <v>478</v>
      </c>
      <c r="BI983">
        <v>6</v>
      </c>
      <c r="BJ983" t="s">
        <v>8342</v>
      </c>
      <c r="BK983" t="s">
        <v>182</v>
      </c>
      <c r="BL983" t="s">
        <v>8342</v>
      </c>
      <c r="BM983" t="s">
        <v>16648</v>
      </c>
      <c r="BN983">
        <v>39001654</v>
      </c>
      <c r="BO983" t="s">
        <v>74</v>
      </c>
      <c r="BP983" t="s">
        <v>74</v>
      </c>
      <c r="BQ983" t="s">
        <v>74</v>
      </c>
      <c r="BR983" t="s">
        <v>102</v>
      </c>
      <c r="BS983" t="s">
        <v>16649</v>
      </c>
      <c r="BT983" t="str">
        <f>HYPERLINK("https%3A%2F%2Fwww.webofscience.com%2Fwos%2Fwoscc%2Ffull-record%2FWOS:001279752500001","View Full Record in Web of Science")</f>
        <v>View Full Record in Web of Science</v>
      </c>
    </row>
    <row r="984" spans="1:72" x14ac:dyDescent="0.35">
      <c r="A984" t="s">
        <v>72</v>
      </c>
      <c r="B984" t="s">
        <v>16650</v>
      </c>
      <c r="C984" t="s">
        <v>74</v>
      </c>
      <c r="D984" t="s">
        <v>74</v>
      </c>
      <c r="E984" t="s">
        <v>74</v>
      </c>
      <c r="F984" t="s">
        <v>16651</v>
      </c>
      <c r="G984" t="s">
        <v>74</v>
      </c>
      <c r="H984" t="s">
        <v>74</v>
      </c>
      <c r="I984" t="s">
        <v>16652</v>
      </c>
      <c r="J984" t="s">
        <v>2370</v>
      </c>
      <c r="K984" t="s">
        <v>74</v>
      </c>
      <c r="L984" t="s">
        <v>74</v>
      </c>
      <c r="M984" t="s">
        <v>78</v>
      </c>
      <c r="N984" t="s">
        <v>108</v>
      </c>
      <c r="O984" t="s">
        <v>74</v>
      </c>
      <c r="P984" t="s">
        <v>74</v>
      </c>
      <c r="Q984" t="s">
        <v>74</v>
      </c>
      <c r="R984" t="s">
        <v>74</v>
      </c>
      <c r="S984" t="s">
        <v>74</v>
      </c>
      <c r="T984" t="s">
        <v>16653</v>
      </c>
      <c r="U984" t="s">
        <v>16654</v>
      </c>
      <c r="V984" t="s">
        <v>16655</v>
      </c>
      <c r="W984" t="s">
        <v>16656</v>
      </c>
      <c r="X984" t="s">
        <v>16657</v>
      </c>
      <c r="Y984" t="s">
        <v>16658</v>
      </c>
      <c r="Z984" t="s">
        <v>16659</v>
      </c>
      <c r="AA984" t="s">
        <v>16660</v>
      </c>
      <c r="AB984" t="s">
        <v>74</v>
      </c>
      <c r="AC984" t="s">
        <v>16661</v>
      </c>
      <c r="AD984" t="s">
        <v>16661</v>
      </c>
      <c r="AE984" t="s">
        <v>16662</v>
      </c>
      <c r="AF984" t="s">
        <v>74</v>
      </c>
      <c r="AG984">
        <v>32</v>
      </c>
      <c r="AH984">
        <v>0</v>
      </c>
      <c r="AI984">
        <v>0</v>
      </c>
      <c r="AJ984">
        <v>1</v>
      </c>
      <c r="AK984">
        <v>1</v>
      </c>
      <c r="AL984" t="s">
        <v>2382</v>
      </c>
      <c r="AM984" t="s">
        <v>227</v>
      </c>
      <c r="AN984" t="s">
        <v>2383</v>
      </c>
      <c r="AO984" t="s">
        <v>74</v>
      </c>
      <c r="AP984" t="s">
        <v>2384</v>
      </c>
      <c r="AQ984" t="s">
        <v>74</v>
      </c>
      <c r="AR984" t="s">
        <v>2370</v>
      </c>
      <c r="AS984" t="s">
        <v>2385</v>
      </c>
      <c r="AT984" t="s">
        <v>16663</v>
      </c>
      <c r="AU984">
        <v>2024</v>
      </c>
      <c r="AV984">
        <v>24</v>
      </c>
      <c r="AW984">
        <v>1</v>
      </c>
      <c r="AX984" t="s">
        <v>74</v>
      </c>
      <c r="AY984" t="s">
        <v>74</v>
      </c>
      <c r="AZ984" t="s">
        <v>74</v>
      </c>
      <c r="BA984" t="s">
        <v>74</v>
      </c>
      <c r="BB984" t="s">
        <v>74</v>
      </c>
      <c r="BC984" t="s">
        <v>74</v>
      </c>
      <c r="BD984">
        <v>1384</v>
      </c>
      <c r="BE984" t="s">
        <v>16664</v>
      </c>
      <c r="BF984" t="str">
        <f>HYPERLINK("http://dx.doi.org/10.1186/s12889-024-18571-1","http://dx.doi.org/10.1186/s12889-024-18571-1")</f>
        <v>http://dx.doi.org/10.1186/s12889-024-18571-1</v>
      </c>
      <c r="BG984" t="s">
        <v>74</v>
      </c>
      <c r="BH984" t="s">
        <v>74</v>
      </c>
      <c r="BI984">
        <v>6</v>
      </c>
      <c r="BJ984" t="s">
        <v>392</v>
      </c>
      <c r="BK984" t="s">
        <v>209</v>
      </c>
      <c r="BL984" t="s">
        <v>392</v>
      </c>
      <c r="BM984" t="s">
        <v>16665</v>
      </c>
      <c r="BN984">
        <v>38783213</v>
      </c>
      <c r="BO984" t="s">
        <v>5678</v>
      </c>
      <c r="BP984" t="s">
        <v>74</v>
      </c>
      <c r="BQ984" t="s">
        <v>74</v>
      </c>
      <c r="BR984" t="s">
        <v>102</v>
      </c>
      <c r="BS984" t="s">
        <v>16666</v>
      </c>
      <c r="BT984" t="str">
        <f>HYPERLINK("https%3A%2F%2Fwww.webofscience.com%2Fwos%2Fwoscc%2Ffull-record%2FWOS:001230224300008","View Full Record in Web of Science")</f>
        <v>View Full Record in Web of Science</v>
      </c>
    </row>
    <row r="985" spans="1:72" x14ac:dyDescent="0.35">
      <c r="A985" t="s">
        <v>72</v>
      </c>
      <c r="B985" t="s">
        <v>16667</v>
      </c>
      <c r="C985" t="s">
        <v>74</v>
      </c>
      <c r="D985" t="s">
        <v>74</v>
      </c>
      <c r="E985" t="s">
        <v>74</v>
      </c>
      <c r="F985" t="s">
        <v>16668</v>
      </c>
      <c r="G985" t="s">
        <v>74</v>
      </c>
      <c r="H985" t="s">
        <v>74</v>
      </c>
      <c r="I985" t="s">
        <v>16669</v>
      </c>
      <c r="J985" t="s">
        <v>16670</v>
      </c>
      <c r="K985" t="s">
        <v>74</v>
      </c>
      <c r="L985" t="s">
        <v>74</v>
      </c>
      <c r="M985" t="s">
        <v>78</v>
      </c>
      <c r="N985" t="s">
        <v>52</v>
      </c>
      <c r="O985" t="s">
        <v>74</v>
      </c>
      <c r="P985" t="s">
        <v>74</v>
      </c>
      <c r="Q985" t="s">
        <v>74</v>
      </c>
      <c r="R985" t="s">
        <v>74</v>
      </c>
      <c r="S985" t="s">
        <v>74</v>
      </c>
      <c r="T985" t="s">
        <v>74</v>
      </c>
      <c r="U985" t="s">
        <v>74</v>
      </c>
      <c r="V985" t="s">
        <v>74</v>
      </c>
      <c r="W985" t="s">
        <v>16671</v>
      </c>
      <c r="X985" t="s">
        <v>16672</v>
      </c>
      <c r="Y985" t="s">
        <v>74</v>
      </c>
      <c r="Z985" t="s">
        <v>74</v>
      </c>
      <c r="AA985" t="s">
        <v>74</v>
      </c>
      <c r="AB985" t="s">
        <v>74</v>
      </c>
      <c r="AC985" t="s">
        <v>74</v>
      </c>
      <c r="AD985" t="s">
        <v>74</v>
      </c>
      <c r="AE985" t="s">
        <v>74</v>
      </c>
      <c r="AF985" t="s">
        <v>74</v>
      </c>
      <c r="AG985">
        <v>0</v>
      </c>
      <c r="AH985">
        <v>0</v>
      </c>
      <c r="AI985">
        <v>0</v>
      </c>
      <c r="AJ985">
        <v>1</v>
      </c>
      <c r="AK985">
        <v>1</v>
      </c>
      <c r="AL985" t="s">
        <v>171</v>
      </c>
      <c r="AM985" t="s">
        <v>172</v>
      </c>
      <c r="AN985" t="s">
        <v>173</v>
      </c>
      <c r="AO985" t="s">
        <v>16673</v>
      </c>
      <c r="AP985" t="s">
        <v>16674</v>
      </c>
      <c r="AQ985" t="s">
        <v>74</v>
      </c>
      <c r="AR985" t="s">
        <v>16675</v>
      </c>
      <c r="AS985" t="s">
        <v>16676</v>
      </c>
      <c r="AT985" t="s">
        <v>594</v>
      </c>
      <c r="AU985">
        <v>2024</v>
      </c>
      <c r="AV985">
        <v>127</v>
      </c>
      <c r="AW985" t="s">
        <v>74</v>
      </c>
      <c r="AX985" t="s">
        <v>74</v>
      </c>
      <c r="AY985">
        <v>2</v>
      </c>
      <c r="AZ985" t="s">
        <v>74</v>
      </c>
      <c r="BA985" t="s">
        <v>74</v>
      </c>
      <c r="BB985">
        <v>118</v>
      </c>
      <c r="BC985">
        <v>119</v>
      </c>
      <c r="BD985" t="s">
        <v>74</v>
      </c>
      <c r="BE985" t="s">
        <v>74</v>
      </c>
      <c r="BF985" t="s">
        <v>74</v>
      </c>
      <c r="BG985" t="s">
        <v>74</v>
      </c>
      <c r="BH985" t="s">
        <v>74</v>
      </c>
      <c r="BI985">
        <v>2</v>
      </c>
      <c r="BJ985" t="s">
        <v>698</v>
      </c>
      <c r="BK985" t="s">
        <v>99</v>
      </c>
      <c r="BL985" t="s">
        <v>301</v>
      </c>
      <c r="BM985" t="s">
        <v>16677</v>
      </c>
      <c r="BN985" t="s">
        <v>74</v>
      </c>
      <c r="BO985" t="s">
        <v>74</v>
      </c>
      <c r="BP985" t="s">
        <v>74</v>
      </c>
      <c r="BQ985" t="s">
        <v>74</v>
      </c>
      <c r="BR985" t="s">
        <v>102</v>
      </c>
      <c r="BS985" t="s">
        <v>16678</v>
      </c>
      <c r="BT985" t="str">
        <f>HYPERLINK("https%3A%2F%2Fwww.webofscience.com%2Fwos%2Fwoscc%2Ffull-record%2FWOS:001325301700103","View Full Record in Web of Science")</f>
        <v>View Full Record in Web of Science</v>
      </c>
    </row>
    <row r="986" spans="1:72" x14ac:dyDescent="0.35">
      <c r="A986" t="s">
        <v>72</v>
      </c>
      <c r="B986" t="s">
        <v>16679</v>
      </c>
      <c r="C986" t="s">
        <v>74</v>
      </c>
      <c r="D986" t="s">
        <v>74</v>
      </c>
      <c r="E986" t="s">
        <v>74</v>
      </c>
      <c r="F986" t="s">
        <v>16680</v>
      </c>
      <c r="G986" t="s">
        <v>74</v>
      </c>
      <c r="H986" t="s">
        <v>74</v>
      </c>
      <c r="I986" t="s">
        <v>16681</v>
      </c>
      <c r="J986" t="s">
        <v>373</v>
      </c>
      <c r="K986" t="s">
        <v>74</v>
      </c>
      <c r="L986" t="s">
        <v>74</v>
      </c>
      <c r="M986" t="s">
        <v>78</v>
      </c>
      <c r="N986" t="s">
        <v>108</v>
      </c>
      <c r="O986" t="s">
        <v>74</v>
      </c>
      <c r="P986" t="s">
        <v>74</v>
      </c>
      <c r="Q986" t="s">
        <v>74</v>
      </c>
      <c r="R986" t="s">
        <v>74</v>
      </c>
      <c r="S986" t="s">
        <v>74</v>
      </c>
      <c r="T986" t="s">
        <v>16682</v>
      </c>
      <c r="U986" t="s">
        <v>16683</v>
      </c>
      <c r="V986" t="s">
        <v>16684</v>
      </c>
      <c r="W986" t="s">
        <v>16685</v>
      </c>
      <c r="X986" t="s">
        <v>16686</v>
      </c>
      <c r="Y986" t="s">
        <v>16687</v>
      </c>
      <c r="Z986" t="s">
        <v>16688</v>
      </c>
      <c r="AA986" t="s">
        <v>74</v>
      </c>
      <c r="AB986" t="s">
        <v>16689</v>
      </c>
      <c r="AC986" t="s">
        <v>16690</v>
      </c>
      <c r="AD986" t="s">
        <v>16691</v>
      </c>
      <c r="AE986" t="s">
        <v>16692</v>
      </c>
      <c r="AF986" t="s">
        <v>74</v>
      </c>
      <c r="AG986">
        <v>28</v>
      </c>
      <c r="AH986">
        <v>15</v>
      </c>
      <c r="AI986">
        <v>15</v>
      </c>
      <c r="AJ986">
        <v>1</v>
      </c>
      <c r="AK986">
        <v>19</v>
      </c>
      <c r="AL986" t="s">
        <v>384</v>
      </c>
      <c r="AM986" t="s">
        <v>385</v>
      </c>
      <c r="AN986" t="s">
        <v>386</v>
      </c>
      <c r="AO986" t="s">
        <v>74</v>
      </c>
      <c r="AP986" t="s">
        <v>387</v>
      </c>
      <c r="AQ986" t="s">
        <v>74</v>
      </c>
      <c r="AR986" t="s">
        <v>388</v>
      </c>
      <c r="AS986" t="s">
        <v>389</v>
      </c>
      <c r="AT986" t="s">
        <v>4184</v>
      </c>
      <c r="AU986">
        <v>2022</v>
      </c>
      <c r="AV986">
        <v>10</v>
      </c>
      <c r="AW986" t="s">
        <v>74</v>
      </c>
      <c r="AX986" t="s">
        <v>74</v>
      </c>
      <c r="AY986" t="s">
        <v>74</v>
      </c>
      <c r="AZ986" t="s">
        <v>74</v>
      </c>
      <c r="BA986" t="s">
        <v>74</v>
      </c>
      <c r="BB986" t="s">
        <v>74</v>
      </c>
      <c r="BC986" t="s">
        <v>74</v>
      </c>
      <c r="BD986">
        <v>1000338</v>
      </c>
      <c r="BE986" t="s">
        <v>16693</v>
      </c>
      <c r="BF986" t="str">
        <f>HYPERLINK("http://dx.doi.org/10.3389/fpubh.2022.1000338","http://dx.doi.org/10.3389/fpubh.2022.1000338")</f>
        <v>http://dx.doi.org/10.3389/fpubh.2022.1000338</v>
      </c>
      <c r="BG986" t="s">
        <v>74</v>
      </c>
      <c r="BH986" t="s">
        <v>74</v>
      </c>
      <c r="BI986">
        <v>9</v>
      </c>
      <c r="BJ986" t="s">
        <v>392</v>
      </c>
      <c r="BK986" t="s">
        <v>182</v>
      </c>
      <c r="BL986" t="s">
        <v>392</v>
      </c>
      <c r="BM986" t="s">
        <v>16694</v>
      </c>
      <c r="BN986">
        <v>36407987</v>
      </c>
      <c r="BO986" t="s">
        <v>552</v>
      </c>
      <c r="BP986" t="s">
        <v>74</v>
      </c>
      <c r="BQ986" t="s">
        <v>74</v>
      </c>
      <c r="BR986" t="s">
        <v>102</v>
      </c>
      <c r="BS986" t="s">
        <v>16695</v>
      </c>
      <c r="BT986" t="str">
        <f>HYPERLINK("https%3A%2F%2Fwww.webofscience.com%2Fwos%2Fwoscc%2Ffull-record%2FWOS:000885700400001","View Full Record in Web of Science")</f>
        <v>View Full Record in Web of Science</v>
      </c>
    </row>
    <row r="987" spans="1:72" x14ac:dyDescent="0.35">
      <c r="A987" t="s">
        <v>72</v>
      </c>
      <c r="B987" t="s">
        <v>16696</v>
      </c>
      <c r="C987" t="s">
        <v>74</v>
      </c>
      <c r="D987" t="s">
        <v>74</v>
      </c>
      <c r="E987" t="s">
        <v>74</v>
      </c>
      <c r="F987" t="s">
        <v>16697</v>
      </c>
      <c r="G987" t="s">
        <v>74</v>
      </c>
      <c r="H987" t="s">
        <v>74</v>
      </c>
      <c r="I987" t="s">
        <v>16698</v>
      </c>
      <c r="J987" t="s">
        <v>1774</v>
      </c>
      <c r="K987" t="s">
        <v>74</v>
      </c>
      <c r="L987" t="s">
        <v>74</v>
      </c>
      <c r="M987" t="s">
        <v>78</v>
      </c>
      <c r="N987" t="s">
        <v>108</v>
      </c>
      <c r="O987" t="s">
        <v>74</v>
      </c>
      <c r="P987" t="s">
        <v>74</v>
      </c>
      <c r="Q987" t="s">
        <v>74</v>
      </c>
      <c r="R987" t="s">
        <v>74</v>
      </c>
      <c r="S987" t="s">
        <v>74</v>
      </c>
      <c r="T987" t="s">
        <v>16699</v>
      </c>
      <c r="U987" t="s">
        <v>16700</v>
      </c>
      <c r="V987" t="s">
        <v>16701</v>
      </c>
      <c r="W987" t="s">
        <v>16702</v>
      </c>
      <c r="X987" t="s">
        <v>850</v>
      </c>
      <c r="Y987" t="s">
        <v>16703</v>
      </c>
      <c r="Z987" t="s">
        <v>852</v>
      </c>
      <c r="AA987" t="s">
        <v>16704</v>
      </c>
      <c r="AB987" t="s">
        <v>16705</v>
      </c>
      <c r="AC987" t="s">
        <v>16706</v>
      </c>
      <c r="AD987" t="s">
        <v>16707</v>
      </c>
      <c r="AE987" t="s">
        <v>16708</v>
      </c>
      <c r="AF987" t="s">
        <v>74</v>
      </c>
      <c r="AG987">
        <v>61</v>
      </c>
      <c r="AH987">
        <v>23</v>
      </c>
      <c r="AI987">
        <v>23</v>
      </c>
      <c r="AJ987">
        <v>8</v>
      </c>
      <c r="AK987">
        <v>49</v>
      </c>
      <c r="AL987" t="s">
        <v>88</v>
      </c>
      <c r="AM987" t="s">
        <v>89</v>
      </c>
      <c r="AN987" t="s">
        <v>90</v>
      </c>
      <c r="AO987" t="s">
        <v>1783</v>
      </c>
      <c r="AP987" t="s">
        <v>1784</v>
      </c>
      <c r="AQ987" t="s">
        <v>74</v>
      </c>
      <c r="AR987" t="s">
        <v>1785</v>
      </c>
      <c r="AS987" t="s">
        <v>1786</v>
      </c>
      <c r="AT987" t="s">
        <v>16709</v>
      </c>
      <c r="AU987">
        <v>2023</v>
      </c>
      <c r="AV987">
        <v>26</v>
      </c>
      <c r="AW987">
        <v>10</v>
      </c>
      <c r="AX987" t="s">
        <v>74</v>
      </c>
      <c r="AY987" t="s">
        <v>74</v>
      </c>
      <c r="AZ987" t="s">
        <v>74</v>
      </c>
      <c r="BA987" t="s">
        <v>74</v>
      </c>
      <c r="BB987">
        <v>1996</v>
      </c>
      <c r="BC987">
        <v>2014</v>
      </c>
      <c r="BD987" t="s">
        <v>74</v>
      </c>
      <c r="BE987" t="s">
        <v>16710</v>
      </c>
      <c r="BF987" t="str">
        <f>HYPERLINK("http://dx.doi.org/10.1080/1369118X.2022.2065211","http://dx.doi.org/10.1080/1369118X.2022.2065211")</f>
        <v>http://dx.doi.org/10.1080/1369118X.2022.2065211</v>
      </c>
      <c r="BG987" t="s">
        <v>74</v>
      </c>
      <c r="BH987" t="s">
        <v>4941</v>
      </c>
      <c r="BI987">
        <v>19</v>
      </c>
      <c r="BJ987" t="s">
        <v>1047</v>
      </c>
      <c r="BK987" t="s">
        <v>99</v>
      </c>
      <c r="BL987" t="s">
        <v>1047</v>
      </c>
      <c r="BM987" t="s">
        <v>16711</v>
      </c>
      <c r="BN987" t="s">
        <v>74</v>
      </c>
      <c r="BO987" t="s">
        <v>1343</v>
      </c>
      <c r="BP987" t="s">
        <v>74</v>
      </c>
      <c r="BQ987" t="s">
        <v>74</v>
      </c>
      <c r="BR987" t="s">
        <v>102</v>
      </c>
      <c r="BS987" t="s">
        <v>16712</v>
      </c>
      <c r="BT987" t="str">
        <f>HYPERLINK("https%3A%2F%2Fwww.webofscience.com%2Fwos%2Fwoscc%2Ffull-record%2FWOS:000788914400001","View Full Record in Web of Science")</f>
        <v>View Full Record in Web of Science</v>
      </c>
    </row>
    <row r="988" spans="1:72" x14ac:dyDescent="0.35">
      <c r="A988" t="s">
        <v>72</v>
      </c>
      <c r="B988" t="s">
        <v>16713</v>
      </c>
      <c r="C988" t="s">
        <v>74</v>
      </c>
      <c r="D988" t="s">
        <v>74</v>
      </c>
      <c r="E988" t="s">
        <v>74</v>
      </c>
      <c r="F988" t="s">
        <v>16714</v>
      </c>
      <c r="G988" t="s">
        <v>74</v>
      </c>
      <c r="H988" t="s">
        <v>74</v>
      </c>
      <c r="I988" t="s">
        <v>16715</v>
      </c>
      <c r="J988" t="s">
        <v>16716</v>
      </c>
      <c r="K988" t="s">
        <v>74</v>
      </c>
      <c r="L988" t="s">
        <v>74</v>
      </c>
      <c r="M988" t="s">
        <v>78</v>
      </c>
      <c r="N988" t="s">
        <v>108</v>
      </c>
      <c r="O988" t="s">
        <v>74</v>
      </c>
      <c r="P988" t="s">
        <v>74</v>
      </c>
      <c r="Q988" t="s">
        <v>74</v>
      </c>
      <c r="R988" t="s">
        <v>74</v>
      </c>
      <c r="S988" t="s">
        <v>74</v>
      </c>
      <c r="T988" t="s">
        <v>16717</v>
      </c>
      <c r="U988" t="s">
        <v>795</v>
      </c>
      <c r="V988" t="s">
        <v>16718</v>
      </c>
      <c r="W988" t="s">
        <v>16719</v>
      </c>
      <c r="X988" t="s">
        <v>15143</v>
      </c>
      <c r="Y988" t="s">
        <v>16720</v>
      </c>
      <c r="Z988" t="s">
        <v>16721</v>
      </c>
      <c r="AA988" t="s">
        <v>16722</v>
      </c>
      <c r="AB988" t="s">
        <v>16723</v>
      </c>
      <c r="AC988" t="s">
        <v>74</v>
      </c>
      <c r="AD988" t="s">
        <v>74</v>
      </c>
      <c r="AE988" t="s">
        <v>74</v>
      </c>
      <c r="AF988" t="s">
        <v>74</v>
      </c>
      <c r="AG988">
        <v>31</v>
      </c>
      <c r="AH988">
        <v>4</v>
      </c>
      <c r="AI988">
        <v>4</v>
      </c>
      <c r="AJ988">
        <v>1</v>
      </c>
      <c r="AK988">
        <v>1</v>
      </c>
      <c r="AL988" t="s">
        <v>665</v>
      </c>
      <c r="AM988" t="s">
        <v>666</v>
      </c>
      <c r="AN988" t="s">
        <v>667</v>
      </c>
      <c r="AO988" t="s">
        <v>16724</v>
      </c>
      <c r="AP988" t="s">
        <v>16725</v>
      </c>
      <c r="AQ988" t="s">
        <v>74</v>
      </c>
      <c r="AR988" t="s">
        <v>16726</v>
      </c>
      <c r="AS988" t="s">
        <v>16727</v>
      </c>
      <c r="AT988" t="s">
        <v>523</v>
      </c>
      <c r="AU988">
        <v>2023</v>
      </c>
      <c r="AV988">
        <v>41</v>
      </c>
      <c r="AW988">
        <v>11</v>
      </c>
      <c r="AX988" t="s">
        <v>74</v>
      </c>
      <c r="AY988" t="s">
        <v>74</v>
      </c>
      <c r="AZ988" t="s">
        <v>456</v>
      </c>
      <c r="BA988" t="s">
        <v>74</v>
      </c>
      <c r="BB988">
        <v>3051</v>
      </c>
      <c r="BC988">
        <v>3057</v>
      </c>
      <c r="BD988" t="s">
        <v>74</v>
      </c>
      <c r="BE988" t="s">
        <v>16728</v>
      </c>
      <c r="BF988" t="str">
        <f>HYPERLINK("http://dx.doi.org/10.1007/s00345-023-04601-x","http://dx.doi.org/10.1007/s00345-023-04601-x")</f>
        <v>http://dx.doi.org/10.1007/s00345-023-04601-x</v>
      </c>
      <c r="BG988" t="s">
        <v>74</v>
      </c>
      <c r="BH988" t="s">
        <v>2929</v>
      </c>
      <c r="BI988">
        <v>7</v>
      </c>
      <c r="BJ988" t="s">
        <v>1908</v>
      </c>
      <c r="BK988" t="s">
        <v>209</v>
      </c>
      <c r="BL988" t="s">
        <v>1908</v>
      </c>
      <c r="BM988" t="s">
        <v>16729</v>
      </c>
      <c r="BN988">
        <v>37728744</v>
      </c>
      <c r="BO988" t="s">
        <v>74</v>
      </c>
      <c r="BP988" t="s">
        <v>74</v>
      </c>
      <c r="BQ988" t="s">
        <v>74</v>
      </c>
      <c r="BR988" t="s">
        <v>102</v>
      </c>
      <c r="BS988" t="s">
        <v>16730</v>
      </c>
      <c r="BT988" t="str">
        <f>HYPERLINK("https%3A%2F%2Fwww.webofscience.com%2Fwos%2Fwoscc%2Ffull-record%2FWOS:001070482200002","View Full Record in Web of Science")</f>
        <v>View Full Record in Web of Science</v>
      </c>
    </row>
    <row r="989" spans="1:72" x14ac:dyDescent="0.35">
      <c r="A989" t="s">
        <v>8845</v>
      </c>
      <c r="B989" t="s">
        <v>16731</v>
      </c>
      <c r="C989" t="s">
        <v>74</v>
      </c>
      <c r="D989" t="s">
        <v>16732</v>
      </c>
      <c r="E989" t="s">
        <v>74</v>
      </c>
      <c r="F989" t="s">
        <v>16733</v>
      </c>
      <c r="G989" t="s">
        <v>74</v>
      </c>
      <c r="H989" t="s">
        <v>74</v>
      </c>
      <c r="I989" t="s">
        <v>16734</v>
      </c>
      <c r="J989" t="s">
        <v>16735</v>
      </c>
      <c r="K989" t="s">
        <v>16736</v>
      </c>
      <c r="L989" t="s">
        <v>74</v>
      </c>
      <c r="M989" t="s">
        <v>78</v>
      </c>
      <c r="N989" t="s">
        <v>4953</v>
      </c>
      <c r="O989" t="s">
        <v>74</v>
      </c>
      <c r="P989" t="s">
        <v>74</v>
      </c>
      <c r="Q989" t="s">
        <v>74</v>
      </c>
      <c r="R989" t="s">
        <v>74</v>
      </c>
      <c r="S989" t="s">
        <v>74</v>
      </c>
      <c r="T989" t="s">
        <v>74</v>
      </c>
      <c r="U989" t="s">
        <v>16737</v>
      </c>
      <c r="V989" t="s">
        <v>74</v>
      </c>
      <c r="W989" t="s">
        <v>16738</v>
      </c>
      <c r="X989" t="s">
        <v>16739</v>
      </c>
      <c r="Y989" t="s">
        <v>16740</v>
      </c>
      <c r="Z989" t="s">
        <v>74</v>
      </c>
      <c r="AA989" t="s">
        <v>74</v>
      </c>
      <c r="AB989" t="s">
        <v>74</v>
      </c>
      <c r="AC989" t="s">
        <v>74</v>
      </c>
      <c r="AD989" t="s">
        <v>74</v>
      </c>
      <c r="AE989" t="s">
        <v>74</v>
      </c>
      <c r="AF989" t="s">
        <v>74</v>
      </c>
      <c r="AG989">
        <v>63</v>
      </c>
      <c r="AH989">
        <v>0</v>
      </c>
      <c r="AI989">
        <v>0</v>
      </c>
      <c r="AJ989">
        <v>1</v>
      </c>
      <c r="AK989">
        <v>1</v>
      </c>
      <c r="AL989" t="s">
        <v>8855</v>
      </c>
      <c r="AM989" t="s">
        <v>89</v>
      </c>
      <c r="AN989" t="s">
        <v>8856</v>
      </c>
      <c r="AO989" t="s">
        <v>74</v>
      </c>
      <c r="AP989" t="s">
        <v>74</v>
      </c>
      <c r="AQ989" t="s">
        <v>16741</v>
      </c>
      <c r="AR989" t="s">
        <v>16742</v>
      </c>
      <c r="AS989" t="s">
        <v>74</v>
      </c>
      <c r="AT989" t="s">
        <v>74</v>
      </c>
      <c r="AU989">
        <v>2024</v>
      </c>
      <c r="AV989">
        <v>59</v>
      </c>
      <c r="AW989" t="s">
        <v>74</v>
      </c>
      <c r="AX989" t="s">
        <v>74</v>
      </c>
      <c r="AY989" t="s">
        <v>74</v>
      </c>
      <c r="AZ989" t="s">
        <v>74</v>
      </c>
      <c r="BA989" t="s">
        <v>74</v>
      </c>
      <c r="BB989">
        <v>143</v>
      </c>
      <c r="BC989">
        <v>158</v>
      </c>
      <c r="BD989" t="s">
        <v>74</v>
      </c>
      <c r="BE989" t="s">
        <v>16743</v>
      </c>
      <c r="BF989" t="str">
        <f>HYPERLINK("http://dx.doi.org/10.4324/9781003399124-11","http://dx.doi.org/10.4324/9781003399124-11")</f>
        <v>http://dx.doi.org/10.4324/9781003399124-11</v>
      </c>
      <c r="BG989" t="s">
        <v>16744</v>
      </c>
      <c r="BH989" t="s">
        <v>74</v>
      </c>
      <c r="BI989">
        <v>16</v>
      </c>
      <c r="BJ989" t="s">
        <v>8861</v>
      </c>
      <c r="BK989" t="s">
        <v>8862</v>
      </c>
      <c r="BL989" t="s">
        <v>8861</v>
      </c>
      <c r="BM989" t="s">
        <v>16745</v>
      </c>
      <c r="BN989" t="s">
        <v>74</v>
      </c>
      <c r="BO989" t="s">
        <v>74</v>
      </c>
      <c r="BP989" t="s">
        <v>74</v>
      </c>
      <c r="BQ989" t="s">
        <v>74</v>
      </c>
      <c r="BR989" t="s">
        <v>102</v>
      </c>
      <c r="BS989" t="s">
        <v>16746</v>
      </c>
      <c r="BT989" t="str">
        <f>HYPERLINK("https%3A%2F%2Fwww.webofscience.com%2Fwos%2Fwoscc%2Ffull-record%2FWOS:001141427200011","View Full Record in Web of Science")</f>
        <v>View Full Record in Web of Science</v>
      </c>
    </row>
    <row r="990" spans="1:72" x14ac:dyDescent="0.35">
      <c r="A990" t="s">
        <v>72</v>
      </c>
      <c r="B990" t="s">
        <v>16747</v>
      </c>
      <c r="C990" t="s">
        <v>74</v>
      </c>
      <c r="D990" t="s">
        <v>74</v>
      </c>
      <c r="E990" t="s">
        <v>74</v>
      </c>
      <c r="F990" t="s">
        <v>16748</v>
      </c>
      <c r="G990" t="s">
        <v>74</v>
      </c>
      <c r="H990" t="s">
        <v>74</v>
      </c>
      <c r="I990" t="s">
        <v>16749</v>
      </c>
      <c r="J990" t="s">
        <v>16750</v>
      </c>
      <c r="K990" t="s">
        <v>74</v>
      </c>
      <c r="L990" t="s">
        <v>74</v>
      </c>
      <c r="M990" t="s">
        <v>78</v>
      </c>
      <c r="N990" t="s">
        <v>79</v>
      </c>
      <c r="O990" t="s">
        <v>74</v>
      </c>
      <c r="P990" t="s">
        <v>74</v>
      </c>
      <c r="Q990" t="s">
        <v>74</v>
      </c>
      <c r="R990" t="s">
        <v>74</v>
      </c>
      <c r="S990" t="s">
        <v>74</v>
      </c>
      <c r="T990" t="s">
        <v>16751</v>
      </c>
      <c r="U990" t="s">
        <v>16752</v>
      </c>
      <c r="V990" t="s">
        <v>16753</v>
      </c>
      <c r="W990" t="s">
        <v>16754</v>
      </c>
      <c r="X990" t="s">
        <v>16755</v>
      </c>
      <c r="Y990" t="s">
        <v>16756</v>
      </c>
      <c r="Z990" t="s">
        <v>16757</v>
      </c>
      <c r="AA990" t="s">
        <v>74</v>
      </c>
      <c r="AB990" t="s">
        <v>74</v>
      </c>
      <c r="AC990" t="s">
        <v>16758</v>
      </c>
      <c r="AD990" t="s">
        <v>16758</v>
      </c>
      <c r="AE990" t="s">
        <v>16759</v>
      </c>
      <c r="AF990" t="s">
        <v>74</v>
      </c>
      <c r="AG990">
        <v>49</v>
      </c>
      <c r="AH990">
        <v>0</v>
      </c>
      <c r="AI990">
        <v>0</v>
      </c>
      <c r="AJ990">
        <v>7</v>
      </c>
      <c r="AK990">
        <v>7</v>
      </c>
      <c r="AL990" t="s">
        <v>251</v>
      </c>
      <c r="AM990" t="s">
        <v>252</v>
      </c>
      <c r="AN990" t="s">
        <v>253</v>
      </c>
      <c r="AO990" t="s">
        <v>16760</v>
      </c>
      <c r="AP990" t="s">
        <v>16761</v>
      </c>
      <c r="AQ990" t="s">
        <v>74</v>
      </c>
      <c r="AR990" t="s">
        <v>16762</v>
      </c>
      <c r="AS990" t="s">
        <v>16763</v>
      </c>
      <c r="AT990" t="s">
        <v>16764</v>
      </c>
      <c r="AU990">
        <v>2024</v>
      </c>
      <c r="AV990" t="s">
        <v>74</v>
      </c>
      <c r="AW990" t="s">
        <v>74</v>
      </c>
      <c r="AX990" t="s">
        <v>74</v>
      </c>
      <c r="AY990" t="s">
        <v>74</v>
      </c>
      <c r="AZ990" t="s">
        <v>74</v>
      </c>
      <c r="BA990" t="s">
        <v>74</v>
      </c>
      <c r="BB990" t="s">
        <v>74</v>
      </c>
      <c r="BC990" t="s">
        <v>74</v>
      </c>
      <c r="BD990" t="s">
        <v>74</v>
      </c>
      <c r="BE990" t="s">
        <v>16765</v>
      </c>
      <c r="BF990" t="str">
        <f>HYPERLINK("http://dx.doi.org/10.1111/jcpp.14002","http://dx.doi.org/10.1111/jcpp.14002")</f>
        <v>http://dx.doi.org/10.1111/jcpp.14002</v>
      </c>
      <c r="BG990" t="s">
        <v>74</v>
      </c>
      <c r="BH990" t="s">
        <v>1467</v>
      </c>
      <c r="BI990">
        <v>12</v>
      </c>
      <c r="BJ990" t="s">
        <v>16766</v>
      </c>
      <c r="BK990" t="s">
        <v>182</v>
      </c>
      <c r="BL990" t="s">
        <v>1617</v>
      </c>
      <c r="BM990" t="s">
        <v>16767</v>
      </c>
      <c r="BN990">
        <v>38724448</v>
      </c>
      <c r="BO990" t="s">
        <v>156</v>
      </c>
      <c r="BP990" t="s">
        <v>74</v>
      </c>
      <c r="BQ990" t="s">
        <v>74</v>
      </c>
      <c r="BR990" t="s">
        <v>102</v>
      </c>
      <c r="BS990" t="s">
        <v>16768</v>
      </c>
      <c r="BT990" t="str">
        <f>HYPERLINK("https%3A%2F%2Fwww.webofscience.com%2Fwos%2Fwoscc%2Ffull-record%2FWOS:001216633300001","View Full Record in Web of Science")</f>
        <v>View Full Record in Web of Science</v>
      </c>
    </row>
    <row r="991" spans="1:72" x14ac:dyDescent="0.35">
      <c r="A991" t="s">
        <v>72</v>
      </c>
      <c r="B991" t="s">
        <v>16769</v>
      </c>
      <c r="C991" t="s">
        <v>74</v>
      </c>
      <c r="D991" t="s">
        <v>74</v>
      </c>
      <c r="E991" t="s">
        <v>74</v>
      </c>
      <c r="F991" t="s">
        <v>16770</v>
      </c>
      <c r="G991" t="s">
        <v>74</v>
      </c>
      <c r="H991" t="s">
        <v>74</v>
      </c>
      <c r="I991" t="s">
        <v>16771</v>
      </c>
      <c r="J991" t="s">
        <v>5725</v>
      </c>
      <c r="K991" t="s">
        <v>74</v>
      </c>
      <c r="L991" t="s">
        <v>74</v>
      </c>
      <c r="M991" t="s">
        <v>78</v>
      </c>
      <c r="N991" t="s">
        <v>374</v>
      </c>
      <c r="O991" t="s">
        <v>74</v>
      </c>
      <c r="P991" t="s">
        <v>74</v>
      </c>
      <c r="Q991" t="s">
        <v>74</v>
      </c>
      <c r="R991" t="s">
        <v>74</v>
      </c>
      <c r="S991" t="s">
        <v>74</v>
      </c>
      <c r="T991" t="s">
        <v>16772</v>
      </c>
      <c r="U991" t="s">
        <v>74</v>
      </c>
      <c r="V991" t="s">
        <v>16773</v>
      </c>
      <c r="W991" t="s">
        <v>16774</v>
      </c>
      <c r="X991" t="s">
        <v>16775</v>
      </c>
      <c r="Y991" t="s">
        <v>16776</v>
      </c>
      <c r="Z991" t="s">
        <v>16777</v>
      </c>
      <c r="AA991" t="s">
        <v>16778</v>
      </c>
      <c r="AB991" t="s">
        <v>16779</v>
      </c>
      <c r="AC991" t="s">
        <v>74</v>
      </c>
      <c r="AD991" t="s">
        <v>74</v>
      </c>
      <c r="AE991" t="s">
        <v>74</v>
      </c>
      <c r="AF991" t="s">
        <v>74</v>
      </c>
      <c r="AG991">
        <v>59</v>
      </c>
      <c r="AH991">
        <v>8</v>
      </c>
      <c r="AI991">
        <v>8</v>
      </c>
      <c r="AJ991">
        <v>15</v>
      </c>
      <c r="AK991">
        <v>65</v>
      </c>
      <c r="AL991" t="s">
        <v>1195</v>
      </c>
      <c r="AM991" t="s">
        <v>1196</v>
      </c>
      <c r="AN991" t="s">
        <v>1197</v>
      </c>
      <c r="AO991" t="s">
        <v>74</v>
      </c>
      <c r="AP991" t="s">
        <v>5736</v>
      </c>
      <c r="AQ991" t="s">
        <v>74</v>
      </c>
      <c r="AR991" t="s">
        <v>5737</v>
      </c>
      <c r="AS991" t="s">
        <v>5738</v>
      </c>
      <c r="AT991" t="s">
        <v>297</v>
      </c>
      <c r="AU991">
        <v>2023</v>
      </c>
      <c r="AV991">
        <v>12</v>
      </c>
      <c r="AW991">
        <v>8</v>
      </c>
      <c r="AX991" t="s">
        <v>74</v>
      </c>
      <c r="AY991" t="s">
        <v>74</v>
      </c>
      <c r="AZ991" t="s">
        <v>74</v>
      </c>
      <c r="BA991" t="s">
        <v>74</v>
      </c>
      <c r="BB991" t="s">
        <v>74</v>
      </c>
      <c r="BC991" t="s">
        <v>74</v>
      </c>
      <c r="BD991">
        <v>465</v>
      </c>
      <c r="BE991" t="s">
        <v>16780</v>
      </c>
      <c r="BF991" t="str">
        <f>HYPERLINK("http://dx.doi.org/10.3390/socsci12080465","http://dx.doi.org/10.3390/socsci12080465")</f>
        <v>http://dx.doi.org/10.3390/socsci12080465</v>
      </c>
      <c r="BG991" t="s">
        <v>74</v>
      </c>
      <c r="BH991" t="s">
        <v>74</v>
      </c>
      <c r="BI991">
        <v>9</v>
      </c>
      <c r="BJ991" t="s">
        <v>98</v>
      </c>
      <c r="BK991" t="s">
        <v>125</v>
      </c>
      <c r="BL991" t="s">
        <v>100</v>
      </c>
      <c r="BM991" t="s">
        <v>16781</v>
      </c>
      <c r="BN991" t="s">
        <v>74</v>
      </c>
      <c r="BO991" t="s">
        <v>235</v>
      </c>
      <c r="BP991" t="s">
        <v>74</v>
      </c>
      <c r="BQ991" t="s">
        <v>74</v>
      </c>
      <c r="BR991" t="s">
        <v>102</v>
      </c>
      <c r="BS991" t="s">
        <v>16782</v>
      </c>
      <c r="BT991" t="str">
        <f>HYPERLINK("https%3A%2F%2Fwww.webofscience.com%2Fwos%2Fwoscc%2Ffull-record%2FWOS:001056728100001","View Full Record in Web of Science")</f>
        <v>View Full Record in Web of Science</v>
      </c>
    </row>
    <row r="992" spans="1:72" x14ac:dyDescent="0.35">
      <c r="A992" t="s">
        <v>72</v>
      </c>
      <c r="B992" t="s">
        <v>16783</v>
      </c>
      <c r="C992" t="s">
        <v>74</v>
      </c>
      <c r="D992" t="s">
        <v>74</v>
      </c>
      <c r="E992" t="s">
        <v>74</v>
      </c>
      <c r="F992" t="s">
        <v>16784</v>
      </c>
      <c r="G992" t="s">
        <v>74</v>
      </c>
      <c r="H992" t="s">
        <v>74</v>
      </c>
      <c r="I992" t="s">
        <v>16785</v>
      </c>
      <c r="J992" t="s">
        <v>5957</v>
      </c>
      <c r="K992" t="s">
        <v>74</v>
      </c>
      <c r="L992" t="s">
        <v>74</v>
      </c>
      <c r="M992" t="s">
        <v>78</v>
      </c>
      <c r="N992" t="s">
        <v>108</v>
      </c>
      <c r="O992" t="s">
        <v>74</v>
      </c>
      <c r="P992" t="s">
        <v>74</v>
      </c>
      <c r="Q992" t="s">
        <v>74</v>
      </c>
      <c r="R992" t="s">
        <v>74</v>
      </c>
      <c r="S992" t="s">
        <v>74</v>
      </c>
      <c r="T992" t="s">
        <v>74</v>
      </c>
      <c r="U992" t="s">
        <v>16786</v>
      </c>
      <c r="V992" t="s">
        <v>16787</v>
      </c>
      <c r="W992" t="s">
        <v>16788</v>
      </c>
      <c r="X992" t="s">
        <v>16789</v>
      </c>
      <c r="Y992" t="s">
        <v>16790</v>
      </c>
      <c r="Z992" t="s">
        <v>16791</v>
      </c>
      <c r="AA992" t="s">
        <v>16792</v>
      </c>
      <c r="AB992" t="s">
        <v>16793</v>
      </c>
      <c r="AC992" t="s">
        <v>74</v>
      </c>
      <c r="AD992" t="s">
        <v>74</v>
      </c>
      <c r="AE992" t="s">
        <v>74</v>
      </c>
      <c r="AF992" t="s">
        <v>74</v>
      </c>
      <c r="AG992">
        <v>17</v>
      </c>
      <c r="AH992">
        <v>1</v>
      </c>
      <c r="AI992">
        <v>1</v>
      </c>
      <c r="AJ992">
        <v>13</v>
      </c>
      <c r="AK992">
        <v>23</v>
      </c>
      <c r="AL992" t="s">
        <v>251</v>
      </c>
      <c r="AM992" t="s">
        <v>252</v>
      </c>
      <c r="AN992" t="s">
        <v>253</v>
      </c>
      <c r="AO992" t="s">
        <v>5967</v>
      </c>
      <c r="AP992" t="s">
        <v>5968</v>
      </c>
      <c r="AQ992" t="s">
        <v>74</v>
      </c>
      <c r="AR992" t="s">
        <v>5969</v>
      </c>
      <c r="AS992" t="s">
        <v>5970</v>
      </c>
      <c r="AT992" t="s">
        <v>178</v>
      </c>
      <c r="AU992">
        <v>2024</v>
      </c>
      <c r="AV992">
        <v>57</v>
      </c>
      <c r="AW992">
        <v>2</v>
      </c>
      <c r="AX992" t="s">
        <v>74</v>
      </c>
      <c r="AY992" t="s">
        <v>74</v>
      </c>
      <c r="AZ992" t="s">
        <v>74</v>
      </c>
      <c r="BA992" t="s">
        <v>74</v>
      </c>
      <c r="BB992">
        <v>458</v>
      </c>
      <c r="BC992">
        <v>462</v>
      </c>
      <c r="BD992" t="s">
        <v>74</v>
      </c>
      <c r="BE992" t="s">
        <v>16794</v>
      </c>
      <c r="BF992" t="str">
        <f>HYPERLINK("http://dx.doi.org/10.1002/eat.24117","http://dx.doi.org/10.1002/eat.24117")</f>
        <v>http://dx.doi.org/10.1002/eat.24117</v>
      </c>
      <c r="BG992" t="s">
        <v>74</v>
      </c>
      <c r="BH992" t="s">
        <v>1449</v>
      </c>
      <c r="BI992">
        <v>5</v>
      </c>
      <c r="BJ992" t="s">
        <v>5972</v>
      </c>
      <c r="BK992" t="s">
        <v>182</v>
      </c>
      <c r="BL992" t="s">
        <v>5973</v>
      </c>
      <c r="BM992" t="s">
        <v>16795</v>
      </c>
      <c r="BN992">
        <v>38108594</v>
      </c>
      <c r="BO992" t="s">
        <v>1343</v>
      </c>
      <c r="BP992" t="s">
        <v>74</v>
      </c>
      <c r="BQ992" t="s">
        <v>74</v>
      </c>
      <c r="BR992" t="s">
        <v>102</v>
      </c>
      <c r="BS992" t="s">
        <v>16796</v>
      </c>
      <c r="BT992" t="str">
        <f>HYPERLINK("https%3A%2F%2Fwww.webofscience.com%2Fwos%2Fwoscc%2Ffull-record%2FWOS:001126202800001","View Full Record in Web of Science")</f>
        <v>View Full Record in Web of Science</v>
      </c>
    </row>
    <row r="993" spans="1:72" x14ac:dyDescent="0.35">
      <c r="A993" t="s">
        <v>72</v>
      </c>
      <c r="B993" t="s">
        <v>16797</v>
      </c>
      <c r="C993" t="s">
        <v>74</v>
      </c>
      <c r="D993" t="s">
        <v>74</v>
      </c>
      <c r="E993" t="s">
        <v>74</v>
      </c>
      <c r="F993" t="s">
        <v>16798</v>
      </c>
      <c r="G993" t="s">
        <v>74</v>
      </c>
      <c r="H993" t="s">
        <v>74</v>
      </c>
      <c r="I993" t="s">
        <v>16799</v>
      </c>
      <c r="J993" t="s">
        <v>681</v>
      </c>
      <c r="K993" t="s">
        <v>74</v>
      </c>
      <c r="L993" t="s">
        <v>74</v>
      </c>
      <c r="M993" t="s">
        <v>78</v>
      </c>
      <c r="N993" t="s">
        <v>108</v>
      </c>
      <c r="O993" t="s">
        <v>74</v>
      </c>
      <c r="P993" t="s">
        <v>74</v>
      </c>
      <c r="Q993" t="s">
        <v>74</v>
      </c>
      <c r="R993" t="s">
        <v>74</v>
      </c>
      <c r="S993" t="s">
        <v>74</v>
      </c>
      <c r="T993" t="s">
        <v>16800</v>
      </c>
      <c r="U993" t="s">
        <v>16801</v>
      </c>
      <c r="V993" t="s">
        <v>16802</v>
      </c>
      <c r="W993" t="s">
        <v>16803</v>
      </c>
      <c r="X993" t="s">
        <v>16804</v>
      </c>
      <c r="Y993" t="s">
        <v>16805</v>
      </c>
      <c r="Z993" t="s">
        <v>352</v>
      </c>
      <c r="AA993" t="s">
        <v>74</v>
      </c>
      <c r="AB993" t="s">
        <v>74</v>
      </c>
      <c r="AC993" t="s">
        <v>74</v>
      </c>
      <c r="AD993" t="s">
        <v>74</v>
      </c>
      <c r="AE993" t="s">
        <v>74</v>
      </c>
      <c r="AF993" t="s">
        <v>74</v>
      </c>
      <c r="AG993">
        <v>50</v>
      </c>
      <c r="AH993">
        <v>14</v>
      </c>
      <c r="AI993">
        <v>15</v>
      </c>
      <c r="AJ993">
        <v>15</v>
      </c>
      <c r="AK993">
        <v>104</v>
      </c>
      <c r="AL993" t="s">
        <v>384</v>
      </c>
      <c r="AM993" t="s">
        <v>385</v>
      </c>
      <c r="AN993" t="s">
        <v>386</v>
      </c>
      <c r="AO993" t="s">
        <v>693</v>
      </c>
      <c r="AP993" t="s">
        <v>74</v>
      </c>
      <c r="AQ993" t="s">
        <v>74</v>
      </c>
      <c r="AR993" t="s">
        <v>694</v>
      </c>
      <c r="AS993" t="s">
        <v>695</v>
      </c>
      <c r="AT993" t="s">
        <v>12973</v>
      </c>
      <c r="AU993">
        <v>2022</v>
      </c>
      <c r="AV993">
        <v>13</v>
      </c>
      <c r="AW993" t="s">
        <v>74</v>
      </c>
      <c r="AX993" t="s">
        <v>74</v>
      </c>
      <c r="AY993" t="s">
        <v>74</v>
      </c>
      <c r="AZ993" t="s">
        <v>74</v>
      </c>
      <c r="BA993" t="s">
        <v>74</v>
      </c>
      <c r="BB993" t="s">
        <v>74</v>
      </c>
      <c r="BC993" t="s">
        <v>74</v>
      </c>
      <c r="BD993">
        <v>846390</v>
      </c>
      <c r="BE993" t="s">
        <v>16806</v>
      </c>
      <c r="BF993" t="str">
        <f>HYPERLINK("http://dx.doi.org/10.3389/fpsyg.2022.846390","http://dx.doi.org/10.3389/fpsyg.2022.846390")</f>
        <v>http://dx.doi.org/10.3389/fpsyg.2022.846390</v>
      </c>
      <c r="BG993" t="s">
        <v>74</v>
      </c>
      <c r="BH993" t="s">
        <v>74</v>
      </c>
      <c r="BI993">
        <v>9</v>
      </c>
      <c r="BJ993" t="s">
        <v>698</v>
      </c>
      <c r="BK993" t="s">
        <v>99</v>
      </c>
      <c r="BL993" t="s">
        <v>301</v>
      </c>
      <c r="BM993" t="s">
        <v>16807</v>
      </c>
      <c r="BN993">
        <v>35465502</v>
      </c>
      <c r="BO993" t="s">
        <v>552</v>
      </c>
      <c r="BP993" t="s">
        <v>74</v>
      </c>
      <c r="BQ993" t="s">
        <v>74</v>
      </c>
      <c r="BR993" t="s">
        <v>102</v>
      </c>
      <c r="BS993" t="s">
        <v>16808</v>
      </c>
      <c r="BT993" t="str">
        <f>HYPERLINK("https%3A%2F%2Fwww.webofscience.com%2Fwos%2Fwoscc%2Ffull-record%2FWOS:000807644400001","View Full Record in Web of Science")</f>
        <v>View Full Record in Web of Science</v>
      </c>
    </row>
    <row r="994" spans="1:72" x14ac:dyDescent="0.35">
      <c r="A994" t="s">
        <v>128</v>
      </c>
      <c r="B994" t="s">
        <v>16809</v>
      </c>
      <c r="C994" t="s">
        <v>74</v>
      </c>
      <c r="D994" t="s">
        <v>74</v>
      </c>
      <c r="E994" t="s">
        <v>1677</v>
      </c>
      <c r="F994" t="s">
        <v>16810</v>
      </c>
      <c r="G994" t="s">
        <v>74</v>
      </c>
      <c r="H994" t="s">
        <v>74</v>
      </c>
      <c r="I994" t="s">
        <v>16811</v>
      </c>
      <c r="J994" t="s">
        <v>16812</v>
      </c>
      <c r="K994" t="s">
        <v>16813</v>
      </c>
      <c r="L994" t="s">
        <v>74</v>
      </c>
      <c r="M994" t="s">
        <v>78</v>
      </c>
      <c r="N994" t="s">
        <v>135</v>
      </c>
      <c r="O994" t="s">
        <v>16814</v>
      </c>
      <c r="P994" t="s">
        <v>16815</v>
      </c>
      <c r="Q994" t="s">
        <v>16816</v>
      </c>
      <c r="R994" t="s">
        <v>74</v>
      </c>
      <c r="S994" t="s">
        <v>74</v>
      </c>
      <c r="T994" t="s">
        <v>16817</v>
      </c>
      <c r="U994" t="s">
        <v>16818</v>
      </c>
      <c r="V994" t="s">
        <v>16819</v>
      </c>
      <c r="W994" t="s">
        <v>16820</v>
      </c>
      <c r="X994" t="s">
        <v>16821</v>
      </c>
      <c r="Y994" t="s">
        <v>16822</v>
      </c>
      <c r="Z994" t="s">
        <v>16823</v>
      </c>
      <c r="AA994" t="s">
        <v>16824</v>
      </c>
      <c r="AB994" t="s">
        <v>16825</v>
      </c>
      <c r="AC994" t="s">
        <v>74</v>
      </c>
      <c r="AD994" t="s">
        <v>74</v>
      </c>
      <c r="AE994" t="s">
        <v>74</v>
      </c>
      <c r="AF994" t="s">
        <v>74</v>
      </c>
      <c r="AG994">
        <v>52</v>
      </c>
      <c r="AH994">
        <v>2</v>
      </c>
      <c r="AI994">
        <v>2</v>
      </c>
      <c r="AJ994">
        <v>3</v>
      </c>
      <c r="AK994">
        <v>27</v>
      </c>
      <c r="AL994" t="s">
        <v>1677</v>
      </c>
      <c r="AM994" t="s">
        <v>666</v>
      </c>
      <c r="AN994" t="s">
        <v>1692</v>
      </c>
      <c r="AO994" t="s">
        <v>16826</v>
      </c>
      <c r="AP994" t="s">
        <v>74</v>
      </c>
      <c r="AQ994" t="s">
        <v>16827</v>
      </c>
      <c r="AR994" t="s">
        <v>16828</v>
      </c>
      <c r="AS994" t="s">
        <v>74</v>
      </c>
      <c r="AT994" t="s">
        <v>74</v>
      </c>
      <c r="AU994">
        <v>2022</v>
      </c>
      <c r="AV994" t="s">
        <v>74</v>
      </c>
      <c r="AW994" t="s">
        <v>74</v>
      </c>
      <c r="AX994" t="s">
        <v>74</v>
      </c>
      <c r="AY994" t="s">
        <v>74</v>
      </c>
      <c r="AZ994" t="s">
        <v>74</v>
      </c>
      <c r="BA994" t="s">
        <v>74</v>
      </c>
      <c r="BB994" t="s">
        <v>74</v>
      </c>
      <c r="BC994" t="s">
        <v>74</v>
      </c>
      <c r="BD994" t="s">
        <v>74</v>
      </c>
      <c r="BE994" t="s">
        <v>16829</v>
      </c>
      <c r="BF994" t="str">
        <f>HYPERLINK("http://dx.doi.org/10.1109/ACII55700.2022.9953857","http://dx.doi.org/10.1109/ACII55700.2022.9953857")</f>
        <v>http://dx.doi.org/10.1109/ACII55700.2022.9953857</v>
      </c>
      <c r="BG994" t="s">
        <v>74</v>
      </c>
      <c r="BH994" t="s">
        <v>74</v>
      </c>
      <c r="BI994">
        <v>7</v>
      </c>
      <c r="BJ994" t="s">
        <v>16830</v>
      </c>
      <c r="BK994" t="s">
        <v>723</v>
      </c>
      <c r="BL994" t="s">
        <v>210</v>
      </c>
      <c r="BM994" t="s">
        <v>16831</v>
      </c>
      <c r="BN994" t="s">
        <v>74</v>
      </c>
      <c r="BO994" t="s">
        <v>74</v>
      </c>
      <c r="BP994" t="s">
        <v>74</v>
      </c>
      <c r="BQ994" t="s">
        <v>74</v>
      </c>
      <c r="BR994" t="s">
        <v>102</v>
      </c>
      <c r="BS994" t="s">
        <v>16832</v>
      </c>
      <c r="BT994" t="str">
        <f>HYPERLINK("https%3A%2F%2Fwww.webofscience.com%2Fwos%2Fwoscc%2Ffull-record%2FWOS:000893674200026","View Full Record in Web of Science")</f>
        <v>View Full Record in Web of Science</v>
      </c>
    </row>
    <row r="995" spans="1:72" x14ac:dyDescent="0.35">
      <c r="A995" t="s">
        <v>72</v>
      </c>
      <c r="B995" t="s">
        <v>16833</v>
      </c>
      <c r="C995" t="s">
        <v>74</v>
      </c>
      <c r="D995" t="s">
        <v>74</v>
      </c>
      <c r="E995" t="s">
        <v>74</v>
      </c>
      <c r="F995" t="s">
        <v>16834</v>
      </c>
      <c r="G995" t="s">
        <v>74</v>
      </c>
      <c r="H995" t="s">
        <v>74</v>
      </c>
      <c r="I995" t="s">
        <v>16835</v>
      </c>
      <c r="J995" t="s">
        <v>3144</v>
      </c>
      <c r="K995" t="s">
        <v>74</v>
      </c>
      <c r="L995" t="s">
        <v>74</v>
      </c>
      <c r="M995" t="s">
        <v>78</v>
      </c>
      <c r="N995" t="s">
        <v>3404</v>
      </c>
      <c r="O995" t="s">
        <v>74</v>
      </c>
      <c r="P995" t="s">
        <v>74</v>
      </c>
      <c r="Q995" t="s">
        <v>74</v>
      </c>
      <c r="R995" t="s">
        <v>74</v>
      </c>
      <c r="S995" t="s">
        <v>74</v>
      </c>
      <c r="T995" t="s">
        <v>16836</v>
      </c>
      <c r="U995" t="s">
        <v>16837</v>
      </c>
      <c r="V995" t="s">
        <v>74</v>
      </c>
      <c r="W995" t="s">
        <v>16838</v>
      </c>
      <c r="X995" t="s">
        <v>16839</v>
      </c>
      <c r="Y995" t="s">
        <v>16840</v>
      </c>
      <c r="Z995" t="s">
        <v>3149</v>
      </c>
      <c r="AA995" t="s">
        <v>74</v>
      </c>
      <c r="AB995" t="s">
        <v>74</v>
      </c>
      <c r="AC995" t="s">
        <v>74</v>
      </c>
      <c r="AD995" t="s">
        <v>74</v>
      </c>
      <c r="AE995" t="s">
        <v>74</v>
      </c>
      <c r="AF995" t="s">
        <v>74</v>
      </c>
      <c r="AG995">
        <v>5</v>
      </c>
      <c r="AH995">
        <v>0</v>
      </c>
      <c r="AI995">
        <v>0</v>
      </c>
      <c r="AJ995">
        <v>0</v>
      </c>
      <c r="AK995">
        <v>0</v>
      </c>
      <c r="AL995" t="s">
        <v>171</v>
      </c>
      <c r="AM995" t="s">
        <v>172</v>
      </c>
      <c r="AN995" t="s">
        <v>173</v>
      </c>
      <c r="AO995" t="s">
        <v>3152</v>
      </c>
      <c r="AP995" t="s">
        <v>3153</v>
      </c>
      <c r="AQ995" t="s">
        <v>74</v>
      </c>
      <c r="AR995" t="s">
        <v>3154</v>
      </c>
      <c r="AS995" t="s">
        <v>3155</v>
      </c>
      <c r="AT995" t="s">
        <v>4612</v>
      </c>
      <c r="AU995">
        <v>2024</v>
      </c>
      <c r="AV995" t="s">
        <v>74</v>
      </c>
      <c r="AW995" t="s">
        <v>74</v>
      </c>
      <c r="AX995" t="s">
        <v>74</v>
      </c>
      <c r="AY995" t="s">
        <v>74</v>
      </c>
      <c r="AZ995" t="s">
        <v>74</v>
      </c>
      <c r="BA995" t="s">
        <v>74</v>
      </c>
      <c r="BB995" t="s">
        <v>74</v>
      </c>
      <c r="BC995" t="s">
        <v>74</v>
      </c>
      <c r="BD995" t="s">
        <v>74</v>
      </c>
      <c r="BE995" t="s">
        <v>16841</v>
      </c>
      <c r="BF995" t="str">
        <f>HYPERLINK("http://dx.doi.org/10.1177/12034754241287550","http://dx.doi.org/10.1177/12034754241287550")</f>
        <v>http://dx.doi.org/10.1177/12034754241287550</v>
      </c>
      <c r="BG995" t="s">
        <v>74</v>
      </c>
      <c r="BH995" t="s">
        <v>1721</v>
      </c>
      <c r="BI995">
        <v>2</v>
      </c>
      <c r="BJ995" t="s">
        <v>1341</v>
      </c>
      <c r="BK995" t="s">
        <v>209</v>
      </c>
      <c r="BL995" t="s">
        <v>1341</v>
      </c>
      <c r="BM995" t="s">
        <v>16842</v>
      </c>
      <c r="BN995">
        <v>39367800</v>
      </c>
      <c r="BO995" t="s">
        <v>74</v>
      </c>
      <c r="BP995" t="s">
        <v>74</v>
      </c>
      <c r="BQ995" t="s">
        <v>74</v>
      </c>
      <c r="BR995" t="s">
        <v>102</v>
      </c>
      <c r="BS995" t="s">
        <v>16843</v>
      </c>
      <c r="BT995" t="str">
        <f>HYPERLINK("https%3A%2F%2Fwww.webofscience.com%2Fwos%2Fwoscc%2Ffull-record%2FWOS:001330304400001","View Full Record in Web of Science")</f>
        <v>View Full Record in Web of Science</v>
      </c>
    </row>
    <row r="996" spans="1:72" x14ac:dyDescent="0.35">
      <c r="A996" t="s">
        <v>72</v>
      </c>
      <c r="B996" t="s">
        <v>16844</v>
      </c>
      <c r="C996" t="s">
        <v>74</v>
      </c>
      <c r="D996" t="s">
        <v>74</v>
      </c>
      <c r="E996" t="s">
        <v>74</v>
      </c>
      <c r="F996" t="s">
        <v>16845</v>
      </c>
      <c r="G996" t="s">
        <v>74</v>
      </c>
      <c r="H996" t="s">
        <v>74</v>
      </c>
      <c r="I996" t="s">
        <v>16846</v>
      </c>
      <c r="J996" t="s">
        <v>2493</v>
      </c>
      <c r="K996" t="s">
        <v>74</v>
      </c>
      <c r="L996" t="s">
        <v>74</v>
      </c>
      <c r="M996" t="s">
        <v>78</v>
      </c>
      <c r="N996" t="s">
        <v>1328</v>
      </c>
      <c r="O996" t="s">
        <v>74</v>
      </c>
      <c r="P996" t="s">
        <v>74</v>
      </c>
      <c r="Q996" t="s">
        <v>74</v>
      </c>
      <c r="R996" t="s">
        <v>74</v>
      </c>
      <c r="S996" t="s">
        <v>74</v>
      </c>
      <c r="T996" t="s">
        <v>74</v>
      </c>
      <c r="U996" t="s">
        <v>74</v>
      </c>
      <c r="V996" t="s">
        <v>74</v>
      </c>
      <c r="W996" t="s">
        <v>16847</v>
      </c>
      <c r="X996" t="s">
        <v>16848</v>
      </c>
      <c r="Y996" t="s">
        <v>16849</v>
      </c>
      <c r="Z996" t="s">
        <v>16850</v>
      </c>
      <c r="AA996" t="s">
        <v>74</v>
      </c>
      <c r="AB996" t="s">
        <v>74</v>
      </c>
      <c r="AC996" t="s">
        <v>74</v>
      </c>
      <c r="AD996" t="s">
        <v>74</v>
      </c>
      <c r="AE996" t="s">
        <v>74</v>
      </c>
      <c r="AF996" t="s">
        <v>74</v>
      </c>
      <c r="AG996">
        <v>2</v>
      </c>
      <c r="AH996">
        <v>1</v>
      </c>
      <c r="AI996">
        <v>1</v>
      </c>
      <c r="AJ996">
        <v>0</v>
      </c>
      <c r="AK996">
        <v>7</v>
      </c>
      <c r="AL996" t="s">
        <v>2027</v>
      </c>
      <c r="AM996" t="s">
        <v>666</v>
      </c>
      <c r="AN996" t="s">
        <v>2028</v>
      </c>
      <c r="AO996" t="s">
        <v>2498</v>
      </c>
      <c r="AP996" t="s">
        <v>2499</v>
      </c>
      <c r="AQ996" t="s">
        <v>74</v>
      </c>
      <c r="AR996" t="s">
        <v>2500</v>
      </c>
      <c r="AS996" t="s">
        <v>2501</v>
      </c>
      <c r="AT996" t="s">
        <v>178</v>
      </c>
      <c r="AU996">
        <v>2022</v>
      </c>
      <c r="AV996">
        <v>86</v>
      </c>
      <c r="AW996">
        <v>2</v>
      </c>
      <c r="AX996" t="s">
        <v>74</v>
      </c>
      <c r="AY996" t="s">
        <v>74</v>
      </c>
      <c r="AZ996" t="s">
        <v>74</v>
      </c>
      <c r="BA996" t="s">
        <v>74</v>
      </c>
      <c r="BB996" t="s">
        <v>16851</v>
      </c>
      <c r="BC996" t="s">
        <v>16851</v>
      </c>
      <c r="BD996" t="s">
        <v>74</v>
      </c>
      <c r="BE996" t="s">
        <v>16852</v>
      </c>
      <c r="BF996" t="str">
        <f>HYPERLINK("http://dx.doi.org/10.1016/j.jaad.2021.01.089","http://dx.doi.org/10.1016/j.jaad.2021.01.089")</f>
        <v>http://dx.doi.org/10.1016/j.jaad.2021.01.089</v>
      </c>
      <c r="BG996" t="s">
        <v>74</v>
      </c>
      <c r="BH996" t="s">
        <v>2076</v>
      </c>
      <c r="BI996">
        <v>1</v>
      </c>
      <c r="BJ996" t="s">
        <v>1341</v>
      </c>
      <c r="BK996" t="s">
        <v>209</v>
      </c>
      <c r="BL996" t="s">
        <v>1341</v>
      </c>
      <c r="BM996" t="s">
        <v>15843</v>
      </c>
      <c r="BN996">
        <v>33529698</v>
      </c>
      <c r="BO996" t="s">
        <v>767</v>
      </c>
      <c r="BP996" t="s">
        <v>74</v>
      </c>
      <c r="BQ996" t="s">
        <v>74</v>
      </c>
      <c r="BR996" t="s">
        <v>102</v>
      </c>
      <c r="BS996" t="s">
        <v>16853</v>
      </c>
      <c r="BT996" t="str">
        <f>HYPERLINK("https%3A%2F%2Fwww.webofscience.com%2Fwos%2Fwoscc%2Ffull-record%2FWOS:000748997000019","View Full Record in Web of Science")</f>
        <v>View Full Record in Web of Science</v>
      </c>
    </row>
    <row r="997" spans="1:72" x14ac:dyDescent="0.35">
      <c r="A997" t="s">
        <v>72</v>
      </c>
      <c r="B997" t="s">
        <v>16854</v>
      </c>
      <c r="C997" t="s">
        <v>74</v>
      </c>
      <c r="D997" t="s">
        <v>74</v>
      </c>
      <c r="E997" t="s">
        <v>74</v>
      </c>
      <c r="F997" t="s">
        <v>16855</v>
      </c>
      <c r="G997" t="s">
        <v>74</v>
      </c>
      <c r="H997" t="s">
        <v>74</v>
      </c>
      <c r="I997" t="s">
        <v>16856</v>
      </c>
      <c r="J997" t="s">
        <v>1455</v>
      </c>
      <c r="K997" t="s">
        <v>74</v>
      </c>
      <c r="L997" t="s">
        <v>74</v>
      </c>
      <c r="M997" t="s">
        <v>78</v>
      </c>
      <c r="N997" t="s">
        <v>108</v>
      </c>
      <c r="O997" t="s">
        <v>74</v>
      </c>
      <c r="P997" t="s">
        <v>74</v>
      </c>
      <c r="Q997" t="s">
        <v>74</v>
      </c>
      <c r="R997" t="s">
        <v>74</v>
      </c>
      <c r="S997" t="s">
        <v>74</v>
      </c>
      <c r="T997" t="s">
        <v>16857</v>
      </c>
      <c r="U997" t="s">
        <v>16858</v>
      </c>
      <c r="V997" t="s">
        <v>16859</v>
      </c>
      <c r="W997" t="s">
        <v>16860</v>
      </c>
      <c r="X997" t="s">
        <v>16861</v>
      </c>
      <c r="Y997" t="s">
        <v>16862</v>
      </c>
      <c r="Z997" t="s">
        <v>16863</v>
      </c>
      <c r="AA997" t="s">
        <v>74</v>
      </c>
      <c r="AB997" t="s">
        <v>74</v>
      </c>
      <c r="AC997" t="s">
        <v>74</v>
      </c>
      <c r="AD997" t="s">
        <v>74</v>
      </c>
      <c r="AE997" t="s">
        <v>74</v>
      </c>
      <c r="AF997" t="s">
        <v>74</v>
      </c>
      <c r="AG997">
        <v>46</v>
      </c>
      <c r="AH997">
        <v>0</v>
      </c>
      <c r="AI997">
        <v>0</v>
      </c>
      <c r="AJ997">
        <v>5</v>
      </c>
      <c r="AK997">
        <v>5</v>
      </c>
      <c r="AL997" t="s">
        <v>1129</v>
      </c>
      <c r="AM997" t="s">
        <v>89</v>
      </c>
      <c r="AN997" t="s">
        <v>1130</v>
      </c>
      <c r="AO997" t="s">
        <v>1462</v>
      </c>
      <c r="AP997" t="s">
        <v>1463</v>
      </c>
      <c r="AQ997" t="s">
        <v>74</v>
      </c>
      <c r="AR997" t="s">
        <v>1464</v>
      </c>
      <c r="AS997" t="s">
        <v>1465</v>
      </c>
      <c r="AT997" t="s">
        <v>121</v>
      </c>
      <c r="AU997">
        <v>2024</v>
      </c>
      <c r="AV997">
        <v>10</v>
      </c>
      <c r="AW997">
        <v>2</v>
      </c>
      <c r="AX997" t="s">
        <v>74</v>
      </c>
      <c r="AY997" t="s">
        <v>74</v>
      </c>
      <c r="AZ997" t="s">
        <v>456</v>
      </c>
      <c r="BA997" t="s">
        <v>74</v>
      </c>
      <c r="BB997">
        <v>148</v>
      </c>
      <c r="BC997">
        <v>164</v>
      </c>
      <c r="BD997" t="s">
        <v>74</v>
      </c>
      <c r="BE997" t="s">
        <v>16864</v>
      </c>
      <c r="BF997" t="str">
        <f>HYPERLINK("http://dx.doi.org/10.1080/22041451.2024.2355818","http://dx.doi.org/10.1080/22041451.2024.2355818")</f>
        <v>http://dx.doi.org/10.1080/22041451.2024.2355818</v>
      </c>
      <c r="BG997" t="s">
        <v>74</v>
      </c>
      <c r="BH997" t="s">
        <v>500</v>
      </c>
      <c r="BI997">
        <v>17</v>
      </c>
      <c r="BJ997" t="s">
        <v>124</v>
      </c>
      <c r="BK997" t="s">
        <v>125</v>
      </c>
      <c r="BL997" t="s">
        <v>124</v>
      </c>
      <c r="BM997" t="s">
        <v>1468</v>
      </c>
      <c r="BN997" t="s">
        <v>74</v>
      </c>
      <c r="BO997" t="s">
        <v>156</v>
      </c>
      <c r="BP997" t="s">
        <v>74</v>
      </c>
      <c r="BQ997" t="s">
        <v>74</v>
      </c>
      <c r="BR997" t="s">
        <v>102</v>
      </c>
      <c r="BS997" t="s">
        <v>16865</v>
      </c>
      <c r="BT997" t="str">
        <f>HYPERLINK("https%3A%2F%2Fwww.webofscience.com%2Fwos%2Fwoscc%2Ffull-record%2FWOS:001252572100001","View Full Record in Web of Science")</f>
        <v>View Full Record in Web of Science</v>
      </c>
    </row>
    <row r="998" spans="1:72" x14ac:dyDescent="0.35">
      <c r="A998" t="s">
        <v>72</v>
      </c>
      <c r="B998" t="s">
        <v>16866</v>
      </c>
      <c r="C998" t="s">
        <v>74</v>
      </c>
      <c r="D998" t="s">
        <v>74</v>
      </c>
      <c r="E998" t="s">
        <v>74</v>
      </c>
      <c r="F998" t="s">
        <v>16867</v>
      </c>
      <c r="G998" t="s">
        <v>74</v>
      </c>
      <c r="H998" t="s">
        <v>74</v>
      </c>
      <c r="I998" t="s">
        <v>16868</v>
      </c>
      <c r="J998" t="s">
        <v>280</v>
      </c>
      <c r="K998" t="s">
        <v>74</v>
      </c>
      <c r="L998" t="s">
        <v>74</v>
      </c>
      <c r="M998" t="s">
        <v>78</v>
      </c>
      <c r="N998" t="s">
        <v>374</v>
      </c>
      <c r="O998" t="s">
        <v>74</v>
      </c>
      <c r="P998" t="s">
        <v>74</v>
      </c>
      <c r="Q998" t="s">
        <v>74</v>
      </c>
      <c r="R998" t="s">
        <v>74</v>
      </c>
      <c r="S998" t="s">
        <v>74</v>
      </c>
      <c r="T998" t="s">
        <v>16869</v>
      </c>
      <c r="U998" t="s">
        <v>16870</v>
      </c>
      <c r="V998" t="s">
        <v>16871</v>
      </c>
      <c r="W998" t="s">
        <v>16872</v>
      </c>
      <c r="X998" t="s">
        <v>16873</v>
      </c>
      <c r="Y998" t="s">
        <v>16874</v>
      </c>
      <c r="Z998" t="s">
        <v>16875</v>
      </c>
      <c r="AA998" t="s">
        <v>16876</v>
      </c>
      <c r="AB998" t="s">
        <v>74</v>
      </c>
      <c r="AC998" t="s">
        <v>16877</v>
      </c>
      <c r="AD998" t="s">
        <v>16878</v>
      </c>
      <c r="AE998" t="s">
        <v>16879</v>
      </c>
      <c r="AF998" t="s">
        <v>74</v>
      </c>
      <c r="AG998">
        <v>83</v>
      </c>
      <c r="AH998">
        <v>5</v>
      </c>
      <c r="AI998">
        <v>5</v>
      </c>
      <c r="AJ998">
        <v>20</v>
      </c>
      <c r="AK998">
        <v>39</v>
      </c>
      <c r="AL998" t="s">
        <v>290</v>
      </c>
      <c r="AM998" t="s">
        <v>291</v>
      </c>
      <c r="AN998" t="s">
        <v>292</v>
      </c>
      <c r="AO998" t="s">
        <v>293</v>
      </c>
      <c r="AP998" t="s">
        <v>294</v>
      </c>
      <c r="AQ998" t="s">
        <v>74</v>
      </c>
      <c r="AR998" t="s">
        <v>295</v>
      </c>
      <c r="AS998" t="s">
        <v>296</v>
      </c>
      <c r="AT998" t="s">
        <v>257</v>
      </c>
      <c r="AU998">
        <v>2024</v>
      </c>
      <c r="AV998">
        <v>155</v>
      </c>
      <c r="AW998" t="s">
        <v>74</v>
      </c>
      <c r="AX998" t="s">
        <v>74</v>
      </c>
      <c r="AY998" t="s">
        <v>74</v>
      </c>
      <c r="AZ998" t="s">
        <v>74</v>
      </c>
      <c r="BA998" t="s">
        <v>74</v>
      </c>
      <c r="BB998" t="s">
        <v>74</v>
      </c>
      <c r="BC998" t="s">
        <v>74</v>
      </c>
      <c r="BD998">
        <v>108163</v>
      </c>
      <c r="BE998" t="s">
        <v>16880</v>
      </c>
      <c r="BF998" t="str">
        <f>HYPERLINK("http://dx.doi.org/10.1016/j.chb.2024.108163","http://dx.doi.org/10.1016/j.chb.2024.108163")</f>
        <v>http://dx.doi.org/10.1016/j.chb.2024.108163</v>
      </c>
      <c r="BG998" t="s">
        <v>74</v>
      </c>
      <c r="BH998" t="s">
        <v>786</v>
      </c>
      <c r="BI998">
        <v>9</v>
      </c>
      <c r="BJ998" t="s">
        <v>300</v>
      </c>
      <c r="BK998" t="s">
        <v>99</v>
      </c>
      <c r="BL998" t="s">
        <v>301</v>
      </c>
      <c r="BM998" t="s">
        <v>16881</v>
      </c>
      <c r="BN998" t="s">
        <v>74</v>
      </c>
      <c r="BO998" t="s">
        <v>74</v>
      </c>
      <c r="BP998" t="s">
        <v>74</v>
      </c>
      <c r="BQ998" t="s">
        <v>74</v>
      </c>
      <c r="BR998" t="s">
        <v>102</v>
      </c>
      <c r="BS998" t="s">
        <v>16882</v>
      </c>
      <c r="BT998" t="str">
        <f>HYPERLINK("https%3A%2F%2Fwww.webofscience.com%2Fwos%2Fwoscc%2Ffull-record%2FWOS:001183322200001","View Full Record in Web of Science")</f>
        <v>View Full Record in Web of Science</v>
      </c>
    </row>
    <row r="999" spans="1:72" x14ac:dyDescent="0.35">
      <c r="A999" t="s">
        <v>72</v>
      </c>
      <c r="B999" t="s">
        <v>16883</v>
      </c>
      <c r="C999" t="s">
        <v>74</v>
      </c>
      <c r="D999" t="s">
        <v>74</v>
      </c>
      <c r="E999" t="s">
        <v>74</v>
      </c>
      <c r="F999" t="s">
        <v>16884</v>
      </c>
      <c r="G999" t="s">
        <v>74</v>
      </c>
      <c r="H999" t="s">
        <v>74</v>
      </c>
      <c r="I999" t="s">
        <v>16885</v>
      </c>
      <c r="J999" t="s">
        <v>16886</v>
      </c>
      <c r="K999" t="s">
        <v>74</v>
      </c>
      <c r="L999" t="s">
        <v>74</v>
      </c>
      <c r="M999" t="s">
        <v>78</v>
      </c>
      <c r="N999" t="s">
        <v>108</v>
      </c>
      <c r="O999" t="s">
        <v>74</v>
      </c>
      <c r="P999" t="s">
        <v>74</v>
      </c>
      <c r="Q999" t="s">
        <v>74</v>
      </c>
      <c r="R999" t="s">
        <v>74</v>
      </c>
      <c r="S999" t="s">
        <v>74</v>
      </c>
      <c r="T999" t="s">
        <v>16887</v>
      </c>
      <c r="U999" t="s">
        <v>16888</v>
      </c>
      <c r="V999" t="s">
        <v>16889</v>
      </c>
      <c r="W999" t="s">
        <v>16890</v>
      </c>
      <c r="X999" t="s">
        <v>16891</v>
      </c>
      <c r="Y999" t="s">
        <v>16892</v>
      </c>
      <c r="Z999" t="s">
        <v>16893</v>
      </c>
      <c r="AA999" t="s">
        <v>16894</v>
      </c>
      <c r="AB999" t="s">
        <v>16895</v>
      </c>
      <c r="AC999" t="s">
        <v>74</v>
      </c>
      <c r="AD999" t="s">
        <v>74</v>
      </c>
      <c r="AE999" t="s">
        <v>74</v>
      </c>
      <c r="AF999" t="s">
        <v>74</v>
      </c>
      <c r="AG999">
        <v>115</v>
      </c>
      <c r="AH999">
        <v>4</v>
      </c>
      <c r="AI999">
        <v>4</v>
      </c>
      <c r="AJ999">
        <v>29</v>
      </c>
      <c r="AK999">
        <v>126</v>
      </c>
      <c r="AL999" t="s">
        <v>1588</v>
      </c>
      <c r="AM999" t="s">
        <v>1589</v>
      </c>
      <c r="AN999" t="s">
        <v>1590</v>
      </c>
      <c r="AO999" t="s">
        <v>16896</v>
      </c>
      <c r="AP999" t="s">
        <v>16897</v>
      </c>
      <c r="AQ999" t="s">
        <v>74</v>
      </c>
      <c r="AR999" t="s">
        <v>16898</v>
      </c>
      <c r="AS999" t="s">
        <v>16899</v>
      </c>
      <c r="AT999" t="s">
        <v>523</v>
      </c>
      <c r="AU999">
        <v>2023</v>
      </c>
      <c r="AV999">
        <v>30</v>
      </c>
      <c r="AW999">
        <v>6</v>
      </c>
      <c r="AX999" t="s">
        <v>74</v>
      </c>
      <c r="AY999" t="s">
        <v>74</v>
      </c>
      <c r="AZ999" t="s">
        <v>74</v>
      </c>
      <c r="BA999" t="s">
        <v>74</v>
      </c>
      <c r="BB999">
        <v>535</v>
      </c>
      <c r="BC999">
        <v>549</v>
      </c>
      <c r="BD999" t="s">
        <v>74</v>
      </c>
      <c r="BE999" t="s">
        <v>16900</v>
      </c>
      <c r="BF999" t="str">
        <f>HYPERLINK("http://dx.doi.org/10.1057/s41262-023-00330-z","http://dx.doi.org/10.1057/s41262-023-00330-z")</f>
        <v>http://dx.doi.org/10.1057/s41262-023-00330-z</v>
      </c>
      <c r="BG999" t="s">
        <v>74</v>
      </c>
      <c r="BH999" t="s">
        <v>180</v>
      </c>
      <c r="BI999">
        <v>15</v>
      </c>
      <c r="BJ999" t="s">
        <v>479</v>
      </c>
      <c r="BK999" t="s">
        <v>99</v>
      </c>
      <c r="BL999" t="s">
        <v>480</v>
      </c>
      <c r="BM999" t="s">
        <v>16901</v>
      </c>
      <c r="BN999" t="s">
        <v>74</v>
      </c>
      <c r="BO999" t="s">
        <v>74</v>
      </c>
      <c r="BP999" t="s">
        <v>74</v>
      </c>
      <c r="BQ999" t="s">
        <v>74</v>
      </c>
      <c r="BR999" t="s">
        <v>102</v>
      </c>
      <c r="BS999" t="s">
        <v>16902</v>
      </c>
      <c r="BT999" t="str">
        <f>HYPERLINK("https%3A%2F%2Fwww.webofscience.com%2Fwos%2Fwoscc%2Ffull-record%2FWOS:000990431700001","View Full Record in Web of Science")</f>
        <v>View Full Record in Web of Science</v>
      </c>
    </row>
    <row r="1000" spans="1:72" x14ac:dyDescent="0.35">
      <c r="A1000" t="s">
        <v>128</v>
      </c>
      <c r="B1000" t="s">
        <v>16903</v>
      </c>
      <c r="C1000" t="s">
        <v>74</v>
      </c>
      <c r="D1000" t="s">
        <v>10192</v>
      </c>
      <c r="E1000" t="s">
        <v>74</v>
      </c>
      <c r="F1000" t="s">
        <v>16904</v>
      </c>
      <c r="G1000" t="s">
        <v>74</v>
      </c>
      <c r="H1000" t="s">
        <v>74</v>
      </c>
      <c r="I1000" t="s">
        <v>16905</v>
      </c>
      <c r="J1000" t="s">
        <v>10195</v>
      </c>
      <c r="K1000" t="s">
        <v>10196</v>
      </c>
      <c r="L1000" t="s">
        <v>74</v>
      </c>
      <c r="M1000" t="s">
        <v>78</v>
      </c>
      <c r="N1000" t="s">
        <v>135</v>
      </c>
      <c r="O1000" t="s">
        <v>10197</v>
      </c>
      <c r="P1000" t="s">
        <v>10198</v>
      </c>
      <c r="Q1000" t="s">
        <v>10199</v>
      </c>
      <c r="R1000" t="s">
        <v>74</v>
      </c>
      <c r="S1000" t="s">
        <v>74</v>
      </c>
      <c r="T1000" t="s">
        <v>74</v>
      </c>
      <c r="U1000" t="s">
        <v>74</v>
      </c>
      <c r="V1000" t="s">
        <v>16906</v>
      </c>
      <c r="W1000" t="s">
        <v>16907</v>
      </c>
      <c r="X1000" t="s">
        <v>9327</v>
      </c>
      <c r="Y1000" t="s">
        <v>16908</v>
      </c>
      <c r="Z1000" t="s">
        <v>16909</v>
      </c>
      <c r="AA1000" t="s">
        <v>74</v>
      </c>
      <c r="AB1000" t="s">
        <v>74</v>
      </c>
      <c r="AC1000" t="s">
        <v>74</v>
      </c>
      <c r="AD1000" t="s">
        <v>74</v>
      </c>
      <c r="AE1000" t="s">
        <v>74</v>
      </c>
      <c r="AF1000" t="s">
        <v>74</v>
      </c>
      <c r="AG1000">
        <v>14</v>
      </c>
      <c r="AH1000">
        <v>0</v>
      </c>
      <c r="AI1000">
        <v>0</v>
      </c>
      <c r="AJ1000">
        <v>0</v>
      </c>
      <c r="AK1000">
        <v>3</v>
      </c>
      <c r="AL1000" t="s">
        <v>639</v>
      </c>
      <c r="AM1000" t="s">
        <v>640</v>
      </c>
      <c r="AN1000" t="s">
        <v>641</v>
      </c>
      <c r="AO1000" t="s">
        <v>10207</v>
      </c>
      <c r="AP1000" t="s">
        <v>10208</v>
      </c>
      <c r="AQ1000" t="s">
        <v>10209</v>
      </c>
      <c r="AR1000" t="s">
        <v>10210</v>
      </c>
      <c r="AS1000" t="s">
        <v>74</v>
      </c>
      <c r="AT1000" t="s">
        <v>74</v>
      </c>
      <c r="AU1000">
        <v>2023</v>
      </c>
      <c r="AV1000">
        <v>318</v>
      </c>
      <c r="AW1000" t="s">
        <v>74</v>
      </c>
      <c r="AX1000" t="s">
        <v>74</v>
      </c>
      <c r="AY1000" t="s">
        <v>74</v>
      </c>
      <c r="AZ1000" t="s">
        <v>74</v>
      </c>
      <c r="BA1000" t="s">
        <v>74</v>
      </c>
      <c r="BB1000">
        <v>301</v>
      </c>
      <c r="BC1000">
        <v>311</v>
      </c>
      <c r="BD1000" t="s">
        <v>74</v>
      </c>
      <c r="BE1000" t="s">
        <v>16910</v>
      </c>
      <c r="BF1000" t="str">
        <f>HYPERLINK("http://dx.doi.org/10.1007/978-981-19-6347-6_27","http://dx.doi.org/10.1007/978-981-19-6347-6_27")</f>
        <v>http://dx.doi.org/10.1007/978-981-19-6347-6_27</v>
      </c>
      <c r="BG1000" t="s">
        <v>74</v>
      </c>
      <c r="BH1000" t="s">
        <v>74</v>
      </c>
      <c r="BI1000">
        <v>11</v>
      </c>
      <c r="BJ1000" t="s">
        <v>10212</v>
      </c>
      <c r="BK1000" t="s">
        <v>648</v>
      </c>
      <c r="BL1000" t="s">
        <v>7740</v>
      </c>
      <c r="BM1000" t="s">
        <v>10213</v>
      </c>
      <c r="BN1000" t="s">
        <v>74</v>
      </c>
      <c r="BO1000" t="s">
        <v>74</v>
      </c>
      <c r="BP1000" t="s">
        <v>74</v>
      </c>
      <c r="BQ1000" t="s">
        <v>74</v>
      </c>
      <c r="BR1000" t="s">
        <v>102</v>
      </c>
      <c r="BS1000" t="s">
        <v>16911</v>
      </c>
      <c r="BT1000" t="str">
        <f>HYPERLINK("https%3A%2F%2Fwww.webofscience.com%2Fwos%2Fwoscc%2Ffull-record%2FWOS:000921943800027","View Full Record in Web of Science")</f>
        <v>View Full Record in Web of Science</v>
      </c>
    </row>
    <row r="1001" spans="1:72" x14ac:dyDescent="0.35">
      <c r="A1001" t="s">
        <v>72</v>
      </c>
      <c r="B1001" t="s">
        <v>16912</v>
      </c>
      <c r="C1001" t="s">
        <v>74</v>
      </c>
      <c r="D1001" t="s">
        <v>74</v>
      </c>
      <c r="E1001" t="s">
        <v>74</v>
      </c>
      <c r="F1001" t="s">
        <v>16913</v>
      </c>
      <c r="G1001" t="s">
        <v>74</v>
      </c>
      <c r="H1001" t="s">
        <v>74</v>
      </c>
      <c r="I1001" t="s">
        <v>16914</v>
      </c>
      <c r="J1001" t="s">
        <v>531</v>
      </c>
      <c r="K1001" t="s">
        <v>74</v>
      </c>
      <c r="L1001" t="s">
        <v>74</v>
      </c>
      <c r="M1001" t="s">
        <v>78</v>
      </c>
      <c r="N1001" t="s">
        <v>108</v>
      </c>
      <c r="O1001" t="s">
        <v>74</v>
      </c>
      <c r="P1001" t="s">
        <v>74</v>
      </c>
      <c r="Q1001" t="s">
        <v>74</v>
      </c>
      <c r="R1001" t="s">
        <v>74</v>
      </c>
      <c r="S1001" t="s">
        <v>74</v>
      </c>
      <c r="T1001" t="s">
        <v>16915</v>
      </c>
      <c r="U1001" t="s">
        <v>74</v>
      </c>
      <c r="V1001" t="s">
        <v>16916</v>
      </c>
      <c r="W1001" t="s">
        <v>16917</v>
      </c>
      <c r="X1001" t="s">
        <v>16918</v>
      </c>
      <c r="Y1001" t="s">
        <v>16919</v>
      </c>
      <c r="Z1001" t="s">
        <v>13062</v>
      </c>
      <c r="AA1001" t="s">
        <v>74</v>
      </c>
      <c r="AB1001" t="s">
        <v>16920</v>
      </c>
      <c r="AC1001" t="s">
        <v>74</v>
      </c>
      <c r="AD1001" t="s">
        <v>74</v>
      </c>
      <c r="AE1001" t="s">
        <v>74</v>
      </c>
      <c r="AF1001" t="s">
        <v>74</v>
      </c>
      <c r="AG1001">
        <v>38</v>
      </c>
      <c r="AH1001">
        <v>35</v>
      </c>
      <c r="AI1001">
        <v>37</v>
      </c>
      <c r="AJ1001">
        <v>13</v>
      </c>
      <c r="AK1001">
        <v>88</v>
      </c>
      <c r="AL1001" t="s">
        <v>543</v>
      </c>
      <c r="AM1001" t="s">
        <v>544</v>
      </c>
      <c r="AN1001" t="s">
        <v>545</v>
      </c>
      <c r="AO1001" t="s">
        <v>74</v>
      </c>
      <c r="AP1001" t="s">
        <v>546</v>
      </c>
      <c r="AQ1001" t="s">
        <v>74</v>
      </c>
      <c r="AR1001" t="s">
        <v>547</v>
      </c>
      <c r="AS1001" t="s">
        <v>548</v>
      </c>
      <c r="AT1001" t="s">
        <v>745</v>
      </c>
      <c r="AU1001">
        <v>2022</v>
      </c>
      <c r="AV1001">
        <v>6</v>
      </c>
      <c r="AW1001">
        <v>5</v>
      </c>
      <c r="AX1001" t="s">
        <v>74</v>
      </c>
      <c r="AY1001" t="s">
        <v>74</v>
      </c>
      <c r="AZ1001" t="s">
        <v>74</v>
      </c>
      <c r="BA1001" t="s">
        <v>74</v>
      </c>
      <c r="BB1001" t="s">
        <v>74</v>
      </c>
      <c r="BC1001" t="s">
        <v>74</v>
      </c>
      <c r="BD1001" t="s">
        <v>16921</v>
      </c>
      <c r="BE1001" t="s">
        <v>16922</v>
      </c>
      <c r="BF1001" t="str">
        <f>HYPERLINK("http://dx.doi.org/10.2196/38340","http://dx.doi.org/10.2196/38340")</f>
        <v>http://dx.doi.org/10.2196/38340</v>
      </c>
      <c r="BG1001" t="s">
        <v>74</v>
      </c>
      <c r="BH1001" t="s">
        <v>74</v>
      </c>
      <c r="BI1001">
        <v>7</v>
      </c>
      <c r="BJ1001" t="s">
        <v>550</v>
      </c>
      <c r="BK1001" t="s">
        <v>125</v>
      </c>
      <c r="BL1001" t="s">
        <v>550</v>
      </c>
      <c r="BM1001" t="s">
        <v>16923</v>
      </c>
      <c r="BN1001">
        <v>35588057</v>
      </c>
      <c r="BO1001" t="s">
        <v>394</v>
      </c>
      <c r="BP1001" t="s">
        <v>74</v>
      </c>
      <c r="BQ1001" t="s">
        <v>74</v>
      </c>
      <c r="BR1001" t="s">
        <v>102</v>
      </c>
      <c r="BS1001" t="s">
        <v>16924</v>
      </c>
      <c r="BT1001" t="str">
        <f>HYPERLINK("https%3A%2F%2Fwww.webofscience.com%2Fwos%2Fwoscc%2Ffull-record%2FWOS:000854077500048","View Full Record in Web of Science")</f>
        <v>View Full Record in Web of Science</v>
      </c>
    </row>
    <row r="1002" spans="1:72" x14ac:dyDescent="0.35">
      <c r="A1002" t="s">
        <v>72</v>
      </c>
      <c r="B1002" t="s">
        <v>16925</v>
      </c>
      <c r="C1002" t="s">
        <v>74</v>
      </c>
      <c r="D1002" t="s">
        <v>74</v>
      </c>
      <c r="E1002" t="s">
        <v>74</v>
      </c>
      <c r="F1002" t="s">
        <v>16926</v>
      </c>
      <c r="G1002" t="s">
        <v>74</v>
      </c>
      <c r="H1002" t="s">
        <v>74</v>
      </c>
      <c r="I1002" t="s">
        <v>16927</v>
      </c>
      <c r="J1002" t="s">
        <v>6288</v>
      </c>
      <c r="K1002" t="s">
        <v>74</v>
      </c>
      <c r="L1002" t="s">
        <v>74</v>
      </c>
      <c r="M1002" t="s">
        <v>78</v>
      </c>
      <c r="N1002" t="s">
        <v>52</v>
      </c>
      <c r="O1002" t="s">
        <v>74</v>
      </c>
      <c r="P1002" t="s">
        <v>74</v>
      </c>
      <c r="Q1002" t="s">
        <v>74</v>
      </c>
      <c r="R1002" t="s">
        <v>74</v>
      </c>
      <c r="S1002" t="s">
        <v>74</v>
      </c>
      <c r="T1002" t="s">
        <v>74</v>
      </c>
      <c r="U1002" t="s">
        <v>74</v>
      </c>
      <c r="V1002" t="s">
        <v>74</v>
      </c>
      <c r="W1002" t="s">
        <v>16928</v>
      </c>
      <c r="X1002" t="s">
        <v>8300</v>
      </c>
      <c r="Y1002" t="s">
        <v>74</v>
      </c>
      <c r="Z1002" t="s">
        <v>74</v>
      </c>
      <c r="AA1002" t="s">
        <v>74</v>
      </c>
      <c r="AB1002" t="s">
        <v>74</v>
      </c>
      <c r="AC1002" t="s">
        <v>16929</v>
      </c>
      <c r="AD1002" t="s">
        <v>16929</v>
      </c>
      <c r="AE1002" t="s">
        <v>16930</v>
      </c>
      <c r="AF1002" t="s">
        <v>74</v>
      </c>
      <c r="AG1002">
        <v>0</v>
      </c>
      <c r="AH1002">
        <v>1</v>
      </c>
      <c r="AI1002">
        <v>1</v>
      </c>
      <c r="AJ1002">
        <v>0</v>
      </c>
      <c r="AK1002">
        <v>2</v>
      </c>
      <c r="AL1002" t="s">
        <v>1965</v>
      </c>
      <c r="AM1002" t="s">
        <v>666</v>
      </c>
      <c r="AN1002" t="s">
        <v>1966</v>
      </c>
      <c r="AO1002" t="s">
        <v>6297</v>
      </c>
      <c r="AP1002" t="s">
        <v>6298</v>
      </c>
      <c r="AQ1002" t="s">
        <v>74</v>
      </c>
      <c r="AR1002" t="s">
        <v>6299</v>
      </c>
      <c r="AS1002" t="s">
        <v>6300</v>
      </c>
      <c r="AT1002" t="s">
        <v>930</v>
      </c>
      <c r="AU1002">
        <v>2022</v>
      </c>
      <c r="AV1002">
        <v>70</v>
      </c>
      <c r="AW1002">
        <v>4</v>
      </c>
      <c r="AX1002" t="s">
        <v>74</v>
      </c>
      <c r="AY1002" t="s">
        <v>4946</v>
      </c>
      <c r="AZ1002" t="s">
        <v>74</v>
      </c>
      <c r="BA1002">
        <v>9</v>
      </c>
      <c r="BB1002" t="s">
        <v>9260</v>
      </c>
      <c r="BC1002" t="s">
        <v>16931</v>
      </c>
      <c r="BD1002" t="s">
        <v>74</v>
      </c>
      <c r="BE1002" t="s">
        <v>74</v>
      </c>
      <c r="BF1002" t="s">
        <v>74</v>
      </c>
      <c r="BG1002" t="s">
        <v>74</v>
      </c>
      <c r="BH1002" t="s">
        <v>74</v>
      </c>
      <c r="BI1002">
        <v>2</v>
      </c>
      <c r="BJ1002" t="s">
        <v>6302</v>
      </c>
      <c r="BK1002" t="s">
        <v>182</v>
      </c>
      <c r="BL1002" t="s">
        <v>6303</v>
      </c>
      <c r="BM1002" t="s">
        <v>8304</v>
      </c>
      <c r="BN1002" t="s">
        <v>74</v>
      </c>
      <c r="BO1002" t="s">
        <v>74</v>
      </c>
      <c r="BP1002" t="s">
        <v>74</v>
      </c>
      <c r="BQ1002" t="s">
        <v>74</v>
      </c>
      <c r="BR1002" t="s">
        <v>102</v>
      </c>
      <c r="BS1002" t="s">
        <v>16932</v>
      </c>
      <c r="BT1002" t="str">
        <f>HYPERLINK("https%3A%2F%2Fwww.webofscience.com%2Fwos%2Fwoscc%2Ffull-record%2FWOS:000768696700009","View Full Record in Web of Science")</f>
        <v>View Full Record in Web of Science</v>
      </c>
    </row>
    <row r="1003" spans="1:72" x14ac:dyDescent="0.35">
      <c r="A1003" t="s">
        <v>72</v>
      </c>
      <c r="B1003" t="s">
        <v>16933</v>
      </c>
      <c r="C1003" t="s">
        <v>74</v>
      </c>
      <c r="D1003" t="s">
        <v>74</v>
      </c>
      <c r="E1003" t="s">
        <v>74</v>
      </c>
      <c r="F1003" t="s">
        <v>16934</v>
      </c>
      <c r="G1003" t="s">
        <v>74</v>
      </c>
      <c r="H1003" t="s">
        <v>74</v>
      </c>
      <c r="I1003" t="s">
        <v>16935</v>
      </c>
      <c r="J1003" t="s">
        <v>16936</v>
      </c>
      <c r="K1003" t="s">
        <v>74</v>
      </c>
      <c r="L1003" t="s">
        <v>74</v>
      </c>
      <c r="M1003" t="s">
        <v>78</v>
      </c>
      <c r="N1003" t="s">
        <v>108</v>
      </c>
      <c r="O1003" t="s">
        <v>74</v>
      </c>
      <c r="P1003" t="s">
        <v>74</v>
      </c>
      <c r="Q1003" t="s">
        <v>74</v>
      </c>
      <c r="R1003" t="s">
        <v>74</v>
      </c>
      <c r="S1003" t="s">
        <v>74</v>
      </c>
      <c r="T1003" t="s">
        <v>16937</v>
      </c>
      <c r="U1003" t="s">
        <v>16938</v>
      </c>
      <c r="V1003" t="s">
        <v>16939</v>
      </c>
      <c r="W1003" t="s">
        <v>16940</v>
      </c>
      <c r="X1003" t="s">
        <v>16941</v>
      </c>
      <c r="Y1003" t="s">
        <v>16942</v>
      </c>
      <c r="Z1003" t="s">
        <v>16943</v>
      </c>
      <c r="AA1003" t="s">
        <v>74</v>
      </c>
      <c r="AB1003" t="s">
        <v>16944</v>
      </c>
      <c r="AC1003" t="s">
        <v>74</v>
      </c>
      <c r="AD1003" t="s">
        <v>74</v>
      </c>
      <c r="AE1003" t="s">
        <v>74</v>
      </c>
      <c r="AF1003" t="s">
        <v>74</v>
      </c>
      <c r="AG1003">
        <v>28</v>
      </c>
      <c r="AH1003">
        <v>4</v>
      </c>
      <c r="AI1003">
        <v>4</v>
      </c>
      <c r="AJ1003">
        <v>2</v>
      </c>
      <c r="AK1003">
        <v>3</v>
      </c>
      <c r="AL1003" t="s">
        <v>1965</v>
      </c>
      <c r="AM1003" t="s">
        <v>666</v>
      </c>
      <c r="AN1003" t="s">
        <v>1966</v>
      </c>
      <c r="AO1003" t="s">
        <v>16945</v>
      </c>
      <c r="AP1003" t="s">
        <v>16946</v>
      </c>
      <c r="AQ1003" t="s">
        <v>74</v>
      </c>
      <c r="AR1003" t="s">
        <v>16947</v>
      </c>
      <c r="AS1003" t="s">
        <v>16948</v>
      </c>
      <c r="AT1003" t="s">
        <v>930</v>
      </c>
      <c r="AU1003">
        <v>2024</v>
      </c>
      <c r="AV1003">
        <v>37</v>
      </c>
      <c r="AW1003">
        <v>2</v>
      </c>
      <c r="AX1003" t="s">
        <v>74</v>
      </c>
      <c r="AY1003" t="s">
        <v>74</v>
      </c>
      <c r="AZ1003" t="s">
        <v>74</v>
      </c>
      <c r="BA1003" t="s">
        <v>74</v>
      </c>
      <c r="BB1003">
        <v>142</v>
      </c>
      <c r="BC1003">
        <v>148</v>
      </c>
      <c r="BD1003" t="s">
        <v>74</v>
      </c>
      <c r="BE1003" t="s">
        <v>16949</v>
      </c>
      <c r="BF1003" t="str">
        <f>HYPERLINK("http://dx.doi.org/10.1016/j.jpag.2023.10.007","http://dx.doi.org/10.1016/j.jpag.2023.10.007")</f>
        <v>http://dx.doi.org/10.1016/j.jpag.2023.10.007</v>
      </c>
      <c r="BG1003" t="s">
        <v>74</v>
      </c>
      <c r="BH1003" t="s">
        <v>2410</v>
      </c>
      <c r="BI1003">
        <v>7</v>
      </c>
      <c r="BJ1003" t="s">
        <v>16950</v>
      </c>
      <c r="BK1003" t="s">
        <v>209</v>
      </c>
      <c r="BL1003" t="s">
        <v>16950</v>
      </c>
      <c r="BM1003" t="s">
        <v>16951</v>
      </c>
      <c r="BN1003">
        <v>37992985</v>
      </c>
      <c r="BO1003" t="s">
        <v>74</v>
      </c>
      <c r="BP1003" t="s">
        <v>74</v>
      </c>
      <c r="BQ1003" t="s">
        <v>74</v>
      </c>
      <c r="BR1003" t="s">
        <v>102</v>
      </c>
      <c r="BS1003" t="s">
        <v>16952</v>
      </c>
      <c r="BT1003" t="str">
        <f>HYPERLINK("https%3A%2F%2Fwww.webofscience.com%2Fwos%2Fwoscc%2Ffull-record%2FWOS:001221656000003","View Full Record in Web of Science")</f>
        <v>View Full Record in Web of Science</v>
      </c>
    </row>
    <row r="1004" spans="1:72" x14ac:dyDescent="0.35">
      <c r="A1004" t="s">
        <v>72</v>
      </c>
      <c r="B1004" t="s">
        <v>16953</v>
      </c>
      <c r="C1004" t="s">
        <v>74</v>
      </c>
      <c r="D1004" t="s">
        <v>74</v>
      </c>
      <c r="E1004" t="s">
        <v>74</v>
      </c>
      <c r="F1004" t="s">
        <v>16954</v>
      </c>
      <c r="G1004" t="s">
        <v>74</v>
      </c>
      <c r="H1004" t="s">
        <v>74</v>
      </c>
      <c r="I1004" t="s">
        <v>16955</v>
      </c>
      <c r="J1004" t="s">
        <v>14884</v>
      </c>
      <c r="K1004" t="s">
        <v>74</v>
      </c>
      <c r="L1004" t="s">
        <v>74</v>
      </c>
      <c r="M1004" t="s">
        <v>78</v>
      </c>
      <c r="N1004" t="s">
        <v>108</v>
      </c>
      <c r="O1004" t="s">
        <v>74</v>
      </c>
      <c r="P1004" t="s">
        <v>74</v>
      </c>
      <c r="Q1004" t="s">
        <v>74</v>
      </c>
      <c r="R1004" t="s">
        <v>74</v>
      </c>
      <c r="S1004" t="s">
        <v>74</v>
      </c>
      <c r="T1004" t="s">
        <v>16956</v>
      </c>
      <c r="U1004" t="s">
        <v>16957</v>
      </c>
      <c r="V1004" t="s">
        <v>16958</v>
      </c>
      <c r="W1004" t="s">
        <v>16959</v>
      </c>
      <c r="X1004" t="s">
        <v>16960</v>
      </c>
      <c r="Y1004" t="s">
        <v>16961</v>
      </c>
      <c r="Z1004" t="s">
        <v>16962</v>
      </c>
      <c r="AA1004" t="s">
        <v>16963</v>
      </c>
      <c r="AB1004" t="s">
        <v>16964</v>
      </c>
      <c r="AC1004" t="s">
        <v>74</v>
      </c>
      <c r="AD1004" t="s">
        <v>74</v>
      </c>
      <c r="AE1004" t="s">
        <v>74</v>
      </c>
      <c r="AF1004" t="s">
        <v>74</v>
      </c>
      <c r="AG1004">
        <v>48</v>
      </c>
      <c r="AH1004">
        <v>7</v>
      </c>
      <c r="AI1004">
        <v>7</v>
      </c>
      <c r="AJ1004">
        <v>2</v>
      </c>
      <c r="AK1004">
        <v>14</v>
      </c>
      <c r="AL1004" t="s">
        <v>9222</v>
      </c>
      <c r="AM1004" t="s">
        <v>227</v>
      </c>
      <c r="AN1004" t="s">
        <v>9223</v>
      </c>
      <c r="AO1004" t="s">
        <v>14895</v>
      </c>
      <c r="AP1004" t="s">
        <v>74</v>
      </c>
      <c r="AQ1004" t="s">
        <v>74</v>
      </c>
      <c r="AR1004" t="s">
        <v>14896</v>
      </c>
      <c r="AS1004" t="s">
        <v>14897</v>
      </c>
      <c r="AT1004" t="s">
        <v>1484</v>
      </c>
      <c r="AU1004">
        <v>2023</v>
      </c>
      <c r="AV1004">
        <v>8</v>
      </c>
      <c r="AW1004">
        <v>3</v>
      </c>
      <c r="AX1004" t="s">
        <v>74</v>
      </c>
      <c r="AY1004" t="s">
        <v>74</v>
      </c>
      <c r="AZ1004" t="s">
        <v>74</v>
      </c>
      <c r="BA1004" t="s">
        <v>74</v>
      </c>
      <c r="BB1004" t="s">
        <v>74</v>
      </c>
      <c r="BC1004" t="s">
        <v>74</v>
      </c>
      <c r="BD1004" t="s">
        <v>16965</v>
      </c>
      <c r="BE1004" t="s">
        <v>16966</v>
      </c>
      <c r="BF1004" t="str">
        <f>HYPERLINK("http://dx.doi.org/10.1136/bmjgh-2022-011138","http://dx.doi.org/10.1136/bmjgh-2022-011138")</f>
        <v>http://dx.doi.org/10.1136/bmjgh-2022-011138</v>
      </c>
      <c r="BG1004" t="s">
        <v>74</v>
      </c>
      <c r="BH1004" t="s">
        <v>74</v>
      </c>
      <c r="BI1004">
        <v>9</v>
      </c>
      <c r="BJ1004" t="s">
        <v>392</v>
      </c>
      <c r="BK1004" t="s">
        <v>182</v>
      </c>
      <c r="BL1004" t="s">
        <v>392</v>
      </c>
      <c r="BM1004" t="s">
        <v>16967</v>
      </c>
      <c r="BN1004">
        <v>36918216</v>
      </c>
      <c r="BO1004" t="s">
        <v>394</v>
      </c>
      <c r="BP1004" t="s">
        <v>74</v>
      </c>
      <c r="BQ1004" t="s">
        <v>74</v>
      </c>
      <c r="BR1004" t="s">
        <v>102</v>
      </c>
      <c r="BS1004" t="s">
        <v>16968</v>
      </c>
      <c r="BT1004" t="str">
        <f>HYPERLINK("https%3A%2F%2Fwww.webofscience.com%2Fwos%2Fwoscc%2Ffull-record%2FWOS:001034830200003","View Full Record in Web of Science")</f>
        <v>View Full Record in Web of Science</v>
      </c>
    </row>
    <row r="1005" spans="1:72" x14ac:dyDescent="0.35">
      <c r="A1005" t="s">
        <v>72</v>
      </c>
      <c r="B1005" t="s">
        <v>16969</v>
      </c>
      <c r="C1005" t="s">
        <v>74</v>
      </c>
      <c r="D1005" t="s">
        <v>74</v>
      </c>
      <c r="E1005" t="s">
        <v>74</v>
      </c>
      <c r="F1005" t="s">
        <v>16970</v>
      </c>
      <c r="G1005" t="s">
        <v>74</v>
      </c>
      <c r="H1005" t="s">
        <v>74</v>
      </c>
      <c r="I1005" t="s">
        <v>16971</v>
      </c>
      <c r="J1005" t="s">
        <v>3502</v>
      </c>
      <c r="K1005" t="s">
        <v>74</v>
      </c>
      <c r="L1005" t="s">
        <v>74</v>
      </c>
      <c r="M1005" t="s">
        <v>3503</v>
      </c>
      <c r="N1005" t="s">
        <v>108</v>
      </c>
      <c r="O1005" t="s">
        <v>74</v>
      </c>
      <c r="P1005" t="s">
        <v>74</v>
      </c>
      <c r="Q1005" t="s">
        <v>74</v>
      </c>
      <c r="R1005" t="s">
        <v>74</v>
      </c>
      <c r="S1005" t="s">
        <v>74</v>
      </c>
      <c r="T1005" t="s">
        <v>16972</v>
      </c>
      <c r="U1005" t="s">
        <v>6202</v>
      </c>
      <c r="V1005" t="s">
        <v>16973</v>
      </c>
      <c r="W1005" t="s">
        <v>16974</v>
      </c>
      <c r="X1005" t="s">
        <v>6905</v>
      </c>
      <c r="Y1005" t="s">
        <v>16975</v>
      </c>
      <c r="Z1005" t="s">
        <v>16976</v>
      </c>
      <c r="AA1005" t="s">
        <v>16977</v>
      </c>
      <c r="AB1005" t="s">
        <v>74</v>
      </c>
      <c r="AC1005" t="s">
        <v>74</v>
      </c>
      <c r="AD1005" t="s">
        <v>74</v>
      </c>
      <c r="AE1005" t="s">
        <v>74</v>
      </c>
      <c r="AF1005" t="s">
        <v>74</v>
      </c>
      <c r="AG1005">
        <v>50</v>
      </c>
      <c r="AH1005">
        <v>9</v>
      </c>
      <c r="AI1005">
        <v>9</v>
      </c>
      <c r="AJ1005">
        <v>1</v>
      </c>
      <c r="AK1005">
        <v>11</v>
      </c>
      <c r="AL1005" t="s">
        <v>3511</v>
      </c>
      <c r="AM1005" t="s">
        <v>3512</v>
      </c>
      <c r="AN1005" t="s">
        <v>3513</v>
      </c>
      <c r="AO1005" t="s">
        <v>3514</v>
      </c>
      <c r="AP1005" t="s">
        <v>74</v>
      </c>
      <c r="AQ1005" t="s">
        <v>74</v>
      </c>
      <c r="AR1005" t="s">
        <v>3515</v>
      </c>
      <c r="AS1005" t="s">
        <v>3516</v>
      </c>
      <c r="AT1005" t="s">
        <v>8762</v>
      </c>
      <c r="AU1005">
        <v>2022</v>
      </c>
      <c r="AV1005">
        <v>13</v>
      </c>
      <c r="AW1005">
        <v>2</v>
      </c>
      <c r="AX1005" t="s">
        <v>74</v>
      </c>
      <c r="AY1005" t="s">
        <v>74</v>
      </c>
      <c r="AZ1005" t="s">
        <v>456</v>
      </c>
      <c r="BA1005" t="s">
        <v>74</v>
      </c>
      <c r="BB1005">
        <v>117</v>
      </c>
      <c r="BC1005">
        <v>134</v>
      </c>
      <c r="BD1005" t="s">
        <v>74</v>
      </c>
      <c r="BE1005" t="s">
        <v>16978</v>
      </c>
      <c r="BF1005" t="str">
        <f>HYPERLINK("http://dx.doi.org/10.14198/MEDCOM.21824","http://dx.doi.org/10.14198/MEDCOM.21824")</f>
        <v>http://dx.doi.org/10.14198/MEDCOM.21824</v>
      </c>
      <c r="BG1005" t="s">
        <v>74</v>
      </c>
      <c r="BH1005" t="s">
        <v>74</v>
      </c>
      <c r="BI1005">
        <v>18</v>
      </c>
      <c r="BJ1005" t="s">
        <v>124</v>
      </c>
      <c r="BK1005" t="s">
        <v>125</v>
      </c>
      <c r="BL1005" t="s">
        <v>124</v>
      </c>
      <c r="BM1005" t="s">
        <v>16979</v>
      </c>
      <c r="BN1005" t="s">
        <v>74</v>
      </c>
      <c r="BO1005" t="s">
        <v>394</v>
      </c>
      <c r="BP1005" t="s">
        <v>74</v>
      </c>
      <c r="BQ1005" t="s">
        <v>74</v>
      </c>
      <c r="BR1005" t="s">
        <v>102</v>
      </c>
      <c r="BS1005" t="s">
        <v>16980</v>
      </c>
      <c r="BT1005" t="str">
        <f>HYPERLINK("https%3A%2F%2Fwww.webofscience.com%2Fwos%2Fwoscc%2Ffull-record%2FWOS:000864461800010","View Full Record in Web of Science")</f>
        <v>View Full Record in Web of Science</v>
      </c>
    </row>
    <row r="1006" spans="1:72" x14ac:dyDescent="0.35">
      <c r="A1006" t="s">
        <v>72</v>
      </c>
      <c r="B1006" t="s">
        <v>16981</v>
      </c>
      <c r="C1006" t="s">
        <v>74</v>
      </c>
      <c r="D1006" t="s">
        <v>74</v>
      </c>
      <c r="E1006" t="s">
        <v>74</v>
      </c>
      <c r="F1006" t="s">
        <v>16982</v>
      </c>
      <c r="G1006" t="s">
        <v>74</v>
      </c>
      <c r="H1006" t="s">
        <v>74</v>
      </c>
      <c r="I1006" t="s">
        <v>16983</v>
      </c>
      <c r="J1006" t="s">
        <v>16984</v>
      </c>
      <c r="K1006" t="s">
        <v>74</v>
      </c>
      <c r="L1006" t="s">
        <v>74</v>
      </c>
      <c r="M1006" t="s">
        <v>78</v>
      </c>
      <c r="N1006" t="s">
        <v>79</v>
      </c>
      <c r="O1006" t="s">
        <v>74</v>
      </c>
      <c r="P1006" t="s">
        <v>74</v>
      </c>
      <c r="Q1006" t="s">
        <v>74</v>
      </c>
      <c r="R1006" t="s">
        <v>74</v>
      </c>
      <c r="S1006" t="s">
        <v>74</v>
      </c>
      <c r="T1006" t="s">
        <v>16985</v>
      </c>
      <c r="U1006" t="s">
        <v>16986</v>
      </c>
      <c r="V1006" t="s">
        <v>16987</v>
      </c>
      <c r="W1006" t="s">
        <v>16988</v>
      </c>
      <c r="X1006" t="s">
        <v>16989</v>
      </c>
      <c r="Y1006" t="s">
        <v>16990</v>
      </c>
      <c r="Z1006" t="s">
        <v>16991</v>
      </c>
      <c r="AA1006" t="s">
        <v>16992</v>
      </c>
      <c r="AB1006" t="s">
        <v>16993</v>
      </c>
      <c r="AC1006" t="s">
        <v>74</v>
      </c>
      <c r="AD1006" t="s">
        <v>74</v>
      </c>
      <c r="AE1006" t="s">
        <v>74</v>
      </c>
      <c r="AF1006" t="s">
        <v>74</v>
      </c>
      <c r="AG1006">
        <v>47</v>
      </c>
      <c r="AH1006">
        <v>0</v>
      </c>
      <c r="AI1006">
        <v>0</v>
      </c>
      <c r="AJ1006">
        <v>1</v>
      </c>
      <c r="AK1006">
        <v>1</v>
      </c>
      <c r="AL1006" t="s">
        <v>251</v>
      </c>
      <c r="AM1006" t="s">
        <v>252</v>
      </c>
      <c r="AN1006" t="s">
        <v>253</v>
      </c>
      <c r="AO1006" t="s">
        <v>16994</v>
      </c>
      <c r="AP1006" t="s">
        <v>16995</v>
      </c>
      <c r="AQ1006" t="s">
        <v>74</v>
      </c>
      <c r="AR1006" t="s">
        <v>16996</v>
      </c>
      <c r="AS1006" t="s">
        <v>16997</v>
      </c>
      <c r="AT1006" t="s">
        <v>16998</v>
      </c>
      <c r="AU1006">
        <v>2024</v>
      </c>
      <c r="AV1006" t="s">
        <v>74</v>
      </c>
      <c r="AW1006" t="s">
        <v>74</v>
      </c>
      <c r="AX1006" t="s">
        <v>74</v>
      </c>
      <c r="AY1006" t="s">
        <v>74</v>
      </c>
      <c r="AZ1006" t="s">
        <v>74</v>
      </c>
      <c r="BA1006" t="s">
        <v>74</v>
      </c>
      <c r="BB1006" t="s">
        <v>74</v>
      </c>
      <c r="BC1006" t="s">
        <v>74</v>
      </c>
      <c r="BD1006" t="s">
        <v>74</v>
      </c>
      <c r="BE1006" t="s">
        <v>16999</v>
      </c>
      <c r="BF1006" t="str">
        <f>HYPERLINK("http://dx.doi.org/10.1111/joor.13874","http://dx.doi.org/10.1111/joor.13874")</f>
        <v>http://dx.doi.org/10.1111/joor.13874</v>
      </c>
      <c r="BG1006" t="s">
        <v>74</v>
      </c>
      <c r="BH1006" t="s">
        <v>1721</v>
      </c>
      <c r="BI1006">
        <v>9</v>
      </c>
      <c r="BJ1006" t="s">
        <v>599</v>
      </c>
      <c r="BK1006" t="s">
        <v>209</v>
      </c>
      <c r="BL1006" t="s">
        <v>599</v>
      </c>
      <c r="BM1006" t="s">
        <v>17000</v>
      </c>
      <c r="BN1006">
        <v>39428343</v>
      </c>
      <c r="BO1006" t="s">
        <v>74</v>
      </c>
      <c r="BP1006" t="s">
        <v>74</v>
      </c>
      <c r="BQ1006" t="s">
        <v>74</v>
      </c>
      <c r="BR1006" t="s">
        <v>102</v>
      </c>
      <c r="BS1006" t="s">
        <v>17001</v>
      </c>
      <c r="BT1006" t="str">
        <f>HYPERLINK("https%3A%2F%2Fwww.webofscience.com%2Fwos%2Fwoscc%2Ffull-record%2FWOS:001338171700001","View Full Record in Web of Science")</f>
        <v>View Full Record in Web of Science</v>
      </c>
    </row>
    <row r="1007" spans="1:72" x14ac:dyDescent="0.35">
      <c r="A1007" t="s">
        <v>72</v>
      </c>
      <c r="B1007" t="s">
        <v>17002</v>
      </c>
      <c r="C1007" t="s">
        <v>74</v>
      </c>
      <c r="D1007" t="s">
        <v>74</v>
      </c>
      <c r="E1007" t="s">
        <v>74</v>
      </c>
      <c r="F1007" t="s">
        <v>17003</v>
      </c>
      <c r="G1007" t="s">
        <v>74</v>
      </c>
      <c r="H1007" t="s">
        <v>74</v>
      </c>
      <c r="I1007" t="s">
        <v>17004</v>
      </c>
      <c r="J1007" t="s">
        <v>17005</v>
      </c>
      <c r="K1007" t="s">
        <v>74</v>
      </c>
      <c r="L1007" t="s">
        <v>74</v>
      </c>
      <c r="M1007" t="s">
        <v>78</v>
      </c>
      <c r="N1007" t="s">
        <v>108</v>
      </c>
      <c r="O1007" t="s">
        <v>74</v>
      </c>
      <c r="P1007" t="s">
        <v>74</v>
      </c>
      <c r="Q1007" t="s">
        <v>74</v>
      </c>
      <c r="R1007" t="s">
        <v>74</v>
      </c>
      <c r="S1007" t="s">
        <v>74</v>
      </c>
      <c r="T1007" t="s">
        <v>17006</v>
      </c>
      <c r="U1007" t="s">
        <v>74</v>
      </c>
      <c r="V1007" t="s">
        <v>17007</v>
      </c>
      <c r="W1007" t="s">
        <v>17008</v>
      </c>
      <c r="X1007" t="s">
        <v>74</v>
      </c>
      <c r="Y1007" t="s">
        <v>17009</v>
      </c>
      <c r="Z1007" t="s">
        <v>17010</v>
      </c>
      <c r="AA1007" t="s">
        <v>74</v>
      </c>
      <c r="AB1007" t="s">
        <v>74</v>
      </c>
      <c r="AC1007" t="s">
        <v>74</v>
      </c>
      <c r="AD1007" t="s">
        <v>74</v>
      </c>
      <c r="AE1007" t="s">
        <v>74</v>
      </c>
      <c r="AF1007" t="s">
        <v>74</v>
      </c>
      <c r="AG1007">
        <v>21</v>
      </c>
      <c r="AH1007">
        <v>1</v>
      </c>
      <c r="AI1007">
        <v>2</v>
      </c>
      <c r="AJ1007">
        <v>2</v>
      </c>
      <c r="AK1007">
        <v>3</v>
      </c>
      <c r="AL1007" t="s">
        <v>870</v>
      </c>
      <c r="AM1007" t="s">
        <v>871</v>
      </c>
      <c r="AN1007" t="s">
        <v>872</v>
      </c>
      <c r="AO1007" t="s">
        <v>17011</v>
      </c>
      <c r="AP1007" t="s">
        <v>17012</v>
      </c>
      <c r="AQ1007" t="s">
        <v>74</v>
      </c>
      <c r="AR1007" t="s">
        <v>17013</v>
      </c>
      <c r="AS1007" t="s">
        <v>17014</v>
      </c>
      <c r="AT1007" t="s">
        <v>17015</v>
      </c>
      <c r="AU1007">
        <v>2023</v>
      </c>
      <c r="AV1007">
        <v>10</v>
      </c>
      <c r="AW1007" t="s">
        <v>7969</v>
      </c>
      <c r="AX1007" t="s">
        <v>74</v>
      </c>
      <c r="AY1007" t="s">
        <v>74</v>
      </c>
      <c r="AZ1007" t="s">
        <v>74</v>
      </c>
      <c r="BA1007" t="s">
        <v>74</v>
      </c>
      <c r="BB1007">
        <v>193</v>
      </c>
      <c r="BC1007">
        <v>207</v>
      </c>
      <c r="BD1007" t="s">
        <v>74</v>
      </c>
      <c r="BE1007" t="s">
        <v>17016</v>
      </c>
      <c r="BF1007" t="str">
        <f>HYPERLINK("http://dx.doi.org/10.1386/fspc_00145_1","http://dx.doi.org/10.1386/fspc_00145_1")</f>
        <v>http://dx.doi.org/10.1386/fspc_00145_1</v>
      </c>
      <c r="BG1007" t="s">
        <v>74</v>
      </c>
      <c r="BH1007" t="s">
        <v>74</v>
      </c>
      <c r="BI1007">
        <v>15</v>
      </c>
      <c r="BJ1007" t="s">
        <v>4461</v>
      </c>
      <c r="BK1007" t="s">
        <v>125</v>
      </c>
      <c r="BL1007" t="s">
        <v>4462</v>
      </c>
      <c r="BM1007" t="s">
        <v>17017</v>
      </c>
      <c r="BN1007" t="s">
        <v>74</v>
      </c>
      <c r="BO1007" t="s">
        <v>74</v>
      </c>
      <c r="BP1007" t="s">
        <v>74</v>
      </c>
      <c r="BQ1007" t="s">
        <v>74</v>
      </c>
      <c r="BR1007" t="s">
        <v>102</v>
      </c>
      <c r="BS1007" t="s">
        <v>17018</v>
      </c>
      <c r="BT1007" t="str">
        <f>HYPERLINK("https%3A%2F%2Fwww.webofscience.com%2Fwos%2Fwoscc%2Ffull-record%2FWOS:001048311300013","View Full Record in Web of Science")</f>
        <v>View Full Record in Web of Science</v>
      </c>
    </row>
    <row r="1008" spans="1:72" x14ac:dyDescent="0.35">
      <c r="A1008" t="s">
        <v>72</v>
      </c>
      <c r="B1008" t="s">
        <v>17019</v>
      </c>
      <c r="C1008" t="s">
        <v>74</v>
      </c>
      <c r="D1008" t="s">
        <v>74</v>
      </c>
      <c r="E1008" t="s">
        <v>74</v>
      </c>
      <c r="F1008" t="s">
        <v>17020</v>
      </c>
      <c r="G1008" t="s">
        <v>74</v>
      </c>
      <c r="H1008" t="s">
        <v>74</v>
      </c>
      <c r="I1008" t="s">
        <v>17021</v>
      </c>
      <c r="J1008" t="s">
        <v>17022</v>
      </c>
      <c r="K1008" t="s">
        <v>74</v>
      </c>
      <c r="L1008" t="s">
        <v>74</v>
      </c>
      <c r="M1008" t="s">
        <v>78</v>
      </c>
      <c r="N1008" t="s">
        <v>108</v>
      </c>
      <c r="O1008" t="s">
        <v>74</v>
      </c>
      <c r="P1008" t="s">
        <v>74</v>
      </c>
      <c r="Q1008" t="s">
        <v>74</v>
      </c>
      <c r="R1008" t="s">
        <v>74</v>
      </c>
      <c r="S1008" t="s">
        <v>74</v>
      </c>
      <c r="T1008" t="s">
        <v>17023</v>
      </c>
      <c r="U1008" t="s">
        <v>17024</v>
      </c>
      <c r="V1008" t="s">
        <v>17025</v>
      </c>
      <c r="W1008" t="s">
        <v>17026</v>
      </c>
      <c r="X1008" t="s">
        <v>17027</v>
      </c>
      <c r="Y1008" t="s">
        <v>17028</v>
      </c>
      <c r="Z1008" t="s">
        <v>17029</v>
      </c>
      <c r="AA1008" t="s">
        <v>17030</v>
      </c>
      <c r="AB1008" t="s">
        <v>17031</v>
      </c>
      <c r="AC1008" t="s">
        <v>17032</v>
      </c>
      <c r="AD1008" t="s">
        <v>17033</v>
      </c>
      <c r="AE1008" t="s">
        <v>17034</v>
      </c>
      <c r="AF1008" t="s">
        <v>74</v>
      </c>
      <c r="AG1008">
        <v>65</v>
      </c>
      <c r="AH1008">
        <v>0</v>
      </c>
      <c r="AI1008">
        <v>0</v>
      </c>
      <c r="AJ1008">
        <v>1</v>
      </c>
      <c r="AK1008">
        <v>3</v>
      </c>
      <c r="AL1008" t="s">
        <v>665</v>
      </c>
      <c r="AM1008" t="s">
        <v>2922</v>
      </c>
      <c r="AN1008" t="s">
        <v>2923</v>
      </c>
      <c r="AO1008" t="s">
        <v>17035</v>
      </c>
      <c r="AP1008" t="s">
        <v>17036</v>
      </c>
      <c r="AQ1008" t="s">
        <v>74</v>
      </c>
      <c r="AR1008" t="s">
        <v>17037</v>
      </c>
      <c r="AS1008" t="s">
        <v>17038</v>
      </c>
      <c r="AT1008" t="s">
        <v>257</v>
      </c>
      <c r="AU1008">
        <v>2024</v>
      </c>
      <c r="AV1008">
        <v>17</v>
      </c>
      <c r="AW1008">
        <v>3</v>
      </c>
      <c r="AX1008" t="s">
        <v>74</v>
      </c>
      <c r="AY1008" t="s">
        <v>74</v>
      </c>
      <c r="AZ1008" t="s">
        <v>74</v>
      </c>
      <c r="BA1008" t="s">
        <v>74</v>
      </c>
      <c r="BB1008">
        <v>1239</v>
      </c>
      <c r="BC1008">
        <v>1271</v>
      </c>
      <c r="BD1008" t="s">
        <v>74</v>
      </c>
      <c r="BE1008" t="s">
        <v>17039</v>
      </c>
      <c r="BF1008" t="str">
        <f>HYPERLINK("http://dx.doi.org/10.1007/s12187-024-10120-x","http://dx.doi.org/10.1007/s12187-024-10120-x")</f>
        <v>http://dx.doi.org/10.1007/s12187-024-10120-x</v>
      </c>
      <c r="BG1008" t="s">
        <v>74</v>
      </c>
      <c r="BH1008" t="s">
        <v>2410</v>
      </c>
      <c r="BI1008">
        <v>33</v>
      </c>
      <c r="BJ1008" t="s">
        <v>98</v>
      </c>
      <c r="BK1008" t="s">
        <v>99</v>
      </c>
      <c r="BL1008" t="s">
        <v>100</v>
      </c>
      <c r="BM1008" t="s">
        <v>17040</v>
      </c>
      <c r="BN1008" t="s">
        <v>74</v>
      </c>
      <c r="BO1008" t="s">
        <v>156</v>
      </c>
      <c r="BP1008" t="s">
        <v>74</v>
      </c>
      <c r="BQ1008" t="s">
        <v>74</v>
      </c>
      <c r="BR1008" t="s">
        <v>102</v>
      </c>
      <c r="BS1008" t="s">
        <v>17041</v>
      </c>
      <c r="BT1008" t="str">
        <f>HYPERLINK("https%3A%2F%2Fwww.webofscience.com%2Fwos%2Fwoscc%2Ffull-record%2FWOS:001204592100002","View Full Record in Web of Science")</f>
        <v>View Full Record in Web of Science</v>
      </c>
    </row>
    <row r="1009" spans="1:72" x14ac:dyDescent="0.35">
      <c r="A1009" t="s">
        <v>72</v>
      </c>
      <c r="B1009" t="s">
        <v>17042</v>
      </c>
      <c r="C1009" t="s">
        <v>74</v>
      </c>
      <c r="D1009" t="s">
        <v>74</v>
      </c>
      <c r="E1009" t="s">
        <v>74</v>
      </c>
      <c r="F1009" t="s">
        <v>17043</v>
      </c>
      <c r="G1009" t="s">
        <v>74</v>
      </c>
      <c r="H1009" t="s">
        <v>74</v>
      </c>
      <c r="I1009" t="s">
        <v>17044</v>
      </c>
      <c r="J1009" t="s">
        <v>15015</v>
      </c>
      <c r="K1009" t="s">
        <v>74</v>
      </c>
      <c r="L1009" t="s">
        <v>74</v>
      </c>
      <c r="M1009" t="s">
        <v>78</v>
      </c>
      <c r="N1009" t="s">
        <v>79</v>
      </c>
      <c r="O1009" t="s">
        <v>74</v>
      </c>
      <c r="P1009" t="s">
        <v>74</v>
      </c>
      <c r="Q1009" t="s">
        <v>74</v>
      </c>
      <c r="R1009" t="s">
        <v>74</v>
      </c>
      <c r="S1009" t="s">
        <v>74</v>
      </c>
      <c r="T1009" t="s">
        <v>17045</v>
      </c>
      <c r="U1009" t="s">
        <v>17046</v>
      </c>
      <c r="V1009" t="s">
        <v>17047</v>
      </c>
      <c r="W1009" t="s">
        <v>17048</v>
      </c>
      <c r="X1009" t="s">
        <v>17049</v>
      </c>
      <c r="Y1009" t="s">
        <v>17050</v>
      </c>
      <c r="Z1009" t="s">
        <v>15021</v>
      </c>
      <c r="AA1009" t="s">
        <v>74</v>
      </c>
      <c r="AB1009" t="s">
        <v>15022</v>
      </c>
      <c r="AC1009" t="s">
        <v>74</v>
      </c>
      <c r="AD1009" t="s">
        <v>74</v>
      </c>
      <c r="AE1009" t="s">
        <v>74</v>
      </c>
      <c r="AF1009" t="s">
        <v>74</v>
      </c>
      <c r="AG1009">
        <v>13</v>
      </c>
      <c r="AH1009">
        <v>6</v>
      </c>
      <c r="AI1009">
        <v>6</v>
      </c>
      <c r="AJ1009">
        <v>0</v>
      </c>
      <c r="AK1009">
        <v>2</v>
      </c>
      <c r="AL1009" t="s">
        <v>171</v>
      </c>
      <c r="AM1009" t="s">
        <v>172</v>
      </c>
      <c r="AN1009" t="s">
        <v>173</v>
      </c>
      <c r="AO1009" t="s">
        <v>15024</v>
      </c>
      <c r="AP1009" t="s">
        <v>15025</v>
      </c>
      <c r="AQ1009" t="s">
        <v>74</v>
      </c>
      <c r="AR1009" t="s">
        <v>15026</v>
      </c>
      <c r="AS1009" t="s">
        <v>15027</v>
      </c>
      <c r="AT1009" t="s">
        <v>17051</v>
      </c>
      <c r="AU1009">
        <v>2023</v>
      </c>
      <c r="AV1009" t="s">
        <v>74</v>
      </c>
      <c r="AW1009" t="s">
        <v>74</v>
      </c>
      <c r="AX1009" t="s">
        <v>74</v>
      </c>
      <c r="AY1009" t="s">
        <v>74</v>
      </c>
      <c r="AZ1009" t="s">
        <v>74</v>
      </c>
      <c r="BA1009" t="s">
        <v>74</v>
      </c>
      <c r="BB1009" t="s">
        <v>74</v>
      </c>
      <c r="BC1009" t="s">
        <v>74</v>
      </c>
      <c r="BD1009" t="s">
        <v>74</v>
      </c>
      <c r="BE1009" t="s">
        <v>17052</v>
      </c>
      <c r="BF1009" t="str">
        <f>HYPERLINK("http://dx.doi.org/10.1177/15910199231167914","http://dx.doi.org/10.1177/15910199231167914")</f>
        <v>http://dx.doi.org/10.1177/15910199231167914</v>
      </c>
      <c r="BG1009" t="s">
        <v>74</v>
      </c>
      <c r="BH1009" t="s">
        <v>299</v>
      </c>
      <c r="BI1009">
        <v>6</v>
      </c>
      <c r="BJ1009" t="s">
        <v>15030</v>
      </c>
      <c r="BK1009" t="s">
        <v>209</v>
      </c>
      <c r="BL1009" t="s">
        <v>15031</v>
      </c>
      <c r="BM1009" t="s">
        <v>17053</v>
      </c>
      <c r="BN1009">
        <v>37050848</v>
      </c>
      <c r="BO1009" t="s">
        <v>74</v>
      </c>
      <c r="BP1009" t="s">
        <v>74</v>
      </c>
      <c r="BQ1009" t="s">
        <v>74</v>
      </c>
      <c r="BR1009" t="s">
        <v>102</v>
      </c>
      <c r="BS1009" t="s">
        <v>17054</v>
      </c>
      <c r="BT1009" t="str">
        <f>HYPERLINK("https%3A%2F%2Fwww.webofscience.com%2Fwos%2Fwoscc%2Ffull-record%2FWOS:000971163900001","View Full Record in Web of Science")</f>
        <v>View Full Record in Web of Science</v>
      </c>
    </row>
    <row r="1010" spans="1:72" x14ac:dyDescent="0.35">
      <c r="A1010" t="s">
        <v>72</v>
      </c>
      <c r="B1010" t="s">
        <v>17055</v>
      </c>
      <c r="C1010" t="s">
        <v>74</v>
      </c>
      <c r="D1010" t="s">
        <v>74</v>
      </c>
      <c r="E1010" t="s">
        <v>74</v>
      </c>
      <c r="F1010" t="s">
        <v>17056</v>
      </c>
      <c r="G1010" t="s">
        <v>74</v>
      </c>
      <c r="H1010" t="s">
        <v>74</v>
      </c>
      <c r="I1010" t="s">
        <v>17057</v>
      </c>
      <c r="J1010" t="s">
        <v>7101</v>
      </c>
      <c r="K1010" t="s">
        <v>74</v>
      </c>
      <c r="L1010" t="s">
        <v>74</v>
      </c>
      <c r="M1010" t="s">
        <v>78</v>
      </c>
      <c r="N1010" t="s">
        <v>108</v>
      </c>
      <c r="O1010" t="s">
        <v>74</v>
      </c>
      <c r="P1010" t="s">
        <v>74</v>
      </c>
      <c r="Q1010" t="s">
        <v>74</v>
      </c>
      <c r="R1010" t="s">
        <v>74</v>
      </c>
      <c r="S1010" t="s">
        <v>74</v>
      </c>
      <c r="T1010" t="s">
        <v>17058</v>
      </c>
      <c r="U1010" t="s">
        <v>17059</v>
      </c>
      <c r="V1010" t="s">
        <v>17060</v>
      </c>
      <c r="W1010" t="s">
        <v>17061</v>
      </c>
      <c r="X1010" t="s">
        <v>8300</v>
      </c>
      <c r="Y1010" t="s">
        <v>17062</v>
      </c>
      <c r="Z1010" t="s">
        <v>17063</v>
      </c>
      <c r="AA1010" t="s">
        <v>17064</v>
      </c>
      <c r="AB1010" t="s">
        <v>74</v>
      </c>
      <c r="AC1010" t="s">
        <v>17065</v>
      </c>
      <c r="AD1010" t="s">
        <v>17066</v>
      </c>
      <c r="AE1010" t="s">
        <v>17067</v>
      </c>
      <c r="AF1010" t="s">
        <v>74</v>
      </c>
      <c r="AG1010">
        <v>95</v>
      </c>
      <c r="AH1010">
        <v>0</v>
      </c>
      <c r="AI1010">
        <v>0</v>
      </c>
      <c r="AJ1010">
        <v>14</v>
      </c>
      <c r="AK1010">
        <v>14</v>
      </c>
      <c r="AL1010" t="s">
        <v>2248</v>
      </c>
      <c r="AM1010" t="s">
        <v>2249</v>
      </c>
      <c r="AN1010" t="s">
        <v>2250</v>
      </c>
      <c r="AO1010" t="s">
        <v>7110</v>
      </c>
      <c r="AP1010" t="s">
        <v>74</v>
      </c>
      <c r="AQ1010" t="s">
        <v>74</v>
      </c>
      <c r="AR1010" t="s">
        <v>7111</v>
      </c>
      <c r="AS1010" t="s">
        <v>7112</v>
      </c>
      <c r="AT1010" t="s">
        <v>2463</v>
      </c>
      <c r="AU1010">
        <v>2024</v>
      </c>
      <c r="AV1010">
        <v>29</v>
      </c>
      <c r="AW1010">
        <v>5</v>
      </c>
      <c r="AX1010" t="s">
        <v>74</v>
      </c>
      <c r="AY1010" t="s">
        <v>74</v>
      </c>
      <c r="AZ1010" t="s">
        <v>74</v>
      </c>
      <c r="BA1010" t="s">
        <v>74</v>
      </c>
      <c r="BB1010" t="s">
        <v>74</v>
      </c>
      <c r="BC1010" t="s">
        <v>74</v>
      </c>
      <c r="BD1010" t="s">
        <v>17068</v>
      </c>
      <c r="BE1010" t="s">
        <v>17069</v>
      </c>
      <c r="BF1010" t="str">
        <f>HYPERLINK("http://dx.doi.org/10.1093/jcmc/zmae007","http://dx.doi.org/10.1093/jcmc/zmae007")</f>
        <v>http://dx.doi.org/10.1093/jcmc/zmae007</v>
      </c>
      <c r="BG1010" t="s">
        <v>74</v>
      </c>
      <c r="BH1010" t="s">
        <v>74</v>
      </c>
      <c r="BI1010">
        <v>15</v>
      </c>
      <c r="BJ1010" t="s">
        <v>5240</v>
      </c>
      <c r="BK1010" t="s">
        <v>99</v>
      </c>
      <c r="BL1010" t="s">
        <v>5240</v>
      </c>
      <c r="BM1010" t="s">
        <v>17070</v>
      </c>
      <c r="BN1010" t="s">
        <v>74</v>
      </c>
      <c r="BO1010" t="s">
        <v>235</v>
      </c>
      <c r="BP1010" t="s">
        <v>74</v>
      </c>
      <c r="BQ1010" t="s">
        <v>74</v>
      </c>
      <c r="BR1010" t="s">
        <v>102</v>
      </c>
      <c r="BS1010" t="s">
        <v>17071</v>
      </c>
      <c r="BT1010" t="str">
        <f>HYPERLINK("https%3A%2F%2Fwww.webofscience.com%2Fwos%2Fwoscc%2Ffull-record%2FWOS:001285211100001","View Full Record in Web of Science")</f>
        <v>View Full Record in Web of Science</v>
      </c>
    </row>
    <row r="1011" spans="1:72" x14ac:dyDescent="0.35">
      <c r="A1011" t="s">
        <v>72</v>
      </c>
      <c r="B1011" t="s">
        <v>17072</v>
      </c>
      <c r="C1011" t="s">
        <v>74</v>
      </c>
      <c r="D1011" t="s">
        <v>74</v>
      </c>
      <c r="E1011" t="s">
        <v>74</v>
      </c>
      <c r="F1011" t="s">
        <v>17073</v>
      </c>
      <c r="G1011" t="s">
        <v>74</v>
      </c>
      <c r="H1011" t="s">
        <v>74</v>
      </c>
      <c r="I1011" t="s">
        <v>17074</v>
      </c>
      <c r="J1011" t="s">
        <v>17075</v>
      </c>
      <c r="K1011" t="s">
        <v>74</v>
      </c>
      <c r="L1011" t="s">
        <v>74</v>
      </c>
      <c r="M1011" t="s">
        <v>78</v>
      </c>
      <c r="N1011" t="s">
        <v>108</v>
      </c>
      <c r="O1011" t="s">
        <v>74</v>
      </c>
      <c r="P1011" t="s">
        <v>74</v>
      </c>
      <c r="Q1011" t="s">
        <v>74</v>
      </c>
      <c r="R1011" t="s">
        <v>74</v>
      </c>
      <c r="S1011" t="s">
        <v>74</v>
      </c>
      <c r="T1011" t="s">
        <v>17076</v>
      </c>
      <c r="U1011" t="s">
        <v>15802</v>
      </c>
      <c r="V1011" t="s">
        <v>17077</v>
      </c>
      <c r="W1011" t="s">
        <v>17078</v>
      </c>
      <c r="X1011" t="s">
        <v>17079</v>
      </c>
      <c r="Y1011" t="s">
        <v>17080</v>
      </c>
      <c r="Z1011" t="s">
        <v>17081</v>
      </c>
      <c r="AA1011" t="s">
        <v>74</v>
      </c>
      <c r="AB1011" t="s">
        <v>17082</v>
      </c>
      <c r="AC1011" t="s">
        <v>74</v>
      </c>
      <c r="AD1011" t="s">
        <v>74</v>
      </c>
      <c r="AE1011" t="s">
        <v>74</v>
      </c>
      <c r="AF1011" t="s">
        <v>74</v>
      </c>
      <c r="AG1011">
        <v>76</v>
      </c>
      <c r="AH1011">
        <v>1</v>
      </c>
      <c r="AI1011">
        <v>1</v>
      </c>
      <c r="AJ1011">
        <v>1</v>
      </c>
      <c r="AK1011">
        <v>1</v>
      </c>
      <c r="AL1011" t="s">
        <v>9222</v>
      </c>
      <c r="AM1011" t="s">
        <v>227</v>
      </c>
      <c r="AN1011" t="s">
        <v>9223</v>
      </c>
      <c r="AO1011" t="s">
        <v>17083</v>
      </c>
      <c r="AP1011" t="s">
        <v>17084</v>
      </c>
      <c r="AQ1011" t="s">
        <v>74</v>
      </c>
      <c r="AR1011" t="s">
        <v>17085</v>
      </c>
      <c r="AS1011" t="s">
        <v>17086</v>
      </c>
      <c r="AT1011" t="s">
        <v>257</v>
      </c>
      <c r="AU1011">
        <v>2024</v>
      </c>
      <c r="AV1011">
        <v>50</v>
      </c>
      <c r="AW1011">
        <v>2</v>
      </c>
      <c r="AX1011" t="s">
        <v>74</v>
      </c>
      <c r="AY1011" t="s">
        <v>74</v>
      </c>
      <c r="AZ1011" t="s">
        <v>74</v>
      </c>
      <c r="BA1011" t="s">
        <v>74</v>
      </c>
      <c r="BB1011">
        <v>352</v>
      </c>
      <c r="BC1011">
        <v>362</v>
      </c>
      <c r="BD1011" t="s">
        <v>74</v>
      </c>
      <c r="BE1011" t="s">
        <v>17087</v>
      </c>
      <c r="BF1011" t="str">
        <f>HYPERLINK("http://dx.doi.org/10.1136/medhum-2023-012830","http://dx.doi.org/10.1136/medhum-2023-012830")</f>
        <v>http://dx.doi.org/10.1136/medhum-2023-012830</v>
      </c>
      <c r="BG1011" t="s">
        <v>74</v>
      </c>
      <c r="BH1011" t="s">
        <v>1467</v>
      </c>
      <c r="BI1011">
        <v>11</v>
      </c>
      <c r="BJ1011" t="s">
        <v>4461</v>
      </c>
      <c r="BK1011" t="s">
        <v>316</v>
      </c>
      <c r="BL1011" t="s">
        <v>4462</v>
      </c>
      <c r="BM1011" t="s">
        <v>17088</v>
      </c>
      <c r="BN1011">
        <v>38806235</v>
      </c>
      <c r="BO1011" t="s">
        <v>74</v>
      </c>
      <c r="BP1011" t="s">
        <v>74</v>
      </c>
      <c r="BQ1011" t="s">
        <v>74</v>
      </c>
      <c r="BR1011" t="s">
        <v>102</v>
      </c>
      <c r="BS1011" t="s">
        <v>17089</v>
      </c>
      <c r="BT1011" t="str">
        <f>HYPERLINK("https%3A%2F%2Fwww.webofscience.com%2Fwos%2Fwoscc%2Ffull-record%2FWOS:001236380500001","View Full Record in Web of Science")</f>
        <v>View Full Record in Web of Science</v>
      </c>
    </row>
    <row r="1012" spans="1:72" x14ac:dyDescent="0.35">
      <c r="A1012" t="s">
        <v>72</v>
      </c>
      <c r="B1012" t="s">
        <v>17090</v>
      </c>
      <c r="C1012" t="s">
        <v>74</v>
      </c>
      <c r="D1012" t="s">
        <v>74</v>
      </c>
      <c r="E1012" t="s">
        <v>74</v>
      </c>
      <c r="F1012" t="s">
        <v>17091</v>
      </c>
      <c r="G1012" t="s">
        <v>74</v>
      </c>
      <c r="H1012" t="s">
        <v>74</v>
      </c>
      <c r="I1012" t="s">
        <v>17092</v>
      </c>
      <c r="J1012" t="s">
        <v>17093</v>
      </c>
      <c r="K1012" t="s">
        <v>74</v>
      </c>
      <c r="L1012" t="s">
        <v>74</v>
      </c>
      <c r="M1012" t="s">
        <v>78</v>
      </c>
      <c r="N1012" t="s">
        <v>108</v>
      </c>
      <c r="O1012" t="s">
        <v>74</v>
      </c>
      <c r="P1012" t="s">
        <v>74</v>
      </c>
      <c r="Q1012" t="s">
        <v>74</v>
      </c>
      <c r="R1012" t="s">
        <v>74</v>
      </c>
      <c r="S1012" t="s">
        <v>74</v>
      </c>
      <c r="T1012" t="s">
        <v>74</v>
      </c>
      <c r="U1012" t="s">
        <v>17094</v>
      </c>
      <c r="V1012" t="s">
        <v>17095</v>
      </c>
      <c r="W1012" t="s">
        <v>17096</v>
      </c>
      <c r="X1012" t="s">
        <v>17097</v>
      </c>
      <c r="Y1012" t="s">
        <v>17098</v>
      </c>
      <c r="Z1012" t="s">
        <v>17099</v>
      </c>
      <c r="AA1012" t="s">
        <v>74</v>
      </c>
      <c r="AB1012" t="s">
        <v>74</v>
      </c>
      <c r="AC1012" t="s">
        <v>74</v>
      </c>
      <c r="AD1012" t="s">
        <v>74</v>
      </c>
      <c r="AE1012" t="s">
        <v>74</v>
      </c>
      <c r="AF1012" t="s">
        <v>74</v>
      </c>
      <c r="AG1012">
        <v>18</v>
      </c>
      <c r="AH1012">
        <v>0</v>
      </c>
      <c r="AI1012">
        <v>0</v>
      </c>
      <c r="AJ1012">
        <v>0</v>
      </c>
      <c r="AK1012">
        <v>0</v>
      </c>
      <c r="AL1012" t="s">
        <v>14075</v>
      </c>
      <c r="AM1012" t="s">
        <v>227</v>
      </c>
      <c r="AN1012" t="s">
        <v>14076</v>
      </c>
      <c r="AO1012" t="s">
        <v>17100</v>
      </c>
      <c r="AP1012" t="s">
        <v>17101</v>
      </c>
      <c r="AQ1012" t="s">
        <v>74</v>
      </c>
      <c r="AR1012" t="s">
        <v>17102</v>
      </c>
      <c r="AS1012" t="s">
        <v>17103</v>
      </c>
      <c r="AT1012" t="s">
        <v>17104</v>
      </c>
      <c r="AU1012">
        <v>2024</v>
      </c>
      <c r="AV1012">
        <v>2024</v>
      </c>
      <c r="AW1012" t="s">
        <v>74</v>
      </c>
      <c r="AX1012" t="s">
        <v>74</v>
      </c>
      <c r="AY1012" t="s">
        <v>74</v>
      </c>
      <c r="AZ1012" t="s">
        <v>74</v>
      </c>
      <c r="BA1012" t="s">
        <v>74</v>
      </c>
      <c r="BB1012" t="s">
        <v>74</v>
      </c>
      <c r="BC1012" t="s">
        <v>74</v>
      </c>
      <c r="BD1012">
        <v>8810500</v>
      </c>
      <c r="BE1012" t="s">
        <v>17105</v>
      </c>
      <c r="BF1012" t="str">
        <f>HYPERLINK("http://dx.doi.org/10.1155/2024/8810500","http://dx.doi.org/10.1155/2024/8810500")</f>
        <v>http://dx.doi.org/10.1155/2024/8810500</v>
      </c>
      <c r="BG1012" t="s">
        <v>74</v>
      </c>
      <c r="BH1012" t="s">
        <v>74</v>
      </c>
      <c r="BI1012">
        <v>6</v>
      </c>
      <c r="BJ1012" t="s">
        <v>4171</v>
      </c>
      <c r="BK1012" t="s">
        <v>209</v>
      </c>
      <c r="BL1012" t="s">
        <v>4171</v>
      </c>
      <c r="BM1012" t="s">
        <v>17106</v>
      </c>
      <c r="BN1012">
        <v>38807863</v>
      </c>
      <c r="BO1012" t="s">
        <v>235</v>
      </c>
      <c r="BP1012" t="s">
        <v>74</v>
      </c>
      <c r="BQ1012" t="s">
        <v>74</v>
      </c>
      <c r="BR1012" t="s">
        <v>102</v>
      </c>
      <c r="BS1012" t="s">
        <v>17107</v>
      </c>
      <c r="BT1012" t="str">
        <f>HYPERLINK("https%3A%2F%2Fwww.webofscience.com%2Fwos%2Fwoscc%2Ffull-record%2FWOS:001236999200001","View Full Record in Web of Science")</f>
        <v>View Full Record in Web of Science</v>
      </c>
    </row>
    <row r="1013" spans="1:72" x14ac:dyDescent="0.35">
      <c r="A1013" t="s">
        <v>72</v>
      </c>
      <c r="B1013" t="s">
        <v>17108</v>
      </c>
      <c r="C1013" t="s">
        <v>74</v>
      </c>
      <c r="D1013" t="s">
        <v>74</v>
      </c>
      <c r="E1013" t="s">
        <v>74</v>
      </c>
      <c r="F1013" t="s">
        <v>17109</v>
      </c>
      <c r="G1013" t="s">
        <v>74</v>
      </c>
      <c r="H1013" t="s">
        <v>74</v>
      </c>
      <c r="I1013" t="s">
        <v>17110</v>
      </c>
      <c r="J1013" t="s">
        <v>17111</v>
      </c>
      <c r="K1013" t="s">
        <v>74</v>
      </c>
      <c r="L1013" t="s">
        <v>74</v>
      </c>
      <c r="M1013" t="s">
        <v>78</v>
      </c>
      <c r="N1013" t="s">
        <v>108</v>
      </c>
      <c r="O1013" t="s">
        <v>74</v>
      </c>
      <c r="P1013" t="s">
        <v>74</v>
      </c>
      <c r="Q1013" t="s">
        <v>74</v>
      </c>
      <c r="R1013" t="s">
        <v>74</v>
      </c>
      <c r="S1013" t="s">
        <v>74</v>
      </c>
      <c r="T1013" t="s">
        <v>17112</v>
      </c>
      <c r="U1013" t="s">
        <v>17113</v>
      </c>
      <c r="V1013" t="s">
        <v>17114</v>
      </c>
      <c r="W1013" t="s">
        <v>17115</v>
      </c>
      <c r="X1013" t="s">
        <v>17116</v>
      </c>
      <c r="Y1013" t="s">
        <v>17117</v>
      </c>
      <c r="Z1013" t="s">
        <v>17118</v>
      </c>
      <c r="AA1013" t="s">
        <v>17119</v>
      </c>
      <c r="AB1013" t="s">
        <v>74</v>
      </c>
      <c r="AC1013" t="s">
        <v>17120</v>
      </c>
      <c r="AD1013" t="s">
        <v>17120</v>
      </c>
      <c r="AE1013" t="s">
        <v>17120</v>
      </c>
      <c r="AF1013" t="s">
        <v>74</v>
      </c>
      <c r="AG1013">
        <v>36</v>
      </c>
      <c r="AH1013">
        <v>2</v>
      </c>
      <c r="AI1013">
        <v>2</v>
      </c>
      <c r="AJ1013">
        <v>0</v>
      </c>
      <c r="AK1013">
        <v>4</v>
      </c>
      <c r="AL1013" t="s">
        <v>251</v>
      </c>
      <c r="AM1013" t="s">
        <v>252</v>
      </c>
      <c r="AN1013" t="s">
        <v>253</v>
      </c>
      <c r="AO1013" t="s">
        <v>17121</v>
      </c>
      <c r="AP1013" t="s">
        <v>74</v>
      </c>
      <c r="AQ1013" t="s">
        <v>74</v>
      </c>
      <c r="AR1013" t="s">
        <v>17111</v>
      </c>
      <c r="AS1013" t="s">
        <v>17122</v>
      </c>
      <c r="AT1013" t="s">
        <v>1275</v>
      </c>
      <c r="AU1013">
        <v>2023</v>
      </c>
      <c r="AV1013">
        <v>7</v>
      </c>
      <c r="AW1013">
        <v>12</v>
      </c>
      <c r="AX1013" t="s">
        <v>74</v>
      </c>
      <c r="AY1013" t="s">
        <v>74</v>
      </c>
      <c r="AZ1013" t="s">
        <v>74</v>
      </c>
      <c r="BA1013" t="s">
        <v>74</v>
      </c>
      <c r="BB1013">
        <v>936</v>
      </c>
      <c r="BC1013">
        <v>941</v>
      </c>
      <c r="BD1013" t="s">
        <v>74</v>
      </c>
      <c r="BE1013" t="s">
        <v>17123</v>
      </c>
      <c r="BF1013" t="str">
        <f>HYPERLINK("http://dx.doi.org/10.1002/jgh3.13005","http://dx.doi.org/10.1002/jgh3.13005")</f>
        <v>http://dx.doi.org/10.1002/jgh3.13005</v>
      </c>
      <c r="BG1013" t="s">
        <v>74</v>
      </c>
      <c r="BH1013" t="s">
        <v>674</v>
      </c>
      <c r="BI1013">
        <v>6</v>
      </c>
      <c r="BJ1013" t="s">
        <v>12536</v>
      </c>
      <c r="BK1013" t="s">
        <v>125</v>
      </c>
      <c r="BL1013" t="s">
        <v>12536</v>
      </c>
      <c r="BM1013" t="s">
        <v>17124</v>
      </c>
      <c r="BN1013">
        <v>38162855</v>
      </c>
      <c r="BO1013" t="s">
        <v>394</v>
      </c>
      <c r="BP1013" t="s">
        <v>74</v>
      </c>
      <c r="BQ1013" t="s">
        <v>74</v>
      </c>
      <c r="BR1013" t="s">
        <v>102</v>
      </c>
      <c r="BS1013" t="s">
        <v>17125</v>
      </c>
      <c r="BT1013" t="str">
        <f>HYPERLINK("https%3A%2F%2Fwww.webofscience.com%2Fwos%2Fwoscc%2Ffull-record%2FWOS:001107392100001","View Full Record in Web of Science")</f>
        <v>View Full Record in Web of Science</v>
      </c>
    </row>
    <row r="1014" spans="1:72" x14ac:dyDescent="0.35">
      <c r="A1014" t="s">
        <v>72</v>
      </c>
      <c r="B1014" t="s">
        <v>17126</v>
      </c>
      <c r="C1014" t="s">
        <v>74</v>
      </c>
      <c r="D1014" t="s">
        <v>74</v>
      </c>
      <c r="E1014" t="s">
        <v>74</v>
      </c>
      <c r="F1014" t="s">
        <v>17127</v>
      </c>
      <c r="G1014" t="s">
        <v>74</v>
      </c>
      <c r="H1014" t="s">
        <v>74</v>
      </c>
      <c r="I1014" t="s">
        <v>17128</v>
      </c>
      <c r="J1014" t="s">
        <v>2524</v>
      </c>
      <c r="K1014" t="s">
        <v>74</v>
      </c>
      <c r="L1014" t="s">
        <v>74</v>
      </c>
      <c r="M1014" t="s">
        <v>78</v>
      </c>
      <c r="N1014" t="s">
        <v>1328</v>
      </c>
      <c r="O1014" t="s">
        <v>74</v>
      </c>
      <c r="P1014" t="s">
        <v>74</v>
      </c>
      <c r="Q1014" t="s">
        <v>74</v>
      </c>
      <c r="R1014" t="s">
        <v>74</v>
      </c>
      <c r="S1014" t="s">
        <v>74</v>
      </c>
      <c r="T1014" t="s">
        <v>74</v>
      </c>
      <c r="U1014" t="s">
        <v>74</v>
      </c>
      <c r="V1014" t="s">
        <v>74</v>
      </c>
      <c r="W1014" t="s">
        <v>17129</v>
      </c>
      <c r="X1014" t="s">
        <v>17130</v>
      </c>
      <c r="Y1014" t="s">
        <v>17131</v>
      </c>
      <c r="Z1014" t="s">
        <v>17132</v>
      </c>
      <c r="AA1014" t="s">
        <v>17133</v>
      </c>
      <c r="AB1014" t="s">
        <v>74</v>
      </c>
      <c r="AC1014" t="s">
        <v>74</v>
      </c>
      <c r="AD1014" t="s">
        <v>74</v>
      </c>
      <c r="AE1014" t="s">
        <v>74</v>
      </c>
      <c r="AF1014" t="s">
        <v>74</v>
      </c>
      <c r="AG1014">
        <v>8</v>
      </c>
      <c r="AH1014">
        <v>1</v>
      </c>
      <c r="AI1014">
        <v>1</v>
      </c>
      <c r="AJ1014">
        <v>0</v>
      </c>
      <c r="AK1014">
        <v>0</v>
      </c>
      <c r="AL1014" t="s">
        <v>226</v>
      </c>
      <c r="AM1014" t="s">
        <v>227</v>
      </c>
      <c r="AN1014" t="s">
        <v>228</v>
      </c>
      <c r="AO1014" t="s">
        <v>2530</v>
      </c>
      <c r="AP1014" t="s">
        <v>2531</v>
      </c>
      <c r="AQ1014" t="s">
        <v>74</v>
      </c>
      <c r="AR1014" t="s">
        <v>2532</v>
      </c>
      <c r="AS1014" t="s">
        <v>2533</v>
      </c>
      <c r="AT1014" t="s">
        <v>930</v>
      </c>
      <c r="AU1014">
        <v>2024</v>
      </c>
      <c r="AV1014">
        <v>72</v>
      </c>
      <c r="AW1014">
        <v>4</v>
      </c>
      <c r="AX1014" t="s">
        <v>74</v>
      </c>
      <c r="AY1014" t="s">
        <v>74</v>
      </c>
      <c r="AZ1014" t="s">
        <v>74</v>
      </c>
      <c r="BA1014" t="s">
        <v>74</v>
      </c>
      <c r="BB1014">
        <v>383</v>
      </c>
      <c r="BC1014">
        <v>386</v>
      </c>
      <c r="BD1014" t="s">
        <v>74</v>
      </c>
      <c r="BE1014" t="s">
        <v>17134</v>
      </c>
      <c r="BF1014" t="str">
        <f>HYPERLINK("http://dx.doi.org/10.1177/10815589241235658","http://dx.doi.org/10.1177/10815589241235658")</f>
        <v>http://dx.doi.org/10.1177/10815589241235658</v>
      </c>
      <c r="BG1014" t="s">
        <v>74</v>
      </c>
      <c r="BH1014" t="s">
        <v>74</v>
      </c>
      <c r="BI1014">
        <v>4</v>
      </c>
      <c r="BJ1014" t="s">
        <v>2535</v>
      </c>
      <c r="BK1014" t="s">
        <v>209</v>
      </c>
      <c r="BL1014" t="s">
        <v>2536</v>
      </c>
      <c r="BM1014" t="s">
        <v>17135</v>
      </c>
      <c r="BN1014">
        <v>38516901</v>
      </c>
      <c r="BO1014" t="s">
        <v>74</v>
      </c>
      <c r="BP1014" t="s">
        <v>74</v>
      </c>
      <c r="BQ1014" t="s">
        <v>74</v>
      </c>
      <c r="BR1014" t="s">
        <v>102</v>
      </c>
      <c r="BS1014" t="s">
        <v>17136</v>
      </c>
      <c r="BT1014" t="str">
        <f>HYPERLINK("https%3A%2F%2Fwww.webofscience.com%2Fwos%2Fwoscc%2Ffull-record%2FWOS:001196750300001","View Full Record in Web of Science")</f>
        <v>View Full Record in Web of Science</v>
      </c>
    </row>
    <row r="1015" spans="1:72" x14ac:dyDescent="0.35">
      <c r="A1015" t="s">
        <v>72</v>
      </c>
      <c r="B1015" t="s">
        <v>17137</v>
      </c>
      <c r="C1015" t="s">
        <v>74</v>
      </c>
      <c r="D1015" t="s">
        <v>74</v>
      </c>
      <c r="E1015" t="s">
        <v>74</v>
      </c>
      <c r="F1015" t="s">
        <v>17138</v>
      </c>
      <c r="G1015" t="s">
        <v>74</v>
      </c>
      <c r="H1015" t="s">
        <v>74</v>
      </c>
      <c r="I1015" t="s">
        <v>17139</v>
      </c>
      <c r="J1015" t="s">
        <v>7977</v>
      </c>
      <c r="K1015" t="s">
        <v>74</v>
      </c>
      <c r="L1015" t="s">
        <v>74</v>
      </c>
      <c r="M1015" t="s">
        <v>78</v>
      </c>
      <c r="N1015" t="s">
        <v>79</v>
      </c>
      <c r="O1015" t="s">
        <v>74</v>
      </c>
      <c r="P1015" t="s">
        <v>74</v>
      </c>
      <c r="Q1015" t="s">
        <v>74</v>
      </c>
      <c r="R1015" t="s">
        <v>74</v>
      </c>
      <c r="S1015" t="s">
        <v>74</v>
      </c>
      <c r="T1015" t="s">
        <v>17140</v>
      </c>
      <c r="U1015" t="s">
        <v>1730</v>
      </c>
      <c r="V1015" t="s">
        <v>17141</v>
      </c>
      <c r="W1015" t="s">
        <v>17142</v>
      </c>
      <c r="X1015" t="s">
        <v>17143</v>
      </c>
      <c r="Y1015" t="s">
        <v>17144</v>
      </c>
      <c r="Z1015" t="s">
        <v>17145</v>
      </c>
      <c r="AA1015" t="s">
        <v>74</v>
      </c>
      <c r="AB1015" t="s">
        <v>74</v>
      </c>
      <c r="AC1015" t="s">
        <v>74</v>
      </c>
      <c r="AD1015" t="s">
        <v>74</v>
      </c>
      <c r="AE1015" t="s">
        <v>74</v>
      </c>
      <c r="AF1015" t="s">
        <v>74</v>
      </c>
      <c r="AG1015">
        <v>64</v>
      </c>
      <c r="AH1015">
        <v>1</v>
      </c>
      <c r="AI1015">
        <v>1</v>
      </c>
      <c r="AJ1015">
        <v>15</v>
      </c>
      <c r="AK1015">
        <v>19</v>
      </c>
      <c r="AL1015" t="s">
        <v>171</v>
      </c>
      <c r="AM1015" t="s">
        <v>172</v>
      </c>
      <c r="AN1015" t="s">
        <v>173</v>
      </c>
      <c r="AO1015" t="s">
        <v>7985</v>
      </c>
      <c r="AP1015" t="s">
        <v>7986</v>
      </c>
      <c r="AQ1015" t="s">
        <v>74</v>
      </c>
      <c r="AR1015" t="s">
        <v>7987</v>
      </c>
      <c r="AS1015" t="s">
        <v>7988</v>
      </c>
      <c r="AT1015" t="s">
        <v>17146</v>
      </c>
      <c r="AU1015">
        <v>2024</v>
      </c>
      <c r="AV1015" t="s">
        <v>74</v>
      </c>
      <c r="AW1015" t="s">
        <v>74</v>
      </c>
      <c r="AX1015" t="s">
        <v>74</v>
      </c>
      <c r="AY1015" t="s">
        <v>74</v>
      </c>
      <c r="AZ1015" t="s">
        <v>74</v>
      </c>
      <c r="BA1015" t="s">
        <v>74</v>
      </c>
      <c r="BB1015" t="s">
        <v>74</v>
      </c>
      <c r="BC1015" t="s">
        <v>74</v>
      </c>
      <c r="BD1015" t="s">
        <v>74</v>
      </c>
      <c r="BE1015" t="s">
        <v>17147</v>
      </c>
      <c r="BF1015" t="str">
        <f>HYPERLINK("http://dx.doi.org/10.1177/15554120241244416","http://dx.doi.org/10.1177/15554120241244416")</f>
        <v>http://dx.doi.org/10.1177/15554120241244416</v>
      </c>
      <c r="BG1015" t="s">
        <v>74</v>
      </c>
      <c r="BH1015" t="s">
        <v>2410</v>
      </c>
      <c r="BI1015">
        <v>18</v>
      </c>
      <c r="BJ1015" t="s">
        <v>7991</v>
      </c>
      <c r="BK1015" t="s">
        <v>2125</v>
      </c>
      <c r="BL1015" t="s">
        <v>7991</v>
      </c>
      <c r="BM1015" t="s">
        <v>17148</v>
      </c>
      <c r="BN1015" t="s">
        <v>74</v>
      </c>
      <c r="BO1015" t="s">
        <v>74</v>
      </c>
      <c r="BP1015" t="s">
        <v>74</v>
      </c>
      <c r="BQ1015" t="s">
        <v>74</v>
      </c>
      <c r="BR1015" t="s">
        <v>102</v>
      </c>
      <c r="BS1015" t="s">
        <v>17149</v>
      </c>
      <c r="BT1015" t="str">
        <f>HYPERLINK("https%3A%2F%2Fwww.webofscience.com%2Fwos%2Fwoscc%2Ffull-record%2FWOS:001199572900001","View Full Record in Web of Science")</f>
        <v>View Full Record in Web of Science</v>
      </c>
    </row>
    <row r="1016" spans="1:72" x14ac:dyDescent="0.35">
      <c r="A1016" t="s">
        <v>72</v>
      </c>
      <c r="B1016" t="s">
        <v>17150</v>
      </c>
      <c r="C1016" t="s">
        <v>74</v>
      </c>
      <c r="D1016" t="s">
        <v>74</v>
      </c>
      <c r="E1016" t="s">
        <v>74</v>
      </c>
      <c r="F1016" t="s">
        <v>17151</v>
      </c>
      <c r="G1016" t="s">
        <v>74</v>
      </c>
      <c r="H1016" t="s">
        <v>74</v>
      </c>
      <c r="I1016" t="s">
        <v>17152</v>
      </c>
      <c r="J1016" t="s">
        <v>17153</v>
      </c>
      <c r="K1016" t="s">
        <v>74</v>
      </c>
      <c r="L1016" t="s">
        <v>74</v>
      </c>
      <c r="M1016" t="s">
        <v>78</v>
      </c>
      <c r="N1016" t="s">
        <v>108</v>
      </c>
      <c r="O1016" t="s">
        <v>74</v>
      </c>
      <c r="P1016" t="s">
        <v>74</v>
      </c>
      <c r="Q1016" t="s">
        <v>74</v>
      </c>
      <c r="R1016" t="s">
        <v>74</v>
      </c>
      <c r="S1016" t="s">
        <v>74</v>
      </c>
      <c r="T1016" t="s">
        <v>17154</v>
      </c>
      <c r="U1016" t="s">
        <v>17155</v>
      </c>
      <c r="V1016" t="s">
        <v>17156</v>
      </c>
      <c r="W1016" t="s">
        <v>17157</v>
      </c>
      <c r="X1016" t="s">
        <v>17158</v>
      </c>
      <c r="Y1016" t="s">
        <v>17159</v>
      </c>
      <c r="Z1016" t="s">
        <v>17160</v>
      </c>
      <c r="AA1016" t="s">
        <v>74</v>
      </c>
      <c r="AB1016" t="s">
        <v>74</v>
      </c>
      <c r="AC1016" t="s">
        <v>17161</v>
      </c>
      <c r="AD1016" t="s">
        <v>17161</v>
      </c>
      <c r="AE1016" t="s">
        <v>17162</v>
      </c>
      <c r="AF1016" t="s">
        <v>74</v>
      </c>
      <c r="AG1016">
        <v>44</v>
      </c>
      <c r="AH1016">
        <v>1</v>
      </c>
      <c r="AI1016">
        <v>1</v>
      </c>
      <c r="AJ1016">
        <v>2</v>
      </c>
      <c r="AK1016">
        <v>2</v>
      </c>
      <c r="AL1016" t="s">
        <v>870</v>
      </c>
      <c r="AM1016" t="s">
        <v>871</v>
      </c>
      <c r="AN1016" t="s">
        <v>872</v>
      </c>
      <c r="AO1016" t="s">
        <v>17163</v>
      </c>
      <c r="AP1016" t="s">
        <v>17164</v>
      </c>
      <c r="AQ1016" t="s">
        <v>74</v>
      </c>
      <c r="AR1016" t="s">
        <v>17165</v>
      </c>
      <c r="AS1016" t="s">
        <v>17166</v>
      </c>
      <c r="AT1016" t="s">
        <v>2234</v>
      </c>
      <c r="AU1016">
        <v>2023</v>
      </c>
      <c r="AV1016">
        <v>15</v>
      </c>
      <c r="AW1016">
        <v>2</v>
      </c>
      <c r="AX1016" t="s">
        <v>74</v>
      </c>
      <c r="AY1016" t="s">
        <v>74</v>
      </c>
      <c r="AZ1016" t="s">
        <v>74</v>
      </c>
      <c r="BA1016" t="s">
        <v>74</v>
      </c>
      <c r="BB1016">
        <v>161</v>
      </c>
      <c r="BC1016">
        <v>177</v>
      </c>
      <c r="BD1016" t="s">
        <v>74</v>
      </c>
      <c r="BE1016" t="s">
        <v>17167</v>
      </c>
      <c r="BF1016" t="str">
        <f>HYPERLINK("http://dx.doi.org/10.1386/jams_00098_1","http://dx.doi.org/10.1386/jams_00098_1")</f>
        <v>http://dx.doi.org/10.1386/jams_00098_1</v>
      </c>
      <c r="BG1016" t="s">
        <v>74</v>
      </c>
      <c r="BH1016" t="s">
        <v>74</v>
      </c>
      <c r="BI1016">
        <v>17</v>
      </c>
      <c r="BJ1016" t="s">
        <v>17168</v>
      </c>
      <c r="BK1016" t="s">
        <v>2125</v>
      </c>
      <c r="BL1016" t="s">
        <v>17169</v>
      </c>
      <c r="BM1016" t="s">
        <v>17170</v>
      </c>
      <c r="BN1016" t="s">
        <v>74</v>
      </c>
      <c r="BO1016" t="s">
        <v>156</v>
      </c>
      <c r="BP1016" t="s">
        <v>74</v>
      </c>
      <c r="BQ1016" t="s">
        <v>74</v>
      </c>
      <c r="BR1016" t="s">
        <v>102</v>
      </c>
      <c r="BS1016" t="s">
        <v>17171</v>
      </c>
      <c r="BT1016" t="str">
        <f>HYPERLINK("https%3A%2F%2Fwww.webofscience.com%2Fwos%2Fwoscc%2Ffull-record%2FWOS:001157479800002","View Full Record in Web of Science")</f>
        <v>View Full Record in Web of Science</v>
      </c>
    </row>
    <row r="1017" spans="1:72" x14ac:dyDescent="0.35">
      <c r="A1017" t="s">
        <v>72</v>
      </c>
      <c r="B1017" t="s">
        <v>17172</v>
      </c>
      <c r="C1017" t="s">
        <v>74</v>
      </c>
      <c r="D1017" t="s">
        <v>74</v>
      </c>
      <c r="E1017" t="s">
        <v>74</v>
      </c>
      <c r="F1017" t="s">
        <v>17173</v>
      </c>
      <c r="G1017" t="s">
        <v>74</v>
      </c>
      <c r="H1017" t="s">
        <v>74</v>
      </c>
      <c r="I1017" t="s">
        <v>17174</v>
      </c>
      <c r="J1017" t="s">
        <v>9554</v>
      </c>
      <c r="K1017" t="s">
        <v>74</v>
      </c>
      <c r="L1017" t="s">
        <v>74</v>
      </c>
      <c r="M1017" t="s">
        <v>78</v>
      </c>
      <c r="N1017" t="s">
        <v>108</v>
      </c>
      <c r="O1017" t="s">
        <v>74</v>
      </c>
      <c r="P1017" t="s">
        <v>74</v>
      </c>
      <c r="Q1017" t="s">
        <v>74</v>
      </c>
      <c r="R1017" t="s">
        <v>74</v>
      </c>
      <c r="S1017" t="s">
        <v>74</v>
      </c>
      <c r="T1017" t="s">
        <v>17175</v>
      </c>
      <c r="U1017" t="s">
        <v>17176</v>
      </c>
      <c r="V1017" t="s">
        <v>17177</v>
      </c>
      <c r="W1017" t="s">
        <v>17178</v>
      </c>
      <c r="X1017" t="s">
        <v>17179</v>
      </c>
      <c r="Y1017" t="s">
        <v>17180</v>
      </c>
      <c r="Z1017" t="s">
        <v>17181</v>
      </c>
      <c r="AA1017" t="s">
        <v>17182</v>
      </c>
      <c r="AB1017" t="s">
        <v>17183</v>
      </c>
      <c r="AC1017" t="s">
        <v>74</v>
      </c>
      <c r="AD1017" t="s">
        <v>74</v>
      </c>
      <c r="AE1017" t="s">
        <v>74</v>
      </c>
      <c r="AF1017" t="s">
        <v>74</v>
      </c>
      <c r="AG1017">
        <v>23</v>
      </c>
      <c r="AH1017">
        <v>4</v>
      </c>
      <c r="AI1017">
        <v>4</v>
      </c>
      <c r="AJ1017">
        <v>1</v>
      </c>
      <c r="AK1017">
        <v>9</v>
      </c>
      <c r="AL1017" t="s">
        <v>251</v>
      </c>
      <c r="AM1017" t="s">
        <v>252</v>
      </c>
      <c r="AN1017" t="s">
        <v>253</v>
      </c>
      <c r="AO1017" t="s">
        <v>9563</v>
      </c>
      <c r="AP1017" t="s">
        <v>9564</v>
      </c>
      <c r="AQ1017" t="s">
        <v>74</v>
      </c>
      <c r="AR1017" t="s">
        <v>9565</v>
      </c>
      <c r="AS1017" t="s">
        <v>9566</v>
      </c>
      <c r="AT1017" t="s">
        <v>178</v>
      </c>
      <c r="AU1017">
        <v>2023</v>
      </c>
      <c r="AV1017">
        <v>22</v>
      </c>
      <c r="AW1017">
        <v>2</v>
      </c>
      <c r="AX1017" t="s">
        <v>74</v>
      </c>
      <c r="AY1017" t="s">
        <v>74</v>
      </c>
      <c r="AZ1017" t="s">
        <v>74</v>
      </c>
      <c r="BA1017" t="s">
        <v>74</v>
      </c>
      <c r="BB1017">
        <v>586</v>
      </c>
      <c r="BC1017">
        <v>592</v>
      </c>
      <c r="BD1017" t="s">
        <v>74</v>
      </c>
      <c r="BE1017" t="s">
        <v>17184</v>
      </c>
      <c r="BF1017" t="str">
        <f>HYPERLINK("http://dx.doi.org/10.1111/jocd.15605","http://dx.doi.org/10.1111/jocd.15605")</f>
        <v>http://dx.doi.org/10.1111/jocd.15605</v>
      </c>
      <c r="BG1017" t="s">
        <v>74</v>
      </c>
      <c r="BH1017" t="s">
        <v>3638</v>
      </c>
      <c r="BI1017">
        <v>7</v>
      </c>
      <c r="BJ1017" t="s">
        <v>1341</v>
      </c>
      <c r="BK1017" t="s">
        <v>209</v>
      </c>
      <c r="BL1017" t="s">
        <v>1341</v>
      </c>
      <c r="BM1017" t="s">
        <v>17185</v>
      </c>
      <c r="BN1017">
        <v>36606397</v>
      </c>
      <c r="BO1017" t="s">
        <v>156</v>
      </c>
      <c r="BP1017" t="s">
        <v>74</v>
      </c>
      <c r="BQ1017" t="s">
        <v>74</v>
      </c>
      <c r="BR1017" t="s">
        <v>102</v>
      </c>
      <c r="BS1017" t="s">
        <v>17186</v>
      </c>
      <c r="BT1017" t="str">
        <f>HYPERLINK("https%3A%2F%2Fwww.webofscience.com%2Fwos%2Fwoscc%2Ffull-record%2FWOS:000907868100001","View Full Record in Web of Science")</f>
        <v>View Full Record in Web of Science</v>
      </c>
    </row>
    <row r="1018" spans="1:72" x14ac:dyDescent="0.35">
      <c r="A1018" t="s">
        <v>72</v>
      </c>
      <c r="B1018" t="s">
        <v>6953</v>
      </c>
      <c r="C1018" t="s">
        <v>74</v>
      </c>
      <c r="D1018" t="s">
        <v>74</v>
      </c>
      <c r="E1018" t="s">
        <v>74</v>
      </c>
      <c r="F1018" t="s">
        <v>6954</v>
      </c>
      <c r="G1018" t="s">
        <v>74</v>
      </c>
      <c r="H1018" t="s">
        <v>74</v>
      </c>
      <c r="I1018" t="s">
        <v>17187</v>
      </c>
      <c r="J1018" t="s">
        <v>107</v>
      </c>
      <c r="K1018" t="s">
        <v>74</v>
      </c>
      <c r="L1018" t="s">
        <v>74</v>
      </c>
      <c r="M1018" t="s">
        <v>78</v>
      </c>
      <c r="N1018" t="s">
        <v>108</v>
      </c>
      <c r="O1018" t="s">
        <v>74</v>
      </c>
      <c r="P1018" t="s">
        <v>74</v>
      </c>
      <c r="Q1018" t="s">
        <v>74</v>
      </c>
      <c r="R1018" t="s">
        <v>74</v>
      </c>
      <c r="S1018" t="s">
        <v>74</v>
      </c>
      <c r="T1018" t="s">
        <v>17188</v>
      </c>
      <c r="U1018" t="s">
        <v>17189</v>
      </c>
      <c r="V1018" t="s">
        <v>17190</v>
      </c>
      <c r="W1018" t="s">
        <v>17191</v>
      </c>
      <c r="X1018" t="s">
        <v>6960</v>
      </c>
      <c r="Y1018" t="s">
        <v>17192</v>
      </c>
      <c r="Z1018" t="s">
        <v>17193</v>
      </c>
      <c r="AA1018" t="s">
        <v>17194</v>
      </c>
      <c r="AB1018" t="s">
        <v>6964</v>
      </c>
      <c r="AC1018" t="s">
        <v>74</v>
      </c>
      <c r="AD1018" t="s">
        <v>74</v>
      </c>
      <c r="AE1018" t="s">
        <v>74</v>
      </c>
      <c r="AF1018" t="s">
        <v>74</v>
      </c>
      <c r="AG1018">
        <v>104</v>
      </c>
      <c r="AH1018">
        <v>17</v>
      </c>
      <c r="AI1018">
        <v>20</v>
      </c>
      <c r="AJ1018">
        <v>4</v>
      </c>
      <c r="AK1018">
        <v>38</v>
      </c>
      <c r="AL1018" t="s">
        <v>88</v>
      </c>
      <c r="AM1018" t="s">
        <v>89</v>
      </c>
      <c r="AN1018" t="s">
        <v>90</v>
      </c>
      <c r="AO1018" t="s">
        <v>117</v>
      </c>
      <c r="AP1018" t="s">
        <v>118</v>
      </c>
      <c r="AQ1018" t="s">
        <v>74</v>
      </c>
      <c r="AR1018" t="s">
        <v>119</v>
      </c>
      <c r="AS1018" t="s">
        <v>120</v>
      </c>
      <c r="AT1018" t="s">
        <v>13174</v>
      </c>
      <c r="AU1018">
        <v>2022</v>
      </c>
      <c r="AV1018">
        <v>15</v>
      </c>
      <c r="AW1018">
        <v>4</v>
      </c>
      <c r="AX1018" t="s">
        <v>74</v>
      </c>
      <c r="AY1018" t="s">
        <v>74</v>
      </c>
      <c r="AZ1018" t="s">
        <v>456</v>
      </c>
      <c r="BA1018" t="s">
        <v>74</v>
      </c>
      <c r="BB1018">
        <v>414</v>
      </c>
      <c r="BC1018">
        <v>434</v>
      </c>
      <c r="BD1018" t="s">
        <v>74</v>
      </c>
      <c r="BE1018" t="s">
        <v>17195</v>
      </c>
      <c r="BF1018" t="str">
        <f>HYPERLINK("http://dx.doi.org/10.1080/17513057.2022.2131883","http://dx.doi.org/10.1080/17513057.2022.2131883")</f>
        <v>http://dx.doi.org/10.1080/17513057.2022.2131883</v>
      </c>
      <c r="BG1018" t="s">
        <v>74</v>
      </c>
      <c r="BH1018" t="s">
        <v>366</v>
      </c>
      <c r="BI1018">
        <v>21</v>
      </c>
      <c r="BJ1018" t="s">
        <v>124</v>
      </c>
      <c r="BK1018" t="s">
        <v>125</v>
      </c>
      <c r="BL1018" t="s">
        <v>124</v>
      </c>
      <c r="BM1018" t="s">
        <v>17196</v>
      </c>
      <c r="BN1018" t="s">
        <v>74</v>
      </c>
      <c r="BO1018" t="s">
        <v>74</v>
      </c>
      <c r="BP1018" t="s">
        <v>74</v>
      </c>
      <c r="BQ1018" t="s">
        <v>74</v>
      </c>
      <c r="BR1018" t="s">
        <v>102</v>
      </c>
      <c r="BS1018" t="s">
        <v>17197</v>
      </c>
      <c r="BT1018" t="str">
        <f>HYPERLINK("https%3A%2F%2Fwww.webofscience.com%2Fwos%2Fwoscc%2Ffull-record%2FWOS:000877444600001","View Full Record in Web of Science")</f>
        <v>View Full Record in Web of Science</v>
      </c>
    </row>
    <row r="1019" spans="1:72" x14ac:dyDescent="0.35">
      <c r="A1019" t="s">
        <v>72</v>
      </c>
      <c r="B1019" t="s">
        <v>17198</v>
      </c>
      <c r="C1019" t="s">
        <v>74</v>
      </c>
      <c r="D1019" t="s">
        <v>74</v>
      </c>
      <c r="E1019" t="s">
        <v>74</v>
      </c>
      <c r="F1019" t="s">
        <v>17199</v>
      </c>
      <c r="G1019" t="s">
        <v>74</v>
      </c>
      <c r="H1019" t="s">
        <v>74</v>
      </c>
      <c r="I1019" t="s">
        <v>17200</v>
      </c>
      <c r="J1019" t="s">
        <v>17201</v>
      </c>
      <c r="K1019" t="s">
        <v>74</v>
      </c>
      <c r="L1019" t="s">
        <v>74</v>
      </c>
      <c r="M1019" t="s">
        <v>78</v>
      </c>
      <c r="N1019" t="s">
        <v>108</v>
      </c>
      <c r="O1019" t="s">
        <v>74</v>
      </c>
      <c r="P1019" t="s">
        <v>74</v>
      </c>
      <c r="Q1019" t="s">
        <v>74</v>
      </c>
      <c r="R1019" t="s">
        <v>74</v>
      </c>
      <c r="S1019" t="s">
        <v>74</v>
      </c>
      <c r="T1019" t="s">
        <v>17202</v>
      </c>
      <c r="U1019" t="s">
        <v>17203</v>
      </c>
      <c r="V1019" t="s">
        <v>17204</v>
      </c>
      <c r="W1019" t="s">
        <v>17205</v>
      </c>
      <c r="X1019" t="s">
        <v>17206</v>
      </c>
      <c r="Y1019" t="s">
        <v>17207</v>
      </c>
      <c r="Z1019" t="s">
        <v>17208</v>
      </c>
      <c r="AA1019" t="s">
        <v>74</v>
      </c>
      <c r="AB1019" t="s">
        <v>17209</v>
      </c>
      <c r="AC1019" t="s">
        <v>17210</v>
      </c>
      <c r="AD1019" t="s">
        <v>17211</v>
      </c>
      <c r="AE1019" t="s">
        <v>17212</v>
      </c>
      <c r="AF1019" t="s">
        <v>74</v>
      </c>
      <c r="AG1019">
        <v>53</v>
      </c>
      <c r="AH1019">
        <v>0</v>
      </c>
      <c r="AI1019">
        <v>0</v>
      </c>
      <c r="AJ1019">
        <v>7</v>
      </c>
      <c r="AK1019">
        <v>7</v>
      </c>
      <c r="AL1019" t="s">
        <v>171</v>
      </c>
      <c r="AM1019" t="s">
        <v>172</v>
      </c>
      <c r="AN1019" t="s">
        <v>173</v>
      </c>
      <c r="AO1019" t="s">
        <v>17213</v>
      </c>
      <c r="AP1019" t="s">
        <v>17214</v>
      </c>
      <c r="AQ1019" t="s">
        <v>74</v>
      </c>
      <c r="AR1019" t="s">
        <v>17215</v>
      </c>
      <c r="AS1019" t="s">
        <v>17216</v>
      </c>
      <c r="AT1019" t="s">
        <v>273</v>
      </c>
      <c r="AU1019">
        <v>2024</v>
      </c>
      <c r="AV1019">
        <v>30</v>
      </c>
      <c r="AW1019">
        <v>3</v>
      </c>
      <c r="AX1019" t="s">
        <v>74</v>
      </c>
      <c r="AY1019" t="s">
        <v>74</v>
      </c>
      <c r="AZ1019" t="s">
        <v>74</v>
      </c>
      <c r="BA1019" t="s">
        <v>74</v>
      </c>
      <c r="BB1019" t="s">
        <v>74</v>
      </c>
      <c r="BC1019" t="s">
        <v>74</v>
      </c>
      <c r="BD1019">
        <v>1.4604582241275824E+16</v>
      </c>
      <c r="BE1019" t="s">
        <v>17217</v>
      </c>
      <c r="BF1019" t="str">
        <f>HYPERLINK("http://dx.doi.org/10.1177/14604582241275824","http://dx.doi.org/10.1177/14604582241275824")</f>
        <v>http://dx.doi.org/10.1177/14604582241275824</v>
      </c>
      <c r="BG1019" t="s">
        <v>74</v>
      </c>
      <c r="BH1019" t="s">
        <v>74</v>
      </c>
      <c r="BI1019">
        <v>15</v>
      </c>
      <c r="BJ1019" t="s">
        <v>550</v>
      </c>
      <c r="BK1019" t="s">
        <v>209</v>
      </c>
      <c r="BL1019" t="s">
        <v>550</v>
      </c>
      <c r="BM1019" t="s">
        <v>17218</v>
      </c>
      <c r="BN1019">
        <v>39137943</v>
      </c>
      <c r="BO1019" t="s">
        <v>235</v>
      </c>
      <c r="BP1019" t="s">
        <v>74</v>
      </c>
      <c r="BQ1019" t="s">
        <v>74</v>
      </c>
      <c r="BR1019" t="s">
        <v>102</v>
      </c>
      <c r="BS1019" t="s">
        <v>17219</v>
      </c>
      <c r="BT1019" t="str">
        <f>HYPERLINK("https%3A%2F%2Fwww.webofscience.com%2Fwos%2Fwoscc%2Ffull-record%2FWOS:001290318700001","View Full Record in Web of Science")</f>
        <v>View Full Record in Web of Science</v>
      </c>
    </row>
    <row r="1020" spans="1:72" x14ac:dyDescent="0.35">
      <c r="A1020" t="s">
        <v>72</v>
      </c>
      <c r="B1020" t="s">
        <v>17220</v>
      </c>
      <c r="C1020" t="s">
        <v>74</v>
      </c>
      <c r="D1020" t="s">
        <v>74</v>
      </c>
      <c r="E1020" t="s">
        <v>74</v>
      </c>
      <c r="F1020" t="s">
        <v>17221</v>
      </c>
      <c r="G1020" t="s">
        <v>74</v>
      </c>
      <c r="H1020" t="s">
        <v>74</v>
      </c>
      <c r="I1020" t="s">
        <v>17222</v>
      </c>
      <c r="J1020" t="s">
        <v>17223</v>
      </c>
      <c r="K1020" t="s">
        <v>74</v>
      </c>
      <c r="L1020" t="s">
        <v>74</v>
      </c>
      <c r="M1020" t="s">
        <v>78</v>
      </c>
      <c r="N1020" t="s">
        <v>108</v>
      </c>
      <c r="O1020" t="s">
        <v>74</v>
      </c>
      <c r="P1020" t="s">
        <v>74</v>
      </c>
      <c r="Q1020" t="s">
        <v>74</v>
      </c>
      <c r="R1020" t="s">
        <v>74</v>
      </c>
      <c r="S1020" t="s">
        <v>74</v>
      </c>
      <c r="T1020" t="s">
        <v>17224</v>
      </c>
      <c r="U1020" t="s">
        <v>17225</v>
      </c>
      <c r="V1020" t="s">
        <v>17226</v>
      </c>
      <c r="W1020" t="s">
        <v>17227</v>
      </c>
      <c r="X1020" t="s">
        <v>17228</v>
      </c>
      <c r="Y1020" t="s">
        <v>17229</v>
      </c>
      <c r="Z1020" t="s">
        <v>17230</v>
      </c>
      <c r="AA1020" t="s">
        <v>17231</v>
      </c>
      <c r="AB1020" t="s">
        <v>17232</v>
      </c>
      <c r="AC1020" t="s">
        <v>74</v>
      </c>
      <c r="AD1020" t="s">
        <v>74</v>
      </c>
      <c r="AE1020" t="s">
        <v>74</v>
      </c>
      <c r="AF1020" t="s">
        <v>74</v>
      </c>
      <c r="AG1020">
        <v>39</v>
      </c>
      <c r="AH1020">
        <v>0</v>
      </c>
      <c r="AI1020">
        <v>0</v>
      </c>
      <c r="AJ1020">
        <v>0</v>
      </c>
      <c r="AK1020">
        <v>0</v>
      </c>
      <c r="AL1020" t="s">
        <v>12436</v>
      </c>
      <c r="AM1020" t="s">
        <v>12437</v>
      </c>
      <c r="AN1020" t="s">
        <v>12438</v>
      </c>
      <c r="AO1020" t="s">
        <v>17233</v>
      </c>
      <c r="AP1020" t="s">
        <v>17234</v>
      </c>
      <c r="AQ1020" t="s">
        <v>74</v>
      </c>
      <c r="AR1020" t="s">
        <v>17235</v>
      </c>
      <c r="AS1020" t="s">
        <v>17236</v>
      </c>
      <c r="AT1020" t="s">
        <v>1275</v>
      </c>
      <c r="AU1020">
        <v>2024</v>
      </c>
      <c r="AV1020">
        <v>161</v>
      </c>
      <c r="AW1020" t="s">
        <v>74</v>
      </c>
      <c r="AX1020" t="s">
        <v>74</v>
      </c>
      <c r="AY1020" t="s">
        <v>74</v>
      </c>
      <c r="AZ1020" t="s">
        <v>74</v>
      </c>
      <c r="BA1020" t="s">
        <v>74</v>
      </c>
      <c r="BB1020" t="s">
        <v>74</v>
      </c>
      <c r="BC1020" t="s">
        <v>74</v>
      </c>
      <c r="BD1020">
        <v>110116</v>
      </c>
      <c r="BE1020" t="s">
        <v>17237</v>
      </c>
      <c r="BF1020" t="str">
        <f>HYPERLINK("http://dx.doi.org/10.1016/j.yebeh.2024.110116","http://dx.doi.org/10.1016/j.yebeh.2024.110116")</f>
        <v>http://dx.doi.org/10.1016/j.yebeh.2024.110116</v>
      </c>
      <c r="BG1020" t="s">
        <v>74</v>
      </c>
      <c r="BH1020" t="s">
        <v>4092</v>
      </c>
      <c r="BI1020">
        <v>6</v>
      </c>
      <c r="BJ1020" t="s">
        <v>17238</v>
      </c>
      <c r="BK1020" t="s">
        <v>209</v>
      </c>
      <c r="BL1020" t="s">
        <v>17239</v>
      </c>
      <c r="BM1020" t="s">
        <v>17240</v>
      </c>
      <c r="BN1020">
        <v>39510014</v>
      </c>
      <c r="BO1020" t="s">
        <v>74</v>
      </c>
      <c r="BP1020" t="s">
        <v>74</v>
      </c>
      <c r="BQ1020" t="s">
        <v>74</v>
      </c>
      <c r="BR1020" t="s">
        <v>102</v>
      </c>
      <c r="BS1020" t="s">
        <v>17241</v>
      </c>
      <c r="BT1020" t="str">
        <f>HYPERLINK("https%3A%2F%2Fwww.webofscience.com%2Fwos%2Fwoscc%2Ffull-record%2FWOS:001352984800001","View Full Record in Web of Science")</f>
        <v>View Full Record in Web of Science</v>
      </c>
    </row>
    <row r="1021" spans="1:72" x14ac:dyDescent="0.35">
      <c r="A1021" t="s">
        <v>72</v>
      </c>
      <c r="B1021" t="s">
        <v>17242</v>
      </c>
      <c r="C1021" t="s">
        <v>74</v>
      </c>
      <c r="D1021" t="s">
        <v>74</v>
      </c>
      <c r="E1021" t="s">
        <v>74</v>
      </c>
      <c r="F1021" t="s">
        <v>17243</v>
      </c>
      <c r="G1021" t="s">
        <v>74</v>
      </c>
      <c r="H1021" t="s">
        <v>74</v>
      </c>
      <c r="I1021" t="s">
        <v>17244</v>
      </c>
      <c r="J1021" t="s">
        <v>3000</v>
      </c>
      <c r="K1021" t="s">
        <v>74</v>
      </c>
      <c r="L1021" t="s">
        <v>74</v>
      </c>
      <c r="M1021" t="s">
        <v>78</v>
      </c>
      <c r="N1021" t="s">
        <v>108</v>
      </c>
      <c r="O1021" t="s">
        <v>74</v>
      </c>
      <c r="P1021" t="s">
        <v>74</v>
      </c>
      <c r="Q1021" t="s">
        <v>74</v>
      </c>
      <c r="R1021" t="s">
        <v>74</v>
      </c>
      <c r="S1021" t="s">
        <v>74</v>
      </c>
      <c r="T1021" t="s">
        <v>17245</v>
      </c>
      <c r="U1021" t="s">
        <v>17246</v>
      </c>
      <c r="V1021" t="s">
        <v>17247</v>
      </c>
      <c r="W1021" t="s">
        <v>17248</v>
      </c>
      <c r="X1021" t="s">
        <v>10614</v>
      </c>
      <c r="Y1021" t="s">
        <v>17249</v>
      </c>
      <c r="Z1021" t="s">
        <v>17250</v>
      </c>
      <c r="AA1021" t="s">
        <v>17251</v>
      </c>
      <c r="AB1021" t="s">
        <v>17252</v>
      </c>
      <c r="AC1021" t="s">
        <v>17253</v>
      </c>
      <c r="AD1021" t="s">
        <v>17254</v>
      </c>
      <c r="AE1021" t="s">
        <v>17255</v>
      </c>
      <c r="AF1021" t="s">
        <v>74</v>
      </c>
      <c r="AG1021">
        <v>39</v>
      </c>
      <c r="AH1021">
        <v>1</v>
      </c>
      <c r="AI1021">
        <v>1</v>
      </c>
      <c r="AJ1021">
        <v>4</v>
      </c>
      <c r="AK1021">
        <v>4</v>
      </c>
      <c r="AL1021" t="s">
        <v>994</v>
      </c>
      <c r="AM1021" t="s">
        <v>995</v>
      </c>
      <c r="AN1021" t="s">
        <v>996</v>
      </c>
      <c r="AO1021" t="s">
        <v>3011</v>
      </c>
      <c r="AP1021" t="s">
        <v>3012</v>
      </c>
      <c r="AQ1021" t="s">
        <v>74</v>
      </c>
      <c r="AR1021" t="s">
        <v>3013</v>
      </c>
      <c r="AS1021" t="s">
        <v>3014</v>
      </c>
      <c r="AT1021" t="s">
        <v>17256</v>
      </c>
      <c r="AU1021">
        <v>2024</v>
      </c>
      <c r="AV1021">
        <v>59</v>
      </c>
      <c r="AW1021">
        <v>9</v>
      </c>
      <c r="AX1021" t="s">
        <v>74</v>
      </c>
      <c r="AY1021" t="s">
        <v>74</v>
      </c>
      <c r="AZ1021" t="s">
        <v>74</v>
      </c>
      <c r="BA1021" t="s">
        <v>74</v>
      </c>
      <c r="BB1021">
        <v>1424</v>
      </c>
      <c r="BC1021">
        <v>1430</v>
      </c>
      <c r="BD1021" t="s">
        <v>74</v>
      </c>
      <c r="BE1021" t="s">
        <v>17257</v>
      </c>
      <c r="BF1021" t="str">
        <f>HYPERLINK("http://dx.doi.org/10.1080/10826084.2024.2352620","http://dx.doi.org/10.1080/10826084.2024.2352620")</f>
        <v>http://dx.doi.org/10.1080/10826084.2024.2352620</v>
      </c>
      <c r="BG1021" t="s">
        <v>74</v>
      </c>
      <c r="BH1021" t="s">
        <v>1467</v>
      </c>
      <c r="BI1021">
        <v>7</v>
      </c>
      <c r="BJ1021" t="s">
        <v>3016</v>
      </c>
      <c r="BK1021" t="s">
        <v>182</v>
      </c>
      <c r="BL1021" t="s">
        <v>3016</v>
      </c>
      <c r="BM1021" t="s">
        <v>17258</v>
      </c>
      <c r="BN1021">
        <v>38755112</v>
      </c>
      <c r="BO1021" t="s">
        <v>74</v>
      </c>
      <c r="BP1021" t="s">
        <v>74</v>
      </c>
      <c r="BQ1021" t="s">
        <v>74</v>
      </c>
      <c r="BR1021" t="s">
        <v>102</v>
      </c>
      <c r="BS1021" t="s">
        <v>17259</v>
      </c>
      <c r="BT1021" t="str">
        <f>HYPERLINK("https%3A%2F%2Fwww.webofscience.com%2Fwos%2Fwoscc%2Ffull-record%2FWOS:001224658500001","View Full Record in Web of Science")</f>
        <v>View Full Record in Web of Science</v>
      </c>
    </row>
    <row r="1022" spans="1:72" x14ac:dyDescent="0.35">
      <c r="A1022" t="s">
        <v>72</v>
      </c>
      <c r="B1022" t="s">
        <v>17260</v>
      </c>
      <c r="C1022" t="s">
        <v>74</v>
      </c>
      <c r="D1022" t="s">
        <v>74</v>
      </c>
      <c r="E1022" t="s">
        <v>74</v>
      </c>
      <c r="F1022" t="s">
        <v>17261</v>
      </c>
      <c r="G1022" t="s">
        <v>74</v>
      </c>
      <c r="H1022" t="s">
        <v>74</v>
      </c>
      <c r="I1022" t="s">
        <v>17262</v>
      </c>
      <c r="J1022" t="s">
        <v>17263</v>
      </c>
      <c r="K1022" t="s">
        <v>74</v>
      </c>
      <c r="L1022" t="s">
        <v>74</v>
      </c>
      <c r="M1022" t="s">
        <v>78</v>
      </c>
      <c r="N1022" t="s">
        <v>108</v>
      </c>
      <c r="O1022" t="s">
        <v>74</v>
      </c>
      <c r="P1022" t="s">
        <v>74</v>
      </c>
      <c r="Q1022" t="s">
        <v>74</v>
      </c>
      <c r="R1022" t="s">
        <v>74</v>
      </c>
      <c r="S1022" t="s">
        <v>74</v>
      </c>
      <c r="T1022" t="s">
        <v>17264</v>
      </c>
      <c r="U1022" t="s">
        <v>17265</v>
      </c>
      <c r="V1022" t="s">
        <v>17266</v>
      </c>
      <c r="W1022" t="s">
        <v>17267</v>
      </c>
      <c r="X1022" t="s">
        <v>17268</v>
      </c>
      <c r="Y1022" t="s">
        <v>17269</v>
      </c>
      <c r="Z1022" t="s">
        <v>17270</v>
      </c>
      <c r="AA1022" t="s">
        <v>17271</v>
      </c>
      <c r="AB1022" t="s">
        <v>17272</v>
      </c>
      <c r="AC1022" t="s">
        <v>74</v>
      </c>
      <c r="AD1022" t="s">
        <v>74</v>
      </c>
      <c r="AE1022" t="s">
        <v>74</v>
      </c>
      <c r="AF1022" t="s">
        <v>74</v>
      </c>
      <c r="AG1022">
        <v>41</v>
      </c>
      <c r="AH1022">
        <v>34</v>
      </c>
      <c r="AI1022">
        <v>34</v>
      </c>
      <c r="AJ1022">
        <v>3</v>
      </c>
      <c r="AK1022">
        <v>27</v>
      </c>
      <c r="AL1022" t="s">
        <v>1965</v>
      </c>
      <c r="AM1022" t="s">
        <v>666</v>
      </c>
      <c r="AN1022" t="s">
        <v>1966</v>
      </c>
      <c r="AO1022" t="s">
        <v>17273</v>
      </c>
      <c r="AP1022" t="s">
        <v>17274</v>
      </c>
      <c r="AQ1022" t="s">
        <v>74</v>
      </c>
      <c r="AR1022" t="s">
        <v>17275</v>
      </c>
      <c r="AS1022" t="s">
        <v>17276</v>
      </c>
      <c r="AT1022" t="s">
        <v>745</v>
      </c>
      <c r="AU1022">
        <v>2022</v>
      </c>
      <c r="AV1022">
        <v>130</v>
      </c>
      <c r="AW1022" t="s">
        <v>74</v>
      </c>
      <c r="AX1022" t="s">
        <v>74</v>
      </c>
      <c r="AY1022" t="s">
        <v>74</v>
      </c>
      <c r="AZ1022" t="s">
        <v>74</v>
      </c>
      <c r="BA1022" t="s">
        <v>74</v>
      </c>
      <c r="BB1022">
        <v>14</v>
      </c>
      <c r="BC1022">
        <v>20</v>
      </c>
      <c r="BD1022" t="s">
        <v>74</v>
      </c>
      <c r="BE1022" t="s">
        <v>17277</v>
      </c>
      <c r="BF1022" t="str">
        <f>HYPERLINK("http://dx.doi.org/10.1016/j.pediatrneurol.2022.02.003","http://dx.doi.org/10.1016/j.pediatrneurol.2022.02.003")</f>
        <v>http://dx.doi.org/10.1016/j.pediatrneurol.2022.02.003</v>
      </c>
      <c r="BG1022" t="s">
        <v>74</v>
      </c>
      <c r="BH1022" t="s">
        <v>4460</v>
      </c>
      <c r="BI1022">
        <v>7</v>
      </c>
      <c r="BJ1022" t="s">
        <v>17278</v>
      </c>
      <c r="BK1022" t="s">
        <v>209</v>
      </c>
      <c r="BL1022" t="s">
        <v>17279</v>
      </c>
      <c r="BM1022" t="s">
        <v>17280</v>
      </c>
      <c r="BN1022">
        <v>35303587</v>
      </c>
      <c r="BO1022" t="s">
        <v>2738</v>
      </c>
      <c r="BP1022" t="s">
        <v>74</v>
      </c>
      <c r="BQ1022" t="s">
        <v>74</v>
      </c>
      <c r="BR1022" t="s">
        <v>102</v>
      </c>
      <c r="BS1022" t="s">
        <v>17281</v>
      </c>
      <c r="BT1022" t="str">
        <f>HYPERLINK("https%3A%2F%2Fwww.webofscience.com%2Fwos%2Fwoscc%2Ffull-record%2FWOS:000781661900003","View Full Record in Web of Science")</f>
        <v>View Full Record in Web of Science</v>
      </c>
    </row>
    <row r="1023" spans="1:72" x14ac:dyDescent="0.35">
      <c r="A1023" t="s">
        <v>72</v>
      </c>
      <c r="B1023" t="s">
        <v>17282</v>
      </c>
      <c r="C1023" t="s">
        <v>74</v>
      </c>
      <c r="D1023" t="s">
        <v>74</v>
      </c>
      <c r="E1023" t="s">
        <v>74</v>
      </c>
      <c r="F1023" t="s">
        <v>17283</v>
      </c>
      <c r="G1023" t="s">
        <v>74</v>
      </c>
      <c r="H1023" t="s">
        <v>74</v>
      </c>
      <c r="I1023" t="s">
        <v>17284</v>
      </c>
      <c r="J1023" t="s">
        <v>17263</v>
      </c>
      <c r="K1023" t="s">
        <v>74</v>
      </c>
      <c r="L1023" t="s">
        <v>74</v>
      </c>
      <c r="M1023" t="s">
        <v>78</v>
      </c>
      <c r="N1023" t="s">
        <v>1328</v>
      </c>
      <c r="O1023" t="s">
        <v>74</v>
      </c>
      <c r="P1023" t="s">
        <v>74</v>
      </c>
      <c r="Q1023" t="s">
        <v>74</v>
      </c>
      <c r="R1023" t="s">
        <v>74</v>
      </c>
      <c r="S1023" t="s">
        <v>74</v>
      </c>
      <c r="T1023" t="s">
        <v>17285</v>
      </c>
      <c r="U1023" t="s">
        <v>74</v>
      </c>
      <c r="V1023" t="s">
        <v>74</v>
      </c>
      <c r="W1023" t="s">
        <v>17286</v>
      </c>
      <c r="X1023" t="s">
        <v>17287</v>
      </c>
      <c r="Y1023" t="s">
        <v>17288</v>
      </c>
      <c r="Z1023" t="s">
        <v>17289</v>
      </c>
      <c r="AA1023" t="s">
        <v>17290</v>
      </c>
      <c r="AB1023" t="s">
        <v>74</v>
      </c>
      <c r="AC1023" t="s">
        <v>74</v>
      </c>
      <c r="AD1023" t="s">
        <v>74</v>
      </c>
      <c r="AE1023" t="s">
        <v>74</v>
      </c>
      <c r="AF1023" t="s">
        <v>74</v>
      </c>
      <c r="AG1023">
        <v>6</v>
      </c>
      <c r="AH1023">
        <v>8</v>
      </c>
      <c r="AI1023">
        <v>8</v>
      </c>
      <c r="AJ1023">
        <v>0</v>
      </c>
      <c r="AK1023">
        <v>5</v>
      </c>
      <c r="AL1023" t="s">
        <v>1965</v>
      </c>
      <c r="AM1023" t="s">
        <v>666</v>
      </c>
      <c r="AN1023" t="s">
        <v>1966</v>
      </c>
      <c r="AO1023" t="s">
        <v>17273</v>
      </c>
      <c r="AP1023" t="s">
        <v>17274</v>
      </c>
      <c r="AQ1023" t="s">
        <v>74</v>
      </c>
      <c r="AR1023" t="s">
        <v>17275</v>
      </c>
      <c r="AS1023" t="s">
        <v>17276</v>
      </c>
      <c r="AT1023" t="s">
        <v>455</v>
      </c>
      <c r="AU1023">
        <v>2022</v>
      </c>
      <c r="AV1023">
        <v>134</v>
      </c>
      <c r="AW1023" t="s">
        <v>74</v>
      </c>
      <c r="AX1023" t="s">
        <v>74</v>
      </c>
      <c r="AY1023" t="s">
        <v>74</v>
      </c>
      <c r="AZ1023" t="s">
        <v>74</v>
      </c>
      <c r="BA1023" t="s">
        <v>74</v>
      </c>
      <c r="BB1023">
        <v>83</v>
      </c>
      <c r="BC1023">
        <v>84</v>
      </c>
      <c r="BD1023" t="s">
        <v>74</v>
      </c>
      <c r="BE1023" t="s">
        <v>17291</v>
      </c>
      <c r="BF1023" t="str">
        <f>HYPERLINK("http://dx.doi.org/10.1016/j.pediatrneurol.2022.06.013","http://dx.doi.org/10.1016/j.pediatrneurol.2022.06.013")</f>
        <v>http://dx.doi.org/10.1016/j.pediatrneurol.2022.06.013</v>
      </c>
      <c r="BG1023" t="s">
        <v>74</v>
      </c>
      <c r="BH1023" t="s">
        <v>2175</v>
      </c>
      <c r="BI1023">
        <v>2</v>
      </c>
      <c r="BJ1023" t="s">
        <v>17278</v>
      </c>
      <c r="BK1023" t="s">
        <v>209</v>
      </c>
      <c r="BL1023" t="s">
        <v>17279</v>
      </c>
      <c r="BM1023" t="s">
        <v>17292</v>
      </c>
      <c r="BN1023">
        <v>35843129</v>
      </c>
      <c r="BO1023" t="s">
        <v>74</v>
      </c>
      <c r="BP1023" t="s">
        <v>74</v>
      </c>
      <c r="BQ1023" t="s">
        <v>74</v>
      </c>
      <c r="BR1023" t="s">
        <v>102</v>
      </c>
      <c r="BS1023" t="s">
        <v>17293</v>
      </c>
      <c r="BT1023" t="str">
        <f>HYPERLINK("https%3A%2F%2Fwww.webofscience.com%2Fwos%2Fwoscc%2Ffull-record%2FWOS:000874856400015","View Full Record in Web of Science")</f>
        <v>View Full Record in Web of Science</v>
      </c>
    </row>
    <row r="1024" spans="1:72" x14ac:dyDescent="0.35">
      <c r="A1024" t="s">
        <v>72</v>
      </c>
      <c r="B1024" t="s">
        <v>17294</v>
      </c>
      <c r="C1024" t="s">
        <v>74</v>
      </c>
      <c r="D1024" t="s">
        <v>74</v>
      </c>
      <c r="E1024" t="s">
        <v>74</v>
      </c>
      <c r="F1024" t="s">
        <v>17295</v>
      </c>
      <c r="G1024" t="s">
        <v>74</v>
      </c>
      <c r="H1024" t="s">
        <v>74</v>
      </c>
      <c r="I1024" t="s">
        <v>17296</v>
      </c>
      <c r="J1024" t="s">
        <v>438</v>
      </c>
      <c r="K1024" t="s">
        <v>74</v>
      </c>
      <c r="L1024" t="s">
        <v>74</v>
      </c>
      <c r="M1024" t="s">
        <v>78</v>
      </c>
      <c r="N1024" t="s">
        <v>108</v>
      </c>
      <c r="O1024" t="s">
        <v>74</v>
      </c>
      <c r="P1024" t="s">
        <v>74</v>
      </c>
      <c r="Q1024" t="s">
        <v>74</v>
      </c>
      <c r="R1024" t="s">
        <v>74</v>
      </c>
      <c r="S1024" t="s">
        <v>74</v>
      </c>
      <c r="T1024" t="s">
        <v>17297</v>
      </c>
      <c r="U1024" t="s">
        <v>74</v>
      </c>
      <c r="V1024" t="s">
        <v>17298</v>
      </c>
      <c r="W1024" t="s">
        <v>17299</v>
      </c>
      <c r="X1024" t="s">
        <v>17300</v>
      </c>
      <c r="Y1024" t="s">
        <v>17301</v>
      </c>
      <c r="Z1024" t="s">
        <v>17302</v>
      </c>
      <c r="AA1024" t="s">
        <v>9499</v>
      </c>
      <c r="AB1024" t="s">
        <v>9500</v>
      </c>
      <c r="AC1024" t="s">
        <v>74</v>
      </c>
      <c r="AD1024" t="s">
        <v>74</v>
      </c>
      <c r="AE1024" t="s">
        <v>74</v>
      </c>
      <c r="AF1024" t="s">
        <v>74</v>
      </c>
      <c r="AG1024">
        <v>82</v>
      </c>
      <c r="AH1024">
        <v>1</v>
      </c>
      <c r="AI1024">
        <v>1</v>
      </c>
      <c r="AJ1024">
        <v>2</v>
      </c>
      <c r="AK1024">
        <v>10</v>
      </c>
      <c r="AL1024" t="s">
        <v>226</v>
      </c>
      <c r="AM1024" t="s">
        <v>227</v>
      </c>
      <c r="AN1024" t="s">
        <v>228</v>
      </c>
      <c r="AO1024" t="s">
        <v>451</v>
      </c>
      <c r="AP1024" t="s">
        <v>452</v>
      </c>
      <c r="AQ1024" t="s">
        <v>74</v>
      </c>
      <c r="AR1024" t="s">
        <v>453</v>
      </c>
      <c r="AS1024" t="s">
        <v>454</v>
      </c>
      <c r="AT1024" t="s">
        <v>930</v>
      </c>
      <c r="AU1024">
        <v>2023</v>
      </c>
      <c r="AV1024">
        <v>25</v>
      </c>
      <c r="AW1024">
        <v>4</v>
      </c>
      <c r="AX1024" t="s">
        <v>74</v>
      </c>
      <c r="AY1024" t="s">
        <v>74</v>
      </c>
      <c r="AZ1024" t="s">
        <v>456</v>
      </c>
      <c r="BA1024" t="s">
        <v>74</v>
      </c>
      <c r="BB1024">
        <v>756</v>
      </c>
      <c r="BC1024">
        <v>775</v>
      </c>
      <c r="BD1024" t="s">
        <v>74</v>
      </c>
      <c r="BE1024" t="s">
        <v>17303</v>
      </c>
      <c r="BF1024" t="str">
        <f>HYPERLINK("http://dx.doi.org/10.1177/14614448231158644","http://dx.doi.org/10.1177/14614448231158644")</f>
        <v>http://dx.doi.org/10.1177/14614448231158644</v>
      </c>
      <c r="BG1024" t="s">
        <v>74</v>
      </c>
      <c r="BH1024" t="s">
        <v>299</v>
      </c>
      <c r="BI1024">
        <v>20</v>
      </c>
      <c r="BJ1024" t="s">
        <v>124</v>
      </c>
      <c r="BK1024" t="s">
        <v>99</v>
      </c>
      <c r="BL1024" t="s">
        <v>124</v>
      </c>
      <c r="BM1024" t="s">
        <v>17304</v>
      </c>
      <c r="BN1024" t="s">
        <v>74</v>
      </c>
      <c r="BO1024" t="s">
        <v>74</v>
      </c>
      <c r="BP1024" t="s">
        <v>74</v>
      </c>
      <c r="BQ1024" t="s">
        <v>74</v>
      </c>
      <c r="BR1024" t="s">
        <v>102</v>
      </c>
      <c r="BS1024" t="s">
        <v>17305</v>
      </c>
      <c r="BT1024" t="str">
        <f>HYPERLINK("https%3A%2F%2Fwww.webofscience.com%2Fwos%2Fwoscc%2Ffull-record%2FWOS:000973409300001","View Full Record in Web of Science")</f>
        <v>View Full Record in Web of Science</v>
      </c>
    </row>
    <row r="1025" spans="1:72" x14ac:dyDescent="0.35">
      <c r="A1025" t="s">
        <v>72</v>
      </c>
      <c r="B1025" t="s">
        <v>17306</v>
      </c>
      <c r="C1025" t="s">
        <v>74</v>
      </c>
      <c r="D1025" t="s">
        <v>74</v>
      </c>
      <c r="E1025" t="s">
        <v>74</v>
      </c>
      <c r="F1025" t="s">
        <v>17307</v>
      </c>
      <c r="G1025" t="s">
        <v>74</v>
      </c>
      <c r="H1025" t="s">
        <v>74</v>
      </c>
      <c r="I1025" t="s">
        <v>17308</v>
      </c>
      <c r="J1025" t="s">
        <v>17309</v>
      </c>
      <c r="K1025" t="s">
        <v>74</v>
      </c>
      <c r="L1025" t="s">
        <v>74</v>
      </c>
      <c r="M1025" t="s">
        <v>7332</v>
      </c>
      <c r="N1025" t="s">
        <v>108</v>
      </c>
      <c r="O1025" t="s">
        <v>74</v>
      </c>
      <c r="P1025" t="s">
        <v>74</v>
      </c>
      <c r="Q1025" t="s">
        <v>74</v>
      </c>
      <c r="R1025" t="s">
        <v>74</v>
      </c>
      <c r="S1025" t="s">
        <v>74</v>
      </c>
      <c r="T1025" t="s">
        <v>17310</v>
      </c>
      <c r="U1025" t="s">
        <v>74</v>
      </c>
      <c r="V1025" t="s">
        <v>17311</v>
      </c>
      <c r="W1025" t="s">
        <v>17312</v>
      </c>
      <c r="X1025" t="s">
        <v>74</v>
      </c>
      <c r="Y1025" t="s">
        <v>17313</v>
      </c>
      <c r="Z1025" t="s">
        <v>17314</v>
      </c>
      <c r="AA1025" t="s">
        <v>74</v>
      </c>
      <c r="AB1025" t="s">
        <v>74</v>
      </c>
      <c r="AC1025" t="s">
        <v>74</v>
      </c>
      <c r="AD1025" t="s">
        <v>74</v>
      </c>
      <c r="AE1025" t="s">
        <v>74</v>
      </c>
      <c r="AF1025" t="s">
        <v>74</v>
      </c>
      <c r="AG1025">
        <v>16</v>
      </c>
      <c r="AH1025">
        <v>0</v>
      </c>
      <c r="AI1025">
        <v>0</v>
      </c>
      <c r="AJ1025">
        <v>1</v>
      </c>
      <c r="AK1025">
        <v>6</v>
      </c>
      <c r="AL1025" t="s">
        <v>17315</v>
      </c>
      <c r="AM1025" t="s">
        <v>17316</v>
      </c>
      <c r="AN1025" t="s">
        <v>17317</v>
      </c>
      <c r="AO1025" t="s">
        <v>17318</v>
      </c>
      <c r="AP1025" t="s">
        <v>17319</v>
      </c>
      <c r="AQ1025" t="s">
        <v>74</v>
      </c>
      <c r="AR1025" t="s">
        <v>17320</v>
      </c>
      <c r="AS1025" t="s">
        <v>17321</v>
      </c>
      <c r="AT1025" t="s">
        <v>455</v>
      </c>
      <c r="AU1025">
        <v>2022</v>
      </c>
      <c r="AV1025">
        <v>2</v>
      </c>
      <c r="AW1025">
        <v>44</v>
      </c>
      <c r="AX1025" t="s">
        <v>74</v>
      </c>
      <c r="AY1025" t="s">
        <v>74</v>
      </c>
      <c r="AZ1025" t="s">
        <v>74</v>
      </c>
      <c r="BA1025" t="s">
        <v>74</v>
      </c>
      <c r="BB1025" t="s">
        <v>74</v>
      </c>
      <c r="BC1025" t="s">
        <v>74</v>
      </c>
      <c r="BD1025" t="s">
        <v>74</v>
      </c>
      <c r="BE1025" t="s">
        <v>17322</v>
      </c>
      <c r="BF1025" t="str">
        <f>HYPERLINK("http://dx.doi.org/10.5965/1414573102442022e0200","http://dx.doi.org/10.5965/1414573102442022e0200")</f>
        <v>http://dx.doi.org/10.5965/1414573102442022e0200</v>
      </c>
      <c r="BG1025" t="s">
        <v>74</v>
      </c>
      <c r="BH1025" t="s">
        <v>74</v>
      </c>
      <c r="BI1025">
        <v>26</v>
      </c>
      <c r="BJ1025" t="s">
        <v>315</v>
      </c>
      <c r="BK1025" t="s">
        <v>125</v>
      </c>
      <c r="BL1025" t="s">
        <v>315</v>
      </c>
      <c r="BM1025" t="s">
        <v>17323</v>
      </c>
      <c r="BN1025" t="s">
        <v>74</v>
      </c>
      <c r="BO1025" t="s">
        <v>394</v>
      </c>
      <c r="BP1025" t="s">
        <v>74</v>
      </c>
      <c r="BQ1025" t="s">
        <v>74</v>
      </c>
      <c r="BR1025" t="s">
        <v>102</v>
      </c>
      <c r="BS1025" t="s">
        <v>17324</v>
      </c>
      <c r="BT1025" t="str">
        <f>HYPERLINK("https%3A%2F%2Fwww.webofscience.com%2Fwos%2Fwoscc%2Ffull-record%2FWOS:000929737500012","View Full Record in Web of Science")</f>
        <v>View Full Record in Web of Science</v>
      </c>
    </row>
    <row r="1026" spans="1:72" x14ac:dyDescent="0.35">
      <c r="A1026" t="s">
        <v>72</v>
      </c>
      <c r="B1026" t="s">
        <v>17325</v>
      </c>
      <c r="C1026" t="s">
        <v>74</v>
      </c>
      <c r="D1026" t="s">
        <v>74</v>
      </c>
      <c r="E1026" t="s">
        <v>74</v>
      </c>
      <c r="F1026" t="s">
        <v>17326</v>
      </c>
      <c r="G1026" t="s">
        <v>74</v>
      </c>
      <c r="H1026" t="s">
        <v>74</v>
      </c>
      <c r="I1026" t="s">
        <v>17327</v>
      </c>
      <c r="J1026" t="s">
        <v>681</v>
      </c>
      <c r="K1026" t="s">
        <v>74</v>
      </c>
      <c r="L1026" t="s">
        <v>74</v>
      </c>
      <c r="M1026" t="s">
        <v>78</v>
      </c>
      <c r="N1026" t="s">
        <v>108</v>
      </c>
      <c r="O1026" t="s">
        <v>74</v>
      </c>
      <c r="P1026" t="s">
        <v>74</v>
      </c>
      <c r="Q1026" t="s">
        <v>74</v>
      </c>
      <c r="R1026" t="s">
        <v>74</v>
      </c>
      <c r="S1026" t="s">
        <v>74</v>
      </c>
      <c r="T1026" t="s">
        <v>17328</v>
      </c>
      <c r="U1026" t="s">
        <v>17329</v>
      </c>
      <c r="V1026" t="s">
        <v>17330</v>
      </c>
      <c r="W1026" t="s">
        <v>17331</v>
      </c>
      <c r="X1026" t="s">
        <v>17332</v>
      </c>
      <c r="Y1026" t="s">
        <v>17333</v>
      </c>
      <c r="Z1026" t="s">
        <v>17334</v>
      </c>
      <c r="AA1026" t="s">
        <v>17335</v>
      </c>
      <c r="AB1026" t="s">
        <v>17336</v>
      </c>
      <c r="AC1026" t="s">
        <v>74</v>
      </c>
      <c r="AD1026" t="s">
        <v>74</v>
      </c>
      <c r="AE1026" t="s">
        <v>74</v>
      </c>
      <c r="AF1026" t="s">
        <v>74</v>
      </c>
      <c r="AG1026">
        <v>162</v>
      </c>
      <c r="AH1026">
        <v>2</v>
      </c>
      <c r="AI1026">
        <v>2</v>
      </c>
      <c r="AJ1026">
        <v>17</v>
      </c>
      <c r="AK1026">
        <v>117</v>
      </c>
      <c r="AL1026" t="s">
        <v>384</v>
      </c>
      <c r="AM1026" t="s">
        <v>385</v>
      </c>
      <c r="AN1026" t="s">
        <v>386</v>
      </c>
      <c r="AO1026" t="s">
        <v>693</v>
      </c>
      <c r="AP1026" t="s">
        <v>74</v>
      </c>
      <c r="AQ1026" t="s">
        <v>74</v>
      </c>
      <c r="AR1026" t="s">
        <v>694</v>
      </c>
      <c r="AS1026" t="s">
        <v>695</v>
      </c>
      <c r="AT1026" t="s">
        <v>17337</v>
      </c>
      <c r="AU1026">
        <v>2022</v>
      </c>
      <c r="AV1026">
        <v>13</v>
      </c>
      <c r="AW1026" t="s">
        <v>74</v>
      </c>
      <c r="AX1026" t="s">
        <v>74</v>
      </c>
      <c r="AY1026" t="s">
        <v>74</v>
      </c>
      <c r="AZ1026" t="s">
        <v>74</v>
      </c>
      <c r="BA1026" t="s">
        <v>74</v>
      </c>
      <c r="BB1026" t="s">
        <v>74</v>
      </c>
      <c r="BC1026" t="s">
        <v>74</v>
      </c>
      <c r="BD1026">
        <v>1080090</v>
      </c>
      <c r="BE1026" t="s">
        <v>17338</v>
      </c>
      <c r="BF1026" t="str">
        <f>HYPERLINK("http://dx.doi.org/10.3389/fpsyg.2022.1080090","http://dx.doi.org/10.3389/fpsyg.2022.1080090")</f>
        <v>http://dx.doi.org/10.3389/fpsyg.2022.1080090</v>
      </c>
      <c r="BG1026" t="s">
        <v>74</v>
      </c>
      <c r="BH1026" t="s">
        <v>74</v>
      </c>
      <c r="BI1026">
        <v>12</v>
      </c>
      <c r="BJ1026" t="s">
        <v>698</v>
      </c>
      <c r="BK1026" t="s">
        <v>99</v>
      </c>
      <c r="BL1026" t="s">
        <v>301</v>
      </c>
      <c r="BM1026" t="s">
        <v>17339</v>
      </c>
      <c r="BN1026">
        <v>36798646</v>
      </c>
      <c r="BO1026" t="s">
        <v>394</v>
      </c>
      <c r="BP1026" t="s">
        <v>74</v>
      </c>
      <c r="BQ1026" t="s">
        <v>74</v>
      </c>
      <c r="BR1026" t="s">
        <v>102</v>
      </c>
      <c r="BS1026" t="s">
        <v>17340</v>
      </c>
      <c r="BT1026" t="str">
        <f>HYPERLINK("https%3A%2F%2Fwww.webofscience.com%2Fwos%2Fwoscc%2Ffull-record%2FWOS:000911037400001","View Full Record in Web of Science")</f>
        <v>View Full Record in Web of Science</v>
      </c>
    </row>
    <row r="1027" spans="1:72" x14ac:dyDescent="0.35">
      <c r="A1027" t="s">
        <v>72</v>
      </c>
      <c r="B1027" t="s">
        <v>17341</v>
      </c>
      <c r="C1027" t="s">
        <v>74</v>
      </c>
      <c r="D1027" t="s">
        <v>74</v>
      </c>
      <c r="E1027" t="s">
        <v>74</v>
      </c>
      <c r="F1027" t="s">
        <v>17342</v>
      </c>
      <c r="G1027" t="s">
        <v>74</v>
      </c>
      <c r="H1027" t="s">
        <v>74</v>
      </c>
      <c r="I1027" t="s">
        <v>17343</v>
      </c>
      <c r="J1027" t="s">
        <v>13819</v>
      </c>
      <c r="K1027" t="s">
        <v>74</v>
      </c>
      <c r="L1027" t="s">
        <v>74</v>
      </c>
      <c r="M1027" t="s">
        <v>78</v>
      </c>
      <c r="N1027" t="s">
        <v>108</v>
      </c>
      <c r="O1027" t="s">
        <v>74</v>
      </c>
      <c r="P1027" t="s">
        <v>74</v>
      </c>
      <c r="Q1027" t="s">
        <v>74</v>
      </c>
      <c r="R1027" t="s">
        <v>74</v>
      </c>
      <c r="S1027" t="s">
        <v>74</v>
      </c>
      <c r="T1027" t="s">
        <v>17344</v>
      </c>
      <c r="U1027" t="s">
        <v>17345</v>
      </c>
      <c r="V1027" t="s">
        <v>17346</v>
      </c>
      <c r="W1027" t="s">
        <v>17347</v>
      </c>
      <c r="X1027" t="s">
        <v>17348</v>
      </c>
      <c r="Y1027" t="s">
        <v>17349</v>
      </c>
      <c r="Z1027" t="s">
        <v>17350</v>
      </c>
      <c r="AA1027" t="s">
        <v>74</v>
      </c>
      <c r="AB1027" t="s">
        <v>17351</v>
      </c>
      <c r="AC1027" t="s">
        <v>17352</v>
      </c>
      <c r="AD1027" t="s">
        <v>17353</v>
      </c>
      <c r="AE1027" t="s">
        <v>17354</v>
      </c>
      <c r="AF1027" t="s">
        <v>74</v>
      </c>
      <c r="AG1027">
        <v>47</v>
      </c>
      <c r="AH1027">
        <v>0</v>
      </c>
      <c r="AI1027">
        <v>0</v>
      </c>
      <c r="AJ1027">
        <v>1</v>
      </c>
      <c r="AK1027">
        <v>1</v>
      </c>
      <c r="AL1027" t="s">
        <v>1195</v>
      </c>
      <c r="AM1027" t="s">
        <v>1196</v>
      </c>
      <c r="AN1027" t="s">
        <v>1197</v>
      </c>
      <c r="AO1027" t="s">
        <v>74</v>
      </c>
      <c r="AP1027" t="s">
        <v>13826</v>
      </c>
      <c r="AQ1027" t="s">
        <v>74</v>
      </c>
      <c r="AR1027" t="s">
        <v>13819</v>
      </c>
      <c r="AS1027" t="s">
        <v>13827</v>
      </c>
      <c r="AT1027" t="s">
        <v>594</v>
      </c>
      <c r="AU1027">
        <v>2024</v>
      </c>
      <c r="AV1027">
        <v>15</v>
      </c>
      <c r="AW1027">
        <v>10</v>
      </c>
      <c r="AX1027" t="s">
        <v>74</v>
      </c>
      <c r="AY1027" t="s">
        <v>74</v>
      </c>
      <c r="AZ1027" t="s">
        <v>74</v>
      </c>
      <c r="BA1027" t="s">
        <v>74</v>
      </c>
      <c r="BB1027" t="s">
        <v>74</v>
      </c>
      <c r="BC1027" t="s">
        <v>74</v>
      </c>
      <c r="BD1027">
        <v>1172</v>
      </c>
      <c r="BE1027" t="s">
        <v>17355</v>
      </c>
      <c r="BF1027" t="str">
        <f>HYPERLINK("http://dx.doi.org/10.3390/rel15101172","http://dx.doi.org/10.3390/rel15101172")</f>
        <v>http://dx.doi.org/10.3390/rel15101172</v>
      </c>
      <c r="BG1027" t="s">
        <v>74</v>
      </c>
      <c r="BH1027" t="s">
        <v>74</v>
      </c>
      <c r="BI1027">
        <v>30</v>
      </c>
      <c r="BJ1027" t="s">
        <v>13829</v>
      </c>
      <c r="BK1027" t="s">
        <v>316</v>
      </c>
      <c r="BL1027" t="s">
        <v>13829</v>
      </c>
      <c r="BM1027" t="s">
        <v>17356</v>
      </c>
      <c r="BN1027" t="s">
        <v>74</v>
      </c>
      <c r="BO1027" t="s">
        <v>235</v>
      </c>
      <c r="BP1027" t="s">
        <v>74</v>
      </c>
      <c r="BQ1027" t="s">
        <v>74</v>
      </c>
      <c r="BR1027" t="s">
        <v>102</v>
      </c>
      <c r="BS1027" t="s">
        <v>17357</v>
      </c>
      <c r="BT1027" t="str">
        <f>HYPERLINK("https%3A%2F%2Fwww.webofscience.com%2Fwos%2Fwoscc%2Ffull-record%2FWOS:001341933900001","View Full Record in Web of Science")</f>
        <v>View Full Record in Web of Science</v>
      </c>
    </row>
    <row r="1028" spans="1:72" x14ac:dyDescent="0.35">
      <c r="A1028" t="s">
        <v>72</v>
      </c>
      <c r="B1028" t="s">
        <v>17358</v>
      </c>
      <c r="C1028" t="s">
        <v>74</v>
      </c>
      <c r="D1028" t="s">
        <v>74</v>
      </c>
      <c r="E1028" t="s">
        <v>74</v>
      </c>
      <c r="F1028" t="s">
        <v>17359</v>
      </c>
      <c r="G1028" t="s">
        <v>74</v>
      </c>
      <c r="H1028" t="s">
        <v>74</v>
      </c>
      <c r="I1028" t="s">
        <v>17360</v>
      </c>
      <c r="J1028" t="s">
        <v>9554</v>
      </c>
      <c r="K1028" t="s">
        <v>74</v>
      </c>
      <c r="L1028" t="s">
        <v>74</v>
      </c>
      <c r="M1028" t="s">
        <v>78</v>
      </c>
      <c r="N1028" t="s">
        <v>1328</v>
      </c>
      <c r="O1028" t="s">
        <v>74</v>
      </c>
      <c r="P1028" t="s">
        <v>74</v>
      </c>
      <c r="Q1028" t="s">
        <v>74</v>
      </c>
      <c r="R1028" t="s">
        <v>74</v>
      </c>
      <c r="S1028" t="s">
        <v>74</v>
      </c>
      <c r="T1028" t="s">
        <v>17361</v>
      </c>
      <c r="U1028" t="s">
        <v>74</v>
      </c>
      <c r="V1028" t="s">
        <v>74</v>
      </c>
      <c r="W1028" t="s">
        <v>17362</v>
      </c>
      <c r="X1028" t="s">
        <v>17363</v>
      </c>
      <c r="Y1028" t="s">
        <v>17364</v>
      </c>
      <c r="Z1028" t="s">
        <v>17365</v>
      </c>
      <c r="AA1028" t="s">
        <v>74</v>
      </c>
      <c r="AB1028" t="s">
        <v>17366</v>
      </c>
      <c r="AC1028" t="s">
        <v>74</v>
      </c>
      <c r="AD1028" t="s">
        <v>74</v>
      </c>
      <c r="AE1028" t="s">
        <v>74</v>
      </c>
      <c r="AF1028" t="s">
        <v>74</v>
      </c>
      <c r="AG1028">
        <v>4</v>
      </c>
      <c r="AH1028">
        <v>5</v>
      </c>
      <c r="AI1028">
        <v>5</v>
      </c>
      <c r="AJ1028">
        <v>1</v>
      </c>
      <c r="AK1028">
        <v>6</v>
      </c>
      <c r="AL1028" t="s">
        <v>251</v>
      </c>
      <c r="AM1028" t="s">
        <v>252</v>
      </c>
      <c r="AN1028" t="s">
        <v>253</v>
      </c>
      <c r="AO1028" t="s">
        <v>9563</v>
      </c>
      <c r="AP1028" t="s">
        <v>9564</v>
      </c>
      <c r="AQ1028" t="s">
        <v>74</v>
      </c>
      <c r="AR1028" t="s">
        <v>9565</v>
      </c>
      <c r="AS1028" t="s">
        <v>9566</v>
      </c>
      <c r="AT1028" t="s">
        <v>745</v>
      </c>
      <c r="AU1028">
        <v>2022</v>
      </c>
      <c r="AV1028">
        <v>21</v>
      </c>
      <c r="AW1028">
        <v>5</v>
      </c>
      <c r="AX1028" t="s">
        <v>74</v>
      </c>
      <c r="AY1028" t="s">
        <v>74</v>
      </c>
      <c r="AZ1028" t="s">
        <v>74</v>
      </c>
      <c r="BA1028" t="s">
        <v>74</v>
      </c>
      <c r="BB1028">
        <v>2279</v>
      </c>
      <c r="BC1028">
        <v>2281</v>
      </c>
      <c r="BD1028" t="s">
        <v>74</v>
      </c>
      <c r="BE1028" t="s">
        <v>17367</v>
      </c>
      <c r="BF1028" t="str">
        <f>HYPERLINK("http://dx.doi.org/10.1111/jocd.14368","http://dx.doi.org/10.1111/jocd.14368")</f>
        <v>http://dx.doi.org/10.1111/jocd.14368</v>
      </c>
      <c r="BG1028" t="s">
        <v>74</v>
      </c>
      <c r="BH1028" t="s">
        <v>97</v>
      </c>
      <c r="BI1028">
        <v>3</v>
      </c>
      <c r="BJ1028" t="s">
        <v>1341</v>
      </c>
      <c r="BK1028" t="s">
        <v>209</v>
      </c>
      <c r="BL1028" t="s">
        <v>1341</v>
      </c>
      <c r="BM1028" t="s">
        <v>17368</v>
      </c>
      <c r="BN1028">
        <v>34365715</v>
      </c>
      <c r="BO1028" t="s">
        <v>74</v>
      </c>
      <c r="BP1028" t="s">
        <v>74</v>
      </c>
      <c r="BQ1028" t="s">
        <v>74</v>
      </c>
      <c r="BR1028" t="s">
        <v>102</v>
      </c>
      <c r="BS1028" t="s">
        <v>17369</v>
      </c>
      <c r="BT1028" t="str">
        <f>HYPERLINK("https%3A%2F%2Fwww.webofscience.com%2Fwos%2Fwoscc%2Ffull-record%2FWOS:000682736300001","View Full Record in Web of Science")</f>
        <v>View Full Record in Web of Science</v>
      </c>
    </row>
    <row r="1029" spans="1:72" x14ac:dyDescent="0.35">
      <c r="A1029" t="s">
        <v>72</v>
      </c>
      <c r="B1029" t="s">
        <v>17370</v>
      </c>
      <c r="C1029" t="s">
        <v>74</v>
      </c>
      <c r="D1029" t="s">
        <v>74</v>
      </c>
      <c r="E1029" t="s">
        <v>74</v>
      </c>
      <c r="F1029" t="s">
        <v>17371</v>
      </c>
      <c r="G1029" t="s">
        <v>74</v>
      </c>
      <c r="H1029" t="s">
        <v>74</v>
      </c>
      <c r="I1029" t="s">
        <v>17372</v>
      </c>
      <c r="J1029" t="s">
        <v>17373</v>
      </c>
      <c r="K1029" t="s">
        <v>74</v>
      </c>
      <c r="L1029" t="s">
        <v>74</v>
      </c>
      <c r="M1029" t="s">
        <v>78</v>
      </c>
      <c r="N1029" t="s">
        <v>52</v>
      </c>
      <c r="O1029" t="s">
        <v>74</v>
      </c>
      <c r="P1029" t="s">
        <v>74</v>
      </c>
      <c r="Q1029" t="s">
        <v>74</v>
      </c>
      <c r="R1029" t="s">
        <v>74</v>
      </c>
      <c r="S1029" t="s">
        <v>74</v>
      </c>
      <c r="T1029" t="s">
        <v>74</v>
      </c>
      <c r="U1029" t="s">
        <v>74</v>
      </c>
      <c r="V1029" t="s">
        <v>74</v>
      </c>
      <c r="W1029" t="s">
        <v>17374</v>
      </c>
      <c r="X1029" t="s">
        <v>17375</v>
      </c>
      <c r="Y1029" t="s">
        <v>74</v>
      </c>
      <c r="Z1029" t="s">
        <v>74</v>
      </c>
      <c r="AA1029" t="s">
        <v>74</v>
      </c>
      <c r="AB1029" t="s">
        <v>74</v>
      </c>
      <c r="AC1029" t="s">
        <v>74</v>
      </c>
      <c r="AD1029" t="s">
        <v>74</v>
      </c>
      <c r="AE1029" t="s">
        <v>74</v>
      </c>
      <c r="AF1029" t="s">
        <v>74</v>
      </c>
      <c r="AG1029">
        <v>4</v>
      </c>
      <c r="AH1029">
        <v>0</v>
      </c>
      <c r="AI1029">
        <v>0</v>
      </c>
      <c r="AJ1029">
        <v>0</v>
      </c>
      <c r="AK1029">
        <v>0</v>
      </c>
      <c r="AL1029" t="s">
        <v>226</v>
      </c>
      <c r="AM1029" t="s">
        <v>227</v>
      </c>
      <c r="AN1029" t="s">
        <v>228</v>
      </c>
      <c r="AO1029" t="s">
        <v>17376</v>
      </c>
      <c r="AP1029" t="s">
        <v>17377</v>
      </c>
      <c r="AQ1029" t="s">
        <v>74</v>
      </c>
      <c r="AR1029" t="s">
        <v>17378</v>
      </c>
      <c r="AS1029" t="s">
        <v>17379</v>
      </c>
      <c r="AT1029" t="s">
        <v>745</v>
      </c>
      <c r="AU1029">
        <v>2023</v>
      </c>
      <c r="AV1029">
        <v>57</v>
      </c>
      <c r="AW1029">
        <v>1</v>
      </c>
      <c r="AX1029" t="s">
        <v>74</v>
      </c>
      <c r="AY1029" t="s">
        <v>4946</v>
      </c>
      <c r="AZ1029" t="s">
        <v>74</v>
      </c>
      <c r="BA1029" t="s">
        <v>74</v>
      </c>
      <c r="BB1029">
        <v>115</v>
      </c>
      <c r="BC1029">
        <v>115</v>
      </c>
      <c r="BD1029" t="s">
        <v>74</v>
      </c>
      <c r="BE1029" t="s">
        <v>74</v>
      </c>
      <c r="BF1029" t="s">
        <v>74</v>
      </c>
      <c r="BG1029" t="s">
        <v>74</v>
      </c>
      <c r="BH1029" t="s">
        <v>74</v>
      </c>
      <c r="BI1029">
        <v>1</v>
      </c>
      <c r="BJ1029" t="s">
        <v>1847</v>
      </c>
      <c r="BK1029" t="s">
        <v>182</v>
      </c>
      <c r="BL1029" t="s">
        <v>1847</v>
      </c>
      <c r="BM1029" t="s">
        <v>17380</v>
      </c>
      <c r="BN1029" t="s">
        <v>74</v>
      </c>
      <c r="BO1029" t="s">
        <v>74</v>
      </c>
      <c r="BP1029" t="s">
        <v>74</v>
      </c>
      <c r="BQ1029" t="s">
        <v>74</v>
      </c>
      <c r="BR1029" t="s">
        <v>102</v>
      </c>
      <c r="BS1029" t="s">
        <v>17381</v>
      </c>
      <c r="BT1029" t="str">
        <f>HYPERLINK("https%3A%2F%2Fwww.webofscience.com%2Fwos%2Fwoscc%2Ffull-record%2FWOS:001043034400264","View Full Record in Web of Science")</f>
        <v>View Full Record in Web of Science</v>
      </c>
    </row>
    <row r="1030" spans="1:72" x14ac:dyDescent="0.35">
      <c r="A1030" t="s">
        <v>72</v>
      </c>
      <c r="B1030" t="s">
        <v>17382</v>
      </c>
      <c r="C1030" t="s">
        <v>74</v>
      </c>
      <c r="D1030" t="s">
        <v>74</v>
      </c>
      <c r="E1030" t="s">
        <v>74</v>
      </c>
      <c r="F1030" t="s">
        <v>17383</v>
      </c>
      <c r="G1030" t="s">
        <v>74</v>
      </c>
      <c r="H1030" t="s">
        <v>74</v>
      </c>
      <c r="I1030" t="s">
        <v>17384</v>
      </c>
      <c r="J1030" t="s">
        <v>17385</v>
      </c>
      <c r="K1030" t="s">
        <v>74</v>
      </c>
      <c r="L1030" t="s">
        <v>74</v>
      </c>
      <c r="M1030" t="s">
        <v>78</v>
      </c>
      <c r="N1030" t="s">
        <v>108</v>
      </c>
      <c r="O1030" t="s">
        <v>74</v>
      </c>
      <c r="P1030" t="s">
        <v>74</v>
      </c>
      <c r="Q1030" t="s">
        <v>74</v>
      </c>
      <c r="R1030" t="s">
        <v>74</v>
      </c>
      <c r="S1030" t="s">
        <v>74</v>
      </c>
      <c r="T1030" t="s">
        <v>17386</v>
      </c>
      <c r="U1030" t="s">
        <v>74</v>
      </c>
      <c r="V1030" t="s">
        <v>17387</v>
      </c>
      <c r="W1030" t="s">
        <v>17388</v>
      </c>
      <c r="X1030" t="s">
        <v>17389</v>
      </c>
      <c r="Y1030" t="s">
        <v>17390</v>
      </c>
      <c r="Z1030" t="s">
        <v>17391</v>
      </c>
      <c r="AA1030" t="s">
        <v>74</v>
      </c>
      <c r="AB1030" t="s">
        <v>74</v>
      </c>
      <c r="AC1030" t="s">
        <v>74</v>
      </c>
      <c r="AD1030" t="s">
        <v>74</v>
      </c>
      <c r="AE1030" t="s">
        <v>74</v>
      </c>
      <c r="AF1030" t="s">
        <v>74</v>
      </c>
      <c r="AG1030">
        <v>39</v>
      </c>
      <c r="AH1030">
        <v>0</v>
      </c>
      <c r="AI1030">
        <v>0</v>
      </c>
      <c r="AJ1030">
        <v>4</v>
      </c>
      <c r="AK1030">
        <v>6</v>
      </c>
      <c r="AL1030" t="s">
        <v>17392</v>
      </c>
      <c r="AM1030" t="s">
        <v>7661</v>
      </c>
      <c r="AN1030" t="s">
        <v>17393</v>
      </c>
      <c r="AO1030" t="s">
        <v>17394</v>
      </c>
      <c r="AP1030" t="s">
        <v>74</v>
      </c>
      <c r="AQ1030" t="s">
        <v>74</v>
      </c>
      <c r="AR1030" t="s">
        <v>17385</v>
      </c>
      <c r="AS1030" t="s">
        <v>17395</v>
      </c>
      <c r="AT1030" t="s">
        <v>1275</v>
      </c>
      <c r="AU1030">
        <v>2023</v>
      </c>
      <c r="AV1030">
        <v>3</v>
      </c>
      <c r="AW1030">
        <v>76</v>
      </c>
      <c r="AX1030" t="s">
        <v>74</v>
      </c>
      <c r="AY1030" t="s">
        <v>74</v>
      </c>
      <c r="AZ1030" t="s">
        <v>74</v>
      </c>
      <c r="BA1030" t="s">
        <v>74</v>
      </c>
      <c r="BB1030" t="s">
        <v>74</v>
      </c>
      <c r="BC1030" t="s">
        <v>74</v>
      </c>
      <c r="BD1030" t="s">
        <v>17396</v>
      </c>
      <c r="BE1030" t="s">
        <v>17397</v>
      </c>
      <c r="BF1030" t="str">
        <f>HYPERLINK("http://dx.doi.org/10.24215/16696581e831","http://dx.doi.org/10.24215/16696581e831")</f>
        <v>http://dx.doi.org/10.24215/16696581e831</v>
      </c>
      <c r="BG1030" t="s">
        <v>74</v>
      </c>
      <c r="BH1030" t="s">
        <v>74</v>
      </c>
      <c r="BI1030">
        <v>34</v>
      </c>
      <c r="BJ1030" t="s">
        <v>124</v>
      </c>
      <c r="BK1030" t="s">
        <v>125</v>
      </c>
      <c r="BL1030" t="s">
        <v>124</v>
      </c>
      <c r="BM1030" t="s">
        <v>17398</v>
      </c>
      <c r="BN1030" t="s">
        <v>74</v>
      </c>
      <c r="BO1030" t="s">
        <v>235</v>
      </c>
      <c r="BP1030" t="s">
        <v>74</v>
      </c>
      <c r="BQ1030" t="s">
        <v>74</v>
      </c>
      <c r="BR1030" t="s">
        <v>102</v>
      </c>
      <c r="BS1030" t="s">
        <v>17399</v>
      </c>
      <c r="BT1030" t="str">
        <f>HYPERLINK("https%3A%2F%2Fwww.webofscience.com%2Fwos%2Fwoscc%2Ffull-record%2FWOS:001161626700020","View Full Record in Web of Science")</f>
        <v>View Full Record in Web of Science</v>
      </c>
    </row>
    <row r="1031" spans="1:72" x14ac:dyDescent="0.35">
      <c r="A1031" t="s">
        <v>72</v>
      </c>
      <c r="B1031" t="s">
        <v>17400</v>
      </c>
      <c r="C1031" t="s">
        <v>74</v>
      </c>
      <c r="D1031" t="s">
        <v>74</v>
      </c>
      <c r="E1031" t="s">
        <v>74</v>
      </c>
      <c r="F1031" t="s">
        <v>17401</v>
      </c>
      <c r="G1031" t="s">
        <v>74</v>
      </c>
      <c r="H1031" t="s">
        <v>74</v>
      </c>
      <c r="I1031" t="s">
        <v>17402</v>
      </c>
      <c r="J1031" t="s">
        <v>17403</v>
      </c>
      <c r="K1031" t="s">
        <v>74</v>
      </c>
      <c r="L1031" t="s">
        <v>74</v>
      </c>
      <c r="M1031" t="s">
        <v>78</v>
      </c>
      <c r="N1031" t="s">
        <v>108</v>
      </c>
      <c r="O1031" t="s">
        <v>74</v>
      </c>
      <c r="P1031" t="s">
        <v>74</v>
      </c>
      <c r="Q1031" t="s">
        <v>74</v>
      </c>
      <c r="R1031" t="s">
        <v>74</v>
      </c>
      <c r="S1031" t="s">
        <v>74</v>
      </c>
      <c r="T1031" t="s">
        <v>17404</v>
      </c>
      <c r="U1031" t="s">
        <v>17405</v>
      </c>
      <c r="V1031" t="s">
        <v>17406</v>
      </c>
      <c r="W1031" t="s">
        <v>17407</v>
      </c>
      <c r="X1031" t="s">
        <v>17408</v>
      </c>
      <c r="Y1031" t="s">
        <v>17409</v>
      </c>
      <c r="Z1031" t="s">
        <v>17410</v>
      </c>
      <c r="AA1031" t="s">
        <v>17411</v>
      </c>
      <c r="AB1031" t="s">
        <v>74</v>
      </c>
      <c r="AC1031" t="s">
        <v>74</v>
      </c>
      <c r="AD1031" t="s">
        <v>74</v>
      </c>
      <c r="AE1031" t="s">
        <v>74</v>
      </c>
      <c r="AF1031" t="s">
        <v>74</v>
      </c>
      <c r="AG1031">
        <v>28</v>
      </c>
      <c r="AH1031">
        <v>33</v>
      </c>
      <c r="AI1031">
        <v>33</v>
      </c>
      <c r="AJ1031">
        <v>2</v>
      </c>
      <c r="AK1031">
        <v>23</v>
      </c>
      <c r="AL1031" t="s">
        <v>384</v>
      </c>
      <c r="AM1031" t="s">
        <v>385</v>
      </c>
      <c r="AN1031" t="s">
        <v>386</v>
      </c>
      <c r="AO1031" t="s">
        <v>17412</v>
      </c>
      <c r="AP1031" t="s">
        <v>74</v>
      </c>
      <c r="AQ1031" t="s">
        <v>74</v>
      </c>
      <c r="AR1031" t="s">
        <v>17413</v>
      </c>
      <c r="AS1031" t="s">
        <v>17414</v>
      </c>
      <c r="AT1031" t="s">
        <v>11548</v>
      </c>
      <c r="AU1031">
        <v>2022</v>
      </c>
      <c r="AV1031">
        <v>12</v>
      </c>
      <c r="AW1031" t="s">
        <v>74</v>
      </c>
      <c r="AX1031" t="s">
        <v>74</v>
      </c>
      <c r="AY1031" t="s">
        <v>74</v>
      </c>
      <c r="AZ1031" t="s">
        <v>74</v>
      </c>
      <c r="BA1031" t="s">
        <v>74</v>
      </c>
      <c r="BB1031" t="s">
        <v>74</v>
      </c>
      <c r="BC1031" t="s">
        <v>74</v>
      </c>
      <c r="BD1031">
        <v>789956</v>
      </c>
      <c r="BE1031" t="s">
        <v>17415</v>
      </c>
      <c r="BF1031" t="str">
        <f>HYPERLINK("http://dx.doi.org/10.3389/fonc.2022.789956","http://dx.doi.org/10.3389/fonc.2022.789956")</f>
        <v>http://dx.doi.org/10.3389/fonc.2022.789956</v>
      </c>
      <c r="BG1031" t="s">
        <v>74</v>
      </c>
      <c r="BH1031" t="s">
        <v>74</v>
      </c>
      <c r="BI1031">
        <v>9</v>
      </c>
      <c r="BJ1031" t="s">
        <v>10304</v>
      </c>
      <c r="BK1031" t="s">
        <v>209</v>
      </c>
      <c r="BL1031" t="s">
        <v>10304</v>
      </c>
      <c r="BM1031" t="s">
        <v>17416</v>
      </c>
      <c r="BN1031">
        <v>35242704</v>
      </c>
      <c r="BO1031" t="s">
        <v>394</v>
      </c>
      <c r="BP1031" t="s">
        <v>74</v>
      </c>
      <c r="BQ1031" t="s">
        <v>74</v>
      </c>
      <c r="BR1031" t="s">
        <v>102</v>
      </c>
      <c r="BS1031" t="s">
        <v>17417</v>
      </c>
      <c r="BT1031" t="str">
        <f>HYPERLINK("https%3A%2F%2Fwww.webofscience.com%2Fwos%2Fwoscc%2Ffull-record%2FWOS:000763646400001","View Full Record in Web of Science")</f>
        <v>View Full Record in Web of Science</v>
      </c>
    </row>
    <row r="1032" spans="1:72" x14ac:dyDescent="0.35">
      <c r="A1032" t="s">
        <v>72</v>
      </c>
      <c r="B1032" t="s">
        <v>17418</v>
      </c>
      <c r="C1032" t="s">
        <v>74</v>
      </c>
      <c r="D1032" t="s">
        <v>74</v>
      </c>
      <c r="E1032" t="s">
        <v>74</v>
      </c>
      <c r="F1032" t="s">
        <v>17419</v>
      </c>
      <c r="G1032" t="s">
        <v>74</v>
      </c>
      <c r="H1032" t="s">
        <v>74</v>
      </c>
      <c r="I1032" t="s">
        <v>17420</v>
      </c>
      <c r="J1032" t="s">
        <v>17421</v>
      </c>
      <c r="K1032" t="s">
        <v>74</v>
      </c>
      <c r="L1032" t="s">
        <v>74</v>
      </c>
      <c r="M1032" t="s">
        <v>78</v>
      </c>
      <c r="N1032" t="s">
        <v>108</v>
      </c>
      <c r="O1032" t="s">
        <v>74</v>
      </c>
      <c r="P1032" t="s">
        <v>74</v>
      </c>
      <c r="Q1032" t="s">
        <v>74</v>
      </c>
      <c r="R1032" t="s">
        <v>74</v>
      </c>
      <c r="S1032" t="s">
        <v>74</v>
      </c>
      <c r="T1032" t="s">
        <v>17422</v>
      </c>
      <c r="U1032" t="s">
        <v>17423</v>
      </c>
      <c r="V1032" t="s">
        <v>17424</v>
      </c>
      <c r="W1032" t="s">
        <v>17425</v>
      </c>
      <c r="X1032" t="s">
        <v>17426</v>
      </c>
      <c r="Y1032" t="s">
        <v>17427</v>
      </c>
      <c r="Z1032" t="s">
        <v>17428</v>
      </c>
      <c r="AA1032" t="s">
        <v>74</v>
      </c>
      <c r="AB1032" t="s">
        <v>74</v>
      </c>
      <c r="AC1032" t="s">
        <v>74</v>
      </c>
      <c r="AD1032" t="s">
        <v>74</v>
      </c>
      <c r="AE1032" t="s">
        <v>74</v>
      </c>
      <c r="AF1032" t="s">
        <v>74</v>
      </c>
      <c r="AG1032">
        <v>30</v>
      </c>
      <c r="AH1032">
        <v>2</v>
      </c>
      <c r="AI1032">
        <v>3</v>
      </c>
      <c r="AJ1032">
        <v>6</v>
      </c>
      <c r="AK1032">
        <v>40</v>
      </c>
      <c r="AL1032" t="s">
        <v>1965</v>
      </c>
      <c r="AM1032" t="s">
        <v>666</v>
      </c>
      <c r="AN1032" t="s">
        <v>1966</v>
      </c>
      <c r="AO1032" t="s">
        <v>17429</v>
      </c>
      <c r="AP1032" t="s">
        <v>17430</v>
      </c>
      <c r="AQ1032" t="s">
        <v>74</v>
      </c>
      <c r="AR1032" t="s">
        <v>17431</v>
      </c>
      <c r="AS1032" t="s">
        <v>17432</v>
      </c>
      <c r="AT1032" t="s">
        <v>594</v>
      </c>
      <c r="AU1032">
        <v>2023</v>
      </c>
      <c r="AV1032">
        <v>55</v>
      </c>
      <c r="AW1032">
        <v>10</v>
      </c>
      <c r="AX1032" t="s">
        <v>74</v>
      </c>
      <c r="AY1032" t="s">
        <v>74</v>
      </c>
      <c r="AZ1032" t="s">
        <v>74</v>
      </c>
      <c r="BA1032" t="s">
        <v>74</v>
      </c>
      <c r="BB1032">
        <v>755</v>
      </c>
      <c r="BC1032">
        <v>760</v>
      </c>
      <c r="BD1032" t="s">
        <v>74</v>
      </c>
      <c r="BE1032" t="s">
        <v>17433</v>
      </c>
      <c r="BF1032" t="str">
        <f>HYPERLINK("http://dx.doi.org/10.1016/j.jneb.2023.08.001","http://dx.doi.org/10.1016/j.jneb.2023.08.001")</f>
        <v>http://dx.doi.org/10.1016/j.jneb.2023.08.001</v>
      </c>
      <c r="BG1032" t="s">
        <v>74</v>
      </c>
      <c r="BH1032" t="s">
        <v>207</v>
      </c>
      <c r="BI1032">
        <v>6</v>
      </c>
      <c r="BJ1032" t="s">
        <v>17434</v>
      </c>
      <c r="BK1032" t="s">
        <v>209</v>
      </c>
      <c r="BL1032" t="s">
        <v>17435</v>
      </c>
      <c r="BM1032" t="s">
        <v>17436</v>
      </c>
      <c r="BN1032">
        <v>37806709</v>
      </c>
      <c r="BO1032" t="s">
        <v>74</v>
      </c>
      <c r="BP1032" t="s">
        <v>74</v>
      </c>
      <c r="BQ1032" t="s">
        <v>74</v>
      </c>
      <c r="BR1032" t="s">
        <v>102</v>
      </c>
      <c r="BS1032" t="s">
        <v>17437</v>
      </c>
      <c r="BT1032" t="str">
        <f>HYPERLINK("https%3A%2F%2Fwww.webofscience.com%2Fwos%2Fwoscc%2Ffull-record%2FWOS:001089260800001","View Full Record in Web of Science")</f>
        <v>View Full Record in Web of Science</v>
      </c>
    </row>
    <row r="1033" spans="1:72" x14ac:dyDescent="0.35">
      <c r="A1033" t="s">
        <v>72</v>
      </c>
      <c r="B1033" t="s">
        <v>17438</v>
      </c>
      <c r="C1033" t="s">
        <v>74</v>
      </c>
      <c r="D1033" t="s">
        <v>74</v>
      </c>
      <c r="E1033" t="s">
        <v>74</v>
      </c>
      <c r="F1033" t="s">
        <v>17439</v>
      </c>
      <c r="G1033" t="s">
        <v>74</v>
      </c>
      <c r="H1033" t="s">
        <v>74</v>
      </c>
      <c r="I1033" t="s">
        <v>17440</v>
      </c>
      <c r="J1033" t="s">
        <v>11162</v>
      </c>
      <c r="K1033" t="s">
        <v>74</v>
      </c>
      <c r="L1033" t="s">
        <v>74</v>
      </c>
      <c r="M1033" t="s">
        <v>8769</v>
      </c>
      <c r="N1033" t="s">
        <v>108</v>
      </c>
      <c r="O1033" t="s">
        <v>74</v>
      </c>
      <c r="P1033" t="s">
        <v>74</v>
      </c>
      <c r="Q1033" t="s">
        <v>74</v>
      </c>
      <c r="R1033" t="s">
        <v>74</v>
      </c>
      <c r="S1033" t="s">
        <v>74</v>
      </c>
      <c r="T1033" t="s">
        <v>74</v>
      </c>
      <c r="U1033" t="s">
        <v>17441</v>
      </c>
      <c r="V1033" t="s">
        <v>74</v>
      </c>
      <c r="W1033" t="s">
        <v>17442</v>
      </c>
      <c r="X1033" t="s">
        <v>2803</v>
      </c>
      <c r="Y1033" t="s">
        <v>17443</v>
      </c>
      <c r="Z1033" t="s">
        <v>74</v>
      </c>
      <c r="AA1033" t="s">
        <v>74</v>
      </c>
      <c r="AB1033" t="s">
        <v>74</v>
      </c>
      <c r="AC1033" t="s">
        <v>74</v>
      </c>
      <c r="AD1033" t="s">
        <v>74</v>
      </c>
      <c r="AE1033" t="s">
        <v>74</v>
      </c>
      <c r="AF1033" t="s">
        <v>74</v>
      </c>
      <c r="AG1033">
        <v>23</v>
      </c>
      <c r="AH1033">
        <v>0</v>
      </c>
      <c r="AI1033">
        <v>0</v>
      </c>
      <c r="AJ1033">
        <v>0</v>
      </c>
      <c r="AK1033">
        <v>0</v>
      </c>
      <c r="AL1033" t="s">
        <v>8773</v>
      </c>
      <c r="AM1033" t="s">
        <v>8774</v>
      </c>
      <c r="AN1033" t="s">
        <v>8775</v>
      </c>
      <c r="AO1033" t="s">
        <v>11167</v>
      </c>
      <c r="AP1033" t="s">
        <v>74</v>
      </c>
      <c r="AQ1033" t="s">
        <v>74</v>
      </c>
      <c r="AR1033" t="s">
        <v>11168</v>
      </c>
      <c r="AS1033" t="s">
        <v>11169</v>
      </c>
      <c r="AT1033" t="s">
        <v>74</v>
      </c>
      <c r="AU1033">
        <v>2022</v>
      </c>
      <c r="AV1033">
        <v>14</v>
      </c>
      <c r="AW1033">
        <v>2</v>
      </c>
      <c r="AX1033" t="s">
        <v>74</v>
      </c>
      <c r="AY1033" t="s">
        <v>74</v>
      </c>
      <c r="AZ1033" t="s">
        <v>74</v>
      </c>
      <c r="BA1033" t="s">
        <v>74</v>
      </c>
      <c r="BB1033">
        <v>311</v>
      </c>
      <c r="BC1033" t="s">
        <v>17444</v>
      </c>
      <c r="BD1033" t="s">
        <v>74</v>
      </c>
      <c r="BE1033" t="s">
        <v>74</v>
      </c>
      <c r="BF1033" t="s">
        <v>74</v>
      </c>
      <c r="BG1033" t="s">
        <v>74</v>
      </c>
      <c r="BH1033" t="s">
        <v>74</v>
      </c>
      <c r="BI1033">
        <v>12</v>
      </c>
      <c r="BJ1033" t="s">
        <v>3284</v>
      </c>
      <c r="BK1033" t="s">
        <v>125</v>
      </c>
      <c r="BL1033" t="s">
        <v>3285</v>
      </c>
      <c r="BM1033" t="s">
        <v>11170</v>
      </c>
      <c r="BN1033" t="s">
        <v>74</v>
      </c>
      <c r="BO1033" t="s">
        <v>74</v>
      </c>
      <c r="BP1033" t="s">
        <v>74</v>
      </c>
      <c r="BQ1033" t="s">
        <v>74</v>
      </c>
      <c r="BR1033" t="s">
        <v>102</v>
      </c>
      <c r="BS1033" t="s">
        <v>17445</v>
      </c>
      <c r="BT1033" t="str">
        <f>HYPERLINK("https%3A%2F%2Fwww.webofscience.com%2Fwos%2Fwoscc%2Ffull-record%2FWOS:000967999800025","View Full Record in Web of Science")</f>
        <v>View Full Record in Web of Science</v>
      </c>
    </row>
    <row r="1034" spans="1:72" x14ac:dyDescent="0.35">
      <c r="A1034" t="s">
        <v>72</v>
      </c>
      <c r="B1034" t="s">
        <v>17446</v>
      </c>
      <c r="C1034" t="s">
        <v>74</v>
      </c>
      <c r="D1034" t="s">
        <v>74</v>
      </c>
      <c r="E1034" t="s">
        <v>74</v>
      </c>
      <c r="F1034" t="s">
        <v>17447</v>
      </c>
      <c r="G1034" t="s">
        <v>74</v>
      </c>
      <c r="H1034" t="s">
        <v>74</v>
      </c>
      <c r="I1034" t="s">
        <v>17448</v>
      </c>
      <c r="J1034" t="s">
        <v>17449</v>
      </c>
      <c r="K1034" t="s">
        <v>74</v>
      </c>
      <c r="L1034" t="s">
        <v>74</v>
      </c>
      <c r="M1034" t="s">
        <v>78</v>
      </c>
      <c r="N1034" t="s">
        <v>108</v>
      </c>
      <c r="O1034" t="s">
        <v>74</v>
      </c>
      <c r="P1034" t="s">
        <v>74</v>
      </c>
      <c r="Q1034" t="s">
        <v>74</v>
      </c>
      <c r="R1034" t="s">
        <v>74</v>
      </c>
      <c r="S1034" t="s">
        <v>74</v>
      </c>
      <c r="T1034" t="s">
        <v>17450</v>
      </c>
      <c r="U1034" t="s">
        <v>15547</v>
      </c>
      <c r="V1034" t="s">
        <v>17451</v>
      </c>
      <c r="W1034" t="s">
        <v>17452</v>
      </c>
      <c r="X1034" t="s">
        <v>74</v>
      </c>
      <c r="Y1034" t="s">
        <v>17453</v>
      </c>
      <c r="Z1034" t="s">
        <v>17454</v>
      </c>
      <c r="AA1034" t="s">
        <v>17455</v>
      </c>
      <c r="AB1034" t="s">
        <v>74</v>
      </c>
      <c r="AC1034" t="s">
        <v>74</v>
      </c>
      <c r="AD1034" t="s">
        <v>74</v>
      </c>
      <c r="AE1034" t="s">
        <v>74</v>
      </c>
      <c r="AF1034" t="s">
        <v>74</v>
      </c>
      <c r="AG1034">
        <v>48</v>
      </c>
      <c r="AH1034">
        <v>0</v>
      </c>
      <c r="AI1034">
        <v>0</v>
      </c>
      <c r="AJ1034">
        <v>3</v>
      </c>
      <c r="AK1034">
        <v>7</v>
      </c>
      <c r="AL1034" t="s">
        <v>14437</v>
      </c>
      <c r="AM1034" t="s">
        <v>6529</v>
      </c>
      <c r="AN1034" t="s">
        <v>14438</v>
      </c>
      <c r="AO1034" t="s">
        <v>17456</v>
      </c>
      <c r="AP1034" t="s">
        <v>74</v>
      </c>
      <c r="AQ1034" t="s">
        <v>74</v>
      </c>
      <c r="AR1034" t="s">
        <v>17457</v>
      </c>
      <c r="AS1034" t="s">
        <v>17458</v>
      </c>
      <c r="AT1034" t="s">
        <v>74</v>
      </c>
      <c r="AU1034">
        <v>2023</v>
      </c>
      <c r="AV1034">
        <v>20</v>
      </c>
      <c r="AW1034">
        <v>2</v>
      </c>
      <c r="AX1034" t="s">
        <v>74</v>
      </c>
      <c r="AY1034" t="s">
        <v>74</v>
      </c>
      <c r="AZ1034" t="s">
        <v>74</v>
      </c>
      <c r="BA1034" t="s">
        <v>74</v>
      </c>
      <c r="BB1034">
        <v>229</v>
      </c>
      <c r="BC1034">
        <v>238</v>
      </c>
      <c r="BD1034" t="s">
        <v>74</v>
      </c>
      <c r="BE1034" t="s">
        <v>17459</v>
      </c>
      <c r="BF1034" t="str">
        <f>HYPERLINK("http://dx.doi.org/10.5209/tekn.79698","http://dx.doi.org/10.5209/tekn.79698")</f>
        <v>http://dx.doi.org/10.5209/tekn.79698</v>
      </c>
      <c r="BG1034" t="s">
        <v>74</v>
      </c>
      <c r="BH1034" t="s">
        <v>74</v>
      </c>
      <c r="BI1034">
        <v>10</v>
      </c>
      <c r="BJ1034" t="s">
        <v>1047</v>
      </c>
      <c r="BK1034" t="s">
        <v>125</v>
      </c>
      <c r="BL1034" t="s">
        <v>1047</v>
      </c>
      <c r="BM1034" t="s">
        <v>17460</v>
      </c>
      <c r="BN1034" t="s">
        <v>74</v>
      </c>
      <c r="BO1034" t="s">
        <v>5678</v>
      </c>
      <c r="BP1034" t="s">
        <v>74</v>
      </c>
      <c r="BQ1034" t="s">
        <v>74</v>
      </c>
      <c r="BR1034" t="s">
        <v>102</v>
      </c>
      <c r="BS1034" t="s">
        <v>17461</v>
      </c>
      <c r="BT1034" t="str">
        <f>HYPERLINK("https%3A%2F%2Fwww.webofscience.com%2Fwos%2Fwoscc%2Ffull-record%2FWOS:001027211900007","View Full Record in Web of Science")</f>
        <v>View Full Record in Web of Science</v>
      </c>
    </row>
    <row r="1035" spans="1:72" x14ac:dyDescent="0.35">
      <c r="A1035" t="s">
        <v>72</v>
      </c>
      <c r="B1035" t="s">
        <v>17462</v>
      </c>
      <c r="C1035" t="s">
        <v>74</v>
      </c>
      <c r="D1035" t="s">
        <v>74</v>
      </c>
      <c r="E1035" t="s">
        <v>74</v>
      </c>
      <c r="F1035" t="s">
        <v>17463</v>
      </c>
      <c r="G1035" t="s">
        <v>74</v>
      </c>
      <c r="H1035" t="s">
        <v>74</v>
      </c>
      <c r="I1035" t="s">
        <v>17464</v>
      </c>
      <c r="J1035" t="s">
        <v>216</v>
      </c>
      <c r="K1035" t="s">
        <v>74</v>
      </c>
      <c r="L1035" t="s">
        <v>74</v>
      </c>
      <c r="M1035" t="s">
        <v>78</v>
      </c>
      <c r="N1035" t="s">
        <v>108</v>
      </c>
      <c r="O1035" t="s">
        <v>74</v>
      </c>
      <c r="P1035" t="s">
        <v>74</v>
      </c>
      <c r="Q1035" t="s">
        <v>74</v>
      </c>
      <c r="R1035" t="s">
        <v>74</v>
      </c>
      <c r="S1035" t="s">
        <v>74</v>
      </c>
      <c r="T1035" t="s">
        <v>17465</v>
      </c>
      <c r="U1035" t="s">
        <v>17466</v>
      </c>
      <c r="V1035" t="s">
        <v>17467</v>
      </c>
      <c r="W1035" t="s">
        <v>17468</v>
      </c>
      <c r="X1035" t="s">
        <v>17469</v>
      </c>
      <c r="Y1035" t="s">
        <v>17470</v>
      </c>
      <c r="Z1035" t="s">
        <v>74</v>
      </c>
      <c r="AA1035" t="s">
        <v>74</v>
      </c>
      <c r="AB1035" t="s">
        <v>17471</v>
      </c>
      <c r="AC1035" t="s">
        <v>17472</v>
      </c>
      <c r="AD1035" t="s">
        <v>6983</v>
      </c>
      <c r="AE1035" t="s">
        <v>17473</v>
      </c>
      <c r="AF1035" t="s">
        <v>74</v>
      </c>
      <c r="AG1035">
        <v>90</v>
      </c>
      <c r="AH1035">
        <v>0</v>
      </c>
      <c r="AI1035">
        <v>0</v>
      </c>
      <c r="AJ1035">
        <v>6</v>
      </c>
      <c r="AK1035">
        <v>6</v>
      </c>
      <c r="AL1035" t="s">
        <v>226</v>
      </c>
      <c r="AM1035" t="s">
        <v>227</v>
      </c>
      <c r="AN1035" t="s">
        <v>228</v>
      </c>
      <c r="AO1035" t="s">
        <v>229</v>
      </c>
      <c r="AP1035" t="s">
        <v>74</v>
      </c>
      <c r="AQ1035" t="s">
        <v>74</v>
      </c>
      <c r="AR1035" t="s">
        <v>230</v>
      </c>
      <c r="AS1035" t="s">
        <v>231</v>
      </c>
      <c r="AT1035" t="s">
        <v>273</v>
      </c>
      <c r="AU1035">
        <v>2024</v>
      </c>
      <c r="AV1035">
        <v>10</v>
      </c>
      <c r="AW1035">
        <v>3</v>
      </c>
      <c r="AX1035" t="s">
        <v>74</v>
      </c>
      <c r="AY1035" t="s">
        <v>74</v>
      </c>
      <c r="AZ1035" t="s">
        <v>74</v>
      </c>
      <c r="BA1035" t="s">
        <v>74</v>
      </c>
      <c r="BB1035" t="s">
        <v>74</v>
      </c>
      <c r="BC1035" t="s">
        <v>74</v>
      </c>
      <c r="BD1035">
        <v>2.056305124126928E+16</v>
      </c>
      <c r="BE1035" t="s">
        <v>17474</v>
      </c>
      <c r="BF1035" t="str">
        <f>HYPERLINK("http://dx.doi.org/10.1177/20563051241269281","http://dx.doi.org/10.1177/20563051241269281")</f>
        <v>http://dx.doi.org/10.1177/20563051241269281</v>
      </c>
      <c r="BG1035" t="s">
        <v>74</v>
      </c>
      <c r="BH1035" t="s">
        <v>74</v>
      </c>
      <c r="BI1035">
        <v>15</v>
      </c>
      <c r="BJ1035" t="s">
        <v>124</v>
      </c>
      <c r="BK1035" t="s">
        <v>99</v>
      </c>
      <c r="BL1035" t="s">
        <v>124</v>
      </c>
      <c r="BM1035" t="s">
        <v>17475</v>
      </c>
      <c r="BN1035" t="s">
        <v>74</v>
      </c>
      <c r="BO1035" t="s">
        <v>235</v>
      </c>
      <c r="BP1035" t="s">
        <v>74</v>
      </c>
      <c r="BQ1035" t="s">
        <v>74</v>
      </c>
      <c r="BR1035" t="s">
        <v>102</v>
      </c>
      <c r="BS1035" t="s">
        <v>17476</v>
      </c>
      <c r="BT1035" t="str">
        <f>HYPERLINK("https%3A%2F%2Fwww.webofscience.com%2Fwos%2Fwoscc%2Ffull-record%2FWOS:001299152100001","View Full Record in Web of Science")</f>
        <v>View Full Record in Web of Science</v>
      </c>
    </row>
    <row r="1036" spans="1:72" x14ac:dyDescent="0.35">
      <c r="A1036" t="s">
        <v>72</v>
      </c>
      <c r="B1036" t="s">
        <v>17477</v>
      </c>
      <c r="C1036" t="s">
        <v>74</v>
      </c>
      <c r="D1036" t="s">
        <v>74</v>
      </c>
      <c r="E1036" t="s">
        <v>74</v>
      </c>
      <c r="F1036" t="s">
        <v>17478</v>
      </c>
      <c r="G1036" t="s">
        <v>74</v>
      </c>
      <c r="H1036" t="s">
        <v>74</v>
      </c>
      <c r="I1036" t="s">
        <v>17479</v>
      </c>
      <c r="J1036" t="s">
        <v>17480</v>
      </c>
      <c r="K1036" t="s">
        <v>74</v>
      </c>
      <c r="L1036" t="s">
        <v>74</v>
      </c>
      <c r="M1036" t="s">
        <v>78</v>
      </c>
      <c r="N1036" t="s">
        <v>108</v>
      </c>
      <c r="O1036" t="s">
        <v>74</v>
      </c>
      <c r="P1036" t="s">
        <v>74</v>
      </c>
      <c r="Q1036" t="s">
        <v>74</v>
      </c>
      <c r="R1036" t="s">
        <v>74</v>
      </c>
      <c r="S1036" t="s">
        <v>74</v>
      </c>
      <c r="T1036" t="s">
        <v>17481</v>
      </c>
      <c r="U1036" t="s">
        <v>74</v>
      </c>
      <c r="V1036" t="s">
        <v>17482</v>
      </c>
      <c r="W1036" t="s">
        <v>17483</v>
      </c>
      <c r="X1036" t="s">
        <v>17484</v>
      </c>
      <c r="Y1036" t="s">
        <v>17485</v>
      </c>
      <c r="Z1036" t="s">
        <v>17486</v>
      </c>
      <c r="AA1036" t="s">
        <v>74</v>
      </c>
      <c r="AB1036" t="s">
        <v>74</v>
      </c>
      <c r="AC1036" t="s">
        <v>17487</v>
      </c>
      <c r="AD1036" t="s">
        <v>17488</v>
      </c>
      <c r="AE1036" t="s">
        <v>17489</v>
      </c>
      <c r="AF1036" t="s">
        <v>74</v>
      </c>
      <c r="AG1036">
        <v>39</v>
      </c>
      <c r="AH1036">
        <v>18</v>
      </c>
      <c r="AI1036">
        <v>18</v>
      </c>
      <c r="AJ1036">
        <v>11</v>
      </c>
      <c r="AK1036">
        <v>54</v>
      </c>
      <c r="AL1036" t="s">
        <v>665</v>
      </c>
      <c r="AM1036" t="s">
        <v>666</v>
      </c>
      <c r="AN1036" t="s">
        <v>667</v>
      </c>
      <c r="AO1036" t="s">
        <v>17490</v>
      </c>
      <c r="AP1036" t="s">
        <v>74</v>
      </c>
      <c r="AQ1036" t="s">
        <v>74</v>
      </c>
      <c r="AR1036" t="s">
        <v>17491</v>
      </c>
      <c r="AS1036" t="s">
        <v>17492</v>
      </c>
      <c r="AT1036" t="s">
        <v>17493</v>
      </c>
      <c r="AU1036">
        <v>2021</v>
      </c>
      <c r="AV1036">
        <v>9</v>
      </c>
      <c r="AW1036">
        <v>1</v>
      </c>
      <c r="AX1036" t="s">
        <v>74</v>
      </c>
      <c r="AY1036" t="s">
        <v>74</v>
      </c>
      <c r="AZ1036" t="s">
        <v>74</v>
      </c>
      <c r="BA1036" t="s">
        <v>74</v>
      </c>
      <c r="BB1036" t="s">
        <v>74</v>
      </c>
      <c r="BC1036" t="s">
        <v>74</v>
      </c>
      <c r="BD1036">
        <v>135</v>
      </c>
      <c r="BE1036" t="s">
        <v>17494</v>
      </c>
      <c r="BF1036" t="str">
        <f>HYPERLINK("http://dx.doi.org/10.1186/s40494-021-00612-2","http://dx.doi.org/10.1186/s40494-021-00612-2")</f>
        <v>http://dx.doi.org/10.1186/s40494-021-00612-2</v>
      </c>
      <c r="BG1036" t="s">
        <v>74</v>
      </c>
      <c r="BH1036" t="s">
        <v>74</v>
      </c>
      <c r="BI1036">
        <v>8</v>
      </c>
      <c r="BJ1036" t="s">
        <v>17495</v>
      </c>
      <c r="BK1036" t="s">
        <v>17496</v>
      </c>
      <c r="BL1036" t="s">
        <v>17497</v>
      </c>
      <c r="BM1036" t="s">
        <v>17498</v>
      </c>
      <c r="BN1036" t="s">
        <v>74</v>
      </c>
      <c r="BO1036" t="s">
        <v>235</v>
      </c>
      <c r="BP1036" t="s">
        <v>74</v>
      </c>
      <c r="BQ1036" t="s">
        <v>74</v>
      </c>
      <c r="BR1036" t="s">
        <v>102</v>
      </c>
      <c r="BS1036" t="s">
        <v>17499</v>
      </c>
      <c r="BT1036" t="str">
        <f>HYPERLINK("https%3A%2F%2Fwww.webofscience.com%2Fwos%2Fwoscc%2Ffull-record%2FWOS:000709315200001","View Full Record in Web of Science")</f>
        <v>View Full Record in Web of Science</v>
      </c>
    </row>
    <row r="1037" spans="1:72" x14ac:dyDescent="0.35">
      <c r="A1037" t="s">
        <v>72</v>
      </c>
      <c r="B1037" t="s">
        <v>17500</v>
      </c>
      <c r="C1037" t="s">
        <v>74</v>
      </c>
      <c r="D1037" t="s">
        <v>74</v>
      </c>
      <c r="E1037" t="s">
        <v>74</v>
      </c>
      <c r="F1037" t="s">
        <v>17501</v>
      </c>
      <c r="G1037" t="s">
        <v>74</v>
      </c>
      <c r="H1037" t="s">
        <v>74</v>
      </c>
      <c r="I1037" t="s">
        <v>17502</v>
      </c>
      <c r="J1037" t="s">
        <v>15052</v>
      </c>
      <c r="K1037" t="s">
        <v>74</v>
      </c>
      <c r="L1037" t="s">
        <v>74</v>
      </c>
      <c r="M1037" t="s">
        <v>78</v>
      </c>
      <c r="N1037" t="s">
        <v>108</v>
      </c>
      <c r="O1037" t="s">
        <v>74</v>
      </c>
      <c r="P1037" t="s">
        <v>74</v>
      </c>
      <c r="Q1037" t="s">
        <v>74</v>
      </c>
      <c r="R1037" t="s">
        <v>74</v>
      </c>
      <c r="S1037" t="s">
        <v>74</v>
      </c>
      <c r="T1037" t="s">
        <v>17503</v>
      </c>
      <c r="U1037" t="s">
        <v>17504</v>
      </c>
      <c r="V1037" t="s">
        <v>17505</v>
      </c>
      <c r="W1037" t="s">
        <v>17506</v>
      </c>
      <c r="X1037" t="s">
        <v>17507</v>
      </c>
      <c r="Y1037" t="s">
        <v>17508</v>
      </c>
      <c r="Z1037" t="s">
        <v>17509</v>
      </c>
      <c r="AA1037" t="s">
        <v>17510</v>
      </c>
      <c r="AB1037" t="s">
        <v>17511</v>
      </c>
      <c r="AC1037" t="s">
        <v>17512</v>
      </c>
      <c r="AD1037" t="s">
        <v>17513</v>
      </c>
      <c r="AE1037" t="s">
        <v>17514</v>
      </c>
      <c r="AF1037" t="s">
        <v>74</v>
      </c>
      <c r="AG1037">
        <v>29</v>
      </c>
      <c r="AH1037">
        <v>52</v>
      </c>
      <c r="AI1037">
        <v>55</v>
      </c>
      <c r="AJ1037">
        <v>3</v>
      </c>
      <c r="AK1037">
        <v>31</v>
      </c>
      <c r="AL1037" t="s">
        <v>9222</v>
      </c>
      <c r="AM1037" t="s">
        <v>227</v>
      </c>
      <c r="AN1037" t="s">
        <v>9223</v>
      </c>
      <c r="AO1037" t="s">
        <v>15060</v>
      </c>
      <c r="AP1037" t="s">
        <v>15061</v>
      </c>
      <c r="AQ1037" t="s">
        <v>74</v>
      </c>
      <c r="AR1037" t="s">
        <v>15062</v>
      </c>
      <c r="AS1037" t="s">
        <v>15063</v>
      </c>
      <c r="AT1037" t="s">
        <v>1484</v>
      </c>
      <c r="AU1037">
        <v>2023</v>
      </c>
      <c r="AV1037">
        <v>32</v>
      </c>
      <c r="AW1037">
        <v>2</v>
      </c>
      <c r="AX1037" t="s">
        <v>74</v>
      </c>
      <c r="AY1037" t="s">
        <v>74</v>
      </c>
      <c r="AZ1037" t="s">
        <v>74</v>
      </c>
      <c r="BA1037" t="s">
        <v>74</v>
      </c>
      <c r="BB1037">
        <v>251</v>
      </c>
      <c r="BC1037">
        <v>254</v>
      </c>
      <c r="BD1037" t="s">
        <v>74</v>
      </c>
      <c r="BE1037" t="s">
        <v>17515</v>
      </c>
      <c r="BF1037" t="str">
        <f>HYPERLINK("http://dx.doi.org/10.1136/tobaccocontrol-2021-056619","http://dx.doi.org/10.1136/tobaccocontrol-2021-056619")</f>
        <v>http://dx.doi.org/10.1136/tobaccocontrol-2021-056619</v>
      </c>
      <c r="BG1037" t="s">
        <v>74</v>
      </c>
      <c r="BH1037" t="s">
        <v>6350</v>
      </c>
      <c r="BI1037">
        <v>4</v>
      </c>
      <c r="BJ1037" t="s">
        <v>8342</v>
      </c>
      <c r="BK1037" t="s">
        <v>182</v>
      </c>
      <c r="BL1037" t="s">
        <v>8342</v>
      </c>
      <c r="BM1037" t="s">
        <v>17516</v>
      </c>
      <c r="BN1037">
        <v>34312317</v>
      </c>
      <c r="BO1037" t="s">
        <v>74</v>
      </c>
      <c r="BP1037" t="s">
        <v>74</v>
      </c>
      <c r="BQ1037" t="s">
        <v>74</v>
      </c>
      <c r="BR1037" t="s">
        <v>102</v>
      </c>
      <c r="BS1037" t="s">
        <v>17517</v>
      </c>
      <c r="BT1037" t="str">
        <f>HYPERLINK("https%3A%2F%2Fwww.webofscience.com%2Fwos%2Fwoscc%2Ffull-record%2FWOS:000728855600001","View Full Record in Web of Science")</f>
        <v>View Full Record in Web of Science</v>
      </c>
    </row>
    <row r="1038" spans="1:72" x14ac:dyDescent="0.35">
      <c r="A1038" t="s">
        <v>72</v>
      </c>
      <c r="B1038" t="s">
        <v>17518</v>
      </c>
      <c r="C1038" t="s">
        <v>74</v>
      </c>
      <c r="D1038" t="s">
        <v>74</v>
      </c>
      <c r="E1038" t="s">
        <v>74</v>
      </c>
      <c r="F1038" t="s">
        <v>17519</v>
      </c>
      <c r="G1038" t="s">
        <v>74</v>
      </c>
      <c r="H1038" t="s">
        <v>74</v>
      </c>
      <c r="I1038" t="s">
        <v>17520</v>
      </c>
      <c r="J1038" t="s">
        <v>17521</v>
      </c>
      <c r="K1038" t="s">
        <v>74</v>
      </c>
      <c r="L1038" t="s">
        <v>74</v>
      </c>
      <c r="M1038" t="s">
        <v>78</v>
      </c>
      <c r="N1038" t="s">
        <v>2042</v>
      </c>
      <c r="O1038" t="s">
        <v>74</v>
      </c>
      <c r="P1038" t="s">
        <v>74</v>
      </c>
      <c r="Q1038" t="s">
        <v>74</v>
      </c>
      <c r="R1038" t="s">
        <v>74</v>
      </c>
      <c r="S1038" t="s">
        <v>74</v>
      </c>
      <c r="T1038" t="s">
        <v>17522</v>
      </c>
      <c r="U1038" t="s">
        <v>74</v>
      </c>
      <c r="V1038" t="s">
        <v>74</v>
      </c>
      <c r="W1038" t="s">
        <v>17523</v>
      </c>
      <c r="X1038" t="s">
        <v>17524</v>
      </c>
      <c r="Y1038" t="s">
        <v>17525</v>
      </c>
      <c r="Z1038" t="s">
        <v>17526</v>
      </c>
      <c r="AA1038" t="s">
        <v>74</v>
      </c>
      <c r="AB1038" t="s">
        <v>17527</v>
      </c>
      <c r="AC1038" t="s">
        <v>74</v>
      </c>
      <c r="AD1038" t="s">
        <v>74</v>
      </c>
      <c r="AE1038" t="s">
        <v>74</v>
      </c>
      <c r="AF1038" t="s">
        <v>74</v>
      </c>
      <c r="AG1038">
        <v>4</v>
      </c>
      <c r="AH1038">
        <v>6</v>
      </c>
      <c r="AI1038">
        <v>6</v>
      </c>
      <c r="AJ1038">
        <v>0</v>
      </c>
      <c r="AK1038">
        <v>2</v>
      </c>
      <c r="AL1038" t="s">
        <v>251</v>
      </c>
      <c r="AM1038" t="s">
        <v>252</v>
      </c>
      <c r="AN1038" t="s">
        <v>253</v>
      </c>
      <c r="AO1038" t="s">
        <v>17528</v>
      </c>
      <c r="AP1038" t="s">
        <v>17529</v>
      </c>
      <c r="AQ1038" t="s">
        <v>74</v>
      </c>
      <c r="AR1038" t="s">
        <v>17521</v>
      </c>
      <c r="AS1038" t="s">
        <v>17530</v>
      </c>
      <c r="AT1038" t="s">
        <v>1484</v>
      </c>
      <c r="AU1038">
        <v>2023</v>
      </c>
      <c r="AV1038">
        <v>88</v>
      </c>
      <c r="AW1038">
        <v>3</v>
      </c>
      <c r="AX1038" t="s">
        <v>74</v>
      </c>
      <c r="AY1038" t="s">
        <v>74</v>
      </c>
      <c r="AZ1038" t="s">
        <v>74</v>
      </c>
      <c r="BA1038" t="s">
        <v>74</v>
      </c>
      <c r="BB1038">
        <v>232</v>
      </c>
      <c r="BC1038">
        <v>234</v>
      </c>
      <c r="BD1038" t="s">
        <v>74</v>
      </c>
      <c r="BE1038" t="s">
        <v>17531</v>
      </c>
      <c r="BF1038" t="str">
        <f>HYPERLINK("http://dx.doi.org/10.1111/cod.14254","http://dx.doi.org/10.1111/cod.14254")</f>
        <v>http://dx.doi.org/10.1111/cod.14254</v>
      </c>
      <c r="BG1038" t="s">
        <v>74</v>
      </c>
      <c r="BH1038" t="s">
        <v>3970</v>
      </c>
      <c r="BI1038">
        <v>3</v>
      </c>
      <c r="BJ1038" t="s">
        <v>17532</v>
      </c>
      <c r="BK1038" t="s">
        <v>209</v>
      </c>
      <c r="BL1038" t="s">
        <v>17532</v>
      </c>
      <c r="BM1038" t="s">
        <v>17533</v>
      </c>
      <c r="BN1038">
        <v>36444522</v>
      </c>
      <c r="BO1038" t="s">
        <v>4154</v>
      </c>
      <c r="BP1038" t="s">
        <v>74</v>
      </c>
      <c r="BQ1038" t="s">
        <v>74</v>
      </c>
      <c r="BR1038" t="s">
        <v>102</v>
      </c>
      <c r="BS1038" t="s">
        <v>17534</v>
      </c>
      <c r="BT1038" t="str">
        <f>HYPERLINK("https%3A%2F%2Fwww.webofscience.com%2Fwos%2Fwoscc%2Ffull-record%2FWOS:000893595000001","View Full Record in Web of Science")</f>
        <v>View Full Record in Web of Science</v>
      </c>
    </row>
    <row r="1039" spans="1:72" x14ac:dyDescent="0.35">
      <c r="A1039" t="s">
        <v>72</v>
      </c>
      <c r="B1039" t="s">
        <v>17535</v>
      </c>
      <c r="C1039" t="s">
        <v>74</v>
      </c>
      <c r="D1039" t="s">
        <v>74</v>
      </c>
      <c r="E1039" t="s">
        <v>74</v>
      </c>
      <c r="F1039" t="s">
        <v>17536</v>
      </c>
      <c r="G1039" t="s">
        <v>74</v>
      </c>
      <c r="H1039" t="s">
        <v>74</v>
      </c>
      <c r="I1039" t="s">
        <v>17537</v>
      </c>
      <c r="J1039" t="s">
        <v>8886</v>
      </c>
      <c r="K1039" t="s">
        <v>74</v>
      </c>
      <c r="L1039" t="s">
        <v>74</v>
      </c>
      <c r="M1039" t="s">
        <v>78</v>
      </c>
      <c r="N1039" t="s">
        <v>108</v>
      </c>
      <c r="O1039" t="s">
        <v>74</v>
      </c>
      <c r="P1039" t="s">
        <v>74</v>
      </c>
      <c r="Q1039" t="s">
        <v>74</v>
      </c>
      <c r="R1039" t="s">
        <v>74</v>
      </c>
      <c r="S1039" t="s">
        <v>74</v>
      </c>
      <c r="T1039" t="s">
        <v>17538</v>
      </c>
      <c r="U1039" t="s">
        <v>74</v>
      </c>
      <c r="V1039" t="s">
        <v>17539</v>
      </c>
      <c r="W1039" t="s">
        <v>17540</v>
      </c>
      <c r="X1039" t="s">
        <v>17541</v>
      </c>
      <c r="Y1039" t="s">
        <v>17542</v>
      </c>
      <c r="Z1039" t="s">
        <v>17543</v>
      </c>
      <c r="AA1039" t="s">
        <v>17544</v>
      </c>
      <c r="AB1039" t="s">
        <v>74</v>
      </c>
      <c r="AC1039" t="s">
        <v>17545</v>
      </c>
      <c r="AD1039" t="s">
        <v>17546</v>
      </c>
      <c r="AE1039" t="s">
        <v>17547</v>
      </c>
      <c r="AF1039" t="s">
        <v>74</v>
      </c>
      <c r="AG1039">
        <v>31</v>
      </c>
      <c r="AH1039">
        <v>0</v>
      </c>
      <c r="AI1039">
        <v>0</v>
      </c>
      <c r="AJ1039">
        <v>0</v>
      </c>
      <c r="AK1039">
        <v>0</v>
      </c>
      <c r="AL1039" t="s">
        <v>384</v>
      </c>
      <c r="AM1039" t="s">
        <v>385</v>
      </c>
      <c r="AN1039" t="s">
        <v>386</v>
      </c>
      <c r="AO1039" t="s">
        <v>74</v>
      </c>
      <c r="AP1039" t="s">
        <v>8897</v>
      </c>
      <c r="AQ1039" t="s">
        <v>74</v>
      </c>
      <c r="AR1039" t="s">
        <v>8898</v>
      </c>
      <c r="AS1039" t="s">
        <v>8899</v>
      </c>
      <c r="AT1039" t="s">
        <v>17548</v>
      </c>
      <c r="AU1039">
        <v>2024</v>
      </c>
      <c r="AV1039">
        <v>9</v>
      </c>
      <c r="AW1039" t="s">
        <v>74</v>
      </c>
      <c r="AX1039" t="s">
        <v>74</v>
      </c>
      <c r="AY1039" t="s">
        <v>74</v>
      </c>
      <c r="AZ1039" t="s">
        <v>74</v>
      </c>
      <c r="BA1039" t="s">
        <v>74</v>
      </c>
      <c r="BB1039" t="s">
        <v>74</v>
      </c>
      <c r="BC1039" t="s">
        <v>74</v>
      </c>
      <c r="BD1039">
        <v>1410306</v>
      </c>
      <c r="BE1039" t="s">
        <v>17549</v>
      </c>
      <c r="BF1039" t="str">
        <f>HYPERLINK("http://dx.doi.org/10.3389/fcomm.2024.1410306","http://dx.doi.org/10.3389/fcomm.2024.1410306")</f>
        <v>http://dx.doi.org/10.3389/fcomm.2024.1410306</v>
      </c>
      <c r="BG1039" t="s">
        <v>74</v>
      </c>
      <c r="BH1039" t="s">
        <v>74</v>
      </c>
      <c r="BI1039">
        <v>11</v>
      </c>
      <c r="BJ1039" t="s">
        <v>124</v>
      </c>
      <c r="BK1039" t="s">
        <v>125</v>
      </c>
      <c r="BL1039" t="s">
        <v>124</v>
      </c>
      <c r="BM1039" t="s">
        <v>17550</v>
      </c>
      <c r="BN1039" t="s">
        <v>74</v>
      </c>
      <c r="BO1039" t="s">
        <v>235</v>
      </c>
      <c r="BP1039" t="s">
        <v>74</v>
      </c>
      <c r="BQ1039" t="s">
        <v>74</v>
      </c>
      <c r="BR1039" t="s">
        <v>102</v>
      </c>
      <c r="BS1039" t="s">
        <v>17551</v>
      </c>
      <c r="BT1039" t="str">
        <f>HYPERLINK("https%3A%2F%2Fwww.webofscience.com%2Fwos%2Fwoscc%2Ffull-record%2FWOS:001328811700001","View Full Record in Web of Science")</f>
        <v>View Full Record in Web of Science</v>
      </c>
    </row>
    <row r="1040" spans="1:72" x14ac:dyDescent="0.35">
      <c r="A1040" t="s">
        <v>72</v>
      </c>
      <c r="B1040" t="s">
        <v>17552</v>
      </c>
      <c r="C1040" t="s">
        <v>74</v>
      </c>
      <c r="D1040" t="s">
        <v>74</v>
      </c>
      <c r="E1040" t="s">
        <v>74</v>
      </c>
      <c r="F1040" t="s">
        <v>17553</v>
      </c>
      <c r="G1040" t="s">
        <v>74</v>
      </c>
      <c r="H1040" t="s">
        <v>74</v>
      </c>
      <c r="I1040" t="s">
        <v>17554</v>
      </c>
      <c r="J1040" t="s">
        <v>17555</v>
      </c>
      <c r="K1040" t="s">
        <v>74</v>
      </c>
      <c r="L1040" t="s">
        <v>74</v>
      </c>
      <c r="M1040" t="s">
        <v>78</v>
      </c>
      <c r="N1040" t="s">
        <v>108</v>
      </c>
      <c r="O1040" t="s">
        <v>74</v>
      </c>
      <c r="P1040" t="s">
        <v>74</v>
      </c>
      <c r="Q1040" t="s">
        <v>74</v>
      </c>
      <c r="R1040" t="s">
        <v>74</v>
      </c>
      <c r="S1040" t="s">
        <v>74</v>
      </c>
      <c r="T1040" t="s">
        <v>17556</v>
      </c>
      <c r="U1040" t="s">
        <v>17557</v>
      </c>
      <c r="V1040" t="s">
        <v>17558</v>
      </c>
      <c r="W1040" t="s">
        <v>17559</v>
      </c>
      <c r="X1040" t="s">
        <v>17560</v>
      </c>
      <c r="Y1040" t="s">
        <v>17561</v>
      </c>
      <c r="Z1040" t="s">
        <v>17562</v>
      </c>
      <c r="AA1040" t="s">
        <v>17563</v>
      </c>
      <c r="AB1040" t="s">
        <v>17564</v>
      </c>
      <c r="AC1040" t="s">
        <v>74</v>
      </c>
      <c r="AD1040" t="s">
        <v>74</v>
      </c>
      <c r="AE1040" t="s">
        <v>74</v>
      </c>
      <c r="AF1040" t="s">
        <v>74</v>
      </c>
      <c r="AG1040">
        <v>52</v>
      </c>
      <c r="AH1040">
        <v>2</v>
      </c>
      <c r="AI1040">
        <v>2</v>
      </c>
      <c r="AJ1040">
        <v>36</v>
      </c>
      <c r="AK1040">
        <v>36</v>
      </c>
      <c r="AL1040" t="s">
        <v>251</v>
      </c>
      <c r="AM1040" t="s">
        <v>252</v>
      </c>
      <c r="AN1040" t="s">
        <v>253</v>
      </c>
      <c r="AO1040" t="s">
        <v>17565</v>
      </c>
      <c r="AP1040" t="s">
        <v>17566</v>
      </c>
      <c r="AQ1040" t="s">
        <v>74</v>
      </c>
      <c r="AR1040" t="s">
        <v>17567</v>
      </c>
      <c r="AS1040" t="s">
        <v>17568</v>
      </c>
      <c r="AT1040" t="s">
        <v>523</v>
      </c>
      <c r="AU1040">
        <v>2024</v>
      </c>
      <c r="AV1040">
        <v>41</v>
      </c>
      <c r="AW1040">
        <v>11</v>
      </c>
      <c r="AX1040" t="s">
        <v>74</v>
      </c>
      <c r="AY1040" t="s">
        <v>74</v>
      </c>
      <c r="AZ1040" t="s">
        <v>74</v>
      </c>
      <c r="BA1040" t="s">
        <v>74</v>
      </c>
      <c r="BB1040">
        <v>2645</v>
      </c>
      <c r="BC1040">
        <v>2656</v>
      </c>
      <c r="BD1040" t="s">
        <v>74</v>
      </c>
      <c r="BE1040" t="s">
        <v>17569</v>
      </c>
      <c r="BF1040" t="str">
        <f>HYPERLINK("http://dx.doi.org/10.1002/mar.22075","http://dx.doi.org/10.1002/mar.22075")</f>
        <v>http://dx.doi.org/10.1002/mar.22075</v>
      </c>
      <c r="BG1040" t="s">
        <v>74</v>
      </c>
      <c r="BH1040" t="s">
        <v>478</v>
      </c>
      <c r="BI1040">
        <v>12</v>
      </c>
      <c r="BJ1040" t="s">
        <v>17570</v>
      </c>
      <c r="BK1040" t="s">
        <v>99</v>
      </c>
      <c r="BL1040" t="s">
        <v>5507</v>
      </c>
      <c r="BM1040" t="s">
        <v>17571</v>
      </c>
      <c r="BN1040" t="s">
        <v>74</v>
      </c>
      <c r="BO1040" t="s">
        <v>74</v>
      </c>
      <c r="BP1040" t="s">
        <v>74</v>
      </c>
      <c r="BQ1040" t="s">
        <v>74</v>
      </c>
      <c r="BR1040" t="s">
        <v>102</v>
      </c>
      <c r="BS1040" t="s">
        <v>17572</v>
      </c>
      <c r="BT1040" t="str">
        <f>HYPERLINK("https%3A%2F%2Fwww.webofscience.com%2Fwos%2Fwoscc%2Ffull-record%2FWOS:001268636200001","View Full Record in Web of Science")</f>
        <v>View Full Record in Web of Science</v>
      </c>
    </row>
    <row r="1041" spans="1:72" x14ac:dyDescent="0.35">
      <c r="A1041" t="s">
        <v>72</v>
      </c>
      <c r="B1041" t="s">
        <v>17573</v>
      </c>
      <c r="C1041" t="s">
        <v>74</v>
      </c>
      <c r="D1041" t="s">
        <v>74</v>
      </c>
      <c r="E1041" t="s">
        <v>74</v>
      </c>
      <c r="F1041" t="s">
        <v>17574</v>
      </c>
      <c r="G1041" t="s">
        <v>74</v>
      </c>
      <c r="H1041" t="s">
        <v>74</v>
      </c>
      <c r="I1041" t="s">
        <v>17575</v>
      </c>
      <c r="J1041" t="s">
        <v>14123</v>
      </c>
      <c r="K1041" t="s">
        <v>74</v>
      </c>
      <c r="L1041" t="s">
        <v>74</v>
      </c>
      <c r="M1041" t="s">
        <v>3503</v>
      </c>
      <c r="N1041" t="s">
        <v>108</v>
      </c>
      <c r="O1041" t="s">
        <v>74</v>
      </c>
      <c r="P1041" t="s">
        <v>74</v>
      </c>
      <c r="Q1041" t="s">
        <v>74</v>
      </c>
      <c r="R1041" t="s">
        <v>74</v>
      </c>
      <c r="S1041" t="s">
        <v>74</v>
      </c>
      <c r="T1041" t="s">
        <v>74</v>
      </c>
      <c r="U1041" t="s">
        <v>17576</v>
      </c>
      <c r="V1041" t="s">
        <v>74</v>
      </c>
      <c r="W1041" t="s">
        <v>17577</v>
      </c>
      <c r="X1041" t="s">
        <v>17578</v>
      </c>
      <c r="Y1041" t="s">
        <v>14434</v>
      </c>
      <c r="Z1041" t="s">
        <v>17579</v>
      </c>
      <c r="AA1041" t="s">
        <v>14435</v>
      </c>
      <c r="AB1041" t="s">
        <v>14436</v>
      </c>
      <c r="AC1041" t="s">
        <v>74</v>
      </c>
      <c r="AD1041" t="s">
        <v>74</v>
      </c>
      <c r="AE1041" t="s">
        <v>74</v>
      </c>
      <c r="AF1041" t="s">
        <v>74</v>
      </c>
      <c r="AG1041">
        <v>81</v>
      </c>
      <c r="AH1041">
        <v>4</v>
      </c>
      <c r="AI1041">
        <v>4</v>
      </c>
      <c r="AJ1041">
        <v>1</v>
      </c>
      <c r="AK1041">
        <v>18</v>
      </c>
      <c r="AL1041" t="s">
        <v>14132</v>
      </c>
      <c r="AM1041" t="s">
        <v>14133</v>
      </c>
      <c r="AN1041" t="s">
        <v>14134</v>
      </c>
      <c r="AO1041" t="s">
        <v>14135</v>
      </c>
      <c r="AP1041" t="s">
        <v>74</v>
      </c>
      <c r="AQ1041" t="s">
        <v>74</v>
      </c>
      <c r="AR1041" t="s">
        <v>14136</v>
      </c>
      <c r="AS1041" t="s">
        <v>14137</v>
      </c>
      <c r="AT1041" t="s">
        <v>74</v>
      </c>
      <c r="AU1041">
        <v>2023</v>
      </c>
      <c r="AV1041">
        <v>36</v>
      </c>
      <c r="AW1041">
        <v>3</v>
      </c>
      <c r="AX1041" t="s">
        <v>74</v>
      </c>
      <c r="AY1041" t="s">
        <v>74</v>
      </c>
      <c r="AZ1041" t="s">
        <v>74</v>
      </c>
      <c r="BA1041" t="s">
        <v>74</v>
      </c>
      <c r="BB1041">
        <v>175</v>
      </c>
      <c r="BC1041">
        <v>191</v>
      </c>
      <c r="BD1041" t="s">
        <v>74</v>
      </c>
      <c r="BE1041" t="s">
        <v>17580</v>
      </c>
      <c r="BF1041" t="str">
        <f>HYPERLINK("http://dx.doi.org/10.15581/003.36.3.175-191","http://dx.doi.org/10.15581/003.36.3.175-191")</f>
        <v>http://dx.doi.org/10.15581/003.36.3.175-191</v>
      </c>
      <c r="BG1041" t="s">
        <v>74</v>
      </c>
      <c r="BH1041" t="s">
        <v>74</v>
      </c>
      <c r="BI1041">
        <v>17</v>
      </c>
      <c r="BJ1041" t="s">
        <v>124</v>
      </c>
      <c r="BK1041" t="s">
        <v>125</v>
      </c>
      <c r="BL1041" t="s">
        <v>124</v>
      </c>
      <c r="BM1041" t="s">
        <v>14850</v>
      </c>
      <c r="BN1041" t="s">
        <v>74</v>
      </c>
      <c r="BO1041" t="s">
        <v>394</v>
      </c>
      <c r="BP1041" t="s">
        <v>74</v>
      </c>
      <c r="BQ1041" t="s">
        <v>74</v>
      </c>
      <c r="BR1041" t="s">
        <v>102</v>
      </c>
      <c r="BS1041" t="s">
        <v>17581</v>
      </c>
      <c r="BT1041" t="str">
        <f>HYPERLINK("https%3A%2F%2Fwww.webofscience.com%2Fwos%2Fwoscc%2Ffull-record%2FWOS:001016423000011","View Full Record in Web of Science")</f>
        <v>View Full Record in Web of Science</v>
      </c>
    </row>
    <row r="1042" spans="1:72" x14ac:dyDescent="0.35">
      <c r="A1042" t="s">
        <v>72</v>
      </c>
      <c r="B1042" t="s">
        <v>17582</v>
      </c>
      <c r="C1042" t="s">
        <v>74</v>
      </c>
      <c r="D1042" t="s">
        <v>74</v>
      </c>
      <c r="E1042" t="s">
        <v>74</v>
      </c>
      <c r="F1042" t="s">
        <v>17583</v>
      </c>
      <c r="G1042" t="s">
        <v>74</v>
      </c>
      <c r="H1042" t="s">
        <v>74</v>
      </c>
      <c r="I1042" t="s">
        <v>17584</v>
      </c>
      <c r="J1042" t="s">
        <v>17585</v>
      </c>
      <c r="K1042" t="s">
        <v>74</v>
      </c>
      <c r="L1042" t="s">
        <v>74</v>
      </c>
      <c r="M1042" t="s">
        <v>78</v>
      </c>
      <c r="N1042" t="s">
        <v>108</v>
      </c>
      <c r="O1042" t="s">
        <v>74</v>
      </c>
      <c r="P1042" t="s">
        <v>74</v>
      </c>
      <c r="Q1042" t="s">
        <v>74</v>
      </c>
      <c r="R1042" t="s">
        <v>74</v>
      </c>
      <c r="S1042" t="s">
        <v>74</v>
      </c>
      <c r="T1042" t="s">
        <v>17586</v>
      </c>
      <c r="U1042" t="s">
        <v>17587</v>
      </c>
      <c r="V1042" t="s">
        <v>17588</v>
      </c>
      <c r="W1042" t="s">
        <v>17589</v>
      </c>
      <c r="X1042" t="s">
        <v>17590</v>
      </c>
      <c r="Y1042" t="s">
        <v>17591</v>
      </c>
      <c r="Z1042" t="s">
        <v>11787</v>
      </c>
      <c r="AA1042" t="s">
        <v>11788</v>
      </c>
      <c r="AB1042" t="s">
        <v>11789</v>
      </c>
      <c r="AC1042" t="s">
        <v>74</v>
      </c>
      <c r="AD1042" t="s">
        <v>74</v>
      </c>
      <c r="AE1042" t="s">
        <v>74</v>
      </c>
      <c r="AF1042" t="s">
        <v>74</v>
      </c>
      <c r="AG1042">
        <v>26</v>
      </c>
      <c r="AH1042">
        <v>18</v>
      </c>
      <c r="AI1042">
        <v>19</v>
      </c>
      <c r="AJ1042">
        <v>1</v>
      </c>
      <c r="AK1042">
        <v>10</v>
      </c>
      <c r="AL1042" t="s">
        <v>17592</v>
      </c>
      <c r="AM1042" t="s">
        <v>17593</v>
      </c>
      <c r="AN1042" t="s">
        <v>17594</v>
      </c>
      <c r="AO1042" t="s">
        <v>17595</v>
      </c>
      <c r="AP1042" t="s">
        <v>17596</v>
      </c>
      <c r="AQ1042" t="s">
        <v>74</v>
      </c>
      <c r="AR1042" t="s">
        <v>17597</v>
      </c>
      <c r="AS1042" t="s">
        <v>17598</v>
      </c>
      <c r="AT1042" t="s">
        <v>455</v>
      </c>
      <c r="AU1042">
        <v>2022</v>
      </c>
      <c r="AV1042">
        <v>20</v>
      </c>
      <c r="AW1042">
        <v>3</v>
      </c>
      <c r="AX1042" t="s">
        <v>74</v>
      </c>
      <c r="AY1042" t="s">
        <v>74</v>
      </c>
      <c r="AZ1042" t="s">
        <v>74</v>
      </c>
      <c r="BA1042" t="s">
        <v>74</v>
      </c>
      <c r="BB1042" t="s">
        <v>74</v>
      </c>
      <c r="BC1042" t="s">
        <v>74</v>
      </c>
      <c r="BD1042">
        <v>100663</v>
      </c>
      <c r="BE1042" t="s">
        <v>17599</v>
      </c>
      <c r="BF1042" t="str">
        <f>HYPERLINK("http://dx.doi.org/10.1016/j.ortho.2022.100663","http://dx.doi.org/10.1016/j.ortho.2022.100663")</f>
        <v>http://dx.doi.org/10.1016/j.ortho.2022.100663</v>
      </c>
      <c r="BG1042" t="s">
        <v>74</v>
      </c>
      <c r="BH1042" t="s">
        <v>74</v>
      </c>
      <c r="BI1042">
        <v>8</v>
      </c>
      <c r="BJ1042" t="s">
        <v>599</v>
      </c>
      <c r="BK1042" t="s">
        <v>125</v>
      </c>
      <c r="BL1042" t="s">
        <v>599</v>
      </c>
      <c r="BM1042" t="s">
        <v>17600</v>
      </c>
      <c r="BN1042">
        <v>35853800</v>
      </c>
      <c r="BO1042" t="s">
        <v>74</v>
      </c>
      <c r="BP1042" t="s">
        <v>74</v>
      </c>
      <c r="BQ1042" t="s">
        <v>74</v>
      </c>
      <c r="BR1042" t="s">
        <v>102</v>
      </c>
      <c r="BS1042" t="s">
        <v>17601</v>
      </c>
      <c r="BT1042" t="str">
        <f>HYPERLINK("https%3A%2F%2Fwww.webofscience.com%2Fwos%2Fwoscc%2Ffull-record%2FWOS:000892456800006","View Full Record in Web of Science")</f>
        <v>View Full Record in Web of Science</v>
      </c>
    </row>
    <row r="1043" spans="1:72" x14ac:dyDescent="0.35">
      <c r="A1043" t="s">
        <v>72</v>
      </c>
      <c r="B1043" t="s">
        <v>2261</v>
      </c>
      <c r="C1043" t="s">
        <v>74</v>
      </c>
      <c r="D1043" t="s">
        <v>74</v>
      </c>
      <c r="E1043" t="s">
        <v>74</v>
      </c>
      <c r="F1043" t="s">
        <v>17602</v>
      </c>
      <c r="G1043" t="s">
        <v>74</v>
      </c>
      <c r="H1043" t="s">
        <v>74</v>
      </c>
      <c r="I1043" t="s">
        <v>17603</v>
      </c>
      <c r="J1043" t="s">
        <v>9586</v>
      </c>
      <c r="K1043" t="s">
        <v>74</v>
      </c>
      <c r="L1043" t="s">
        <v>74</v>
      </c>
      <c r="M1043" t="s">
        <v>78</v>
      </c>
      <c r="N1043" t="s">
        <v>1328</v>
      </c>
      <c r="O1043" t="s">
        <v>74</v>
      </c>
      <c r="P1043" t="s">
        <v>74</v>
      </c>
      <c r="Q1043" t="s">
        <v>74</v>
      </c>
      <c r="R1043" t="s">
        <v>74</v>
      </c>
      <c r="S1043" t="s">
        <v>74</v>
      </c>
      <c r="T1043" t="s">
        <v>74</v>
      </c>
      <c r="U1043" t="s">
        <v>74</v>
      </c>
      <c r="V1043" t="s">
        <v>74</v>
      </c>
      <c r="W1043" t="s">
        <v>17604</v>
      </c>
      <c r="X1043" t="s">
        <v>17605</v>
      </c>
      <c r="Y1043" t="s">
        <v>17606</v>
      </c>
      <c r="Z1043" t="s">
        <v>2269</v>
      </c>
      <c r="AA1043" t="s">
        <v>74</v>
      </c>
      <c r="AB1043" t="s">
        <v>17607</v>
      </c>
      <c r="AC1043" t="s">
        <v>74</v>
      </c>
      <c r="AD1043" t="s">
        <v>74</v>
      </c>
      <c r="AE1043" t="s">
        <v>74</v>
      </c>
      <c r="AF1043" t="s">
        <v>74</v>
      </c>
      <c r="AG1043">
        <v>4</v>
      </c>
      <c r="AH1043">
        <v>7</v>
      </c>
      <c r="AI1043">
        <v>7</v>
      </c>
      <c r="AJ1043">
        <v>2</v>
      </c>
      <c r="AK1043">
        <v>7</v>
      </c>
      <c r="AL1043" t="s">
        <v>251</v>
      </c>
      <c r="AM1043" t="s">
        <v>252</v>
      </c>
      <c r="AN1043" t="s">
        <v>253</v>
      </c>
      <c r="AO1043" t="s">
        <v>9595</v>
      </c>
      <c r="AP1043" t="s">
        <v>9596</v>
      </c>
      <c r="AQ1043" t="s">
        <v>74</v>
      </c>
      <c r="AR1043" t="s">
        <v>9597</v>
      </c>
      <c r="AS1043" t="s">
        <v>9598</v>
      </c>
      <c r="AT1043" t="s">
        <v>297</v>
      </c>
      <c r="AU1043">
        <v>2021</v>
      </c>
      <c r="AV1043">
        <v>46</v>
      </c>
      <c r="AW1043">
        <v>6</v>
      </c>
      <c r="AX1043" t="s">
        <v>74</v>
      </c>
      <c r="AY1043" t="s">
        <v>74</v>
      </c>
      <c r="AZ1043" t="s">
        <v>74</v>
      </c>
      <c r="BA1043" t="s">
        <v>74</v>
      </c>
      <c r="BB1043">
        <v>1129</v>
      </c>
      <c r="BC1043">
        <v>1130</v>
      </c>
      <c r="BD1043" t="s">
        <v>74</v>
      </c>
      <c r="BE1043" t="s">
        <v>17608</v>
      </c>
      <c r="BF1043" t="str">
        <f>HYPERLINK("http://dx.doi.org/10.1111/ced.14669","http://dx.doi.org/10.1111/ced.14669")</f>
        <v>http://dx.doi.org/10.1111/ced.14669</v>
      </c>
      <c r="BG1043" t="s">
        <v>74</v>
      </c>
      <c r="BH1043" t="s">
        <v>1827</v>
      </c>
      <c r="BI1043">
        <v>2</v>
      </c>
      <c r="BJ1043" t="s">
        <v>1341</v>
      </c>
      <c r="BK1043" t="s">
        <v>209</v>
      </c>
      <c r="BL1043" t="s">
        <v>1341</v>
      </c>
      <c r="BM1043" t="s">
        <v>17609</v>
      </c>
      <c r="BN1043">
        <v>33811769</v>
      </c>
      <c r="BO1043" t="s">
        <v>74</v>
      </c>
      <c r="BP1043" t="s">
        <v>74</v>
      </c>
      <c r="BQ1043" t="s">
        <v>74</v>
      </c>
      <c r="BR1043" t="s">
        <v>102</v>
      </c>
      <c r="BS1043" t="s">
        <v>17610</v>
      </c>
      <c r="BT1043" t="str">
        <f>HYPERLINK("https%3A%2F%2Fwww.webofscience.com%2Fwos%2Fwoscc%2Ffull-record%2FWOS:000650612600001","View Full Record in Web of Science")</f>
        <v>View Full Record in Web of Science</v>
      </c>
    </row>
    <row r="1044" spans="1:72" x14ac:dyDescent="0.35">
      <c r="A1044" t="s">
        <v>72</v>
      </c>
      <c r="B1044" t="s">
        <v>17611</v>
      </c>
      <c r="C1044" t="s">
        <v>74</v>
      </c>
      <c r="D1044" t="s">
        <v>74</v>
      </c>
      <c r="E1044" t="s">
        <v>74</v>
      </c>
      <c r="F1044" t="s">
        <v>17612</v>
      </c>
      <c r="G1044" t="s">
        <v>74</v>
      </c>
      <c r="H1044" t="s">
        <v>74</v>
      </c>
      <c r="I1044" t="s">
        <v>17613</v>
      </c>
      <c r="J1044" t="s">
        <v>14866</v>
      </c>
      <c r="K1044" t="s">
        <v>74</v>
      </c>
      <c r="L1044" t="s">
        <v>74</v>
      </c>
      <c r="M1044" t="s">
        <v>78</v>
      </c>
      <c r="N1044" t="s">
        <v>79</v>
      </c>
      <c r="O1044" t="s">
        <v>74</v>
      </c>
      <c r="P1044" t="s">
        <v>74</v>
      </c>
      <c r="Q1044" t="s">
        <v>74</v>
      </c>
      <c r="R1044" t="s">
        <v>74</v>
      </c>
      <c r="S1044" t="s">
        <v>74</v>
      </c>
      <c r="T1044" t="s">
        <v>17614</v>
      </c>
      <c r="U1044" t="s">
        <v>74</v>
      </c>
      <c r="V1044" t="s">
        <v>17615</v>
      </c>
      <c r="W1044" t="s">
        <v>17616</v>
      </c>
      <c r="X1044" t="s">
        <v>17617</v>
      </c>
      <c r="Y1044" t="s">
        <v>10698</v>
      </c>
      <c r="Z1044" t="s">
        <v>10699</v>
      </c>
      <c r="AA1044" t="s">
        <v>10700</v>
      </c>
      <c r="AB1044" t="s">
        <v>17618</v>
      </c>
      <c r="AC1044" t="s">
        <v>74</v>
      </c>
      <c r="AD1044" t="s">
        <v>74</v>
      </c>
      <c r="AE1044" t="s">
        <v>74</v>
      </c>
      <c r="AF1044" t="s">
        <v>74</v>
      </c>
      <c r="AG1044">
        <v>11</v>
      </c>
      <c r="AH1044">
        <v>5</v>
      </c>
      <c r="AI1044">
        <v>5</v>
      </c>
      <c r="AJ1044">
        <v>6</v>
      </c>
      <c r="AK1044">
        <v>12</v>
      </c>
      <c r="AL1044" t="s">
        <v>171</v>
      </c>
      <c r="AM1044" t="s">
        <v>172</v>
      </c>
      <c r="AN1044" t="s">
        <v>173</v>
      </c>
      <c r="AO1044" t="s">
        <v>14874</v>
      </c>
      <c r="AP1044" t="s">
        <v>14875</v>
      </c>
      <c r="AQ1044" t="s">
        <v>74</v>
      </c>
      <c r="AR1044" t="s">
        <v>14876</v>
      </c>
      <c r="AS1044" t="s">
        <v>14877</v>
      </c>
      <c r="AT1044" t="s">
        <v>17619</v>
      </c>
      <c r="AU1044">
        <v>2024</v>
      </c>
      <c r="AV1044" t="s">
        <v>74</v>
      </c>
      <c r="AW1044" t="s">
        <v>74</v>
      </c>
      <c r="AX1044" t="s">
        <v>74</v>
      </c>
      <c r="AY1044" t="s">
        <v>74</v>
      </c>
      <c r="AZ1044" t="s">
        <v>74</v>
      </c>
      <c r="BA1044" t="s">
        <v>74</v>
      </c>
      <c r="BB1044" t="s">
        <v>74</v>
      </c>
      <c r="BC1044" t="s">
        <v>74</v>
      </c>
      <c r="BD1044" t="s">
        <v>74</v>
      </c>
      <c r="BE1044" t="s">
        <v>17620</v>
      </c>
      <c r="BF1044" t="str">
        <f>HYPERLINK("http://dx.doi.org/10.1177/15248399231221163","http://dx.doi.org/10.1177/15248399231221163")</f>
        <v>http://dx.doi.org/10.1177/15248399231221163</v>
      </c>
      <c r="BG1044" t="s">
        <v>74</v>
      </c>
      <c r="BH1044" t="s">
        <v>1377</v>
      </c>
      <c r="BI1044">
        <v>5</v>
      </c>
      <c r="BJ1044" t="s">
        <v>392</v>
      </c>
      <c r="BK1044" t="s">
        <v>125</v>
      </c>
      <c r="BL1044" t="s">
        <v>392</v>
      </c>
      <c r="BM1044" t="s">
        <v>17621</v>
      </c>
      <c r="BN1044">
        <v>38166482</v>
      </c>
      <c r="BO1044" t="s">
        <v>74</v>
      </c>
      <c r="BP1044" t="s">
        <v>74</v>
      </c>
      <c r="BQ1044" t="s">
        <v>74</v>
      </c>
      <c r="BR1044" t="s">
        <v>102</v>
      </c>
      <c r="BS1044" t="s">
        <v>17622</v>
      </c>
      <c r="BT1044" t="str">
        <f>HYPERLINK("https%3A%2F%2Fwww.webofscience.com%2Fwos%2Fwoscc%2Ffull-record%2FWOS:001136547700001","View Full Record in Web of Science")</f>
        <v>View Full Record in Web of Science</v>
      </c>
    </row>
    <row r="1045" spans="1:72" x14ac:dyDescent="0.35">
      <c r="A1045" t="s">
        <v>128</v>
      </c>
      <c r="B1045" t="s">
        <v>17623</v>
      </c>
      <c r="C1045" t="s">
        <v>74</v>
      </c>
      <c r="D1045" t="s">
        <v>17624</v>
      </c>
      <c r="E1045" t="s">
        <v>74</v>
      </c>
      <c r="F1045" t="s">
        <v>17625</v>
      </c>
      <c r="G1045" t="s">
        <v>74</v>
      </c>
      <c r="H1045" t="s">
        <v>74</v>
      </c>
      <c r="I1045" t="s">
        <v>17626</v>
      </c>
      <c r="J1045" t="s">
        <v>17627</v>
      </c>
      <c r="K1045" t="s">
        <v>74</v>
      </c>
      <c r="L1045" t="s">
        <v>74</v>
      </c>
      <c r="M1045" t="s">
        <v>78</v>
      </c>
      <c r="N1045" t="s">
        <v>135</v>
      </c>
      <c r="O1045" t="s">
        <v>17628</v>
      </c>
      <c r="P1045" t="s">
        <v>17629</v>
      </c>
      <c r="Q1045" t="s">
        <v>17630</v>
      </c>
      <c r="R1045" t="s">
        <v>74</v>
      </c>
      <c r="S1045" t="s">
        <v>74</v>
      </c>
      <c r="T1045" t="s">
        <v>17631</v>
      </c>
      <c r="U1045" t="s">
        <v>74</v>
      </c>
      <c r="V1045" t="s">
        <v>17632</v>
      </c>
      <c r="W1045" t="s">
        <v>17633</v>
      </c>
      <c r="X1045" t="s">
        <v>74</v>
      </c>
      <c r="Y1045" t="s">
        <v>17634</v>
      </c>
      <c r="Z1045" t="s">
        <v>17635</v>
      </c>
      <c r="AA1045" t="s">
        <v>74</v>
      </c>
      <c r="AB1045" t="s">
        <v>74</v>
      </c>
      <c r="AC1045" t="s">
        <v>74</v>
      </c>
      <c r="AD1045" t="s">
        <v>74</v>
      </c>
      <c r="AE1045" t="s">
        <v>74</v>
      </c>
      <c r="AF1045" t="s">
        <v>74</v>
      </c>
      <c r="AG1045">
        <v>9</v>
      </c>
      <c r="AH1045">
        <v>0</v>
      </c>
      <c r="AI1045">
        <v>0</v>
      </c>
      <c r="AJ1045">
        <v>2</v>
      </c>
      <c r="AK1045">
        <v>3</v>
      </c>
      <c r="AL1045" t="s">
        <v>17636</v>
      </c>
      <c r="AM1045" t="s">
        <v>15140</v>
      </c>
      <c r="AN1045" t="s">
        <v>17637</v>
      </c>
      <c r="AO1045" t="s">
        <v>74</v>
      </c>
      <c r="AP1045" t="s">
        <v>74</v>
      </c>
      <c r="AQ1045" t="s">
        <v>17638</v>
      </c>
      <c r="AR1045" t="s">
        <v>74</v>
      </c>
      <c r="AS1045" t="s">
        <v>74</v>
      </c>
      <c r="AT1045" t="s">
        <v>74</v>
      </c>
      <c r="AU1045">
        <v>2022</v>
      </c>
      <c r="AV1045" t="s">
        <v>74</v>
      </c>
      <c r="AW1045" t="s">
        <v>74</v>
      </c>
      <c r="AX1045" t="s">
        <v>74</v>
      </c>
      <c r="AY1045" t="s">
        <v>74</v>
      </c>
      <c r="AZ1045" t="s">
        <v>74</v>
      </c>
      <c r="BA1045" t="s">
        <v>74</v>
      </c>
      <c r="BB1045">
        <v>381</v>
      </c>
      <c r="BC1045">
        <v>390</v>
      </c>
      <c r="BD1045" t="s">
        <v>74</v>
      </c>
      <c r="BE1045" t="s">
        <v>17639</v>
      </c>
      <c r="BF1045" t="str">
        <f>HYPERLINK("http://dx.doi.org/10.1007/978-981-19-4472-7_26","http://dx.doi.org/10.1007/978-981-19-4472-7_26")</f>
        <v>http://dx.doi.org/10.1007/978-981-19-4472-7_26</v>
      </c>
      <c r="BG1045" t="s">
        <v>74</v>
      </c>
      <c r="BH1045" t="s">
        <v>74</v>
      </c>
      <c r="BI1045">
        <v>10</v>
      </c>
      <c r="BJ1045" t="s">
        <v>17640</v>
      </c>
      <c r="BK1045" t="s">
        <v>154</v>
      </c>
      <c r="BL1045" t="s">
        <v>17640</v>
      </c>
      <c r="BM1045" t="s">
        <v>17641</v>
      </c>
      <c r="BN1045" t="s">
        <v>74</v>
      </c>
      <c r="BO1045" t="s">
        <v>74</v>
      </c>
      <c r="BP1045" t="s">
        <v>74</v>
      </c>
      <c r="BQ1045" t="s">
        <v>74</v>
      </c>
      <c r="BR1045" t="s">
        <v>102</v>
      </c>
      <c r="BS1045" t="s">
        <v>17642</v>
      </c>
      <c r="BT1045" t="str">
        <f>HYPERLINK("https%3A%2F%2Fwww.webofscience.com%2Fwos%2Fwoscc%2Ffull-record%2FWOS:001021668000026","View Full Record in Web of Science")</f>
        <v>View Full Record in Web of Science</v>
      </c>
    </row>
    <row r="1046" spans="1:72" x14ac:dyDescent="0.35">
      <c r="A1046" t="s">
        <v>72</v>
      </c>
      <c r="B1046" t="s">
        <v>8924</v>
      </c>
      <c r="C1046" t="s">
        <v>74</v>
      </c>
      <c r="D1046" t="s">
        <v>74</v>
      </c>
      <c r="E1046" t="s">
        <v>74</v>
      </c>
      <c r="F1046" t="s">
        <v>8925</v>
      </c>
      <c r="G1046" t="s">
        <v>74</v>
      </c>
      <c r="H1046" t="s">
        <v>74</v>
      </c>
      <c r="I1046" t="s">
        <v>17643</v>
      </c>
      <c r="J1046" t="s">
        <v>8927</v>
      </c>
      <c r="K1046" t="s">
        <v>74</v>
      </c>
      <c r="L1046" t="s">
        <v>74</v>
      </c>
      <c r="M1046" t="s">
        <v>78</v>
      </c>
      <c r="N1046" t="s">
        <v>17644</v>
      </c>
      <c r="O1046" t="s">
        <v>74</v>
      </c>
      <c r="P1046" t="s">
        <v>74</v>
      </c>
      <c r="Q1046" t="s">
        <v>74</v>
      </c>
      <c r="R1046" t="s">
        <v>74</v>
      </c>
      <c r="S1046" t="s">
        <v>74</v>
      </c>
      <c r="T1046" t="s">
        <v>74</v>
      </c>
      <c r="U1046" t="s">
        <v>74</v>
      </c>
      <c r="V1046" t="s">
        <v>74</v>
      </c>
      <c r="W1046" t="s">
        <v>74</v>
      </c>
      <c r="X1046" t="s">
        <v>74</v>
      </c>
      <c r="Y1046" t="s">
        <v>74</v>
      </c>
      <c r="Z1046" t="s">
        <v>8931</v>
      </c>
      <c r="AA1046" t="s">
        <v>74</v>
      </c>
      <c r="AB1046" t="s">
        <v>74</v>
      </c>
      <c r="AC1046" t="s">
        <v>74</v>
      </c>
      <c r="AD1046" t="s">
        <v>74</v>
      </c>
      <c r="AE1046" t="s">
        <v>74</v>
      </c>
      <c r="AF1046" t="s">
        <v>74</v>
      </c>
      <c r="AG1046">
        <v>1</v>
      </c>
      <c r="AH1046">
        <v>0</v>
      </c>
      <c r="AI1046">
        <v>0</v>
      </c>
      <c r="AJ1046">
        <v>1</v>
      </c>
      <c r="AK1046">
        <v>4</v>
      </c>
      <c r="AL1046" t="s">
        <v>665</v>
      </c>
      <c r="AM1046" t="s">
        <v>666</v>
      </c>
      <c r="AN1046" t="s">
        <v>667</v>
      </c>
      <c r="AO1046" t="s">
        <v>8933</v>
      </c>
      <c r="AP1046" t="s">
        <v>8934</v>
      </c>
      <c r="AQ1046" t="s">
        <v>74</v>
      </c>
      <c r="AR1046" t="s">
        <v>8935</v>
      </c>
      <c r="AS1046" t="s">
        <v>8936</v>
      </c>
      <c r="AT1046" t="s">
        <v>17645</v>
      </c>
      <c r="AU1046">
        <v>2023</v>
      </c>
      <c r="AV1046" t="s">
        <v>74</v>
      </c>
      <c r="AW1046" t="s">
        <v>74</v>
      </c>
      <c r="AX1046" t="s">
        <v>74</v>
      </c>
      <c r="AY1046" t="s">
        <v>74</v>
      </c>
      <c r="AZ1046" t="s">
        <v>74</v>
      </c>
      <c r="BA1046" t="s">
        <v>74</v>
      </c>
      <c r="BB1046" t="s">
        <v>74</v>
      </c>
      <c r="BC1046" t="s">
        <v>74</v>
      </c>
      <c r="BD1046" t="s">
        <v>74</v>
      </c>
      <c r="BE1046" t="s">
        <v>17646</v>
      </c>
      <c r="BF1046" t="str">
        <f>HYPERLINK("http://dx.doi.org/10.1007/s12124-023-09799-4","http://dx.doi.org/10.1007/s12124-023-09799-4")</f>
        <v>http://dx.doi.org/10.1007/s12124-023-09799-4</v>
      </c>
      <c r="BG1046" t="s">
        <v>74</v>
      </c>
      <c r="BH1046" t="s">
        <v>3138</v>
      </c>
      <c r="BI1046">
        <v>1</v>
      </c>
      <c r="BJ1046" t="s">
        <v>8938</v>
      </c>
      <c r="BK1046" t="s">
        <v>99</v>
      </c>
      <c r="BL1046" t="s">
        <v>8939</v>
      </c>
      <c r="BM1046" t="s">
        <v>17647</v>
      </c>
      <c r="BN1046">
        <v>37580539</v>
      </c>
      <c r="BO1046" t="s">
        <v>767</v>
      </c>
      <c r="BP1046" t="s">
        <v>74</v>
      </c>
      <c r="BQ1046" t="s">
        <v>74</v>
      </c>
      <c r="BR1046" t="s">
        <v>102</v>
      </c>
      <c r="BS1046" t="s">
        <v>17648</v>
      </c>
      <c r="BT1046" t="str">
        <f>HYPERLINK("https%3A%2F%2Fwww.webofscience.com%2Fwos%2Fwoscc%2Ffull-record%2FWOS:001048646800001","View Full Record in Web of Science")</f>
        <v>View Full Record in Web of Science</v>
      </c>
    </row>
    <row r="1047" spans="1:72" x14ac:dyDescent="0.35">
      <c r="A1047" t="s">
        <v>72</v>
      </c>
      <c r="B1047" t="s">
        <v>17649</v>
      </c>
      <c r="C1047" t="s">
        <v>74</v>
      </c>
      <c r="D1047" t="s">
        <v>74</v>
      </c>
      <c r="E1047" t="s">
        <v>74</v>
      </c>
      <c r="F1047" t="s">
        <v>17650</v>
      </c>
      <c r="G1047" t="s">
        <v>74</v>
      </c>
      <c r="H1047" t="s">
        <v>74</v>
      </c>
      <c r="I1047" t="s">
        <v>17651</v>
      </c>
      <c r="J1047" t="s">
        <v>17652</v>
      </c>
      <c r="K1047" t="s">
        <v>74</v>
      </c>
      <c r="L1047" t="s">
        <v>74</v>
      </c>
      <c r="M1047" t="s">
        <v>78</v>
      </c>
      <c r="N1047" t="s">
        <v>108</v>
      </c>
      <c r="O1047" t="s">
        <v>74</v>
      </c>
      <c r="P1047" t="s">
        <v>74</v>
      </c>
      <c r="Q1047" t="s">
        <v>74</v>
      </c>
      <c r="R1047" t="s">
        <v>74</v>
      </c>
      <c r="S1047" t="s">
        <v>74</v>
      </c>
      <c r="T1047" t="s">
        <v>17653</v>
      </c>
      <c r="U1047" t="s">
        <v>17654</v>
      </c>
      <c r="V1047" t="s">
        <v>17655</v>
      </c>
      <c r="W1047" t="s">
        <v>17656</v>
      </c>
      <c r="X1047" t="s">
        <v>17657</v>
      </c>
      <c r="Y1047" t="s">
        <v>17658</v>
      </c>
      <c r="Z1047" t="s">
        <v>17659</v>
      </c>
      <c r="AA1047" t="s">
        <v>17660</v>
      </c>
      <c r="AB1047" t="s">
        <v>74</v>
      </c>
      <c r="AC1047" t="s">
        <v>74</v>
      </c>
      <c r="AD1047" t="s">
        <v>74</v>
      </c>
      <c r="AE1047" t="s">
        <v>17661</v>
      </c>
      <c r="AF1047" t="s">
        <v>74</v>
      </c>
      <c r="AG1047">
        <v>108</v>
      </c>
      <c r="AH1047">
        <v>0</v>
      </c>
      <c r="AI1047">
        <v>0</v>
      </c>
      <c r="AJ1047">
        <v>3</v>
      </c>
      <c r="AK1047">
        <v>3</v>
      </c>
      <c r="AL1047" t="s">
        <v>803</v>
      </c>
      <c r="AM1047" t="s">
        <v>227</v>
      </c>
      <c r="AN1047" t="s">
        <v>804</v>
      </c>
      <c r="AO1047" t="s">
        <v>17662</v>
      </c>
      <c r="AP1047" t="s">
        <v>17663</v>
      </c>
      <c r="AQ1047" t="s">
        <v>74</v>
      </c>
      <c r="AR1047" t="s">
        <v>17664</v>
      </c>
      <c r="AS1047" t="s">
        <v>17665</v>
      </c>
      <c r="AT1047" t="s">
        <v>257</v>
      </c>
      <c r="AU1047">
        <v>2024</v>
      </c>
      <c r="AV1047">
        <v>4</v>
      </c>
      <c r="AW1047">
        <v>2</v>
      </c>
      <c r="AX1047" t="s">
        <v>74</v>
      </c>
      <c r="AY1047" t="s">
        <v>74</v>
      </c>
      <c r="AZ1047" t="s">
        <v>74</v>
      </c>
      <c r="BA1047" t="s">
        <v>74</v>
      </c>
      <c r="BB1047">
        <v>197</v>
      </c>
      <c r="BC1047">
        <v>223</v>
      </c>
      <c r="BD1047" t="s">
        <v>74</v>
      </c>
      <c r="BE1047" t="s">
        <v>17666</v>
      </c>
      <c r="BF1047" t="str">
        <f>HYPERLINK("http://dx.doi.org/10.1007/s43508-024-00094-5","http://dx.doi.org/10.1007/s43508-024-00094-5")</f>
        <v>http://dx.doi.org/10.1007/s43508-024-00094-5</v>
      </c>
      <c r="BG1047" t="s">
        <v>74</v>
      </c>
      <c r="BH1047" t="s">
        <v>478</v>
      </c>
      <c r="BI1047">
        <v>27</v>
      </c>
      <c r="BJ1047" t="s">
        <v>4942</v>
      </c>
      <c r="BK1047" t="s">
        <v>125</v>
      </c>
      <c r="BL1047" t="s">
        <v>4943</v>
      </c>
      <c r="BM1047" t="s">
        <v>17667</v>
      </c>
      <c r="BN1047" t="s">
        <v>74</v>
      </c>
      <c r="BO1047" t="s">
        <v>74</v>
      </c>
      <c r="BP1047" t="s">
        <v>74</v>
      </c>
      <c r="BQ1047" t="s">
        <v>74</v>
      </c>
      <c r="BR1047" t="s">
        <v>102</v>
      </c>
      <c r="BS1047" t="s">
        <v>17668</v>
      </c>
      <c r="BT1047" t="str">
        <f>HYPERLINK("https%3A%2F%2Fwww.webofscience.com%2Fwos%2Fwoscc%2Ffull-record%2FWOS:001265416200002","View Full Record in Web of Science")</f>
        <v>View Full Record in Web of Science</v>
      </c>
    </row>
    <row r="1048" spans="1:72" x14ac:dyDescent="0.35">
      <c r="A1048" t="s">
        <v>72</v>
      </c>
      <c r="B1048" t="s">
        <v>17669</v>
      </c>
      <c r="C1048" t="s">
        <v>74</v>
      </c>
      <c r="D1048" t="s">
        <v>74</v>
      </c>
      <c r="E1048" t="s">
        <v>74</v>
      </c>
      <c r="F1048" t="s">
        <v>17670</v>
      </c>
      <c r="G1048" t="s">
        <v>74</v>
      </c>
      <c r="H1048" t="s">
        <v>74</v>
      </c>
      <c r="I1048" t="s">
        <v>17671</v>
      </c>
      <c r="J1048" t="s">
        <v>17672</v>
      </c>
      <c r="K1048" t="s">
        <v>74</v>
      </c>
      <c r="L1048" t="s">
        <v>74</v>
      </c>
      <c r="M1048" t="s">
        <v>3503</v>
      </c>
      <c r="N1048" t="s">
        <v>374</v>
      </c>
      <c r="O1048" t="s">
        <v>74</v>
      </c>
      <c r="P1048" t="s">
        <v>74</v>
      </c>
      <c r="Q1048" t="s">
        <v>74</v>
      </c>
      <c r="R1048" t="s">
        <v>74</v>
      </c>
      <c r="S1048" t="s">
        <v>74</v>
      </c>
      <c r="T1048" t="s">
        <v>17673</v>
      </c>
      <c r="U1048" t="s">
        <v>74</v>
      </c>
      <c r="V1048" t="s">
        <v>17674</v>
      </c>
      <c r="W1048" t="s">
        <v>17675</v>
      </c>
      <c r="X1048" t="s">
        <v>4583</v>
      </c>
      <c r="Y1048" t="s">
        <v>17676</v>
      </c>
      <c r="Z1048" t="s">
        <v>17677</v>
      </c>
      <c r="AA1048" t="s">
        <v>74</v>
      </c>
      <c r="AB1048" t="s">
        <v>74</v>
      </c>
      <c r="AC1048" t="s">
        <v>74</v>
      </c>
      <c r="AD1048" t="s">
        <v>74</v>
      </c>
      <c r="AE1048" t="s">
        <v>74</v>
      </c>
      <c r="AF1048" t="s">
        <v>74</v>
      </c>
      <c r="AG1048">
        <v>80</v>
      </c>
      <c r="AH1048">
        <v>0</v>
      </c>
      <c r="AI1048">
        <v>0</v>
      </c>
      <c r="AJ1048">
        <v>1</v>
      </c>
      <c r="AK1048">
        <v>1</v>
      </c>
      <c r="AL1048" t="s">
        <v>17678</v>
      </c>
      <c r="AM1048" t="s">
        <v>17679</v>
      </c>
      <c r="AN1048" t="s">
        <v>17680</v>
      </c>
      <c r="AO1048" t="s">
        <v>17681</v>
      </c>
      <c r="AP1048" t="s">
        <v>74</v>
      </c>
      <c r="AQ1048" t="s">
        <v>74</v>
      </c>
      <c r="AR1048" t="s">
        <v>17682</v>
      </c>
      <c r="AS1048" t="s">
        <v>17683</v>
      </c>
      <c r="AT1048" t="s">
        <v>232</v>
      </c>
      <c r="AU1048">
        <v>2024</v>
      </c>
      <c r="AV1048">
        <v>39</v>
      </c>
      <c r="AW1048" t="s">
        <v>74</v>
      </c>
      <c r="AX1048" t="s">
        <v>74</v>
      </c>
      <c r="AY1048" t="s">
        <v>74</v>
      </c>
      <c r="AZ1048" t="s">
        <v>74</v>
      </c>
      <c r="BA1048" t="s">
        <v>74</v>
      </c>
      <c r="BB1048">
        <v>131</v>
      </c>
      <c r="BC1048">
        <v>164</v>
      </c>
      <c r="BD1048" t="s">
        <v>74</v>
      </c>
      <c r="BE1048" t="s">
        <v>17684</v>
      </c>
      <c r="BF1048" t="str">
        <f>HYPERLINK("http://dx.doi.org/10.17398/1988-8430.39.131","http://dx.doi.org/10.17398/1988-8430.39.131")</f>
        <v>http://dx.doi.org/10.17398/1988-8430.39.131</v>
      </c>
      <c r="BG1048" t="s">
        <v>74</v>
      </c>
      <c r="BH1048" t="s">
        <v>74</v>
      </c>
      <c r="BI1048">
        <v>34</v>
      </c>
      <c r="BJ1048" t="s">
        <v>3284</v>
      </c>
      <c r="BK1048" t="s">
        <v>125</v>
      </c>
      <c r="BL1048" t="s">
        <v>3285</v>
      </c>
      <c r="BM1048" t="s">
        <v>17685</v>
      </c>
      <c r="BN1048" t="s">
        <v>74</v>
      </c>
      <c r="BO1048" t="s">
        <v>235</v>
      </c>
      <c r="BP1048" t="s">
        <v>74</v>
      </c>
      <c r="BQ1048" t="s">
        <v>74</v>
      </c>
      <c r="BR1048" t="s">
        <v>102</v>
      </c>
      <c r="BS1048" t="s">
        <v>17686</v>
      </c>
      <c r="BT1048" t="str">
        <f>HYPERLINK("https%3A%2F%2Fwww.webofscience.com%2Fwos%2Fwoscc%2Ffull-record%2FWOS:001276961700005","View Full Record in Web of Science")</f>
        <v>View Full Record in Web of Science</v>
      </c>
    </row>
    <row r="1049" spans="1:72" x14ac:dyDescent="0.35">
      <c r="A1049" t="s">
        <v>72</v>
      </c>
      <c r="B1049" t="s">
        <v>17687</v>
      </c>
      <c r="C1049" t="s">
        <v>74</v>
      </c>
      <c r="D1049" t="s">
        <v>74</v>
      </c>
      <c r="E1049" t="s">
        <v>74</v>
      </c>
      <c r="F1049" t="s">
        <v>17688</v>
      </c>
      <c r="G1049" t="s">
        <v>74</v>
      </c>
      <c r="H1049" t="s">
        <v>74</v>
      </c>
      <c r="I1049" t="s">
        <v>17689</v>
      </c>
      <c r="J1049" t="s">
        <v>1246</v>
      </c>
      <c r="K1049" t="s">
        <v>74</v>
      </c>
      <c r="L1049" t="s">
        <v>74</v>
      </c>
      <c r="M1049" t="s">
        <v>78</v>
      </c>
      <c r="N1049" t="s">
        <v>79</v>
      </c>
      <c r="O1049" t="s">
        <v>74</v>
      </c>
      <c r="P1049" t="s">
        <v>74</v>
      </c>
      <c r="Q1049" t="s">
        <v>74</v>
      </c>
      <c r="R1049" t="s">
        <v>74</v>
      </c>
      <c r="S1049" t="s">
        <v>74</v>
      </c>
      <c r="T1049" t="s">
        <v>17690</v>
      </c>
      <c r="U1049" t="s">
        <v>74</v>
      </c>
      <c r="V1049" t="s">
        <v>17691</v>
      </c>
      <c r="W1049" t="s">
        <v>17692</v>
      </c>
      <c r="X1049" t="s">
        <v>17693</v>
      </c>
      <c r="Y1049" t="s">
        <v>17694</v>
      </c>
      <c r="Z1049" t="s">
        <v>17695</v>
      </c>
      <c r="AA1049" t="s">
        <v>74</v>
      </c>
      <c r="AB1049" t="s">
        <v>74</v>
      </c>
      <c r="AC1049" t="s">
        <v>74</v>
      </c>
      <c r="AD1049" t="s">
        <v>74</v>
      </c>
      <c r="AE1049" t="s">
        <v>74</v>
      </c>
      <c r="AF1049" t="s">
        <v>74</v>
      </c>
      <c r="AG1049">
        <v>43</v>
      </c>
      <c r="AH1049">
        <v>0</v>
      </c>
      <c r="AI1049">
        <v>0</v>
      </c>
      <c r="AJ1049">
        <v>3</v>
      </c>
      <c r="AK1049">
        <v>3</v>
      </c>
      <c r="AL1049" t="s">
        <v>994</v>
      </c>
      <c r="AM1049" t="s">
        <v>995</v>
      </c>
      <c r="AN1049" t="s">
        <v>996</v>
      </c>
      <c r="AO1049" t="s">
        <v>1256</v>
      </c>
      <c r="AP1049" t="s">
        <v>1257</v>
      </c>
      <c r="AQ1049" t="s">
        <v>74</v>
      </c>
      <c r="AR1049" t="s">
        <v>1258</v>
      </c>
      <c r="AS1049" t="s">
        <v>1259</v>
      </c>
      <c r="AT1049" t="s">
        <v>17696</v>
      </c>
      <c r="AU1049">
        <v>2024</v>
      </c>
      <c r="AV1049" t="s">
        <v>74</v>
      </c>
      <c r="AW1049" t="s">
        <v>74</v>
      </c>
      <c r="AX1049" t="s">
        <v>74</v>
      </c>
      <c r="AY1049" t="s">
        <v>74</v>
      </c>
      <c r="AZ1049" t="s">
        <v>74</v>
      </c>
      <c r="BA1049" t="s">
        <v>74</v>
      </c>
      <c r="BB1049" t="s">
        <v>74</v>
      </c>
      <c r="BC1049" t="s">
        <v>74</v>
      </c>
      <c r="BD1049" t="s">
        <v>74</v>
      </c>
      <c r="BE1049" t="s">
        <v>17697</v>
      </c>
      <c r="BF1049" t="str">
        <f>HYPERLINK("http://dx.doi.org/10.1080/10447318.2024.2405897","http://dx.doi.org/10.1080/10447318.2024.2405897")</f>
        <v>http://dx.doi.org/10.1080/10447318.2024.2405897</v>
      </c>
      <c r="BG1049" t="s">
        <v>74</v>
      </c>
      <c r="BH1049" t="s">
        <v>337</v>
      </c>
      <c r="BI1049">
        <v>10</v>
      </c>
      <c r="BJ1049" t="s">
        <v>1137</v>
      </c>
      <c r="BK1049" t="s">
        <v>182</v>
      </c>
      <c r="BL1049" t="s">
        <v>1113</v>
      </c>
      <c r="BM1049" t="s">
        <v>17698</v>
      </c>
      <c r="BN1049" t="s">
        <v>74</v>
      </c>
      <c r="BO1049" t="s">
        <v>74</v>
      </c>
      <c r="BP1049" t="s">
        <v>74</v>
      </c>
      <c r="BQ1049" t="s">
        <v>74</v>
      </c>
      <c r="BR1049" t="s">
        <v>102</v>
      </c>
      <c r="BS1049" t="s">
        <v>17699</v>
      </c>
      <c r="BT1049" t="str">
        <f>HYPERLINK("https%3A%2F%2Fwww.webofscience.com%2Fwos%2Fwoscc%2Ffull-record%2FWOS:001319972200001","View Full Record in Web of Science")</f>
        <v>View Full Record in Web of Science</v>
      </c>
    </row>
    <row r="1050" spans="1:72" x14ac:dyDescent="0.35">
      <c r="A1050" t="s">
        <v>72</v>
      </c>
      <c r="B1050" t="s">
        <v>17700</v>
      </c>
      <c r="C1050" t="s">
        <v>74</v>
      </c>
      <c r="D1050" t="s">
        <v>74</v>
      </c>
      <c r="E1050" t="s">
        <v>74</v>
      </c>
      <c r="F1050" t="s">
        <v>17701</v>
      </c>
      <c r="G1050" t="s">
        <v>74</v>
      </c>
      <c r="H1050" t="s">
        <v>74</v>
      </c>
      <c r="I1050" t="s">
        <v>17702</v>
      </c>
      <c r="J1050" t="s">
        <v>9267</v>
      </c>
      <c r="K1050" t="s">
        <v>74</v>
      </c>
      <c r="L1050" t="s">
        <v>74</v>
      </c>
      <c r="M1050" t="s">
        <v>3503</v>
      </c>
      <c r="N1050" t="s">
        <v>108</v>
      </c>
      <c r="O1050" t="s">
        <v>74</v>
      </c>
      <c r="P1050" t="s">
        <v>74</v>
      </c>
      <c r="Q1050" t="s">
        <v>74</v>
      </c>
      <c r="R1050" t="s">
        <v>74</v>
      </c>
      <c r="S1050" t="s">
        <v>74</v>
      </c>
      <c r="T1050" t="s">
        <v>17703</v>
      </c>
      <c r="U1050" t="s">
        <v>74</v>
      </c>
      <c r="V1050" t="s">
        <v>17704</v>
      </c>
      <c r="W1050" t="s">
        <v>17705</v>
      </c>
      <c r="X1050" t="s">
        <v>17706</v>
      </c>
      <c r="Y1050" t="s">
        <v>17707</v>
      </c>
      <c r="Z1050" t="s">
        <v>74</v>
      </c>
      <c r="AA1050" t="s">
        <v>74</v>
      </c>
      <c r="AB1050" t="s">
        <v>74</v>
      </c>
      <c r="AC1050" t="s">
        <v>74</v>
      </c>
      <c r="AD1050" t="s">
        <v>74</v>
      </c>
      <c r="AE1050" t="s">
        <v>74</v>
      </c>
      <c r="AF1050" t="s">
        <v>74</v>
      </c>
      <c r="AG1050">
        <v>41</v>
      </c>
      <c r="AH1050">
        <v>1</v>
      </c>
      <c r="AI1050">
        <v>1</v>
      </c>
      <c r="AJ1050">
        <v>1</v>
      </c>
      <c r="AK1050">
        <v>4</v>
      </c>
      <c r="AL1050" t="s">
        <v>9275</v>
      </c>
      <c r="AM1050" t="s">
        <v>9276</v>
      </c>
      <c r="AN1050" t="s">
        <v>9277</v>
      </c>
      <c r="AO1050" t="s">
        <v>9278</v>
      </c>
      <c r="AP1050" t="s">
        <v>74</v>
      </c>
      <c r="AQ1050" t="s">
        <v>74</v>
      </c>
      <c r="AR1050" t="s">
        <v>9279</v>
      </c>
      <c r="AS1050" t="s">
        <v>9280</v>
      </c>
      <c r="AT1050" t="s">
        <v>523</v>
      </c>
      <c r="AU1050">
        <v>2023</v>
      </c>
      <c r="AV1050">
        <v>31</v>
      </c>
      <c r="AW1050" t="s">
        <v>74</v>
      </c>
      <c r="AX1050" t="s">
        <v>74</v>
      </c>
      <c r="AY1050" t="s">
        <v>74</v>
      </c>
      <c r="AZ1050" t="s">
        <v>74</v>
      </c>
      <c r="BA1050" t="s">
        <v>74</v>
      </c>
      <c r="BB1050">
        <v>53</v>
      </c>
      <c r="BC1050">
        <v>71</v>
      </c>
      <c r="BD1050" t="s">
        <v>74</v>
      </c>
      <c r="BE1050" t="s">
        <v>17708</v>
      </c>
      <c r="BF1050" t="str">
        <f>HYPERLINK("http://dx.doi.org/10.6035/clr.6814","http://dx.doi.org/10.6035/clr.6814")</f>
        <v>http://dx.doi.org/10.6035/clr.6814</v>
      </c>
      <c r="BG1050" t="s">
        <v>74</v>
      </c>
      <c r="BH1050" t="s">
        <v>74</v>
      </c>
      <c r="BI1050">
        <v>19</v>
      </c>
      <c r="BJ1050" t="s">
        <v>2124</v>
      </c>
      <c r="BK1050" t="s">
        <v>125</v>
      </c>
      <c r="BL1050" t="s">
        <v>2124</v>
      </c>
      <c r="BM1050" t="s">
        <v>17709</v>
      </c>
      <c r="BN1050" t="s">
        <v>74</v>
      </c>
      <c r="BO1050" t="s">
        <v>235</v>
      </c>
      <c r="BP1050" t="s">
        <v>74</v>
      </c>
      <c r="BQ1050" t="s">
        <v>74</v>
      </c>
      <c r="BR1050" t="s">
        <v>102</v>
      </c>
      <c r="BS1050" t="s">
        <v>17710</v>
      </c>
      <c r="BT1050" t="str">
        <f>HYPERLINK("https%3A%2F%2Fwww.webofscience.com%2Fwos%2Fwoscc%2Ffull-record%2FWOS:001102074800004","View Full Record in Web of Science")</f>
        <v>View Full Record in Web of Science</v>
      </c>
    </row>
    <row r="1051" spans="1:72" x14ac:dyDescent="0.35">
      <c r="A1051" t="s">
        <v>72</v>
      </c>
      <c r="B1051" t="s">
        <v>17711</v>
      </c>
      <c r="C1051" t="s">
        <v>74</v>
      </c>
      <c r="D1051" t="s">
        <v>74</v>
      </c>
      <c r="E1051" t="s">
        <v>74</v>
      </c>
      <c r="F1051" t="s">
        <v>17712</v>
      </c>
      <c r="G1051" t="s">
        <v>74</v>
      </c>
      <c r="H1051" t="s">
        <v>74</v>
      </c>
      <c r="I1051" t="s">
        <v>17713</v>
      </c>
      <c r="J1051" t="s">
        <v>17714</v>
      </c>
      <c r="K1051" t="s">
        <v>74</v>
      </c>
      <c r="L1051" t="s">
        <v>74</v>
      </c>
      <c r="M1051" t="s">
        <v>78</v>
      </c>
      <c r="N1051" t="s">
        <v>79</v>
      </c>
      <c r="O1051" t="s">
        <v>74</v>
      </c>
      <c r="P1051" t="s">
        <v>74</v>
      </c>
      <c r="Q1051" t="s">
        <v>74</v>
      </c>
      <c r="R1051" t="s">
        <v>74</v>
      </c>
      <c r="S1051" t="s">
        <v>74</v>
      </c>
      <c r="T1051" t="s">
        <v>17715</v>
      </c>
      <c r="U1051" t="s">
        <v>74</v>
      </c>
      <c r="V1051" t="s">
        <v>17716</v>
      </c>
      <c r="W1051" t="s">
        <v>17717</v>
      </c>
      <c r="X1051" t="s">
        <v>74</v>
      </c>
      <c r="Y1051" t="s">
        <v>17718</v>
      </c>
      <c r="Z1051" t="s">
        <v>17719</v>
      </c>
      <c r="AA1051" t="s">
        <v>74</v>
      </c>
      <c r="AB1051" t="s">
        <v>74</v>
      </c>
      <c r="AC1051" t="s">
        <v>74</v>
      </c>
      <c r="AD1051" t="s">
        <v>74</v>
      </c>
      <c r="AE1051" t="s">
        <v>74</v>
      </c>
      <c r="AF1051" t="s">
        <v>74</v>
      </c>
      <c r="AG1051">
        <v>21</v>
      </c>
      <c r="AH1051">
        <v>5</v>
      </c>
      <c r="AI1051">
        <v>5</v>
      </c>
      <c r="AJ1051">
        <v>9</v>
      </c>
      <c r="AK1051">
        <v>68</v>
      </c>
      <c r="AL1051" t="s">
        <v>17720</v>
      </c>
      <c r="AM1051" t="s">
        <v>17721</v>
      </c>
      <c r="AN1051" t="s">
        <v>17722</v>
      </c>
      <c r="AO1051" t="s">
        <v>17723</v>
      </c>
      <c r="AP1051" t="s">
        <v>17724</v>
      </c>
      <c r="AQ1051" t="s">
        <v>74</v>
      </c>
      <c r="AR1051" t="s">
        <v>17725</v>
      </c>
      <c r="AS1051" t="s">
        <v>17726</v>
      </c>
      <c r="AT1051" t="s">
        <v>17727</v>
      </c>
      <c r="AU1051">
        <v>2023</v>
      </c>
      <c r="AV1051" t="s">
        <v>74</v>
      </c>
      <c r="AW1051" t="s">
        <v>74</v>
      </c>
      <c r="AX1051" t="s">
        <v>74</v>
      </c>
      <c r="AY1051" t="s">
        <v>74</v>
      </c>
      <c r="AZ1051" t="s">
        <v>74</v>
      </c>
      <c r="BA1051" t="s">
        <v>74</v>
      </c>
      <c r="BB1051" t="s">
        <v>74</v>
      </c>
      <c r="BC1051" t="s">
        <v>74</v>
      </c>
      <c r="BD1051" t="s">
        <v>74</v>
      </c>
      <c r="BE1051" t="s">
        <v>17728</v>
      </c>
      <c r="BF1051" t="str">
        <f>HYPERLINK("http://dx.doi.org/10.5546/aap.2022-02674.eng","http://dx.doi.org/10.5546/aap.2022-02674.eng")</f>
        <v>http://dx.doi.org/10.5546/aap.2022-02674.eng</v>
      </c>
      <c r="BG1051" t="s">
        <v>74</v>
      </c>
      <c r="BH1051" t="s">
        <v>3638</v>
      </c>
      <c r="BI1051">
        <v>6</v>
      </c>
      <c r="BJ1051" t="s">
        <v>6641</v>
      </c>
      <c r="BK1051" t="s">
        <v>209</v>
      </c>
      <c r="BL1051" t="s">
        <v>6641</v>
      </c>
      <c r="BM1051" t="s">
        <v>17729</v>
      </c>
      <c r="BN1051">
        <v>36692353</v>
      </c>
      <c r="BO1051" t="s">
        <v>235</v>
      </c>
      <c r="BP1051" t="s">
        <v>74</v>
      </c>
      <c r="BQ1051" t="s">
        <v>74</v>
      </c>
      <c r="BR1051" t="s">
        <v>102</v>
      </c>
      <c r="BS1051" t="s">
        <v>17730</v>
      </c>
      <c r="BT1051" t="str">
        <f>HYPERLINK("https%3A%2F%2Fwww.webofscience.com%2Fwos%2Fwoscc%2Ffull-record%2FWOS:000923911600001","View Full Record in Web of Science")</f>
        <v>View Full Record in Web of Science</v>
      </c>
    </row>
    <row r="1052" spans="1:72" x14ac:dyDescent="0.35">
      <c r="A1052" t="s">
        <v>72</v>
      </c>
      <c r="B1052" t="s">
        <v>17731</v>
      </c>
      <c r="C1052" t="s">
        <v>74</v>
      </c>
      <c r="D1052" t="s">
        <v>74</v>
      </c>
      <c r="E1052" t="s">
        <v>74</v>
      </c>
      <c r="F1052" t="s">
        <v>17732</v>
      </c>
      <c r="G1052" t="s">
        <v>74</v>
      </c>
      <c r="H1052" t="s">
        <v>74</v>
      </c>
      <c r="I1052" t="s">
        <v>17733</v>
      </c>
      <c r="J1052" t="s">
        <v>17734</v>
      </c>
      <c r="K1052" t="s">
        <v>74</v>
      </c>
      <c r="L1052" t="s">
        <v>74</v>
      </c>
      <c r="M1052" t="s">
        <v>78</v>
      </c>
      <c r="N1052" t="s">
        <v>108</v>
      </c>
      <c r="O1052" t="s">
        <v>74</v>
      </c>
      <c r="P1052" t="s">
        <v>74</v>
      </c>
      <c r="Q1052" t="s">
        <v>74</v>
      </c>
      <c r="R1052" t="s">
        <v>74</v>
      </c>
      <c r="S1052" t="s">
        <v>74</v>
      </c>
      <c r="T1052" t="s">
        <v>17735</v>
      </c>
      <c r="U1052" t="s">
        <v>74</v>
      </c>
      <c r="V1052" t="s">
        <v>17736</v>
      </c>
      <c r="W1052" t="s">
        <v>17737</v>
      </c>
      <c r="X1052" t="s">
        <v>1422</v>
      </c>
      <c r="Y1052" t="s">
        <v>17738</v>
      </c>
      <c r="Z1052" t="s">
        <v>17739</v>
      </c>
      <c r="AA1052" t="s">
        <v>74</v>
      </c>
      <c r="AB1052" t="s">
        <v>74</v>
      </c>
      <c r="AC1052" t="s">
        <v>74</v>
      </c>
      <c r="AD1052" t="s">
        <v>74</v>
      </c>
      <c r="AE1052" t="s">
        <v>74</v>
      </c>
      <c r="AF1052" t="s">
        <v>74</v>
      </c>
      <c r="AG1052">
        <v>20</v>
      </c>
      <c r="AH1052">
        <v>0</v>
      </c>
      <c r="AI1052">
        <v>0</v>
      </c>
      <c r="AJ1052">
        <v>6</v>
      </c>
      <c r="AK1052">
        <v>12</v>
      </c>
      <c r="AL1052" t="s">
        <v>17740</v>
      </c>
      <c r="AM1052" t="s">
        <v>17741</v>
      </c>
      <c r="AN1052" t="s">
        <v>17742</v>
      </c>
      <c r="AO1052" t="s">
        <v>17743</v>
      </c>
      <c r="AP1052" t="s">
        <v>17744</v>
      </c>
      <c r="AQ1052" t="s">
        <v>74</v>
      </c>
      <c r="AR1052" t="s">
        <v>17745</v>
      </c>
      <c r="AS1052" t="s">
        <v>17746</v>
      </c>
      <c r="AT1052" t="s">
        <v>74</v>
      </c>
      <c r="AU1052">
        <v>2023</v>
      </c>
      <c r="AV1052">
        <v>32</v>
      </c>
      <c r="AW1052">
        <v>4</v>
      </c>
      <c r="AX1052" t="s">
        <v>74</v>
      </c>
      <c r="AY1052" t="s">
        <v>74</v>
      </c>
      <c r="AZ1052" t="s">
        <v>74</v>
      </c>
      <c r="BA1052" t="s">
        <v>74</v>
      </c>
      <c r="BB1052">
        <v>198</v>
      </c>
      <c r="BC1052">
        <v>202</v>
      </c>
      <c r="BD1052" t="s">
        <v>74</v>
      </c>
      <c r="BE1052" t="s">
        <v>74</v>
      </c>
      <c r="BF1052" t="s">
        <v>74</v>
      </c>
      <c r="BG1052" t="s">
        <v>74</v>
      </c>
      <c r="BH1052" t="s">
        <v>74</v>
      </c>
      <c r="BI1052">
        <v>5</v>
      </c>
      <c r="BJ1052" t="s">
        <v>17747</v>
      </c>
      <c r="BK1052" t="s">
        <v>99</v>
      </c>
      <c r="BL1052" t="s">
        <v>301</v>
      </c>
      <c r="BM1052" t="s">
        <v>17748</v>
      </c>
      <c r="BN1052" t="s">
        <v>74</v>
      </c>
      <c r="BO1052" t="s">
        <v>74</v>
      </c>
      <c r="BP1052" t="s">
        <v>74</v>
      </c>
      <c r="BQ1052" t="s">
        <v>74</v>
      </c>
      <c r="BR1052" t="s">
        <v>102</v>
      </c>
      <c r="BS1052" t="s">
        <v>17749</v>
      </c>
      <c r="BT1052" t="str">
        <f>HYPERLINK("https%3A%2F%2Fwww.webofscience.com%2Fwos%2Fwoscc%2Ffull-record%2FWOS:001098256800007","View Full Record in Web of Science")</f>
        <v>View Full Record in Web of Science</v>
      </c>
    </row>
    <row r="1053" spans="1:72" x14ac:dyDescent="0.35">
      <c r="A1053" t="s">
        <v>72</v>
      </c>
      <c r="B1053" t="s">
        <v>17750</v>
      </c>
      <c r="C1053" t="s">
        <v>74</v>
      </c>
      <c r="D1053" t="s">
        <v>74</v>
      </c>
      <c r="E1053" t="s">
        <v>74</v>
      </c>
      <c r="F1053" t="s">
        <v>17751</v>
      </c>
      <c r="G1053" t="s">
        <v>74</v>
      </c>
      <c r="H1053" t="s">
        <v>74</v>
      </c>
      <c r="I1053" t="s">
        <v>17752</v>
      </c>
      <c r="J1053" t="s">
        <v>401</v>
      </c>
      <c r="K1053" t="s">
        <v>74</v>
      </c>
      <c r="L1053" t="s">
        <v>74</v>
      </c>
      <c r="M1053" t="s">
        <v>78</v>
      </c>
      <c r="N1053" t="s">
        <v>108</v>
      </c>
      <c r="O1053" t="s">
        <v>74</v>
      </c>
      <c r="P1053" t="s">
        <v>74</v>
      </c>
      <c r="Q1053" t="s">
        <v>74</v>
      </c>
      <c r="R1053" t="s">
        <v>74</v>
      </c>
      <c r="S1053" t="s">
        <v>74</v>
      </c>
      <c r="T1053" t="s">
        <v>17753</v>
      </c>
      <c r="U1053" t="s">
        <v>17754</v>
      </c>
      <c r="V1053" t="s">
        <v>17755</v>
      </c>
      <c r="W1053" t="s">
        <v>17756</v>
      </c>
      <c r="X1053" t="s">
        <v>17757</v>
      </c>
      <c r="Y1053" t="s">
        <v>17758</v>
      </c>
      <c r="Z1053" t="s">
        <v>17759</v>
      </c>
      <c r="AA1053" t="s">
        <v>74</v>
      </c>
      <c r="AB1053" t="s">
        <v>74</v>
      </c>
      <c r="AC1053" t="s">
        <v>74</v>
      </c>
      <c r="AD1053" t="s">
        <v>74</v>
      </c>
      <c r="AE1053" t="s">
        <v>74</v>
      </c>
      <c r="AF1053" t="s">
        <v>74</v>
      </c>
      <c r="AG1053">
        <v>82</v>
      </c>
      <c r="AH1053">
        <v>14</v>
      </c>
      <c r="AI1053">
        <v>19</v>
      </c>
      <c r="AJ1053">
        <v>4</v>
      </c>
      <c r="AK1053">
        <v>6</v>
      </c>
      <c r="AL1053" t="s">
        <v>409</v>
      </c>
      <c r="AM1053" t="s">
        <v>410</v>
      </c>
      <c r="AN1053" t="s">
        <v>411</v>
      </c>
      <c r="AO1053" t="s">
        <v>412</v>
      </c>
      <c r="AP1053" t="s">
        <v>74</v>
      </c>
      <c r="AQ1053" t="s">
        <v>74</v>
      </c>
      <c r="AR1053" t="s">
        <v>413</v>
      </c>
      <c r="AS1053" t="s">
        <v>414</v>
      </c>
      <c r="AT1053" t="s">
        <v>74</v>
      </c>
      <c r="AU1053">
        <v>2022</v>
      </c>
      <c r="AV1053">
        <v>16</v>
      </c>
      <c r="AW1053" t="s">
        <v>74</v>
      </c>
      <c r="AX1053" t="s">
        <v>74</v>
      </c>
      <c r="AY1053" t="s">
        <v>74</v>
      </c>
      <c r="AZ1053" t="s">
        <v>74</v>
      </c>
      <c r="BA1053" t="s">
        <v>74</v>
      </c>
      <c r="BB1053">
        <v>2911</v>
      </c>
      <c r="BC1053">
        <v>2934</v>
      </c>
      <c r="BD1053" t="s">
        <v>74</v>
      </c>
      <c r="BE1053" t="s">
        <v>74</v>
      </c>
      <c r="BF1053" t="s">
        <v>74</v>
      </c>
      <c r="BG1053" t="s">
        <v>74</v>
      </c>
      <c r="BH1053" t="s">
        <v>74</v>
      </c>
      <c r="BI1053">
        <v>24</v>
      </c>
      <c r="BJ1053" t="s">
        <v>124</v>
      </c>
      <c r="BK1053" t="s">
        <v>99</v>
      </c>
      <c r="BL1053" t="s">
        <v>124</v>
      </c>
      <c r="BM1053" t="s">
        <v>1414</v>
      </c>
      <c r="BN1053" t="s">
        <v>74</v>
      </c>
      <c r="BO1053" t="s">
        <v>74</v>
      </c>
      <c r="BP1053" t="s">
        <v>74</v>
      </c>
      <c r="BQ1053" t="s">
        <v>74</v>
      </c>
      <c r="BR1053" t="s">
        <v>102</v>
      </c>
      <c r="BS1053" t="s">
        <v>17760</v>
      </c>
      <c r="BT1053" t="str">
        <f>HYPERLINK("https%3A%2F%2Fwww.webofscience.com%2Fwos%2Fwoscc%2Ffull-record%2FWOS:001079739800016","View Full Record in Web of Science")</f>
        <v>View Full Record in Web of Science</v>
      </c>
    </row>
    <row r="1054" spans="1:72" x14ac:dyDescent="0.35">
      <c r="A1054" t="s">
        <v>72</v>
      </c>
      <c r="B1054" t="s">
        <v>17761</v>
      </c>
      <c r="C1054" t="s">
        <v>74</v>
      </c>
      <c r="D1054" t="s">
        <v>74</v>
      </c>
      <c r="E1054" t="s">
        <v>74</v>
      </c>
      <c r="F1054" t="s">
        <v>17762</v>
      </c>
      <c r="G1054" t="s">
        <v>74</v>
      </c>
      <c r="H1054" t="s">
        <v>74</v>
      </c>
      <c r="I1054" t="s">
        <v>17763</v>
      </c>
      <c r="J1054" t="s">
        <v>5221</v>
      </c>
      <c r="K1054" t="s">
        <v>74</v>
      </c>
      <c r="L1054" t="s">
        <v>74</v>
      </c>
      <c r="M1054" t="s">
        <v>78</v>
      </c>
      <c r="N1054" t="s">
        <v>108</v>
      </c>
      <c r="O1054" t="s">
        <v>74</v>
      </c>
      <c r="P1054" t="s">
        <v>74</v>
      </c>
      <c r="Q1054" t="s">
        <v>74</v>
      </c>
      <c r="R1054" t="s">
        <v>74</v>
      </c>
      <c r="S1054" t="s">
        <v>74</v>
      </c>
      <c r="T1054" t="s">
        <v>17764</v>
      </c>
      <c r="U1054" t="s">
        <v>6202</v>
      </c>
      <c r="V1054" t="s">
        <v>17765</v>
      </c>
      <c r="W1054" t="s">
        <v>17766</v>
      </c>
      <c r="X1054" t="s">
        <v>8393</v>
      </c>
      <c r="Y1054" t="s">
        <v>17767</v>
      </c>
      <c r="Z1054" t="s">
        <v>17768</v>
      </c>
      <c r="AA1054" t="s">
        <v>74</v>
      </c>
      <c r="AB1054" t="s">
        <v>17769</v>
      </c>
      <c r="AC1054" t="s">
        <v>17770</v>
      </c>
      <c r="AD1054" t="s">
        <v>17771</v>
      </c>
      <c r="AE1054" t="s">
        <v>17772</v>
      </c>
      <c r="AF1054" t="s">
        <v>74</v>
      </c>
      <c r="AG1054">
        <v>53</v>
      </c>
      <c r="AH1054">
        <v>2</v>
      </c>
      <c r="AI1054">
        <v>2</v>
      </c>
      <c r="AJ1054">
        <v>17</v>
      </c>
      <c r="AK1054">
        <v>21</v>
      </c>
      <c r="AL1054" t="s">
        <v>5231</v>
      </c>
      <c r="AM1054" t="s">
        <v>5232</v>
      </c>
      <c r="AN1054" t="s">
        <v>5233</v>
      </c>
      <c r="AO1054" t="s">
        <v>5234</v>
      </c>
      <c r="AP1054" t="s">
        <v>5235</v>
      </c>
      <c r="AQ1054" t="s">
        <v>74</v>
      </c>
      <c r="AR1054" t="s">
        <v>5236</v>
      </c>
      <c r="AS1054" t="s">
        <v>5237</v>
      </c>
      <c r="AT1054" t="s">
        <v>74</v>
      </c>
      <c r="AU1054">
        <v>2023</v>
      </c>
      <c r="AV1054">
        <v>32</v>
      </c>
      <c r="AW1054">
        <v>6</v>
      </c>
      <c r="AX1054" t="s">
        <v>74</v>
      </c>
      <c r="AY1054" t="s">
        <v>74</v>
      </c>
      <c r="AZ1054" t="s">
        <v>74</v>
      </c>
      <c r="BA1054" t="s">
        <v>74</v>
      </c>
      <c r="BB1054" t="s">
        <v>74</v>
      </c>
      <c r="BC1054" t="s">
        <v>74</v>
      </c>
      <c r="BD1054" t="s">
        <v>17773</v>
      </c>
      <c r="BE1054" t="s">
        <v>17774</v>
      </c>
      <c r="BF1054" t="str">
        <f>HYPERLINK("http://dx.doi.org/10.3145/epi.2023.nov.01","http://dx.doi.org/10.3145/epi.2023.nov.01")</f>
        <v>http://dx.doi.org/10.3145/epi.2023.nov.01</v>
      </c>
      <c r="BG1054" t="s">
        <v>74</v>
      </c>
      <c r="BH1054" t="s">
        <v>74</v>
      </c>
      <c r="BI1054">
        <v>12</v>
      </c>
      <c r="BJ1054" t="s">
        <v>5240</v>
      </c>
      <c r="BK1054" t="s">
        <v>99</v>
      </c>
      <c r="BL1054" t="s">
        <v>5240</v>
      </c>
      <c r="BM1054" t="s">
        <v>15087</v>
      </c>
      <c r="BN1054" t="s">
        <v>74</v>
      </c>
      <c r="BO1054" t="s">
        <v>156</v>
      </c>
      <c r="BP1054" t="s">
        <v>74</v>
      </c>
      <c r="BQ1054" t="s">
        <v>74</v>
      </c>
      <c r="BR1054" t="s">
        <v>102</v>
      </c>
      <c r="BS1054" t="s">
        <v>17775</v>
      </c>
      <c r="BT1054" t="str">
        <f>HYPERLINK("https%3A%2F%2Fwww.webofscience.com%2Fwos%2Fwoscc%2Ffull-record%2FWOS:001156562800002","View Full Record in Web of Science")</f>
        <v>View Full Record in Web of Science</v>
      </c>
    </row>
    <row r="1055" spans="1:72" x14ac:dyDescent="0.35">
      <c r="A1055" t="s">
        <v>72</v>
      </c>
      <c r="B1055" t="s">
        <v>16495</v>
      </c>
      <c r="C1055" t="s">
        <v>74</v>
      </c>
      <c r="D1055" t="s">
        <v>74</v>
      </c>
      <c r="E1055" t="s">
        <v>74</v>
      </c>
      <c r="F1055" t="s">
        <v>17776</v>
      </c>
      <c r="G1055" t="s">
        <v>74</v>
      </c>
      <c r="H1055" t="s">
        <v>74</v>
      </c>
      <c r="I1055" t="s">
        <v>17777</v>
      </c>
      <c r="J1055" t="s">
        <v>438</v>
      </c>
      <c r="K1055" t="s">
        <v>74</v>
      </c>
      <c r="L1055" t="s">
        <v>74</v>
      </c>
      <c r="M1055" t="s">
        <v>78</v>
      </c>
      <c r="N1055" t="s">
        <v>17644</v>
      </c>
      <c r="O1055" t="s">
        <v>74</v>
      </c>
      <c r="P1055" t="s">
        <v>74</v>
      </c>
      <c r="Q1055" t="s">
        <v>74</v>
      </c>
      <c r="R1055" t="s">
        <v>74</v>
      </c>
      <c r="S1055" t="s">
        <v>74</v>
      </c>
      <c r="T1055" t="s">
        <v>74</v>
      </c>
      <c r="U1055" t="s">
        <v>74</v>
      </c>
      <c r="V1055" t="s">
        <v>74</v>
      </c>
      <c r="W1055" t="s">
        <v>74</v>
      </c>
      <c r="X1055" t="s">
        <v>74</v>
      </c>
      <c r="Y1055" t="s">
        <v>74</v>
      </c>
      <c r="Z1055" t="s">
        <v>74</v>
      </c>
      <c r="AA1055" t="s">
        <v>74</v>
      </c>
      <c r="AB1055" t="s">
        <v>74</v>
      </c>
      <c r="AC1055" t="s">
        <v>74</v>
      </c>
      <c r="AD1055" t="s">
        <v>74</v>
      </c>
      <c r="AE1055" t="s">
        <v>74</v>
      </c>
      <c r="AF1055" t="s">
        <v>74</v>
      </c>
      <c r="AG1055">
        <v>1</v>
      </c>
      <c r="AH1055">
        <v>0</v>
      </c>
      <c r="AI1055">
        <v>0</v>
      </c>
      <c r="AJ1055">
        <v>5</v>
      </c>
      <c r="AK1055">
        <v>5</v>
      </c>
      <c r="AL1055" t="s">
        <v>226</v>
      </c>
      <c r="AM1055" t="s">
        <v>227</v>
      </c>
      <c r="AN1055" t="s">
        <v>228</v>
      </c>
      <c r="AO1055" t="s">
        <v>451</v>
      </c>
      <c r="AP1055" t="s">
        <v>452</v>
      </c>
      <c r="AQ1055" t="s">
        <v>74</v>
      </c>
      <c r="AR1055" t="s">
        <v>453</v>
      </c>
      <c r="AS1055" t="s">
        <v>454</v>
      </c>
      <c r="AT1055" t="s">
        <v>14202</v>
      </c>
      <c r="AU1055">
        <v>2024</v>
      </c>
      <c r="AV1055" t="s">
        <v>74</v>
      </c>
      <c r="AW1055" t="s">
        <v>74</v>
      </c>
      <c r="AX1055" t="s">
        <v>74</v>
      </c>
      <c r="AY1055" t="s">
        <v>74</v>
      </c>
      <c r="AZ1055" t="s">
        <v>74</v>
      </c>
      <c r="BA1055" t="s">
        <v>74</v>
      </c>
      <c r="BB1055" t="s">
        <v>74</v>
      </c>
      <c r="BC1055" t="s">
        <v>74</v>
      </c>
      <c r="BD1055" t="s">
        <v>74</v>
      </c>
      <c r="BE1055" t="s">
        <v>17778</v>
      </c>
      <c r="BF1055" t="str">
        <f>HYPERLINK("http://dx.doi.org/10.1177/14614448241265230","http://dx.doi.org/10.1177/14614448241265230")</f>
        <v>http://dx.doi.org/10.1177/14614448241265230</v>
      </c>
      <c r="BG1055" t="s">
        <v>74</v>
      </c>
      <c r="BH1055" t="s">
        <v>2444</v>
      </c>
      <c r="BI1055">
        <v>1</v>
      </c>
      <c r="BJ1055" t="s">
        <v>124</v>
      </c>
      <c r="BK1055" t="s">
        <v>99</v>
      </c>
      <c r="BL1055" t="s">
        <v>124</v>
      </c>
      <c r="BM1055" t="s">
        <v>17779</v>
      </c>
      <c r="BN1055" t="s">
        <v>74</v>
      </c>
      <c r="BO1055" t="s">
        <v>156</v>
      </c>
      <c r="BP1055" t="s">
        <v>74</v>
      </c>
      <c r="BQ1055" t="s">
        <v>74</v>
      </c>
      <c r="BR1055" t="s">
        <v>102</v>
      </c>
      <c r="BS1055" t="s">
        <v>17780</v>
      </c>
      <c r="BT1055" t="str">
        <f>HYPERLINK("https%3A%2F%2Fwww.webofscience.com%2Fwos%2Fwoscc%2Ffull-record%2FWOS:001286521900001","View Full Record in Web of Science")</f>
        <v>View Full Record in Web of Science</v>
      </c>
    </row>
    <row r="1056" spans="1:72" x14ac:dyDescent="0.35">
      <c r="A1056" t="s">
        <v>72</v>
      </c>
      <c r="B1056" t="s">
        <v>17781</v>
      </c>
      <c r="C1056" t="s">
        <v>74</v>
      </c>
      <c r="D1056" t="s">
        <v>74</v>
      </c>
      <c r="E1056" t="s">
        <v>74</v>
      </c>
      <c r="F1056" t="s">
        <v>17782</v>
      </c>
      <c r="G1056" t="s">
        <v>74</v>
      </c>
      <c r="H1056" t="s">
        <v>74</v>
      </c>
      <c r="I1056" t="s">
        <v>17783</v>
      </c>
      <c r="J1056" t="s">
        <v>17784</v>
      </c>
      <c r="K1056" t="s">
        <v>74</v>
      </c>
      <c r="L1056" t="s">
        <v>74</v>
      </c>
      <c r="M1056" t="s">
        <v>78</v>
      </c>
      <c r="N1056" t="s">
        <v>108</v>
      </c>
      <c r="O1056" t="s">
        <v>74</v>
      </c>
      <c r="P1056" t="s">
        <v>74</v>
      </c>
      <c r="Q1056" t="s">
        <v>74</v>
      </c>
      <c r="R1056" t="s">
        <v>74</v>
      </c>
      <c r="S1056" t="s">
        <v>74</v>
      </c>
      <c r="T1056" t="s">
        <v>17785</v>
      </c>
      <c r="U1056" t="s">
        <v>17786</v>
      </c>
      <c r="V1056" t="s">
        <v>17787</v>
      </c>
      <c r="W1056" t="s">
        <v>17788</v>
      </c>
      <c r="X1056" t="s">
        <v>17789</v>
      </c>
      <c r="Y1056" t="s">
        <v>17790</v>
      </c>
      <c r="Z1056" t="s">
        <v>17791</v>
      </c>
      <c r="AA1056" t="s">
        <v>17792</v>
      </c>
      <c r="AB1056" t="s">
        <v>74</v>
      </c>
      <c r="AC1056" t="s">
        <v>74</v>
      </c>
      <c r="AD1056" t="s">
        <v>74</v>
      </c>
      <c r="AE1056" t="s">
        <v>74</v>
      </c>
      <c r="AF1056" t="s">
        <v>74</v>
      </c>
      <c r="AG1056">
        <v>65</v>
      </c>
      <c r="AH1056">
        <v>0</v>
      </c>
      <c r="AI1056">
        <v>0</v>
      </c>
      <c r="AJ1056">
        <v>1</v>
      </c>
      <c r="AK1056">
        <v>1</v>
      </c>
      <c r="AL1056" t="s">
        <v>17793</v>
      </c>
      <c r="AM1056" t="s">
        <v>12103</v>
      </c>
      <c r="AN1056" t="s">
        <v>17794</v>
      </c>
      <c r="AO1056" t="s">
        <v>74</v>
      </c>
      <c r="AP1056" t="s">
        <v>17795</v>
      </c>
      <c r="AQ1056" t="s">
        <v>74</v>
      </c>
      <c r="AR1056" t="s">
        <v>17796</v>
      </c>
      <c r="AS1056" t="s">
        <v>17797</v>
      </c>
      <c r="AT1056" t="s">
        <v>74</v>
      </c>
      <c r="AU1056">
        <v>2024</v>
      </c>
      <c r="AV1056">
        <v>16</v>
      </c>
      <c r="AW1056">
        <v>2</v>
      </c>
      <c r="AX1056" t="s">
        <v>74</v>
      </c>
      <c r="AY1056" t="s">
        <v>74</v>
      </c>
      <c r="AZ1056" t="s">
        <v>74</v>
      </c>
      <c r="BA1056" t="s">
        <v>74</v>
      </c>
      <c r="BB1056">
        <v>83</v>
      </c>
      <c r="BC1056">
        <v>100</v>
      </c>
      <c r="BD1056" t="s">
        <v>74</v>
      </c>
      <c r="BE1056" t="s">
        <v>74</v>
      </c>
      <c r="BF1056" t="s">
        <v>74</v>
      </c>
      <c r="BG1056" t="s">
        <v>74</v>
      </c>
      <c r="BH1056" t="s">
        <v>74</v>
      </c>
      <c r="BI1056">
        <v>18</v>
      </c>
      <c r="BJ1056" t="s">
        <v>124</v>
      </c>
      <c r="BK1056" t="s">
        <v>125</v>
      </c>
      <c r="BL1056" t="s">
        <v>124</v>
      </c>
      <c r="BM1056" t="s">
        <v>17798</v>
      </c>
      <c r="BN1056" t="s">
        <v>74</v>
      </c>
      <c r="BO1056" t="s">
        <v>74</v>
      </c>
      <c r="BP1056" t="s">
        <v>74</v>
      </c>
      <c r="BQ1056" t="s">
        <v>74</v>
      </c>
      <c r="BR1056" t="s">
        <v>102</v>
      </c>
      <c r="BS1056" t="s">
        <v>17799</v>
      </c>
      <c r="BT1056" t="str">
        <f>HYPERLINK("https%3A%2F%2Fwww.webofscience.com%2Fwos%2Fwoscc%2Ffull-record%2FWOS:001299835300002","View Full Record in Web of Science")</f>
        <v>View Full Record in Web of Science</v>
      </c>
    </row>
    <row r="1057" spans="1:72" x14ac:dyDescent="0.35">
      <c r="A1057" t="s">
        <v>72</v>
      </c>
      <c r="B1057" t="s">
        <v>6262</v>
      </c>
      <c r="C1057" t="s">
        <v>74</v>
      </c>
      <c r="D1057" t="s">
        <v>74</v>
      </c>
      <c r="E1057" t="s">
        <v>74</v>
      </c>
      <c r="F1057" t="s">
        <v>17800</v>
      </c>
      <c r="G1057" t="s">
        <v>74</v>
      </c>
      <c r="H1057" t="s">
        <v>74</v>
      </c>
      <c r="I1057" t="s">
        <v>17801</v>
      </c>
      <c r="J1057" t="s">
        <v>17802</v>
      </c>
      <c r="K1057" t="s">
        <v>74</v>
      </c>
      <c r="L1057" t="s">
        <v>74</v>
      </c>
      <c r="M1057" t="s">
        <v>78</v>
      </c>
      <c r="N1057" t="s">
        <v>108</v>
      </c>
      <c r="O1057" t="s">
        <v>74</v>
      </c>
      <c r="P1057" t="s">
        <v>74</v>
      </c>
      <c r="Q1057" t="s">
        <v>74</v>
      </c>
      <c r="R1057" t="s">
        <v>74</v>
      </c>
      <c r="S1057" t="s">
        <v>74</v>
      </c>
      <c r="T1057" t="s">
        <v>17803</v>
      </c>
      <c r="U1057" t="s">
        <v>17804</v>
      </c>
      <c r="V1057" t="s">
        <v>17805</v>
      </c>
      <c r="W1057" t="s">
        <v>17806</v>
      </c>
      <c r="X1057" t="s">
        <v>6275</v>
      </c>
      <c r="Y1057" t="s">
        <v>17807</v>
      </c>
      <c r="Z1057" t="s">
        <v>17808</v>
      </c>
      <c r="AA1057" t="s">
        <v>6278</v>
      </c>
      <c r="AB1057" t="s">
        <v>6279</v>
      </c>
      <c r="AC1057" t="s">
        <v>74</v>
      </c>
      <c r="AD1057" t="s">
        <v>74</v>
      </c>
      <c r="AE1057" t="s">
        <v>74</v>
      </c>
      <c r="AF1057" t="s">
        <v>74</v>
      </c>
      <c r="AG1057">
        <v>86</v>
      </c>
      <c r="AH1057">
        <v>11</v>
      </c>
      <c r="AI1057">
        <v>11</v>
      </c>
      <c r="AJ1057">
        <v>30</v>
      </c>
      <c r="AK1057">
        <v>101</v>
      </c>
      <c r="AL1057" t="s">
        <v>290</v>
      </c>
      <c r="AM1057" t="s">
        <v>291</v>
      </c>
      <c r="AN1057" t="s">
        <v>292</v>
      </c>
      <c r="AO1057" t="s">
        <v>17809</v>
      </c>
      <c r="AP1057" t="s">
        <v>17810</v>
      </c>
      <c r="AQ1057" t="s">
        <v>74</v>
      </c>
      <c r="AR1057" t="s">
        <v>17811</v>
      </c>
      <c r="AS1057" t="s">
        <v>17812</v>
      </c>
      <c r="AT1057" t="s">
        <v>523</v>
      </c>
      <c r="AU1057">
        <v>2023</v>
      </c>
      <c r="AV1057">
        <v>205</v>
      </c>
      <c r="AW1057" t="s">
        <v>74</v>
      </c>
      <c r="AX1057" t="s">
        <v>74</v>
      </c>
      <c r="AY1057" t="s">
        <v>74</v>
      </c>
      <c r="AZ1057" t="s">
        <v>74</v>
      </c>
      <c r="BA1057" t="s">
        <v>74</v>
      </c>
      <c r="BB1057" t="s">
        <v>74</v>
      </c>
      <c r="BC1057" t="s">
        <v>74</v>
      </c>
      <c r="BD1057">
        <v>104896</v>
      </c>
      <c r="BE1057" t="s">
        <v>17813</v>
      </c>
      <c r="BF1057" t="str">
        <f>HYPERLINK("http://dx.doi.org/10.1016/j.compedu.2023.104896","http://dx.doi.org/10.1016/j.compedu.2023.104896")</f>
        <v>http://dx.doi.org/10.1016/j.compedu.2023.104896</v>
      </c>
      <c r="BG1057" t="s">
        <v>74</v>
      </c>
      <c r="BH1057" t="s">
        <v>3138</v>
      </c>
      <c r="BI1057">
        <v>14</v>
      </c>
      <c r="BJ1057" t="s">
        <v>17814</v>
      </c>
      <c r="BK1057" t="s">
        <v>182</v>
      </c>
      <c r="BL1057" t="s">
        <v>2643</v>
      </c>
      <c r="BM1057" t="s">
        <v>17815</v>
      </c>
      <c r="BN1057" t="s">
        <v>74</v>
      </c>
      <c r="BO1057" t="s">
        <v>74</v>
      </c>
      <c r="BP1057" t="s">
        <v>74</v>
      </c>
      <c r="BQ1057" t="s">
        <v>74</v>
      </c>
      <c r="BR1057" t="s">
        <v>102</v>
      </c>
      <c r="BS1057" t="s">
        <v>17816</v>
      </c>
      <c r="BT1057" t="str">
        <f>HYPERLINK("https%3A%2F%2Fwww.webofscience.com%2Fwos%2Fwoscc%2Ffull-record%2FWOS:001055976800001","View Full Record in Web of Science")</f>
        <v>View Full Record in Web of Science</v>
      </c>
    </row>
    <row r="1058" spans="1:72" x14ac:dyDescent="0.35">
      <c r="A1058" t="s">
        <v>72</v>
      </c>
      <c r="B1058" t="s">
        <v>17817</v>
      </c>
      <c r="C1058" t="s">
        <v>74</v>
      </c>
      <c r="D1058" t="s">
        <v>74</v>
      </c>
      <c r="E1058" t="s">
        <v>74</v>
      </c>
      <c r="F1058" t="s">
        <v>17818</v>
      </c>
      <c r="G1058" t="s">
        <v>74</v>
      </c>
      <c r="H1058" t="s">
        <v>74</v>
      </c>
      <c r="I1058" t="s">
        <v>17819</v>
      </c>
      <c r="J1058" t="s">
        <v>1705</v>
      </c>
      <c r="K1058" t="s">
        <v>74</v>
      </c>
      <c r="L1058" t="s">
        <v>74</v>
      </c>
      <c r="M1058" t="s">
        <v>78</v>
      </c>
      <c r="N1058" t="s">
        <v>4077</v>
      </c>
      <c r="O1058" t="s">
        <v>74</v>
      </c>
      <c r="P1058" t="s">
        <v>74</v>
      </c>
      <c r="Q1058" t="s">
        <v>74</v>
      </c>
      <c r="R1058" t="s">
        <v>74</v>
      </c>
      <c r="S1058" t="s">
        <v>74</v>
      </c>
      <c r="T1058" t="s">
        <v>17820</v>
      </c>
      <c r="U1058" t="s">
        <v>17821</v>
      </c>
      <c r="V1058" t="s">
        <v>17822</v>
      </c>
      <c r="W1058" t="s">
        <v>17823</v>
      </c>
      <c r="X1058" t="s">
        <v>17824</v>
      </c>
      <c r="Y1058" t="s">
        <v>17825</v>
      </c>
      <c r="Z1058" t="s">
        <v>17826</v>
      </c>
      <c r="AA1058" t="s">
        <v>74</v>
      </c>
      <c r="AB1058" t="s">
        <v>74</v>
      </c>
      <c r="AC1058" t="s">
        <v>74</v>
      </c>
      <c r="AD1058" t="s">
        <v>74</v>
      </c>
      <c r="AE1058" t="s">
        <v>74</v>
      </c>
      <c r="AF1058" t="s">
        <v>74</v>
      </c>
      <c r="AG1058">
        <v>138</v>
      </c>
      <c r="AH1058">
        <v>0</v>
      </c>
      <c r="AI1058">
        <v>0</v>
      </c>
      <c r="AJ1058">
        <v>1</v>
      </c>
      <c r="AK1058">
        <v>1</v>
      </c>
      <c r="AL1058" t="s">
        <v>1129</v>
      </c>
      <c r="AM1058" t="s">
        <v>89</v>
      </c>
      <c r="AN1058" t="s">
        <v>1130</v>
      </c>
      <c r="AO1058" t="s">
        <v>1715</v>
      </c>
      <c r="AP1058" t="s">
        <v>1716</v>
      </c>
      <c r="AQ1058" t="s">
        <v>74</v>
      </c>
      <c r="AR1058" t="s">
        <v>1717</v>
      </c>
      <c r="AS1058" t="s">
        <v>1718</v>
      </c>
      <c r="AT1058" t="s">
        <v>17827</v>
      </c>
      <c r="AU1058">
        <v>2024</v>
      </c>
      <c r="AV1058" t="s">
        <v>74</v>
      </c>
      <c r="AW1058" t="s">
        <v>74</v>
      </c>
      <c r="AX1058" t="s">
        <v>74</v>
      </c>
      <c r="AY1058" t="s">
        <v>74</v>
      </c>
      <c r="AZ1058" t="s">
        <v>74</v>
      </c>
      <c r="BA1058" t="s">
        <v>74</v>
      </c>
      <c r="BB1058" t="s">
        <v>74</v>
      </c>
      <c r="BC1058" t="s">
        <v>74</v>
      </c>
      <c r="BD1058" t="s">
        <v>74</v>
      </c>
      <c r="BE1058" t="s">
        <v>17828</v>
      </c>
      <c r="BF1058" t="str">
        <f>HYPERLINK("http://dx.doi.org/10.1080/13527266.2024.2401398","http://dx.doi.org/10.1080/13527266.2024.2401398")</f>
        <v>http://dx.doi.org/10.1080/13527266.2024.2401398</v>
      </c>
      <c r="BG1058" t="s">
        <v>74</v>
      </c>
      <c r="BH1058" t="s">
        <v>337</v>
      </c>
      <c r="BI1058">
        <v>28</v>
      </c>
      <c r="BJ1058" t="s">
        <v>1722</v>
      </c>
      <c r="BK1058" t="s">
        <v>125</v>
      </c>
      <c r="BL1058" t="s">
        <v>1723</v>
      </c>
      <c r="BM1058" t="s">
        <v>17829</v>
      </c>
      <c r="BN1058" t="s">
        <v>74</v>
      </c>
      <c r="BO1058" t="s">
        <v>74</v>
      </c>
      <c r="BP1058" t="s">
        <v>74</v>
      </c>
      <c r="BQ1058" t="s">
        <v>74</v>
      </c>
      <c r="BR1058" t="s">
        <v>102</v>
      </c>
      <c r="BS1058" t="s">
        <v>17830</v>
      </c>
      <c r="BT1058" t="str">
        <f>HYPERLINK("https%3A%2F%2Fwww.webofscience.com%2Fwos%2Fwoscc%2Ffull-record%2FWOS:001314371700001","View Full Record in Web of Science")</f>
        <v>View Full Record in Web of Science</v>
      </c>
    </row>
    <row r="1059" spans="1:72" x14ac:dyDescent="0.35">
      <c r="A1059" t="s">
        <v>72</v>
      </c>
      <c r="B1059" t="s">
        <v>17831</v>
      </c>
      <c r="C1059" t="s">
        <v>74</v>
      </c>
      <c r="D1059" t="s">
        <v>74</v>
      </c>
      <c r="E1059" t="s">
        <v>74</v>
      </c>
      <c r="F1059" t="s">
        <v>17832</v>
      </c>
      <c r="G1059" t="s">
        <v>74</v>
      </c>
      <c r="H1059" t="s">
        <v>74</v>
      </c>
      <c r="I1059" t="s">
        <v>17833</v>
      </c>
      <c r="J1059" t="s">
        <v>15730</v>
      </c>
      <c r="K1059" t="s">
        <v>74</v>
      </c>
      <c r="L1059" t="s">
        <v>74</v>
      </c>
      <c r="M1059" t="s">
        <v>3503</v>
      </c>
      <c r="N1059" t="s">
        <v>108</v>
      </c>
      <c r="O1059" t="s">
        <v>74</v>
      </c>
      <c r="P1059" t="s">
        <v>74</v>
      </c>
      <c r="Q1059" t="s">
        <v>74</v>
      </c>
      <c r="R1059" t="s">
        <v>74</v>
      </c>
      <c r="S1059" t="s">
        <v>74</v>
      </c>
      <c r="T1059" t="s">
        <v>17834</v>
      </c>
      <c r="U1059" t="s">
        <v>17835</v>
      </c>
      <c r="V1059" t="s">
        <v>17836</v>
      </c>
      <c r="W1059" t="s">
        <v>17837</v>
      </c>
      <c r="X1059" t="s">
        <v>17838</v>
      </c>
      <c r="Y1059" t="s">
        <v>17839</v>
      </c>
      <c r="Z1059" t="s">
        <v>17840</v>
      </c>
      <c r="AA1059" t="s">
        <v>17841</v>
      </c>
      <c r="AB1059" t="s">
        <v>74</v>
      </c>
      <c r="AC1059" t="s">
        <v>74</v>
      </c>
      <c r="AD1059" t="s">
        <v>74</v>
      </c>
      <c r="AE1059" t="s">
        <v>74</v>
      </c>
      <c r="AF1059" t="s">
        <v>74</v>
      </c>
      <c r="AG1059">
        <v>46</v>
      </c>
      <c r="AH1059">
        <v>1</v>
      </c>
      <c r="AI1059">
        <v>1</v>
      </c>
      <c r="AJ1059">
        <v>5</v>
      </c>
      <c r="AK1059">
        <v>7</v>
      </c>
      <c r="AL1059" t="s">
        <v>15741</v>
      </c>
      <c r="AM1059" t="s">
        <v>15742</v>
      </c>
      <c r="AN1059" t="s">
        <v>15743</v>
      </c>
      <c r="AO1059" t="s">
        <v>15744</v>
      </c>
      <c r="AP1059" t="s">
        <v>15745</v>
      </c>
      <c r="AQ1059" t="s">
        <v>74</v>
      </c>
      <c r="AR1059" t="s">
        <v>15746</v>
      </c>
      <c r="AS1059" t="s">
        <v>15747</v>
      </c>
      <c r="AT1059" t="s">
        <v>5154</v>
      </c>
      <c r="AU1059">
        <v>2024</v>
      </c>
      <c r="AV1059">
        <v>23</v>
      </c>
      <c r="AW1059">
        <v>1</v>
      </c>
      <c r="AX1059" t="s">
        <v>74</v>
      </c>
      <c r="AY1059" t="s">
        <v>74</v>
      </c>
      <c r="AZ1059" t="s">
        <v>74</v>
      </c>
      <c r="BA1059" t="s">
        <v>74</v>
      </c>
      <c r="BB1059">
        <v>33</v>
      </c>
      <c r="BC1059">
        <v>51</v>
      </c>
      <c r="BD1059" t="s">
        <v>74</v>
      </c>
      <c r="BE1059" t="s">
        <v>17842</v>
      </c>
      <c r="BF1059" t="str">
        <f>HYPERLINK("http://dx.doi.org/10.26441/RC23.1-2024-3451","http://dx.doi.org/10.26441/RC23.1-2024-3451")</f>
        <v>http://dx.doi.org/10.26441/RC23.1-2024-3451</v>
      </c>
      <c r="BG1059" t="s">
        <v>74</v>
      </c>
      <c r="BH1059" t="s">
        <v>74</v>
      </c>
      <c r="BI1059">
        <v>19</v>
      </c>
      <c r="BJ1059" t="s">
        <v>124</v>
      </c>
      <c r="BK1059" t="s">
        <v>125</v>
      </c>
      <c r="BL1059" t="s">
        <v>124</v>
      </c>
      <c r="BM1059" t="s">
        <v>17843</v>
      </c>
      <c r="BN1059" t="s">
        <v>74</v>
      </c>
      <c r="BO1059" t="s">
        <v>235</v>
      </c>
      <c r="BP1059" t="s">
        <v>74</v>
      </c>
      <c r="BQ1059" t="s">
        <v>74</v>
      </c>
      <c r="BR1059" t="s">
        <v>102</v>
      </c>
      <c r="BS1059" t="s">
        <v>17844</v>
      </c>
      <c r="BT1059" t="str">
        <f>HYPERLINK("https%3A%2F%2Fwww.webofscience.com%2Fwos%2Fwoscc%2Ffull-record%2FWOS:001180928300021","View Full Record in Web of Science")</f>
        <v>View Full Record in Web of Science</v>
      </c>
    </row>
    <row r="1060" spans="1:72" x14ac:dyDescent="0.35">
      <c r="A1060" t="s">
        <v>72</v>
      </c>
      <c r="B1060" t="s">
        <v>17845</v>
      </c>
      <c r="C1060" t="s">
        <v>74</v>
      </c>
      <c r="D1060" t="s">
        <v>74</v>
      </c>
      <c r="E1060" t="s">
        <v>74</v>
      </c>
      <c r="F1060" t="s">
        <v>17846</v>
      </c>
      <c r="G1060" t="s">
        <v>74</v>
      </c>
      <c r="H1060" t="s">
        <v>74</v>
      </c>
      <c r="I1060" t="s">
        <v>17847</v>
      </c>
      <c r="J1060" t="s">
        <v>17848</v>
      </c>
      <c r="K1060" t="s">
        <v>74</v>
      </c>
      <c r="L1060" t="s">
        <v>74</v>
      </c>
      <c r="M1060" t="s">
        <v>78</v>
      </c>
      <c r="N1060" t="s">
        <v>108</v>
      </c>
      <c r="O1060" t="s">
        <v>74</v>
      </c>
      <c r="P1060" t="s">
        <v>74</v>
      </c>
      <c r="Q1060" t="s">
        <v>74</v>
      </c>
      <c r="R1060" t="s">
        <v>74</v>
      </c>
      <c r="S1060" t="s">
        <v>74</v>
      </c>
      <c r="T1060" t="s">
        <v>17849</v>
      </c>
      <c r="U1060" t="s">
        <v>17850</v>
      </c>
      <c r="V1060" t="s">
        <v>17851</v>
      </c>
      <c r="W1060" t="s">
        <v>17852</v>
      </c>
      <c r="X1060" t="s">
        <v>17853</v>
      </c>
      <c r="Y1060" t="s">
        <v>17854</v>
      </c>
      <c r="Z1060" t="s">
        <v>17855</v>
      </c>
      <c r="AA1060" t="s">
        <v>17856</v>
      </c>
      <c r="AB1060" t="s">
        <v>17857</v>
      </c>
      <c r="AC1060" t="s">
        <v>17858</v>
      </c>
      <c r="AD1060" t="s">
        <v>4847</v>
      </c>
      <c r="AE1060" t="s">
        <v>17859</v>
      </c>
      <c r="AF1060" t="s">
        <v>74</v>
      </c>
      <c r="AG1060">
        <v>103</v>
      </c>
      <c r="AH1060">
        <v>23</v>
      </c>
      <c r="AI1060">
        <v>23</v>
      </c>
      <c r="AJ1060">
        <v>22</v>
      </c>
      <c r="AK1060">
        <v>176</v>
      </c>
      <c r="AL1060" t="s">
        <v>199</v>
      </c>
      <c r="AM1060" t="s">
        <v>200</v>
      </c>
      <c r="AN1060" t="s">
        <v>471</v>
      </c>
      <c r="AO1060" t="s">
        <v>17860</v>
      </c>
      <c r="AP1060" t="s">
        <v>17861</v>
      </c>
      <c r="AQ1060" t="s">
        <v>74</v>
      </c>
      <c r="AR1060" t="s">
        <v>17862</v>
      </c>
      <c r="AS1060" t="s">
        <v>17863</v>
      </c>
      <c r="AT1060" t="s">
        <v>17864</v>
      </c>
      <c r="AU1060">
        <v>2022</v>
      </c>
      <c r="AV1060">
        <v>78</v>
      </c>
      <c r="AW1060">
        <v>4</v>
      </c>
      <c r="AX1060" t="s">
        <v>74</v>
      </c>
      <c r="AY1060" t="s">
        <v>74</v>
      </c>
      <c r="AZ1060" t="s">
        <v>74</v>
      </c>
      <c r="BA1060" t="s">
        <v>74</v>
      </c>
      <c r="BB1060">
        <v>890</v>
      </c>
      <c r="BC1060">
        <v>911</v>
      </c>
      <c r="BD1060" t="s">
        <v>74</v>
      </c>
      <c r="BE1060" t="s">
        <v>17865</v>
      </c>
      <c r="BF1060" t="str">
        <f>HYPERLINK("http://dx.doi.org/10.1108/JD-08-2021-0158","http://dx.doi.org/10.1108/JD-08-2021-0158")</f>
        <v>http://dx.doi.org/10.1108/JD-08-2021-0158</v>
      </c>
      <c r="BG1060" t="s">
        <v>74</v>
      </c>
      <c r="BH1060" t="s">
        <v>747</v>
      </c>
      <c r="BI1060">
        <v>22</v>
      </c>
      <c r="BJ1060" t="s">
        <v>5995</v>
      </c>
      <c r="BK1060" t="s">
        <v>99</v>
      </c>
      <c r="BL1060" t="s">
        <v>5996</v>
      </c>
      <c r="BM1060" t="s">
        <v>17866</v>
      </c>
      <c r="BN1060" t="s">
        <v>74</v>
      </c>
      <c r="BO1060" t="s">
        <v>74</v>
      </c>
      <c r="BP1060" t="s">
        <v>74</v>
      </c>
      <c r="BQ1060" t="s">
        <v>74</v>
      </c>
      <c r="BR1060" t="s">
        <v>102</v>
      </c>
      <c r="BS1060" t="s">
        <v>17867</v>
      </c>
      <c r="BT1060" t="str">
        <f>HYPERLINK("https%3A%2F%2Fwww.webofscience.com%2Fwos%2Fwoscc%2Ffull-record%2FWOS:000721302700001","View Full Record in Web of Science")</f>
        <v>View Full Record in Web of Science</v>
      </c>
    </row>
    <row r="1061" spans="1:72" x14ac:dyDescent="0.35">
      <c r="A1061" t="s">
        <v>72</v>
      </c>
      <c r="B1061" t="s">
        <v>17868</v>
      </c>
      <c r="C1061" t="s">
        <v>74</v>
      </c>
      <c r="D1061" t="s">
        <v>74</v>
      </c>
      <c r="E1061" t="s">
        <v>74</v>
      </c>
      <c r="F1061" t="s">
        <v>17869</v>
      </c>
      <c r="G1061" t="s">
        <v>74</v>
      </c>
      <c r="H1061" t="s">
        <v>74</v>
      </c>
      <c r="I1061" t="s">
        <v>17870</v>
      </c>
      <c r="J1061" t="s">
        <v>1603</v>
      </c>
      <c r="K1061" t="s">
        <v>74</v>
      </c>
      <c r="L1061" t="s">
        <v>74</v>
      </c>
      <c r="M1061" t="s">
        <v>78</v>
      </c>
      <c r="N1061" t="s">
        <v>108</v>
      </c>
      <c r="O1061" t="s">
        <v>74</v>
      </c>
      <c r="P1061" t="s">
        <v>74</v>
      </c>
      <c r="Q1061" t="s">
        <v>74</v>
      </c>
      <c r="R1061" t="s">
        <v>74</v>
      </c>
      <c r="S1061" t="s">
        <v>74</v>
      </c>
      <c r="T1061" t="s">
        <v>17871</v>
      </c>
      <c r="U1061" t="s">
        <v>15547</v>
      </c>
      <c r="V1061" t="s">
        <v>17872</v>
      </c>
      <c r="W1061" t="s">
        <v>17873</v>
      </c>
      <c r="X1061" t="s">
        <v>17874</v>
      </c>
      <c r="Y1061" t="s">
        <v>17875</v>
      </c>
      <c r="Z1061" t="s">
        <v>17876</v>
      </c>
      <c r="AA1061" t="s">
        <v>74</v>
      </c>
      <c r="AB1061" t="s">
        <v>17877</v>
      </c>
      <c r="AC1061" t="s">
        <v>74</v>
      </c>
      <c r="AD1061" t="s">
        <v>74</v>
      </c>
      <c r="AE1061" t="s">
        <v>74</v>
      </c>
      <c r="AF1061" t="s">
        <v>74</v>
      </c>
      <c r="AG1061">
        <v>8</v>
      </c>
      <c r="AH1061">
        <v>0</v>
      </c>
      <c r="AI1061">
        <v>0</v>
      </c>
      <c r="AJ1061">
        <v>10</v>
      </c>
      <c r="AK1061">
        <v>10</v>
      </c>
      <c r="AL1061" t="s">
        <v>516</v>
      </c>
      <c r="AM1061" t="s">
        <v>517</v>
      </c>
      <c r="AN1061" t="s">
        <v>518</v>
      </c>
      <c r="AO1061" t="s">
        <v>1612</v>
      </c>
      <c r="AP1061" t="s">
        <v>1613</v>
      </c>
      <c r="AQ1061" t="s">
        <v>74</v>
      </c>
      <c r="AR1061" t="s">
        <v>1603</v>
      </c>
      <c r="AS1061" t="s">
        <v>1614</v>
      </c>
      <c r="AT1061" t="s">
        <v>455</v>
      </c>
      <c r="AU1061">
        <v>2024</v>
      </c>
      <c r="AV1061">
        <v>50</v>
      </c>
      <c r="AW1061" t="s">
        <v>74</v>
      </c>
      <c r="AX1061" t="s">
        <v>74</v>
      </c>
      <c r="AY1061" t="s">
        <v>74</v>
      </c>
      <c r="AZ1061" t="s">
        <v>74</v>
      </c>
      <c r="BA1061" t="s">
        <v>74</v>
      </c>
      <c r="BB1061" t="s">
        <v>74</v>
      </c>
      <c r="BC1061" t="s">
        <v>74</v>
      </c>
      <c r="BD1061">
        <v>101737</v>
      </c>
      <c r="BE1061" t="s">
        <v>17878</v>
      </c>
      <c r="BF1061" t="str">
        <f>HYPERLINK("http://dx.doi.org/10.1016/j.bodyim.2024.101737","http://dx.doi.org/10.1016/j.bodyim.2024.101737")</f>
        <v>http://dx.doi.org/10.1016/j.bodyim.2024.101737</v>
      </c>
      <c r="BG1061" t="s">
        <v>74</v>
      </c>
      <c r="BH1061" t="s">
        <v>500</v>
      </c>
      <c r="BI1061">
        <v>12</v>
      </c>
      <c r="BJ1061" t="s">
        <v>1616</v>
      </c>
      <c r="BK1061" t="s">
        <v>99</v>
      </c>
      <c r="BL1061" t="s">
        <v>1617</v>
      </c>
      <c r="BM1061" t="s">
        <v>17879</v>
      </c>
      <c r="BN1061">
        <v>38838603</v>
      </c>
      <c r="BO1061" t="s">
        <v>74</v>
      </c>
      <c r="BP1061" t="s">
        <v>74</v>
      </c>
      <c r="BQ1061" t="s">
        <v>74</v>
      </c>
      <c r="BR1061" t="s">
        <v>102</v>
      </c>
      <c r="BS1061" t="s">
        <v>17880</v>
      </c>
      <c r="BT1061" t="str">
        <f>HYPERLINK("https%3A%2F%2Fwww.webofscience.com%2Fwos%2Fwoscc%2Ffull-record%2FWOS:001250150000001","View Full Record in Web of Science")</f>
        <v>View Full Record in Web of Science</v>
      </c>
    </row>
    <row r="1062" spans="1:72" x14ac:dyDescent="0.35">
      <c r="A1062" t="s">
        <v>128</v>
      </c>
      <c r="B1062" t="s">
        <v>17881</v>
      </c>
      <c r="C1062" t="s">
        <v>74</v>
      </c>
      <c r="D1062" t="s">
        <v>17882</v>
      </c>
      <c r="E1062" t="s">
        <v>74</v>
      </c>
      <c r="F1062" t="s">
        <v>17883</v>
      </c>
      <c r="G1062" t="s">
        <v>74</v>
      </c>
      <c r="H1062" t="s">
        <v>74</v>
      </c>
      <c r="I1062" t="s">
        <v>17884</v>
      </c>
      <c r="J1062" t="s">
        <v>17885</v>
      </c>
      <c r="K1062" t="s">
        <v>17886</v>
      </c>
      <c r="L1062" t="s">
        <v>74</v>
      </c>
      <c r="M1062" t="s">
        <v>78</v>
      </c>
      <c r="N1062" t="s">
        <v>135</v>
      </c>
      <c r="O1062" t="s">
        <v>17887</v>
      </c>
      <c r="P1062" t="s">
        <v>17888</v>
      </c>
      <c r="Q1062" t="s">
        <v>138</v>
      </c>
      <c r="R1062" t="s">
        <v>17889</v>
      </c>
      <c r="S1062" t="s">
        <v>74</v>
      </c>
      <c r="T1062" t="s">
        <v>17890</v>
      </c>
      <c r="U1062" t="s">
        <v>218</v>
      </c>
      <c r="V1062" t="s">
        <v>17891</v>
      </c>
      <c r="W1062" t="s">
        <v>17892</v>
      </c>
      <c r="X1062" t="s">
        <v>536</v>
      </c>
      <c r="Y1062" t="s">
        <v>17893</v>
      </c>
      <c r="Z1062" t="s">
        <v>17894</v>
      </c>
      <c r="AA1062" t="s">
        <v>17895</v>
      </c>
      <c r="AB1062" t="s">
        <v>17896</v>
      </c>
      <c r="AC1062" t="s">
        <v>17897</v>
      </c>
      <c r="AD1062" t="s">
        <v>17897</v>
      </c>
      <c r="AE1062" t="s">
        <v>17898</v>
      </c>
      <c r="AF1062" t="s">
        <v>74</v>
      </c>
      <c r="AG1062">
        <v>18</v>
      </c>
      <c r="AH1062">
        <v>6</v>
      </c>
      <c r="AI1062">
        <v>6</v>
      </c>
      <c r="AJ1062">
        <v>3</v>
      </c>
      <c r="AK1062">
        <v>61</v>
      </c>
      <c r="AL1062" t="s">
        <v>1677</v>
      </c>
      <c r="AM1062" t="s">
        <v>666</v>
      </c>
      <c r="AN1062" t="s">
        <v>1692</v>
      </c>
      <c r="AO1062" t="s">
        <v>17899</v>
      </c>
      <c r="AP1062" t="s">
        <v>74</v>
      </c>
      <c r="AQ1062" t="s">
        <v>17900</v>
      </c>
      <c r="AR1062" t="s">
        <v>17901</v>
      </c>
      <c r="AS1062" t="s">
        <v>74</v>
      </c>
      <c r="AT1062" t="s">
        <v>74</v>
      </c>
      <c r="AU1062">
        <v>2020</v>
      </c>
      <c r="AV1062" t="s">
        <v>74</v>
      </c>
      <c r="AW1062" t="s">
        <v>74</v>
      </c>
      <c r="AX1062" t="s">
        <v>74</v>
      </c>
      <c r="AY1062" t="s">
        <v>74</v>
      </c>
      <c r="AZ1062" t="s">
        <v>74</v>
      </c>
      <c r="BA1062" t="s">
        <v>74</v>
      </c>
      <c r="BB1062">
        <v>4779</v>
      </c>
      <c r="BC1062">
        <v>4786</v>
      </c>
      <c r="BD1062" t="s">
        <v>74</v>
      </c>
      <c r="BE1062" t="s">
        <v>17902</v>
      </c>
      <c r="BF1062" t="str">
        <f>HYPERLINK("http://dx.doi.org/10.1109/BigData50022.2020.9378032","http://dx.doi.org/10.1109/BigData50022.2020.9378032")</f>
        <v>http://dx.doi.org/10.1109/BigData50022.2020.9378032</v>
      </c>
      <c r="BG1062" t="s">
        <v>74</v>
      </c>
      <c r="BH1062" t="s">
        <v>74</v>
      </c>
      <c r="BI1062">
        <v>8</v>
      </c>
      <c r="BJ1062" t="s">
        <v>894</v>
      </c>
      <c r="BK1062" t="s">
        <v>723</v>
      </c>
      <c r="BL1062" t="s">
        <v>210</v>
      </c>
      <c r="BM1062" t="s">
        <v>17903</v>
      </c>
      <c r="BN1062" t="s">
        <v>74</v>
      </c>
      <c r="BO1062" t="s">
        <v>2738</v>
      </c>
      <c r="BP1062" t="s">
        <v>74</v>
      </c>
      <c r="BQ1062" t="s">
        <v>74</v>
      </c>
      <c r="BR1062" t="s">
        <v>102</v>
      </c>
      <c r="BS1062" t="s">
        <v>17904</v>
      </c>
      <c r="BT1062" t="str">
        <f>HYPERLINK("https%3A%2F%2Fwww.webofscience.com%2Fwos%2Fwoscc%2Ffull-record%2FWOS:000662554704105","View Full Record in Web of Science")</f>
        <v>View Full Record in Web of Science</v>
      </c>
    </row>
    <row r="1063" spans="1:72" x14ac:dyDescent="0.35">
      <c r="A1063" t="s">
        <v>72</v>
      </c>
      <c r="B1063" t="s">
        <v>17905</v>
      </c>
      <c r="C1063" t="s">
        <v>74</v>
      </c>
      <c r="D1063" t="s">
        <v>74</v>
      </c>
      <c r="E1063" t="s">
        <v>74</v>
      </c>
      <c r="F1063" t="s">
        <v>17906</v>
      </c>
      <c r="G1063" t="s">
        <v>74</v>
      </c>
      <c r="H1063" t="s">
        <v>74</v>
      </c>
      <c r="I1063" t="s">
        <v>17907</v>
      </c>
      <c r="J1063" t="s">
        <v>2814</v>
      </c>
      <c r="K1063" t="s">
        <v>74</v>
      </c>
      <c r="L1063" t="s">
        <v>74</v>
      </c>
      <c r="M1063" t="s">
        <v>78</v>
      </c>
      <c r="N1063" t="s">
        <v>108</v>
      </c>
      <c r="O1063" t="s">
        <v>74</v>
      </c>
      <c r="P1063" t="s">
        <v>74</v>
      </c>
      <c r="Q1063" t="s">
        <v>74</v>
      </c>
      <c r="R1063" t="s">
        <v>74</v>
      </c>
      <c r="S1063" t="s">
        <v>74</v>
      </c>
      <c r="T1063" t="s">
        <v>17908</v>
      </c>
      <c r="U1063" t="s">
        <v>17909</v>
      </c>
      <c r="V1063" t="s">
        <v>17910</v>
      </c>
      <c r="W1063" t="s">
        <v>17911</v>
      </c>
      <c r="X1063" t="s">
        <v>17912</v>
      </c>
      <c r="Y1063" t="s">
        <v>17913</v>
      </c>
      <c r="Z1063" t="s">
        <v>16962</v>
      </c>
      <c r="AA1063" t="s">
        <v>17914</v>
      </c>
      <c r="AB1063" t="s">
        <v>17915</v>
      </c>
      <c r="AC1063" t="s">
        <v>74</v>
      </c>
      <c r="AD1063" t="s">
        <v>74</v>
      </c>
      <c r="AE1063" t="s">
        <v>74</v>
      </c>
      <c r="AF1063" t="s">
        <v>74</v>
      </c>
      <c r="AG1063">
        <v>53</v>
      </c>
      <c r="AH1063">
        <v>15</v>
      </c>
      <c r="AI1063">
        <v>15</v>
      </c>
      <c r="AJ1063">
        <v>4</v>
      </c>
      <c r="AK1063">
        <v>17</v>
      </c>
      <c r="AL1063" t="s">
        <v>543</v>
      </c>
      <c r="AM1063" t="s">
        <v>544</v>
      </c>
      <c r="AN1063" t="s">
        <v>545</v>
      </c>
      <c r="AO1063" t="s">
        <v>2821</v>
      </c>
      <c r="AP1063" t="s">
        <v>74</v>
      </c>
      <c r="AQ1063" t="s">
        <v>74</v>
      </c>
      <c r="AR1063" t="s">
        <v>2822</v>
      </c>
      <c r="AS1063" t="s">
        <v>2823</v>
      </c>
      <c r="AT1063" t="s">
        <v>17916</v>
      </c>
      <c r="AU1063">
        <v>2022</v>
      </c>
      <c r="AV1063">
        <v>24</v>
      </c>
      <c r="AW1063">
        <v>9</v>
      </c>
      <c r="AX1063" t="s">
        <v>74</v>
      </c>
      <c r="AY1063" t="s">
        <v>74</v>
      </c>
      <c r="AZ1063" t="s">
        <v>74</v>
      </c>
      <c r="BA1063" t="s">
        <v>74</v>
      </c>
      <c r="BB1063" t="s">
        <v>74</v>
      </c>
      <c r="BC1063" t="s">
        <v>74</v>
      </c>
      <c r="BD1063" t="s">
        <v>17917</v>
      </c>
      <c r="BE1063" t="s">
        <v>17918</v>
      </c>
      <c r="BF1063" t="str">
        <f>HYPERLINK("http://dx.doi.org/10.2196/39360","http://dx.doi.org/10.2196/39360")</f>
        <v>http://dx.doi.org/10.2196/39360</v>
      </c>
      <c r="BG1063" t="s">
        <v>74</v>
      </c>
      <c r="BH1063" t="s">
        <v>74</v>
      </c>
      <c r="BI1063">
        <v>11</v>
      </c>
      <c r="BJ1063" t="s">
        <v>550</v>
      </c>
      <c r="BK1063" t="s">
        <v>209</v>
      </c>
      <c r="BL1063" t="s">
        <v>550</v>
      </c>
      <c r="BM1063" t="s">
        <v>17919</v>
      </c>
      <c r="BN1063">
        <v>36155486</v>
      </c>
      <c r="BO1063" t="s">
        <v>552</v>
      </c>
      <c r="BP1063" t="s">
        <v>74</v>
      </c>
      <c r="BQ1063" t="s">
        <v>74</v>
      </c>
      <c r="BR1063" t="s">
        <v>102</v>
      </c>
      <c r="BS1063" t="s">
        <v>17920</v>
      </c>
      <c r="BT1063" t="str">
        <f>HYPERLINK("https%3A%2F%2Fwww.webofscience.com%2Fwos%2Fwoscc%2Ffull-record%2FWOS:000967318000001","View Full Record in Web of Science")</f>
        <v>View Full Record in Web of Science</v>
      </c>
    </row>
    <row r="1064" spans="1:72" x14ac:dyDescent="0.35">
      <c r="A1064" t="s">
        <v>128</v>
      </c>
      <c r="B1064" t="s">
        <v>17921</v>
      </c>
      <c r="C1064" t="s">
        <v>74</v>
      </c>
      <c r="D1064" t="s">
        <v>74</v>
      </c>
      <c r="E1064" t="s">
        <v>702</v>
      </c>
      <c r="F1064" t="s">
        <v>17922</v>
      </c>
      <c r="G1064" t="s">
        <v>74</v>
      </c>
      <c r="H1064" t="s">
        <v>74</v>
      </c>
      <c r="I1064" t="s">
        <v>17923</v>
      </c>
      <c r="J1064" t="s">
        <v>12946</v>
      </c>
      <c r="K1064" t="s">
        <v>74</v>
      </c>
      <c r="L1064" t="s">
        <v>74</v>
      </c>
      <c r="M1064" t="s">
        <v>78</v>
      </c>
      <c r="N1064" t="s">
        <v>135</v>
      </c>
      <c r="O1064" t="s">
        <v>5468</v>
      </c>
      <c r="P1064" t="s">
        <v>5469</v>
      </c>
      <c r="Q1064" t="s">
        <v>5470</v>
      </c>
      <c r="R1064" t="s">
        <v>5471</v>
      </c>
      <c r="S1064" t="s">
        <v>74</v>
      </c>
      <c r="T1064" t="s">
        <v>17924</v>
      </c>
      <c r="U1064" t="s">
        <v>17925</v>
      </c>
      <c r="V1064" t="s">
        <v>17926</v>
      </c>
      <c r="W1064" t="s">
        <v>17927</v>
      </c>
      <c r="X1064" t="s">
        <v>13823</v>
      </c>
      <c r="Y1064" t="s">
        <v>17928</v>
      </c>
      <c r="Z1064" t="s">
        <v>17929</v>
      </c>
      <c r="AA1064" t="s">
        <v>74</v>
      </c>
      <c r="AB1064" t="s">
        <v>17930</v>
      </c>
      <c r="AC1064" t="s">
        <v>74</v>
      </c>
      <c r="AD1064" t="s">
        <v>74</v>
      </c>
      <c r="AE1064" t="s">
        <v>74</v>
      </c>
      <c r="AF1064" t="s">
        <v>74</v>
      </c>
      <c r="AG1064">
        <v>73</v>
      </c>
      <c r="AH1064">
        <v>6</v>
      </c>
      <c r="AI1064">
        <v>6</v>
      </c>
      <c r="AJ1064">
        <v>0</v>
      </c>
      <c r="AK1064">
        <v>2</v>
      </c>
      <c r="AL1064" t="s">
        <v>718</v>
      </c>
      <c r="AM1064" t="s">
        <v>666</v>
      </c>
      <c r="AN1064" t="s">
        <v>719</v>
      </c>
      <c r="AO1064" t="s">
        <v>74</v>
      </c>
      <c r="AP1064" t="s">
        <v>74</v>
      </c>
      <c r="AQ1064" t="s">
        <v>5480</v>
      </c>
      <c r="AR1064" t="s">
        <v>74</v>
      </c>
      <c r="AS1064" t="s">
        <v>74</v>
      </c>
      <c r="AT1064" t="s">
        <v>74</v>
      </c>
      <c r="AU1064">
        <v>2023</v>
      </c>
      <c r="AV1064" t="s">
        <v>74</v>
      </c>
      <c r="AW1064" t="s">
        <v>74</v>
      </c>
      <c r="AX1064" t="s">
        <v>74</v>
      </c>
      <c r="AY1064" t="s">
        <v>74</v>
      </c>
      <c r="AZ1064" t="s">
        <v>74</v>
      </c>
      <c r="BA1064" t="s">
        <v>74</v>
      </c>
      <c r="BB1064" t="s">
        <v>74</v>
      </c>
      <c r="BC1064" t="s">
        <v>74</v>
      </c>
      <c r="BD1064" t="s">
        <v>74</v>
      </c>
      <c r="BE1064" t="s">
        <v>17931</v>
      </c>
      <c r="BF1064" t="str">
        <f>HYPERLINK("http://dx.doi.org/10.1145/3544548.3580649","http://dx.doi.org/10.1145/3544548.3580649")</f>
        <v>http://dx.doi.org/10.1145/3544548.3580649</v>
      </c>
      <c r="BG1064" t="s">
        <v>74</v>
      </c>
      <c r="BH1064" t="s">
        <v>74</v>
      </c>
      <c r="BI1064">
        <v>16</v>
      </c>
      <c r="BJ1064" t="s">
        <v>5482</v>
      </c>
      <c r="BK1064" t="s">
        <v>723</v>
      </c>
      <c r="BL1064" t="s">
        <v>5483</v>
      </c>
      <c r="BM1064" t="s">
        <v>12959</v>
      </c>
      <c r="BN1064" t="s">
        <v>74</v>
      </c>
      <c r="BO1064" t="s">
        <v>767</v>
      </c>
      <c r="BP1064" t="s">
        <v>74</v>
      </c>
      <c r="BQ1064" t="s">
        <v>74</v>
      </c>
      <c r="BR1064" t="s">
        <v>102</v>
      </c>
      <c r="BS1064" t="s">
        <v>17932</v>
      </c>
      <c r="BT1064" t="str">
        <f>HYPERLINK("https%3A%2F%2Fwww.webofscience.com%2Fwos%2Fwoscc%2Ffull-record%2FWOS:001037809500013","View Full Record in Web of Science")</f>
        <v>View Full Record in Web of Science</v>
      </c>
    </row>
    <row r="1065" spans="1:72" x14ac:dyDescent="0.35">
      <c r="A1065" t="s">
        <v>72</v>
      </c>
      <c r="B1065" t="s">
        <v>17933</v>
      </c>
      <c r="C1065" t="s">
        <v>74</v>
      </c>
      <c r="D1065" t="s">
        <v>74</v>
      </c>
      <c r="E1065" t="s">
        <v>74</v>
      </c>
      <c r="F1065" t="s">
        <v>17934</v>
      </c>
      <c r="G1065" t="s">
        <v>74</v>
      </c>
      <c r="H1065" t="s">
        <v>74</v>
      </c>
      <c r="I1065" t="s">
        <v>17935</v>
      </c>
      <c r="J1065" t="s">
        <v>17936</v>
      </c>
      <c r="K1065" t="s">
        <v>74</v>
      </c>
      <c r="L1065" t="s">
        <v>74</v>
      </c>
      <c r="M1065" t="s">
        <v>78</v>
      </c>
      <c r="N1065" t="s">
        <v>108</v>
      </c>
      <c r="O1065" t="s">
        <v>74</v>
      </c>
      <c r="P1065" t="s">
        <v>74</v>
      </c>
      <c r="Q1065" t="s">
        <v>74</v>
      </c>
      <c r="R1065" t="s">
        <v>74</v>
      </c>
      <c r="S1065" t="s">
        <v>74</v>
      </c>
      <c r="T1065" t="s">
        <v>17937</v>
      </c>
      <c r="U1065" t="s">
        <v>17938</v>
      </c>
      <c r="V1065" t="s">
        <v>17939</v>
      </c>
      <c r="W1065" t="s">
        <v>17940</v>
      </c>
      <c r="X1065" t="s">
        <v>17941</v>
      </c>
      <c r="Y1065" t="s">
        <v>17942</v>
      </c>
      <c r="Z1065" t="s">
        <v>17943</v>
      </c>
      <c r="AA1065" t="s">
        <v>17944</v>
      </c>
      <c r="AB1065" t="s">
        <v>17945</v>
      </c>
      <c r="AC1065" t="s">
        <v>74</v>
      </c>
      <c r="AD1065" t="s">
        <v>74</v>
      </c>
      <c r="AE1065" t="s">
        <v>74</v>
      </c>
      <c r="AF1065" t="s">
        <v>74</v>
      </c>
      <c r="AG1065">
        <v>118</v>
      </c>
      <c r="AH1065">
        <v>0</v>
      </c>
      <c r="AI1065">
        <v>0</v>
      </c>
      <c r="AJ1065">
        <v>19</v>
      </c>
      <c r="AK1065">
        <v>29</v>
      </c>
      <c r="AL1065" t="s">
        <v>1195</v>
      </c>
      <c r="AM1065" t="s">
        <v>1196</v>
      </c>
      <c r="AN1065" t="s">
        <v>1197</v>
      </c>
      <c r="AO1065" t="s">
        <v>74</v>
      </c>
      <c r="AP1065" t="s">
        <v>17946</v>
      </c>
      <c r="AQ1065" t="s">
        <v>74</v>
      </c>
      <c r="AR1065" t="s">
        <v>17947</v>
      </c>
      <c r="AS1065" t="s">
        <v>17948</v>
      </c>
      <c r="AT1065" t="s">
        <v>1484</v>
      </c>
      <c r="AU1065">
        <v>2024</v>
      </c>
      <c r="AV1065">
        <v>13</v>
      </c>
      <c r="AW1065">
        <v>5</v>
      </c>
      <c r="AX1065" t="s">
        <v>74</v>
      </c>
      <c r="AY1065" t="s">
        <v>74</v>
      </c>
      <c r="AZ1065" t="s">
        <v>74</v>
      </c>
      <c r="BA1065" t="s">
        <v>74</v>
      </c>
      <c r="BB1065" t="s">
        <v>74</v>
      </c>
      <c r="BC1065" t="s">
        <v>74</v>
      </c>
      <c r="BD1065">
        <v>1247</v>
      </c>
      <c r="BE1065" t="s">
        <v>17949</v>
      </c>
      <c r="BF1065" t="str">
        <f>HYPERLINK("http://dx.doi.org/10.3390/jcm13051247","http://dx.doi.org/10.3390/jcm13051247")</f>
        <v>http://dx.doi.org/10.3390/jcm13051247</v>
      </c>
      <c r="BG1065" t="s">
        <v>74</v>
      </c>
      <c r="BH1065" t="s">
        <v>74</v>
      </c>
      <c r="BI1065">
        <v>17</v>
      </c>
      <c r="BJ1065" t="s">
        <v>811</v>
      </c>
      <c r="BK1065" t="s">
        <v>209</v>
      </c>
      <c r="BL1065" t="s">
        <v>812</v>
      </c>
      <c r="BM1065" t="s">
        <v>17950</v>
      </c>
      <c r="BN1065">
        <v>38592070</v>
      </c>
      <c r="BO1065" t="s">
        <v>235</v>
      </c>
      <c r="BP1065" t="s">
        <v>74</v>
      </c>
      <c r="BQ1065" t="s">
        <v>74</v>
      </c>
      <c r="BR1065" t="s">
        <v>102</v>
      </c>
      <c r="BS1065" t="s">
        <v>17951</v>
      </c>
      <c r="BT1065" t="str">
        <f>HYPERLINK("https%3A%2F%2Fwww.webofscience.com%2Fwos%2Fwoscc%2Ffull-record%2FWOS:001182822800001","View Full Record in Web of Science")</f>
        <v>View Full Record in Web of Science</v>
      </c>
    </row>
    <row r="1066" spans="1:72" x14ac:dyDescent="0.35">
      <c r="A1066" t="s">
        <v>72</v>
      </c>
      <c r="B1066" t="s">
        <v>17952</v>
      </c>
      <c r="C1066" t="s">
        <v>74</v>
      </c>
      <c r="D1066" t="s">
        <v>74</v>
      </c>
      <c r="E1066" t="s">
        <v>74</v>
      </c>
      <c r="F1066" t="s">
        <v>17953</v>
      </c>
      <c r="G1066" t="s">
        <v>74</v>
      </c>
      <c r="H1066" t="s">
        <v>74</v>
      </c>
      <c r="I1066" t="s">
        <v>17954</v>
      </c>
      <c r="J1066" t="s">
        <v>9554</v>
      </c>
      <c r="K1066" t="s">
        <v>74</v>
      </c>
      <c r="L1066" t="s">
        <v>74</v>
      </c>
      <c r="M1066" t="s">
        <v>78</v>
      </c>
      <c r="N1066" t="s">
        <v>108</v>
      </c>
      <c r="O1066" t="s">
        <v>74</v>
      </c>
      <c r="P1066" t="s">
        <v>74</v>
      </c>
      <c r="Q1066" t="s">
        <v>74</v>
      </c>
      <c r="R1066" t="s">
        <v>74</v>
      </c>
      <c r="S1066" t="s">
        <v>74</v>
      </c>
      <c r="T1066" t="s">
        <v>17955</v>
      </c>
      <c r="U1066" t="s">
        <v>74</v>
      </c>
      <c r="V1066" t="s">
        <v>17956</v>
      </c>
      <c r="W1066" t="s">
        <v>17957</v>
      </c>
      <c r="X1066" t="s">
        <v>17958</v>
      </c>
      <c r="Y1066" t="s">
        <v>17959</v>
      </c>
      <c r="Z1066" t="s">
        <v>17960</v>
      </c>
      <c r="AA1066" t="s">
        <v>74</v>
      </c>
      <c r="AB1066" t="s">
        <v>17961</v>
      </c>
      <c r="AC1066" t="s">
        <v>74</v>
      </c>
      <c r="AD1066" t="s">
        <v>74</v>
      </c>
      <c r="AE1066" t="s">
        <v>74</v>
      </c>
      <c r="AF1066" t="s">
        <v>74</v>
      </c>
      <c r="AG1066">
        <v>13</v>
      </c>
      <c r="AH1066">
        <v>0</v>
      </c>
      <c r="AI1066">
        <v>0</v>
      </c>
      <c r="AJ1066">
        <v>3</v>
      </c>
      <c r="AK1066">
        <v>3</v>
      </c>
      <c r="AL1066" t="s">
        <v>251</v>
      </c>
      <c r="AM1066" t="s">
        <v>252</v>
      </c>
      <c r="AN1066" t="s">
        <v>253</v>
      </c>
      <c r="AO1066" t="s">
        <v>9563</v>
      </c>
      <c r="AP1066" t="s">
        <v>9564</v>
      </c>
      <c r="AQ1066" t="s">
        <v>74</v>
      </c>
      <c r="AR1066" t="s">
        <v>9565</v>
      </c>
      <c r="AS1066" t="s">
        <v>9566</v>
      </c>
      <c r="AT1066" t="s">
        <v>455</v>
      </c>
      <c r="AU1066">
        <v>2024</v>
      </c>
      <c r="AV1066">
        <v>23</v>
      </c>
      <c r="AW1066">
        <v>9</v>
      </c>
      <c r="AX1066" t="s">
        <v>74</v>
      </c>
      <c r="AY1066" t="s">
        <v>74</v>
      </c>
      <c r="AZ1066" t="s">
        <v>74</v>
      </c>
      <c r="BA1066" t="s">
        <v>74</v>
      </c>
      <c r="BB1066">
        <v>2996</v>
      </c>
      <c r="BC1066">
        <v>2999</v>
      </c>
      <c r="BD1066" t="s">
        <v>74</v>
      </c>
      <c r="BE1066" t="s">
        <v>17962</v>
      </c>
      <c r="BF1066" t="str">
        <f>HYPERLINK("http://dx.doi.org/10.1111/jocd.16399","http://dx.doi.org/10.1111/jocd.16399")</f>
        <v>http://dx.doi.org/10.1111/jocd.16399</v>
      </c>
      <c r="BG1066" t="s">
        <v>74</v>
      </c>
      <c r="BH1066" t="s">
        <v>500</v>
      </c>
      <c r="BI1066">
        <v>4</v>
      </c>
      <c r="BJ1066" t="s">
        <v>1341</v>
      </c>
      <c r="BK1066" t="s">
        <v>209</v>
      </c>
      <c r="BL1066" t="s">
        <v>1341</v>
      </c>
      <c r="BM1066" t="s">
        <v>17963</v>
      </c>
      <c r="BN1066">
        <v>38923153</v>
      </c>
      <c r="BO1066" t="s">
        <v>74</v>
      </c>
      <c r="BP1066" t="s">
        <v>74</v>
      </c>
      <c r="BQ1066" t="s">
        <v>74</v>
      </c>
      <c r="BR1066" t="s">
        <v>102</v>
      </c>
      <c r="BS1066" t="s">
        <v>17964</v>
      </c>
      <c r="BT1066" t="str">
        <f>HYPERLINK("https%3A%2F%2Fwww.webofscience.com%2Fwos%2Fwoscc%2Ffull-record%2FWOS:001254000000001","View Full Record in Web of Science")</f>
        <v>View Full Record in Web of Science</v>
      </c>
    </row>
    <row r="1067" spans="1:72" x14ac:dyDescent="0.35">
      <c r="A1067" t="s">
        <v>72</v>
      </c>
      <c r="B1067" t="s">
        <v>17965</v>
      </c>
      <c r="C1067" t="s">
        <v>74</v>
      </c>
      <c r="D1067" t="s">
        <v>74</v>
      </c>
      <c r="E1067" t="s">
        <v>74</v>
      </c>
      <c r="F1067" t="s">
        <v>17966</v>
      </c>
      <c r="G1067" t="s">
        <v>74</v>
      </c>
      <c r="H1067" t="s">
        <v>74</v>
      </c>
      <c r="I1067" t="s">
        <v>17967</v>
      </c>
      <c r="J1067" t="s">
        <v>1473</v>
      </c>
      <c r="K1067" t="s">
        <v>74</v>
      </c>
      <c r="L1067" t="s">
        <v>74</v>
      </c>
      <c r="M1067" t="s">
        <v>78</v>
      </c>
      <c r="N1067" t="s">
        <v>108</v>
      </c>
      <c r="O1067" t="s">
        <v>74</v>
      </c>
      <c r="P1067" t="s">
        <v>74</v>
      </c>
      <c r="Q1067" t="s">
        <v>74</v>
      </c>
      <c r="R1067" t="s">
        <v>74</v>
      </c>
      <c r="S1067" t="s">
        <v>74</v>
      </c>
      <c r="T1067" t="s">
        <v>17968</v>
      </c>
      <c r="U1067" t="s">
        <v>74</v>
      </c>
      <c r="V1067" t="s">
        <v>17969</v>
      </c>
      <c r="W1067" t="s">
        <v>17970</v>
      </c>
      <c r="X1067" t="s">
        <v>17971</v>
      </c>
      <c r="Y1067" t="s">
        <v>17972</v>
      </c>
      <c r="Z1067" t="s">
        <v>16850</v>
      </c>
      <c r="AA1067" t="s">
        <v>74</v>
      </c>
      <c r="AB1067" t="s">
        <v>17973</v>
      </c>
      <c r="AC1067" t="s">
        <v>74</v>
      </c>
      <c r="AD1067" t="s">
        <v>74</v>
      </c>
      <c r="AE1067" t="s">
        <v>74</v>
      </c>
      <c r="AF1067" t="s">
        <v>74</v>
      </c>
      <c r="AG1067">
        <v>6</v>
      </c>
      <c r="AH1067">
        <v>3</v>
      </c>
      <c r="AI1067">
        <v>3</v>
      </c>
      <c r="AJ1067">
        <v>1</v>
      </c>
      <c r="AK1067">
        <v>5</v>
      </c>
      <c r="AL1067" t="s">
        <v>251</v>
      </c>
      <c r="AM1067" t="s">
        <v>252</v>
      </c>
      <c r="AN1067" t="s">
        <v>253</v>
      </c>
      <c r="AO1067" t="s">
        <v>1480</v>
      </c>
      <c r="AP1067" t="s">
        <v>1481</v>
      </c>
      <c r="AQ1067" t="s">
        <v>74</v>
      </c>
      <c r="AR1067" t="s">
        <v>1482</v>
      </c>
      <c r="AS1067" t="s">
        <v>1483</v>
      </c>
      <c r="AT1067" t="s">
        <v>523</v>
      </c>
      <c r="AU1067">
        <v>2022</v>
      </c>
      <c r="AV1067">
        <v>39</v>
      </c>
      <c r="AW1067">
        <v>6</v>
      </c>
      <c r="AX1067" t="s">
        <v>74</v>
      </c>
      <c r="AY1067" t="s">
        <v>74</v>
      </c>
      <c r="AZ1067" t="s">
        <v>74</v>
      </c>
      <c r="BA1067" t="s">
        <v>74</v>
      </c>
      <c r="BB1067">
        <v>920</v>
      </c>
      <c r="BC1067">
        <v>922</v>
      </c>
      <c r="BD1067" t="s">
        <v>74</v>
      </c>
      <c r="BE1067" t="s">
        <v>17974</v>
      </c>
      <c r="BF1067" t="str">
        <f>HYPERLINK("http://dx.doi.org/10.1111/pde.15106","http://dx.doi.org/10.1111/pde.15106")</f>
        <v>http://dx.doi.org/10.1111/pde.15106</v>
      </c>
      <c r="BG1067" t="s">
        <v>74</v>
      </c>
      <c r="BH1067" t="s">
        <v>1527</v>
      </c>
      <c r="BI1067">
        <v>3</v>
      </c>
      <c r="BJ1067" t="s">
        <v>1486</v>
      </c>
      <c r="BK1067" t="s">
        <v>209</v>
      </c>
      <c r="BL1067" t="s">
        <v>1486</v>
      </c>
      <c r="BM1067" t="s">
        <v>17975</v>
      </c>
      <c r="BN1067">
        <v>35977757</v>
      </c>
      <c r="BO1067" t="s">
        <v>4154</v>
      </c>
      <c r="BP1067" t="s">
        <v>74</v>
      </c>
      <c r="BQ1067" t="s">
        <v>74</v>
      </c>
      <c r="BR1067" t="s">
        <v>102</v>
      </c>
      <c r="BS1067" t="s">
        <v>17976</v>
      </c>
      <c r="BT1067" t="str">
        <f>HYPERLINK("https%3A%2F%2Fwww.webofscience.com%2Fwos%2Fwoscc%2Ffull-record%2FWOS:000842355600001","View Full Record in Web of Science")</f>
        <v>View Full Record in Web of Science</v>
      </c>
    </row>
    <row r="1068" spans="1:72" x14ac:dyDescent="0.35">
      <c r="A1068" t="s">
        <v>72</v>
      </c>
      <c r="B1068" t="s">
        <v>17977</v>
      </c>
      <c r="C1068" t="s">
        <v>74</v>
      </c>
      <c r="D1068" t="s">
        <v>74</v>
      </c>
      <c r="E1068" t="s">
        <v>74</v>
      </c>
      <c r="F1068" t="s">
        <v>17978</v>
      </c>
      <c r="G1068" t="s">
        <v>74</v>
      </c>
      <c r="H1068" t="s">
        <v>74</v>
      </c>
      <c r="I1068" t="s">
        <v>17979</v>
      </c>
      <c r="J1068" t="s">
        <v>216</v>
      </c>
      <c r="K1068" t="s">
        <v>74</v>
      </c>
      <c r="L1068" t="s">
        <v>74</v>
      </c>
      <c r="M1068" t="s">
        <v>78</v>
      </c>
      <c r="N1068" t="s">
        <v>108</v>
      </c>
      <c r="O1068" t="s">
        <v>74</v>
      </c>
      <c r="P1068" t="s">
        <v>74</v>
      </c>
      <c r="Q1068" t="s">
        <v>74</v>
      </c>
      <c r="R1068" t="s">
        <v>74</v>
      </c>
      <c r="S1068" t="s">
        <v>74</v>
      </c>
      <c r="T1068" t="s">
        <v>17980</v>
      </c>
      <c r="U1068" t="s">
        <v>17981</v>
      </c>
      <c r="V1068" t="s">
        <v>17982</v>
      </c>
      <c r="W1068" t="s">
        <v>17983</v>
      </c>
      <c r="X1068" t="s">
        <v>7049</v>
      </c>
      <c r="Y1068" t="s">
        <v>17984</v>
      </c>
      <c r="Z1068" t="s">
        <v>17985</v>
      </c>
      <c r="AA1068" t="s">
        <v>17986</v>
      </c>
      <c r="AB1068" t="s">
        <v>17987</v>
      </c>
      <c r="AC1068" t="s">
        <v>74</v>
      </c>
      <c r="AD1068" t="s">
        <v>74</v>
      </c>
      <c r="AE1068" t="s">
        <v>74</v>
      </c>
      <c r="AF1068" t="s">
        <v>74</v>
      </c>
      <c r="AG1068">
        <v>101</v>
      </c>
      <c r="AH1068">
        <v>3</v>
      </c>
      <c r="AI1068">
        <v>3</v>
      </c>
      <c r="AJ1068">
        <v>14</v>
      </c>
      <c r="AK1068">
        <v>56</v>
      </c>
      <c r="AL1068" t="s">
        <v>226</v>
      </c>
      <c r="AM1068" t="s">
        <v>227</v>
      </c>
      <c r="AN1068" t="s">
        <v>228</v>
      </c>
      <c r="AO1068" t="s">
        <v>229</v>
      </c>
      <c r="AP1068" t="s">
        <v>74</v>
      </c>
      <c r="AQ1068" t="s">
        <v>74</v>
      </c>
      <c r="AR1068" t="s">
        <v>230</v>
      </c>
      <c r="AS1068" t="s">
        <v>231</v>
      </c>
      <c r="AT1068" t="s">
        <v>257</v>
      </c>
      <c r="AU1068">
        <v>2023</v>
      </c>
      <c r="AV1068">
        <v>9</v>
      </c>
      <c r="AW1068">
        <v>2</v>
      </c>
      <c r="AX1068" t="s">
        <v>74</v>
      </c>
      <c r="AY1068" t="s">
        <v>74</v>
      </c>
      <c r="AZ1068" t="s">
        <v>74</v>
      </c>
      <c r="BA1068" t="s">
        <v>74</v>
      </c>
      <c r="BB1068" t="s">
        <v>74</v>
      </c>
      <c r="BC1068" t="s">
        <v>74</v>
      </c>
      <c r="BD1068">
        <v>2.0563051231180624E+16</v>
      </c>
      <c r="BE1068" t="s">
        <v>17988</v>
      </c>
      <c r="BF1068" t="str">
        <f>HYPERLINK("http://dx.doi.org/10.1177/20563051231180625","http://dx.doi.org/10.1177/20563051231180625")</f>
        <v>http://dx.doi.org/10.1177/20563051231180625</v>
      </c>
      <c r="BG1068" t="s">
        <v>74</v>
      </c>
      <c r="BH1068" t="s">
        <v>74</v>
      </c>
      <c r="BI1068">
        <v>14</v>
      </c>
      <c r="BJ1068" t="s">
        <v>124</v>
      </c>
      <c r="BK1068" t="s">
        <v>99</v>
      </c>
      <c r="BL1068" t="s">
        <v>124</v>
      </c>
      <c r="BM1068" t="s">
        <v>17989</v>
      </c>
      <c r="BN1068" t="s">
        <v>74</v>
      </c>
      <c r="BO1068" t="s">
        <v>1888</v>
      </c>
      <c r="BP1068" t="s">
        <v>74</v>
      </c>
      <c r="BQ1068" t="s">
        <v>74</v>
      </c>
      <c r="BR1068" t="s">
        <v>102</v>
      </c>
      <c r="BS1068" t="s">
        <v>17990</v>
      </c>
      <c r="BT1068" t="str">
        <f>HYPERLINK("https%3A%2F%2Fwww.webofscience.com%2Fwos%2Fwoscc%2Ffull-record%2FWOS:001017130200001","View Full Record in Web of Science")</f>
        <v>View Full Record in Web of Science</v>
      </c>
    </row>
    <row r="1069" spans="1:72" x14ac:dyDescent="0.35">
      <c r="A1069" t="s">
        <v>72</v>
      </c>
      <c r="B1069" t="s">
        <v>17991</v>
      </c>
      <c r="C1069" t="s">
        <v>74</v>
      </c>
      <c r="D1069" t="s">
        <v>74</v>
      </c>
      <c r="E1069" t="s">
        <v>74</v>
      </c>
      <c r="F1069" t="s">
        <v>17992</v>
      </c>
      <c r="G1069" t="s">
        <v>74</v>
      </c>
      <c r="H1069" t="s">
        <v>74</v>
      </c>
      <c r="I1069" t="s">
        <v>17993</v>
      </c>
      <c r="J1069" t="s">
        <v>17994</v>
      </c>
      <c r="K1069" t="s">
        <v>74</v>
      </c>
      <c r="L1069" t="s">
        <v>74</v>
      </c>
      <c r="M1069" t="s">
        <v>78</v>
      </c>
      <c r="N1069" t="s">
        <v>108</v>
      </c>
      <c r="O1069" t="s">
        <v>74</v>
      </c>
      <c r="P1069" t="s">
        <v>74</v>
      </c>
      <c r="Q1069" t="s">
        <v>74</v>
      </c>
      <c r="R1069" t="s">
        <v>74</v>
      </c>
      <c r="S1069" t="s">
        <v>74</v>
      </c>
      <c r="T1069" t="s">
        <v>17995</v>
      </c>
      <c r="U1069" t="s">
        <v>17996</v>
      </c>
      <c r="V1069" t="s">
        <v>17997</v>
      </c>
      <c r="W1069" t="s">
        <v>17998</v>
      </c>
      <c r="X1069" t="s">
        <v>17999</v>
      </c>
      <c r="Y1069" t="s">
        <v>18000</v>
      </c>
      <c r="Z1069" t="s">
        <v>18001</v>
      </c>
      <c r="AA1069" t="s">
        <v>18002</v>
      </c>
      <c r="AB1069" t="s">
        <v>18003</v>
      </c>
      <c r="AC1069" t="s">
        <v>74</v>
      </c>
      <c r="AD1069" t="s">
        <v>74</v>
      </c>
      <c r="AE1069" t="s">
        <v>74</v>
      </c>
      <c r="AF1069" t="s">
        <v>74</v>
      </c>
      <c r="AG1069">
        <v>29</v>
      </c>
      <c r="AH1069">
        <v>9</v>
      </c>
      <c r="AI1069">
        <v>9</v>
      </c>
      <c r="AJ1069">
        <v>1</v>
      </c>
      <c r="AK1069">
        <v>5</v>
      </c>
      <c r="AL1069" t="s">
        <v>88</v>
      </c>
      <c r="AM1069" t="s">
        <v>89</v>
      </c>
      <c r="AN1069" t="s">
        <v>90</v>
      </c>
      <c r="AO1069" t="s">
        <v>18004</v>
      </c>
      <c r="AP1069" t="s">
        <v>18005</v>
      </c>
      <c r="AQ1069" t="s">
        <v>74</v>
      </c>
      <c r="AR1069" t="s">
        <v>18006</v>
      </c>
      <c r="AS1069" t="s">
        <v>18007</v>
      </c>
      <c r="AT1069" t="s">
        <v>18008</v>
      </c>
      <c r="AU1069">
        <v>2022</v>
      </c>
      <c r="AV1069">
        <v>26</v>
      </c>
      <c r="AW1069">
        <v>2</v>
      </c>
      <c r="AX1069" t="s">
        <v>74</v>
      </c>
      <c r="AY1069" t="s">
        <v>74</v>
      </c>
      <c r="AZ1069" t="s">
        <v>74</v>
      </c>
      <c r="BA1069" t="s">
        <v>74</v>
      </c>
      <c r="BB1069">
        <v>146</v>
      </c>
      <c r="BC1069">
        <v>156</v>
      </c>
      <c r="BD1069" t="s">
        <v>74</v>
      </c>
      <c r="BE1069" t="s">
        <v>18009</v>
      </c>
      <c r="BF1069" t="str">
        <f>HYPERLINK("http://dx.doi.org/10.1080/15398285.2022.2045669","http://dx.doi.org/10.1080/15398285.2022.2045669")</f>
        <v>http://dx.doi.org/10.1080/15398285.2022.2045669</v>
      </c>
      <c r="BG1069" t="s">
        <v>74</v>
      </c>
      <c r="BH1069" t="s">
        <v>4941</v>
      </c>
      <c r="BI1069">
        <v>11</v>
      </c>
      <c r="BJ1069" t="s">
        <v>392</v>
      </c>
      <c r="BK1069" t="s">
        <v>125</v>
      </c>
      <c r="BL1069" t="s">
        <v>392</v>
      </c>
      <c r="BM1069" t="s">
        <v>18010</v>
      </c>
      <c r="BN1069" t="s">
        <v>74</v>
      </c>
      <c r="BO1069" t="s">
        <v>74</v>
      </c>
      <c r="BP1069" t="s">
        <v>74</v>
      </c>
      <c r="BQ1069" t="s">
        <v>74</v>
      </c>
      <c r="BR1069" t="s">
        <v>102</v>
      </c>
      <c r="BS1069" t="s">
        <v>18011</v>
      </c>
      <c r="BT1069" t="str">
        <f>HYPERLINK("https%3A%2F%2Fwww.webofscience.com%2Fwos%2Fwoscc%2Ffull-record%2FWOS:000781337000001","View Full Record in Web of Science")</f>
        <v>View Full Record in Web of Science</v>
      </c>
    </row>
    <row r="1070" spans="1:72" x14ac:dyDescent="0.35">
      <c r="A1070" t="s">
        <v>72</v>
      </c>
      <c r="B1070" t="s">
        <v>11933</v>
      </c>
      <c r="C1070" t="s">
        <v>74</v>
      </c>
      <c r="D1070" t="s">
        <v>74</v>
      </c>
      <c r="E1070" t="s">
        <v>74</v>
      </c>
      <c r="F1070" t="s">
        <v>18012</v>
      </c>
      <c r="G1070" t="s">
        <v>74</v>
      </c>
      <c r="H1070" t="s">
        <v>74</v>
      </c>
      <c r="I1070" t="s">
        <v>18013</v>
      </c>
      <c r="J1070" t="s">
        <v>18014</v>
      </c>
      <c r="K1070" t="s">
        <v>74</v>
      </c>
      <c r="L1070" t="s">
        <v>74</v>
      </c>
      <c r="M1070" t="s">
        <v>78</v>
      </c>
      <c r="N1070" t="s">
        <v>108</v>
      </c>
      <c r="O1070" t="s">
        <v>74</v>
      </c>
      <c r="P1070" t="s">
        <v>74</v>
      </c>
      <c r="Q1070" t="s">
        <v>74</v>
      </c>
      <c r="R1070" t="s">
        <v>74</v>
      </c>
      <c r="S1070" t="s">
        <v>74</v>
      </c>
      <c r="T1070" t="s">
        <v>74</v>
      </c>
      <c r="U1070" t="s">
        <v>18015</v>
      </c>
      <c r="V1070" t="s">
        <v>18016</v>
      </c>
      <c r="W1070" t="s">
        <v>18017</v>
      </c>
      <c r="X1070" t="s">
        <v>18018</v>
      </c>
      <c r="Y1070" t="s">
        <v>18019</v>
      </c>
      <c r="Z1070" t="s">
        <v>13718</v>
      </c>
      <c r="AA1070" t="s">
        <v>11939</v>
      </c>
      <c r="AB1070" t="s">
        <v>18020</v>
      </c>
      <c r="AC1070" t="s">
        <v>74</v>
      </c>
      <c r="AD1070" t="s">
        <v>74</v>
      </c>
      <c r="AE1070" t="s">
        <v>74</v>
      </c>
      <c r="AF1070" t="s">
        <v>74</v>
      </c>
      <c r="AG1070">
        <v>34</v>
      </c>
      <c r="AH1070">
        <v>43</v>
      </c>
      <c r="AI1070">
        <v>44</v>
      </c>
      <c r="AJ1070">
        <v>2</v>
      </c>
      <c r="AK1070">
        <v>13</v>
      </c>
      <c r="AL1070" t="s">
        <v>18021</v>
      </c>
      <c r="AM1070" t="s">
        <v>18022</v>
      </c>
      <c r="AN1070" t="s">
        <v>18023</v>
      </c>
      <c r="AO1070" t="s">
        <v>18024</v>
      </c>
      <c r="AP1070" t="s">
        <v>18025</v>
      </c>
      <c r="AQ1070" t="s">
        <v>74</v>
      </c>
      <c r="AR1070" t="s">
        <v>18026</v>
      </c>
      <c r="AS1070" t="s">
        <v>18027</v>
      </c>
      <c r="AT1070" t="s">
        <v>455</v>
      </c>
      <c r="AU1070">
        <v>2021</v>
      </c>
      <c r="AV1070">
        <v>82</v>
      </c>
      <c r="AW1070">
        <v>5</v>
      </c>
      <c r="AX1070" t="s">
        <v>74</v>
      </c>
      <c r="AY1070" t="s">
        <v>74</v>
      </c>
      <c r="AZ1070" t="s">
        <v>74</v>
      </c>
      <c r="BA1070" t="s">
        <v>74</v>
      </c>
      <c r="BB1070">
        <v>615</v>
      </c>
      <c r="BC1070">
        <v>622</v>
      </c>
      <c r="BD1070" t="s">
        <v>74</v>
      </c>
      <c r="BE1070" t="s">
        <v>74</v>
      </c>
      <c r="BF1070" t="s">
        <v>74</v>
      </c>
      <c r="BG1070" t="s">
        <v>74</v>
      </c>
      <c r="BH1070" t="s">
        <v>74</v>
      </c>
      <c r="BI1070">
        <v>8</v>
      </c>
      <c r="BJ1070" t="s">
        <v>18028</v>
      </c>
      <c r="BK1070" t="s">
        <v>182</v>
      </c>
      <c r="BL1070" t="s">
        <v>18028</v>
      </c>
      <c r="BM1070" t="s">
        <v>18029</v>
      </c>
      <c r="BN1070">
        <v>34546908</v>
      </c>
      <c r="BO1070" t="s">
        <v>74</v>
      </c>
      <c r="BP1070" t="s">
        <v>74</v>
      </c>
      <c r="BQ1070" t="s">
        <v>74</v>
      </c>
      <c r="BR1070" t="s">
        <v>102</v>
      </c>
      <c r="BS1070" t="s">
        <v>18030</v>
      </c>
      <c r="BT1070" t="str">
        <f>HYPERLINK("https%3A%2F%2Fwww.webofscience.com%2Fwos%2Fwoscc%2Ffull-record%2FWOS:000752488600008","View Full Record in Web of Science")</f>
        <v>View Full Record in Web of Science</v>
      </c>
    </row>
    <row r="1071" spans="1:72" x14ac:dyDescent="0.35">
      <c r="A1071" t="s">
        <v>72</v>
      </c>
      <c r="B1071" t="s">
        <v>18031</v>
      </c>
      <c r="C1071" t="s">
        <v>74</v>
      </c>
      <c r="D1071" t="s">
        <v>74</v>
      </c>
      <c r="E1071" t="s">
        <v>74</v>
      </c>
      <c r="F1071" t="s">
        <v>18032</v>
      </c>
      <c r="G1071" t="s">
        <v>74</v>
      </c>
      <c r="H1071" t="s">
        <v>74</v>
      </c>
      <c r="I1071" t="s">
        <v>18033</v>
      </c>
      <c r="J1071" t="s">
        <v>17994</v>
      </c>
      <c r="K1071" t="s">
        <v>74</v>
      </c>
      <c r="L1071" t="s">
        <v>74</v>
      </c>
      <c r="M1071" t="s">
        <v>78</v>
      </c>
      <c r="N1071" t="s">
        <v>108</v>
      </c>
      <c r="O1071" t="s">
        <v>74</v>
      </c>
      <c r="P1071" t="s">
        <v>74</v>
      </c>
      <c r="Q1071" t="s">
        <v>74</v>
      </c>
      <c r="R1071" t="s">
        <v>74</v>
      </c>
      <c r="S1071" t="s">
        <v>74</v>
      </c>
      <c r="T1071" t="s">
        <v>18034</v>
      </c>
      <c r="U1071" t="s">
        <v>15802</v>
      </c>
      <c r="V1071" t="s">
        <v>18035</v>
      </c>
      <c r="W1071" t="s">
        <v>18036</v>
      </c>
      <c r="X1071" t="s">
        <v>14183</v>
      </c>
      <c r="Y1071" t="s">
        <v>18037</v>
      </c>
      <c r="Z1071" t="s">
        <v>18038</v>
      </c>
      <c r="AA1071" t="s">
        <v>74</v>
      </c>
      <c r="AB1071" t="s">
        <v>18039</v>
      </c>
      <c r="AC1071" t="s">
        <v>74</v>
      </c>
      <c r="AD1071" t="s">
        <v>74</v>
      </c>
      <c r="AE1071" t="s">
        <v>74</v>
      </c>
      <c r="AF1071" t="s">
        <v>74</v>
      </c>
      <c r="AG1071">
        <v>28</v>
      </c>
      <c r="AH1071">
        <v>1</v>
      </c>
      <c r="AI1071">
        <v>1</v>
      </c>
      <c r="AJ1071">
        <v>0</v>
      </c>
      <c r="AK1071">
        <v>1</v>
      </c>
      <c r="AL1071" t="s">
        <v>88</v>
      </c>
      <c r="AM1071" t="s">
        <v>89</v>
      </c>
      <c r="AN1071" t="s">
        <v>90</v>
      </c>
      <c r="AO1071" t="s">
        <v>18004</v>
      </c>
      <c r="AP1071" t="s">
        <v>18005</v>
      </c>
      <c r="AQ1071" t="s">
        <v>74</v>
      </c>
      <c r="AR1071" t="s">
        <v>18006</v>
      </c>
      <c r="AS1071" t="s">
        <v>18007</v>
      </c>
      <c r="AT1071" t="s">
        <v>18008</v>
      </c>
      <c r="AU1071">
        <v>2023</v>
      </c>
      <c r="AV1071">
        <v>27</v>
      </c>
      <c r="AW1071">
        <v>2</v>
      </c>
      <c r="AX1071" t="s">
        <v>74</v>
      </c>
      <c r="AY1071" t="s">
        <v>74</v>
      </c>
      <c r="AZ1071" t="s">
        <v>74</v>
      </c>
      <c r="BA1071" t="s">
        <v>74</v>
      </c>
      <c r="BB1071">
        <v>173</v>
      </c>
      <c r="BC1071">
        <v>183</v>
      </c>
      <c r="BD1071" t="s">
        <v>74</v>
      </c>
      <c r="BE1071" t="s">
        <v>18040</v>
      </c>
      <c r="BF1071" t="str">
        <f>HYPERLINK("http://dx.doi.org/10.1080/15398285.2023.2207157","http://dx.doi.org/10.1080/15398285.2023.2207157")</f>
        <v>http://dx.doi.org/10.1080/15398285.2023.2207157</v>
      </c>
      <c r="BG1071" t="s">
        <v>74</v>
      </c>
      <c r="BH1071" t="s">
        <v>74</v>
      </c>
      <c r="BI1071">
        <v>11</v>
      </c>
      <c r="BJ1071" t="s">
        <v>392</v>
      </c>
      <c r="BK1071" t="s">
        <v>125</v>
      </c>
      <c r="BL1071" t="s">
        <v>392</v>
      </c>
      <c r="BM1071" t="s">
        <v>18041</v>
      </c>
      <c r="BN1071" t="s">
        <v>74</v>
      </c>
      <c r="BO1071" t="s">
        <v>74</v>
      </c>
      <c r="BP1071" t="s">
        <v>74</v>
      </c>
      <c r="BQ1071" t="s">
        <v>74</v>
      </c>
      <c r="BR1071" t="s">
        <v>102</v>
      </c>
      <c r="BS1071" t="s">
        <v>18042</v>
      </c>
      <c r="BT1071" t="str">
        <f>HYPERLINK("https%3A%2F%2Fwww.webofscience.com%2Fwos%2Fwoscc%2Ffull-record%2FWOS:000995791000004","View Full Record in Web of Science")</f>
        <v>View Full Record in Web of Science</v>
      </c>
    </row>
    <row r="1072" spans="1:72" x14ac:dyDescent="0.35">
      <c r="A1072" t="s">
        <v>72</v>
      </c>
      <c r="B1072" t="s">
        <v>18043</v>
      </c>
      <c r="C1072" t="s">
        <v>74</v>
      </c>
      <c r="D1072" t="s">
        <v>74</v>
      </c>
      <c r="E1072" t="s">
        <v>74</v>
      </c>
      <c r="F1072" t="s">
        <v>18044</v>
      </c>
      <c r="G1072" t="s">
        <v>74</v>
      </c>
      <c r="H1072" t="s">
        <v>74</v>
      </c>
      <c r="I1072" t="s">
        <v>18045</v>
      </c>
      <c r="J1072" t="s">
        <v>18046</v>
      </c>
      <c r="K1072" t="s">
        <v>74</v>
      </c>
      <c r="L1072" t="s">
        <v>74</v>
      </c>
      <c r="M1072" t="s">
        <v>3503</v>
      </c>
      <c r="N1072" t="s">
        <v>108</v>
      </c>
      <c r="O1072" t="s">
        <v>74</v>
      </c>
      <c r="P1072" t="s">
        <v>74</v>
      </c>
      <c r="Q1072" t="s">
        <v>74</v>
      </c>
      <c r="R1072" t="s">
        <v>74</v>
      </c>
      <c r="S1072" t="s">
        <v>74</v>
      </c>
      <c r="T1072" t="s">
        <v>18047</v>
      </c>
      <c r="U1072" t="s">
        <v>18048</v>
      </c>
      <c r="V1072" t="s">
        <v>18049</v>
      </c>
      <c r="W1072" t="s">
        <v>18050</v>
      </c>
      <c r="X1072" t="s">
        <v>18051</v>
      </c>
      <c r="Y1072" t="s">
        <v>18052</v>
      </c>
      <c r="Z1072" t="s">
        <v>18053</v>
      </c>
      <c r="AA1072" t="s">
        <v>18054</v>
      </c>
      <c r="AB1072" t="s">
        <v>18055</v>
      </c>
      <c r="AC1072" t="s">
        <v>74</v>
      </c>
      <c r="AD1072" t="s">
        <v>74</v>
      </c>
      <c r="AE1072" t="s">
        <v>74</v>
      </c>
      <c r="AF1072" t="s">
        <v>74</v>
      </c>
      <c r="AG1072">
        <v>79</v>
      </c>
      <c r="AH1072">
        <v>1</v>
      </c>
      <c r="AI1072">
        <v>1</v>
      </c>
      <c r="AJ1072">
        <v>3</v>
      </c>
      <c r="AK1072">
        <v>8</v>
      </c>
      <c r="AL1072" t="s">
        <v>18056</v>
      </c>
      <c r="AM1072" t="s">
        <v>18057</v>
      </c>
      <c r="AN1072" t="s">
        <v>18058</v>
      </c>
      <c r="AO1072" t="s">
        <v>18059</v>
      </c>
      <c r="AP1072" t="s">
        <v>18060</v>
      </c>
      <c r="AQ1072" t="s">
        <v>74</v>
      </c>
      <c r="AR1072" t="s">
        <v>18061</v>
      </c>
      <c r="AS1072" t="s">
        <v>18062</v>
      </c>
      <c r="AT1072" t="s">
        <v>273</v>
      </c>
      <c r="AU1072">
        <v>2022</v>
      </c>
      <c r="AV1072" t="s">
        <v>74</v>
      </c>
      <c r="AW1072" t="s">
        <v>74</v>
      </c>
      <c r="AX1072" t="s">
        <v>74</v>
      </c>
      <c r="AY1072" t="s">
        <v>74</v>
      </c>
      <c r="AZ1072">
        <v>4</v>
      </c>
      <c r="BA1072" t="s">
        <v>74</v>
      </c>
      <c r="BB1072">
        <v>173</v>
      </c>
      <c r="BC1072">
        <v>202</v>
      </c>
      <c r="BD1072" t="s">
        <v>74</v>
      </c>
      <c r="BE1072" t="s">
        <v>18063</v>
      </c>
      <c r="BF1072" t="str">
        <f>HYPERLINK("http://dx.doi.org/10.18543/ced.2476","http://dx.doi.org/10.18543/ced.2476")</f>
        <v>http://dx.doi.org/10.18543/ced.2476</v>
      </c>
      <c r="BG1072" t="s">
        <v>74</v>
      </c>
      <c r="BH1072" t="s">
        <v>74</v>
      </c>
      <c r="BI1072">
        <v>30</v>
      </c>
      <c r="BJ1072" t="s">
        <v>13626</v>
      </c>
      <c r="BK1072" t="s">
        <v>125</v>
      </c>
      <c r="BL1072" t="s">
        <v>1005</v>
      </c>
      <c r="BM1072" t="s">
        <v>18064</v>
      </c>
      <c r="BN1072" t="s">
        <v>74</v>
      </c>
      <c r="BO1072" t="s">
        <v>1888</v>
      </c>
      <c r="BP1072" t="s">
        <v>74</v>
      </c>
      <c r="BQ1072" t="s">
        <v>74</v>
      </c>
      <c r="BR1072" t="s">
        <v>102</v>
      </c>
      <c r="BS1072" t="s">
        <v>18065</v>
      </c>
      <c r="BT1072" t="str">
        <f>HYPERLINK("https%3A%2F%2Fwww.webofscience.com%2Fwos%2Fwoscc%2Ffull-record%2FWOS:000926180200006","View Full Record in Web of Science")</f>
        <v>View Full Record in Web of Science</v>
      </c>
    </row>
    <row r="1073" spans="1:72" x14ac:dyDescent="0.35">
      <c r="A1073" t="s">
        <v>72</v>
      </c>
      <c r="B1073" t="s">
        <v>18066</v>
      </c>
      <c r="C1073" t="s">
        <v>74</v>
      </c>
      <c r="D1073" t="s">
        <v>74</v>
      </c>
      <c r="E1073" t="s">
        <v>74</v>
      </c>
      <c r="F1073" t="s">
        <v>18067</v>
      </c>
      <c r="G1073" t="s">
        <v>74</v>
      </c>
      <c r="H1073" t="s">
        <v>74</v>
      </c>
      <c r="I1073" t="s">
        <v>18068</v>
      </c>
      <c r="J1073" t="s">
        <v>18069</v>
      </c>
      <c r="K1073" t="s">
        <v>74</v>
      </c>
      <c r="L1073" t="s">
        <v>74</v>
      </c>
      <c r="M1073" t="s">
        <v>78</v>
      </c>
      <c r="N1073" t="s">
        <v>13911</v>
      </c>
      <c r="O1073" t="s">
        <v>74</v>
      </c>
      <c r="P1073" t="s">
        <v>74</v>
      </c>
      <c r="Q1073" t="s">
        <v>74</v>
      </c>
      <c r="R1073" t="s">
        <v>74</v>
      </c>
      <c r="S1073" t="s">
        <v>74</v>
      </c>
      <c r="T1073" t="s">
        <v>74</v>
      </c>
      <c r="U1073" t="s">
        <v>74</v>
      </c>
      <c r="V1073" t="s">
        <v>74</v>
      </c>
      <c r="W1073" t="s">
        <v>74</v>
      </c>
      <c r="X1073" t="s">
        <v>74</v>
      </c>
      <c r="Y1073" t="s">
        <v>74</v>
      </c>
      <c r="Z1073" t="s">
        <v>74</v>
      </c>
      <c r="AA1073" t="s">
        <v>74</v>
      </c>
      <c r="AB1073" t="s">
        <v>74</v>
      </c>
      <c r="AC1073" t="s">
        <v>74</v>
      </c>
      <c r="AD1073" t="s">
        <v>74</v>
      </c>
      <c r="AE1073" t="s">
        <v>74</v>
      </c>
      <c r="AF1073" t="s">
        <v>74</v>
      </c>
      <c r="AG1073">
        <v>1</v>
      </c>
      <c r="AH1073">
        <v>0</v>
      </c>
      <c r="AI1073">
        <v>0</v>
      </c>
      <c r="AJ1073">
        <v>1</v>
      </c>
      <c r="AK1073">
        <v>1</v>
      </c>
      <c r="AL1073" t="s">
        <v>251</v>
      </c>
      <c r="AM1073" t="s">
        <v>252</v>
      </c>
      <c r="AN1073" t="s">
        <v>253</v>
      </c>
      <c r="AO1073" t="s">
        <v>18070</v>
      </c>
      <c r="AP1073" t="s">
        <v>18071</v>
      </c>
      <c r="AQ1073" t="s">
        <v>74</v>
      </c>
      <c r="AR1073" t="s">
        <v>18072</v>
      </c>
      <c r="AS1073" t="s">
        <v>18073</v>
      </c>
      <c r="AT1073" t="s">
        <v>273</v>
      </c>
      <c r="AU1073">
        <v>2024</v>
      </c>
      <c r="AV1073">
        <v>69</v>
      </c>
      <c r="AW1073">
        <v>4</v>
      </c>
      <c r="AX1073" t="s">
        <v>74</v>
      </c>
      <c r="AY1073" t="s">
        <v>74</v>
      </c>
      <c r="AZ1073" t="s">
        <v>74</v>
      </c>
      <c r="BA1073" t="s">
        <v>74</v>
      </c>
      <c r="BB1073">
        <v>1523</v>
      </c>
      <c r="BC1073">
        <v>1523</v>
      </c>
      <c r="BD1073" t="s">
        <v>74</v>
      </c>
      <c r="BE1073" t="s">
        <v>18074</v>
      </c>
      <c r="BF1073" t="str">
        <f>HYPERLINK("http://dx.doi.org/10.1111/1556-4029.15552","http://dx.doi.org/10.1111/1556-4029.15552")</f>
        <v>http://dx.doi.org/10.1111/1556-4029.15552</v>
      </c>
      <c r="BG1073" t="s">
        <v>74</v>
      </c>
      <c r="BH1073" t="s">
        <v>500</v>
      </c>
      <c r="BI1073">
        <v>1</v>
      </c>
      <c r="BJ1073" t="s">
        <v>18075</v>
      </c>
      <c r="BK1073" t="s">
        <v>209</v>
      </c>
      <c r="BL1073" t="s">
        <v>18076</v>
      </c>
      <c r="BM1073" t="s">
        <v>18077</v>
      </c>
      <c r="BN1073" t="s">
        <v>74</v>
      </c>
      <c r="BO1073" t="s">
        <v>767</v>
      </c>
      <c r="BP1073" t="s">
        <v>74</v>
      </c>
      <c r="BQ1073" t="s">
        <v>74</v>
      </c>
      <c r="BR1073" t="s">
        <v>102</v>
      </c>
      <c r="BS1073" t="s">
        <v>18078</v>
      </c>
      <c r="BT1073" t="str">
        <f>HYPERLINK("https%3A%2F%2Fwww.webofscience.com%2Fwos%2Fwoscc%2Ffull-record%2FWOS:001239704500001","View Full Record in Web of Science")</f>
        <v>View Full Record in Web of Science</v>
      </c>
    </row>
    <row r="1074" spans="1:72" x14ac:dyDescent="0.35">
      <c r="A1074" t="s">
        <v>72</v>
      </c>
      <c r="B1074" t="s">
        <v>18079</v>
      </c>
      <c r="C1074" t="s">
        <v>74</v>
      </c>
      <c r="D1074" t="s">
        <v>74</v>
      </c>
      <c r="E1074" t="s">
        <v>74</v>
      </c>
      <c r="F1074" t="s">
        <v>18080</v>
      </c>
      <c r="G1074" t="s">
        <v>74</v>
      </c>
      <c r="H1074" t="s">
        <v>74</v>
      </c>
      <c r="I1074" t="s">
        <v>18081</v>
      </c>
      <c r="J1074" t="s">
        <v>1603</v>
      </c>
      <c r="K1074" t="s">
        <v>74</v>
      </c>
      <c r="L1074" t="s">
        <v>74</v>
      </c>
      <c r="M1074" t="s">
        <v>78</v>
      </c>
      <c r="N1074" t="s">
        <v>108</v>
      </c>
      <c r="O1074" t="s">
        <v>74</v>
      </c>
      <c r="P1074" t="s">
        <v>74</v>
      </c>
      <c r="Q1074" t="s">
        <v>74</v>
      </c>
      <c r="R1074" t="s">
        <v>74</v>
      </c>
      <c r="S1074" t="s">
        <v>74</v>
      </c>
      <c r="T1074" t="s">
        <v>18082</v>
      </c>
      <c r="U1074" t="s">
        <v>18083</v>
      </c>
      <c r="V1074" t="s">
        <v>18084</v>
      </c>
      <c r="W1074" t="s">
        <v>18085</v>
      </c>
      <c r="X1074" t="s">
        <v>18086</v>
      </c>
      <c r="Y1074" t="s">
        <v>18087</v>
      </c>
      <c r="Z1074" t="s">
        <v>18088</v>
      </c>
      <c r="AA1074" t="s">
        <v>18089</v>
      </c>
      <c r="AB1074" t="s">
        <v>18090</v>
      </c>
      <c r="AC1074" t="s">
        <v>18091</v>
      </c>
      <c r="AD1074" t="s">
        <v>18092</v>
      </c>
      <c r="AE1074" t="s">
        <v>18093</v>
      </c>
      <c r="AF1074" t="s">
        <v>74</v>
      </c>
      <c r="AG1074">
        <v>27</v>
      </c>
      <c r="AH1074">
        <v>15</v>
      </c>
      <c r="AI1074">
        <v>16</v>
      </c>
      <c r="AJ1074">
        <v>6</v>
      </c>
      <c r="AK1074">
        <v>86</v>
      </c>
      <c r="AL1074" t="s">
        <v>516</v>
      </c>
      <c r="AM1074" t="s">
        <v>517</v>
      </c>
      <c r="AN1074" t="s">
        <v>518</v>
      </c>
      <c r="AO1074" t="s">
        <v>1612</v>
      </c>
      <c r="AP1074" t="s">
        <v>1613</v>
      </c>
      <c r="AQ1074" t="s">
        <v>74</v>
      </c>
      <c r="AR1074" t="s">
        <v>1603</v>
      </c>
      <c r="AS1074" t="s">
        <v>1614</v>
      </c>
      <c r="AT1074" t="s">
        <v>257</v>
      </c>
      <c r="AU1074">
        <v>2022</v>
      </c>
      <c r="AV1074">
        <v>41</v>
      </c>
      <c r="AW1074" t="s">
        <v>74</v>
      </c>
      <c r="AX1074" t="s">
        <v>74</v>
      </c>
      <c r="AY1074" t="s">
        <v>74</v>
      </c>
      <c r="AZ1074" t="s">
        <v>74</v>
      </c>
      <c r="BA1074" t="s">
        <v>74</v>
      </c>
      <c r="BB1074">
        <v>453</v>
      </c>
      <c r="BC1074">
        <v>459</v>
      </c>
      <c r="BD1074" t="s">
        <v>74</v>
      </c>
      <c r="BE1074" t="s">
        <v>18094</v>
      </c>
      <c r="BF1074" t="str">
        <f>HYPERLINK("http://dx.doi.org/10.1016/j.bodyim.2022.04.015","http://dx.doi.org/10.1016/j.bodyim.2022.04.015")</f>
        <v>http://dx.doi.org/10.1016/j.bodyim.2022.04.015</v>
      </c>
      <c r="BG1074" t="s">
        <v>74</v>
      </c>
      <c r="BH1074" t="s">
        <v>9082</v>
      </c>
      <c r="BI1074">
        <v>7</v>
      </c>
      <c r="BJ1074" t="s">
        <v>1616</v>
      </c>
      <c r="BK1074" t="s">
        <v>99</v>
      </c>
      <c r="BL1074" t="s">
        <v>1617</v>
      </c>
      <c r="BM1074" t="s">
        <v>18095</v>
      </c>
      <c r="BN1074">
        <v>35569366</v>
      </c>
      <c r="BO1074" t="s">
        <v>6798</v>
      </c>
      <c r="BP1074" t="s">
        <v>74</v>
      </c>
      <c r="BQ1074" t="s">
        <v>74</v>
      </c>
      <c r="BR1074" t="s">
        <v>102</v>
      </c>
      <c r="BS1074" t="s">
        <v>18096</v>
      </c>
      <c r="BT1074" t="str">
        <f>HYPERLINK("https%3A%2F%2Fwww.webofscience.com%2Fwos%2Fwoscc%2Ffull-record%2FWOS:000807134800001","View Full Record in Web of Science")</f>
        <v>View Full Record in Web of Science</v>
      </c>
    </row>
    <row r="1075" spans="1:72" x14ac:dyDescent="0.35">
      <c r="A1075" t="s">
        <v>72</v>
      </c>
      <c r="B1075" t="s">
        <v>18097</v>
      </c>
      <c r="C1075" t="s">
        <v>74</v>
      </c>
      <c r="D1075" t="s">
        <v>74</v>
      </c>
      <c r="E1075" t="s">
        <v>74</v>
      </c>
      <c r="F1075" t="s">
        <v>18098</v>
      </c>
      <c r="G1075" t="s">
        <v>74</v>
      </c>
      <c r="H1075" t="s">
        <v>74</v>
      </c>
      <c r="I1075" t="s">
        <v>18099</v>
      </c>
      <c r="J1075" t="s">
        <v>1034</v>
      </c>
      <c r="K1075" t="s">
        <v>74</v>
      </c>
      <c r="L1075" t="s">
        <v>74</v>
      </c>
      <c r="M1075" t="s">
        <v>78</v>
      </c>
      <c r="N1075" t="s">
        <v>108</v>
      </c>
      <c r="O1075" t="s">
        <v>74</v>
      </c>
      <c r="P1075" t="s">
        <v>74</v>
      </c>
      <c r="Q1075" t="s">
        <v>74</v>
      </c>
      <c r="R1075" t="s">
        <v>74</v>
      </c>
      <c r="S1075" t="s">
        <v>74</v>
      </c>
      <c r="T1075" t="s">
        <v>18100</v>
      </c>
      <c r="U1075" t="s">
        <v>1036</v>
      </c>
      <c r="V1075" t="s">
        <v>18101</v>
      </c>
      <c r="W1075" t="s">
        <v>18102</v>
      </c>
      <c r="X1075" t="s">
        <v>18103</v>
      </c>
      <c r="Y1075" t="s">
        <v>18104</v>
      </c>
      <c r="Z1075" t="s">
        <v>18105</v>
      </c>
      <c r="AA1075" t="s">
        <v>74</v>
      </c>
      <c r="AB1075" t="s">
        <v>74</v>
      </c>
      <c r="AC1075" t="s">
        <v>74</v>
      </c>
      <c r="AD1075" t="s">
        <v>74</v>
      </c>
      <c r="AE1075" t="s">
        <v>74</v>
      </c>
      <c r="AF1075" t="s">
        <v>74</v>
      </c>
      <c r="AG1075">
        <v>42</v>
      </c>
      <c r="AH1075">
        <v>7</v>
      </c>
      <c r="AI1075">
        <v>7</v>
      </c>
      <c r="AJ1075">
        <v>12</v>
      </c>
      <c r="AK1075">
        <v>52</v>
      </c>
      <c r="AL1075" t="s">
        <v>226</v>
      </c>
      <c r="AM1075" t="s">
        <v>227</v>
      </c>
      <c r="AN1075" t="s">
        <v>228</v>
      </c>
      <c r="AO1075" t="s">
        <v>1041</v>
      </c>
      <c r="AP1075" t="s">
        <v>1042</v>
      </c>
      <c r="AQ1075" t="s">
        <v>74</v>
      </c>
      <c r="AR1075" t="s">
        <v>1043</v>
      </c>
      <c r="AS1075" t="s">
        <v>1044</v>
      </c>
      <c r="AT1075" t="s">
        <v>455</v>
      </c>
      <c r="AU1075">
        <v>2023</v>
      </c>
      <c r="AV1075">
        <v>45</v>
      </c>
      <c r="AW1075">
        <v>6</v>
      </c>
      <c r="AX1075" t="s">
        <v>74</v>
      </c>
      <c r="AY1075" t="s">
        <v>74</v>
      </c>
      <c r="AZ1075" t="s">
        <v>74</v>
      </c>
      <c r="BA1075" t="s">
        <v>74</v>
      </c>
      <c r="BB1075">
        <v>1192</v>
      </c>
      <c r="BC1075">
        <v>1209</v>
      </c>
      <c r="BD1075" t="s">
        <v>74</v>
      </c>
      <c r="BE1075" t="s">
        <v>18106</v>
      </c>
      <c r="BF1075" t="str">
        <f>HYPERLINK("http://dx.doi.org/10.1177/01634437231159555","http://dx.doi.org/10.1177/01634437231159555")</f>
        <v>http://dx.doi.org/10.1177/01634437231159555</v>
      </c>
      <c r="BG1075" t="s">
        <v>74</v>
      </c>
      <c r="BH1075" t="s">
        <v>1046</v>
      </c>
      <c r="BI1075">
        <v>18</v>
      </c>
      <c r="BJ1075" t="s">
        <v>1047</v>
      </c>
      <c r="BK1075" t="s">
        <v>99</v>
      </c>
      <c r="BL1075" t="s">
        <v>1047</v>
      </c>
      <c r="BM1075" t="s">
        <v>18107</v>
      </c>
      <c r="BN1075" t="s">
        <v>74</v>
      </c>
      <c r="BO1075" t="s">
        <v>74</v>
      </c>
      <c r="BP1075" t="s">
        <v>74</v>
      </c>
      <c r="BQ1075" t="s">
        <v>74</v>
      </c>
      <c r="BR1075" t="s">
        <v>102</v>
      </c>
      <c r="BS1075" t="s">
        <v>18108</v>
      </c>
      <c r="BT1075" t="str">
        <f>HYPERLINK("https%3A%2F%2Fwww.webofscience.com%2Fwos%2Fwoscc%2Ffull-record%2FWOS:000949058100001","View Full Record in Web of Science")</f>
        <v>View Full Record in Web of Science</v>
      </c>
    </row>
    <row r="1076" spans="1:72" x14ac:dyDescent="0.35">
      <c r="A1076" t="s">
        <v>72</v>
      </c>
      <c r="B1076" t="s">
        <v>18109</v>
      </c>
      <c r="C1076" t="s">
        <v>74</v>
      </c>
      <c r="D1076" t="s">
        <v>74</v>
      </c>
      <c r="E1076" t="s">
        <v>74</v>
      </c>
      <c r="F1076" t="s">
        <v>18110</v>
      </c>
      <c r="G1076" t="s">
        <v>74</v>
      </c>
      <c r="H1076" t="s">
        <v>74</v>
      </c>
      <c r="I1076" t="s">
        <v>18111</v>
      </c>
      <c r="J1076" t="s">
        <v>18112</v>
      </c>
      <c r="K1076" t="s">
        <v>74</v>
      </c>
      <c r="L1076" t="s">
        <v>74</v>
      </c>
      <c r="M1076" t="s">
        <v>78</v>
      </c>
      <c r="N1076" t="s">
        <v>108</v>
      </c>
      <c r="O1076" t="s">
        <v>74</v>
      </c>
      <c r="P1076" t="s">
        <v>74</v>
      </c>
      <c r="Q1076" t="s">
        <v>74</v>
      </c>
      <c r="R1076" t="s">
        <v>74</v>
      </c>
      <c r="S1076" t="s">
        <v>74</v>
      </c>
      <c r="T1076" t="s">
        <v>18113</v>
      </c>
      <c r="U1076" t="s">
        <v>74</v>
      </c>
      <c r="V1076" t="s">
        <v>18114</v>
      </c>
      <c r="W1076" t="s">
        <v>18115</v>
      </c>
      <c r="X1076" t="s">
        <v>18116</v>
      </c>
      <c r="Y1076" t="s">
        <v>18117</v>
      </c>
      <c r="Z1076" t="s">
        <v>18118</v>
      </c>
      <c r="AA1076" t="s">
        <v>74</v>
      </c>
      <c r="AB1076" t="s">
        <v>18119</v>
      </c>
      <c r="AC1076" t="s">
        <v>74</v>
      </c>
      <c r="AD1076" t="s">
        <v>74</v>
      </c>
      <c r="AE1076" t="s">
        <v>74</v>
      </c>
      <c r="AF1076" t="s">
        <v>74</v>
      </c>
      <c r="AG1076">
        <v>14</v>
      </c>
      <c r="AH1076">
        <v>0</v>
      </c>
      <c r="AI1076">
        <v>0</v>
      </c>
      <c r="AJ1076">
        <v>1</v>
      </c>
      <c r="AK1076">
        <v>7</v>
      </c>
      <c r="AL1076" t="s">
        <v>18120</v>
      </c>
      <c r="AM1076" t="s">
        <v>18121</v>
      </c>
      <c r="AN1076" t="s">
        <v>18122</v>
      </c>
      <c r="AO1076" t="s">
        <v>18123</v>
      </c>
      <c r="AP1076" t="s">
        <v>18124</v>
      </c>
      <c r="AQ1076" t="s">
        <v>74</v>
      </c>
      <c r="AR1076" t="s">
        <v>18112</v>
      </c>
      <c r="AS1076" t="s">
        <v>18125</v>
      </c>
      <c r="AT1076" t="s">
        <v>74</v>
      </c>
      <c r="AU1076">
        <v>2021</v>
      </c>
      <c r="AV1076">
        <v>21</v>
      </c>
      <c r="AW1076">
        <v>2</v>
      </c>
      <c r="AX1076" t="s">
        <v>74</v>
      </c>
      <c r="AY1076" t="s">
        <v>74</v>
      </c>
      <c r="AZ1076" t="s">
        <v>456</v>
      </c>
      <c r="BA1076" t="s">
        <v>74</v>
      </c>
      <c r="BB1076">
        <v>111</v>
      </c>
      <c r="BC1076">
        <v>117</v>
      </c>
      <c r="BD1076" t="s">
        <v>74</v>
      </c>
      <c r="BE1076" t="s">
        <v>18126</v>
      </c>
      <c r="BF1076" t="str">
        <f>HYPERLINK("http://dx.doi.org/10.1558/prbt.19342","http://dx.doi.org/10.1558/prbt.19342")</f>
        <v>http://dx.doi.org/10.1558/prbt.19342</v>
      </c>
      <c r="BG1076" t="s">
        <v>74</v>
      </c>
      <c r="BH1076" t="s">
        <v>74</v>
      </c>
      <c r="BI1076">
        <v>7</v>
      </c>
      <c r="BJ1076" t="s">
        <v>6991</v>
      </c>
      <c r="BK1076" t="s">
        <v>125</v>
      </c>
      <c r="BL1076" t="s">
        <v>6991</v>
      </c>
      <c r="BM1076" t="s">
        <v>18127</v>
      </c>
      <c r="BN1076" t="s">
        <v>74</v>
      </c>
      <c r="BO1076" t="s">
        <v>74</v>
      </c>
      <c r="BP1076" t="s">
        <v>74</v>
      </c>
      <c r="BQ1076" t="s">
        <v>74</v>
      </c>
      <c r="BR1076" t="s">
        <v>102</v>
      </c>
      <c r="BS1076" t="s">
        <v>18128</v>
      </c>
      <c r="BT1076" t="str">
        <f>HYPERLINK("https%3A%2F%2Fwww.webofscience.com%2Fwos%2Fwoscc%2Ffull-record%2FWOS:000756938900004","View Full Record in Web of Science")</f>
        <v>View Full Record in Web of Science</v>
      </c>
    </row>
    <row r="1077" spans="1:72" x14ac:dyDescent="0.35">
      <c r="A1077" t="s">
        <v>72</v>
      </c>
      <c r="B1077" t="s">
        <v>18129</v>
      </c>
      <c r="C1077" t="s">
        <v>74</v>
      </c>
      <c r="D1077" t="s">
        <v>74</v>
      </c>
      <c r="E1077" t="s">
        <v>74</v>
      </c>
      <c r="F1077" t="s">
        <v>18130</v>
      </c>
      <c r="G1077" t="s">
        <v>74</v>
      </c>
      <c r="H1077" t="s">
        <v>74</v>
      </c>
      <c r="I1077" t="s">
        <v>18131</v>
      </c>
      <c r="J1077" t="s">
        <v>9554</v>
      </c>
      <c r="K1077" t="s">
        <v>74</v>
      </c>
      <c r="L1077" t="s">
        <v>74</v>
      </c>
      <c r="M1077" t="s">
        <v>78</v>
      </c>
      <c r="N1077" t="s">
        <v>1328</v>
      </c>
      <c r="O1077" t="s">
        <v>74</v>
      </c>
      <c r="P1077" t="s">
        <v>74</v>
      </c>
      <c r="Q1077" t="s">
        <v>74</v>
      </c>
      <c r="R1077" t="s">
        <v>74</v>
      </c>
      <c r="S1077" t="s">
        <v>74</v>
      </c>
      <c r="T1077" t="s">
        <v>74</v>
      </c>
      <c r="U1077" t="s">
        <v>74</v>
      </c>
      <c r="V1077" t="s">
        <v>74</v>
      </c>
      <c r="W1077" t="s">
        <v>18132</v>
      </c>
      <c r="X1077" t="s">
        <v>18133</v>
      </c>
      <c r="Y1077" t="s">
        <v>18134</v>
      </c>
      <c r="Z1077" t="s">
        <v>3149</v>
      </c>
      <c r="AA1077" t="s">
        <v>74</v>
      </c>
      <c r="AB1077" t="s">
        <v>18135</v>
      </c>
      <c r="AC1077" t="s">
        <v>74</v>
      </c>
      <c r="AD1077" t="s">
        <v>74</v>
      </c>
      <c r="AE1077" t="s">
        <v>74</v>
      </c>
      <c r="AF1077" t="s">
        <v>74</v>
      </c>
      <c r="AG1077">
        <v>6</v>
      </c>
      <c r="AH1077">
        <v>0</v>
      </c>
      <c r="AI1077">
        <v>0</v>
      </c>
      <c r="AJ1077">
        <v>0</v>
      </c>
      <c r="AK1077">
        <v>0</v>
      </c>
      <c r="AL1077" t="s">
        <v>251</v>
      </c>
      <c r="AM1077" t="s">
        <v>252</v>
      </c>
      <c r="AN1077" t="s">
        <v>253</v>
      </c>
      <c r="AO1077" t="s">
        <v>9563</v>
      </c>
      <c r="AP1077" t="s">
        <v>9564</v>
      </c>
      <c r="AQ1077" t="s">
        <v>74</v>
      </c>
      <c r="AR1077" t="s">
        <v>9565</v>
      </c>
      <c r="AS1077" t="s">
        <v>9566</v>
      </c>
      <c r="AT1077" t="s">
        <v>594</v>
      </c>
      <c r="AU1077">
        <v>2023</v>
      </c>
      <c r="AV1077">
        <v>22</v>
      </c>
      <c r="AW1077">
        <v>10</v>
      </c>
      <c r="AX1077" t="s">
        <v>74</v>
      </c>
      <c r="AY1077" t="s">
        <v>74</v>
      </c>
      <c r="AZ1077" t="s">
        <v>74</v>
      </c>
      <c r="BA1077" t="s">
        <v>74</v>
      </c>
      <c r="BB1077">
        <v>2866</v>
      </c>
      <c r="BC1077">
        <v>2867</v>
      </c>
      <c r="BD1077" t="s">
        <v>74</v>
      </c>
      <c r="BE1077" t="s">
        <v>18136</v>
      </c>
      <c r="BF1077" t="str">
        <f>HYPERLINK("http://dx.doi.org/10.1111/jocd.15961","http://dx.doi.org/10.1111/jocd.15961")</f>
        <v>http://dx.doi.org/10.1111/jocd.15961</v>
      </c>
      <c r="BG1077" t="s">
        <v>74</v>
      </c>
      <c r="BH1077" t="s">
        <v>3138</v>
      </c>
      <c r="BI1077">
        <v>2</v>
      </c>
      <c r="BJ1077" t="s">
        <v>1341</v>
      </c>
      <c r="BK1077" t="s">
        <v>209</v>
      </c>
      <c r="BL1077" t="s">
        <v>1341</v>
      </c>
      <c r="BM1077" t="s">
        <v>18137</v>
      </c>
      <c r="BN1077">
        <v>37574870</v>
      </c>
      <c r="BO1077" t="s">
        <v>156</v>
      </c>
      <c r="BP1077" t="s">
        <v>74</v>
      </c>
      <c r="BQ1077" t="s">
        <v>74</v>
      </c>
      <c r="BR1077" t="s">
        <v>102</v>
      </c>
      <c r="BS1077" t="s">
        <v>18138</v>
      </c>
      <c r="BT1077" t="str">
        <f>HYPERLINK("https%3A%2F%2Fwww.webofscience.com%2Fwos%2Fwoscc%2Ffull-record%2FWOS:001048509400001","View Full Record in Web of Science")</f>
        <v>View Full Record in Web of Science</v>
      </c>
    </row>
    <row r="1078" spans="1:72" x14ac:dyDescent="0.35">
      <c r="A1078" t="s">
        <v>72</v>
      </c>
      <c r="B1078" t="s">
        <v>18139</v>
      </c>
      <c r="C1078" t="s">
        <v>74</v>
      </c>
      <c r="D1078" t="s">
        <v>74</v>
      </c>
      <c r="E1078" t="s">
        <v>74</v>
      </c>
      <c r="F1078" t="s">
        <v>18140</v>
      </c>
      <c r="G1078" t="s">
        <v>74</v>
      </c>
      <c r="H1078" t="s">
        <v>74</v>
      </c>
      <c r="I1078" t="s">
        <v>18141</v>
      </c>
      <c r="J1078" t="s">
        <v>8063</v>
      </c>
      <c r="K1078" t="s">
        <v>74</v>
      </c>
      <c r="L1078" t="s">
        <v>74</v>
      </c>
      <c r="M1078" t="s">
        <v>78</v>
      </c>
      <c r="N1078" t="s">
        <v>108</v>
      </c>
      <c r="O1078" t="s">
        <v>74</v>
      </c>
      <c r="P1078" t="s">
        <v>74</v>
      </c>
      <c r="Q1078" t="s">
        <v>74</v>
      </c>
      <c r="R1078" t="s">
        <v>74</v>
      </c>
      <c r="S1078" t="s">
        <v>74</v>
      </c>
      <c r="T1078" t="s">
        <v>18142</v>
      </c>
      <c r="U1078" t="s">
        <v>18143</v>
      </c>
      <c r="V1078" t="s">
        <v>18144</v>
      </c>
      <c r="W1078" t="s">
        <v>18145</v>
      </c>
      <c r="X1078" t="s">
        <v>18146</v>
      </c>
      <c r="Y1078" t="s">
        <v>18147</v>
      </c>
      <c r="Z1078" t="s">
        <v>18148</v>
      </c>
      <c r="AA1078" t="s">
        <v>18149</v>
      </c>
      <c r="AB1078" t="s">
        <v>18150</v>
      </c>
      <c r="AC1078" t="s">
        <v>74</v>
      </c>
      <c r="AD1078" t="s">
        <v>74</v>
      </c>
      <c r="AE1078" t="s">
        <v>74</v>
      </c>
      <c r="AF1078" t="s">
        <v>74</v>
      </c>
      <c r="AG1078">
        <v>99</v>
      </c>
      <c r="AH1078">
        <v>2</v>
      </c>
      <c r="AI1078">
        <v>2</v>
      </c>
      <c r="AJ1078">
        <v>3</v>
      </c>
      <c r="AK1078">
        <v>5</v>
      </c>
      <c r="AL1078" t="s">
        <v>251</v>
      </c>
      <c r="AM1078" t="s">
        <v>252</v>
      </c>
      <c r="AN1078" t="s">
        <v>253</v>
      </c>
      <c r="AO1078" t="s">
        <v>8072</v>
      </c>
      <c r="AP1078" t="s">
        <v>74</v>
      </c>
      <c r="AQ1078" t="s">
        <v>74</v>
      </c>
      <c r="AR1078" t="s">
        <v>8073</v>
      </c>
      <c r="AS1078" t="s">
        <v>8074</v>
      </c>
      <c r="AT1078" t="s">
        <v>455</v>
      </c>
      <c r="AU1078">
        <v>2024</v>
      </c>
      <c r="AV1078">
        <v>16</v>
      </c>
      <c r="AW1078">
        <v>3</v>
      </c>
      <c r="AX1078" t="s">
        <v>74</v>
      </c>
      <c r="AY1078" t="s">
        <v>74</v>
      </c>
      <c r="AZ1078" t="s">
        <v>74</v>
      </c>
      <c r="BA1078" t="s">
        <v>74</v>
      </c>
      <c r="BB1078">
        <v>543</v>
      </c>
      <c r="BC1078">
        <v>566</v>
      </c>
      <c r="BD1078" t="s">
        <v>74</v>
      </c>
      <c r="BE1078" t="s">
        <v>18151</v>
      </c>
      <c r="BF1078" t="str">
        <f>HYPERLINK("http://dx.doi.org/10.1002/poi3.388","http://dx.doi.org/10.1002/poi3.388")</f>
        <v>http://dx.doi.org/10.1002/poi3.388</v>
      </c>
      <c r="BG1078" t="s">
        <v>74</v>
      </c>
      <c r="BH1078" t="s">
        <v>2410</v>
      </c>
      <c r="BI1078">
        <v>24</v>
      </c>
      <c r="BJ1078" t="s">
        <v>1528</v>
      </c>
      <c r="BK1078" t="s">
        <v>99</v>
      </c>
      <c r="BL1078" t="s">
        <v>1529</v>
      </c>
      <c r="BM1078" t="s">
        <v>18152</v>
      </c>
      <c r="BN1078" t="s">
        <v>74</v>
      </c>
      <c r="BO1078" t="s">
        <v>156</v>
      </c>
      <c r="BP1078" t="s">
        <v>74</v>
      </c>
      <c r="BQ1078" t="s">
        <v>74</v>
      </c>
      <c r="BR1078" t="s">
        <v>102</v>
      </c>
      <c r="BS1078" t="s">
        <v>18153</v>
      </c>
      <c r="BT1078" t="str">
        <f>HYPERLINK("https%3A%2F%2Fwww.webofscience.com%2Fwos%2Fwoscc%2Ffull-record%2FWOS:001206375800001","View Full Record in Web of Science")</f>
        <v>View Full Record in Web of Science</v>
      </c>
    </row>
    <row r="1079" spans="1:72" x14ac:dyDescent="0.35">
      <c r="A1079" t="s">
        <v>72</v>
      </c>
      <c r="B1079" t="s">
        <v>18154</v>
      </c>
      <c r="C1079" t="s">
        <v>74</v>
      </c>
      <c r="D1079" t="s">
        <v>74</v>
      </c>
      <c r="E1079" t="s">
        <v>74</v>
      </c>
      <c r="F1079" t="s">
        <v>18155</v>
      </c>
      <c r="G1079" t="s">
        <v>74</v>
      </c>
      <c r="H1079" t="s">
        <v>74</v>
      </c>
      <c r="I1079" t="s">
        <v>18156</v>
      </c>
      <c r="J1079" t="s">
        <v>3687</v>
      </c>
      <c r="K1079" t="s">
        <v>74</v>
      </c>
      <c r="L1079" t="s">
        <v>74</v>
      </c>
      <c r="M1079" t="s">
        <v>78</v>
      </c>
      <c r="N1079" t="s">
        <v>79</v>
      </c>
      <c r="O1079" t="s">
        <v>74</v>
      </c>
      <c r="P1079" t="s">
        <v>74</v>
      </c>
      <c r="Q1079" t="s">
        <v>74</v>
      </c>
      <c r="R1079" t="s">
        <v>74</v>
      </c>
      <c r="S1079" t="s">
        <v>74</v>
      </c>
      <c r="T1079" t="s">
        <v>74</v>
      </c>
      <c r="U1079" t="s">
        <v>18157</v>
      </c>
      <c r="V1079" t="s">
        <v>18158</v>
      </c>
      <c r="W1079" t="s">
        <v>18159</v>
      </c>
      <c r="X1079" t="s">
        <v>2375</v>
      </c>
      <c r="Y1079" t="s">
        <v>18160</v>
      </c>
      <c r="Z1079" t="s">
        <v>18161</v>
      </c>
      <c r="AA1079" t="s">
        <v>18162</v>
      </c>
      <c r="AB1079" t="s">
        <v>18163</v>
      </c>
      <c r="AC1079" t="s">
        <v>18164</v>
      </c>
      <c r="AD1079" t="s">
        <v>17211</v>
      </c>
      <c r="AE1079" t="s">
        <v>18165</v>
      </c>
      <c r="AF1079" t="s">
        <v>74</v>
      </c>
      <c r="AG1079">
        <v>67</v>
      </c>
      <c r="AH1079">
        <v>0</v>
      </c>
      <c r="AI1079">
        <v>0</v>
      </c>
      <c r="AJ1079">
        <v>21</v>
      </c>
      <c r="AK1079">
        <v>21</v>
      </c>
      <c r="AL1079" t="s">
        <v>88</v>
      </c>
      <c r="AM1079" t="s">
        <v>89</v>
      </c>
      <c r="AN1079" t="s">
        <v>90</v>
      </c>
      <c r="AO1079" t="s">
        <v>3695</v>
      </c>
      <c r="AP1079" t="s">
        <v>3696</v>
      </c>
      <c r="AQ1079" t="s">
        <v>74</v>
      </c>
      <c r="AR1079" t="s">
        <v>3697</v>
      </c>
      <c r="AS1079" t="s">
        <v>3698</v>
      </c>
      <c r="AT1079" t="s">
        <v>5096</v>
      </c>
      <c r="AU1079">
        <v>2024</v>
      </c>
      <c r="AV1079" t="s">
        <v>74</v>
      </c>
      <c r="AW1079" t="s">
        <v>74</v>
      </c>
      <c r="AX1079" t="s">
        <v>74</v>
      </c>
      <c r="AY1079" t="s">
        <v>74</v>
      </c>
      <c r="AZ1079" t="s">
        <v>74</v>
      </c>
      <c r="BA1079" t="s">
        <v>74</v>
      </c>
      <c r="BB1079" t="s">
        <v>74</v>
      </c>
      <c r="BC1079" t="s">
        <v>74</v>
      </c>
      <c r="BD1079" t="s">
        <v>74</v>
      </c>
      <c r="BE1079" t="s">
        <v>18166</v>
      </c>
      <c r="BF1079" t="str">
        <f>HYPERLINK("http://dx.doi.org/10.1080/10410236.2024.2414882","http://dx.doi.org/10.1080/10410236.2024.2414882")</f>
        <v>http://dx.doi.org/10.1080/10410236.2024.2414882</v>
      </c>
      <c r="BG1079" t="s">
        <v>74</v>
      </c>
      <c r="BH1079" t="s">
        <v>1721</v>
      </c>
      <c r="BI1079">
        <v>9</v>
      </c>
      <c r="BJ1079" t="s">
        <v>3701</v>
      </c>
      <c r="BK1079" t="s">
        <v>99</v>
      </c>
      <c r="BL1079" t="s">
        <v>3702</v>
      </c>
      <c r="BM1079" t="s">
        <v>18167</v>
      </c>
      <c r="BN1079">
        <v>39397594</v>
      </c>
      <c r="BO1079" t="s">
        <v>74</v>
      </c>
      <c r="BP1079" t="s">
        <v>74</v>
      </c>
      <c r="BQ1079" t="s">
        <v>74</v>
      </c>
      <c r="BR1079" t="s">
        <v>102</v>
      </c>
      <c r="BS1079" t="s">
        <v>18168</v>
      </c>
      <c r="BT1079" t="str">
        <f>HYPERLINK("https%3A%2F%2Fwww.webofscience.com%2Fwos%2Fwoscc%2Ffull-record%2FWOS:001331032100001","View Full Record in Web of Science")</f>
        <v>View Full Record in Web of Science</v>
      </c>
    </row>
    <row r="1080" spans="1:72" x14ac:dyDescent="0.35">
      <c r="A1080" t="s">
        <v>72</v>
      </c>
      <c r="B1080" t="s">
        <v>18169</v>
      </c>
      <c r="C1080" t="s">
        <v>74</v>
      </c>
      <c r="D1080" t="s">
        <v>74</v>
      </c>
      <c r="E1080" t="s">
        <v>74</v>
      </c>
      <c r="F1080" t="s">
        <v>18170</v>
      </c>
      <c r="G1080" t="s">
        <v>74</v>
      </c>
      <c r="H1080" t="s">
        <v>74</v>
      </c>
      <c r="I1080" t="s">
        <v>18171</v>
      </c>
      <c r="J1080" t="s">
        <v>968</v>
      </c>
      <c r="K1080" t="s">
        <v>74</v>
      </c>
      <c r="L1080" t="s">
        <v>74</v>
      </c>
      <c r="M1080" t="s">
        <v>78</v>
      </c>
      <c r="N1080" t="s">
        <v>108</v>
      </c>
      <c r="O1080" t="s">
        <v>74</v>
      </c>
      <c r="P1080" t="s">
        <v>74</v>
      </c>
      <c r="Q1080" t="s">
        <v>74</v>
      </c>
      <c r="R1080" t="s">
        <v>74</v>
      </c>
      <c r="S1080" t="s">
        <v>74</v>
      </c>
      <c r="T1080" t="s">
        <v>18172</v>
      </c>
      <c r="U1080" t="s">
        <v>18173</v>
      </c>
      <c r="V1080" t="s">
        <v>18174</v>
      </c>
      <c r="W1080" t="s">
        <v>18175</v>
      </c>
      <c r="X1080" t="s">
        <v>18176</v>
      </c>
      <c r="Y1080" t="s">
        <v>18177</v>
      </c>
      <c r="Z1080" t="s">
        <v>18178</v>
      </c>
      <c r="AA1080" t="s">
        <v>3376</v>
      </c>
      <c r="AB1080" t="s">
        <v>74</v>
      </c>
      <c r="AC1080" t="s">
        <v>18179</v>
      </c>
      <c r="AD1080" t="s">
        <v>18180</v>
      </c>
      <c r="AE1080" t="s">
        <v>18181</v>
      </c>
      <c r="AF1080" t="s">
        <v>74</v>
      </c>
      <c r="AG1080">
        <v>52</v>
      </c>
      <c r="AH1080">
        <v>4</v>
      </c>
      <c r="AI1080">
        <v>4</v>
      </c>
      <c r="AJ1080">
        <v>0</v>
      </c>
      <c r="AK1080">
        <v>15</v>
      </c>
      <c r="AL1080" t="s">
        <v>226</v>
      </c>
      <c r="AM1080" t="s">
        <v>227</v>
      </c>
      <c r="AN1080" t="s">
        <v>228</v>
      </c>
      <c r="AO1080" t="s">
        <v>978</v>
      </c>
      <c r="AP1080" t="s">
        <v>979</v>
      </c>
      <c r="AQ1080" t="s">
        <v>74</v>
      </c>
      <c r="AR1080" t="s">
        <v>980</v>
      </c>
      <c r="AS1080" t="s">
        <v>981</v>
      </c>
      <c r="AT1080" t="s">
        <v>178</v>
      </c>
      <c r="AU1080">
        <v>2023</v>
      </c>
      <c r="AV1080">
        <v>186</v>
      </c>
      <c r="AW1080">
        <v>1</v>
      </c>
      <c r="AX1080" t="s">
        <v>74</v>
      </c>
      <c r="AY1080" t="s">
        <v>74</v>
      </c>
      <c r="AZ1080" t="s">
        <v>456</v>
      </c>
      <c r="BA1080" t="s">
        <v>74</v>
      </c>
      <c r="BB1080">
        <v>66</v>
      </c>
      <c r="BC1080">
        <v>80</v>
      </c>
      <c r="BD1080" t="s">
        <v>18182</v>
      </c>
      <c r="BE1080" t="s">
        <v>18183</v>
      </c>
      <c r="BF1080" t="str">
        <f>HYPERLINK("http://dx.doi.org/10.1177/1329878X211064646","http://dx.doi.org/10.1177/1329878X211064646")</f>
        <v>http://dx.doi.org/10.1177/1329878X211064646</v>
      </c>
      <c r="BG1080" t="s">
        <v>74</v>
      </c>
      <c r="BH1080" t="s">
        <v>16152</v>
      </c>
      <c r="BI1080">
        <v>15</v>
      </c>
      <c r="BJ1080" t="s">
        <v>124</v>
      </c>
      <c r="BK1080" t="s">
        <v>99</v>
      </c>
      <c r="BL1080" t="s">
        <v>124</v>
      </c>
      <c r="BM1080" t="s">
        <v>983</v>
      </c>
      <c r="BN1080" t="s">
        <v>74</v>
      </c>
      <c r="BO1080" t="s">
        <v>2738</v>
      </c>
      <c r="BP1080" t="s">
        <v>74</v>
      </c>
      <c r="BQ1080" t="s">
        <v>74</v>
      </c>
      <c r="BR1080" t="s">
        <v>102</v>
      </c>
      <c r="BS1080" t="s">
        <v>18184</v>
      </c>
      <c r="BT1080" t="str">
        <f>HYPERLINK("https%3A%2F%2Fwww.webofscience.com%2Fwos%2Fwoscc%2Ffull-record%2FWOS:000727932700001","View Full Record in Web of Science")</f>
        <v>View Full Record in Web of Science</v>
      </c>
    </row>
    <row r="1081" spans="1:72" x14ac:dyDescent="0.35">
      <c r="A1081" t="s">
        <v>72</v>
      </c>
      <c r="B1081" t="s">
        <v>18185</v>
      </c>
      <c r="C1081" t="s">
        <v>74</v>
      </c>
      <c r="D1081" t="s">
        <v>74</v>
      </c>
      <c r="E1081" t="s">
        <v>74</v>
      </c>
      <c r="F1081" t="s">
        <v>18186</v>
      </c>
      <c r="G1081" t="s">
        <v>74</v>
      </c>
      <c r="H1081" t="s">
        <v>74</v>
      </c>
      <c r="I1081" t="s">
        <v>18187</v>
      </c>
      <c r="J1081" t="s">
        <v>373</v>
      </c>
      <c r="K1081" t="s">
        <v>74</v>
      </c>
      <c r="L1081" t="s">
        <v>74</v>
      </c>
      <c r="M1081" t="s">
        <v>78</v>
      </c>
      <c r="N1081" t="s">
        <v>108</v>
      </c>
      <c r="O1081" t="s">
        <v>74</v>
      </c>
      <c r="P1081" t="s">
        <v>74</v>
      </c>
      <c r="Q1081" t="s">
        <v>74</v>
      </c>
      <c r="R1081" t="s">
        <v>74</v>
      </c>
      <c r="S1081" t="s">
        <v>74</v>
      </c>
      <c r="T1081" t="s">
        <v>18188</v>
      </c>
      <c r="U1081" t="s">
        <v>18189</v>
      </c>
      <c r="V1081" t="s">
        <v>18190</v>
      </c>
      <c r="W1081" t="s">
        <v>18191</v>
      </c>
      <c r="X1081" t="s">
        <v>18192</v>
      </c>
      <c r="Y1081" t="s">
        <v>18193</v>
      </c>
      <c r="Z1081" t="s">
        <v>18194</v>
      </c>
      <c r="AA1081" t="s">
        <v>74</v>
      </c>
      <c r="AB1081" t="s">
        <v>74</v>
      </c>
      <c r="AC1081" t="s">
        <v>74</v>
      </c>
      <c r="AD1081" t="s">
        <v>74</v>
      </c>
      <c r="AE1081" t="s">
        <v>74</v>
      </c>
      <c r="AF1081" t="s">
        <v>74</v>
      </c>
      <c r="AG1081">
        <v>52</v>
      </c>
      <c r="AH1081">
        <v>3</v>
      </c>
      <c r="AI1081">
        <v>3</v>
      </c>
      <c r="AJ1081">
        <v>4</v>
      </c>
      <c r="AK1081">
        <v>8</v>
      </c>
      <c r="AL1081" t="s">
        <v>384</v>
      </c>
      <c r="AM1081" t="s">
        <v>385</v>
      </c>
      <c r="AN1081" t="s">
        <v>386</v>
      </c>
      <c r="AO1081" t="s">
        <v>74</v>
      </c>
      <c r="AP1081" t="s">
        <v>387</v>
      </c>
      <c r="AQ1081" t="s">
        <v>74</v>
      </c>
      <c r="AR1081" t="s">
        <v>388</v>
      </c>
      <c r="AS1081" t="s">
        <v>389</v>
      </c>
      <c r="AT1081" t="s">
        <v>18195</v>
      </c>
      <c r="AU1081">
        <v>2023</v>
      </c>
      <c r="AV1081">
        <v>11</v>
      </c>
      <c r="AW1081" t="s">
        <v>74</v>
      </c>
      <c r="AX1081" t="s">
        <v>74</v>
      </c>
      <c r="AY1081" t="s">
        <v>74</v>
      </c>
      <c r="AZ1081" t="s">
        <v>74</v>
      </c>
      <c r="BA1081" t="s">
        <v>74</v>
      </c>
      <c r="BB1081" t="s">
        <v>74</v>
      </c>
      <c r="BC1081" t="s">
        <v>74</v>
      </c>
      <c r="BD1081">
        <v>1315393</v>
      </c>
      <c r="BE1081" t="s">
        <v>18196</v>
      </c>
      <c r="BF1081" t="str">
        <f>HYPERLINK("http://dx.doi.org/10.3389/fpubh.2023.1315393","http://dx.doi.org/10.3389/fpubh.2023.1315393")</f>
        <v>http://dx.doi.org/10.3389/fpubh.2023.1315393</v>
      </c>
      <c r="BG1081" t="s">
        <v>74</v>
      </c>
      <c r="BH1081" t="s">
        <v>74</v>
      </c>
      <c r="BI1081">
        <v>10</v>
      </c>
      <c r="BJ1081" t="s">
        <v>392</v>
      </c>
      <c r="BK1081" t="s">
        <v>182</v>
      </c>
      <c r="BL1081" t="s">
        <v>392</v>
      </c>
      <c r="BM1081" t="s">
        <v>18197</v>
      </c>
      <c r="BN1081">
        <v>38146471</v>
      </c>
      <c r="BO1081" t="s">
        <v>394</v>
      </c>
      <c r="BP1081" t="s">
        <v>74</v>
      </c>
      <c r="BQ1081" t="s">
        <v>74</v>
      </c>
      <c r="BR1081" t="s">
        <v>102</v>
      </c>
      <c r="BS1081" t="s">
        <v>18198</v>
      </c>
      <c r="BT1081" t="str">
        <f>HYPERLINK("https%3A%2F%2Fwww.webofscience.com%2Fwos%2Fwoscc%2Ffull-record%2FWOS:001133470600001","View Full Record in Web of Science")</f>
        <v>View Full Record in Web of Science</v>
      </c>
    </row>
    <row r="1082" spans="1:72" x14ac:dyDescent="0.35">
      <c r="A1082" t="s">
        <v>72</v>
      </c>
      <c r="B1082" t="s">
        <v>18199</v>
      </c>
      <c r="C1082" t="s">
        <v>74</v>
      </c>
      <c r="D1082" t="s">
        <v>74</v>
      </c>
      <c r="E1082" t="s">
        <v>74</v>
      </c>
      <c r="F1082" t="s">
        <v>18200</v>
      </c>
      <c r="G1082" t="s">
        <v>74</v>
      </c>
      <c r="H1082" t="s">
        <v>74</v>
      </c>
      <c r="I1082" t="s">
        <v>18201</v>
      </c>
      <c r="J1082" t="s">
        <v>18202</v>
      </c>
      <c r="K1082" t="s">
        <v>74</v>
      </c>
      <c r="L1082" t="s">
        <v>74</v>
      </c>
      <c r="M1082" t="s">
        <v>78</v>
      </c>
      <c r="N1082" t="s">
        <v>108</v>
      </c>
      <c r="O1082" t="s">
        <v>74</v>
      </c>
      <c r="P1082" t="s">
        <v>74</v>
      </c>
      <c r="Q1082" t="s">
        <v>74</v>
      </c>
      <c r="R1082" t="s">
        <v>74</v>
      </c>
      <c r="S1082" t="s">
        <v>74</v>
      </c>
      <c r="T1082" t="s">
        <v>18203</v>
      </c>
      <c r="U1082" t="s">
        <v>18204</v>
      </c>
      <c r="V1082" t="s">
        <v>18205</v>
      </c>
      <c r="W1082" t="s">
        <v>18206</v>
      </c>
      <c r="X1082" t="s">
        <v>18207</v>
      </c>
      <c r="Y1082" t="s">
        <v>18208</v>
      </c>
      <c r="Z1082" t="s">
        <v>11806</v>
      </c>
      <c r="AA1082" t="s">
        <v>18209</v>
      </c>
      <c r="AB1082" t="s">
        <v>18210</v>
      </c>
      <c r="AC1082" t="s">
        <v>74</v>
      </c>
      <c r="AD1082" t="s">
        <v>74</v>
      </c>
      <c r="AE1082" t="s">
        <v>74</v>
      </c>
      <c r="AF1082" t="s">
        <v>74</v>
      </c>
      <c r="AG1082">
        <v>70</v>
      </c>
      <c r="AH1082">
        <v>7</v>
      </c>
      <c r="AI1082">
        <v>7</v>
      </c>
      <c r="AJ1082">
        <v>11</v>
      </c>
      <c r="AK1082">
        <v>32</v>
      </c>
      <c r="AL1082" t="s">
        <v>2382</v>
      </c>
      <c r="AM1082" t="s">
        <v>227</v>
      </c>
      <c r="AN1082" t="s">
        <v>2383</v>
      </c>
      <c r="AO1082" t="s">
        <v>18211</v>
      </c>
      <c r="AP1082" t="s">
        <v>74</v>
      </c>
      <c r="AQ1082" t="s">
        <v>74</v>
      </c>
      <c r="AR1082" t="s">
        <v>18212</v>
      </c>
      <c r="AS1082" t="s">
        <v>18213</v>
      </c>
      <c r="AT1082" t="s">
        <v>1447</v>
      </c>
      <c r="AU1082">
        <v>2023</v>
      </c>
      <c r="AV1082">
        <v>11</v>
      </c>
      <c r="AW1082">
        <v>1</v>
      </c>
      <c r="AX1082" t="s">
        <v>74</v>
      </c>
      <c r="AY1082" t="s">
        <v>74</v>
      </c>
      <c r="AZ1082" t="s">
        <v>74</v>
      </c>
      <c r="BA1082" t="s">
        <v>74</v>
      </c>
      <c r="BB1082" t="s">
        <v>74</v>
      </c>
      <c r="BC1082" t="s">
        <v>74</v>
      </c>
      <c r="BD1082">
        <v>109</v>
      </c>
      <c r="BE1082" t="s">
        <v>18214</v>
      </c>
      <c r="BF1082" t="str">
        <f>HYPERLINK("http://dx.doi.org/10.1186/s40337-023-00827-7","http://dx.doi.org/10.1186/s40337-023-00827-7")</f>
        <v>http://dx.doi.org/10.1186/s40337-023-00827-7</v>
      </c>
      <c r="BG1082" t="s">
        <v>74</v>
      </c>
      <c r="BH1082" t="s">
        <v>74</v>
      </c>
      <c r="BI1082">
        <v>19</v>
      </c>
      <c r="BJ1082" t="s">
        <v>18215</v>
      </c>
      <c r="BK1082" t="s">
        <v>182</v>
      </c>
      <c r="BL1082" t="s">
        <v>5973</v>
      </c>
      <c r="BM1082" t="s">
        <v>18216</v>
      </c>
      <c r="BN1082">
        <v>37400909</v>
      </c>
      <c r="BO1082" t="s">
        <v>394</v>
      </c>
      <c r="BP1082" t="s">
        <v>74</v>
      </c>
      <c r="BQ1082" t="s">
        <v>74</v>
      </c>
      <c r="BR1082" t="s">
        <v>102</v>
      </c>
      <c r="BS1082" t="s">
        <v>18217</v>
      </c>
      <c r="BT1082" t="str">
        <f>HYPERLINK("https%3A%2F%2Fwww.webofscience.com%2Fwos%2Fwoscc%2Ffull-record%2FWOS:001022863600004","View Full Record in Web of Science")</f>
        <v>View Full Record in Web of Science</v>
      </c>
    </row>
    <row r="1083" spans="1:72" x14ac:dyDescent="0.35">
      <c r="A1083" t="s">
        <v>72</v>
      </c>
      <c r="B1083" t="s">
        <v>18218</v>
      </c>
      <c r="C1083" t="s">
        <v>74</v>
      </c>
      <c r="D1083" t="s">
        <v>74</v>
      </c>
      <c r="E1083" t="s">
        <v>74</v>
      </c>
      <c r="F1083" t="s">
        <v>18219</v>
      </c>
      <c r="G1083" t="s">
        <v>74</v>
      </c>
      <c r="H1083" t="s">
        <v>74</v>
      </c>
      <c r="I1083" t="s">
        <v>18220</v>
      </c>
      <c r="J1083" t="s">
        <v>216</v>
      </c>
      <c r="K1083" t="s">
        <v>74</v>
      </c>
      <c r="L1083" t="s">
        <v>74</v>
      </c>
      <c r="M1083" t="s">
        <v>78</v>
      </c>
      <c r="N1083" t="s">
        <v>108</v>
      </c>
      <c r="O1083" t="s">
        <v>74</v>
      </c>
      <c r="P1083" t="s">
        <v>74</v>
      </c>
      <c r="Q1083" t="s">
        <v>74</v>
      </c>
      <c r="R1083" t="s">
        <v>74</v>
      </c>
      <c r="S1083" t="s">
        <v>74</v>
      </c>
      <c r="T1083" t="s">
        <v>18221</v>
      </c>
      <c r="U1083" t="s">
        <v>18222</v>
      </c>
      <c r="V1083" t="s">
        <v>18223</v>
      </c>
      <c r="W1083" t="s">
        <v>18224</v>
      </c>
      <c r="X1083" t="s">
        <v>2307</v>
      </c>
      <c r="Y1083" t="s">
        <v>18225</v>
      </c>
      <c r="Z1083" t="s">
        <v>18226</v>
      </c>
      <c r="AA1083" t="s">
        <v>18227</v>
      </c>
      <c r="AB1083" t="s">
        <v>18228</v>
      </c>
      <c r="AC1083" t="s">
        <v>74</v>
      </c>
      <c r="AD1083" t="s">
        <v>74</v>
      </c>
      <c r="AE1083" t="s">
        <v>74</v>
      </c>
      <c r="AF1083" t="s">
        <v>74</v>
      </c>
      <c r="AG1083">
        <v>51</v>
      </c>
      <c r="AH1083">
        <v>0</v>
      </c>
      <c r="AI1083">
        <v>0</v>
      </c>
      <c r="AJ1083">
        <v>10</v>
      </c>
      <c r="AK1083">
        <v>10</v>
      </c>
      <c r="AL1083" t="s">
        <v>226</v>
      </c>
      <c r="AM1083" t="s">
        <v>227</v>
      </c>
      <c r="AN1083" t="s">
        <v>228</v>
      </c>
      <c r="AO1083" t="s">
        <v>229</v>
      </c>
      <c r="AP1083" t="s">
        <v>74</v>
      </c>
      <c r="AQ1083" t="s">
        <v>74</v>
      </c>
      <c r="AR1083" t="s">
        <v>230</v>
      </c>
      <c r="AS1083" t="s">
        <v>231</v>
      </c>
      <c r="AT1083" t="s">
        <v>273</v>
      </c>
      <c r="AU1083">
        <v>2024</v>
      </c>
      <c r="AV1083">
        <v>10</v>
      </c>
      <c r="AW1083">
        <v>3</v>
      </c>
      <c r="AX1083" t="s">
        <v>74</v>
      </c>
      <c r="AY1083" t="s">
        <v>74</v>
      </c>
      <c r="AZ1083" t="s">
        <v>74</v>
      </c>
      <c r="BA1083" t="s">
        <v>74</v>
      </c>
      <c r="BB1083" t="s">
        <v>74</v>
      </c>
      <c r="BC1083" t="s">
        <v>74</v>
      </c>
      <c r="BD1083">
        <v>2.0563051241269328E+16</v>
      </c>
      <c r="BE1083" t="s">
        <v>18229</v>
      </c>
      <c r="BF1083" t="str">
        <f>HYPERLINK("http://dx.doi.org/10.1177/20563051241269326","http://dx.doi.org/10.1177/20563051241269326")</f>
        <v>http://dx.doi.org/10.1177/20563051241269326</v>
      </c>
      <c r="BG1083" t="s">
        <v>74</v>
      </c>
      <c r="BH1083" t="s">
        <v>74</v>
      </c>
      <c r="BI1083">
        <v>9</v>
      </c>
      <c r="BJ1083" t="s">
        <v>124</v>
      </c>
      <c r="BK1083" t="s">
        <v>99</v>
      </c>
      <c r="BL1083" t="s">
        <v>124</v>
      </c>
      <c r="BM1083" t="s">
        <v>18230</v>
      </c>
      <c r="BN1083" t="s">
        <v>74</v>
      </c>
      <c r="BO1083" t="s">
        <v>235</v>
      </c>
      <c r="BP1083" t="s">
        <v>74</v>
      </c>
      <c r="BQ1083" t="s">
        <v>74</v>
      </c>
      <c r="BR1083" t="s">
        <v>102</v>
      </c>
      <c r="BS1083" t="s">
        <v>18231</v>
      </c>
      <c r="BT1083" t="str">
        <f>HYPERLINK("https%3A%2F%2Fwww.webofscience.com%2Fwos%2Fwoscc%2Ffull-record%2FWOS:001290319600001","View Full Record in Web of Science")</f>
        <v>View Full Record in Web of Science</v>
      </c>
    </row>
    <row r="1084" spans="1:72" x14ac:dyDescent="0.35">
      <c r="A1084" t="s">
        <v>72</v>
      </c>
      <c r="B1084" t="s">
        <v>18232</v>
      </c>
      <c r="C1084" t="s">
        <v>74</v>
      </c>
      <c r="D1084" t="s">
        <v>74</v>
      </c>
      <c r="E1084" t="s">
        <v>74</v>
      </c>
      <c r="F1084" t="s">
        <v>18233</v>
      </c>
      <c r="G1084" t="s">
        <v>74</v>
      </c>
      <c r="H1084" t="s">
        <v>74</v>
      </c>
      <c r="I1084" t="s">
        <v>18234</v>
      </c>
      <c r="J1084" t="s">
        <v>18235</v>
      </c>
      <c r="K1084" t="s">
        <v>74</v>
      </c>
      <c r="L1084" t="s">
        <v>74</v>
      </c>
      <c r="M1084" t="s">
        <v>78</v>
      </c>
      <c r="N1084" t="s">
        <v>79</v>
      </c>
      <c r="O1084" t="s">
        <v>74</v>
      </c>
      <c r="P1084" t="s">
        <v>74</v>
      </c>
      <c r="Q1084" t="s">
        <v>74</v>
      </c>
      <c r="R1084" t="s">
        <v>74</v>
      </c>
      <c r="S1084" t="s">
        <v>74</v>
      </c>
      <c r="T1084" t="s">
        <v>74</v>
      </c>
      <c r="U1084" t="s">
        <v>18236</v>
      </c>
      <c r="V1084" t="s">
        <v>18237</v>
      </c>
      <c r="W1084" t="s">
        <v>18238</v>
      </c>
      <c r="X1084" t="s">
        <v>18239</v>
      </c>
      <c r="Y1084" t="s">
        <v>18240</v>
      </c>
      <c r="Z1084" t="s">
        <v>18241</v>
      </c>
      <c r="AA1084" t="s">
        <v>74</v>
      </c>
      <c r="AB1084" t="s">
        <v>18242</v>
      </c>
      <c r="AC1084" t="s">
        <v>74</v>
      </c>
      <c r="AD1084" t="s">
        <v>74</v>
      </c>
      <c r="AE1084" t="s">
        <v>74</v>
      </c>
      <c r="AF1084" t="s">
        <v>74</v>
      </c>
      <c r="AG1084">
        <v>46</v>
      </c>
      <c r="AH1084">
        <v>0</v>
      </c>
      <c r="AI1084">
        <v>0</v>
      </c>
      <c r="AJ1084">
        <v>8</v>
      </c>
      <c r="AK1084">
        <v>8</v>
      </c>
      <c r="AL1084" t="s">
        <v>1129</v>
      </c>
      <c r="AM1084" t="s">
        <v>89</v>
      </c>
      <c r="AN1084" t="s">
        <v>1130</v>
      </c>
      <c r="AO1084" t="s">
        <v>18243</v>
      </c>
      <c r="AP1084" t="s">
        <v>18244</v>
      </c>
      <c r="AQ1084" t="s">
        <v>74</v>
      </c>
      <c r="AR1084" t="s">
        <v>18245</v>
      </c>
      <c r="AS1084" t="s">
        <v>18246</v>
      </c>
      <c r="AT1084" t="s">
        <v>18247</v>
      </c>
      <c r="AU1084">
        <v>2024</v>
      </c>
      <c r="AV1084" t="s">
        <v>74</v>
      </c>
      <c r="AW1084" t="s">
        <v>74</v>
      </c>
      <c r="AX1084" t="s">
        <v>74</v>
      </c>
      <c r="AY1084" t="s">
        <v>74</v>
      </c>
      <c r="AZ1084" t="s">
        <v>74</v>
      </c>
      <c r="BA1084" t="s">
        <v>74</v>
      </c>
      <c r="BB1084" t="s">
        <v>74</v>
      </c>
      <c r="BC1084" t="s">
        <v>74</v>
      </c>
      <c r="BD1084" t="s">
        <v>74</v>
      </c>
      <c r="BE1084" t="s">
        <v>18248</v>
      </c>
      <c r="BF1084" t="str">
        <f>HYPERLINK("http://dx.doi.org/10.1080/1553118X.2024.2378374","http://dx.doi.org/10.1080/1553118X.2024.2378374")</f>
        <v>http://dx.doi.org/10.1080/1553118X.2024.2378374</v>
      </c>
      <c r="BG1084" t="s">
        <v>74</v>
      </c>
      <c r="BH1084" t="s">
        <v>2444</v>
      </c>
      <c r="BI1084">
        <v>19</v>
      </c>
      <c r="BJ1084" t="s">
        <v>124</v>
      </c>
      <c r="BK1084" t="s">
        <v>125</v>
      </c>
      <c r="BL1084" t="s">
        <v>124</v>
      </c>
      <c r="BM1084" t="s">
        <v>18249</v>
      </c>
      <c r="BN1084" t="s">
        <v>74</v>
      </c>
      <c r="BO1084" t="s">
        <v>74</v>
      </c>
      <c r="BP1084" t="s">
        <v>74</v>
      </c>
      <c r="BQ1084" t="s">
        <v>74</v>
      </c>
      <c r="BR1084" t="s">
        <v>102</v>
      </c>
      <c r="BS1084" t="s">
        <v>18250</v>
      </c>
      <c r="BT1084" t="str">
        <f>HYPERLINK("https%3A%2F%2Fwww.webofscience.com%2Fwos%2Fwoscc%2Ffull-record%2FWOS:001281567700001","View Full Record in Web of Science")</f>
        <v>View Full Record in Web of Science</v>
      </c>
    </row>
    <row r="1085" spans="1:72" x14ac:dyDescent="0.35">
      <c r="A1085" t="s">
        <v>72</v>
      </c>
      <c r="B1085" t="s">
        <v>18251</v>
      </c>
      <c r="C1085" t="s">
        <v>74</v>
      </c>
      <c r="D1085" t="s">
        <v>74</v>
      </c>
      <c r="E1085" t="s">
        <v>74</v>
      </c>
      <c r="F1085" t="s">
        <v>18252</v>
      </c>
      <c r="G1085" t="s">
        <v>74</v>
      </c>
      <c r="H1085" t="s">
        <v>74</v>
      </c>
      <c r="I1085" t="s">
        <v>18253</v>
      </c>
      <c r="J1085" t="s">
        <v>4159</v>
      </c>
      <c r="K1085" t="s">
        <v>74</v>
      </c>
      <c r="L1085" t="s">
        <v>74</v>
      </c>
      <c r="M1085" t="s">
        <v>78</v>
      </c>
      <c r="N1085" t="s">
        <v>1328</v>
      </c>
      <c r="O1085" t="s">
        <v>74</v>
      </c>
      <c r="P1085" t="s">
        <v>74</v>
      </c>
      <c r="Q1085" t="s">
        <v>74</v>
      </c>
      <c r="R1085" t="s">
        <v>74</v>
      </c>
      <c r="S1085" t="s">
        <v>74</v>
      </c>
      <c r="T1085" t="s">
        <v>18254</v>
      </c>
      <c r="U1085" t="s">
        <v>74</v>
      </c>
      <c r="V1085" t="s">
        <v>74</v>
      </c>
      <c r="W1085" t="s">
        <v>18255</v>
      </c>
      <c r="X1085" t="s">
        <v>10525</v>
      </c>
      <c r="Y1085" t="s">
        <v>18256</v>
      </c>
      <c r="Z1085" t="s">
        <v>18257</v>
      </c>
      <c r="AA1085" t="s">
        <v>74</v>
      </c>
      <c r="AB1085" t="s">
        <v>18258</v>
      </c>
      <c r="AC1085" t="s">
        <v>74</v>
      </c>
      <c r="AD1085" t="s">
        <v>74</v>
      </c>
      <c r="AE1085" t="s">
        <v>74</v>
      </c>
      <c r="AF1085" t="s">
        <v>74</v>
      </c>
      <c r="AG1085">
        <v>5</v>
      </c>
      <c r="AH1085">
        <v>0</v>
      </c>
      <c r="AI1085">
        <v>0</v>
      </c>
      <c r="AJ1085">
        <v>2</v>
      </c>
      <c r="AK1085">
        <v>2</v>
      </c>
      <c r="AL1085" t="s">
        <v>4165</v>
      </c>
      <c r="AM1085" t="s">
        <v>640</v>
      </c>
      <c r="AN1085" t="s">
        <v>641</v>
      </c>
      <c r="AO1085" t="s">
        <v>4166</v>
      </c>
      <c r="AP1085" t="s">
        <v>4167</v>
      </c>
      <c r="AQ1085" t="s">
        <v>74</v>
      </c>
      <c r="AR1085" t="s">
        <v>4168</v>
      </c>
      <c r="AS1085" t="s">
        <v>4169</v>
      </c>
      <c r="AT1085" t="s">
        <v>455</v>
      </c>
      <c r="AU1085">
        <v>2024</v>
      </c>
      <c r="AV1085">
        <v>13</v>
      </c>
      <c r="AW1085">
        <v>9</v>
      </c>
      <c r="AX1085" t="s">
        <v>74</v>
      </c>
      <c r="AY1085" t="s">
        <v>74</v>
      </c>
      <c r="AZ1085" t="s">
        <v>74</v>
      </c>
      <c r="BA1085" t="s">
        <v>74</v>
      </c>
      <c r="BB1085">
        <v>2505</v>
      </c>
      <c r="BC1085">
        <v>2507</v>
      </c>
      <c r="BD1085" t="s">
        <v>74</v>
      </c>
      <c r="BE1085" t="s">
        <v>18259</v>
      </c>
      <c r="BF1085" t="str">
        <f>HYPERLINK("http://dx.doi.org/10.1007/s40123-024-00989-w","http://dx.doi.org/10.1007/s40123-024-00989-w")</f>
        <v>http://dx.doi.org/10.1007/s40123-024-00989-w</v>
      </c>
      <c r="BG1085" t="s">
        <v>74</v>
      </c>
      <c r="BH1085" t="s">
        <v>478</v>
      </c>
      <c r="BI1085">
        <v>3</v>
      </c>
      <c r="BJ1085" t="s">
        <v>4171</v>
      </c>
      <c r="BK1085" t="s">
        <v>209</v>
      </c>
      <c r="BL1085" t="s">
        <v>4171</v>
      </c>
      <c r="BM1085" t="s">
        <v>4172</v>
      </c>
      <c r="BN1085">
        <v>38976149</v>
      </c>
      <c r="BO1085" t="s">
        <v>394</v>
      </c>
      <c r="BP1085" t="s">
        <v>74</v>
      </c>
      <c r="BQ1085" t="s">
        <v>74</v>
      </c>
      <c r="BR1085" t="s">
        <v>102</v>
      </c>
      <c r="BS1085" t="s">
        <v>18260</v>
      </c>
      <c r="BT1085" t="str">
        <f>HYPERLINK("https%3A%2F%2Fwww.webofscience.com%2Fwos%2Fwoscc%2Ffull-record%2FWOS:001265430900001","View Full Record in Web of Science")</f>
        <v>View Full Record in Web of Science</v>
      </c>
    </row>
    <row r="1086" spans="1:72" x14ac:dyDescent="0.35">
      <c r="A1086" t="s">
        <v>72</v>
      </c>
      <c r="B1086" t="s">
        <v>18261</v>
      </c>
      <c r="C1086" t="s">
        <v>74</v>
      </c>
      <c r="D1086" t="s">
        <v>74</v>
      </c>
      <c r="E1086" t="s">
        <v>74</v>
      </c>
      <c r="F1086" t="s">
        <v>18262</v>
      </c>
      <c r="G1086" t="s">
        <v>74</v>
      </c>
      <c r="H1086" t="s">
        <v>74</v>
      </c>
      <c r="I1086" t="s">
        <v>18263</v>
      </c>
      <c r="J1086" t="s">
        <v>18264</v>
      </c>
      <c r="K1086" t="s">
        <v>74</v>
      </c>
      <c r="L1086" t="s">
        <v>74</v>
      </c>
      <c r="M1086" t="s">
        <v>78</v>
      </c>
      <c r="N1086" t="s">
        <v>79</v>
      </c>
      <c r="O1086" t="s">
        <v>74</v>
      </c>
      <c r="P1086" t="s">
        <v>74</v>
      </c>
      <c r="Q1086" t="s">
        <v>74</v>
      </c>
      <c r="R1086" t="s">
        <v>74</v>
      </c>
      <c r="S1086" t="s">
        <v>74</v>
      </c>
      <c r="T1086" t="s">
        <v>18265</v>
      </c>
      <c r="U1086" t="s">
        <v>18266</v>
      </c>
      <c r="V1086" t="s">
        <v>18267</v>
      </c>
      <c r="W1086" t="s">
        <v>18268</v>
      </c>
      <c r="X1086" t="s">
        <v>18269</v>
      </c>
      <c r="Y1086" t="s">
        <v>18270</v>
      </c>
      <c r="Z1086" t="s">
        <v>18271</v>
      </c>
      <c r="AA1086" t="s">
        <v>74</v>
      </c>
      <c r="AB1086" t="s">
        <v>74</v>
      </c>
      <c r="AC1086" t="s">
        <v>74</v>
      </c>
      <c r="AD1086" t="s">
        <v>74</v>
      </c>
      <c r="AE1086" t="s">
        <v>74</v>
      </c>
      <c r="AF1086" t="s">
        <v>74</v>
      </c>
      <c r="AG1086">
        <v>60</v>
      </c>
      <c r="AH1086">
        <v>0</v>
      </c>
      <c r="AI1086">
        <v>0</v>
      </c>
      <c r="AJ1086">
        <v>4</v>
      </c>
      <c r="AK1086">
        <v>4</v>
      </c>
      <c r="AL1086" t="s">
        <v>11128</v>
      </c>
      <c r="AM1086" t="s">
        <v>666</v>
      </c>
      <c r="AN1086" t="s">
        <v>11129</v>
      </c>
      <c r="AO1086" t="s">
        <v>18272</v>
      </c>
      <c r="AP1086" t="s">
        <v>18273</v>
      </c>
      <c r="AQ1086" t="s">
        <v>74</v>
      </c>
      <c r="AR1086" t="s">
        <v>18274</v>
      </c>
      <c r="AS1086" t="s">
        <v>18275</v>
      </c>
      <c r="AT1086" t="s">
        <v>18276</v>
      </c>
      <c r="AU1086">
        <v>2024</v>
      </c>
      <c r="AV1086" t="s">
        <v>74</v>
      </c>
      <c r="AW1086" t="s">
        <v>74</v>
      </c>
      <c r="AX1086" t="s">
        <v>74</v>
      </c>
      <c r="AY1086" t="s">
        <v>74</v>
      </c>
      <c r="AZ1086" t="s">
        <v>74</v>
      </c>
      <c r="BA1086" t="s">
        <v>74</v>
      </c>
      <c r="BB1086" t="s">
        <v>74</v>
      </c>
      <c r="BC1086" t="s">
        <v>74</v>
      </c>
      <c r="BD1086" t="s">
        <v>74</v>
      </c>
      <c r="BE1086" t="s">
        <v>18277</v>
      </c>
      <c r="BF1086" t="str">
        <f>HYPERLINK("http://dx.doi.org/10.1007/s10508-024-02987-2","http://dx.doi.org/10.1007/s10508-024-02987-2")</f>
        <v>http://dx.doi.org/10.1007/s10508-024-02987-2</v>
      </c>
      <c r="BG1086" t="s">
        <v>74</v>
      </c>
      <c r="BH1086" t="s">
        <v>337</v>
      </c>
      <c r="BI1086">
        <v>10</v>
      </c>
      <c r="BJ1086" t="s">
        <v>1029</v>
      </c>
      <c r="BK1086" t="s">
        <v>99</v>
      </c>
      <c r="BL1086" t="s">
        <v>1030</v>
      </c>
      <c r="BM1086" t="s">
        <v>18278</v>
      </c>
      <c r="BN1086">
        <v>39317917</v>
      </c>
      <c r="BO1086" t="s">
        <v>74</v>
      </c>
      <c r="BP1086" t="s">
        <v>74</v>
      </c>
      <c r="BQ1086" t="s">
        <v>74</v>
      </c>
      <c r="BR1086" t="s">
        <v>102</v>
      </c>
      <c r="BS1086" t="s">
        <v>18279</v>
      </c>
      <c r="BT1086" t="str">
        <f>HYPERLINK("https%3A%2F%2Fwww.webofscience.com%2Fwos%2Fwoscc%2Ffull-record%2FWOS:001319006300001","View Full Record in Web of Science")</f>
        <v>View Full Record in Web of Science</v>
      </c>
    </row>
    <row r="1087" spans="1:72" x14ac:dyDescent="0.35">
      <c r="A1087" t="s">
        <v>72</v>
      </c>
      <c r="B1087" t="s">
        <v>18280</v>
      </c>
      <c r="C1087" t="s">
        <v>74</v>
      </c>
      <c r="D1087" t="s">
        <v>74</v>
      </c>
      <c r="E1087" t="s">
        <v>74</v>
      </c>
      <c r="F1087" t="s">
        <v>18281</v>
      </c>
      <c r="G1087" t="s">
        <v>74</v>
      </c>
      <c r="H1087" t="s">
        <v>74</v>
      </c>
      <c r="I1087" t="s">
        <v>18282</v>
      </c>
      <c r="J1087" t="s">
        <v>18283</v>
      </c>
      <c r="K1087" t="s">
        <v>74</v>
      </c>
      <c r="L1087" t="s">
        <v>74</v>
      </c>
      <c r="M1087" t="s">
        <v>18284</v>
      </c>
      <c r="N1087" t="s">
        <v>108</v>
      </c>
      <c r="O1087" t="s">
        <v>74</v>
      </c>
      <c r="P1087" t="s">
        <v>74</v>
      </c>
      <c r="Q1087" t="s">
        <v>74</v>
      </c>
      <c r="R1087" t="s">
        <v>74</v>
      </c>
      <c r="S1087" t="s">
        <v>74</v>
      </c>
      <c r="T1087" t="s">
        <v>18285</v>
      </c>
      <c r="U1087" t="s">
        <v>74</v>
      </c>
      <c r="V1087" t="s">
        <v>74</v>
      </c>
      <c r="W1087" t="s">
        <v>18286</v>
      </c>
      <c r="X1087" t="s">
        <v>74</v>
      </c>
      <c r="Y1087" t="s">
        <v>18287</v>
      </c>
      <c r="Z1087" t="s">
        <v>18288</v>
      </c>
      <c r="AA1087" t="s">
        <v>74</v>
      </c>
      <c r="AB1087" t="s">
        <v>74</v>
      </c>
      <c r="AC1087" t="s">
        <v>74</v>
      </c>
      <c r="AD1087" t="s">
        <v>74</v>
      </c>
      <c r="AE1087" t="s">
        <v>74</v>
      </c>
      <c r="AF1087" t="s">
        <v>74</v>
      </c>
      <c r="AG1087">
        <v>141</v>
      </c>
      <c r="AH1087">
        <v>0</v>
      </c>
      <c r="AI1087">
        <v>0</v>
      </c>
      <c r="AJ1087">
        <v>0</v>
      </c>
      <c r="AK1087">
        <v>3</v>
      </c>
      <c r="AL1087" t="s">
        <v>18289</v>
      </c>
      <c r="AM1087" t="s">
        <v>18290</v>
      </c>
      <c r="AN1087" t="s">
        <v>18291</v>
      </c>
      <c r="AO1087" t="s">
        <v>18292</v>
      </c>
      <c r="AP1087" t="s">
        <v>74</v>
      </c>
      <c r="AQ1087" t="s">
        <v>74</v>
      </c>
      <c r="AR1087" t="s">
        <v>18283</v>
      </c>
      <c r="AS1087" t="s">
        <v>18293</v>
      </c>
      <c r="AT1087" t="s">
        <v>74</v>
      </c>
      <c r="AU1087">
        <v>2022</v>
      </c>
      <c r="AV1087" t="s">
        <v>74</v>
      </c>
      <c r="AW1087">
        <v>25</v>
      </c>
      <c r="AX1087" t="s">
        <v>74</v>
      </c>
      <c r="AY1087" t="s">
        <v>74</v>
      </c>
      <c r="AZ1087" t="s">
        <v>74</v>
      </c>
      <c r="BA1087" t="s">
        <v>74</v>
      </c>
      <c r="BB1087" t="s">
        <v>74</v>
      </c>
      <c r="BC1087" t="s">
        <v>74</v>
      </c>
      <c r="BD1087" t="s">
        <v>74</v>
      </c>
      <c r="BE1087" t="s">
        <v>74</v>
      </c>
      <c r="BF1087" t="s">
        <v>74</v>
      </c>
      <c r="BG1087" t="s">
        <v>74</v>
      </c>
      <c r="BH1087" t="s">
        <v>74</v>
      </c>
      <c r="BI1087">
        <v>31</v>
      </c>
      <c r="BJ1087" t="s">
        <v>4461</v>
      </c>
      <c r="BK1087" t="s">
        <v>125</v>
      </c>
      <c r="BL1087" t="s">
        <v>4462</v>
      </c>
      <c r="BM1087" t="s">
        <v>18294</v>
      </c>
      <c r="BN1087" t="s">
        <v>74</v>
      </c>
      <c r="BO1087" t="s">
        <v>74</v>
      </c>
      <c r="BP1087" t="s">
        <v>74</v>
      </c>
      <c r="BQ1087" t="s">
        <v>74</v>
      </c>
      <c r="BR1087" t="s">
        <v>102</v>
      </c>
      <c r="BS1087" t="s">
        <v>18295</v>
      </c>
      <c r="BT1087" t="str">
        <f>HYPERLINK("https%3A%2F%2Fwww.webofscience.com%2Fwos%2Fwoscc%2Ffull-record%2FWOS:000796555700024","View Full Record in Web of Science")</f>
        <v>View Full Record in Web of Science</v>
      </c>
    </row>
    <row r="1088" spans="1:72" x14ac:dyDescent="0.35">
      <c r="A1088" t="s">
        <v>72</v>
      </c>
      <c r="B1088" t="s">
        <v>18296</v>
      </c>
      <c r="C1088" t="s">
        <v>74</v>
      </c>
      <c r="D1088" t="s">
        <v>74</v>
      </c>
      <c r="E1088" t="s">
        <v>74</v>
      </c>
      <c r="F1088" t="s">
        <v>18297</v>
      </c>
      <c r="G1088" t="s">
        <v>74</v>
      </c>
      <c r="H1088" t="s">
        <v>74</v>
      </c>
      <c r="I1088" t="s">
        <v>18298</v>
      </c>
      <c r="J1088" t="s">
        <v>14884</v>
      </c>
      <c r="K1088" t="s">
        <v>74</v>
      </c>
      <c r="L1088" t="s">
        <v>74</v>
      </c>
      <c r="M1088" t="s">
        <v>78</v>
      </c>
      <c r="N1088" t="s">
        <v>108</v>
      </c>
      <c r="O1088" t="s">
        <v>74</v>
      </c>
      <c r="P1088" t="s">
        <v>74</v>
      </c>
      <c r="Q1088" t="s">
        <v>74</v>
      </c>
      <c r="R1088" t="s">
        <v>74</v>
      </c>
      <c r="S1088" t="s">
        <v>74</v>
      </c>
      <c r="T1088" t="s">
        <v>18299</v>
      </c>
      <c r="U1088" t="s">
        <v>74</v>
      </c>
      <c r="V1088" t="s">
        <v>18300</v>
      </c>
      <c r="W1088" t="s">
        <v>18301</v>
      </c>
      <c r="X1088" t="s">
        <v>18302</v>
      </c>
      <c r="Y1088" t="s">
        <v>18303</v>
      </c>
      <c r="Z1088" t="s">
        <v>18304</v>
      </c>
      <c r="AA1088" t="s">
        <v>18305</v>
      </c>
      <c r="AB1088" t="s">
        <v>18306</v>
      </c>
      <c r="AC1088" t="s">
        <v>18307</v>
      </c>
      <c r="AD1088" t="s">
        <v>18308</v>
      </c>
      <c r="AE1088" t="s">
        <v>18309</v>
      </c>
      <c r="AF1088" t="s">
        <v>74</v>
      </c>
      <c r="AG1088">
        <v>32</v>
      </c>
      <c r="AH1088">
        <v>14</v>
      </c>
      <c r="AI1088">
        <v>14</v>
      </c>
      <c r="AJ1088">
        <v>1</v>
      </c>
      <c r="AK1088">
        <v>43</v>
      </c>
      <c r="AL1088" t="s">
        <v>9222</v>
      </c>
      <c r="AM1088" t="s">
        <v>227</v>
      </c>
      <c r="AN1088" t="s">
        <v>9223</v>
      </c>
      <c r="AO1088" t="s">
        <v>14895</v>
      </c>
      <c r="AP1088" t="s">
        <v>74</v>
      </c>
      <c r="AQ1088" t="s">
        <v>74</v>
      </c>
      <c r="AR1088" t="s">
        <v>14896</v>
      </c>
      <c r="AS1088" t="s">
        <v>14897</v>
      </c>
      <c r="AT1088" t="s">
        <v>257</v>
      </c>
      <c r="AU1088">
        <v>2022</v>
      </c>
      <c r="AV1088">
        <v>7</v>
      </c>
      <c r="AW1088">
        <v>6</v>
      </c>
      <c r="AX1088" t="s">
        <v>74</v>
      </c>
      <c r="AY1088" t="s">
        <v>74</v>
      </c>
      <c r="AZ1088" t="s">
        <v>74</v>
      </c>
      <c r="BA1088" t="s">
        <v>74</v>
      </c>
      <c r="BB1088" t="s">
        <v>74</v>
      </c>
      <c r="BC1088" t="s">
        <v>74</v>
      </c>
      <c r="BD1088" t="s">
        <v>18310</v>
      </c>
      <c r="BE1088" t="s">
        <v>18311</v>
      </c>
      <c r="BF1088" t="str">
        <f>HYPERLINK("http://dx.doi.org/10.1136/bmjgh-2022-009112","http://dx.doi.org/10.1136/bmjgh-2022-009112")</f>
        <v>http://dx.doi.org/10.1136/bmjgh-2022-009112</v>
      </c>
      <c r="BG1088" t="s">
        <v>74</v>
      </c>
      <c r="BH1088" t="s">
        <v>74</v>
      </c>
      <c r="BI1088">
        <v>9</v>
      </c>
      <c r="BJ1088" t="s">
        <v>392</v>
      </c>
      <c r="BK1088" t="s">
        <v>182</v>
      </c>
      <c r="BL1088" t="s">
        <v>392</v>
      </c>
      <c r="BM1088" t="s">
        <v>18312</v>
      </c>
      <c r="BN1088">
        <v>35879104</v>
      </c>
      <c r="BO1088" t="s">
        <v>552</v>
      </c>
      <c r="BP1088" t="s">
        <v>74</v>
      </c>
      <c r="BQ1088" t="s">
        <v>74</v>
      </c>
      <c r="BR1088" t="s">
        <v>102</v>
      </c>
      <c r="BS1088" t="s">
        <v>18313</v>
      </c>
      <c r="BT1088" t="str">
        <f>HYPERLINK("https%3A%2F%2Fwww.webofscience.com%2Fwos%2Fwoscc%2Ffull-record%2FWOS:000805311700003","View Full Record in Web of Science")</f>
        <v>View Full Record in Web of Science</v>
      </c>
    </row>
    <row r="1089" spans="1:72" x14ac:dyDescent="0.35">
      <c r="A1089" t="s">
        <v>72</v>
      </c>
      <c r="B1089" t="s">
        <v>18314</v>
      </c>
      <c r="C1089" t="s">
        <v>74</v>
      </c>
      <c r="D1089" t="s">
        <v>74</v>
      </c>
      <c r="E1089" t="s">
        <v>74</v>
      </c>
      <c r="F1089" t="s">
        <v>18315</v>
      </c>
      <c r="G1089" t="s">
        <v>74</v>
      </c>
      <c r="H1089" t="s">
        <v>74</v>
      </c>
      <c r="I1089" t="s">
        <v>18316</v>
      </c>
      <c r="J1089" t="s">
        <v>18317</v>
      </c>
      <c r="K1089" t="s">
        <v>74</v>
      </c>
      <c r="L1089" t="s">
        <v>74</v>
      </c>
      <c r="M1089" t="s">
        <v>78</v>
      </c>
      <c r="N1089" t="s">
        <v>108</v>
      </c>
      <c r="O1089" t="s">
        <v>74</v>
      </c>
      <c r="P1089" t="s">
        <v>74</v>
      </c>
      <c r="Q1089" t="s">
        <v>74</v>
      </c>
      <c r="R1089" t="s">
        <v>74</v>
      </c>
      <c r="S1089" t="s">
        <v>74</v>
      </c>
      <c r="T1089" t="s">
        <v>18318</v>
      </c>
      <c r="U1089" t="s">
        <v>18319</v>
      </c>
      <c r="V1089" t="s">
        <v>18320</v>
      </c>
      <c r="W1089" t="s">
        <v>18321</v>
      </c>
      <c r="X1089" t="s">
        <v>18322</v>
      </c>
      <c r="Y1089" t="s">
        <v>18323</v>
      </c>
      <c r="Z1089" t="s">
        <v>18324</v>
      </c>
      <c r="AA1089" t="s">
        <v>18325</v>
      </c>
      <c r="AB1089" t="s">
        <v>18326</v>
      </c>
      <c r="AC1089" t="s">
        <v>18327</v>
      </c>
      <c r="AD1089" t="s">
        <v>18328</v>
      </c>
      <c r="AE1089" t="s">
        <v>18329</v>
      </c>
      <c r="AF1089" t="s">
        <v>74</v>
      </c>
      <c r="AG1089">
        <v>85</v>
      </c>
      <c r="AH1089">
        <v>3</v>
      </c>
      <c r="AI1089">
        <v>3</v>
      </c>
      <c r="AJ1089">
        <v>4</v>
      </c>
      <c r="AK1089">
        <v>7</v>
      </c>
      <c r="AL1089" t="s">
        <v>88</v>
      </c>
      <c r="AM1089" t="s">
        <v>89</v>
      </c>
      <c r="AN1089" t="s">
        <v>90</v>
      </c>
      <c r="AO1089" t="s">
        <v>18330</v>
      </c>
      <c r="AP1089" t="s">
        <v>18331</v>
      </c>
      <c r="AQ1089" t="s">
        <v>74</v>
      </c>
      <c r="AR1089" t="s">
        <v>18332</v>
      </c>
      <c r="AS1089" t="s">
        <v>18333</v>
      </c>
      <c r="AT1089" t="s">
        <v>13174</v>
      </c>
      <c r="AU1089">
        <v>2023</v>
      </c>
      <c r="AV1089">
        <v>37</v>
      </c>
      <c r="AW1089">
        <v>4</v>
      </c>
      <c r="AX1089" t="s">
        <v>74</v>
      </c>
      <c r="AY1089" t="s">
        <v>74</v>
      </c>
      <c r="AZ1089" t="s">
        <v>74</v>
      </c>
      <c r="BA1089" t="s">
        <v>74</v>
      </c>
      <c r="BB1089">
        <v>593</v>
      </c>
      <c r="BC1089">
        <v>617</v>
      </c>
      <c r="BD1089" t="s">
        <v>74</v>
      </c>
      <c r="BE1089" t="s">
        <v>18334</v>
      </c>
      <c r="BF1089" t="str">
        <f>HYPERLINK("http://dx.doi.org/10.1080/13600826.2023.2217523","http://dx.doi.org/10.1080/13600826.2023.2217523")</f>
        <v>http://dx.doi.org/10.1080/13600826.2023.2217523</v>
      </c>
      <c r="BG1089" t="s">
        <v>74</v>
      </c>
      <c r="BH1089" t="s">
        <v>1954</v>
      </c>
      <c r="BI1089">
        <v>25</v>
      </c>
      <c r="BJ1089" t="s">
        <v>18335</v>
      </c>
      <c r="BK1089" t="s">
        <v>125</v>
      </c>
      <c r="BL1089" t="s">
        <v>18335</v>
      </c>
      <c r="BM1089" t="s">
        <v>18336</v>
      </c>
      <c r="BN1089" t="s">
        <v>74</v>
      </c>
      <c r="BO1089" t="s">
        <v>18337</v>
      </c>
      <c r="BP1089" t="s">
        <v>74</v>
      </c>
      <c r="BQ1089" t="s">
        <v>74</v>
      </c>
      <c r="BR1089" t="s">
        <v>102</v>
      </c>
      <c r="BS1089" t="s">
        <v>18338</v>
      </c>
      <c r="BT1089" t="str">
        <f>HYPERLINK("https%3A%2F%2Fwww.webofscience.com%2Fwos%2Fwoscc%2Ffull-record%2FWOS:001003223800001","View Full Record in Web of Science")</f>
        <v>View Full Record in Web of Science</v>
      </c>
    </row>
    <row r="1090" spans="1:72" x14ac:dyDescent="0.35">
      <c r="A1090" t="s">
        <v>72</v>
      </c>
      <c r="B1090" t="s">
        <v>18339</v>
      </c>
      <c r="C1090" t="s">
        <v>74</v>
      </c>
      <c r="D1090" t="s">
        <v>74</v>
      </c>
      <c r="E1090" t="s">
        <v>74</v>
      </c>
      <c r="F1090" t="s">
        <v>18340</v>
      </c>
      <c r="G1090" t="s">
        <v>74</v>
      </c>
      <c r="H1090" t="s">
        <v>74</v>
      </c>
      <c r="I1090" t="s">
        <v>18341</v>
      </c>
      <c r="J1090" t="s">
        <v>18342</v>
      </c>
      <c r="K1090" t="s">
        <v>74</v>
      </c>
      <c r="L1090" t="s">
        <v>74</v>
      </c>
      <c r="M1090" t="s">
        <v>78</v>
      </c>
      <c r="N1090" t="s">
        <v>79</v>
      </c>
      <c r="O1090" t="s">
        <v>74</v>
      </c>
      <c r="P1090" t="s">
        <v>74</v>
      </c>
      <c r="Q1090" t="s">
        <v>74</v>
      </c>
      <c r="R1090" t="s">
        <v>74</v>
      </c>
      <c r="S1090" t="s">
        <v>74</v>
      </c>
      <c r="T1090" t="s">
        <v>18343</v>
      </c>
      <c r="U1090" t="s">
        <v>18344</v>
      </c>
      <c r="V1090" t="s">
        <v>18345</v>
      </c>
      <c r="W1090" t="s">
        <v>18346</v>
      </c>
      <c r="X1090" t="s">
        <v>18347</v>
      </c>
      <c r="Y1090" t="s">
        <v>18348</v>
      </c>
      <c r="Z1090" t="s">
        <v>4934</v>
      </c>
      <c r="AA1090" t="s">
        <v>18349</v>
      </c>
      <c r="AB1090" t="s">
        <v>74</v>
      </c>
      <c r="AC1090" t="s">
        <v>74</v>
      </c>
      <c r="AD1090" t="s">
        <v>74</v>
      </c>
      <c r="AE1090" t="s">
        <v>74</v>
      </c>
      <c r="AF1090" t="s">
        <v>74</v>
      </c>
      <c r="AG1090">
        <v>42</v>
      </c>
      <c r="AH1090">
        <v>1</v>
      </c>
      <c r="AI1090">
        <v>1</v>
      </c>
      <c r="AJ1090">
        <v>2</v>
      </c>
      <c r="AK1090">
        <v>2</v>
      </c>
      <c r="AL1090" t="s">
        <v>88</v>
      </c>
      <c r="AM1090" t="s">
        <v>89</v>
      </c>
      <c r="AN1090" t="s">
        <v>90</v>
      </c>
      <c r="AO1090" t="s">
        <v>18350</v>
      </c>
      <c r="AP1090" t="s">
        <v>18351</v>
      </c>
      <c r="AQ1090" t="s">
        <v>74</v>
      </c>
      <c r="AR1090" t="s">
        <v>18352</v>
      </c>
      <c r="AS1090" t="s">
        <v>18353</v>
      </c>
      <c r="AT1090" t="s">
        <v>18354</v>
      </c>
      <c r="AU1090">
        <v>2024</v>
      </c>
      <c r="AV1090" t="s">
        <v>74</v>
      </c>
      <c r="AW1090" t="s">
        <v>74</v>
      </c>
      <c r="AX1090" t="s">
        <v>74</v>
      </c>
      <c r="AY1090" t="s">
        <v>74</v>
      </c>
      <c r="AZ1090" t="s">
        <v>74</v>
      </c>
      <c r="BA1090" t="s">
        <v>74</v>
      </c>
      <c r="BB1090" t="s">
        <v>74</v>
      </c>
      <c r="BC1090" t="s">
        <v>74</v>
      </c>
      <c r="BD1090" t="s">
        <v>74</v>
      </c>
      <c r="BE1090" t="s">
        <v>18355</v>
      </c>
      <c r="BF1090" t="str">
        <f>HYPERLINK("http://dx.doi.org/10.1080/10495142.2024.2372102","http://dx.doi.org/10.1080/10495142.2024.2372102")</f>
        <v>http://dx.doi.org/10.1080/10495142.2024.2372102</v>
      </c>
      <c r="BG1090" t="s">
        <v>74</v>
      </c>
      <c r="BH1090" t="s">
        <v>478</v>
      </c>
      <c r="BI1090">
        <v>26</v>
      </c>
      <c r="BJ1090" t="s">
        <v>1597</v>
      </c>
      <c r="BK1090" t="s">
        <v>125</v>
      </c>
      <c r="BL1090" t="s">
        <v>480</v>
      </c>
      <c r="BM1090" t="s">
        <v>18356</v>
      </c>
      <c r="BN1090" t="s">
        <v>74</v>
      </c>
      <c r="BO1090" t="s">
        <v>74</v>
      </c>
      <c r="BP1090" t="s">
        <v>74</v>
      </c>
      <c r="BQ1090" t="s">
        <v>74</v>
      </c>
      <c r="BR1090" t="s">
        <v>102</v>
      </c>
      <c r="BS1090" t="s">
        <v>18357</v>
      </c>
      <c r="BT1090" t="str">
        <f>HYPERLINK("https%3A%2F%2Fwww.webofscience.com%2Fwos%2Fwoscc%2Ffull-record%2FWOS:001263579600001","View Full Record in Web of Science")</f>
        <v>View Full Record in Web of Science</v>
      </c>
    </row>
    <row r="1091" spans="1:72" x14ac:dyDescent="0.35">
      <c r="A1091" t="s">
        <v>72</v>
      </c>
      <c r="B1091" t="s">
        <v>18358</v>
      </c>
      <c r="C1091" t="s">
        <v>74</v>
      </c>
      <c r="D1091" t="s">
        <v>74</v>
      </c>
      <c r="E1091" t="s">
        <v>74</v>
      </c>
      <c r="F1091" t="s">
        <v>18359</v>
      </c>
      <c r="G1091" t="s">
        <v>74</v>
      </c>
      <c r="H1091" t="s">
        <v>74</v>
      </c>
      <c r="I1091" t="s">
        <v>18360</v>
      </c>
      <c r="J1091" t="s">
        <v>18361</v>
      </c>
      <c r="K1091" t="s">
        <v>74</v>
      </c>
      <c r="L1091" t="s">
        <v>74</v>
      </c>
      <c r="M1091" t="s">
        <v>78</v>
      </c>
      <c r="N1091" t="s">
        <v>108</v>
      </c>
      <c r="O1091" t="s">
        <v>74</v>
      </c>
      <c r="P1091" t="s">
        <v>74</v>
      </c>
      <c r="Q1091" t="s">
        <v>74</v>
      </c>
      <c r="R1091" t="s">
        <v>74</v>
      </c>
      <c r="S1091" t="s">
        <v>74</v>
      </c>
      <c r="T1091" t="s">
        <v>18362</v>
      </c>
      <c r="U1091" t="s">
        <v>18363</v>
      </c>
      <c r="V1091" t="s">
        <v>18364</v>
      </c>
      <c r="W1091" t="s">
        <v>18365</v>
      </c>
      <c r="X1091" t="s">
        <v>18366</v>
      </c>
      <c r="Y1091" t="s">
        <v>18367</v>
      </c>
      <c r="Z1091" t="s">
        <v>18368</v>
      </c>
      <c r="AA1091" t="s">
        <v>18369</v>
      </c>
      <c r="AB1091" t="s">
        <v>18370</v>
      </c>
      <c r="AC1091" t="s">
        <v>18371</v>
      </c>
      <c r="AD1091" t="s">
        <v>18372</v>
      </c>
      <c r="AE1091" t="s">
        <v>18373</v>
      </c>
      <c r="AF1091" t="s">
        <v>74</v>
      </c>
      <c r="AG1091">
        <v>51</v>
      </c>
      <c r="AH1091">
        <v>2</v>
      </c>
      <c r="AI1091">
        <v>2</v>
      </c>
      <c r="AJ1091">
        <v>6</v>
      </c>
      <c r="AK1091">
        <v>37</v>
      </c>
      <c r="AL1091" t="s">
        <v>88</v>
      </c>
      <c r="AM1091" t="s">
        <v>89</v>
      </c>
      <c r="AN1091" t="s">
        <v>90</v>
      </c>
      <c r="AO1091" t="s">
        <v>18374</v>
      </c>
      <c r="AP1091" t="s">
        <v>18375</v>
      </c>
      <c r="AQ1091" t="s">
        <v>74</v>
      </c>
      <c r="AR1091" t="s">
        <v>18376</v>
      </c>
      <c r="AS1091" t="s">
        <v>18377</v>
      </c>
      <c r="AT1091" t="s">
        <v>2296</v>
      </c>
      <c r="AU1091">
        <v>2023</v>
      </c>
      <c r="AV1091">
        <v>28</v>
      </c>
      <c r="AW1091">
        <v>1</v>
      </c>
      <c r="AX1091" t="s">
        <v>74</v>
      </c>
      <c r="AY1091" t="s">
        <v>74</v>
      </c>
      <c r="AZ1091" t="s">
        <v>74</v>
      </c>
      <c r="BA1091" t="s">
        <v>74</v>
      </c>
      <c r="BB1091" t="s">
        <v>74</v>
      </c>
      <c r="BC1091" t="s">
        <v>74</v>
      </c>
      <c r="BD1091">
        <v>2244595</v>
      </c>
      <c r="BE1091" t="s">
        <v>18378</v>
      </c>
      <c r="BF1091" t="str">
        <f>HYPERLINK("http://dx.doi.org/10.1080/02673843.2023.2244595","http://dx.doi.org/10.1080/02673843.2023.2244595")</f>
        <v>http://dx.doi.org/10.1080/02673843.2023.2244595</v>
      </c>
      <c r="BG1091" t="s">
        <v>74</v>
      </c>
      <c r="BH1091" t="s">
        <v>74</v>
      </c>
      <c r="BI1091">
        <v>17</v>
      </c>
      <c r="BJ1091" t="s">
        <v>11136</v>
      </c>
      <c r="BK1091" t="s">
        <v>125</v>
      </c>
      <c r="BL1091" t="s">
        <v>301</v>
      </c>
      <c r="BM1091" t="s">
        <v>18379</v>
      </c>
      <c r="BN1091" t="s">
        <v>74</v>
      </c>
      <c r="BO1091" t="s">
        <v>552</v>
      </c>
      <c r="BP1091" t="s">
        <v>74</v>
      </c>
      <c r="BQ1091" t="s">
        <v>74</v>
      </c>
      <c r="BR1091" t="s">
        <v>102</v>
      </c>
      <c r="BS1091" t="s">
        <v>18380</v>
      </c>
      <c r="BT1091" t="str">
        <f>HYPERLINK("https%3A%2F%2Fwww.webofscience.com%2Fwos%2Fwoscc%2Ffull-record%2FWOS:001047358800001","View Full Record in Web of Science")</f>
        <v>View Full Record in Web of Science</v>
      </c>
    </row>
    <row r="1092" spans="1:72" x14ac:dyDescent="0.35">
      <c r="A1092" t="s">
        <v>72</v>
      </c>
      <c r="B1092" t="s">
        <v>18381</v>
      </c>
      <c r="C1092" t="s">
        <v>74</v>
      </c>
      <c r="D1092" t="s">
        <v>74</v>
      </c>
      <c r="E1092" t="s">
        <v>74</v>
      </c>
      <c r="F1092" t="s">
        <v>18382</v>
      </c>
      <c r="G1092" t="s">
        <v>74</v>
      </c>
      <c r="H1092" t="s">
        <v>74</v>
      </c>
      <c r="I1092" t="s">
        <v>18383</v>
      </c>
      <c r="J1092" t="s">
        <v>15149</v>
      </c>
      <c r="K1092" t="s">
        <v>74</v>
      </c>
      <c r="L1092" t="s">
        <v>74</v>
      </c>
      <c r="M1092" t="s">
        <v>78</v>
      </c>
      <c r="N1092" t="s">
        <v>108</v>
      </c>
      <c r="O1092" t="s">
        <v>74</v>
      </c>
      <c r="P1092" t="s">
        <v>74</v>
      </c>
      <c r="Q1092" t="s">
        <v>74</v>
      </c>
      <c r="R1092" t="s">
        <v>74</v>
      </c>
      <c r="S1092" t="s">
        <v>74</v>
      </c>
      <c r="T1092" t="s">
        <v>18384</v>
      </c>
      <c r="U1092" t="s">
        <v>74</v>
      </c>
      <c r="V1092" t="s">
        <v>18385</v>
      </c>
      <c r="W1092" t="s">
        <v>18386</v>
      </c>
      <c r="X1092" t="s">
        <v>18387</v>
      </c>
      <c r="Y1092" t="s">
        <v>18388</v>
      </c>
      <c r="Z1092" t="s">
        <v>18389</v>
      </c>
      <c r="AA1092" t="s">
        <v>18390</v>
      </c>
      <c r="AB1092" t="s">
        <v>18391</v>
      </c>
      <c r="AC1092" t="s">
        <v>74</v>
      </c>
      <c r="AD1092" t="s">
        <v>74</v>
      </c>
      <c r="AE1092" t="s">
        <v>74</v>
      </c>
      <c r="AF1092" t="s">
        <v>74</v>
      </c>
      <c r="AG1092">
        <v>35</v>
      </c>
      <c r="AH1092">
        <v>2</v>
      </c>
      <c r="AI1092">
        <v>2</v>
      </c>
      <c r="AJ1092">
        <v>1</v>
      </c>
      <c r="AK1092">
        <v>8</v>
      </c>
      <c r="AL1092" t="s">
        <v>1901</v>
      </c>
      <c r="AM1092" t="s">
        <v>995</v>
      </c>
      <c r="AN1092" t="s">
        <v>1902</v>
      </c>
      <c r="AO1092" t="s">
        <v>15155</v>
      </c>
      <c r="AP1092" t="s">
        <v>15156</v>
      </c>
      <c r="AQ1092" t="s">
        <v>74</v>
      </c>
      <c r="AR1092" t="s">
        <v>15157</v>
      </c>
      <c r="AS1092" t="s">
        <v>15158</v>
      </c>
      <c r="AT1092" t="s">
        <v>1275</v>
      </c>
      <c r="AU1092">
        <v>2022</v>
      </c>
      <c r="AV1092">
        <v>122</v>
      </c>
      <c r="AW1092">
        <v>12</v>
      </c>
      <c r="AX1092" t="s">
        <v>74</v>
      </c>
      <c r="AY1092" t="s">
        <v>74</v>
      </c>
      <c r="AZ1092" t="s">
        <v>74</v>
      </c>
      <c r="BA1092" t="s">
        <v>74</v>
      </c>
      <c r="BB1092">
        <v>24</v>
      </c>
      <c r="BC1092">
        <v>31</v>
      </c>
      <c r="BD1092" t="s">
        <v>74</v>
      </c>
      <c r="BE1092" t="s">
        <v>74</v>
      </c>
      <c r="BF1092" t="s">
        <v>74</v>
      </c>
      <c r="BG1092" t="s">
        <v>74</v>
      </c>
      <c r="BH1092" t="s">
        <v>74</v>
      </c>
      <c r="BI1092">
        <v>8</v>
      </c>
      <c r="BJ1092" t="s">
        <v>8110</v>
      </c>
      <c r="BK1092" t="s">
        <v>182</v>
      </c>
      <c r="BL1092" t="s">
        <v>8110</v>
      </c>
      <c r="BM1092" t="s">
        <v>18392</v>
      </c>
      <c r="BN1092">
        <v>36384793</v>
      </c>
      <c r="BO1092" t="s">
        <v>74</v>
      </c>
      <c r="BP1092" t="s">
        <v>74</v>
      </c>
      <c r="BQ1092" t="s">
        <v>74</v>
      </c>
      <c r="BR1092" t="s">
        <v>102</v>
      </c>
      <c r="BS1092" t="s">
        <v>18393</v>
      </c>
      <c r="BT1092" t="str">
        <f>HYPERLINK("https%3A%2F%2Fwww.webofscience.com%2Fwos%2Fwoscc%2Ffull-record%2FWOS:000892067000011","View Full Record in Web of Science")</f>
        <v>View Full Record in Web of Science</v>
      </c>
    </row>
    <row r="1093" spans="1:72" x14ac:dyDescent="0.35">
      <c r="A1093" t="s">
        <v>72</v>
      </c>
      <c r="B1093" t="s">
        <v>18394</v>
      </c>
      <c r="C1093" t="s">
        <v>74</v>
      </c>
      <c r="D1093" t="s">
        <v>74</v>
      </c>
      <c r="E1093" t="s">
        <v>74</v>
      </c>
      <c r="F1093" t="s">
        <v>18395</v>
      </c>
      <c r="G1093" t="s">
        <v>74</v>
      </c>
      <c r="H1093" t="s">
        <v>74</v>
      </c>
      <c r="I1093" t="s">
        <v>18396</v>
      </c>
      <c r="J1093" t="s">
        <v>14123</v>
      </c>
      <c r="K1093" t="s">
        <v>74</v>
      </c>
      <c r="L1093" t="s">
        <v>74</v>
      </c>
      <c r="M1093" t="s">
        <v>78</v>
      </c>
      <c r="N1093" t="s">
        <v>108</v>
      </c>
      <c r="O1093" t="s">
        <v>74</v>
      </c>
      <c r="P1093" t="s">
        <v>74</v>
      </c>
      <c r="Q1093" t="s">
        <v>74</v>
      </c>
      <c r="R1093" t="s">
        <v>74</v>
      </c>
      <c r="S1093" t="s">
        <v>74</v>
      </c>
      <c r="T1093" t="s">
        <v>18397</v>
      </c>
      <c r="U1093" t="s">
        <v>18398</v>
      </c>
      <c r="V1093" t="s">
        <v>18399</v>
      </c>
      <c r="W1093" t="s">
        <v>18400</v>
      </c>
      <c r="X1093" t="s">
        <v>18401</v>
      </c>
      <c r="Y1093" t="s">
        <v>18402</v>
      </c>
      <c r="Z1093" t="s">
        <v>18403</v>
      </c>
      <c r="AA1093" t="s">
        <v>18404</v>
      </c>
      <c r="AB1093" t="s">
        <v>18405</v>
      </c>
      <c r="AC1093" t="s">
        <v>74</v>
      </c>
      <c r="AD1093" t="s">
        <v>74</v>
      </c>
      <c r="AE1093" t="s">
        <v>74</v>
      </c>
      <c r="AF1093" t="s">
        <v>74</v>
      </c>
      <c r="AG1093">
        <v>47</v>
      </c>
      <c r="AH1093">
        <v>3</v>
      </c>
      <c r="AI1093">
        <v>3</v>
      </c>
      <c r="AJ1093">
        <v>1</v>
      </c>
      <c r="AK1093">
        <v>3</v>
      </c>
      <c r="AL1093" t="s">
        <v>14132</v>
      </c>
      <c r="AM1093" t="s">
        <v>14133</v>
      </c>
      <c r="AN1093" t="s">
        <v>14134</v>
      </c>
      <c r="AO1093" t="s">
        <v>14135</v>
      </c>
      <c r="AP1093" t="s">
        <v>74</v>
      </c>
      <c r="AQ1093" t="s">
        <v>74</v>
      </c>
      <c r="AR1093" t="s">
        <v>14136</v>
      </c>
      <c r="AS1093" t="s">
        <v>14137</v>
      </c>
      <c r="AT1093" t="s">
        <v>74</v>
      </c>
      <c r="AU1093">
        <v>2023</v>
      </c>
      <c r="AV1093">
        <v>36</v>
      </c>
      <c r="AW1093">
        <v>4</v>
      </c>
      <c r="AX1093" t="s">
        <v>74</v>
      </c>
      <c r="AY1093" t="s">
        <v>74</v>
      </c>
      <c r="AZ1093" t="s">
        <v>74</v>
      </c>
      <c r="BA1093" t="s">
        <v>74</v>
      </c>
      <c r="BB1093">
        <v>83</v>
      </c>
      <c r="BC1093">
        <v>97</v>
      </c>
      <c r="BD1093" t="s">
        <v>74</v>
      </c>
      <c r="BE1093" t="s">
        <v>18406</v>
      </c>
      <c r="BF1093" t="str">
        <f>HYPERLINK("http://dx.doi.org/10.15581/003.36.4.83-97","http://dx.doi.org/10.15581/003.36.4.83-97")</f>
        <v>http://dx.doi.org/10.15581/003.36.4.83-97</v>
      </c>
      <c r="BG1093" t="s">
        <v>74</v>
      </c>
      <c r="BH1093" t="s">
        <v>74</v>
      </c>
      <c r="BI1093">
        <v>15</v>
      </c>
      <c r="BJ1093" t="s">
        <v>124</v>
      </c>
      <c r="BK1093" t="s">
        <v>125</v>
      </c>
      <c r="BL1093" t="s">
        <v>124</v>
      </c>
      <c r="BM1093" t="s">
        <v>18407</v>
      </c>
      <c r="BN1093" t="s">
        <v>74</v>
      </c>
      <c r="BO1093" t="s">
        <v>394</v>
      </c>
      <c r="BP1093" t="s">
        <v>74</v>
      </c>
      <c r="BQ1093" t="s">
        <v>74</v>
      </c>
      <c r="BR1093" t="s">
        <v>102</v>
      </c>
      <c r="BS1093" t="s">
        <v>18408</v>
      </c>
      <c r="BT1093" t="str">
        <f>HYPERLINK("https%3A%2F%2Fwww.webofscience.com%2Fwos%2Fwoscc%2Ffull-record%2FWOS:001083189800006","View Full Record in Web of Science")</f>
        <v>View Full Record in Web of Science</v>
      </c>
    </row>
    <row r="1094" spans="1:72" x14ac:dyDescent="0.35">
      <c r="A1094" t="s">
        <v>72</v>
      </c>
      <c r="B1094" t="s">
        <v>18409</v>
      </c>
      <c r="C1094" t="s">
        <v>74</v>
      </c>
      <c r="D1094" t="s">
        <v>74</v>
      </c>
      <c r="E1094" t="s">
        <v>74</v>
      </c>
      <c r="F1094" t="s">
        <v>18410</v>
      </c>
      <c r="G1094" t="s">
        <v>74</v>
      </c>
      <c r="H1094" t="s">
        <v>74</v>
      </c>
      <c r="I1094" t="s">
        <v>18411</v>
      </c>
      <c r="J1094" t="s">
        <v>18412</v>
      </c>
      <c r="K1094" t="s">
        <v>74</v>
      </c>
      <c r="L1094" t="s">
        <v>74</v>
      </c>
      <c r="M1094" t="s">
        <v>78</v>
      </c>
      <c r="N1094" t="s">
        <v>108</v>
      </c>
      <c r="O1094" t="s">
        <v>74</v>
      </c>
      <c r="P1094" t="s">
        <v>74</v>
      </c>
      <c r="Q1094" t="s">
        <v>74</v>
      </c>
      <c r="R1094" t="s">
        <v>74</v>
      </c>
      <c r="S1094" t="s">
        <v>74</v>
      </c>
      <c r="T1094" t="s">
        <v>18413</v>
      </c>
      <c r="U1094" t="s">
        <v>74</v>
      </c>
      <c r="V1094" t="s">
        <v>18414</v>
      </c>
      <c r="W1094" t="s">
        <v>18415</v>
      </c>
      <c r="X1094" t="s">
        <v>18416</v>
      </c>
      <c r="Y1094" t="s">
        <v>18417</v>
      </c>
      <c r="Z1094" t="s">
        <v>18418</v>
      </c>
      <c r="AA1094" t="s">
        <v>74</v>
      </c>
      <c r="AB1094" t="s">
        <v>74</v>
      </c>
      <c r="AC1094" t="s">
        <v>74</v>
      </c>
      <c r="AD1094" t="s">
        <v>74</v>
      </c>
      <c r="AE1094" t="s">
        <v>74</v>
      </c>
      <c r="AF1094" t="s">
        <v>74</v>
      </c>
      <c r="AG1094">
        <v>5</v>
      </c>
      <c r="AH1094">
        <v>3</v>
      </c>
      <c r="AI1094">
        <v>3</v>
      </c>
      <c r="AJ1094">
        <v>1</v>
      </c>
      <c r="AK1094">
        <v>1</v>
      </c>
      <c r="AL1094" t="s">
        <v>665</v>
      </c>
      <c r="AM1094" t="s">
        <v>666</v>
      </c>
      <c r="AN1094" t="s">
        <v>667</v>
      </c>
      <c r="AO1094" t="s">
        <v>18419</v>
      </c>
      <c r="AP1094" t="s">
        <v>18420</v>
      </c>
      <c r="AQ1094" t="s">
        <v>74</v>
      </c>
      <c r="AR1094" t="s">
        <v>18421</v>
      </c>
      <c r="AS1094" t="s">
        <v>18422</v>
      </c>
      <c r="AT1094" t="s">
        <v>1275</v>
      </c>
      <c r="AU1094">
        <v>2023</v>
      </c>
      <c r="AV1094">
        <v>315</v>
      </c>
      <c r="AW1094">
        <v>10</v>
      </c>
      <c r="AX1094" t="s">
        <v>74</v>
      </c>
      <c r="AY1094" t="s">
        <v>74</v>
      </c>
      <c r="AZ1094" t="s">
        <v>74</v>
      </c>
      <c r="BA1094" t="s">
        <v>74</v>
      </c>
      <c r="BB1094">
        <v>2927</v>
      </c>
      <c r="BC1094">
        <v>2930</v>
      </c>
      <c r="BD1094" t="s">
        <v>74</v>
      </c>
      <c r="BE1094" t="s">
        <v>18423</v>
      </c>
      <c r="BF1094" t="str">
        <f>HYPERLINK("http://dx.doi.org/10.1007/s00403-023-02681-8","http://dx.doi.org/10.1007/s00403-023-02681-8")</f>
        <v>http://dx.doi.org/10.1007/s00403-023-02681-8</v>
      </c>
      <c r="BG1094" t="s">
        <v>74</v>
      </c>
      <c r="BH1094" t="s">
        <v>1180</v>
      </c>
      <c r="BI1094">
        <v>4</v>
      </c>
      <c r="BJ1094" t="s">
        <v>1341</v>
      </c>
      <c r="BK1094" t="s">
        <v>209</v>
      </c>
      <c r="BL1094" t="s">
        <v>1341</v>
      </c>
      <c r="BM1094" t="s">
        <v>18424</v>
      </c>
      <c r="BN1094">
        <v>37500910</v>
      </c>
      <c r="BO1094" t="s">
        <v>74</v>
      </c>
      <c r="BP1094" t="s">
        <v>74</v>
      </c>
      <c r="BQ1094" t="s">
        <v>74</v>
      </c>
      <c r="BR1094" t="s">
        <v>102</v>
      </c>
      <c r="BS1094" t="s">
        <v>18425</v>
      </c>
      <c r="BT1094" t="str">
        <f>HYPERLINK("https%3A%2F%2Fwww.webofscience.com%2Fwos%2Fwoscc%2Ffull-record%2FWOS:001037302300001","View Full Record in Web of Science")</f>
        <v>View Full Record in Web of Science</v>
      </c>
    </row>
    <row r="1095" spans="1:72" x14ac:dyDescent="0.35">
      <c r="A1095" t="s">
        <v>72</v>
      </c>
      <c r="B1095" t="s">
        <v>18426</v>
      </c>
      <c r="C1095" t="s">
        <v>74</v>
      </c>
      <c r="D1095" t="s">
        <v>74</v>
      </c>
      <c r="E1095" t="s">
        <v>74</v>
      </c>
      <c r="F1095" t="s">
        <v>18427</v>
      </c>
      <c r="G1095" t="s">
        <v>74</v>
      </c>
      <c r="H1095" t="s">
        <v>74</v>
      </c>
      <c r="I1095" t="s">
        <v>18428</v>
      </c>
      <c r="J1095" t="s">
        <v>15202</v>
      </c>
      <c r="K1095" t="s">
        <v>74</v>
      </c>
      <c r="L1095" t="s">
        <v>74</v>
      </c>
      <c r="M1095" t="s">
        <v>78</v>
      </c>
      <c r="N1095" t="s">
        <v>52</v>
      </c>
      <c r="O1095" t="s">
        <v>74</v>
      </c>
      <c r="P1095" t="s">
        <v>74</v>
      </c>
      <c r="Q1095" t="s">
        <v>74</v>
      </c>
      <c r="R1095" t="s">
        <v>74</v>
      </c>
      <c r="S1095" t="s">
        <v>74</v>
      </c>
      <c r="T1095" t="s">
        <v>18429</v>
      </c>
      <c r="U1095" t="s">
        <v>74</v>
      </c>
      <c r="V1095" t="s">
        <v>74</v>
      </c>
      <c r="W1095" t="s">
        <v>18430</v>
      </c>
      <c r="X1095" t="s">
        <v>18431</v>
      </c>
      <c r="Y1095" t="s">
        <v>74</v>
      </c>
      <c r="Z1095" t="s">
        <v>18432</v>
      </c>
      <c r="AA1095" t="s">
        <v>18433</v>
      </c>
      <c r="AB1095" t="s">
        <v>18434</v>
      </c>
      <c r="AC1095" t="s">
        <v>74</v>
      </c>
      <c r="AD1095" t="s">
        <v>74</v>
      </c>
      <c r="AE1095" t="s">
        <v>74</v>
      </c>
      <c r="AF1095" t="s">
        <v>74</v>
      </c>
      <c r="AG1095">
        <v>0</v>
      </c>
      <c r="AH1095">
        <v>0</v>
      </c>
      <c r="AI1095">
        <v>0</v>
      </c>
      <c r="AJ1095">
        <v>1</v>
      </c>
      <c r="AK1095">
        <v>2</v>
      </c>
      <c r="AL1095" t="s">
        <v>1129</v>
      </c>
      <c r="AM1095" t="s">
        <v>89</v>
      </c>
      <c r="AN1095" t="s">
        <v>1130</v>
      </c>
      <c r="AO1095" t="s">
        <v>15207</v>
      </c>
      <c r="AP1095" t="s">
        <v>15208</v>
      </c>
      <c r="AQ1095" t="s">
        <v>74</v>
      </c>
      <c r="AR1095" t="s">
        <v>15209</v>
      </c>
      <c r="AS1095" t="s">
        <v>15210</v>
      </c>
      <c r="AT1095" t="s">
        <v>2773</v>
      </c>
      <c r="AU1095">
        <v>2023</v>
      </c>
      <c r="AV1095">
        <v>61</v>
      </c>
      <c r="AW1095" t="s">
        <v>74</v>
      </c>
      <c r="AX1095" t="s">
        <v>74</v>
      </c>
      <c r="AY1095">
        <v>2</v>
      </c>
      <c r="AZ1095" t="s">
        <v>74</v>
      </c>
      <c r="BA1095">
        <v>323</v>
      </c>
      <c r="BB1095">
        <v>157</v>
      </c>
      <c r="BC1095">
        <v>158</v>
      </c>
      <c r="BD1095" t="s">
        <v>74</v>
      </c>
      <c r="BE1095" t="s">
        <v>74</v>
      </c>
      <c r="BF1095" t="s">
        <v>74</v>
      </c>
      <c r="BG1095" t="s">
        <v>74</v>
      </c>
      <c r="BH1095" t="s">
        <v>74</v>
      </c>
      <c r="BI1095">
        <v>2</v>
      </c>
      <c r="BJ1095" t="s">
        <v>15211</v>
      </c>
      <c r="BK1095" t="s">
        <v>209</v>
      </c>
      <c r="BL1095" t="s">
        <v>15211</v>
      </c>
      <c r="BM1095" t="s">
        <v>18435</v>
      </c>
      <c r="BN1095" t="s">
        <v>74</v>
      </c>
      <c r="BO1095" t="s">
        <v>74</v>
      </c>
      <c r="BP1095" t="s">
        <v>74</v>
      </c>
      <c r="BQ1095" t="s">
        <v>74</v>
      </c>
      <c r="BR1095" t="s">
        <v>102</v>
      </c>
      <c r="BS1095" t="s">
        <v>18436</v>
      </c>
      <c r="BT1095" t="str">
        <f>HYPERLINK("https%3A%2F%2Fwww.webofscience.com%2Fwos%2Fwoscc%2Ffull-record%2FWOS:001058577800324","View Full Record in Web of Science")</f>
        <v>View Full Record in Web of Science</v>
      </c>
    </row>
    <row r="1096" spans="1:72" x14ac:dyDescent="0.35">
      <c r="A1096" t="s">
        <v>72</v>
      </c>
      <c r="B1096" t="s">
        <v>18437</v>
      </c>
      <c r="C1096" t="s">
        <v>74</v>
      </c>
      <c r="D1096" t="s">
        <v>74</v>
      </c>
      <c r="E1096" t="s">
        <v>74</v>
      </c>
      <c r="F1096" t="s">
        <v>18438</v>
      </c>
      <c r="G1096" t="s">
        <v>74</v>
      </c>
      <c r="H1096" t="s">
        <v>74</v>
      </c>
      <c r="I1096" t="s">
        <v>18439</v>
      </c>
      <c r="J1096" t="s">
        <v>18440</v>
      </c>
      <c r="K1096" t="s">
        <v>74</v>
      </c>
      <c r="L1096" t="s">
        <v>74</v>
      </c>
      <c r="M1096" t="s">
        <v>78</v>
      </c>
      <c r="N1096" t="s">
        <v>108</v>
      </c>
      <c r="O1096" t="s">
        <v>74</v>
      </c>
      <c r="P1096" t="s">
        <v>74</v>
      </c>
      <c r="Q1096" t="s">
        <v>74</v>
      </c>
      <c r="R1096" t="s">
        <v>74</v>
      </c>
      <c r="S1096" t="s">
        <v>74</v>
      </c>
      <c r="T1096" t="s">
        <v>18441</v>
      </c>
      <c r="U1096" t="s">
        <v>18442</v>
      </c>
      <c r="V1096" t="s">
        <v>18443</v>
      </c>
      <c r="W1096" t="s">
        <v>18444</v>
      </c>
      <c r="X1096" t="s">
        <v>18445</v>
      </c>
      <c r="Y1096" t="s">
        <v>18446</v>
      </c>
      <c r="Z1096" t="s">
        <v>18447</v>
      </c>
      <c r="AA1096" t="s">
        <v>74</v>
      </c>
      <c r="AB1096" t="s">
        <v>74</v>
      </c>
      <c r="AC1096" t="s">
        <v>74</v>
      </c>
      <c r="AD1096" t="s">
        <v>74</v>
      </c>
      <c r="AE1096" t="s">
        <v>74</v>
      </c>
      <c r="AF1096" t="s">
        <v>74</v>
      </c>
      <c r="AG1096">
        <v>148</v>
      </c>
      <c r="AH1096">
        <v>0</v>
      </c>
      <c r="AI1096">
        <v>0</v>
      </c>
      <c r="AJ1096">
        <v>26</v>
      </c>
      <c r="AK1096">
        <v>31</v>
      </c>
      <c r="AL1096" t="s">
        <v>1195</v>
      </c>
      <c r="AM1096" t="s">
        <v>1196</v>
      </c>
      <c r="AN1096" t="s">
        <v>1197</v>
      </c>
      <c r="AO1096" t="s">
        <v>74</v>
      </c>
      <c r="AP1096" t="s">
        <v>18448</v>
      </c>
      <c r="AQ1096" t="s">
        <v>74</v>
      </c>
      <c r="AR1096" t="s">
        <v>18449</v>
      </c>
      <c r="AS1096" t="s">
        <v>18450</v>
      </c>
      <c r="AT1096" t="s">
        <v>930</v>
      </c>
      <c r="AU1096">
        <v>2024</v>
      </c>
      <c r="AV1096">
        <v>14</v>
      </c>
      <c r="AW1096">
        <v>4</v>
      </c>
      <c r="AX1096" t="s">
        <v>74</v>
      </c>
      <c r="AY1096" t="s">
        <v>74</v>
      </c>
      <c r="AZ1096" t="s">
        <v>74</v>
      </c>
      <c r="BA1096" t="s">
        <v>74</v>
      </c>
      <c r="BB1096" t="s">
        <v>74</v>
      </c>
      <c r="BC1096" t="s">
        <v>74</v>
      </c>
      <c r="BD1096">
        <v>285</v>
      </c>
      <c r="BE1096" t="s">
        <v>18451</v>
      </c>
      <c r="BF1096" t="str">
        <f>HYPERLINK("http://dx.doi.org/10.3390/bs14040285","http://dx.doi.org/10.3390/bs14040285")</f>
        <v>http://dx.doi.org/10.3390/bs14040285</v>
      </c>
      <c r="BG1096" t="s">
        <v>74</v>
      </c>
      <c r="BH1096" t="s">
        <v>74</v>
      </c>
      <c r="BI1096">
        <v>23</v>
      </c>
      <c r="BJ1096" t="s">
        <v>698</v>
      </c>
      <c r="BK1096" t="s">
        <v>99</v>
      </c>
      <c r="BL1096" t="s">
        <v>301</v>
      </c>
      <c r="BM1096" t="s">
        <v>18452</v>
      </c>
      <c r="BN1096">
        <v>38667081</v>
      </c>
      <c r="BO1096" t="s">
        <v>394</v>
      </c>
      <c r="BP1096" t="s">
        <v>74</v>
      </c>
      <c r="BQ1096" t="s">
        <v>74</v>
      </c>
      <c r="BR1096" t="s">
        <v>102</v>
      </c>
      <c r="BS1096" t="s">
        <v>18453</v>
      </c>
      <c r="BT1096" t="str">
        <f>HYPERLINK("https%3A%2F%2Fwww.webofscience.com%2Fwos%2Fwoscc%2Ffull-record%2FWOS:001210534500001","View Full Record in Web of Science")</f>
        <v>View Full Record in Web of Science</v>
      </c>
    </row>
    <row r="1097" spans="1:72" x14ac:dyDescent="0.35">
      <c r="A1097" t="s">
        <v>72</v>
      </c>
      <c r="B1097" t="s">
        <v>18454</v>
      </c>
      <c r="C1097" t="s">
        <v>74</v>
      </c>
      <c r="D1097" t="s">
        <v>74</v>
      </c>
      <c r="E1097" t="s">
        <v>74</v>
      </c>
      <c r="F1097" t="s">
        <v>18455</v>
      </c>
      <c r="G1097" t="s">
        <v>74</v>
      </c>
      <c r="H1097" t="s">
        <v>74</v>
      </c>
      <c r="I1097" t="s">
        <v>18456</v>
      </c>
      <c r="J1097" t="s">
        <v>401</v>
      </c>
      <c r="K1097" t="s">
        <v>74</v>
      </c>
      <c r="L1097" t="s">
        <v>74</v>
      </c>
      <c r="M1097" t="s">
        <v>78</v>
      </c>
      <c r="N1097" t="s">
        <v>108</v>
      </c>
      <c r="O1097" t="s">
        <v>74</v>
      </c>
      <c r="P1097" t="s">
        <v>74</v>
      </c>
      <c r="Q1097" t="s">
        <v>74</v>
      </c>
      <c r="R1097" t="s">
        <v>74</v>
      </c>
      <c r="S1097" t="s">
        <v>74</v>
      </c>
      <c r="T1097" t="s">
        <v>18457</v>
      </c>
      <c r="U1097" t="s">
        <v>18458</v>
      </c>
      <c r="V1097" t="s">
        <v>18459</v>
      </c>
      <c r="W1097" t="s">
        <v>18460</v>
      </c>
      <c r="X1097" t="s">
        <v>18401</v>
      </c>
      <c r="Y1097" t="s">
        <v>18461</v>
      </c>
      <c r="Z1097" t="s">
        <v>18462</v>
      </c>
      <c r="AA1097" t="s">
        <v>18463</v>
      </c>
      <c r="AB1097" t="s">
        <v>74</v>
      </c>
      <c r="AC1097" t="s">
        <v>74</v>
      </c>
      <c r="AD1097" t="s">
        <v>74</v>
      </c>
      <c r="AE1097" t="s">
        <v>74</v>
      </c>
      <c r="AF1097" t="s">
        <v>74</v>
      </c>
      <c r="AG1097">
        <v>80</v>
      </c>
      <c r="AH1097">
        <v>0</v>
      </c>
      <c r="AI1097">
        <v>0</v>
      </c>
      <c r="AJ1097">
        <v>4</v>
      </c>
      <c r="AK1097">
        <v>12</v>
      </c>
      <c r="AL1097" t="s">
        <v>409</v>
      </c>
      <c r="AM1097" t="s">
        <v>410</v>
      </c>
      <c r="AN1097" t="s">
        <v>411</v>
      </c>
      <c r="AO1097" t="s">
        <v>412</v>
      </c>
      <c r="AP1097" t="s">
        <v>74</v>
      </c>
      <c r="AQ1097" t="s">
        <v>74</v>
      </c>
      <c r="AR1097" t="s">
        <v>413</v>
      </c>
      <c r="AS1097" t="s">
        <v>414</v>
      </c>
      <c r="AT1097" t="s">
        <v>74</v>
      </c>
      <c r="AU1097">
        <v>2024</v>
      </c>
      <c r="AV1097">
        <v>18</v>
      </c>
      <c r="AW1097" t="s">
        <v>74</v>
      </c>
      <c r="AX1097" t="s">
        <v>74</v>
      </c>
      <c r="AY1097" t="s">
        <v>74</v>
      </c>
      <c r="AZ1097" t="s">
        <v>74</v>
      </c>
      <c r="BA1097" t="s">
        <v>74</v>
      </c>
      <c r="BB1097">
        <v>1135</v>
      </c>
      <c r="BC1097">
        <v>1156</v>
      </c>
      <c r="BD1097" t="s">
        <v>74</v>
      </c>
      <c r="BE1097" t="s">
        <v>74</v>
      </c>
      <c r="BF1097" t="s">
        <v>74</v>
      </c>
      <c r="BG1097" t="s">
        <v>74</v>
      </c>
      <c r="BH1097" t="s">
        <v>74</v>
      </c>
      <c r="BI1097">
        <v>22</v>
      </c>
      <c r="BJ1097" t="s">
        <v>124</v>
      </c>
      <c r="BK1097" t="s">
        <v>99</v>
      </c>
      <c r="BL1097" t="s">
        <v>124</v>
      </c>
      <c r="BM1097" t="s">
        <v>415</v>
      </c>
      <c r="BN1097" t="s">
        <v>74</v>
      </c>
      <c r="BO1097" t="s">
        <v>74</v>
      </c>
      <c r="BP1097" t="s">
        <v>74</v>
      </c>
      <c r="BQ1097" t="s">
        <v>74</v>
      </c>
      <c r="BR1097" t="s">
        <v>102</v>
      </c>
      <c r="BS1097" t="s">
        <v>18464</v>
      </c>
      <c r="BT1097" t="str">
        <f>HYPERLINK("https%3A%2F%2Fwww.webofscience.com%2Fwos%2Fwoscc%2Ffull-record%2FWOS:001150575800075","View Full Record in Web of Science")</f>
        <v>View Full Record in Web of Science</v>
      </c>
    </row>
    <row r="1098" spans="1:72" x14ac:dyDescent="0.35">
      <c r="A1098" t="s">
        <v>72</v>
      </c>
      <c r="B1098" t="s">
        <v>18465</v>
      </c>
      <c r="C1098" t="s">
        <v>74</v>
      </c>
      <c r="D1098" t="s">
        <v>74</v>
      </c>
      <c r="E1098" t="s">
        <v>74</v>
      </c>
      <c r="F1098" t="s">
        <v>18466</v>
      </c>
      <c r="G1098" t="s">
        <v>74</v>
      </c>
      <c r="H1098" t="s">
        <v>74</v>
      </c>
      <c r="I1098" t="s">
        <v>18467</v>
      </c>
      <c r="J1098" t="s">
        <v>18468</v>
      </c>
      <c r="K1098" t="s">
        <v>74</v>
      </c>
      <c r="L1098" t="s">
        <v>74</v>
      </c>
      <c r="M1098" t="s">
        <v>78</v>
      </c>
      <c r="N1098" t="s">
        <v>108</v>
      </c>
      <c r="O1098" t="s">
        <v>74</v>
      </c>
      <c r="P1098" t="s">
        <v>74</v>
      </c>
      <c r="Q1098" t="s">
        <v>74</v>
      </c>
      <c r="R1098" t="s">
        <v>74</v>
      </c>
      <c r="S1098" t="s">
        <v>74</v>
      </c>
      <c r="T1098" t="s">
        <v>18469</v>
      </c>
      <c r="U1098" t="s">
        <v>74</v>
      </c>
      <c r="V1098" t="s">
        <v>18470</v>
      </c>
      <c r="W1098" t="s">
        <v>18471</v>
      </c>
      <c r="X1098" t="s">
        <v>18472</v>
      </c>
      <c r="Y1098" t="s">
        <v>18473</v>
      </c>
      <c r="Z1098" t="s">
        <v>18474</v>
      </c>
      <c r="AA1098" t="s">
        <v>18475</v>
      </c>
      <c r="AB1098" t="s">
        <v>18476</v>
      </c>
      <c r="AC1098" t="s">
        <v>18477</v>
      </c>
      <c r="AD1098" t="s">
        <v>18478</v>
      </c>
      <c r="AE1098" t="s">
        <v>18479</v>
      </c>
      <c r="AF1098" t="s">
        <v>74</v>
      </c>
      <c r="AG1098">
        <v>90</v>
      </c>
      <c r="AH1098">
        <v>5</v>
      </c>
      <c r="AI1098">
        <v>5</v>
      </c>
      <c r="AJ1098">
        <v>20</v>
      </c>
      <c r="AK1098">
        <v>79</v>
      </c>
      <c r="AL1098" t="s">
        <v>718</v>
      </c>
      <c r="AM1098" t="s">
        <v>666</v>
      </c>
      <c r="AN1098" t="s">
        <v>18480</v>
      </c>
      <c r="AO1098" t="s">
        <v>18481</v>
      </c>
      <c r="AP1098" t="s">
        <v>18482</v>
      </c>
      <c r="AQ1098" t="s">
        <v>74</v>
      </c>
      <c r="AR1098" t="s">
        <v>18483</v>
      </c>
      <c r="AS1098" t="s">
        <v>18484</v>
      </c>
      <c r="AT1098" t="s">
        <v>257</v>
      </c>
      <c r="AU1098">
        <v>2023</v>
      </c>
      <c r="AV1098">
        <v>30</v>
      </c>
      <c r="AW1098">
        <v>3</v>
      </c>
      <c r="AX1098" t="s">
        <v>74</v>
      </c>
      <c r="AY1098" t="s">
        <v>74</v>
      </c>
      <c r="AZ1098" t="s">
        <v>74</v>
      </c>
      <c r="BA1098" t="s">
        <v>74</v>
      </c>
      <c r="BB1098" t="s">
        <v>74</v>
      </c>
      <c r="BC1098" t="s">
        <v>74</v>
      </c>
      <c r="BD1098">
        <v>35</v>
      </c>
      <c r="BE1098" t="s">
        <v>18485</v>
      </c>
      <c r="BF1098" t="str">
        <f>HYPERLINK("http://dx.doi.org/10.1145/3577199","http://dx.doi.org/10.1145/3577199")</f>
        <v>http://dx.doi.org/10.1145/3577199</v>
      </c>
      <c r="BG1098" t="s">
        <v>74</v>
      </c>
      <c r="BH1098" t="s">
        <v>74</v>
      </c>
      <c r="BI1098">
        <v>29</v>
      </c>
      <c r="BJ1098" t="s">
        <v>13609</v>
      </c>
      <c r="BK1098" t="s">
        <v>209</v>
      </c>
      <c r="BL1098" t="s">
        <v>210</v>
      </c>
      <c r="BM1098" t="s">
        <v>18486</v>
      </c>
      <c r="BN1098" t="s">
        <v>74</v>
      </c>
      <c r="BO1098" t="s">
        <v>74</v>
      </c>
      <c r="BP1098" t="s">
        <v>74</v>
      </c>
      <c r="BQ1098" t="s">
        <v>74</v>
      </c>
      <c r="BR1098" t="s">
        <v>102</v>
      </c>
      <c r="BS1098" t="s">
        <v>18487</v>
      </c>
      <c r="BT1098" t="str">
        <f>HYPERLINK("https%3A%2F%2Fwww.webofscience.com%2Fwos%2Fwoscc%2Ffull-record%2FWOS:001020343900002","View Full Record in Web of Science")</f>
        <v>View Full Record in Web of Science</v>
      </c>
    </row>
    <row r="1099" spans="1:72" x14ac:dyDescent="0.35">
      <c r="A1099" t="s">
        <v>128</v>
      </c>
      <c r="B1099" t="s">
        <v>18488</v>
      </c>
      <c r="C1099" t="s">
        <v>74</v>
      </c>
      <c r="D1099" t="s">
        <v>74</v>
      </c>
      <c r="E1099" t="s">
        <v>4235</v>
      </c>
      <c r="F1099" t="s">
        <v>18489</v>
      </c>
      <c r="G1099" t="s">
        <v>74</v>
      </c>
      <c r="H1099" t="s">
        <v>74</v>
      </c>
      <c r="I1099" t="s">
        <v>18490</v>
      </c>
      <c r="J1099" t="s">
        <v>18491</v>
      </c>
      <c r="K1099" t="s">
        <v>74</v>
      </c>
      <c r="L1099" t="s">
        <v>74</v>
      </c>
      <c r="M1099" t="s">
        <v>78</v>
      </c>
      <c r="N1099" t="s">
        <v>135</v>
      </c>
      <c r="O1099" t="s">
        <v>18492</v>
      </c>
      <c r="P1099" t="s">
        <v>18493</v>
      </c>
      <c r="Q1099" t="s">
        <v>138</v>
      </c>
      <c r="R1099" t="s">
        <v>18494</v>
      </c>
      <c r="S1099" t="s">
        <v>74</v>
      </c>
      <c r="T1099" t="s">
        <v>18495</v>
      </c>
      <c r="U1099" t="s">
        <v>18496</v>
      </c>
      <c r="V1099" t="s">
        <v>18497</v>
      </c>
      <c r="W1099" t="s">
        <v>18498</v>
      </c>
      <c r="X1099" t="s">
        <v>18499</v>
      </c>
      <c r="Y1099" t="s">
        <v>18500</v>
      </c>
      <c r="Z1099" t="s">
        <v>18501</v>
      </c>
      <c r="AA1099" t="s">
        <v>18502</v>
      </c>
      <c r="AB1099" t="s">
        <v>18503</v>
      </c>
      <c r="AC1099" t="s">
        <v>74</v>
      </c>
      <c r="AD1099" t="s">
        <v>74</v>
      </c>
      <c r="AE1099" t="s">
        <v>74</v>
      </c>
      <c r="AF1099" t="s">
        <v>74</v>
      </c>
      <c r="AG1099">
        <v>90</v>
      </c>
      <c r="AH1099">
        <v>22</v>
      </c>
      <c r="AI1099">
        <v>26</v>
      </c>
      <c r="AJ1099">
        <v>0</v>
      </c>
      <c r="AK1099">
        <v>4</v>
      </c>
      <c r="AL1099" t="s">
        <v>718</v>
      </c>
      <c r="AM1099" t="s">
        <v>666</v>
      </c>
      <c r="AN1099" t="s">
        <v>719</v>
      </c>
      <c r="AO1099" t="s">
        <v>74</v>
      </c>
      <c r="AP1099" t="s">
        <v>74</v>
      </c>
      <c r="AQ1099" t="s">
        <v>18504</v>
      </c>
      <c r="AR1099" t="s">
        <v>74</v>
      </c>
      <c r="AS1099" t="s">
        <v>74</v>
      </c>
      <c r="AT1099" t="s">
        <v>74</v>
      </c>
      <c r="AU1099">
        <v>2021</v>
      </c>
      <c r="AV1099" t="s">
        <v>74</v>
      </c>
      <c r="AW1099" t="s">
        <v>74</v>
      </c>
      <c r="AX1099" t="s">
        <v>74</v>
      </c>
      <c r="AY1099" t="s">
        <v>74</v>
      </c>
      <c r="AZ1099" t="s">
        <v>74</v>
      </c>
      <c r="BA1099" t="s">
        <v>74</v>
      </c>
      <c r="BB1099" t="s">
        <v>74</v>
      </c>
      <c r="BC1099" t="s">
        <v>74</v>
      </c>
      <c r="BD1099" t="s">
        <v>74</v>
      </c>
      <c r="BE1099" t="s">
        <v>18505</v>
      </c>
      <c r="BF1099" t="str">
        <f>HYPERLINK("http://dx.doi.org/10.1145/3411764.3445303","http://dx.doi.org/10.1145/3411764.3445303")</f>
        <v>http://dx.doi.org/10.1145/3411764.3445303</v>
      </c>
      <c r="BG1099" t="s">
        <v>74</v>
      </c>
      <c r="BH1099" t="s">
        <v>74</v>
      </c>
      <c r="BI1099">
        <v>15</v>
      </c>
      <c r="BJ1099" t="s">
        <v>18506</v>
      </c>
      <c r="BK1099" t="s">
        <v>723</v>
      </c>
      <c r="BL1099" t="s">
        <v>210</v>
      </c>
      <c r="BM1099" t="s">
        <v>18507</v>
      </c>
      <c r="BN1099" t="s">
        <v>74</v>
      </c>
      <c r="BO1099" t="s">
        <v>767</v>
      </c>
      <c r="BP1099" t="s">
        <v>74</v>
      </c>
      <c r="BQ1099" t="s">
        <v>74</v>
      </c>
      <c r="BR1099" t="s">
        <v>102</v>
      </c>
      <c r="BS1099" t="s">
        <v>18508</v>
      </c>
      <c r="BT1099" t="str">
        <f>HYPERLINK("https%3A%2F%2Fwww.webofscience.com%2Fwos%2Fwoscc%2Ffull-record%2FWOS:000758168003057","View Full Record in Web of Science")</f>
        <v>View Full Record in Web of Science</v>
      </c>
    </row>
    <row r="1100" spans="1:72" x14ac:dyDescent="0.35">
      <c r="A1100" t="s">
        <v>72</v>
      </c>
      <c r="B1100" t="s">
        <v>18509</v>
      </c>
      <c r="C1100" t="s">
        <v>74</v>
      </c>
      <c r="D1100" t="s">
        <v>74</v>
      </c>
      <c r="E1100" t="s">
        <v>74</v>
      </c>
      <c r="F1100" t="s">
        <v>18510</v>
      </c>
      <c r="G1100" t="s">
        <v>74</v>
      </c>
      <c r="H1100" t="s">
        <v>74</v>
      </c>
      <c r="I1100" t="s">
        <v>18511</v>
      </c>
      <c r="J1100" t="s">
        <v>438</v>
      </c>
      <c r="K1100" t="s">
        <v>74</v>
      </c>
      <c r="L1100" t="s">
        <v>74</v>
      </c>
      <c r="M1100" t="s">
        <v>78</v>
      </c>
      <c r="N1100" t="s">
        <v>108</v>
      </c>
      <c r="O1100" t="s">
        <v>74</v>
      </c>
      <c r="P1100" t="s">
        <v>74</v>
      </c>
      <c r="Q1100" t="s">
        <v>74</v>
      </c>
      <c r="R1100" t="s">
        <v>74</v>
      </c>
      <c r="S1100" t="s">
        <v>74</v>
      </c>
      <c r="T1100" t="s">
        <v>18512</v>
      </c>
      <c r="U1100" t="s">
        <v>18513</v>
      </c>
      <c r="V1100" t="s">
        <v>18514</v>
      </c>
      <c r="W1100" t="s">
        <v>18515</v>
      </c>
      <c r="X1100" t="s">
        <v>18516</v>
      </c>
      <c r="Y1100" t="s">
        <v>18517</v>
      </c>
      <c r="Z1100" t="s">
        <v>18518</v>
      </c>
      <c r="AA1100" t="s">
        <v>18519</v>
      </c>
      <c r="AB1100" t="s">
        <v>18520</v>
      </c>
      <c r="AC1100" t="s">
        <v>74</v>
      </c>
      <c r="AD1100" t="s">
        <v>74</v>
      </c>
      <c r="AE1100" t="s">
        <v>74</v>
      </c>
      <c r="AF1100" t="s">
        <v>74</v>
      </c>
      <c r="AG1100">
        <v>79</v>
      </c>
      <c r="AH1100">
        <v>9</v>
      </c>
      <c r="AI1100">
        <v>9</v>
      </c>
      <c r="AJ1100">
        <v>12</v>
      </c>
      <c r="AK1100">
        <v>71</v>
      </c>
      <c r="AL1100" t="s">
        <v>226</v>
      </c>
      <c r="AM1100" t="s">
        <v>227</v>
      </c>
      <c r="AN1100" t="s">
        <v>228</v>
      </c>
      <c r="AO1100" t="s">
        <v>451</v>
      </c>
      <c r="AP1100" t="s">
        <v>452</v>
      </c>
      <c r="AQ1100" t="s">
        <v>74</v>
      </c>
      <c r="AR1100" t="s">
        <v>453</v>
      </c>
      <c r="AS1100" t="s">
        <v>454</v>
      </c>
      <c r="AT1100" t="s">
        <v>594</v>
      </c>
      <c r="AU1100">
        <v>2024</v>
      </c>
      <c r="AV1100">
        <v>26</v>
      </c>
      <c r="AW1100">
        <v>10</v>
      </c>
      <c r="AX1100" t="s">
        <v>74</v>
      </c>
      <c r="AY1100" t="s">
        <v>74</v>
      </c>
      <c r="AZ1100" t="s">
        <v>74</v>
      </c>
      <c r="BA1100" t="s">
        <v>74</v>
      </c>
      <c r="BB1100">
        <v>6040</v>
      </c>
      <c r="BC1100">
        <v>6058</v>
      </c>
      <c r="BD1100" t="s">
        <v>74</v>
      </c>
      <c r="BE1100" t="s">
        <v>18521</v>
      </c>
      <c r="BF1100" t="str">
        <f>HYPERLINK("http://dx.doi.org/10.1177/14614448221147284","http://dx.doi.org/10.1177/14614448221147284")</f>
        <v>http://dx.doi.org/10.1177/14614448221147284</v>
      </c>
      <c r="BG1100" t="s">
        <v>74</v>
      </c>
      <c r="BH1100" t="s">
        <v>3638</v>
      </c>
      <c r="BI1100">
        <v>19</v>
      </c>
      <c r="BJ1100" t="s">
        <v>124</v>
      </c>
      <c r="BK1100" t="s">
        <v>99</v>
      </c>
      <c r="BL1100" t="s">
        <v>124</v>
      </c>
      <c r="BM1100" t="s">
        <v>3971</v>
      </c>
      <c r="BN1100" t="s">
        <v>74</v>
      </c>
      <c r="BO1100" t="s">
        <v>74</v>
      </c>
      <c r="BP1100" t="s">
        <v>74</v>
      </c>
      <c r="BQ1100" t="s">
        <v>74</v>
      </c>
      <c r="BR1100" t="s">
        <v>102</v>
      </c>
      <c r="BS1100" t="s">
        <v>18522</v>
      </c>
      <c r="BT1100" t="str">
        <f>HYPERLINK("https%3A%2F%2Fwww.webofscience.com%2Fwos%2Fwoscc%2Ffull-record%2FWOS:000913109100001","View Full Record in Web of Science")</f>
        <v>View Full Record in Web of Science</v>
      </c>
    </row>
    <row r="1101" spans="1:72" x14ac:dyDescent="0.35">
      <c r="A1101" t="s">
        <v>72</v>
      </c>
      <c r="B1101" t="s">
        <v>18523</v>
      </c>
      <c r="C1101" t="s">
        <v>74</v>
      </c>
      <c r="D1101" t="s">
        <v>74</v>
      </c>
      <c r="E1101" t="s">
        <v>74</v>
      </c>
      <c r="F1101" t="s">
        <v>18524</v>
      </c>
      <c r="G1101" t="s">
        <v>74</v>
      </c>
      <c r="H1101" t="s">
        <v>74</v>
      </c>
      <c r="I1101" t="s">
        <v>18525</v>
      </c>
      <c r="J1101" t="s">
        <v>6288</v>
      </c>
      <c r="K1101" t="s">
        <v>74</v>
      </c>
      <c r="L1101" t="s">
        <v>74</v>
      </c>
      <c r="M1101" t="s">
        <v>78</v>
      </c>
      <c r="N1101" t="s">
        <v>108</v>
      </c>
      <c r="O1101" t="s">
        <v>74</v>
      </c>
      <c r="P1101" t="s">
        <v>74</v>
      </c>
      <c r="Q1101" t="s">
        <v>74</v>
      </c>
      <c r="R1101" t="s">
        <v>74</v>
      </c>
      <c r="S1101" t="s">
        <v>74</v>
      </c>
      <c r="T1101" t="s">
        <v>18526</v>
      </c>
      <c r="U1101" t="s">
        <v>18527</v>
      </c>
      <c r="V1101" t="s">
        <v>18528</v>
      </c>
      <c r="W1101" t="s">
        <v>18529</v>
      </c>
      <c r="X1101" t="s">
        <v>12893</v>
      </c>
      <c r="Y1101" t="s">
        <v>18530</v>
      </c>
      <c r="Z1101" t="s">
        <v>18531</v>
      </c>
      <c r="AA1101" t="s">
        <v>74</v>
      </c>
      <c r="AB1101" t="s">
        <v>18532</v>
      </c>
      <c r="AC1101" t="s">
        <v>74</v>
      </c>
      <c r="AD1101" t="s">
        <v>74</v>
      </c>
      <c r="AE1101" t="s">
        <v>74</v>
      </c>
      <c r="AF1101" t="s">
        <v>74</v>
      </c>
      <c r="AG1101">
        <v>29</v>
      </c>
      <c r="AH1101">
        <v>18</v>
      </c>
      <c r="AI1101">
        <v>22</v>
      </c>
      <c r="AJ1101">
        <v>1</v>
      </c>
      <c r="AK1101">
        <v>35</v>
      </c>
      <c r="AL1101" t="s">
        <v>1965</v>
      </c>
      <c r="AM1101" t="s">
        <v>666</v>
      </c>
      <c r="AN1101" t="s">
        <v>1966</v>
      </c>
      <c r="AO1101" t="s">
        <v>6297</v>
      </c>
      <c r="AP1101" t="s">
        <v>6298</v>
      </c>
      <c r="AQ1101" t="s">
        <v>74</v>
      </c>
      <c r="AR1101" t="s">
        <v>6299</v>
      </c>
      <c r="AS1101" t="s">
        <v>6300</v>
      </c>
      <c r="AT1101" t="s">
        <v>745</v>
      </c>
      <c r="AU1101">
        <v>2021</v>
      </c>
      <c r="AV1101">
        <v>68</v>
      </c>
      <c r="AW1101">
        <v>5</v>
      </c>
      <c r="AX1101" t="s">
        <v>74</v>
      </c>
      <c r="AY1101" t="s">
        <v>74</v>
      </c>
      <c r="AZ1101" t="s">
        <v>74</v>
      </c>
      <c r="BA1101" t="s">
        <v>74</v>
      </c>
      <c r="BB1101">
        <v>863</v>
      </c>
      <c r="BC1101">
        <v>868</v>
      </c>
      <c r="BD1101" t="s">
        <v>74</v>
      </c>
      <c r="BE1101" t="s">
        <v>18533</v>
      </c>
      <c r="BF1101" t="str">
        <f>HYPERLINK("http://dx.doi.org/10.1016/j.jadohealth.2021.02.012","http://dx.doi.org/10.1016/j.jadohealth.2021.02.012")</f>
        <v>http://dx.doi.org/10.1016/j.jadohealth.2021.02.012</v>
      </c>
      <c r="BG1101" t="s">
        <v>74</v>
      </c>
      <c r="BH1101" t="s">
        <v>8593</v>
      </c>
      <c r="BI1101">
        <v>6</v>
      </c>
      <c r="BJ1101" t="s">
        <v>6302</v>
      </c>
      <c r="BK1101" t="s">
        <v>182</v>
      </c>
      <c r="BL1101" t="s">
        <v>6303</v>
      </c>
      <c r="BM1101" t="s">
        <v>12715</v>
      </c>
      <c r="BN1101">
        <v>33824071</v>
      </c>
      <c r="BO1101" t="s">
        <v>74</v>
      </c>
      <c r="BP1101" t="s">
        <v>74</v>
      </c>
      <c r="BQ1101" t="s">
        <v>74</v>
      </c>
      <c r="BR1101" t="s">
        <v>102</v>
      </c>
      <c r="BS1101" t="s">
        <v>18534</v>
      </c>
      <c r="BT1101" t="str">
        <f>HYPERLINK("https%3A%2F%2Fwww.webofscience.com%2Fwos%2Fwoscc%2Ffull-record%2FWOS:000643486900009","View Full Record in Web of Science")</f>
        <v>View Full Record in Web of Science</v>
      </c>
    </row>
    <row r="1102" spans="1:72" x14ac:dyDescent="0.35">
      <c r="A1102" t="s">
        <v>72</v>
      </c>
      <c r="B1102" t="s">
        <v>18535</v>
      </c>
      <c r="C1102" t="s">
        <v>74</v>
      </c>
      <c r="D1102" t="s">
        <v>74</v>
      </c>
      <c r="E1102" t="s">
        <v>74</v>
      </c>
      <c r="F1102" t="s">
        <v>18536</v>
      </c>
      <c r="G1102" t="s">
        <v>74</v>
      </c>
      <c r="H1102" t="s">
        <v>74</v>
      </c>
      <c r="I1102" t="s">
        <v>18537</v>
      </c>
      <c r="J1102" t="s">
        <v>18538</v>
      </c>
      <c r="K1102" t="s">
        <v>74</v>
      </c>
      <c r="L1102" t="s">
        <v>74</v>
      </c>
      <c r="M1102" t="s">
        <v>1556</v>
      </c>
      <c r="N1102" t="s">
        <v>108</v>
      </c>
      <c r="O1102" t="s">
        <v>74</v>
      </c>
      <c r="P1102" t="s">
        <v>74</v>
      </c>
      <c r="Q1102" t="s">
        <v>74</v>
      </c>
      <c r="R1102" t="s">
        <v>74</v>
      </c>
      <c r="S1102" t="s">
        <v>74</v>
      </c>
      <c r="T1102" t="s">
        <v>18539</v>
      </c>
      <c r="U1102" t="s">
        <v>74</v>
      </c>
      <c r="V1102" t="s">
        <v>18540</v>
      </c>
      <c r="W1102" t="s">
        <v>18541</v>
      </c>
      <c r="X1102" t="s">
        <v>18542</v>
      </c>
      <c r="Y1102" t="s">
        <v>18543</v>
      </c>
      <c r="Z1102" t="s">
        <v>18544</v>
      </c>
      <c r="AA1102" t="s">
        <v>18545</v>
      </c>
      <c r="AB1102" t="s">
        <v>18546</v>
      </c>
      <c r="AC1102" t="s">
        <v>74</v>
      </c>
      <c r="AD1102" t="s">
        <v>74</v>
      </c>
      <c r="AE1102" t="s">
        <v>74</v>
      </c>
      <c r="AF1102" t="s">
        <v>74</v>
      </c>
      <c r="AG1102">
        <v>38</v>
      </c>
      <c r="AH1102">
        <v>0</v>
      </c>
      <c r="AI1102">
        <v>0</v>
      </c>
      <c r="AJ1102">
        <v>1</v>
      </c>
      <c r="AK1102">
        <v>13</v>
      </c>
      <c r="AL1102" t="s">
        <v>18547</v>
      </c>
      <c r="AM1102" t="s">
        <v>18548</v>
      </c>
      <c r="AN1102" t="s">
        <v>18549</v>
      </c>
      <c r="AO1102" t="s">
        <v>18550</v>
      </c>
      <c r="AP1102" t="s">
        <v>18551</v>
      </c>
      <c r="AQ1102" t="s">
        <v>74</v>
      </c>
      <c r="AR1102" t="s">
        <v>18552</v>
      </c>
      <c r="AS1102" t="s">
        <v>18553</v>
      </c>
      <c r="AT1102" t="s">
        <v>1275</v>
      </c>
      <c r="AU1102">
        <v>2021</v>
      </c>
      <c r="AV1102">
        <v>44</v>
      </c>
      <c r="AW1102" t="s">
        <v>74</v>
      </c>
      <c r="AX1102" t="s">
        <v>74</v>
      </c>
      <c r="AY1102" t="s">
        <v>74</v>
      </c>
      <c r="AZ1102" t="s">
        <v>74</v>
      </c>
      <c r="BA1102" t="s">
        <v>74</v>
      </c>
      <c r="BB1102">
        <v>93</v>
      </c>
      <c r="BC1102">
        <v>109</v>
      </c>
      <c r="BD1102" t="s">
        <v>74</v>
      </c>
      <c r="BE1102" t="s">
        <v>18554</v>
      </c>
      <c r="BF1102" t="str">
        <f>HYPERLINK("http://dx.doi.org/10.17223/22220836/44/8","http://dx.doi.org/10.17223/22220836/44/8")</f>
        <v>http://dx.doi.org/10.17223/22220836/44/8</v>
      </c>
      <c r="BG1102" t="s">
        <v>74</v>
      </c>
      <c r="BH1102" t="s">
        <v>74</v>
      </c>
      <c r="BI1102">
        <v>17</v>
      </c>
      <c r="BJ1102" t="s">
        <v>4461</v>
      </c>
      <c r="BK1102" t="s">
        <v>125</v>
      </c>
      <c r="BL1102" t="s">
        <v>4462</v>
      </c>
      <c r="BM1102" t="s">
        <v>18555</v>
      </c>
      <c r="BN1102" t="s">
        <v>74</v>
      </c>
      <c r="BO1102" t="s">
        <v>74</v>
      </c>
      <c r="BP1102" t="s">
        <v>74</v>
      </c>
      <c r="BQ1102" t="s">
        <v>74</v>
      </c>
      <c r="BR1102" t="s">
        <v>102</v>
      </c>
      <c r="BS1102" t="s">
        <v>18556</v>
      </c>
      <c r="BT1102" t="str">
        <f>HYPERLINK("https%3A%2F%2Fwww.webofscience.com%2Fwos%2Fwoscc%2Ffull-record%2FWOS:000748566700008","View Full Record in Web of Science")</f>
        <v>View Full Record in Web of Science</v>
      </c>
    </row>
    <row r="1103" spans="1:72" x14ac:dyDescent="0.35">
      <c r="A1103" t="s">
        <v>72</v>
      </c>
      <c r="B1103" t="s">
        <v>18557</v>
      </c>
      <c r="C1103" t="s">
        <v>74</v>
      </c>
      <c r="D1103" t="s">
        <v>74</v>
      </c>
      <c r="E1103" t="s">
        <v>74</v>
      </c>
      <c r="F1103" t="s">
        <v>18558</v>
      </c>
      <c r="G1103" t="s">
        <v>74</v>
      </c>
      <c r="H1103" t="s">
        <v>74</v>
      </c>
      <c r="I1103" t="s">
        <v>18559</v>
      </c>
      <c r="J1103" t="s">
        <v>18560</v>
      </c>
      <c r="K1103" t="s">
        <v>74</v>
      </c>
      <c r="L1103" t="s">
        <v>74</v>
      </c>
      <c r="M1103" t="s">
        <v>78</v>
      </c>
      <c r="N1103" t="s">
        <v>108</v>
      </c>
      <c r="O1103" t="s">
        <v>74</v>
      </c>
      <c r="P1103" t="s">
        <v>74</v>
      </c>
      <c r="Q1103" t="s">
        <v>74</v>
      </c>
      <c r="R1103" t="s">
        <v>74</v>
      </c>
      <c r="S1103" t="s">
        <v>74</v>
      </c>
      <c r="T1103" t="s">
        <v>74</v>
      </c>
      <c r="U1103" t="s">
        <v>18561</v>
      </c>
      <c r="V1103" t="s">
        <v>18562</v>
      </c>
      <c r="W1103" t="s">
        <v>74</v>
      </c>
      <c r="X1103" t="s">
        <v>74</v>
      </c>
      <c r="Y1103" t="s">
        <v>74</v>
      </c>
      <c r="Z1103" t="s">
        <v>74</v>
      </c>
      <c r="AA1103" t="s">
        <v>74</v>
      </c>
      <c r="AB1103" t="s">
        <v>74</v>
      </c>
      <c r="AC1103" t="s">
        <v>74</v>
      </c>
      <c r="AD1103" t="s">
        <v>74</v>
      </c>
      <c r="AE1103" t="s">
        <v>74</v>
      </c>
      <c r="AF1103" t="s">
        <v>74</v>
      </c>
      <c r="AG1103">
        <v>153</v>
      </c>
      <c r="AH1103">
        <v>0</v>
      </c>
      <c r="AI1103">
        <v>0</v>
      </c>
      <c r="AJ1103">
        <v>3</v>
      </c>
      <c r="AK1103">
        <v>3</v>
      </c>
      <c r="AL1103" t="s">
        <v>18563</v>
      </c>
      <c r="AM1103" t="s">
        <v>666</v>
      </c>
      <c r="AN1103" t="s">
        <v>18564</v>
      </c>
      <c r="AO1103" t="s">
        <v>18565</v>
      </c>
      <c r="AP1103" t="s">
        <v>74</v>
      </c>
      <c r="AQ1103" t="s">
        <v>74</v>
      </c>
      <c r="AR1103" t="s">
        <v>18566</v>
      </c>
      <c r="AS1103" t="s">
        <v>18567</v>
      </c>
      <c r="AT1103" t="s">
        <v>257</v>
      </c>
      <c r="AU1103">
        <v>2024</v>
      </c>
      <c r="AV1103">
        <v>99</v>
      </c>
      <c r="AW1103">
        <v>3</v>
      </c>
      <c r="AX1103" t="s">
        <v>74</v>
      </c>
      <c r="AY1103" t="s">
        <v>74</v>
      </c>
      <c r="AZ1103" t="s">
        <v>74</v>
      </c>
      <c r="BA1103" t="s">
        <v>74</v>
      </c>
      <c r="BB1103">
        <v>1045</v>
      </c>
      <c r="BC1103">
        <v>1096</v>
      </c>
      <c r="BD1103" t="s">
        <v>74</v>
      </c>
      <c r="BE1103" t="s">
        <v>74</v>
      </c>
      <c r="BF1103" t="s">
        <v>74</v>
      </c>
      <c r="BG1103" t="s">
        <v>74</v>
      </c>
      <c r="BH1103" t="s">
        <v>74</v>
      </c>
      <c r="BI1103">
        <v>52</v>
      </c>
      <c r="BJ1103" t="s">
        <v>10320</v>
      </c>
      <c r="BK1103" t="s">
        <v>99</v>
      </c>
      <c r="BL1103" t="s">
        <v>8015</v>
      </c>
      <c r="BM1103" t="s">
        <v>18568</v>
      </c>
      <c r="BN1103" t="s">
        <v>74</v>
      </c>
      <c r="BO1103" t="s">
        <v>74</v>
      </c>
      <c r="BP1103" t="s">
        <v>74</v>
      </c>
      <c r="BQ1103" t="s">
        <v>74</v>
      </c>
      <c r="BR1103" t="s">
        <v>102</v>
      </c>
      <c r="BS1103" t="s">
        <v>18569</v>
      </c>
      <c r="BT1103" t="str">
        <f>HYPERLINK("https%3A%2F%2Fwww.webofscience.com%2Fwos%2Fwoscc%2Ffull-record%2FWOS:001261742700003","View Full Record in Web of Science")</f>
        <v>View Full Record in Web of Science</v>
      </c>
    </row>
    <row r="1104" spans="1:72" x14ac:dyDescent="0.35">
      <c r="A1104" t="s">
        <v>72</v>
      </c>
      <c r="B1104" t="s">
        <v>18570</v>
      </c>
      <c r="C1104" t="s">
        <v>74</v>
      </c>
      <c r="D1104" t="s">
        <v>74</v>
      </c>
      <c r="E1104" t="s">
        <v>74</v>
      </c>
      <c r="F1104" t="s">
        <v>18571</v>
      </c>
      <c r="G1104" t="s">
        <v>74</v>
      </c>
      <c r="H1104" t="s">
        <v>74</v>
      </c>
      <c r="I1104" t="s">
        <v>18572</v>
      </c>
      <c r="J1104" t="s">
        <v>2020</v>
      </c>
      <c r="K1104" t="s">
        <v>74</v>
      </c>
      <c r="L1104" t="s">
        <v>74</v>
      </c>
      <c r="M1104" t="s">
        <v>78</v>
      </c>
      <c r="N1104" t="s">
        <v>108</v>
      </c>
      <c r="O1104" t="s">
        <v>74</v>
      </c>
      <c r="P1104" t="s">
        <v>74</v>
      </c>
      <c r="Q1104" t="s">
        <v>74</v>
      </c>
      <c r="R1104" t="s">
        <v>74</v>
      </c>
      <c r="S1104" t="s">
        <v>74</v>
      </c>
      <c r="T1104" t="s">
        <v>74</v>
      </c>
      <c r="U1104" t="s">
        <v>18573</v>
      </c>
      <c r="V1104" t="s">
        <v>18574</v>
      </c>
      <c r="W1104" t="s">
        <v>18575</v>
      </c>
      <c r="X1104" t="s">
        <v>10102</v>
      </c>
      <c r="Y1104" t="s">
        <v>18576</v>
      </c>
      <c r="Z1104" t="s">
        <v>18577</v>
      </c>
      <c r="AA1104" t="s">
        <v>74</v>
      </c>
      <c r="AB1104" t="s">
        <v>18578</v>
      </c>
      <c r="AC1104" t="s">
        <v>74</v>
      </c>
      <c r="AD1104" t="s">
        <v>74</v>
      </c>
      <c r="AE1104" t="s">
        <v>74</v>
      </c>
      <c r="AF1104" t="s">
        <v>74</v>
      </c>
      <c r="AG1104">
        <v>58</v>
      </c>
      <c r="AH1104">
        <v>26</v>
      </c>
      <c r="AI1104">
        <v>28</v>
      </c>
      <c r="AJ1104">
        <v>0</v>
      </c>
      <c r="AK1104">
        <v>28</v>
      </c>
      <c r="AL1104" t="s">
        <v>2027</v>
      </c>
      <c r="AM1104" t="s">
        <v>666</v>
      </c>
      <c r="AN1104" t="s">
        <v>2028</v>
      </c>
      <c r="AO1104" t="s">
        <v>2029</v>
      </c>
      <c r="AP1104" t="s">
        <v>74</v>
      </c>
      <c r="AQ1104" t="s">
        <v>74</v>
      </c>
      <c r="AR1104" t="s">
        <v>2030</v>
      </c>
      <c r="AS1104" t="s">
        <v>2031</v>
      </c>
      <c r="AT1104" t="s">
        <v>18579</v>
      </c>
      <c r="AU1104">
        <v>2021</v>
      </c>
      <c r="AV1104">
        <v>50</v>
      </c>
      <c r="AW1104">
        <v>2</v>
      </c>
      <c r="AX1104" t="s">
        <v>74</v>
      </c>
      <c r="AY1104" t="s">
        <v>74</v>
      </c>
      <c r="AZ1104" t="s">
        <v>74</v>
      </c>
      <c r="BA1104" t="s">
        <v>74</v>
      </c>
      <c r="BB1104">
        <v>126</v>
      </c>
      <c r="BC1104">
        <v>131</v>
      </c>
      <c r="BD1104" t="s">
        <v>74</v>
      </c>
      <c r="BE1104" t="s">
        <v>18580</v>
      </c>
      <c r="BF1104" t="str">
        <f>HYPERLINK("http://dx.doi.org/10.1067/j.cpradiol.2020.10.004","http://dx.doi.org/10.1067/j.cpradiol.2020.10.004")</f>
        <v>http://dx.doi.org/10.1067/j.cpradiol.2020.10.004</v>
      </c>
      <c r="BG1104" t="s">
        <v>74</v>
      </c>
      <c r="BH1104" t="s">
        <v>5316</v>
      </c>
      <c r="BI1104">
        <v>6</v>
      </c>
      <c r="BJ1104" t="s">
        <v>2035</v>
      </c>
      <c r="BK1104" t="s">
        <v>125</v>
      </c>
      <c r="BL1104" t="s">
        <v>2035</v>
      </c>
      <c r="BM1104" t="s">
        <v>18581</v>
      </c>
      <c r="BN1104">
        <v>33250298</v>
      </c>
      <c r="BO1104" t="s">
        <v>74</v>
      </c>
      <c r="BP1104" t="s">
        <v>74</v>
      </c>
      <c r="BQ1104" t="s">
        <v>74</v>
      </c>
      <c r="BR1104" t="s">
        <v>102</v>
      </c>
      <c r="BS1104" t="s">
        <v>18582</v>
      </c>
      <c r="BT1104" t="str">
        <f>HYPERLINK("https%3A%2F%2Fwww.webofscience.com%2Fwos%2Fwoscc%2Ffull-record%2FWOS:000610127600005","View Full Record in Web of Science")</f>
        <v>View Full Record in Web of Science</v>
      </c>
    </row>
    <row r="1105" spans="1:72" x14ac:dyDescent="0.35">
      <c r="A1105" t="s">
        <v>128</v>
      </c>
      <c r="B1105" t="s">
        <v>18583</v>
      </c>
      <c r="C1105" t="s">
        <v>74</v>
      </c>
      <c r="D1105" t="s">
        <v>18584</v>
      </c>
      <c r="E1105" t="s">
        <v>74</v>
      </c>
      <c r="F1105" t="s">
        <v>18585</v>
      </c>
      <c r="G1105" t="s">
        <v>74</v>
      </c>
      <c r="H1105" t="s">
        <v>74</v>
      </c>
      <c r="I1105" t="s">
        <v>18586</v>
      </c>
      <c r="J1105" t="s">
        <v>18587</v>
      </c>
      <c r="K1105" t="s">
        <v>74</v>
      </c>
      <c r="L1105" t="s">
        <v>74</v>
      </c>
      <c r="M1105" t="s">
        <v>78</v>
      </c>
      <c r="N1105" t="s">
        <v>135</v>
      </c>
      <c r="O1105" t="s">
        <v>18588</v>
      </c>
      <c r="P1105" t="s">
        <v>18589</v>
      </c>
      <c r="Q1105" t="s">
        <v>18590</v>
      </c>
      <c r="R1105" t="s">
        <v>18591</v>
      </c>
      <c r="S1105" t="s">
        <v>74</v>
      </c>
      <c r="T1105" t="s">
        <v>18592</v>
      </c>
      <c r="U1105" t="s">
        <v>18593</v>
      </c>
      <c r="V1105" t="s">
        <v>18594</v>
      </c>
      <c r="W1105" t="s">
        <v>18595</v>
      </c>
      <c r="X1105" t="s">
        <v>18596</v>
      </c>
      <c r="Y1105" t="s">
        <v>18597</v>
      </c>
      <c r="Z1105" t="s">
        <v>18598</v>
      </c>
      <c r="AA1105" t="s">
        <v>18599</v>
      </c>
      <c r="AB1105" t="s">
        <v>18600</v>
      </c>
      <c r="AC1105" t="s">
        <v>18601</v>
      </c>
      <c r="AD1105" t="s">
        <v>18602</v>
      </c>
      <c r="AE1105" t="s">
        <v>18603</v>
      </c>
      <c r="AF1105" t="s">
        <v>74</v>
      </c>
      <c r="AG1105">
        <v>35</v>
      </c>
      <c r="AH1105">
        <v>1</v>
      </c>
      <c r="AI1105">
        <v>1</v>
      </c>
      <c r="AJ1105">
        <v>3</v>
      </c>
      <c r="AK1105">
        <v>5</v>
      </c>
      <c r="AL1105" t="s">
        <v>718</v>
      </c>
      <c r="AM1105" t="s">
        <v>666</v>
      </c>
      <c r="AN1105" t="s">
        <v>719</v>
      </c>
      <c r="AO1105" t="s">
        <v>74</v>
      </c>
      <c r="AP1105" t="s">
        <v>74</v>
      </c>
      <c r="AQ1105" t="s">
        <v>18604</v>
      </c>
      <c r="AR1105" t="s">
        <v>74</v>
      </c>
      <c r="AS1105" t="s">
        <v>74</v>
      </c>
      <c r="AT1105" t="s">
        <v>74</v>
      </c>
      <c r="AU1105">
        <v>2023</v>
      </c>
      <c r="AV1105" t="s">
        <v>74</v>
      </c>
      <c r="AW1105" t="s">
        <v>74</v>
      </c>
      <c r="AX1105" t="s">
        <v>74</v>
      </c>
      <c r="AY1105" t="s">
        <v>74</v>
      </c>
      <c r="AZ1105" t="s">
        <v>74</v>
      </c>
      <c r="BA1105" t="s">
        <v>74</v>
      </c>
      <c r="BB1105">
        <v>144</v>
      </c>
      <c r="BC1105">
        <v>152</v>
      </c>
      <c r="BD1105" t="s">
        <v>74</v>
      </c>
      <c r="BE1105" t="s">
        <v>18605</v>
      </c>
      <c r="BF1105" t="str">
        <f>HYPERLINK("http://dx.doi.org/10.1145/3598469.3598485","http://dx.doi.org/10.1145/3598469.3598485")</f>
        <v>http://dx.doi.org/10.1145/3598469.3598485</v>
      </c>
      <c r="BG1105" t="s">
        <v>74</v>
      </c>
      <c r="BH1105" t="s">
        <v>74</v>
      </c>
      <c r="BI1105">
        <v>9</v>
      </c>
      <c r="BJ1105" t="s">
        <v>18606</v>
      </c>
      <c r="BK1105" t="s">
        <v>648</v>
      </c>
      <c r="BL1105" t="s">
        <v>18607</v>
      </c>
      <c r="BM1105" t="s">
        <v>18608</v>
      </c>
      <c r="BN1105" t="s">
        <v>74</v>
      </c>
      <c r="BO1105" t="s">
        <v>74</v>
      </c>
      <c r="BP1105" t="s">
        <v>74</v>
      </c>
      <c r="BQ1105" t="s">
        <v>74</v>
      </c>
      <c r="BR1105" t="s">
        <v>102</v>
      </c>
      <c r="BS1105" t="s">
        <v>18609</v>
      </c>
      <c r="BT1105" t="str">
        <f>HYPERLINK("https%3A%2F%2Fwww.webofscience.com%2Fwos%2Fwoscc%2Ffull-record%2FWOS:001048270700016","View Full Record in Web of Science")</f>
        <v>View Full Record in Web of Science</v>
      </c>
    </row>
    <row r="1106" spans="1:72" x14ac:dyDescent="0.35">
      <c r="A1106" t="s">
        <v>72</v>
      </c>
      <c r="B1106" t="s">
        <v>18610</v>
      </c>
      <c r="C1106" t="s">
        <v>74</v>
      </c>
      <c r="D1106" t="s">
        <v>74</v>
      </c>
      <c r="E1106" t="s">
        <v>74</v>
      </c>
      <c r="F1106" t="s">
        <v>18611</v>
      </c>
      <c r="G1106" t="s">
        <v>74</v>
      </c>
      <c r="H1106" t="s">
        <v>74</v>
      </c>
      <c r="I1106" t="s">
        <v>18612</v>
      </c>
      <c r="J1106" t="s">
        <v>18613</v>
      </c>
      <c r="K1106" t="s">
        <v>74</v>
      </c>
      <c r="L1106" t="s">
        <v>74</v>
      </c>
      <c r="M1106" t="s">
        <v>78</v>
      </c>
      <c r="N1106" t="s">
        <v>108</v>
      </c>
      <c r="O1106" t="s">
        <v>74</v>
      </c>
      <c r="P1106" t="s">
        <v>74</v>
      </c>
      <c r="Q1106" t="s">
        <v>74</v>
      </c>
      <c r="R1106" t="s">
        <v>74</v>
      </c>
      <c r="S1106" t="s">
        <v>74</v>
      </c>
      <c r="T1106" t="s">
        <v>74</v>
      </c>
      <c r="U1106" t="s">
        <v>74</v>
      </c>
      <c r="V1106" t="s">
        <v>18614</v>
      </c>
      <c r="W1106" t="s">
        <v>18615</v>
      </c>
      <c r="X1106" t="s">
        <v>18616</v>
      </c>
      <c r="Y1106" t="s">
        <v>18617</v>
      </c>
      <c r="Z1106" t="s">
        <v>18618</v>
      </c>
      <c r="AA1106" t="s">
        <v>74</v>
      </c>
      <c r="AB1106" t="s">
        <v>74</v>
      </c>
      <c r="AC1106" t="s">
        <v>74</v>
      </c>
      <c r="AD1106" t="s">
        <v>74</v>
      </c>
      <c r="AE1106" t="s">
        <v>74</v>
      </c>
      <c r="AF1106" t="s">
        <v>74</v>
      </c>
      <c r="AG1106">
        <v>61</v>
      </c>
      <c r="AH1106">
        <v>1</v>
      </c>
      <c r="AI1106">
        <v>1</v>
      </c>
      <c r="AJ1106">
        <v>0</v>
      </c>
      <c r="AK1106">
        <v>4</v>
      </c>
      <c r="AL1106" t="s">
        <v>88</v>
      </c>
      <c r="AM1106" t="s">
        <v>89</v>
      </c>
      <c r="AN1106" t="s">
        <v>90</v>
      </c>
      <c r="AO1106" t="s">
        <v>18619</v>
      </c>
      <c r="AP1106" t="s">
        <v>18620</v>
      </c>
      <c r="AQ1106" t="s">
        <v>74</v>
      </c>
      <c r="AR1106" t="s">
        <v>18621</v>
      </c>
      <c r="AS1106" t="s">
        <v>18622</v>
      </c>
      <c r="AT1106" t="s">
        <v>18623</v>
      </c>
      <c r="AU1106">
        <v>2024</v>
      </c>
      <c r="AV1106">
        <v>37</v>
      </c>
      <c r="AW1106">
        <v>4</v>
      </c>
      <c r="AX1106" t="s">
        <v>74</v>
      </c>
      <c r="AY1106" t="s">
        <v>74</v>
      </c>
      <c r="AZ1106" t="s">
        <v>74</v>
      </c>
      <c r="BA1106" t="s">
        <v>74</v>
      </c>
      <c r="BB1106">
        <v>960</v>
      </c>
      <c r="BC1106">
        <v>974</v>
      </c>
      <c r="BD1106" t="s">
        <v>74</v>
      </c>
      <c r="BE1106" t="s">
        <v>18624</v>
      </c>
      <c r="BF1106" t="str">
        <f>HYPERLINK("http://dx.doi.org/10.1080/09518398.2022.2146774","http://dx.doi.org/10.1080/09518398.2022.2146774")</f>
        <v>http://dx.doi.org/10.1080/09518398.2022.2146774</v>
      </c>
      <c r="BG1106" t="s">
        <v>74</v>
      </c>
      <c r="BH1106" t="s">
        <v>366</v>
      </c>
      <c r="BI1106">
        <v>15</v>
      </c>
      <c r="BJ1106" t="s">
        <v>787</v>
      </c>
      <c r="BK1106" t="s">
        <v>125</v>
      </c>
      <c r="BL1106" t="s">
        <v>787</v>
      </c>
      <c r="BM1106" t="s">
        <v>18625</v>
      </c>
      <c r="BN1106" t="s">
        <v>74</v>
      </c>
      <c r="BO1106" t="s">
        <v>74</v>
      </c>
      <c r="BP1106" t="s">
        <v>74</v>
      </c>
      <c r="BQ1106" t="s">
        <v>74</v>
      </c>
      <c r="BR1106" t="s">
        <v>102</v>
      </c>
      <c r="BS1106" t="s">
        <v>18626</v>
      </c>
      <c r="BT1106" t="str">
        <f>HYPERLINK("https%3A%2F%2Fwww.webofscience.com%2Fwos%2Fwoscc%2Ffull-record%2FWOS:000889507600001","View Full Record in Web of Science")</f>
        <v>View Full Record in Web of Science</v>
      </c>
    </row>
    <row r="1107" spans="1:72" x14ac:dyDescent="0.35">
      <c r="A1107" t="s">
        <v>72</v>
      </c>
      <c r="B1107" t="s">
        <v>18627</v>
      </c>
      <c r="C1107" t="s">
        <v>74</v>
      </c>
      <c r="D1107" t="s">
        <v>74</v>
      </c>
      <c r="E1107" t="s">
        <v>74</v>
      </c>
      <c r="F1107" t="s">
        <v>18628</v>
      </c>
      <c r="G1107" t="s">
        <v>74</v>
      </c>
      <c r="H1107" t="s">
        <v>74</v>
      </c>
      <c r="I1107" t="s">
        <v>18629</v>
      </c>
      <c r="J1107" t="s">
        <v>11993</v>
      </c>
      <c r="K1107" t="s">
        <v>74</v>
      </c>
      <c r="L1107" t="s">
        <v>74</v>
      </c>
      <c r="M1107" t="s">
        <v>78</v>
      </c>
      <c r="N1107" t="s">
        <v>108</v>
      </c>
      <c r="O1107" t="s">
        <v>74</v>
      </c>
      <c r="P1107" t="s">
        <v>74</v>
      </c>
      <c r="Q1107" t="s">
        <v>74</v>
      </c>
      <c r="R1107" t="s">
        <v>74</v>
      </c>
      <c r="S1107" t="s">
        <v>74</v>
      </c>
      <c r="T1107" t="s">
        <v>18630</v>
      </c>
      <c r="U1107" t="s">
        <v>18631</v>
      </c>
      <c r="V1107" t="s">
        <v>18632</v>
      </c>
      <c r="W1107" t="s">
        <v>18633</v>
      </c>
      <c r="X1107" t="s">
        <v>18634</v>
      </c>
      <c r="Y1107" t="s">
        <v>18635</v>
      </c>
      <c r="Z1107" t="s">
        <v>928</v>
      </c>
      <c r="AA1107" t="s">
        <v>74</v>
      </c>
      <c r="AB1107" t="s">
        <v>929</v>
      </c>
      <c r="AC1107" t="s">
        <v>74</v>
      </c>
      <c r="AD1107" t="s">
        <v>74</v>
      </c>
      <c r="AE1107" t="s">
        <v>74</v>
      </c>
      <c r="AF1107" t="s">
        <v>74</v>
      </c>
      <c r="AG1107">
        <v>63</v>
      </c>
      <c r="AH1107">
        <v>10</v>
      </c>
      <c r="AI1107">
        <v>13</v>
      </c>
      <c r="AJ1107">
        <v>9</v>
      </c>
      <c r="AK1107">
        <v>47</v>
      </c>
      <c r="AL1107" t="s">
        <v>1965</v>
      </c>
      <c r="AM1107" t="s">
        <v>666</v>
      </c>
      <c r="AN1107" t="s">
        <v>1966</v>
      </c>
      <c r="AO1107" t="s">
        <v>12001</v>
      </c>
      <c r="AP1107" t="s">
        <v>12002</v>
      </c>
      <c r="AQ1107" t="s">
        <v>74</v>
      </c>
      <c r="AR1107" t="s">
        <v>12003</v>
      </c>
      <c r="AS1107" t="s">
        <v>12004</v>
      </c>
      <c r="AT1107" t="s">
        <v>594</v>
      </c>
      <c r="AU1107">
        <v>2022</v>
      </c>
      <c r="AV1107">
        <v>44</v>
      </c>
      <c r="AW1107">
        <v>4</v>
      </c>
      <c r="AX1107" t="s">
        <v>74</v>
      </c>
      <c r="AY1107" t="s">
        <v>74</v>
      </c>
      <c r="AZ1107" t="s">
        <v>74</v>
      </c>
      <c r="BA1107" t="s">
        <v>74</v>
      </c>
      <c r="BB1107" t="s">
        <v>74</v>
      </c>
      <c r="BC1107" t="s">
        <v>74</v>
      </c>
      <c r="BD1107">
        <v>101199</v>
      </c>
      <c r="BE1107" t="s">
        <v>18636</v>
      </c>
      <c r="BF1107" t="str">
        <f>HYPERLINK("http://dx.doi.org/10.1016/j.lisr.2022.101199","http://dx.doi.org/10.1016/j.lisr.2022.101199")</f>
        <v>http://dx.doi.org/10.1016/j.lisr.2022.101199</v>
      </c>
      <c r="BG1107" t="s">
        <v>74</v>
      </c>
      <c r="BH1107" t="s">
        <v>74</v>
      </c>
      <c r="BI1107">
        <v>8</v>
      </c>
      <c r="BJ1107" t="s">
        <v>1162</v>
      </c>
      <c r="BK1107" t="s">
        <v>99</v>
      </c>
      <c r="BL1107" t="s">
        <v>1162</v>
      </c>
      <c r="BM1107" t="s">
        <v>18637</v>
      </c>
      <c r="BN1107" t="s">
        <v>74</v>
      </c>
      <c r="BO1107" t="s">
        <v>74</v>
      </c>
      <c r="BP1107" t="s">
        <v>74</v>
      </c>
      <c r="BQ1107" t="s">
        <v>74</v>
      </c>
      <c r="BR1107" t="s">
        <v>102</v>
      </c>
      <c r="BS1107" t="s">
        <v>18638</v>
      </c>
      <c r="BT1107" t="str">
        <f>HYPERLINK("https%3A%2F%2Fwww.webofscience.com%2Fwos%2Fwoscc%2Ffull-record%2FWOS:000935578300005","View Full Record in Web of Science")</f>
        <v>View Full Record in Web of Science</v>
      </c>
    </row>
    <row r="1108" spans="1:72" x14ac:dyDescent="0.35">
      <c r="A1108" t="s">
        <v>72</v>
      </c>
      <c r="B1108" t="s">
        <v>18639</v>
      </c>
      <c r="C1108" t="s">
        <v>74</v>
      </c>
      <c r="D1108" t="s">
        <v>74</v>
      </c>
      <c r="E1108" t="s">
        <v>74</v>
      </c>
      <c r="F1108" t="s">
        <v>18640</v>
      </c>
      <c r="G1108" t="s">
        <v>74</v>
      </c>
      <c r="H1108" t="s">
        <v>74</v>
      </c>
      <c r="I1108" t="s">
        <v>18641</v>
      </c>
      <c r="J1108" t="s">
        <v>18642</v>
      </c>
      <c r="K1108" t="s">
        <v>74</v>
      </c>
      <c r="L1108" t="s">
        <v>74</v>
      </c>
      <c r="M1108" t="s">
        <v>78</v>
      </c>
      <c r="N1108" t="s">
        <v>108</v>
      </c>
      <c r="O1108" t="s">
        <v>74</v>
      </c>
      <c r="P1108" t="s">
        <v>74</v>
      </c>
      <c r="Q1108" t="s">
        <v>74</v>
      </c>
      <c r="R1108" t="s">
        <v>74</v>
      </c>
      <c r="S1108" t="s">
        <v>74</v>
      </c>
      <c r="T1108" t="s">
        <v>18643</v>
      </c>
      <c r="U1108" t="s">
        <v>18644</v>
      </c>
      <c r="V1108" t="s">
        <v>18645</v>
      </c>
      <c r="W1108" t="s">
        <v>18646</v>
      </c>
      <c r="X1108" t="s">
        <v>18647</v>
      </c>
      <c r="Y1108" t="s">
        <v>18648</v>
      </c>
      <c r="Z1108" t="s">
        <v>18649</v>
      </c>
      <c r="AA1108" t="s">
        <v>18650</v>
      </c>
      <c r="AB1108" t="s">
        <v>18651</v>
      </c>
      <c r="AC1108" t="s">
        <v>18652</v>
      </c>
      <c r="AD1108" t="s">
        <v>18653</v>
      </c>
      <c r="AE1108" t="s">
        <v>18654</v>
      </c>
      <c r="AF1108" t="s">
        <v>74</v>
      </c>
      <c r="AG1108">
        <v>147</v>
      </c>
      <c r="AH1108">
        <v>6</v>
      </c>
      <c r="AI1108">
        <v>6</v>
      </c>
      <c r="AJ1108">
        <v>17</v>
      </c>
      <c r="AK1108">
        <v>66</v>
      </c>
      <c r="AL1108" t="s">
        <v>199</v>
      </c>
      <c r="AM1108" t="s">
        <v>200</v>
      </c>
      <c r="AN1108" t="s">
        <v>471</v>
      </c>
      <c r="AO1108" t="s">
        <v>18655</v>
      </c>
      <c r="AP1108" t="s">
        <v>18656</v>
      </c>
      <c r="AQ1108" t="s">
        <v>74</v>
      </c>
      <c r="AR1108" t="s">
        <v>18657</v>
      </c>
      <c r="AS1108" t="s">
        <v>18658</v>
      </c>
      <c r="AT1108" t="s">
        <v>18659</v>
      </c>
      <c r="AU1108">
        <v>2024</v>
      </c>
      <c r="AV1108">
        <v>15</v>
      </c>
      <c r="AW1108">
        <v>2</v>
      </c>
      <c r="AX1108" t="s">
        <v>74</v>
      </c>
      <c r="AY1108" t="s">
        <v>74</v>
      </c>
      <c r="AZ1108" t="s">
        <v>74</v>
      </c>
      <c r="BA1108" t="s">
        <v>74</v>
      </c>
      <c r="BB1108">
        <v>493</v>
      </c>
      <c r="BC1108">
        <v>517</v>
      </c>
      <c r="BD1108" t="s">
        <v>74</v>
      </c>
      <c r="BE1108" t="s">
        <v>18660</v>
      </c>
      <c r="BF1108" t="str">
        <f>HYPERLINK("http://dx.doi.org/10.1108/JIMA-06-2022-0182","http://dx.doi.org/10.1108/JIMA-06-2022-0182")</f>
        <v>http://dx.doi.org/10.1108/JIMA-06-2022-0182</v>
      </c>
      <c r="BG1108" t="s">
        <v>74</v>
      </c>
      <c r="BH1108" t="s">
        <v>1180</v>
      </c>
      <c r="BI1108">
        <v>25</v>
      </c>
      <c r="BJ1108" t="s">
        <v>1597</v>
      </c>
      <c r="BK1108" t="s">
        <v>125</v>
      </c>
      <c r="BL1108" t="s">
        <v>480</v>
      </c>
      <c r="BM1108" t="s">
        <v>18661</v>
      </c>
      <c r="BN1108" t="s">
        <v>74</v>
      </c>
      <c r="BO1108" t="s">
        <v>74</v>
      </c>
      <c r="BP1108" t="s">
        <v>74</v>
      </c>
      <c r="BQ1108" t="s">
        <v>74</v>
      </c>
      <c r="BR1108" t="s">
        <v>102</v>
      </c>
      <c r="BS1108" t="s">
        <v>18662</v>
      </c>
      <c r="BT1108" t="str">
        <f>HYPERLINK("https%3A%2F%2Fwww.webofscience.com%2Fwos%2Fwoscc%2Ffull-record%2FWOS:001029462200001","View Full Record in Web of Science")</f>
        <v>View Full Record in Web of Science</v>
      </c>
    </row>
    <row r="1109" spans="1:72" x14ac:dyDescent="0.35">
      <c r="A1109" t="s">
        <v>72</v>
      </c>
      <c r="B1109" t="s">
        <v>18663</v>
      </c>
      <c r="C1109" t="s">
        <v>74</v>
      </c>
      <c r="D1109" t="s">
        <v>74</v>
      </c>
      <c r="E1109" t="s">
        <v>74</v>
      </c>
      <c r="F1109" t="s">
        <v>18664</v>
      </c>
      <c r="G1109" t="s">
        <v>74</v>
      </c>
      <c r="H1109" t="s">
        <v>74</v>
      </c>
      <c r="I1109" t="s">
        <v>18665</v>
      </c>
      <c r="J1109" t="s">
        <v>18666</v>
      </c>
      <c r="K1109" t="s">
        <v>74</v>
      </c>
      <c r="L1109" t="s">
        <v>74</v>
      </c>
      <c r="M1109" t="s">
        <v>78</v>
      </c>
      <c r="N1109" t="s">
        <v>374</v>
      </c>
      <c r="O1109" t="s">
        <v>74</v>
      </c>
      <c r="P1109" t="s">
        <v>74</v>
      </c>
      <c r="Q1109" t="s">
        <v>74</v>
      </c>
      <c r="R1109" t="s">
        <v>74</v>
      </c>
      <c r="S1109" t="s">
        <v>74</v>
      </c>
      <c r="T1109" t="s">
        <v>18667</v>
      </c>
      <c r="U1109" t="s">
        <v>18668</v>
      </c>
      <c r="V1109" t="s">
        <v>18669</v>
      </c>
      <c r="W1109" t="s">
        <v>18670</v>
      </c>
      <c r="X1109" t="s">
        <v>18671</v>
      </c>
      <c r="Y1109" t="s">
        <v>18672</v>
      </c>
      <c r="Z1109" t="s">
        <v>18673</v>
      </c>
      <c r="AA1109" t="s">
        <v>74</v>
      </c>
      <c r="AB1109" t="s">
        <v>18674</v>
      </c>
      <c r="AC1109" t="s">
        <v>18675</v>
      </c>
      <c r="AD1109" t="s">
        <v>18676</v>
      </c>
      <c r="AE1109" t="s">
        <v>18677</v>
      </c>
      <c r="AF1109" t="s">
        <v>74</v>
      </c>
      <c r="AG1109">
        <v>63</v>
      </c>
      <c r="AH1109">
        <v>6</v>
      </c>
      <c r="AI1109">
        <v>7</v>
      </c>
      <c r="AJ1109">
        <v>2</v>
      </c>
      <c r="AK1109">
        <v>12</v>
      </c>
      <c r="AL1109" t="s">
        <v>18678</v>
      </c>
      <c r="AM1109" t="s">
        <v>2853</v>
      </c>
      <c r="AN1109" t="s">
        <v>18679</v>
      </c>
      <c r="AO1109" t="s">
        <v>18680</v>
      </c>
      <c r="AP1109" t="s">
        <v>18681</v>
      </c>
      <c r="AQ1109" t="s">
        <v>74</v>
      </c>
      <c r="AR1109" t="s">
        <v>18682</v>
      </c>
      <c r="AS1109" t="s">
        <v>18683</v>
      </c>
      <c r="AT1109" t="s">
        <v>1275</v>
      </c>
      <c r="AU1109">
        <v>2022</v>
      </c>
      <c r="AV1109">
        <v>10</v>
      </c>
      <c r="AW1109">
        <v>4</v>
      </c>
      <c r="AX1109" t="s">
        <v>74</v>
      </c>
      <c r="AY1109" t="s">
        <v>74</v>
      </c>
      <c r="AZ1109" t="s">
        <v>456</v>
      </c>
      <c r="BA1109" t="s">
        <v>74</v>
      </c>
      <c r="BB1109">
        <v>440</v>
      </c>
      <c r="BC1109">
        <v>451</v>
      </c>
      <c r="BD1109" t="s">
        <v>74</v>
      </c>
      <c r="BE1109" t="s">
        <v>18684</v>
      </c>
      <c r="BF1109" t="str">
        <f>HYPERLINK("http://dx.doi.org/10.1037/cpp0000459","http://dx.doi.org/10.1037/cpp0000459")</f>
        <v>http://dx.doi.org/10.1037/cpp0000459</v>
      </c>
      <c r="BG1109" t="s">
        <v>74</v>
      </c>
      <c r="BH1109" t="s">
        <v>74</v>
      </c>
      <c r="BI1109">
        <v>12</v>
      </c>
      <c r="BJ1109" t="s">
        <v>18685</v>
      </c>
      <c r="BK1109" t="s">
        <v>125</v>
      </c>
      <c r="BL1109" t="s">
        <v>301</v>
      </c>
      <c r="BM1109" t="s">
        <v>18686</v>
      </c>
      <c r="BN1109" t="s">
        <v>74</v>
      </c>
      <c r="BO1109" t="s">
        <v>156</v>
      </c>
      <c r="BP1109" t="s">
        <v>74</v>
      </c>
      <c r="BQ1109" t="s">
        <v>74</v>
      </c>
      <c r="BR1109" t="s">
        <v>102</v>
      </c>
      <c r="BS1109" t="s">
        <v>18687</v>
      </c>
      <c r="BT1109" t="str">
        <f>HYPERLINK("https%3A%2F%2Fwww.webofscience.com%2Fwos%2Fwoscc%2Ffull-record%2FWOS:000893230700009","View Full Record in Web of Science")</f>
        <v>View Full Record in Web of Science</v>
      </c>
    </row>
    <row r="1110" spans="1:72" x14ac:dyDescent="0.35">
      <c r="A1110" t="s">
        <v>72</v>
      </c>
      <c r="B1110" t="s">
        <v>18688</v>
      </c>
      <c r="C1110" t="s">
        <v>74</v>
      </c>
      <c r="D1110" t="s">
        <v>74</v>
      </c>
      <c r="E1110" t="s">
        <v>74</v>
      </c>
      <c r="F1110" t="s">
        <v>18689</v>
      </c>
      <c r="G1110" t="s">
        <v>74</v>
      </c>
      <c r="H1110" t="s">
        <v>74</v>
      </c>
      <c r="I1110" t="s">
        <v>18690</v>
      </c>
      <c r="J1110" t="s">
        <v>18691</v>
      </c>
      <c r="K1110" t="s">
        <v>74</v>
      </c>
      <c r="L1110" t="s">
        <v>74</v>
      </c>
      <c r="M1110" t="s">
        <v>78</v>
      </c>
      <c r="N1110" t="s">
        <v>79</v>
      </c>
      <c r="O1110" t="s">
        <v>74</v>
      </c>
      <c r="P1110" t="s">
        <v>74</v>
      </c>
      <c r="Q1110" t="s">
        <v>74</v>
      </c>
      <c r="R1110" t="s">
        <v>74</v>
      </c>
      <c r="S1110" t="s">
        <v>74</v>
      </c>
      <c r="T1110" t="s">
        <v>18692</v>
      </c>
      <c r="U1110" t="s">
        <v>18693</v>
      </c>
      <c r="V1110" t="s">
        <v>18694</v>
      </c>
      <c r="W1110" t="s">
        <v>18695</v>
      </c>
      <c r="X1110" t="s">
        <v>18696</v>
      </c>
      <c r="Y1110" t="s">
        <v>18697</v>
      </c>
      <c r="Z1110" t="s">
        <v>18698</v>
      </c>
      <c r="AA1110" t="s">
        <v>18699</v>
      </c>
      <c r="AB1110" t="s">
        <v>18700</v>
      </c>
      <c r="AC1110" t="s">
        <v>74</v>
      </c>
      <c r="AD1110" t="s">
        <v>74</v>
      </c>
      <c r="AE1110" t="s">
        <v>74</v>
      </c>
      <c r="AF1110" t="s">
        <v>74</v>
      </c>
      <c r="AG1110">
        <v>126</v>
      </c>
      <c r="AH1110">
        <v>0</v>
      </c>
      <c r="AI1110">
        <v>0</v>
      </c>
      <c r="AJ1110">
        <v>7</v>
      </c>
      <c r="AK1110">
        <v>9</v>
      </c>
      <c r="AL1110" t="s">
        <v>171</v>
      </c>
      <c r="AM1110" t="s">
        <v>172</v>
      </c>
      <c r="AN1110" t="s">
        <v>173</v>
      </c>
      <c r="AO1110" t="s">
        <v>18701</v>
      </c>
      <c r="AP1110" t="s">
        <v>18702</v>
      </c>
      <c r="AQ1110" t="s">
        <v>74</v>
      </c>
      <c r="AR1110" t="s">
        <v>18703</v>
      </c>
      <c r="AS1110" t="s">
        <v>18704</v>
      </c>
      <c r="AT1110" t="s">
        <v>18705</v>
      </c>
      <c r="AU1110">
        <v>2024</v>
      </c>
      <c r="AV1110" t="s">
        <v>74</v>
      </c>
      <c r="AW1110" t="s">
        <v>74</v>
      </c>
      <c r="AX1110" t="s">
        <v>74</v>
      </c>
      <c r="AY1110" t="s">
        <v>74</v>
      </c>
      <c r="AZ1110" t="s">
        <v>74</v>
      </c>
      <c r="BA1110" t="s">
        <v>74</v>
      </c>
      <c r="BB1110" t="s">
        <v>74</v>
      </c>
      <c r="BC1110" t="s">
        <v>74</v>
      </c>
      <c r="BD1110" t="s">
        <v>74</v>
      </c>
      <c r="BE1110" t="s">
        <v>18706</v>
      </c>
      <c r="BF1110" t="str">
        <f>HYPERLINK("http://dx.doi.org/10.1177/17506980241247266","http://dx.doi.org/10.1177/17506980241247266")</f>
        <v>http://dx.doi.org/10.1177/17506980241247266</v>
      </c>
      <c r="BG1110" t="s">
        <v>74</v>
      </c>
      <c r="BH1110" t="s">
        <v>2410</v>
      </c>
      <c r="BI1110">
        <v>35</v>
      </c>
      <c r="BJ1110" t="s">
        <v>18707</v>
      </c>
      <c r="BK1110" t="s">
        <v>2125</v>
      </c>
      <c r="BL1110" t="s">
        <v>18707</v>
      </c>
      <c r="BM1110" t="s">
        <v>18708</v>
      </c>
      <c r="BN1110" t="s">
        <v>74</v>
      </c>
      <c r="BO1110" t="s">
        <v>74</v>
      </c>
      <c r="BP1110" t="s">
        <v>74</v>
      </c>
      <c r="BQ1110" t="s">
        <v>74</v>
      </c>
      <c r="BR1110" t="s">
        <v>102</v>
      </c>
      <c r="BS1110" t="s">
        <v>18709</v>
      </c>
      <c r="BT1110" t="str">
        <f>HYPERLINK("https%3A%2F%2Fwww.webofscience.com%2Fwos%2Fwoscc%2Ffull-record%2FWOS:001208792400001","View Full Record in Web of Science")</f>
        <v>View Full Record in Web of Science</v>
      </c>
    </row>
    <row r="1111" spans="1:72" x14ac:dyDescent="0.35">
      <c r="A1111" t="s">
        <v>128</v>
      </c>
      <c r="B1111" t="s">
        <v>18710</v>
      </c>
      <c r="C1111" t="s">
        <v>74</v>
      </c>
      <c r="D1111" t="s">
        <v>74</v>
      </c>
      <c r="E1111" t="s">
        <v>702</v>
      </c>
      <c r="F1111" t="s">
        <v>18711</v>
      </c>
      <c r="G1111" t="s">
        <v>74</v>
      </c>
      <c r="H1111" t="s">
        <v>74</v>
      </c>
      <c r="I1111" t="s">
        <v>18712</v>
      </c>
      <c r="J1111" t="s">
        <v>3931</v>
      </c>
      <c r="K1111" t="s">
        <v>74</v>
      </c>
      <c r="L1111" t="s">
        <v>74</v>
      </c>
      <c r="M1111" t="s">
        <v>78</v>
      </c>
      <c r="N1111" t="s">
        <v>135</v>
      </c>
      <c r="O1111" t="s">
        <v>828</v>
      </c>
      <c r="P1111" t="s">
        <v>829</v>
      </c>
      <c r="Q1111" t="s">
        <v>830</v>
      </c>
      <c r="R1111" t="s">
        <v>831</v>
      </c>
      <c r="S1111" t="s">
        <v>74</v>
      </c>
      <c r="T1111" t="s">
        <v>18713</v>
      </c>
      <c r="U1111" t="s">
        <v>18714</v>
      </c>
      <c r="V1111" t="s">
        <v>18715</v>
      </c>
      <c r="W1111" t="s">
        <v>18716</v>
      </c>
      <c r="X1111" t="s">
        <v>18717</v>
      </c>
      <c r="Y1111" t="s">
        <v>18718</v>
      </c>
      <c r="Z1111" t="s">
        <v>18719</v>
      </c>
      <c r="AA1111" t="s">
        <v>18720</v>
      </c>
      <c r="AB1111" t="s">
        <v>18721</v>
      </c>
      <c r="AC1111" t="s">
        <v>18722</v>
      </c>
      <c r="AD1111" t="s">
        <v>18723</v>
      </c>
      <c r="AE1111" t="s">
        <v>18724</v>
      </c>
      <c r="AF1111" t="s">
        <v>74</v>
      </c>
      <c r="AG1111">
        <v>96</v>
      </c>
      <c r="AH1111">
        <v>1</v>
      </c>
      <c r="AI1111">
        <v>1</v>
      </c>
      <c r="AJ1111">
        <v>3</v>
      </c>
      <c r="AK1111">
        <v>3</v>
      </c>
      <c r="AL1111" t="s">
        <v>718</v>
      </c>
      <c r="AM1111" t="s">
        <v>666</v>
      </c>
      <c r="AN1111" t="s">
        <v>719</v>
      </c>
      <c r="AO1111" t="s">
        <v>74</v>
      </c>
      <c r="AP1111" t="s">
        <v>74</v>
      </c>
      <c r="AQ1111" t="s">
        <v>892</v>
      </c>
      <c r="AR1111" t="s">
        <v>74</v>
      </c>
      <c r="AS1111" t="s">
        <v>74</v>
      </c>
      <c r="AT1111" t="s">
        <v>74</v>
      </c>
      <c r="AU1111">
        <v>2024</v>
      </c>
      <c r="AV1111" t="s">
        <v>74</v>
      </c>
      <c r="AW1111" t="s">
        <v>74</v>
      </c>
      <c r="AX1111" t="s">
        <v>74</v>
      </c>
      <c r="AY1111" t="s">
        <v>74</v>
      </c>
      <c r="AZ1111" t="s">
        <v>74</v>
      </c>
      <c r="BA1111" t="s">
        <v>74</v>
      </c>
      <c r="BB1111" t="s">
        <v>74</v>
      </c>
      <c r="BC1111" t="s">
        <v>74</v>
      </c>
      <c r="BD1111" t="s">
        <v>74</v>
      </c>
      <c r="BE1111" t="s">
        <v>18725</v>
      </c>
      <c r="BF1111" t="str">
        <f>HYPERLINK("http://dx.doi.org/10.1145/3613904.3642264","http://dx.doi.org/10.1145/3613904.3642264")</f>
        <v>http://dx.doi.org/10.1145/3613904.3642264</v>
      </c>
      <c r="BG1111" t="s">
        <v>74</v>
      </c>
      <c r="BH1111" t="s">
        <v>74</v>
      </c>
      <c r="BI1111">
        <v>20</v>
      </c>
      <c r="BJ1111" t="s">
        <v>894</v>
      </c>
      <c r="BK1111" t="s">
        <v>723</v>
      </c>
      <c r="BL1111" t="s">
        <v>210</v>
      </c>
      <c r="BM1111" t="s">
        <v>3944</v>
      </c>
      <c r="BN1111" t="s">
        <v>74</v>
      </c>
      <c r="BO1111" t="s">
        <v>767</v>
      </c>
      <c r="BP1111" t="s">
        <v>74</v>
      </c>
      <c r="BQ1111" t="s">
        <v>74</v>
      </c>
      <c r="BR1111" t="s">
        <v>102</v>
      </c>
      <c r="BS1111" t="s">
        <v>18726</v>
      </c>
      <c r="BT1111" t="str">
        <f>HYPERLINK("https%3A%2F%2Fwww.webofscience.com%2Fwos%2Fwoscc%2Ffull-record%2FWOS:001255317906048","View Full Record in Web of Science")</f>
        <v>View Full Record in Web of Science</v>
      </c>
    </row>
    <row r="1112" spans="1:72" x14ac:dyDescent="0.35">
      <c r="A1112" t="s">
        <v>72</v>
      </c>
      <c r="B1112" t="s">
        <v>18727</v>
      </c>
      <c r="C1112" t="s">
        <v>74</v>
      </c>
      <c r="D1112" t="s">
        <v>74</v>
      </c>
      <c r="E1112" t="s">
        <v>74</v>
      </c>
      <c r="F1112" t="s">
        <v>18728</v>
      </c>
      <c r="G1112" t="s">
        <v>74</v>
      </c>
      <c r="H1112" t="s">
        <v>74</v>
      </c>
      <c r="I1112" t="s">
        <v>18729</v>
      </c>
      <c r="J1112" t="s">
        <v>18730</v>
      </c>
      <c r="K1112" t="s">
        <v>74</v>
      </c>
      <c r="L1112" t="s">
        <v>74</v>
      </c>
      <c r="M1112" t="s">
        <v>3503</v>
      </c>
      <c r="N1112" t="s">
        <v>108</v>
      </c>
      <c r="O1112" t="s">
        <v>74</v>
      </c>
      <c r="P1112" t="s">
        <v>74</v>
      </c>
      <c r="Q1112" t="s">
        <v>74</v>
      </c>
      <c r="R1112" t="s">
        <v>74</v>
      </c>
      <c r="S1112" t="s">
        <v>74</v>
      </c>
      <c r="T1112" t="s">
        <v>18731</v>
      </c>
      <c r="U1112" t="s">
        <v>74</v>
      </c>
      <c r="V1112" t="s">
        <v>18732</v>
      </c>
      <c r="W1112" t="s">
        <v>18733</v>
      </c>
      <c r="X1112" t="s">
        <v>14433</v>
      </c>
      <c r="Y1112" t="s">
        <v>18734</v>
      </c>
      <c r="Z1112" t="s">
        <v>18735</v>
      </c>
      <c r="AA1112" t="s">
        <v>18736</v>
      </c>
      <c r="AB1112" t="s">
        <v>74</v>
      </c>
      <c r="AC1112" t="s">
        <v>74</v>
      </c>
      <c r="AD1112" t="s">
        <v>74</v>
      </c>
      <c r="AE1112" t="s">
        <v>74</v>
      </c>
      <c r="AF1112" t="s">
        <v>74</v>
      </c>
      <c r="AG1112">
        <v>61</v>
      </c>
      <c r="AH1112">
        <v>0</v>
      </c>
      <c r="AI1112">
        <v>0</v>
      </c>
      <c r="AJ1112">
        <v>13</v>
      </c>
      <c r="AK1112">
        <v>24</v>
      </c>
      <c r="AL1112" t="s">
        <v>18737</v>
      </c>
      <c r="AM1112" t="s">
        <v>18738</v>
      </c>
      <c r="AN1112" t="s">
        <v>18739</v>
      </c>
      <c r="AO1112" t="s">
        <v>18740</v>
      </c>
      <c r="AP1112" t="s">
        <v>18741</v>
      </c>
      <c r="AQ1112" t="s">
        <v>74</v>
      </c>
      <c r="AR1112" t="s">
        <v>18742</v>
      </c>
      <c r="AS1112" t="s">
        <v>18743</v>
      </c>
      <c r="AT1112" t="s">
        <v>3517</v>
      </c>
      <c r="AU1112">
        <v>2024</v>
      </c>
      <c r="AV1112" t="s">
        <v>74</v>
      </c>
      <c r="AW1112">
        <v>38</v>
      </c>
      <c r="AX1112" t="s">
        <v>74</v>
      </c>
      <c r="AY1112" t="s">
        <v>74</v>
      </c>
      <c r="AZ1112" t="s">
        <v>74</v>
      </c>
      <c r="BA1112" t="s">
        <v>74</v>
      </c>
      <c r="BB1112">
        <v>183</v>
      </c>
      <c r="BC1112">
        <v>206</v>
      </c>
      <c r="BD1112" t="s">
        <v>74</v>
      </c>
      <c r="BE1112" t="s">
        <v>18744</v>
      </c>
      <c r="BF1112" t="str">
        <f>HYPERLINK("http://dx.doi.org/10.31921/doxacom.n38a1962","http://dx.doi.org/10.31921/doxacom.n38a1962")</f>
        <v>http://dx.doi.org/10.31921/doxacom.n38a1962</v>
      </c>
      <c r="BG1112" t="s">
        <v>74</v>
      </c>
      <c r="BH1112" t="s">
        <v>74</v>
      </c>
      <c r="BI1112">
        <v>24</v>
      </c>
      <c r="BJ1112" t="s">
        <v>124</v>
      </c>
      <c r="BK1112" t="s">
        <v>125</v>
      </c>
      <c r="BL1112" t="s">
        <v>124</v>
      </c>
      <c r="BM1112" t="s">
        <v>18745</v>
      </c>
      <c r="BN1112" t="s">
        <v>74</v>
      </c>
      <c r="BO1112" t="s">
        <v>74</v>
      </c>
      <c r="BP1112" t="s">
        <v>74</v>
      </c>
      <c r="BQ1112" t="s">
        <v>74</v>
      </c>
      <c r="BR1112" t="s">
        <v>102</v>
      </c>
      <c r="BS1112" t="s">
        <v>18746</v>
      </c>
      <c r="BT1112" t="str">
        <f>HYPERLINK("https%3A%2F%2Fwww.webofscience.com%2Fwos%2Fwoscc%2Ffull-record%2FWOS:001184541000013","View Full Record in Web of Science")</f>
        <v>View Full Record in Web of Science</v>
      </c>
    </row>
    <row r="1113" spans="1:72" x14ac:dyDescent="0.35">
      <c r="A1113" t="s">
        <v>72</v>
      </c>
      <c r="B1113" t="s">
        <v>18747</v>
      </c>
      <c r="C1113" t="s">
        <v>74</v>
      </c>
      <c r="D1113" t="s">
        <v>74</v>
      </c>
      <c r="E1113" t="s">
        <v>74</v>
      </c>
      <c r="F1113" t="s">
        <v>18748</v>
      </c>
      <c r="G1113" t="s">
        <v>74</v>
      </c>
      <c r="H1113" t="s">
        <v>74</v>
      </c>
      <c r="I1113" t="s">
        <v>18749</v>
      </c>
      <c r="J1113" t="s">
        <v>216</v>
      </c>
      <c r="K1113" t="s">
        <v>74</v>
      </c>
      <c r="L1113" t="s">
        <v>74</v>
      </c>
      <c r="M1113" t="s">
        <v>78</v>
      </c>
      <c r="N1113" t="s">
        <v>108</v>
      </c>
      <c r="O1113" t="s">
        <v>74</v>
      </c>
      <c r="P1113" t="s">
        <v>74</v>
      </c>
      <c r="Q1113" t="s">
        <v>74</v>
      </c>
      <c r="R1113" t="s">
        <v>74</v>
      </c>
      <c r="S1113" t="s">
        <v>74</v>
      </c>
      <c r="T1113" t="s">
        <v>18750</v>
      </c>
      <c r="U1113" t="s">
        <v>18751</v>
      </c>
      <c r="V1113" t="s">
        <v>18752</v>
      </c>
      <c r="W1113" t="s">
        <v>18753</v>
      </c>
      <c r="X1113" t="s">
        <v>18754</v>
      </c>
      <c r="Y1113" t="s">
        <v>18755</v>
      </c>
      <c r="Z1113" t="s">
        <v>18756</v>
      </c>
      <c r="AA1113" t="s">
        <v>74</v>
      </c>
      <c r="AB1113" t="s">
        <v>18757</v>
      </c>
      <c r="AC1113" t="s">
        <v>18758</v>
      </c>
      <c r="AD1113" t="s">
        <v>18759</v>
      </c>
      <c r="AE1113" t="s">
        <v>18760</v>
      </c>
      <c r="AF1113" t="s">
        <v>74</v>
      </c>
      <c r="AG1113">
        <v>34</v>
      </c>
      <c r="AH1113">
        <v>0</v>
      </c>
      <c r="AI1113">
        <v>0</v>
      </c>
      <c r="AJ1113">
        <v>6</v>
      </c>
      <c r="AK1113">
        <v>6</v>
      </c>
      <c r="AL1113" t="s">
        <v>226</v>
      </c>
      <c r="AM1113" t="s">
        <v>227</v>
      </c>
      <c r="AN1113" t="s">
        <v>228</v>
      </c>
      <c r="AO1113" t="s">
        <v>229</v>
      </c>
      <c r="AP1113" t="s">
        <v>74</v>
      </c>
      <c r="AQ1113" t="s">
        <v>74</v>
      </c>
      <c r="AR1113" t="s">
        <v>230</v>
      </c>
      <c r="AS1113" t="s">
        <v>231</v>
      </c>
      <c r="AT1113" t="s">
        <v>273</v>
      </c>
      <c r="AU1113">
        <v>2024</v>
      </c>
      <c r="AV1113">
        <v>10</v>
      </c>
      <c r="AW1113">
        <v>3</v>
      </c>
      <c r="AX1113" t="s">
        <v>74</v>
      </c>
      <c r="AY1113" t="s">
        <v>74</v>
      </c>
      <c r="AZ1113" t="s">
        <v>74</v>
      </c>
      <c r="BA1113" t="s">
        <v>74</v>
      </c>
      <c r="BB1113" t="s">
        <v>74</v>
      </c>
      <c r="BC1113" t="s">
        <v>74</v>
      </c>
      <c r="BD1113">
        <v>2.0563051241269308E+16</v>
      </c>
      <c r="BE1113" t="s">
        <v>18761</v>
      </c>
      <c r="BF1113" t="str">
        <f>HYPERLINK("http://dx.doi.org/10.1177/20563051241269307","http://dx.doi.org/10.1177/20563051241269307")</f>
        <v>http://dx.doi.org/10.1177/20563051241269307</v>
      </c>
      <c r="BG1113" t="s">
        <v>74</v>
      </c>
      <c r="BH1113" t="s">
        <v>74</v>
      </c>
      <c r="BI1113">
        <v>11</v>
      </c>
      <c r="BJ1113" t="s">
        <v>124</v>
      </c>
      <c r="BK1113" t="s">
        <v>99</v>
      </c>
      <c r="BL1113" t="s">
        <v>124</v>
      </c>
      <c r="BM1113" t="s">
        <v>18762</v>
      </c>
      <c r="BN1113" t="s">
        <v>74</v>
      </c>
      <c r="BO1113" t="s">
        <v>235</v>
      </c>
      <c r="BP1113" t="s">
        <v>74</v>
      </c>
      <c r="BQ1113" t="s">
        <v>74</v>
      </c>
      <c r="BR1113" t="s">
        <v>102</v>
      </c>
      <c r="BS1113" t="s">
        <v>18763</v>
      </c>
      <c r="BT1113" t="str">
        <f>HYPERLINK("https%3A%2F%2Fwww.webofscience.com%2Fwos%2Fwoscc%2Ffull-record%2FWOS:001284111500001","View Full Record in Web of Science")</f>
        <v>View Full Record in Web of Science</v>
      </c>
    </row>
    <row r="1114" spans="1:72" x14ac:dyDescent="0.35">
      <c r="A1114" t="s">
        <v>72</v>
      </c>
      <c r="B1114" t="s">
        <v>18764</v>
      </c>
      <c r="C1114" t="s">
        <v>74</v>
      </c>
      <c r="D1114" t="s">
        <v>74</v>
      </c>
      <c r="E1114" t="s">
        <v>74</v>
      </c>
      <c r="F1114" t="s">
        <v>18765</v>
      </c>
      <c r="G1114" t="s">
        <v>74</v>
      </c>
      <c r="H1114" t="s">
        <v>74</v>
      </c>
      <c r="I1114" t="s">
        <v>18766</v>
      </c>
      <c r="J1114" t="s">
        <v>161</v>
      </c>
      <c r="K1114" t="s">
        <v>74</v>
      </c>
      <c r="L1114" t="s">
        <v>74</v>
      </c>
      <c r="M1114" t="s">
        <v>78</v>
      </c>
      <c r="N1114" t="s">
        <v>108</v>
      </c>
      <c r="O1114" t="s">
        <v>74</v>
      </c>
      <c r="P1114" t="s">
        <v>74</v>
      </c>
      <c r="Q1114" t="s">
        <v>74</v>
      </c>
      <c r="R1114" t="s">
        <v>74</v>
      </c>
      <c r="S1114" t="s">
        <v>74</v>
      </c>
      <c r="T1114" t="s">
        <v>18767</v>
      </c>
      <c r="U1114" t="s">
        <v>74</v>
      </c>
      <c r="V1114" t="s">
        <v>18768</v>
      </c>
      <c r="W1114" t="s">
        <v>18769</v>
      </c>
      <c r="X1114" t="s">
        <v>18770</v>
      </c>
      <c r="Y1114" t="s">
        <v>18771</v>
      </c>
      <c r="Z1114" t="s">
        <v>18772</v>
      </c>
      <c r="AA1114" t="s">
        <v>18773</v>
      </c>
      <c r="AB1114" t="s">
        <v>18774</v>
      </c>
      <c r="AC1114" t="s">
        <v>74</v>
      </c>
      <c r="AD1114" t="s">
        <v>74</v>
      </c>
      <c r="AE1114" t="s">
        <v>74</v>
      </c>
      <c r="AF1114" t="s">
        <v>74</v>
      </c>
      <c r="AG1114">
        <v>79</v>
      </c>
      <c r="AH1114">
        <v>0</v>
      </c>
      <c r="AI1114">
        <v>0</v>
      </c>
      <c r="AJ1114">
        <v>29</v>
      </c>
      <c r="AK1114">
        <v>29</v>
      </c>
      <c r="AL1114" t="s">
        <v>171</v>
      </c>
      <c r="AM1114" t="s">
        <v>172</v>
      </c>
      <c r="AN1114" t="s">
        <v>173</v>
      </c>
      <c r="AO1114" t="s">
        <v>174</v>
      </c>
      <c r="AP1114" t="s">
        <v>175</v>
      </c>
      <c r="AQ1114" t="s">
        <v>74</v>
      </c>
      <c r="AR1114" t="s">
        <v>176</v>
      </c>
      <c r="AS1114" t="s">
        <v>177</v>
      </c>
      <c r="AT1114" t="s">
        <v>297</v>
      </c>
      <c r="AU1114">
        <v>2024</v>
      </c>
      <c r="AV1114">
        <v>42</v>
      </c>
      <c r="AW1114">
        <v>4</v>
      </c>
      <c r="AX1114" t="s">
        <v>74</v>
      </c>
      <c r="AY1114" t="s">
        <v>74</v>
      </c>
      <c r="AZ1114" t="s">
        <v>74</v>
      </c>
      <c r="BA1114" t="s">
        <v>74</v>
      </c>
      <c r="BB1114">
        <v>1020</v>
      </c>
      <c r="BC1114">
        <v>1040</v>
      </c>
      <c r="BD1114" t="s">
        <v>74</v>
      </c>
      <c r="BE1114" t="s">
        <v>18775</v>
      </c>
      <c r="BF1114" t="str">
        <f>HYPERLINK("http://dx.doi.org/10.1177/08944393231225547","http://dx.doi.org/10.1177/08944393231225547")</f>
        <v>http://dx.doi.org/10.1177/08944393231225547</v>
      </c>
      <c r="BG1114" t="s">
        <v>74</v>
      </c>
      <c r="BH1114" t="s">
        <v>74</v>
      </c>
      <c r="BI1114">
        <v>21</v>
      </c>
      <c r="BJ1114" t="s">
        <v>181</v>
      </c>
      <c r="BK1114" t="s">
        <v>182</v>
      </c>
      <c r="BL1114" t="s">
        <v>183</v>
      </c>
      <c r="BM1114" t="s">
        <v>18776</v>
      </c>
      <c r="BN1114" t="s">
        <v>74</v>
      </c>
      <c r="BO1114" t="s">
        <v>74</v>
      </c>
      <c r="BP1114" t="s">
        <v>74</v>
      </c>
      <c r="BQ1114" t="s">
        <v>74</v>
      </c>
      <c r="BR1114" t="s">
        <v>102</v>
      </c>
      <c r="BS1114" t="s">
        <v>18777</v>
      </c>
      <c r="BT1114" t="str">
        <f>HYPERLINK("https%3A%2F%2Fwww.webofscience.com%2Fwos%2Fwoscc%2Ffull-record%2FWOS:001280995300012","View Full Record in Web of Science")</f>
        <v>View Full Record in Web of Science</v>
      </c>
    </row>
    <row r="1115" spans="1:72" x14ac:dyDescent="0.35">
      <c r="A1115" t="s">
        <v>72</v>
      </c>
      <c r="B1115" t="s">
        <v>18778</v>
      </c>
      <c r="C1115" t="s">
        <v>74</v>
      </c>
      <c r="D1115" t="s">
        <v>74</v>
      </c>
      <c r="E1115" t="s">
        <v>74</v>
      </c>
      <c r="F1115" t="s">
        <v>18779</v>
      </c>
      <c r="G1115" t="s">
        <v>74</v>
      </c>
      <c r="H1115" t="s">
        <v>74</v>
      </c>
      <c r="I1115" t="s">
        <v>18780</v>
      </c>
      <c r="J1115" t="s">
        <v>12618</v>
      </c>
      <c r="K1115" t="s">
        <v>74</v>
      </c>
      <c r="L1115" t="s">
        <v>74</v>
      </c>
      <c r="M1115" t="s">
        <v>78</v>
      </c>
      <c r="N1115" t="s">
        <v>374</v>
      </c>
      <c r="O1115" t="s">
        <v>74</v>
      </c>
      <c r="P1115" t="s">
        <v>74</v>
      </c>
      <c r="Q1115" t="s">
        <v>74</v>
      </c>
      <c r="R1115" t="s">
        <v>74</v>
      </c>
      <c r="S1115" t="s">
        <v>74</v>
      </c>
      <c r="T1115" t="s">
        <v>18781</v>
      </c>
      <c r="U1115" t="s">
        <v>18782</v>
      </c>
      <c r="V1115" t="s">
        <v>18783</v>
      </c>
      <c r="W1115" t="s">
        <v>18784</v>
      </c>
      <c r="X1115" t="s">
        <v>12620</v>
      </c>
      <c r="Y1115" t="s">
        <v>18785</v>
      </c>
      <c r="Z1115" t="s">
        <v>18786</v>
      </c>
      <c r="AA1115" t="s">
        <v>74</v>
      </c>
      <c r="AB1115" t="s">
        <v>18787</v>
      </c>
      <c r="AC1115" t="s">
        <v>74</v>
      </c>
      <c r="AD1115" t="s">
        <v>74</v>
      </c>
      <c r="AE1115" t="s">
        <v>74</v>
      </c>
      <c r="AF1115" t="s">
        <v>74</v>
      </c>
      <c r="AG1115">
        <v>29</v>
      </c>
      <c r="AH1115">
        <v>3</v>
      </c>
      <c r="AI1115">
        <v>3</v>
      </c>
      <c r="AJ1115">
        <v>1</v>
      </c>
      <c r="AK1115">
        <v>8</v>
      </c>
      <c r="AL1115" t="s">
        <v>8334</v>
      </c>
      <c r="AM1115" t="s">
        <v>291</v>
      </c>
      <c r="AN1115" t="s">
        <v>8335</v>
      </c>
      <c r="AO1115" t="s">
        <v>12621</v>
      </c>
      <c r="AP1115" t="s">
        <v>12622</v>
      </c>
      <c r="AQ1115" t="s">
        <v>74</v>
      </c>
      <c r="AR1115" t="s">
        <v>12623</v>
      </c>
      <c r="AS1115" t="s">
        <v>12624</v>
      </c>
      <c r="AT1115" t="s">
        <v>18788</v>
      </c>
      <c r="AU1115">
        <v>2024</v>
      </c>
      <c r="AV1115">
        <v>45</v>
      </c>
      <c r="AW1115">
        <v>1</v>
      </c>
      <c r="AX1115" t="s">
        <v>74</v>
      </c>
      <c r="AY1115" t="s">
        <v>74</v>
      </c>
      <c r="AZ1115" t="s">
        <v>74</v>
      </c>
      <c r="BA1115" t="s">
        <v>74</v>
      </c>
      <c r="BB1115">
        <v>4</v>
      </c>
      <c r="BC1115">
        <v>7</v>
      </c>
      <c r="BD1115" t="s">
        <v>74</v>
      </c>
      <c r="BE1115" t="s">
        <v>18789</v>
      </c>
      <c r="BF1115" t="str">
        <f>HYPERLINK("http://dx.doi.org/10.1093/jbcr/irad150","http://dx.doi.org/10.1093/jbcr/irad150")</f>
        <v>http://dx.doi.org/10.1093/jbcr/irad150</v>
      </c>
      <c r="BG1115" t="s">
        <v>74</v>
      </c>
      <c r="BH1115" t="s">
        <v>674</v>
      </c>
      <c r="BI1115">
        <v>4</v>
      </c>
      <c r="BJ1115" t="s">
        <v>12629</v>
      </c>
      <c r="BK1115" t="s">
        <v>209</v>
      </c>
      <c r="BL1115" t="s">
        <v>12630</v>
      </c>
      <c r="BM1115" t="s">
        <v>18790</v>
      </c>
      <c r="BN1115">
        <v>37797268</v>
      </c>
      <c r="BO1115" t="s">
        <v>74</v>
      </c>
      <c r="BP1115" t="s">
        <v>74</v>
      </c>
      <c r="BQ1115" t="s">
        <v>74</v>
      </c>
      <c r="BR1115" t="s">
        <v>102</v>
      </c>
      <c r="BS1115" t="s">
        <v>18791</v>
      </c>
      <c r="BT1115" t="str">
        <f>HYPERLINK("https%3A%2F%2Fwww.webofscience.com%2Fwos%2Fwoscc%2Ffull-record%2FWOS:001104634700001","View Full Record in Web of Science")</f>
        <v>View Full Record in Web of Science</v>
      </c>
    </row>
    <row r="1116" spans="1:72" x14ac:dyDescent="0.35">
      <c r="A1116" t="s">
        <v>72</v>
      </c>
      <c r="B1116" t="s">
        <v>18792</v>
      </c>
      <c r="C1116" t="s">
        <v>74</v>
      </c>
      <c r="D1116" t="s">
        <v>74</v>
      </c>
      <c r="E1116" t="s">
        <v>74</v>
      </c>
      <c r="F1116" t="s">
        <v>18793</v>
      </c>
      <c r="G1116" t="s">
        <v>74</v>
      </c>
      <c r="H1116" t="s">
        <v>74</v>
      </c>
      <c r="I1116" t="s">
        <v>18794</v>
      </c>
      <c r="J1116" t="s">
        <v>18795</v>
      </c>
      <c r="K1116" t="s">
        <v>74</v>
      </c>
      <c r="L1116" t="s">
        <v>74</v>
      </c>
      <c r="M1116" t="s">
        <v>78</v>
      </c>
      <c r="N1116" t="s">
        <v>108</v>
      </c>
      <c r="O1116" t="s">
        <v>74</v>
      </c>
      <c r="P1116" t="s">
        <v>74</v>
      </c>
      <c r="Q1116" t="s">
        <v>74</v>
      </c>
      <c r="R1116" t="s">
        <v>74</v>
      </c>
      <c r="S1116" t="s">
        <v>74</v>
      </c>
      <c r="T1116" t="s">
        <v>18796</v>
      </c>
      <c r="U1116" t="s">
        <v>18797</v>
      </c>
      <c r="V1116" t="s">
        <v>18798</v>
      </c>
      <c r="W1116" t="s">
        <v>18799</v>
      </c>
      <c r="X1116" t="s">
        <v>18800</v>
      </c>
      <c r="Y1116" t="s">
        <v>18801</v>
      </c>
      <c r="Z1116" t="s">
        <v>18802</v>
      </c>
      <c r="AA1116" t="s">
        <v>18803</v>
      </c>
      <c r="AB1116" t="s">
        <v>18804</v>
      </c>
      <c r="AC1116" t="s">
        <v>18805</v>
      </c>
      <c r="AD1116" t="s">
        <v>4847</v>
      </c>
      <c r="AE1116" t="s">
        <v>18806</v>
      </c>
      <c r="AF1116" t="s">
        <v>74</v>
      </c>
      <c r="AG1116">
        <v>111</v>
      </c>
      <c r="AH1116">
        <v>28</v>
      </c>
      <c r="AI1116">
        <v>29</v>
      </c>
      <c r="AJ1116">
        <v>40</v>
      </c>
      <c r="AK1116">
        <v>297</v>
      </c>
      <c r="AL1116" t="s">
        <v>12436</v>
      </c>
      <c r="AM1116" t="s">
        <v>12437</v>
      </c>
      <c r="AN1116" t="s">
        <v>12438</v>
      </c>
      <c r="AO1116" t="s">
        <v>18807</v>
      </c>
      <c r="AP1116" t="s">
        <v>18808</v>
      </c>
      <c r="AQ1116" t="s">
        <v>74</v>
      </c>
      <c r="AR1116" t="s">
        <v>18795</v>
      </c>
      <c r="AS1116" t="s">
        <v>18809</v>
      </c>
      <c r="AT1116" t="s">
        <v>18810</v>
      </c>
      <c r="AU1116">
        <v>2021</v>
      </c>
      <c r="AV1116">
        <v>237</v>
      </c>
      <c r="AW1116" t="s">
        <v>74</v>
      </c>
      <c r="AX1116" t="s">
        <v>74</v>
      </c>
      <c r="AY1116" t="s">
        <v>74</v>
      </c>
      <c r="AZ1116" t="s">
        <v>74</v>
      </c>
      <c r="BA1116" t="s">
        <v>74</v>
      </c>
      <c r="BB1116" t="s">
        <v>74</v>
      </c>
      <c r="BC1116" t="s">
        <v>74</v>
      </c>
      <c r="BD1116">
        <v>118136</v>
      </c>
      <c r="BE1116" t="s">
        <v>18811</v>
      </c>
      <c r="BF1116" t="str">
        <f>HYPERLINK("http://dx.doi.org/10.1016/j.neuroimage.2021.118136","http://dx.doi.org/10.1016/j.neuroimage.2021.118136")</f>
        <v>http://dx.doi.org/10.1016/j.neuroimage.2021.118136</v>
      </c>
      <c r="BG1116" t="s">
        <v>74</v>
      </c>
      <c r="BH1116" t="s">
        <v>1827</v>
      </c>
      <c r="BI1116">
        <v>11</v>
      </c>
      <c r="BJ1116" t="s">
        <v>18812</v>
      </c>
      <c r="BK1116" t="s">
        <v>182</v>
      </c>
      <c r="BL1116" t="s">
        <v>15031</v>
      </c>
      <c r="BM1116" t="s">
        <v>18813</v>
      </c>
      <c r="BN1116">
        <v>33951514</v>
      </c>
      <c r="BO1116" t="s">
        <v>235</v>
      </c>
      <c r="BP1116" t="s">
        <v>74</v>
      </c>
      <c r="BQ1116" t="s">
        <v>74</v>
      </c>
      <c r="BR1116" t="s">
        <v>102</v>
      </c>
      <c r="BS1116" t="s">
        <v>18814</v>
      </c>
      <c r="BT1116" t="str">
        <f>HYPERLINK("https%3A%2F%2Fwww.webofscience.com%2Fwos%2Fwoscc%2Ffull-record%2FWOS:000671785900015","View Full Record in Web of Science")</f>
        <v>View Full Record in Web of Science</v>
      </c>
    </row>
    <row r="1117" spans="1:72" x14ac:dyDescent="0.35">
      <c r="A1117" t="s">
        <v>72</v>
      </c>
      <c r="B1117" t="s">
        <v>18815</v>
      </c>
      <c r="C1117" t="s">
        <v>74</v>
      </c>
      <c r="D1117" t="s">
        <v>74</v>
      </c>
      <c r="E1117" t="s">
        <v>74</v>
      </c>
      <c r="F1117" t="s">
        <v>18816</v>
      </c>
      <c r="G1117" t="s">
        <v>74</v>
      </c>
      <c r="H1117" t="s">
        <v>74</v>
      </c>
      <c r="I1117" t="s">
        <v>18817</v>
      </c>
      <c r="J1117" t="s">
        <v>18818</v>
      </c>
      <c r="K1117" t="s">
        <v>74</v>
      </c>
      <c r="L1117" t="s">
        <v>74</v>
      </c>
      <c r="M1117" t="s">
        <v>78</v>
      </c>
      <c r="N1117" t="s">
        <v>79</v>
      </c>
      <c r="O1117" t="s">
        <v>74</v>
      </c>
      <c r="P1117" t="s">
        <v>74</v>
      </c>
      <c r="Q1117" t="s">
        <v>74</v>
      </c>
      <c r="R1117" t="s">
        <v>74</v>
      </c>
      <c r="S1117" t="s">
        <v>74</v>
      </c>
      <c r="T1117" t="s">
        <v>18819</v>
      </c>
      <c r="U1117" t="s">
        <v>18820</v>
      </c>
      <c r="V1117" t="s">
        <v>18821</v>
      </c>
      <c r="W1117" t="s">
        <v>18822</v>
      </c>
      <c r="X1117" t="s">
        <v>18823</v>
      </c>
      <c r="Y1117" t="s">
        <v>18824</v>
      </c>
      <c r="Z1117" t="s">
        <v>18825</v>
      </c>
      <c r="AA1117" t="s">
        <v>18826</v>
      </c>
      <c r="AB1117" t="s">
        <v>18827</v>
      </c>
      <c r="AC1117" t="s">
        <v>74</v>
      </c>
      <c r="AD1117" t="s">
        <v>74</v>
      </c>
      <c r="AE1117" t="s">
        <v>74</v>
      </c>
      <c r="AF1117" t="s">
        <v>74</v>
      </c>
      <c r="AG1117">
        <v>25</v>
      </c>
      <c r="AH1117">
        <v>0</v>
      </c>
      <c r="AI1117">
        <v>0</v>
      </c>
      <c r="AJ1117">
        <v>0</v>
      </c>
      <c r="AK1117">
        <v>0</v>
      </c>
      <c r="AL1117" t="s">
        <v>251</v>
      </c>
      <c r="AM1117" t="s">
        <v>252</v>
      </c>
      <c r="AN1117" t="s">
        <v>253</v>
      </c>
      <c r="AO1117" t="s">
        <v>18828</v>
      </c>
      <c r="AP1117" t="s">
        <v>18829</v>
      </c>
      <c r="AQ1117" t="s">
        <v>74</v>
      </c>
      <c r="AR1117" t="s">
        <v>18830</v>
      </c>
      <c r="AS1117" t="s">
        <v>18831</v>
      </c>
      <c r="AT1117" t="s">
        <v>3699</v>
      </c>
      <c r="AU1117">
        <v>2024</v>
      </c>
      <c r="AV1117" t="s">
        <v>74</v>
      </c>
      <c r="AW1117" t="s">
        <v>74</v>
      </c>
      <c r="AX1117" t="s">
        <v>74</v>
      </c>
      <c r="AY1117" t="s">
        <v>74</v>
      </c>
      <c r="AZ1117" t="s">
        <v>74</v>
      </c>
      <c r="BA1117" t="s">
        <v>74</v>
      </c>
      <c r="BB1117" t="s">
        <v>74</v>
      </c>
      <c r="BC1117" t="s">
        <v>74</v>
      </c>
      <c r="BD1117" t="s">
        <v>74</v>
      </c>
      <c r="BE1117" t="s">
        <v>18832</v>
      </c>
      <c r="BF1117" t="str">
        <f>HYPERLINK("http://dx.doi.org/10.1002/ijgo.15846","http://dx.doi.org/10.1002/ijgo.15846")</f>
        <v>http://dx.doi.org/10.1002/ijgo.15846</v>
      </c>
      <c r="BG1117" t="s">
        <v>74</v>
      </c>
      <c r="BH1117" t="s">
        <v>2444</v>
      </c>
      <c r="BI1117">
        <v>9</v>
      </c>
      <c r="BJ1117" t="s">
        <v>1971</v>
      </c>
      <c r="BK1117" t="s">
        <v>209</v>
      </c>
      <c r="BL1117" t="s">
        <v>1971</v>
      </c>
      <c r="BM1117" t="s">
        <v>18833</v>
      </c>
      <c r="BN1117">
        <v>39118465</v>
      </c>
      <c r="BO1117" t="s">
        <v>156</v>
      </c>
      <c r="BP1117" t="s">
        <v>74</v>
      </c>
      <c r="BQ1117" t="s">
        <v>74</v>
      </c>
      <c r="BR1117" t="s">
        <v>102</v>
      </c>
      <c r="BS1117" t="s">
        <v>18834</v>
      </c>
      <c r="BT1117" t="str">
        <f>HYPERLINK("https%3A%2F%2Fwww.webofscience.com%2Fwos%2Fwoscc%2Ffull-record%2FWOS:001288579100001","View Full Record in Web of Science")</f>
        <v>View Full Record in Web of Science</v>
      </c>
    </row>
    <row r="1118" spans="1:72" x14ac:dyDescent="0.35">
      <c r="A1118" t="s">
        <v>72</v>
      </c>
      <c r="B1118" t="s">
        <v>18835</v>
      </c>
      <c r="C1118" t="s">
        <v>74</v>
      </c>
      <c r="D1118" t="s">
        <v>74</v>
      </c>
      <c r="E1118" t="s">
        <v>74</v>
      </c>
      <c r="F1118" t="s">
        <v>18836</v>
      </c>
      <c r="G1118" t="s">
        <v>74</v>
      </c>
      <c r="H1118" t="s">
        <v>74</v>
      </c>
      <c r="I1118" t="s">
        <v>18837</v>
      </c>
      <c r="J1118" t="s">
        <v>18838</v>
      </c>
      <c r="K1118" t="s">
        <v>74</v>
      </c>
      <c r="L1118" t="s">
        <v>74</v>
      </c>
      <c r="M1118" t="s">
        <v>78</v>
      </c>
      <c r="N1118" t="s">
        <v>108</v>
      </c>
      <c r="O1118" t="s">
        <v>74</v>
      </c>
      <c r="P1118" t="s">
        <v>74</v>
      </c>
      <c r="Q1118" t="s">
        <v>74</v>
      </c>
      <c r="R1118" t="s">
        <v>74</v>
      </c>
      <c r="S1118" t="s">
        <v>74</v>
      </c>
      <c r="T1118" t="s">
        <v>18839</v>
      </c>
      <c r="U1118" t="s">
        <v>18840</v>
      </c>
      <c r="V1118" t="s">
        <v>18841</v>
      </c>
      <c r="W1118" t="s">
        <v>18842</v>
      </c>
      <c r="X1118" t="s">
        <v>18843</v>
      </c>
      <c r="Y1118" t="s">
        <v>18844</v>
      </c>
      <c r="Z1118" t="s">
        <v>18845</v>
      </c>
      <c r="AA1118" t="s">
        <v>18846</v>
      </c>
      <c r="AB1118" t="s">
        <v>18847</v>
      </c>
      <c r="AC1118" t="s">
        <v>18848</v>
      </c>
      <c r="AD1118" t="s">
        <v>18849</v>
      </c>
      <c r="AE1118" t="s">
        <v>18850</v>
      </c>
      <c r="AF1118" t="s">
        <v>74</v>
      </c>
      <c r="AG1118">
        <v>69</v>
      </c>
      <c r="AH1118">
        <v>21</v>
      </c>
      <c r="AI1118">
        <v>22</v>
      </c>
      <c r="AJ1118">
        <v>0</v>
      </c>
      <c r="AK1118">
        <v>17</v>
      </c>
      <c r="AL1118" t="s">
        <v>1195</v>
      </c>
      <c r="AM1118" t="s">
        <v>1196</v>
      </c>
      <c r="AN1118" t="s">
        <v>1197</v>
      </c>
      <c r="AO1118" t="s">
        <v>74</v>
      </c>
      <c r="AP1118" t="s">
        <v>18851</v>
      </c>
      <c r="AQ1118" t="s">
        <v>74</v>
      </c>
      <c r="AR1118" t="s">
        <v>18852</v>
      </c>
      <c r="AS1118" t="s">
        <v>18853</v>
      </c>
      <c r="AT1118" t="s">
        <v>297</v>
      </c>
      <c r="AU1118">
        <v>2022</v>
      </c>
      <c r="AV1118">
        <v>10</v>
      </c>
      <c r="AW1118">
        <v>8</v>
      </c>
      <c r="AX1118" t="s">
        <v>74</v>
      </c>
      <c r="AY1118" t="s">
        <v>74</v>
      </c>
      <c r="AZ1118" t="s">
        <v>74</v>
      </c>
      <c r="BA1118" t="s">
        <v>74</v>
      </c>
      <c r="BB1118" t="s">
        <v>74</v>
      </c>
      <c r="BC1118" t="s">
        <v>74</v>
      </c>
      <c r="BD1118">
        <v>1190</v>
      </c>
      <c r="BE1118" t="s">
        <v>18854</v>
      </c>
      <c r="BF1118" t="str">
        <f>HYPERLINK("http://dx.doi.org/10.3390/vaccines10081190","http://dx.doi.org/10.3390/vaccines10081190")</f>
        <v>http://dx.doi.org/10.3390/vaccines10081190</v>
      </c>
      <c r="BG1118" t="s">
        <v>74</v>
      </c>
      <c r="BH1118" t="s">
        <v>74</v>
      </c>
      <c r="BI1118">
        <v>13</v>
      </c>
      <c r="BJ1118" t="s">
        <v>18855</v>
      </c>
      <c r="BK1118" t="s">
        <v>209</v>
      </c>
      <c r="BL1118" t="s">
        <v>18856</v>
      </c>
      <c r="BM1118" t="s">
        <v>18857</v>
      </c>
      <c r="BN1118">
        <v>35893839</v>
      </c>
      <c r="BO1118" t="s">
        <v>394</v>
      </c>
      <c r="BP1118" t="s">
        <v>74</v>
      </c>
      <c r="BQ1118" t="s">
        <v>74</v>
      </c>
      <c r="BR1118" t="s">
        <v>102</v>
      </c>
      <c r="BS1118" t="s">
        <v>18858</v>
      </c>
      <c r="BT1118" t="str">
        <f>HYPERLINK("https%3A%2F%2Fwww.webofscience.com%2Fwos%2Fwoscc%2Ffull-record%2FWOS:000845278100001","View Full Record in Web of Science")</f>
        <v>View Full Record in Web of Science</v>
      </c>
    </row>
    <row r="1119" spans="1:72" x14ac:dyDescent="0.35">
      <c r="A1119" t="s">
        <v>72</v>
      </c>
      <c r="B1119" t="s">
        <v>9473</v>
      </c>
      <c r="C1119" t="s">
        <v>74</v>
      </c>
      <c r="D1119" t="s">
        <v>74</v>
      </c>
      <c r="E1119" t="s">
        <v>74</v>
      </c>
      <c r="F1119" t="s">
        <v>9474</v>
      </c>
      <c r="G1119" t="s">
        <v>74</v>
      </c>
      <c r="H1119" t="s">
        <v>74</v>
      </c>
      <c r="I1119" t="s">
        <v>18859</v>
      </c>
      <c r="J1119" t="s">
        <v>13819</v>
      </c>
      <c r="K1119" t="s">
        <v>74</v>
      </c>
      <c r="L1119" t="s">
        <v>74</v>
      </c>
      <c r="M1119" t="s">
        <v>78</v>
      </c>
      <c r="N1119" t="s">
        <v>108</v>
      </c>
      <c r="O1119" t="s">
        <v>74</v>
      </c>
      <c r="P1119" t="s">
        <v>74</v>
      </c>
      <c r="Q1119" t="s">
        <v>74</v>
      </c>
      <c r="R1119" t="s">
        <v>74</v>
      </c>
      <c r="S1119" t="s">
        <v>74</v>
      </c>
      <c r="T1119" t="s">
        <v>18860</v>
      </c>
      <c r="U1119" t="s">
        <v>18861</v>
      </c>
      <c r="V1119" t="s">
        <v>18862</v>
      </c>
      <c r="W1119" t="s">
        <v>18863</v>
      </c>
      <c r="X1119" t="s">
        <v>18864</v>
      </c>
      <c r="Y1119" t="s">
        <v>18865</v>
      </c>
      <c r="Z1119" t="s">
        <v>9480</v>
      </c>
      <c r="AA1119" t="s">
        <v>74</v>
      </c>
      <c r="AB1119" t="s">
        <v>74</v>
      </c>
      <c r="AC1119" t="s">
        <v>74</v>
      </c>
      <c r="AD1119" t="s">
        <v>74</v>
      </c>
      <c r="AE1119" t="s">
        <v>74</v>
      </c>
      <c r="AF1119" t="s">
        <v>74</v>
      </c>
      <c r="AG1119">
        <v>99</v>
      </c>
      <c r="AH1119">
        <v>12</v>
      </c>
      <c r="AI1119">
        <v>14</v>
      </c>
      <c r="AJ1119">
        <v>2</v>
      </c>
      <c r="AK1119">
        <v>31</v>
      </c>
      <c r="AL1119" t="s">
        <v>1195</v>
      </c>
      <c r="AM1119" t="s">
        <v>1196</v>
      </c>
      <c r="AN1119" t="s">
        <v>1197</v>
      </c>
      <c r="AO1119" t="s">
        <v>74</v>
      </c>
      <c r="AP1119" t="s">
        <v>13826</v>
      </c>
      <c r="AQ1119" t="s">
        <v>74</v>
      </c>
      <c r="AR1119" t="s">
        <v>13819</v>
      </c>
      <c r="AS1119" t="s">
        <v>13827</v>
      </c>
      <c r="AT1119" t="s">
        <v>178</v>
      </c>
      <c r="AU1119">
        <v>2022</v>
      </c>
      <c r="AV1119">
        <v>13</v>
      </c>
      <c r="AW1119">
        <v>2</v>
      </c>
      <c r="AX1119" t="s">
        <v>74</v>
      </c>
      <c r="AY1119" t="s">
        <v>74</v>
      </c>
      <c r="AZ1119" t="s">
        <v>74</v>
      </c>
      <c r="BA1119" t="s">
        <v>74</v>
      </c>
      <c r="BB1119" t="s">
        <v>74</v>
      </c>
      <c r="BC1119" t="s">
        <v>74</v>
      </c>
      <c r="BD1119">
        <v>118</v>
      </c>
      <c r="BE1119" t="s">
        <v>18866</v>
      </c>
      <c r="BF1119" t="str">
        <f>HYPERLINK("http://dx.doi.org/10.3390/rel13020118","http://dx.doi.org/10.3390/rel13020118")</f>
        <v>http://dx.doi.org/10.3390/rel13020118</v>
      </c>
      <c r="BG1119" t="s">
        <v>74</v>
      </c>
      <c r="BH1119" t="s">
        <v>74</v>
      </c>
      <c r="BI1119">
        <v>22</v>
      </c>
      <c r="BJ1119" t="s">
        <v>13829</v>
      </c>
      <c r="BK1119" t="s">
        <v>316</v>
      </c>
      <c r="BL1119" t="s">
        <v>13829</v>
      </c>
      <c r="BM1119" t="s">
        <v>18867</v>
      </c>
      <c r="BN1119" t="s">
        <v>74</v>
      </c>
      <c r="BO1119" t="s">
        <v>235</v>
      </c>
      <c r="BP1119" t="s">
        <v>74</v>
      </c>
      <c r="BQ1119" t="s">
        <v>74</v>
      </c>
      <c r="BR1119" t="s">
        <v>102</v>
      </c>
      <c r="BS1119" t="s">
        <v>18868</v>
      </c>
      <c r="BT1119" t="str">
        <f>HYPERLINK("https%3A%2F%2Fwww.webofscience.com%2Fwos%2Fwoscc%2Ffull-record%2FWOS:000764714100001","View Full Record in Web of Science")</f>
        <v>View Full Record in Web of Science</v>
      </c>
    </row>
    <row r="1120" spans="1:72" x14ac:dyDescent="0.35">
      <c r="A1120" t="s">
        <v>72</v>
      </c>
      <c r="B1120" t="s">
        <v>18869</v>
      </c>
      <c r="C1120" t="s">
        <v>74</v>
      </c>
      <c r="D1120" t="s">
        <v>74</v>
      </c>
      <c r="E1120" t="s">
        <v>74</v>
      </c>
      <c r="F1120" t="s">
        <v>18870</v>
      </c>
      <c r="G1120" t="s">
        <v>74</v>
      </c>
      <c r="H1120" t="s">
        <v>74</v>
      </c>
      <c r="I1120" t="s">
        <v>18871</v>
      </c>
      <c r="J1120" t="s">
        <v>18872</v>
      </c>
      <c r="K1120" t="s">
        <v>74</v>
      </c>
      <c r="L1120" t="s">
        <v>74</v>
      </c>
      <c r="M1120" t="s">
        <v>78</v>
      </c>
      <c r="N1120" t="s">
        <v>79</v>
      </c>
      <c r="O1120" t="s">
        <v>74</v>
      </c>
      <c r="P1120" t="s">
        <v>74</v>
      </c>
      <c r="Q1120" t="s">
        <v>74</v>
      </c>
      <c r="R1120" t="s">
        <v>74</v>
      </c>
      <c r="S1120" t="s">
        <v>74</v>
      </c>
      <c r="T1120" t="s">
        <v>18873</v>
      </c>
      <c r="U1120" t="s">
        <v>74</v>
      </c>
      <c r="V1120" t="s">
        <v>18874</v>
      </c>
      <c r="W1120" t="s">
        <v>18875</v>
      </c>
      <c r="X1120" t="s">
        <v>11748</v>
      </c>
      <c r="Y1120" t="s">
        <v>18876</v>
      </c>
      <c r="Z1120" t="s">
        <v>18877</v>
      </c>
      <c r="AA1120" t="s">
        <v>74</v>
      </c>
      <c r="AB1120" t="s">
        <v>18878</v>
      </c>
      <c r="AC1120" t="s">
        <v>74</v>
      </c>
      <c r="AD1120" t="s">
        <v>74</v>
      </c>
      <c r="AE1120" t="s">
        <v>74</v>
      </c>
      <c r="AF1120" t="s">
        <v>74</v>
      </c>
      <c r="AG1120">
        <v>20</v>
      </c>
      <c r="AH1120">
        <v>0</v>
      </c>
      <c r="AI1120">
        <v>0</v>
      </c>
      <c r="AJ1120">
        <v>1</v>
      </c>
      <c r="AK1120">
        <v>1</v>
      </c>
      <c r="AL1120" t="s">
        <v>251</v>
      </c>
      <c r="AM1120" t="s">
        <v>252</v>
      </c>
      <c r="AN1120" t="s">
        <v>253</v>
      </c>
      <c r="AO1120" t="s">
        <v>74</v>
      </c>
      <c r="AP1120" t="s">
        <v>18879</v>
      </c>
      <c r="AQ1120" t="s">
        <v>74</v>
      </c>
      <c r="AR1120" t="s">
        <v>18880</v>
      </c>
      <c r="AS1120" t="s">
        <v>18881</v>
      </c>
      <c r="AT1120" t="s">
        <v>7989</v>
      </c>
      <c r="AU1120">
        <v>2024</v>
      </c>
      <c r="AV1120" t="s">
        <v>74</v>
      </c>
      <c r="AW1120" t="s">
        <v>74</v>
      </c>
      <c r="AX1120" t="s">
        <v>74</v>
      </c>
      <c r="AY1120" t="s">
        <v>74</v>
      </c>
      <c r="AZ1120" t="s">
        <v>74</v>
      </c>
      <c r="BA1120" t="s">
        <v>74</v>
      </c>
      <c r="BB1120" t="s">
        <v>74</v>
      </c>
      <c r="BC1120" t="s">
        <v>74</v>
      </c>
      <c r="BD1120" t="s">
        <v>74</v>
      </c>
      <c r="BE1120" t="s">
        <v>18882</v>
      </c>
      <c r="BF1120" t="str">
        <f>HYPERLINK("http://dx.doi.org/10.1002/jac5.2035","http://dx.doi.org/10.1002/jac5.2035")</f>
        <v>http://dx.doi.org/10.1002/jac5.2035</v>
      </c>
      <c r="BG1120" t="s">
        <v>74</v>
      </c>
      <c r="BH1120" t="s">
        <v>1721</v>
      </c>
      <c r="BI1120">
        <v>7</v>
      </c>
      <c r="BJ1120" t="s">
        <v>2215</v>
      </c>
      <c r="BK1120" t="s">
        <v>125</v>
      </c>
      <c r="BL1120" t="s">
        <v>2215</v>
      </c>
      <c r="BM1120" t="s">
        <v>18883</v>
      </c>
      <c r="BN1120" t="s">
        <v>74</v>
      </c>
      <c r="BO1120" t="s">
        <v>767</v>
      </c>
      <c r="BP1120" t="s">
        <v>74</v>
      </c>
      <c r="BQ1120" t="s">
        <v>74</v>
      </c>
      <c r="BR1120" t="s">
        <v>102</v>
      </c>
      <c r="BS1120" t="s">
        <v>18884</v>
      </c>
      <c r="BT1120" t="str">
        <f>HYPERLINK("https%3A%2F%2Fwww.webofscience.com%2Fwos%2Fwoscc%2Ffull-record%2FWOS:001336588200001","View Full Record in Web of Science")</f>
        <v>View Full Record in Web of Science</v>
      </c>
    </row>
    <row r="1121" spans="1:72" x14ac:dyDescent="0.35">
      <c r="A1121" t="s">
        <v>72</v>
      </c>
      <c r="B1121" t="s">
        <v>18885</v>
      </c>
      <c r="C1121" t="s">
        <v>74</v>
      </c>
      <c r="D1121" t="s">
        <v>74</v>
      </c>
      <c r="E1121" t="s">
        <v>74</v>
      </c>
      <c r="F1121" t="s">
        <v>18886</v>
      </c>
      <c r="G1121" t="s">
        <v>74</v>
      </c>
      <c r="H1121" t="s">
        <v>74</v>
      </c>
      <c r="I1121" t="s">
        <v>18887</v>
      </c>
      <c r="J1121" t="s">
        <v>18888</v>
      </c>
      <c r="K1121" t="s">
        <v>74</v>
      </c>
      <c r="L1121" t="s">
        <v>74</v>
      </c>
      <c r="M1121" t="s">
        <v>78</v>
      </c>
      <c r="N1121" t="s">
        <v>108</v>
      </c>
      <c r="O1121" t="s">
        <v>74</v>
      </c>
      <c r="P1121" t="s">
        <v>74</v>
      </c>
      <c r="Q1121" t="s">
        <v>74</v>
      </c>
      <c r="R1121" t="s">
        <v>74</v>
      </c>
      <c r="S1121" t="s">
        <v>74</v>
      </c>
      <c r="T1121" t="s">
        <v>18889</v>
      </c>
      <c r="U1121" t="s">
        <v>18890</v>
      </c>
      <c r="V1121" t="s">
        <v>18891</v>
      </c>
      <c r="W1121" t="s">
        <v>18892</v>
      </c>
      <c r="X1121" t="s">
        <v>14419</v>
      </c>
      <c r="Y1121" t="s">
        <v>18893</v>
      </c>
      <c r="Z1121" t="s">
        <v>15055</v>
      </c>
      <c r="AA1121" t="s">
        <v>18894</v>
      </c>
      <c r="AB1121" t="s">
        <v>18895</v>
      </c>
      <c r="AC1121" t="s">
        <v>15057</v>
      </c>
      <c r="AD1121" t="s">
        <v>15058</v>
      </c>
      <c r="AE1121" t="s">
        <v>18896</v>
      </c>
      <c r="AF1121" t="s">
        <v>74</v>
      </c>
      <c r="AG1121">
        <v>34</v>
      </c>
      <c r="AH1121">
        <v>2</v>
      </c>
      <c r="AI1121">
        <v>4</v>
      </c>
      <c r="AJ1121">
        <v>2</v>
      </c>
      <c r="AK1121">
        <v>12</v>
      </c>
      <c r="AL1121" t="s">
        <v>18897</v>
      </c>
      <c r="AM1121" t="s">
        <v>18898</v>
      </c>
      <c r="AN1121" t="s">
        <v>18899</v>
      </c>
      <c r="AO1121" t="s">
        <v>18900</v>
      </c>
      <c r="AP1121" t="s">
        <v>74</v>
      </c>
      <c r="AQ1121" t="s">
        <v>74</v>
      </c>
      <c r="AR1121" t="s">
        <v>18901</v>
      </c>
      <c r="AS1121" t="s">
        <v>18902</v>
      </c>
      <c r="AT1121" t="s">
        <v>297</v>
      </c>
      <c r="AU1121">
        <v>2022</v>
      </c>
      <c r="AV1121">
        <v>20</v>
      </c>
      <c r="AW1121" t="s">
        <v>74</v>
      </c>
      <c r="AX1121" t="s">
        <v>74</v>
      </c>
      <c r="AY1121" t="s">
        <v>74</v>
      </c>
      <c r="AZ1121" t="s">
        <v>74</v>
      </c>
      <c r="BA1121" t="s">
        <v>74</v>
      </c>
      <c r="BB1121" t="s">
        <v>74</v>
      </c>
      <c r="BC1121" t="s">
        <v>74</v>
      </c>
      <c r="BD1121">
        <v>151868</v>
      </c>
      <c r="BE1121" t="s">
        <v>18903</v>
      </c>
      <c r="BF1121" t="str">
        <f>HYPERLINK("http://dx.doi.org/10.18332/tid/151868","http://dx.doi.org/10.18332/tid/151868")</f>
        <v>http://dx.doi.org/10.18332/tid/151868</v>
      </c>
      <c r="BG1121" t="s">
        <v>74</v>
      </c>
      <c r="BH1121" t="s">
        <v>74</v>
      </c>
      <c r="BI1121">
        <v>9</v>
      </c>
      <c r="BJ1121" t="s">
        <v>8342</v>
      </c>
      <c r="BK1121" t="s">
        <v>182</v>
      </c>
      <c r="BL1121" t="s">
        <v>8342</v>
      </c>
      <c r="BM1121" t="s">
        <v>18904</v>
      </c>
      <c r="BN1121">
        <v>35979474</v>
      </c>
      <c r="BO1121" t="s">
        <v>394</v>
      </c>
      <c r="BP1121" t="s">
        <v>74</v>
      </c>
      <c r="BQ1121" t="s">
        <v>74</v>
      </c>
      <c r="BR1121" t="s">
        <v>102</v>
      </c>
      <c r="BS1121" t="s">
        <v>18905</v>
      </c>
      <c r="BT1121" t="str">
        <f>HYPERLINK("https%3A%2F%2Fwww.webofscience.com%2Fwos%2Fwoscc%2Ffull-record%2FWOS:000837289400001","View Full Record in Web of Science")</f>
        <v>View Full Record in Web of Science</v>
      </c>
    </row>
    <row r="1122" spans="1:72" x14ac:dyDescent="0.35">
      <c r="A1122" t="s">
        <v>72</v>
      </c>
      <c r="B1122" t="s">
        <v>14553</v>
      </c>
      <c r="C1122" t="s">
        <v>74</v>
      </c>
      <c r="D1122" t="s">
        <v>74</v>
      </c>
      <c r="E1122" t="s">
        <v>74</v>
      </c>
      <c r="F1122" t="s">
        <v>14554</v>
      </c>
      <c r="G1122" t="s">
        <v>74</v>
      </c>
      <c r="H1122" t="s">
        <v>74</v>
      </c>
      <c r="I1122" t="s">
        <v>18906</v>
      </c>
      <c r="J1122" t="s">
        <v>18907</v>
      </c>
      <c r="K1122" t="s">
        <v>74</v>
      </c>
      <c r="L1122" t="s">
        <v>74</v>
      </c>
      <c r="M1122" t="s">
        <v>78</v>
      </c>
      <c r="N1122" t="s">
        <v>2042</v>
      </c>
      <c r="O1122" t="s">
        <v>74</v>
      </c>
      <c r="P1122" t="s">
        <v>74</v>
      </c>
      <c r="Q1122" t="s">
        <v>74</v>
      </c>
      <c r="R1122" t="s">
        <v>74</v>
      </c>
      <c r="S1122" t="s">
        <v>74</v>
      </c>
      <c r="T1122" t="s">
        <v>18908</v>
      </c>
      <c r="U1122" t="s">
        <v>74</v>
      </c>
      <c r="V1122" t="s">
        <v>74</v>
      </c>
      <c r="W1122" t="s">
        <v>18909</v>
      </c>
      <c r="X1122" t="s">
        <v>11016</v>
      </c>
      <c r="Y1122" t="s">
        <v>18910</v>
      </c>
      <c r="Z1122" t="s">
        <v>14563</v>
      </c>
      <c r="AA1122" t="s">
        <v>74</v>
      </c>
      <c r="AB1122" t="s">
        <v>14564</v>
      </c>
      <c r="AC1122" t="s">
        <v>74</v>
      </c>
      <c r="AD1122" t="s">
        <v>74</v>
      </c>
      <c r="AE1122" t="s">
        <v>74</v>
      </c>
      <c r="AF1122" t="s">
        <v>74</v>
      </c>
      <c r="AG1122">
        <v>3</v>
      </c>
      <c r="AH1122">
        <v>0</v>
      </c>
      <c r="AI1122">
        <v>0</v>
      </c>
      <c r="AJ1122">
        <v>0</v>
      </c>
      <c r="AK1122">
        <v>2</v>
      </c>
      <c r="AL1122" t="s">
        <v>88</v>
      </c>
      <c r="AM1122" t="s">
        <v>89</v>
      </c>
      <c r="AN1122" t="s">
        <v>90</v>
      </c>
      <c r="AO1122" t="s">
        <v>18911</v>
      </c>
      <c r="AP1122" t="s">
        <v>18912</v>
      </c>
      <c r="AQ1122" t="s">
        <v>74</v>
      </c>
      <c r="AR1122" t="s">
        <v>18913</v>
      </c>
      <c r="AS1122" t="s">
        <v>18914</v>
      </c>
      <c r="AT1122" t="s">
        <v>2323</v>
      </c>
      <c r="AU1122">
        <v>2021</v>
      </c>
      <c r="AV1122">
        <v>15</v>
      </c>
      <c r="AW1122">
        <v>1</v>
      </c>
      <c r="AX1122" t="s">
        <v>74</v>
      </c>
      <c r="AY1122" t="s">
        <v>74</v>
      </c>
      <c r="AZ1122" t="s">
        <v>456</v>
      </c>
      <c r="BA1122" t="s">
        <v>74</v>
      </c>
      <c r="BB1122">
        <v>109</v>
      </c>
      <c r="BC1122">
        <v>111</v>
      </c>
      <c r="BD1122" t="s">
        <v>74</v>
      </c>
      <c r="BE1122" t="s">
        <v>18915</v>
      </c>
      <c r="BF1122" t="str">
        <f>HYPERLINK("http://dx.doi.org/10.1080/17482798.2020.1858904","http://dx.doi.org/10.1080/17482798.2020.1858904")</f>
        <v>http://dx.doi.org/10.1080/17482798.2020.1858904</v>
      </c>
      <c r="BG1122" t="s">
        <v>74</v>
      </c>
      <c r="BH1122" t="s">
        <v>74</v>
      </c>
      <c r="BI1122">
        <v>3</v>
      </c>
      <c r="BJ1122" t="s">
        <v>18916</v>
      </c>
      <c r="BK1122" t="s">
        <v>99</v>
      </c>
      <c r="BL1122" t="s">
        <v>18917</v>
      </c>
      <c r="BM1122" t="s">
        <v>18918</v>
      </c>
      <c r="BN1122" t="s">
        <v>74</v>
      </c>
      <c r="BO1122" t="s">
        <v>74</v>
      </c>
      <c r="BP1122" t="s">
        <v>74</v>
      </c>
      <c r="BQ1122" t="s">
        <v>74</v>
      </c>
      <c r="BR1122" t="s">
        <v>102</v>
      </c>
      <c r="BS1122" t="s">
        <v>18919</v>
      </c>
      <c r="BT1122" t="str">
        <f>HYPERLINK("https%3A%2F%2Fwww.webofscience.com%2Fwos%2Fwoscc%2Ffull-record%2FWOS:000627819600026","View Full Record in Web of Science")</f>
        <v>View Full Record in Web of Science</v>
      </c>
    </row>
    <row r="1123" spans="1:72" x14ac:dyDescent="0.35">
      <c r="A1123" t="s">
        <v>72</v>
      </c>
      <c r="B1123" t="s">
        <v>18920</v>
      </c>
      <c r="C1123" t="s">
        <v>74</v>
      </c>
      <c r="D1123" t="s">
        <v>74</v>
      </c>
      <c r="E1123" t="s">
        <v>74</v>
      </c>
      <c r="F1123" t="s">
        <v>18921</v>
      </c>
      <c r="G1123" t="s">
        <v>74</v>
      </c>
      <c r="H1123" t="s">
        <v>74</v>
      </c>
      <c r="I1123" t="s">
        <v>18922</v>
      </c>
      <c r="J1123" t="s">
        <v>18923</v>
      </c>
      <c r="K1123" t="s">
        <v>74</v>
      </c>
      <c r="L1123" t="s">
        <v>74</v>
      </c>
      <c r="M1123" t="s">
        <v>78</v>
      </c>
      <c r="N1123" t="s">
        <v>79</v>
      </c>
      <c r="O1123" t="s">
        <v>74</v>
      </c>
      <c r="P1123" t="s">
        <v>74</v>
      </c>
      <c r="Q1123" t="s">
        <v>74</v>
      </c>
      <c r="R1123" t="s">
        <v>74</v>
      </c>
      <c r="S1123" t="s">
        <v>74</v>
      </c>
      <c r="T1123" t="s">
        <v>18924</v>
      </c>
      <c r="U1123" t="s">
        <v>18925</v>
      </c>
      <c r="V1123" t="s">
        <v>18926</v>
      </c>
      <c r="W1123" t="s">
        <v>18927</v>
      </c>
      <c r="X1123" t="s">
        <v>18928</v>
      </c>
      <c r="Y1123" t="s">
        <v>18929</v>
      </c>
      <c r="Z1123" t="s">
        <v>18930</v>
      </c>
      <c r="AA1123" t="s">
        <v>18931</v>
      </c>
      <c r="AB1123" t="s">
        <v>74</v>
      </c>
      <c r="AC1123" t="s">
        <v>74</v>
      </c>
      <c r="AD1123" t="s">
        <v>74</v>
      </c>
      <c r="AE1123" t="s">
        <v>74</v>
      </c>
      <c r="AF1123" t="s">
        <v>74</v>
      </c>
      <c r="AG1123">
        <v>34</v>
      </c>
      <c r="AH1123">
        <v>0</v>
      </c>
      <c r="AI1123">
        <v>0</v>
      </c>
      <c r="AJ1123">
        <v>0</v>
      </c>
      <c r="AK1123">
        <v>1</v>
      </c>
      <c r="AL1123" t="s">
        <v>251</v>
      </c>
      <c r="AM1123" t="s">
        <v>252</v>
      </c>
      <c r="AN1123" t="s">
        <v>253</v>
      </c>
      <c r="AO1123" t="s">
        <v>18932</v>
      </c>
      <c r="AP1123" t="s">
        <v>18933</v>
      </c>
      <c r="AQ1123" t="s">
        <v>74</v>
      </c>
      <c r="AR1123" t="s">
        <v>18934</v>
      </c>
      <c r="AS1123" t="s">
        <v>18935</v>
      </c>
      <c r="AT1123" t="s">
        <v>17146</v>
      </c>
      <c r="AU1123">
        <v>2024</v>
      </c>
      <c r="AV1123" t="s">
        <v>74</v>
      </c>
      <c r="AW1123" t="s">
        <v>74</v>
      </c>
      <c r="AX1123" t="s">
        <v>74</v>
      </c>
      <c r="AY1123" t="s">
        <v>74</v>
      </c>
      <c r="AZ1123" t="s">
        <v>74</v>
      </c>
      <c r="BA1123" t="s">
        <v>74</v>
      </c>
      <c r="BB1123" t="s">
        <v>74</v>
      </c>
      <c r="BC1123" t="s">
        <v>74</v>
      </c>
      <c r="BD1123" t="s">
        <v>74</v>
      </c>
      <c r="BE1123" t="s">
        <v>18936</v>
      </c>
      <c r="BF1123" t="str">
        <f>HYPERLINK("http://dx.doi.org/10.1111/edt.12952","http://dx.doi.org/10.1111/edt.12952")</f>
        <v>http://dx.doi.org/10.1111/edt.12952</v>
      </c>
      <c r="BG1123" t="s">
        <v>74</v>
      </c>
      <c r="BH1123" t="s">
        <v>2410</v>
      </c>
      <c r="BI1123">
        <v>8</v>
      </c>
      <c r="BJ1123" t="s">
        <v>599</v>
      </c>
      <c r="BK1123" t="s">
        <v>209</v>
      </c>
      <c r="BL1123" t="s">
        <v>599</v>
      </c>
      <c r="BM1123" t="s">
        <v>18937</v>
      </c>
      <c r="BN1123">
        <v>38591807</v>
      </c>
      <c r="BO1123" t="s">
        <v>74</v>
      </c>
      <c r="BP1123" t="s">
        <v>74</v>
      </c>
      <c r="BQ1123" t="s">
        <v>74</v>
      </c>
      <c r="BR1123" t="s">
        <v>102</v>
      </c>
      <c r="BS1123" t="s">
        <v>18938</v>
      </c>
      <c r="BT1123" t="str">
        <f>HYPERLINK("https%3A%2F%2Fwww.webofscience.com%2Fwos%2Fwoscc%2Ffull-record%2FWOS:001198702300001","View Full Record in Web of Science")</f>
        <v>View Full Record in Web of Science</v>
      </c>
    </row>
    <row r="1124" spans="1:72" x14ac:dyDescent="0.35">
      <c r="A1124" t="s">
        <v>72</v>
      </c>
      <c r="B1124" t="s">
        <v>18939</v>
      </c>
      <c r="C1124" t="s">
        <v>74</v>
      </c>
      <c r="D1124" t="s">
        <v>74</v>
      </c>
      <c r="E1124" t="s">
        <v>74</v>
      </c>
      <c r="F1124" t="s">
        <v>18940</v>
      </c>
      <c r="G1124" t="s">
        <v>74</v>
      </c>
      <c r="H1124" t="s">
        <v>74</v>
      </c>
      <c r="I1124" t="s">
        <v>18941</v>
      </c>
      <c r="J1124" t="s">
        <v>18069</v>
      </c>
      <c r="K1124" t="s">
        <v>74</v>
      </c>
      <c r="L1124" t="s">
        <v>74</v>
      </c>
      <c r="M1124" t="s">
        <v>78</v>
      </c>
      <c r="N1124" t="s">
        <v>1328</v>
      </c>
      <c r="O1124" t="s">
        <v>74</v>
      </c>
      <c r="P1124" t="s">
        <v>74</v>
      </c>
      <c r="Q1124" t="s">
        <v>74</v>
      </c>
      <c r="R1124" t="s">
        <v>74</v>
      </c>
      <c r="S1124" t="s">
        <v>74</v>
      </c>
      <c r="T1124" t="s">
        <v>74</v>
      </c>
      <c r="U1124" t="s">
        <v>74</v>
      </c>
      <c r="V1124" t="s">
        <v>74</v>
      </c>
      <c r="W1124" t="s">
        <v>18942</v>
      </c>
      <c r="X1124" t="s">
        <v>18943</v>
      </c>
      <c r="Y1124" t="s">
        <v>18944</v>
      </c>
      <c r="Z1124" t="s">
        <v>18945</v>
      </c>
      <c r="AA1124" t="s">
        <v>74</v>
      </c>
      <c r="AB1124" t="s">
        <v>74</v>
      </c>
      <c r="AC1124" t="s">
        <v>74</v>
      </c>
      <c r="AD1124" t="s">
        <v>74</v>
      </c>
      <c r="AE1124" t="s">
        <v>74</v>
      </c>
      <c r="AF1124" t="s">
        <v>74</v>
      </c>
      <c r="AG1124">
        <v>0</v>
      </c>
      <c r="AH1124">
        <v>0</v>
      </c>
      <c r="AI1124">
        <v>0</v>
      </c>
      <c r="AJ1124">
        <v>1</v>
      </c>
      <c r="AK1124">
        <v>1</v>
      </c>
      <c r="AL1124" t="s">
        <v>251</v>
      </c>
      <c r="AM1124" t="s">
        <v>252</v>
      </c>
      <c r="AN1124" t="s">
        <v>253</v>
      </c>
      <c r="AO1124" t="s">
        <v>18070</v>
      </c>
      <c r="AP1124" t="s">
        <v>18071</v>
      </c>
      <c r="AQ1124" t="s">
        <v>74</v>
      </c>
      <c r="AR1124" t="s">
        <v>18072</v>
      </c>
      <c r="AS1124" t="s">
        <v>18073</v>
      </c>
      <c r="AT1124" t="s">
        <v>273</v>
      </c>
      <c r="AU1124">
        <v>2023</v>
      </c>
      <c r="AV1124">
        <v>68</v>
      </c>
      <c r="AW1124">
        <v>4</v>
      </c>
      <c r="AX1124" t="s">
        <v>74</v>
      </c>
      <c r="AY1124" t="s">
        <v>74</v>
      </c>
      <c r="AZ1124" t="s">
        <v>74</v>
      </c>
      <c r="BA1124" t="s">
        <v>74</v>
      </c>
      <c r="BB1124">
        <v>1442</v>
      </c>
      <c r="BC1124">
        <v>1443</v>
      </c>
      <c r="BD1124" t="s">
        <v>74</v>
      </c>
      <c r="BE1124" t="s">
        <v>18946</v>
      </c>
      <c r="BF1124" t="str">
        <f>HYPERLINK("http://dx.doi.org/10.1111/1556-4029.15307","http://dx.doi.org/10.1111/1556-4029.15307")</f>
        <v>http://dx.doi.org/10.1111/1556-4029.15307</v>
      </c>
      <c r="BG1124" t="s">
        <v>74</v>
      </c>
      <c r="BH1124" t="s">
        <v>1954</v>
      </c>
      <c r="BI1124">
        <v>2</v>
      </c>
      <c r="BJ1124" t="s">
        <v>18075</v>
      </c>
      <c r="BK1124" t="s">
        <v>209</v>
      </c>
      <c r="BL1124" t="s">
        <v>18076</v>
      </c>
      <c r="BM1124" t="s">
        <v>18947</v>
      </c>
      <c r="BN1124">
        <v>37312286</v>
      </c>
      <c r="BO1124" t="s">
        <v>74</v>
      </c>
      <c r="BP1124" t="s">
        <v>74</v>
      </c>
      <c r="BQ1124" t="s">
        <v>74</v>
      </c>
      <c r="BR1124" t="s">
        <v>102</v>
      </c>
      <c r="BS1124" t="s">
        <v>18948</v>
      </c>
      <c r="BT1124" t="str">
        <f>HYPERLINK("https%3A%2F%2Fwww.webofscience.com%2Fwos%2Fwoscc%2Ffull-record%2FWOS:001008543300001","View Full Record in Web of Science")</f>
        <v>View Full Record in Web of Science</v>
      </c>
    </row>
    <row r="1125" spans="1:72" x14ac:dyDescent="0.35">
      <c r="A1125" t="s">
        <v>72</v>
      </c>
      <c r="B1125" t="s">
        <v>18949</v>
      </c>
      <c r="C1125" t="s">
        <v>74</v>
      </c>
      <c r="D1125" t="s">
        <v>74</v>
      </c>
      <c r="E1125" t="s">
        <v>74</v>
      </c>
      <c r="F1125" t="s">
        <v>18950</v>
      </c>
      <c r="G1125" t="s">
        <v>74</v>
      </c>
      <c r="H1125" t="s">
        <v>74</v>
      </c>
      <c r="I1125" t="s">
        <v>18951</v>
      </c>
      <c r="J1125" t="s">
        <v>18952</v>
      </c>
      <c r="K1125" t="s">
        <v>74</v>
      </c>
      <c r="L1125" t="s">
        <v>74</v>
      </c>
      <c r="M1125" t="s">
        <v>78</v>
      </c>
      <c r="N1125" t="s">
        <v>108</v>
      </c>
      <c r="O1125" t="s">
        <v>74</v>
      </c>
      <c r="P1125" t="s">
        <v>74</v>
      </c>
      <c r="Q1125" t="s">
        <v>74</v>
      </c>
      <c r="R1125" t="s">
        <v>74</v>
      </c>
      <c r="S1125" t="s">
        <v>74</v>
      </c>
      <c r="T1125" t="s">
        <v>18953</v>
      </c>
      <c r="U1125" t="s">
        <v>18954</v>
      </c>
      <c r="V1125" t="s">
        <v>18955</v>
      </c>
      <c r="W1125" t="s">
        <v>18956</v>
      </c>
      <c r="X1125" t="s">
        <v>18957</v>
      </c>
      <c r="Y1125" t="s">
        <v>16919</v>
      </c>
      <c r="Z1125" t="s">
        <v>13062</v>
      </c>
      <c r="AA1125" t="s">
        <v>18958</v>
      </c>
      <c r="AB1125" t="s">
        <v>18959</v>
      </c>
      <c r="AC1125" t="s">
        <v>74</v>
      </c>
      <c r="AD1125" t="s">
        <v>74</v>
      </c>
      <c r="AE1125" t="s">
        <v>74</v>
      </c>
      <c r="AF1125" t="s">
        <v>74</v>
      </c>
      <c r="AG1125">
        <v>51</v>
      </c>
      <c r="AH1125">
        <v>8</v>
      </c>
      <c r="AI1125">
        <v>8</v>
      </c>
      <c r="AJ1125">
        <v>6</v>
      </c>
      <c r="AK1125">
        <v>21</v>
      </c>
      <c r="AL1125" t="s">
        <v>543</v>
      </c>
      <c r="AM1125" t="s">
        <v>544</v>
      </c>
      <c r="AN1125" t="s">
        <v>545</v>
      </c>
      <c r="AO1125" t="s">
        <v>18960</v>
      </c>
      <c r="AP1125" t="s">
        <v>74</v>
      </c>
      <c r="AQ1125" t="s">
        <v>74</v>
      </c>
      <c r="AR1125" t="s">
        <v>18952</v>
      </c>
      <c r="AS1125" t="s">
        <v>18961</v>
      </c>
      <c r="AT1125" t="s">
        <v>7623</v>
      </c>
      <c r="AU1125">
        <v>2022</v>
      </c>
      <c r="AV1125">
        <v>8</v>
      </c>
      <c r="AW1125">
        <v>4</v>
      </c>
      <c r="AX1125" t="s">
        <v>74</v>
      </c>
      <c r="AY1125" t="s">
        <v>74</v>
      </c>
      <c r="AZ1125" t="s">
        <v>74</v>
      </c>
      <c r="BA1125" t="s">
        <v>74</v>
      </c>
      <c r="BB1125" t="s">
        <v>74</v>
      </c>
      <c r="BC1125" t="s">
        <v>74</v>
      </c>
      <c r="BD1125" t="s">
        <v>18962</v>
      </c>
      <c r="BE1125" t="s">
        <v>18963</v>
      </c>
      <c r="BF1125" t="str">
        <f>HYPERLINK("http://dx.doi.org/10.2196/42245","http://dx.doi.org/10.2196/42245")</f>
        <v>http://dx.doi.org/10.2196/42245</v>
      </c>
      <c r="BG1125" t="s">
        <v>74</v>
      </c>
      <c r="BH1125" t="s">
        <v>74</v>
      </c>
      <c r="BI1125">
        <v>9</v>
      </c>
      <c r="BJ1125" t="s">
        <v>10304</v>
      </c>
      <c r="BK1125" t="s">
        <v>125</v>
      </c>
      <c r="BL1125" t="s">
        <v>10304</v>
      </c>
      <c r="BM1125" t="s">
        <v>18964</v>
      </c>
      <c r="BN1125">
        <v>36472899</v>
      </c>
      <c r="BO1125" t="s">
        <v>552</v>
      </c>
      <c r="BP1125" t="s">
        <v>74</v>
      </c>
      <c r="BQ1125" t="s">
        <v>74</v>
      </c>
      <c r="BR1125" t="s">
        <v>102</v>
      </c>
      <c r="BS1125" t="s">
        <v>18965</v>
      </c>
      <c r="BT1125" t="str">
        <f>HYPERLINK("https%3A%2F%2Fwww.webofscience.com%2Fwos%2Fwoscc%2Ffull-record%2FWOS:000983220900006","View Full Record in Web of Science")</f>
        <v>View Full Record in Web of Science</v>
      </c>
    </row>
    <row r="1126" spans="1:72" x14ac:dyDescent="0.35">
      <c r="A1126" t="s">
        <v>72</v>
      </c>
      <c r="B1126" t="s">
        <v>18966</v>
      </c>
      <c r="C1126" t="s">
        <v>74</v>
      </c>
      <c r="D1126" t="s">
        <v>74</v>
      </c>
      <c r="E1126" t="s">
        <v>74</v>
      </c>
      <c r="F1126" t="s">
        <v>18967</v>
      </c>
      <c r="G1126" t="s">
        <v>74</v>
      </c>
      <c r="H1126" t="s">
        <v>74</v>
      </c>
      <c r="I1126" t="s">
        <v>18968</v>
      </c>
      <c r="J1126" t="s">
        <v>9554</v>
      </c>
      <c r="K1126" t="s">
        <v>74</v>
      </c>
      <c r="L1126" t="s">
        <v>74</v>
      </c>
      <c r="M1126" t="s">
        <v>78</v>
      </c>
      <c r="N1126" t="s">
        <v>374</v>
      </c>
      <c r="O1126" t="s">
        <v>74</v>
      </c>
      <c r="P1126" t="s">
        <v>74</v>
      </c>
      <c r="Q1126" t="s">
        <v>74</v>
      </c>
      <c r="R1126" t="s">
        <v>74</v>
      </c>
      <c r="S1126" t="s">
        <v>74</v>
      </c>
      <c r="T1126" t="s">
        <v>18969</v>
      </c>
      <c r="U1126" t="s">
        <v>18970</v>
      </c>
      <c r="V1126" t="s">
        <v>18971</v>
      </c>
      <c r="W1126" t="s">
        <v>18972</v>
      </c>
      <c r="X1126" t="s">
        <v>18973</v>
      </c>
      <c r="Y1126" t="s">
        <v>18974</v>
      </c>
      <c r="Z1126" t="s">
        <v>18975</v>
      </c>
      <c r="AA1126" t="s">
        <v>17182</v>
      </c>
      <c r="AB1126" t="s">
        <v>18976</v>
      </c>
      <c r="AC1126" t="s">
        <v>74</v>
      </c>
      <c r="AD1126" t="s">
        <v>74</v>
      </c>
      <c r="AE1126" t="s">
        <v>74</v>
      </c>
      <c r="AF1126" t="s">
        <v>74</v>
      </c>
      <c r="AG1126">
        <v>20</v>
      </c>
      <c r="AH1126">
        <v>1</v>
      </c>
      <c r="AI1126">
        <v>1</v>
      </c>
      <c r="AJ1126">
        <v>6</v>
      </c>
      <c r="AK1126">
        <v>7</v>
      </c>
      <c r="AL1126" t="s">
        <v>251</v>
      </c>
      <c r="AM1126" t="s">
        <v>252</v>
      </c>
      <c r="AN1126" t="s">
        <v>253</v>
      </c>
      <c r="AO1126" t="s">
        <v>9563</v>
      </c>
      <c r="AP1126" t="s">
        <v>9564</v>
      </c>
      <c r="AQ1126" t="s">
        <v>74</v>
      </c>
      <c r="AR1126" t="s">
        <v>9565</v>
      </c>
      <c r="AS1126" t="s">
        <v>9566</v>
      </c>
      <c r="AT1126" t="s">
        <v>455</v>
      </c>
      <c r="AU1126">
        <v>2024</v>
      </c>
      <c r="AV1126">
        <v>23</v>
      </c>
      <c r="AW1126">
        <v>9</v>
      </c>
      <c r="AX1126" t="s">
        <v>74</v>
      </c>
      <c r="AY1126" t="s">
        <v>74</v>
      </c>
      <c r="AZ1126" t="s">
        <v>74</v>
      </c>
      <c r="BA1126" t="s">
        <v>74</v>
      </c>
      <c r="BB1126">
        <v>2779</v>
      </c>
      <c r="BC1126">
        <v>2784</v>
      </c>
      <c r="BD1126" t="s">
        <v>74</v>
      </c>
      <c r="BE1126" t="s">
        <v>18977</v>
      </c>
      <c r="BF1126" t="str">
        <f>HYPERLINK("http://dx.doi.org/10.1111/jocd.16352","http://dx.doi.org/10.1111/jocd.16352")</f>
        <v>http://dx.doi.org/10.1111/jocd.16352</v>
      </c>
      <c r="BG1126" t="s">
        <v>74</v>
      </c>
      <c r="BH1126" t="s">
        <v>2410</v>
      </c>
      <c r="BI1126">
        <v>6</v>
      </c>
      <c r="BJ1126" t="s">
        <v>1341</v>
      </c>
      <c r="BK1126" t="s">
        <v>209</v>
      </c>
      <c r="BL1126" t="s">
        <v>1341</v>
      </c>
      <c r="BM1126" t="s">
        <v>17963</v>
      </c>
      <c r="BN1126">
        <v>38666468</v>
      </c>
      <c r="BO1126" t="s">
        <v>156</v>
      </c>
      <c r="BP1126" t="s">
        <v>74</v>
      </c>
      <c r="BQ1126" t="s">
        <v>74</v>
      </c>
      <c r="BR1126" t="s">
        <v>102</v>
      </c>
      <c r="BS1126" t="s">
        <v>18978</v>
      </c>
      <c r="BT1126" t="str">
        <f>HYPERLINK("https%3A%2F%2Fwww.webofscience.com%2Fwos%2Fwoscc%2Ffull-record%2FWOS:001208299400001","View Full Record in Web of Science")</f>
        <v>View Full Record in Web of Science</v>
      </c>
    </row>
    <row r="1127" spans="1:72" x14ac:dyDescent="0.35">
      <c r="A1127" t="s">
        <v>72</v>
      </c>
      <c r="B1127" t="s">
        <v>18979</v>
      </c>
      <c r="C1127" t="s">
        <v>74</v>
      </c>
      <c r="D1127" t="s">
        <v>74</v>
      </c>
      <c r="E1127" t="s">
        <v>74</v>
      </c>
      <c r="F1127" t="s">
        <v>18980</v>
      </c>
      <c r="G1127" t="s">
        <v>74</v>
      </c>
      <c r="H1127" t="s">
        <v>74</v>
      </c>
      <c r="I1127" t="s">
        <v>18981</v>
      </c>
      <c r="J1127" t="s">
        <v>345</v>
      </c>
      <c r="K1127" t="s">
        <v>74</v>
      </c>
      <c r="L1127" t="s">
        <v>74</v>
      </c>
      <c r="M1127" t="s">
        <v>78</v>
      </c>
      <c r="N1127" t="s">
        <v>108</v>
      </c>
      <c r="O1127" t="s">
        <v>74</v>
      </c>
      <c r="P1127" t="s">
        <v>74</v>
      </c>
      <c r="Q1127" t="s">
        <v>74</v>
      </c>
      <c r="R1127" t="s">
        <v>74</v>
      </c>
      <c r="S1127" t="s">
        <v>74</v>
      </c>
      <c r="T1127" t="s">
        <v>18982</v>
      </c>
      <c r="U1127" t="s">
        <v>18983</v>
      </c>
      <c r="V1127" t="s">
        <v>18984</v>
      </c>
      <c r="W1127" t="s">
        <v>18985</v>
      </c>
      <c r="X1127" t="s">
        <v>7372</v>
      </c>
      <c r="Y1127" t="s">
        <v>18986</v>
      </c>
      <c r="Z1127" t="s">
        <v>18987</v>
      </c>
      <c r="AA1127" t="s">
        <v>18988</v>
      </c>
      <c r="AB1127" t="s">
        <v>18989</v>
      </c>
      <c r="AC1127" t="s">
        <v>74</v>
      </c>
      <c r="AD1127" t="s">
        <v>74</v>
      </c>
      <c r="AE1127" t="s">
        <v>74</v>
      </c>
      <c r="AF1127" t="s">
        <v>74</v>
      </c>
      <c r="AG1127">
        <v>27</v>
      </c>
      <c r="AH1127">
        <v>28</v>
      </c>
      <c r="AI1127">
        <v>34</v>
      </c>
      <c r="AJ1127">
        <v>8</v>
      </c>
      <c r="AK1127">
        <v>88</v>
      </c>
      <c r="AL1127" t="s">
        <v>357</v>
      </c>
      <c r="AM1127" t="s">
        <v>358</v>
      </c>
      <c r="AN1127" t="s">
        <v>359</v>
      </c>
      <c r="AO1127" t="s">
        <v>360</v>
      </c>
      <c r="AP1127" t="s">
        <v>361</v>
      </c>
      <c r="AQ1127" t="s">
        <v>74</v>
      </c>
      <c r="AR1127" t="s">
        <v>362</v>
      </c>
      <c r="AS1127" t="s">
        <v>363</v>
      </c>
      <c r="AT1127" t="s">
        <v>745</v>
      </c>
      <c r="AU1127">
        <v>2022</v>
      </c>
      <c r="AV1127">
        <v>25</v>
      </c>
      <c r="AW1127">
        <v>5</v>
      </c>
      <c r="AX1127" t="s">
        <v>74</v>
      </c>
      <c r="AY1127" t="s">
        <v>74</v>
      </c>
      <c r="AZ1127" t="s">
        <v>74</v>
      </c>
      <c r="BA1127" t="s">
        <v>74</v>
      </c>
      <c r="BB1127">
        <v>287</v>
      </c>
      <c r="BC1127">
        <v>293</v>
      </c>
      <c r="BD1127" t="s">
        <v>74</v>
      </c>
      <c r="BE1127" t="s">
        <v>18990</v>
      </c>
      <c r="BF1127" t="str">
        <f>HYPERLINK("http://dx.doi.org/10.1089/cyber.2021.0324","http://dx.doi.org/10.1089/cyber.2021.0324")</f>
        <v>http://dx.doi.org/10.1089/cyber.2021.0324</v>
      </c>
      <c r="BG1127" t="s">
        <v>74</v>
      </c>
      <c r="BH1127" t="s">
        <v>9082</v>
      </c>
      <c r="BI1127">
        <v>7</v>
      </c>
      <c r="BJ1127" t="s">
        <v>367</v>
      </c>
      <c r="BK1127" t="s">
        <v>99</v>
      </c>
      <c r="BL1127" t="s">
        <v>301</v>
      </c>
      <c r="BM1127" t="s">
        <v>18991</v>
      </c>
      <c r="BN1127">
        <v>35512731</v>
      </c>
      <c r="BO1127" t="s">
        <v>2738</v>
      </c>
      <c r="BP1127" t="s">
        <v>74</v>
      </c>
      <c r="BQ1127" t="s">
        <v>74</v>
      </c>
      <c r="BR1127" t="s">
        <v>102</v>
      </c>
      <c r="BS1127" t="s">
        <v>18992</v>
      </c>
      <c r="BT1127" t="str">
        <f>HYPERLINK("https%3A%2F%2Fwww.webofscience.com%2Fwos%2Fwoscc%2Ffull-record%2FWOS:000810479000001","View Full Record in Web of Science")</f>
        <v>View Full Record in Web of Science</v>
      </c>
    </row>
    <row r="1128" spans="1:72" x14ac:dyDescent="0.35">
      <c r="A1128" t="s">
        <v>72</v>
      </c>
      <c r="B1128" t="s">
        <v>18993</v>
      </c>
      <c r="C1128" t="s">
        <v>74</v>
      </c>
      <c r="D1128" t="s">
        <v>74</v>
      </c>
      <c r="E1128" t="s">
        <v>74</v>
      </c>
      <c r="F1128" t="s">
        <v>18994</v>
      </c>
      <c r="G1128" t="s">
        <v>74</v>
      </c>
      <c r="H1128" t="s">
        <v>74</v>
      </c>
      <c r="I1128" t="s">
        <v>18995</v>
      </c>
      <c r="J1128" t="s">
        <v>18996</v>
      </c>
      <c r="K1128" t="s">
        <v>74</v>
      </c>
      <c r="L1128" t="s">
        <v>74</v>
      </c>
      <c r="M1128" t="s">
        <v>78</v>
      </c>
      <c r="N1128" t="s">
        <v>108</v>
      </c>
      <c r="O1128" t="s">
        <v>74</v>
      </c>
      <c r="P1128" t="s">
        <v>74</v>
      </c>
      <c r="Q1128" t="s">
        <v>74</v>
      </c>
      <c r="R1128" t="s">
        <v>74</v>
      </c>
      <c r="S1128" t="s">
        <v>74</v>
      </c>
      <c r="T1128" t="s">
        <v>18997</v>
      </c>
      <c r="U1128" t="s">
        <v>18998</v>
      </c>
      <c r="V1128" t="s">
        <v>18999</v>
      </c>
      <c r="W1128" t="s">
        <v>19000</v>
      </c>
      <c r="X1128" t="s">
        <v>19001</v>
      </c>
      <c r="Y1128" t="s">
        <v>19002</v>
      </c>
      <c r="Z1128" t="s">
        <v>19003</v>
      </c>
      <c r="AA1128" t="s">
        <v>2286</v>
      </c>
      <c r="AB1128" t="s">
        <v>19004</v>
      </c>
      <c r="AC1128" t="s">
        <v>74</v>
      </c>
      <c r="AD1128" t="s">
        <v>74</v>
      </c>
      <c r="AE1128" t="s">
        <v>74</v>
      </c>
      <c r="AF1128" t="s">
        <v>74</v>
      </c>
      <c r="AG1128">
        <v>53</v>
      </c>
      <c r="AH1128">
        <v>0</v>
      </c>
      <c r="AI1128">
        <v>0</v>
      </c>
      <c r="AJ1128">
        <v>14</v>
      </c>
      <c r="AK1128">
        <v>14</v>
      </c>
      <c r="AL1128" t="s">
        <v>543</v>
      </c>
      <c r="AM1128" t="s">
        <v>544</v>
      </c>
      <c r="AN1128" t="s">
        <v>545</v>
      </c>
      <c r="AO1128" t="s">
        <v>19005</v>
      </c>
      <c r="AP1128" t="s">
        <v>74</v>
      </c>
      <c r="AQ1128" t="s">
        <v>74</v>
      </c>
      <c r="AR1128" t="s">
        <v>19006</v>
      </c>
      <c r="AS1128" t="s">
        <v>19007</v>
      </c>
      <c r="AT1128" t="s">
        <v>74</v>
      </c>
      <c r="AU1128">
        <v>2024</v>
      </c>
      <c r="AV1128">
        <v>11</v>
      </c>
      <c r="AW1128" t="s">
        <v>74</v>
      </c>
      <c r="AX1128" t="s">
        <v>74</v>
      </c>
      <c r="AY1128" t="s">
        <v>74</v>
      </c>
      <c r="AZ1128" t="s">
        <v>74</v>
      </c>
      <c r="BA1128" t="s">
        <v>74</v>
      </c>
      <c r="BB1128" t="s">
        <v>74</v>
      </c>
      <c r="BC1128" t="s">
        <v>74</v>
      </c>
      <c r="BD1128" t="s">
        <v>19008</v>
      </c>
      <c r="BE1128" t="s">
        <v>19009</v>
      </c>
      <c r="BF1128" t="str">
        <f>HYPERLINK("http://dx.doi.org/10.2196/58371","http://dx.doi.org/10.2196/58371")</f>
        <v>http://dx.doi.org/10.2196/58371</v>
      </c>
      <c r="BG1128" t="s">
        <v>74</v>
      </c>
      <c r="BH1128" t="s">
        <v>74</v>
      </c>
      <c r="BI1128">
        <v>15</v>
      </c>
      <c r="BJ1128" t="s">
        <v>550</v>
      </c>
      <c r="BK1128" t="s">
        <v>125</v>
      </c>
      <c r="BL1128" t="s">
        <v>550</v>
      </c>
      <c r="BM1128" t="s">
        <v>19010</v>
      </c>
      <c r="BN1128">
        <v>39241225</v>
      </c>
      <c r="BO1128" t="s">
        <v>235</v>
      </c>
      <c r="BP1128" t="s">
        <v>74</v>
      </c>
      <c r="BQ1128" t="s">
        <v>74</v>
      </c>
      <c r="BR1128" t="s">
        <v>102</v>
      </c>
      <c r="BS1128" t="s">
        <v>19011</v>
      </c>
      <c r="BT1128" t="str">
        <f>HYPERLINK("https%3A%2F%2Fwww.webofscience.com%2Fwos%2Fwoscc%2Ffull-record%2FWOS:001313503100001","View Full Record in Web of Science")</f>
        <v>View Full Record in Web of Science</v>
      </c>
    </row>
    <row r="1129" spans="1:72" x14ac:dyDescent="0.35">
      <c r="A1129" t="s">
        <v>72</v>
      </c>
      <c r="B1129" t="s">
        <v>19012</v>
      </c>
      <c r="C1129" t="s">
        <v>74</v>
      </c>
      <c r="D1129" t="s">
        <v>74</v>
      </c>
      <c r="E1129" t="s">
        <v>74</v>
      </c>
      <c r="F1129" t="s">
        <v>19013</v>
      </c>
      <c r="G1129" t="s">
        <v>74</v>
      </c>
      <c r="H1129" t="s">
        <v>74</v>
      </c>
      <c r="I1129" t="s">
        <v>19014</v>
      </c>
      <c r="J1129" t="s">
        <v>19015</v>
      </c>
      <c r="K1129" t="s">
        <v>74</v>
      </c>
      <c r="L1129" t="s">
        <v>74</v>
      </c>
      <c r="M1129" t="s">
        <v>78</v>
      </c>
      <c r="N1129" t="s">
        <v>108</v>
      </c>
      <c r="O1129" t="s">
        <v>74</v>
      </c>
      <c r="P1129" t="s">
        <v>74</v>
      </c>
      <c r="Q1129" t="s">
        <v>74</v>
      </c>
      <c r="R1129" t="s">
        <v>74</v>
      </c>
      <c r="S1129" t="s">
        <v>74</v>
      </c>
      <c r="T1129" t="s">
        <v>19016</v>
      </c>
      <c r="U1129" t="s">
        <v>74</v>
      </c>
      <c r="V1129" t="s">
        <v>19017</v>
      </c>
      <c r="W1129" t="s">
        <v>19018</v>
      </c>
      <c r="X1129" t="s">
        <v>13060</v>
      </c>
      <c r="Y1129" t="s">
        <v>19019</v>
      </c>
      <c r="Z1129" t="s">
        <v>13062</v>
      </c>
      <c r="AA1129" t="s">
        <v>74</v>
      </c>
      <c r="AB1129" t="s">
        <v>13063</v>
      </c>
      <c r="AC1129" t="s">
        <v>74</v>
      </c>
      <c r="AD1129" t="s">
        <v>74</v>
      </c>
      <c r="AE1129" t="s">
        <v>74</v>
      </c>
      <c r="AF1129" t="s">
        <v>74</v>
      </c>
      <c r="AG1129">
        <v>34</v>
      </c>
      <c r="AH1129">
        <v>111</v>
      </c>
      <c r="AI1129">
        <v>116</v>
      </c>
      <c r="AJ1129">
        <v>8</v>
      </c>
      <c r="AK1129">
        <v>42</v>
      </c>
      <c r="AL1129" t="s">
        <v>994</v>
      </c>
      <c r="AM1129" t="s">
        <v>995</v>
      </c>
      <c r="AN1129" t="s">
        <v>996</v>
      </c>
      <c r="AO1129" t="s">
        <v>19020</v>
      </c>
      <c r="AP1129" t="s">
        <v>19021</v>
      </c>
      <c r="AQ1129" t="s">
        <v>74</v>
      </c>
      <c r="AR1129" t="s">
        <v>19022</v>
      </c>
      <c r="AS1129" t="s">
        <v>19023</v>
      </c>
      <c r="AT1129" t="s">
        <v>19024</v>
      </c>
      <c r="AU1129">
        <v>2021</v>
      </c>
      <c r="AV1129">
        <v>17</v>
      </c>
      <c r="AW1129">
        <v>8</v>
      </c>
      <c r="AX1129" t="s">
        <v>74</v>
      </c>
      <c r="AY1129" t="s">
        <v>74</v>
      </c>
      <c r="AZ1129" t="s">
        <v>74</v>
      </c>
      <c r="BA1129" t="s">
        <v>74</v>
      </c>
      <c r="BB1129">
        <v>2373</v>
      </c>
      <c r="BC1129">
        <v>2377</v>
      </c>
      <c r="BD1129" t="s">
        <v>74</v>
      </c>
      <c r="BE1129" t="s">
        <v>19025</v>
      </c>
      <c r="BF1129" t="str">
        <f>HYPERLINK("http://dx.doi.org/10.1080/21645515.2021.1894896","http://dx.doi.org/10.1080/21645515.2021.1894896")</f>
        <v>http://dx.doi.org/10.1080/21645515.2021.1894896</v>
      </c>
      <c r="BG1129" t="s">
        <v>74</v>
      </c>
      <c r="BH1129" t="s">
        <v>8463</v>
      </c>
      <c r="BI1129">
        <v>5</v>
      </c>
      <c r="BJ1129" t="s">
        <v>19026</v>
      </c>
      <c r="BK1129" t="s">
        <v>182</v>
      </c>
      <c r="BL1129" t="s">
        <v>19026</v>
      </c>
      <c r="BM1129" t="s">
        <v>19027</v>
      </c>
      <c r="BN1129">
        <v>33764283</v>
      </c>
      <c r="BO1129" t="s">
        <v>2194</v>
      </c>
      <c r="BP1129" t="s">
        <v>74</v>
      </c>
      <c r="BQ1129" t="s">
        <v>74</v>
      </c>
      <c r="BR1129" t="s">
        <v>102</v>
      </c>
      <c r="BS1129" t="s">
        <v>19028</v>
      </c>
      <c r="BT1129" t="str">
        <f>HYPERLINK("https%3A%2F%2Fwww.webofscience.com%2Fwos%2Fwoscc%2Ffull-record%2FWOS:000632781300001","View Full Record in Web of Science")</f>
        <v>View Full Record in Web of Science</v>
      </c>
    </row>
    <row r="1130" spans="1:72" x14ac:dyDescent="0.35">
      <c r="A1130" t="s">
        <v>72</v>
      </c>
      <c r="B1130" t="s">
        <v>19029</v>
      </c>
      <c r="C1130" t="s">
        <v>74</v>
      </c>
      <c r="D1130" t="s">
        <v>74</v>
      </c>
      <c r="E1130" t="s">
        <v>74</v>
      </c>
      <c r="F1130" t="s">
        <v>19030</v>
      </c>
      <c r="G1130" t="s">
        <v>74</v>
      </c>
      <c r="H1130" t="s">
        <v>74</v>
      </c>
      <c r="I1130" t="s">
        <v>19031</v>
      </c>
      <c r="J1130" t="s">
        <v>438</v>
      </c>
      <c r="K1130" t="s">
        <v>74</v>
      </c>
      <c r="L1130" t="s">
        <v>74</v>
      </c>
      <c r="M1130" t="s">
        <v>78</v>
      </c>
      <c r="N1130" t="s">
        <v>79</v>
      </c>
      <c r="O1130" t="s">
        <v>74</v>
      </c>
      <c r="P1130" t="s">
        <v>74</v>
      </c>
      <c r="Q1130" t="s">
        <v>74</v>
      </c>
      <c r="R1130" t="s">
        <v>74</v>
      </c>
      <c r="S1130" t="s">
        <v>74</v>
      </c>
      <c r="T1130" t="s">
        <v>19032</v>
      </c>
      <c r="U1130" t="s">
        <v>19033</v>
      </c>
      <c r="V1130" t="s">
        <v>19034</v>
      </c>
      <c r="W1130" t="s">
        <v>19035</v>
      </c>
      <c r="X1130" t="s">
        <v>19036</v>
      </c>
      <c r="Y1130" t="s">
        <v>19037</v>
      </c>
      <c r="Z1130" t="s">
        <v>19038</v>
      </c>
      <c r="AA1130" t="s">
        <v>19039</v>
      </c>
      <c r="AB1130" t="s">
        <v>19040</v>
      </c>
      <c r="AC1130" t="s">
        <v>19041</v>
      </c>
      <c r="AD1130" t="s">
        <v>19042</v>
      </c>
      <c r="AE1130" t="s">
        <v>19043</v>
      </c>
      <c r="AF1130" t="s">
        <v>74</v>
      </c>
      <c r="AG1130">
        <v>51</v>
      </c>
      <c r="AH1130">
        <v>2</v>
      </c>
      <c r="AI1130">
        <v>2</v>
      </c>
      <c r="AJ1130">
        <v>10</v>
      </c>
      <c r="AK1130">
        <v>21</v>
      </c>
      <c r="AL1130" t="s">
        <v>226</v>
      </c>
      <c r="AM1130" t="s">
        <v>227</v>
      </c>
      <c r="AN1130" t="s">
        <v>228</v>
      </c>
      <c r="AO1130" t="s">
        <v>451</v>
      </c>
      <c r="AP1130" t="s">
        <v>452</v>
      </c>
      <c r="AQ1130" t="s">
        <v>74</v>
      </c>
      <c r="AR1130" t="s">
        <v>453</v>
      </c>
      <c r="AS1130" t="s">
        <v>454</v>
      </c>
      <c r="AT1130" t="s">
        <v>19044</v>
      </c>
      <c r="AU1130">
        <v>2024</v>
      </c>
      <c r="AV1130" t="s">
        <v>74</v>
      </c>
      <c r="AW1130" t="s">
        <v>74</v>
      </c>
      <c r="AX1130" t="s">
        <v>74</v>
      </c>
      <c r="AY1130" t="s">
        <v>74</v>
      </c>
      <c r="AZ1130" t="s">
        <v>74</v>
      </c>
      <c r="BA1130" t="s">
        <v>74</v>
      </c>
      <c r="BB1130" t="s">
        <v>74</v>
      </c>
      <c r="BC1130" t="s">
        <v>74</v>
      </c>
      <c r="BD1130" t="s">
        <v>74</v>
      </c>
      <c r="BE1130" t="s">
        <v>19045</v>
      </c>
      <c r="BF1130" t="str">
        <f>HYPERLINK("http://dx.doi.org/10.1177/14614448241229048","http://dx.doi.org/10.1177/14614448241229048")</f>
        <v>http://dx.doi.org/10.1177/14614448241229048</v>
      </c>
      <c r="BG1130" t="s">
        <v>74</v>
      </c>
      <c r="BH1130" t="s">
        <v>786</v>
      </c>
      <c r="BI1130">
        <v>22</v>
      </c>
      <c r="BJ1130" t="s">
        <v>124</v>
      </c>
      <c r="BK1130" t="s">
        <v>99</v>
      </c>
      <c r="BL1130" t="s">
        <v>124</v>
      </c>
      <c r="BM1130" t="s">
        <v>19046</v>
      </c>
      <c r="BN1130" t="s">
        <v>74</v>
      </c>
      <c r="BO1130" t="s">
        <v>6425</v>
      </c>
      <c r="BP1130" t="s">
        <v>74</v>
      </c>
      <c r="BQ1130" t="s">
        <v>74</v>
      </c>
      <c r="BR1130" t="s">
        <v>102</v>
      </c>
      <c r="BS1130" t="s">
        <v>19047</v>
      </c>
      <c r="BT1130" t="str">
        <f>HYPERLINK("https%3A%2F%2Fwww.webofscience.com%2Fwos%2Fwoscc%2Ffull-record%2FWOS:001170017400001","View Full Record in Web of Science")</f>
        <v>View Full Record in Web of Science</v>
      </c>
    </row>
    <row r="1131" spans="1:72" x14ac:dyDescent="0.35">
      <c r="A1131" t="s">
        <v>72</v>
      </c>
      <c r="B1131" t="s">
        <v>19048</v>
      </c>
      <c r="C1131" t="s">
        <v>74</v>
      </c>
      <c r="D1131" t="s">
        <v>74</v>
      </c>
      <c r="E1131" t="s">
        <v>74</v>
      </c>
      <c r="F1131" t="s">
        <v>19049</v>
      </c>
      <c r="G1131" t="s">
        <v>74</v>
      </c>
      <c r="H1131" t="s">
        <v>74</v>
      </c>
      <c r="I1131" t="s">
        <v>19050</v>
      </c>
      <c r="J1131" t="s">
        <v>19051</v>
      </c>
      <c r="K1131" t="s">
        <v>74</v>
      </c>
      <c r="L1131" t="s">
        <v>74</v>
      </c>
      <c r="M1131" t="s">
        <v>3503</v>
      </c>
      <c r="N1131" t="s">
        <v>108</v>
      </c>
      <c r="O1131" t="s">
        <v>74</v>
      </c>
      <c r="P1131" t="s">
        <v>74</v>
      </c>
      <c r="Q1131" t="s">
        <v>74</v>
      </c>
      <c r="R1131" t="s">
        <v>74</v>
      </c>
      <c r="S1131" t="s">
        <v>74</v>
      </c>
      <c r="T1131" t="s">
        <v>19052</v>
      </c>
      <c r="U1131" t="s">
        <v>19053</v>
      </c>
      <c r="V1131" t="s">
        <v>19054</v>
      </c>
      <c r="W1131" t="s">
        <v>19055</v>
      </c>
      <c r="X1131" t="s">
        <v>19056</v>
      </c>
      <c r="Y1131" t="s">
        <v>19057</v>
      </c>
      <c r="Z1131" t="s">
        <v>19058</v>
      </c>
      <c r="AA1131" t="s">
        <v>19059</v>
      </c>
      <c r="AB1131" t="s">
        <v>74</v>
      </c>
      <c r="AC1131" t="s">
        <v>74</v>
      </c>
      <c r="AD1131" t="s">
        <v>74</v>
      </c>
      <c r="AE1131" t="s">
        <v>74</v>
      </c>
      <c r="AF1131" t="s">
        <v>74</v>
      </c>
      <c r="AG1131">
        <v>68</v>
      </c>
      <c r="AH1131">
        <v>1</v>
      </c>
      <c r="AI1131">
        <v>1</v>
      </c>
      <c r="AJ1131">
        <v>2</v>
      </c>
      <c r="AK1131">
        <v>2</v>
      </c>
      <c r="AL1131" t="s">
        <v>19060</v>
      </c>
      <c r="AM1131" t="s">
        <v>19061</v>
      </c>
      <c r="AN1131" t="s">
        <v>19062</v>
      </c>
      <c r="AO1131" t="s">
        <v>19063</v>
      </c>
      <c r="AP1131" t="s">
        <v>19064</v>
      </c>
      <c r="AQ1131" t="s">
        <v>74</v>
      </c>
      <c r="AR1131" t="s">
        <v>19051</v>
      </c>
      <c r="AS1131" t="s">
        <v>19065</v>
      </c>
      <c r="AT1131" t="s">
        <v>3517</v>
      </c>
      <c r="AU1131">
        <v>2024</v>
      </c>
      <c r="AV1131">
        <v>95</v>
      </c>
      <c r="AW1131">
        <v>141</v>
      </c>
      <c r="AX1131" t="s">
        <v>74</v>
      </c>
      <c r="AY1131" t="s">
        <v>74</v>
      </c>
      <c r="AZ1131" t="s">
        <v>74</v>
      </c>
      <c r="BA1131" t="s">
        <v>74</v>
      </c>
      <c r="BB1131">
        <v>304</v>
      </c>
      <c r="BC1131">
        <v>324</v>
      </c>
      <c r="BD1131" t="s">
        <v>74</v>
      </c>
      <c r="BE1131" t="s">
        <v>19066</v>
      </c>
      <c r="BF1131" t="str">
        <f>HYPERLINK("http://dx.doi.org/10.30920/letras.95.141.18","http://dx.doi.org/10.30920/letras.95.141.18")</f>
        <v>http://dx.doi.org/10.30920/letras.95.141.18</v>
      </c>
      <c r="BG1131" t="s">
        <v>74</v>
      </c>
      <c r="BH1131" t="s">
        <v>74</v>
      </c>
      <c r="BI1131">
        <v>21</v>
      </c>
      <c r="BJ1131" t="s">
        <v>4461</v>
      </c>
      <c r="BK1131" t="s">
        <v>125</v>
      </c>
      <c r="BL1131" t="s">
        <v>4462</v>
      </c>
      <c r="BM1131" t="s">
        <v>19067</v>
      </c>
      <c r="BN1131" t="s">
        <v>74</v>
      </c>
      <c r="BO1131" t="s">
        <v>235</v>
      </c>
      <c r="BP1131" t="s">
        <v>74</v>
      </c>
      <c r="BQ1131" t="s">
        <v>74</v>
      </c>
      <c r="BR1131" t="s">
        <v>102</v>
      </c>
      <c r="BS1131" t="s">
        <v>19068</v>
      </c>
      <c r="BT1131" t="str">
        <f>HYPERLINK("https%3A%2F%2Fwww.webofscience.com%2Fwos%2Fwoscc%2Ffull-record%2FWOS:001297147600018","View Full Record in Web of Science")</f>
        <v>View Full Record in Web of Science</v>
      </c>
    </row>
    <row r="1132" spans="1:72" x14ac:dyDescent="0.35">
      <c r="A1132" t="s">
        <v>72</v>
      </c>
      <c r="B1132" t="s">
        <v>18066</v>
      </c>
      <c r="C1132" t="s">
        <v>74</v>
      </c>
      <c r="D1132" t="s">
        <v>74</v>
      </c>
      <c r="E1132" t="s">
        <v>74</v>
      </c>
      <c r="F1132" t="s">
        <v>18067</v>
      </c>
      <c r="G1132" t="s">
        <v>74</v>
      </c>
      <c r="H1132" t="s">
        <v>74</v>
      </c>
      <c r="I1132" t="s">
        <v>19069</v>
      </c>
      <c r="J1132" t="s">
        <v>18069</v>
      </c>
      <c r="K1132" t="s">
        <v>74</v>
      </c>
      <c r="L1132" t="s">
        <v>74</v>
      </c>
      <c r="M1132" t="s">
        <v>78</v>
      </c>
      <c r="N1132" t="s">
        <v>374</v>
      </c>
      <c r="O1132" t="s">
        <v>74</v>
      </c>
      <c r="P1132" t="s">
        <v>74</v>
      </c>
      <c r="Q1132" t="s">
        <v>74</v>
      </c>
      <c r="R1132" t="s">
        <v>74</v>
      </c>
      <c r="S1132" t="s">
        <v>74</v>
      </c>
      <c r="T1132" t="s">
        <v>19070</v>
      </c>
      <c r="U1132" t="s">
        <v>19071</v>
      </c>
      <c r="V1132" t="s">
        <v>19072</v>
      </c>
      <c r="W1132" t="s">
        <v>19073</v>
      </c>
      <c r="X1132" t="s">
        <v>19074</v>
      </c>
      <c r="Y1132" t="s">
        <v>19075</v>
      </c>
      <c r="Z1132" t="s">
        <v>19076</v>
      </c>
      <c r="AA1132" t="s">
        <v>74</v>
      </c>
      <c r="AB1132" t="s">
        <v>74</v>
      </c>
      <c r="AC1132" t="s">
        <v>74</v>
      </c>
      <c r="AD1132" t="s">
        <v>74</v>
      </c>
      <c r="AE1132" t="s">
        <v>74</v>
      </c>
      <c r="AF1132" t="s">
        <v>74</v>
      </c>
      <c r="AG1132">
        <v>19</v>
      </c>
      <c r="AH1132">
        <v>9</v>
      </c>
      <c r="AI1132">
        <v>9</v>
      </c>
      <c r="AJ1132">
        <v>3</v>
      </c>
      <c r="AK1132">
        <v>38</v>
      </c>
      <c r="AL1132" t="s">
        <v>251</v>
      </c>
      <c r="AM1132" t="s">
        <v>252</v>
      </c>
      <c r="AN1132" t="s">
        <v>253</v>
      </c>
      <c r="AO1132" t="s">
        <v>18070</v>
      </c>
      <c r="AP1132" t="s">
        <v>18071</v>
      </c>
      <c r="AQ1132" t="s">
        <v>74</v>
      </c>
      <c r="AR1132" t="s">
        <v>18072</v>
      </c>
      <c r="AS1132" t="s">
        <v>18073</v>
      </c>
      <c r="AT1132" t="s">
        <v>232</v>
      </c>
      <c r="AU1132">
        <v>2023</v>
      </c>
      <c r="AV1132">
        <v>68</v>
      </c>
      <c r="AW1132">
        <v>1</v>
      </c>
      <c r="AX1132" t="s">
        <v>74</v>
      </c>
      <c r="AY1132" t="s">
        <v>74</v>
      </c>
      <c r="AZ1132" t="s">
        <v>74</v>
      </c>
      <c r="BA1132" t="s">
        <v>74</v>
      </c>
      <c r="BB1132">
        <v>339</v>
      </c>
      <c r="BC1132">
        <v>342</v>
      </c>
      <c r="BD1132" t="s">
        <v>74</v>
      </c>
      <c r="BE1132" t="s">
        <v>19077</v>
      </c>
      <c r="BF1132" t="str">
        <f>HYPERLINK("http://dx.doi.org/10.1111/1556-4029.15149","http://dx.doi.org/10.1111/1556-4029.15149")</f>
        <v>http://dx.doi.org/10.1111/1556-4029.15149</v>
      </c>
      <c r="BG1132" t="s">
        <v>74</v>
      </c>
      <c r="BH1132" t="s">
        <v>598</v>
      </c>
      <c r="BI1132">
        <v>4</v>
      </c>
      <c r="BJ1132" t="s">
        <v>18075</v>
      </c>
      <c r="BK1132" t="s">
        <v>209</v>
      </c>
      <c r="BL1132" t="s">
        <v>18076</v>
      </c>
      <c r="BM1132" t="s">
        <v>19078</v>
      </c>
      <c r="BN1132">
        <v>36173026</v>
      </c>
      <c r="BO1132" t="s">
        <v>74</v>
      </c>
      <c r="BP1132" t="s">
        <v>74</v>
      </c>
      <c r="BQ1132" t="s">
        <v>74</v>
      </c>
      <c r="BR1132" t="s">
        <v>102</v>
      </c>
      <c r="BS1132" t="s">
        <v>19079</v>
      </c>
      <c r="BT1132" t="str">
        <f>HYPERLINK("https%3A%2F%2Fwww.webofscience.com%2Fwos%2Fwoscc%2Ffull-record%2FWOS:000861433500001","View Full Record in Web of Science")</f>
        <v>View Full Record in Web of Science</v>
      </c>
    </row>
    <row r="1133" spans="1:72" x14ac:dyDescent="0.35">
      <c r="A1133" t="s">
        <v>128</v>
      </c>
      <c r="B1133" t="s">
        <v>19080</v>
      </c>
      <c r="C1133" t="s">
        <v>74</v>
      </c>
      <c r="D1133" t="s">
        <v>74</v>
      </c>
      <c r="E1133" t="s">
        <v>74</v>
      </c>
      <c r="F1133" t="s">
        <v>19081</v>
      </c>
      <c r="G1133" t="s">
        <v>74</v>
      </c>
      <c r="H1133" t="s">
        <v>74</v>
      </c>
      <c r="I1133" t="s">
        <v>19082</v>
      </c>
      <c r="J1133" t="s">
        <v>19083</v>
      </c>
      <c r="K1133" t="s">
        <v>74</v>
      </c>
      <c r="L1133" t="s">
        <v>74</v>
      </c>
      <c r="M1133" t="s">
        <v>78</v>
      </c>
      <c r="N1133" t="s">
        <v>135</v>
      </c>
      <c r="O1133" t="s">
        <v>19084</v>
      </c>
      <c r="P1133" t="s">
        <v>19085</v>
      </c>
      <c r="Q1133" t="s">
        <v>19086</v>
      </c>
      <c r="R1133" t="s">
        <v>74</v>
      </c>
      <c r="S1133" t="s">
        <v>74</v>
      </c>
      <c r="T1133" t="s">
        <v>19087</v>
      </c>
      <c r="U1133" t="s">
        <v>19088</v>
      </c>
      <c r="V1133" t="s">
        <v>19089</v>
      </c>
      <c r="W1133" t="s">
        <v>19090</v>
      </c>
      <c r="X1133" t="s">
        <v>3273</v>
      </c>
      <c r="Y1133" t="s">
        <v>19091</v>
      </c>
      <c r="Z1133" t="s">
        <v>19092</v>
      </c>
      <c r="AA1133" t="s">
        <v>19093</v>
      </c>
      <c r="AB1133" t="s">
        <v>74</v>
      </c>
      <c r="AC1133" t="s">
        <v>19094</v>
      </c>
      <c r="AD1133" t="s">
        <v>19094</v>
      </c>
      <c r="AE1133" t="s">
        <v>19095</v>
      </c>
      <c r="AF1133" t="s">
        <v>74</v>
      </c>
      <c r="AG1133">
        <v>32</v>
      </c>
      <c r="AH1133">
        <v>0</v>
      </c>
      <c r="AI1133">
        <v>0</v>
      </c>
      <c r="AJ1133">
        <v>2</v>
      </c>
      <c r="AK1133">
        <v>7</v>
      </c>
      <c r="AL1133" t="s">
        <v>19096</v>
      </c>
      <c r="AM1133" t="s">
        <v>18121</v>
      </c>
      <c r="AN1133" t="s">
        <v>19097</v>
      </c>
      <c r="AO1133" t="s">
        <v>19098</v>
      </c>
      <c r="AP1133" t="s">
        <v>74</v>
      </c>
      <c r="AQ1133" t="s">
        <v>74</v>
      </c>
      <c r="AR1133" t="s">
        <v>19099</v>
      </c>
      <c r="AS1133" t="s">
        <v>19100</v>
      </c>
      <c r="AT1133" t="s">
        <v>594</v>
      </c>
      <c r="AU1133">
        <v>2023</v>
      </c>
      <c r="AV1133">
        <v>8</v>
      </c>
      <c r="AW1133">
        <v>26</v>
      </c>
      <c r="AX1133" t="s">
        <v>74</v>
      </c>
      <c r="AY1133" t="s">
        <v>74</v>
      </c>
      <c r="AZ1133" t="s">
        <v>74</v>
      </c>
      <c r="BA1133" t="s">
        <v>74</v>
      </c>
      <c r="BB1133">
        <v>123</v>
      </c>
      <c r="BC1133">
        <v>129</v>
      </c>
      <c r="BD1133" t="s">
        <v>74</v>
      </c>
      <c r="BE1133" t="s">
        <v>19101</v>
      </c>
      <c r="BF1133" t="str">
        <f>HYPERLINK("http://dx.doi.org/10.21834/e-bpj.v8i26.5137","http://dx.doi.org/10.21834/e-bpj.v8i26.5137")</f>
        <v>http://dx.doi.org/10.21834/e-bpj.v8i26.5137</v>
      </c>
      <c r="BG1133" t="s">
        <v>74</v>
      </c>
      <c r="BH1133" t="s">
        <v>74</v>
      </c>
      <c r="BI1133">
        <v>7</v>
      </c>
      <c r="BJ1133" t="s">
        <v>19102</v>
      </c>
      <c r="BK1133" t="s">
        <v>723</v>
      </c>
      <c r="BL1133" t="s">
        <v>19103</v>
      </c>
      <c r="BM1133" t="s">
        <v>19104</v>
      </c>
      <c r="BN1133" t="s">
        <v>74</v>
      </c>
      <c r="BO1133" t="s">
        <v>156</v>
      </c>
      <c r="BP1133" t="s">
        <v>74</v>
      </c>
      <c r="BQ1133" t="s">
        <v>74</v>
      </c>
      <c r="BR1133" t="s">
        <v>102</v>
      </c>
      <c r="BS1133" t="s">
        <v>19105</v>
      </c>
      <c r="BT1133" t="str">
        <f>HYPERLINK("https%3A%2F%2Fwww.webofscience.com%2Fwos%2Fwoscc%2Ffull-record%2FWOS:001106458600032","View Full Record in Web of Science")</f>
        <v>View Full Record in Web of Science</v>
      </c>
    </row>
    <row r="1134" spans="1:72" x14ac:dyDescent="0.35">
      <c r="A1134" t="s">
        <v>72</v>
      </c>
      <c r="B1134" t="s">
        <v>19106</v>
      </c>
      <c r="C1134" t="s">
        <v>74</v>
      </c>
      <c r="D1134" t="s">
        <v>74</v>
      </c>
      <c r="E1134" t="s">
        <v>74</v>
      </c>
      <c r="F1134" t="s">
        <v>19107</v>
      </c>
      <c r="G1134" t="s">
        <v>74</v>
      </c>
      <c r="H1134" t="s">
        <v>74</v>
      </c>
      <c r="I1134" t="s">
        <v>19108</v>
      </c>
      <c r="J1134" t="s">
        <v>531</v>
      </c>
      <c r="K1134" t="s">
        <v>74</v>
      </c>
      <c r="L1134" t="s">
        <v>74</v>
      </c>
      <c r="M1134" t="s">
        <v>78</v>
      </c>
      <c r="N1134" t="s">
        <v>108</v>
      </c>
      <c r="O1134" t="s">
        <v>74</v>
      </c>
      <c r="P1134" t="s">
        <v>74</v>
      </c>
      <c r="Q1134" t="s">
        <v>74</v>
      </c>
      <c r="R1134" t="s">
        <v>74</v>
      </c>
      <c r="S1134" t="s">
        <v>74</v>
      </c>
      <c r="T1134" t="s">
        <v>19109</v>
      </c>
      <c r="U1134" t="s">
        <v>74</v>
      </c>
      <c r="V1134" t="s">
        <v>19110</v>
      </c>
      <c r="W1134" t="s">
        <v>19111</v>
      </c>
      <c r="X1134" t="s">
        <v>19112</v>
      </c>
      <c r="Y1134" t="s">
        <v>19113</v>
      </c>
      <c r="Z1134" t="s">
        <v>19114</v>
      </c>
      <c r="AA1134" t="s">
        <v>19115</v>
      </c>
      <c r="AB1134" t="s">
        <v>19116</v>
      </c>
      <c r="AC1134" t="s">
        <v>74</v>
      </c>
      <c r="AD1134" t="s">
        <v>74</v>
      </c>
      <c r="AE1134" t="s">
        <v>19117</v>
      </c>
      <c r="AF1134" t="s">
        <v>74</v>
      </c>
      <c r="AG1134">
        <v>15</v>
      </c>
      <c r="AH1134">
        <v>0</v>
      </c>
      <c r="AI1134">
        <v>0</v>
      </c>
      <c r="AJ1134">
        <v>2</v>
      </c>
      <c r="AK1134">
        <v>2</v>
      </c>
      <c r="AL1134" t="s">
        <v>543</v>
      </c>
      <c r="AM1134" t="s">
        <v>544</v>
      </c>
      <c r="AN1134" t="s">
        <v>545</v>
      </c>
      <c r="AO1134" t="s">
        <v>74</v>
      </c>
      <c r="AP1134" t="s">
        <v>546</v>
      </c>
      <c r="AQ1134" t="s">
        <v>74</v>
      </c>
      <c r="AR1134" t="s">
        <v>547</v>
      </c>
      <c r="AS1134" t="s">
        <v>548</v>
      </c>
      <c r="AT1134" t="s">
        <v>74</v>
      </c>
      <c r="AU1134">
        <v>2024</v>
      </c>
      <c r="AV1134">
        <v>8</v>
      </c>
      <c r="AW1134" t="s">
        <v>74</v>
      </c>
      <c r="AX1134" t="s">
        <v>74</v>
      </c>
      <c r="AY1134" t="s">
        <v>74</v>
      </c>
      <c r="AZ1134" t="s">
        <v>74</v>
      </c>
      <c r="BA1134" t="s">
        <v>74</v>
      </c>
      <c r="BB1134" t="s">
        <v>74</v>
      </c>
      <c r="BC1134" t="s">
        <v>74</v>
      </c>
      <c r="BD1134" t="s">
        <v>19118</v>
      </c>
      <c r="BE1134" t="s">
        <v>19119</v>
      </c>
      <c r="BF1134" t="str">
        <f>HYPERLINK("http://dx.doi.org/10.2196/51094","http://dx.doi.org/10.2196/51094")</f>
        <v>http://dx.doi.org/10.2196/51094</v>
      </c>
      <c r="BG1134" t="s">
        <v>74</v>
      </c>
      <c r="BH1134" t="s">
        <v>74</v>
      </c>
      <c r="BI1134">
        <v>9</v>
      </c>
      <c r="BJ1134" t="s">
        <v>550</v>
      </c>
      <c r="BK1134" t="s">
        <v>125</v>
      </c>
      <c r="BL1134" t="s">
        <v>550</v>
      </c>
      <c r="BM1134" t="s">
        <v>19120</v>
      </c>
      <c r="BN1134">
        <v>38896841</v>
      </c>
      <c r="BO1134" t="s">
        <v>552</v>
      </c>
      <c r="BP1134" t="s">
        <v>74</v>
      </c>
      <c r="BQ1134" t="s">
        <v>74</v>
      </c>
      <c r="BR1134" t="s">
        <v>102</v>
      </c>
      <c r="BS1134" t="s">
        <v>19121</v>
      </c>
      <c r="BT1134" t="str">
        <f>HYPERLINK("https%3A%2F%2Fwww.webofscience.com%2Fwos%2Fwoscc%2Ffull-record%2FWOS:001303612400088","View Full Record in Web of Science")</f>
        <v>View Full Record in Web of Science</v>
      </c>
    </row>
    <row r="1135" spans="1:72" x14ac:dyDescent="0.35">
      <c r="A1135" t="s">
        <v>72</v>
      </c>
      <c r="B1135" t="s">
        <v>19122</v>
      </c>
      <c r="C1135" t="s">
        <v>74</v>
      </c>
      <c r="D1135" t="s">
        <v>74</v>
      </c>
      <c r="E1135" t="s">
        <v>74</v>
      </c>
      <c r="F1135" t="s">
        <v>19123</v>
      </c>
      <c r="G1135" t="s">
        <v>74</v>
      </c>
      <c r="H1135" t="s">
        <v>74</v>
      </c>
      <c r="I1135" t="s">
        <v>19124</v>
      </c>
      <c r="J1135" t="s">
        <v>19125</v>
      </c>
      <c r="K1135" t="s">
        <v>74</v>
      </c>
      <c r="L1135" t="s">
        <v>74</v>
      </c>
      <c r="M1135" t="s">
        <v>78</v>
      </c>
      <c r="N1135" t="s">
        <v>374</v>
      </c>
      <c r="O1135" t="s">
        <v>74</v>
      </c>
      <c r="P1135" t="s">
        <v>74</v>
      </c>
      <c r="Q1135" t="s">
        <v>74</v>
      </c>
      <c r="R1135" t="s">
        <v>74</v>
      </c>
      <c r="S1135" t="s">
        <v>74</v>
      </c>
      <c r="T1135" t="s">
        <v>19126</v>
      </c>
      <c r="U1135" t="s">
        <v>19127</v>
      </c>
      <c r="V1135" t="s">
        <v>19128</v>
      </c>
      <c r="W1135" t="s">
        <v>19129</v>
      </c>
      <c r="X1135" t="s">
        <v>19130</v>
      </c>
      <c r="Y1135" t="s">
        <v>19131</v>
      </c>
      <c r="Z1135" t="s">
        <v>19132</v>
      </c>
      <c r="AA1135" t="s">
        <v>19133</v>
      </c>
      <c r="AB1135" t="s">
        <v>74</v>
      </c>
      <c r="AC1135" t="s">
        <v>74</v>
      </c>
      <c r="AD1135" t="s">
        <v>74</v>
      </c>
      <c r="AE1135" t="s">
        <v>74</v>
      </c>
      <c r="AF1135" t="s">
        <v>74</v>
      </c>
      <c r="AG1135">
        <v>40</v>
      </c>
      <c r="AH1135">
        <v>0</v>
      </c>
      <c r="AI1135">
        <v>0</v>
      </c>
      <c r="AJ1135">
        <v>3</v>
      </c>
      <c r="AK1135">
        <v>10</v>
      </c>
      <c r="AL1135" t="s">
        <v>19134</v>
      </c>
      <c r="AM1135" t="s">
        <v>19135</v>
      </c>
      <c r="AN1135" t="s">
        <v>19136</v>
      </c>
      <c r="AO1135" t="s">
        <v>19137</v>
      </c>
      <c r="AP1135" t="s">
        <v>74</v>
      </c>
      <c r="AQ1135" t="s">
        <v>74</v>
      </c>
      <c r="AR1135" t="s">
        <v>19138</v>
      </c>
      <c r="AS1135" t="s">
        <v>19139</v>
      </c>
      <c r="AT1135" t="s">
        <v>74</v>
      </c>
      <c r="AU1135">
        <v>2023</v>
      </c>
      <c r="AV1135">
        <v>20</v>
      </c>
      <c r="AW1135">
        <v>4</v>
      </c>
      <c r="AX1135" t="s">
        <v>74</v>
      </c>
      <c r="AY1135" t="s">
        <v>74</v>
      </c>
      <c r="AZ1135" t="s">
        <v>74</v>
      </c>
      <c r="BA1135" t="s">
        <v>74</v>
      </c>
      <c r="BB1135">
        <v>263</v>
      </c>
      <c r="BC1135" t="s">
        <v>10035</v>
      </c>
      <c r="BD1135" t="s">
        <v>74</v>
      </c>
      <c r="BE1135" t="s">
        <v>74</v>
      </c>
      <c r="BF1135" t="s">
        <v>74</v>
      </c>
      <c r="BG1135" t="s">
        <v>74</v>
      </c>
      <c r="BH1135" t="s">
        <v>74</v>
      </c>
      <c r="BI1135">
        <v>18</v>
      </c>
      <c r="BJ1135" t="s">
        <v>4058</v>
      </c>
      <c r="BK1135" t="s">
        <v>99</v>
      </c>
      <c r="BL1135" t="s">
        <v>4058</v>
      </c>
      <c r="BM1135" t="s">
        <v>19140</v>
      </c>
      <c r="BN1135" t="s">
        <v>74</v>
      </c>
      <c r="BO1135" t="s">
        <v>74</v>
      </c>
      <c r="BP1135" t="s">
        <v>74</v>
      </c>
      <c r="BQ1135" t="s">
        <v>74</v>
      </c>
      <c r="BR1135" t="s">
        <v>102</v>
      </c>
      <c r="BS1135" t="s">
        <v>19141</v>
      </c>
      <c r="BT1135" t="str">
        <f>HYPERLINK("https%3A%2F%2Fwww.webofscience.com%2Fwos%2Fwoscc%2Ffull-record%2FWOS:001118947000014","View Full Record in Web of Science")</f>
        <v>View Full Record in Web of Science</v>
      </c>
    </row>
    <row r="1136" spans="1:72" x14ac:dyDescent="0.35">
      <c r="A1136" t="s">
        <v>72</v>
      </c>
      <c r="B1136" t="s">
        <v>19142</v>
      </c>
      <c r="C1136" t="s">
        <v>74</v>
      </c>
      <c r="D1136" t="s">
        <v>74</v>
      </c>
      <c r="E1136" t="s">
        <v>74</v>
      </c>
      <c r="F1136" t="s">
        <v>19143</v>
      </c>
      <c r="G1136" t="s">
        <v>74</v>
      </c>
      <c r="H1136" t="s">
        <v>74</v>
      </c>
      <c r="I1136" t="s">
        <v>19144</v>
      </c>
      <c r="J1136" t="s">
        <v>19145</v>
      </c>
      <c r="K1136" t="s">
        <v>74</v>
      </c>
      <c r="L1136" t="s">
        <v>74</v>
      </c>
      <c r="M1136" t="s">
        <v>78</v>
      </c>
      <c r="N1136" t="s">
        <v>79</v>
      </c>
      <c r="O1136" t="s">
        <v>74</v>
      </c>
      <c r="P1136" t="s">
        <v>74</v>
      </c>
      <c r="Q1136" t="s">
        <v>74</v>
      </c>
      <c r="R1136" t="s">
        <v>74</v>
      </c>
      <c r="S1136" t="s">
        <v>74</v>
      </c>
      <c r="T1136" t="s">
        <v>19146</v>
      </c>
      <c r="U1136" t="s">
        <v>74</v>
      </c>
      <c r="V1136" t="s">
        <v>19147</v>
      </c>
      <c r="W1136" t="s">
        <v>19148</v>
      </c>
      <c r="X1136" t="s">
        <v>19149</v>
      </c>
      <c r="Y1136" t="s">
        <v>19150</v>
      </c>
      <c r="Z1136" t="s">
        <v>19151</v>
      </c>
      <c r="AA1136" t="s">
        <v>19152</v>
      </c>
      <c r="AB1136" t="s">
        <v>19153</v>
      </c>
      <c r="AC1136" t="s">
        <v>74</v>
      </c>
      <c r="AD1136" t="s">
        <v>74</v>
      </c>
      <c r="AE1136" t="s">
        <v>74</v>
      </c>
      <c r="AF1136" t="s">
        <v>74</v>
      </c>
      <c r="AG1136">
        <v>74</v>
      </c>
      <c r="AH1136">
        <v>0</v>
      </c>
      <c r="AI1136">
        <v>0</v>
      </c>
      <c r="AJ1136">
        <v>3</v>
      </c>
      <c r="AK1136">
        <v>3</v>
      </c>
      <c r="AL1136" t="s">
        <v>171</v>
      </c>
      <c r="AM1136" t="s">
        <v>172</v>
      </c>
      <c r="AN1136" t="s">
        <v>173</v>
      </c>
      <c r="AO1136" t="s">
        <v>19154</v>
      </c>
      <c r="AP1136" t="s">
        <v>19155</v>
      </c>
      <c r="AQ1136" t="s">
        <v>74</v>
      </c>
      <c r="AR1136" t="s">
        <v>19156</v>
      </c>
      <c r="AS1136" t="s">
        <v>19157</v>
      </c>
      <c r="AT1136" t="s">
        <v>19158</v>
      </c>
      <c r="AU1136">
        <v>2024</v>
      </c>
      <c r="AV1136" t="s">
        <v>74</v>
      </c>
      <c r="AW1136" t="s">
        <v>74</v>
      </c>
      <c r="AX1136" t="s">
        <v>74</v>
      </c>
      <c r="AY1136" t="s">
        <v>74</v>
      </c>
      <c r="AZ1136" t="s">
        <v>74</v>
      </c>
      <c r="BA1136" t="s">
        <v>74</v>
      </c>
      <c r="BB1136" t="s">
        <v>74</v>
      </c>
      <c r="BC1136" t="s">
        <v>74</v>
      </c>
      <c r="BD1136" t="s">
        <v>74</v>
      </c>
      <c r="BE1136" t="s">
        <v>19159</v>
      </c>
      <c r="BF1136" t="str">
        <f>HYPERLINK("http://dx.doi.org/10.1177/0887302X241244789","http://dx.doi.org/10.1177/0887302X241244789")</f>
        <v>http://dx.doi.org/10.1177/0887302X241244789</v>
      </c>
      <c r="BG1136" t="s">
        <v>74</v>
      </c>
      <c r="BH1136" t="s">
        <v>2410</v>
      </c>
      <c r="BI1136">
        <v>16</v>
      </c>
      <c r="BJ1136" t="s">
        <v>19160</v>
      </c>
      <c r="BK1136" t="s">
        <v>99</v>
      </c>
      <c r="BL1136" t="s">
        <v>2994</v>
      </c>
      <c r="BM1136" t="s">
        <v>19161</v>
      </c>
      <c r="BN1136" t="s">
        <v>74</v>
      </c>
      <c r="BO1136" t="s">
        <v>74</v>
      </c>
      <c r="BP1136" t="s">
        <v>74</v>
      </c>
      <c r="BQ1136" t="s">
        <v>74</v>
      </c>
      <c r="BR1136" t="s">
        <v>102</v>
      </c>
      <c r="BS1136" t="s">
        <v>19162</v>
      </c>
      <c r="BT1136" t="str">
        <f>HYPERLINK("https%3A%2F%2Fwww.webofscience.com%2Fwos%2Fwoscc%2Ffull-record%2FWOS:001196091700001","View Full Record in Web of Science")</f>
        <v>View Full Record in Web of Science</v>
      </c>
    </row>
    <row r="1137" spans="1:72" x14ac:dyDescent="0.35">
      <c r="A1137" t="s">
        <v>72</v>
      </c>
      <c r="B1137" t="s">
        <v>19163</v>
      </c>
      <c r="C1137" t="s">
        <v>74</v>
      </c>
      <c r="D1137" t="s">
        <v>74</v>
      </c>
      <c r="E1137" t="s">
        <v>74</v>
      </c>
      <c r="F1137" t="s">
        <v>19164</v>
      </c>
      <c r="G1137" t="s">
        <v>74</v>
      </c>
      <c r="H1137" t="s">
        <v>74</v>
      </c>
      <c r="I1137" t="s">
        <v>19165</v>
      </c>
      <c r="J1137" t="s">
        <v>19166</v>
      </c>
      <c r="K1137" t="s">
        <v>74</v>
      </c>
      <c r="L1137" t="s">
        <v>74</v>
      </c>
      <c r="M1137" t="s">
        <v>78</v>
      </c>
      <c r="N1137" t="s">
        <v>108</v>
      </c>
      <c r="O1137" t="s">
        <v>74</v>
      </c>
      <c r="P1137" t="s">
        <v>74</v>
      </c>
      <c r="Q1137" t="s">
        <v>74</v>
      </c>
      <c r="R1137" t="s">
        <v>74</v>
      </c>
      <c r="S1137" t="s">
        <v>74</v>
      </c>
      <c r="T1137" t="s">
        <v>19167</v>
      </c>
      <c r="U1137" t="s">
        <v>74</v>
      </c>
      <c r="V1137" t="s">
        <v>19168</v>
      </c>
      <c r="W1137" t="s">
        <v>19169</v>
      </c>
      <c r="X1137" t="s">
        <v>19170</v>
      </c>
      <c r="Y1137" t="s">
        <v>19171</v>
      </c>
      <c r="Z1137" t="s">
        <v>19172</v>
      </c>
      <c r="AA1137" t="s">
        <v>74</v>
      </c>
      <c r="AB1137" t="s">
        <v>19173</v>
      </c>
      <c r="AC1137" t="s">
        <v>74</v>
      </c>
      <c r="AD1137" t="s">
        <v>74</v>
      </c>
      <c r="AE1137" t="s">
        <v>74</v>
      </c>
      <c r="AF1137" t="s">
        <v>74</v>
      </c>
      <c r="AG1137">
        <v>6</v>
      </c>
      <c r="AH1137">
        <v>68</v>
      </c>
      <c r="AI1137">
        <v>77</v>
      </c>
      <c r="AJ1137">
        <v>5</v>
      </c>
      <c r="AK1137">
        <v>89</v>
      </c>
      <c r="AL1137" t="s">
        <v>639</v>
      </c>
      <c r="AM1137" t="s">
        <v>640</v>
      </c>
      <c r="AN1137" t="s">
        <v>641</v>
      </c>
      <c r="AO1137" t="s">
        <v>19174</v>
      </c>
      <c r="AP1137" t="s">
        <v>19175</v>
      </c>
      <c r="AQ1137" t="s">
        <v>74</v>
      </c>
      <c r="AR1137" t="s">
        <v>19176</v>
      </c>
      <c r="AS1137" t="s">
        <v>19177</v>
      </c>
      <c r="AT1137" t="s">
        <v>257</v>
      </c>
      <c r="AU1137">
        <v>2020</v>
      </c>
      <c r="AV1137">
        <v>111</v>
      </c>
      <c r="AW1137">
        <v>3</v>
      </c>
      <c r="AX1137" t="s">
        <v>74</v>
      </c>
      <c r="AY1137" t="s">
        <v>74</v>
      </c>
      <c r="AZ1137" t="s">
        <v>456</v>
      </c>
      <c r="BA1137" t="s">
        <v>74</v>
      </c>
      <c r="BB1137">
        <v>389</v>
      </c>
      <c r="BC1137">
        <v>391</v>
      </c>
      <c r="BD1137" t="s">
        <v>74</v>
      </c>
      <c r="BE1137" t="s">
        <v>19178</v>
      </c>
      <c r="BF1137" t="str">
        <f>HYPERLINK("http://dx.doi.org/10.17269/s41997-020-00343-0","http://dx.doi.org/10.17269/s41997-020-00343-0")</f>
        <v>http://dx.doi.org/10.17269/s41997-020-00343-0</v>
      </c>
      <c r="BG1137" t="s">
        <v>74</v>
      </c>
      <c r="BH1137" t="s">
        <v>1003</v>
      </c>
      <c r="BI1137">
        <v>3</v>
      </c>
      <c r="BJ1137" t="s">
        <v>392</v>
      </c>
      <c r="BK1137" t="s">
        <v>99</v>
      </c>
      <c r="BL1137" t="s">
        <v>392</v>
      </c>
      <c r="BM1137" t="s">
        <v>19179</v>
      </c>
      <c r="BN1137">
        <v>32519085</v>
      </c>
      <c r="BO1137" t="s">
        <v>12267</v>
      </c>
      <c r="BP1137" t="s">
        <v>74</v>
      </c>
      <c r="BQ1137" t="s">
        <v>74</v>
      </c>
      <c r="BR1137" t="s">
        <v>102</v>
      </c>
      <c r="BS1137" t="s">
        <v>19180</v>
      </c>
      <c r="BT1137" t="str">
        <f>HYPERLINK("https%3A%2F%2Fwww.webofscience.com%2Fwos%2Fwoscc%2Ffull-record%2FWOS:000539162300001","View Full Record in Web of Science")</f>
        <v>View Full Record in Web of Science</v>
      </c>
    </row>
    <row r="1138" spans="1:72" x14ac:dyDescent="0.35">
      <c r="A1138" t="s">
        <v>72</v>
      </c>
      <c r="B1138" t="s">
        <v>19181</v>
      </c>
      <c r="C1138" t="s">
        <v>74</v>
      </c>
      <c r="D1138" t="s">
        <v>74</v>
      </c>
      <c r="E1138" t="s">
        <v>74</v>
      </c>
      <c r="F1138" t="s">
        <v>19182</v>
      </c>
      <c r="G1138" t="s">
        <v>74</v>
      </c>
      <c r="H1138" t="s">
        <v>74</v>
      </c>
      <c r="I1138" t="s">
        <v>19183</v>
      </c>
      <c r="J1138" t="s">
        <v>19184</v>
      </c>
      <c r="K1138" t="s">
        <v>74</v>
      </c>
      <c r="L1138" t="s">
        <v>74</v>
      </c>
      <c r="M1138" t="s">
        <v>78</v>
      </c>
      <c r="N1138" t="s">
        <v>9221</v>
      </c>
      <c r="O1138" t="s">
        <v>74</v>
      </c>
      <c r="P1138" t="s">
        <v>74</v>
      </c>
      <c r="Q1138" t="s">
        <v>74</v>
      </c>
      <c r="R1138" t="s">
        <v>74</v>
      </c>
      <c r="S1138" t="s">
        <v>74</v>
      </c>
      <c r="T1138" t="s">
        <v>74</v>
      </c>
      <c r="U1138" t="s">
        <v>74</v>
      </c>
      <c r="V1138" t="s">
        <v>19185</v>
      </c>
      <c r="W1138" t="s">
        <v>74</v>
      </c>
      <c r="X1138" t="s">
        <v>74</v>
      </c>
      <c r="Y1138" t="s">
        <v>74</v>
      </c>
      <c r="Z1138" t="s">
        <v>74</v>
      </c>
      <c r="AA1138" t="s">
        <v>74</v>
      </c>
      <c r="AB1138" t="s">
        <v>74</v>
      </c>
      <c r="AC1138" t="s">
        <v>74</v>
      </c>
      <c r="AD1138" t="s">
        <v>74</v>
      </c>
      <c r="AE1138" t="s">
        <v>74</v>
      </c>
      <c r="AF1138" t="s">
        <v>74</v>
      </c>
      <c r="AG1138">
        <v>0</v>
      </c>
      <c r="AH1138">
        <v>1</v>
      </c>
      <c r="AI1138">
        <v>1</v>
      </c>
      <c r="AJ1138">
        <v>1</v>
      </c>
      <c r="AK1138">
        <v>4</v>
      </c>
      <c r="AL1138" t="s">
        <v>10592</v>
      </c>
      <c r="AM1138" t="s">
        <v>10224</v>
      </c>
      <c r="AN1138" t="s">
        <v>10593</v>
      </c>
      <c r="AO1138" t="s">
        <v>19186</v>
      </c>
      <c r="AP1138" t="s">
        <v>19187</v>
      </c>
      <c r="AQ1138" t="s">
        <v>74</v>
      </c>
      <c r="AR1138" t="s">
        <v>19188</v>
      </c>
      <c r="AS1138" t="s">
        <v>19189</v>
      </c>
      <c r="AT1138" t="s">
        <v>19190</v>
      </c>
      <c r="AU1138">
        <v>2024</v>
      </c>
      <c r="AV1138">
        <v>331</v>
      </c>
      <c r="AW1138">
        <v>15</v>
      </c>
      <c r="AX1138" t="s">
        <v>74</v>
      </c>
      <c r="AY1138" t="s">
        <v>74</v>
      </c>
      <c r="AZ1138" t="s">
        <v>74</v>
      </c>
      <c r="BA1138" t="s">
        <v>74</v>
      </c>
      <c r="BB1138">
        <v>1262</v>
      </c>
      <c r="BC1138">
        <v>1264</v>
      </c>
      <c r="BD1138" t="s">
        <v>74</v>
      </c>
      <c r="BE1138" t="s">
        <v>19191</v>
      </c>
      <c r="BF1138" t="str">
        <f>HYPERLINK("http://dx.doi.org/10.1001/jama.2024.1280","http://dx.doi.org/10.1001/jama.2024.1280")</f>
        <v>http://dx.doi.org/10.1001/jama.2024.1280</v>
      </c>
      <c r="BG1138" t="s">
        <v>74</v>
      </c>
      <c r="BH1138" t="s">
        <v>2410</v>
      </c>
      <c r="BI1138">
        <v>3</v>
      </c>
      <c r="BJ1138" t="s">
        <v>811</v>
      </c>
      <c r="BK1138" t="s">
        <v>209</v>
      </c>
      <c r="BL1138" t="s">
        <v>812</v>
      </c>
      <c r="BM1138" t="s">
        <v>19192</v>
      </c>
      <c r="BN1138">
        <v>38517434</v>
      </c>
      <c r="BO1138" t="s">
        <v>74</v>
      </c>
      <c r="BP1138" t="s">
        <v>74</v>
      </c>
      <c r="BQ1138" t="s">
        <v>74</v>
      </c>
      <c r="BR1138" t="s">
        <v>102</v>
      </c>
      <c r="BS1138" t="s">
        <v>19193</v>
      </c>
      <c r="BT1138" t="str">
        <f>HYPERLINK("https%3A%2F%2Fwww.webofscience.com%2Fwos%2Fwoscc%2Ffull-record%2FWOS:001189211900004","View Full Record in Web of Science")</f>
        <v>View Full Record in Web of Science</v>
      </c>
    </row>
    <row r="1139" spans="1:72" x14ac:dyDescent="0.35">
      <c r="A1139" t="s">
        <v>72</v>
      </c>
      <c r="B1139" t="s">
        <v>19194</v>
      </c>
      <c r="C1139" t="s">
        <v>74</v>
      </c>
      <c r="D1139" t="s">
        <v>74</v>
      </c>
      <c r="E1139" t="s">
        <v>74</v>
      </c>
      <c r="F1139" t="s">
        <v>19195</v>
      </c>
      <c r="G1139" t="s">
        <v>74</v>
      </c>
      <c r="H1139" t="s">
        <v>74</v>
      </c>
      <c r="I1139" t="s">
        <v>19196</v>
      </c>
      <c r="J1139" t="s">
        <v>19197</v>
      </c>
      <c r="K1139" t="s">
        <v>74</v>
      </c>
      <c r="L1139" t="s">
        <v>74</v>
      </c>
      <c r="M1139" t="s">
        <v>78</v>
      </c>
      <c r="N1139" t="s">
        <v>108</v>
      </c>
      <c r="O1139" t="s">
        <v>74</v>
      </c>
      <c r="P1139" t="s">
        <v>74</v>
      </c>
      <c r="Q1139" t="s">
        <v>74</v>
      </c>
      <c r="R1139" t="s">
        <v>74</v>
      </c>
      <c r="S1139" t="s">
        <v>74</v>
      </c>
      <c r="T1139" t="s">
        <v>19198</v>
      </c>
      <c r="U1139" t="s">
        <v>74</v>
      </c>
      <c r="V1139" t="s">
        <v>19199</v>
      </c>
      <c r="W1139" t="s">
        <v>19200</v>
      </c>
      <c r="X1139" t="s">
        <v>19201</v>
      </c>
      <c r="Y1139" t="s">
        <v>19202</v>
      </c>
      <c r="Z1139" t="s">
        <v>19203</v>
      </c>
      <c r="AA1139" t="s">
        <v>74</v>
      </c>
      <c r="AB1139" t="s">
        <v>19204</v>
      </c>
      <c r="AC1139" t="s">
        <v>19205</v>
      </c>
      <c r="AD1139" t="s">
        <v>19206</v>
      </c>
      <c r="AE1139" t="s">
        <v>19207</v>
      </c>
      <c r="AF1139" t="s">
        <v>74</v>
      </c>
      <c r="AG1139">
        <v>100</v>
      </c>
      <c r="AH1139">
        <v>4</v>
      </c>
      <c r="AI1139">
        <v>4</v>
      </c>
      <c r="AJ1139">
        <v>13</v>
      </c>
      <c r="AK1139">
        <v>46</v>
      </c>
      <c r="AL1139" t="s">
        <v>251</v>
      </c>
      <c r="AM1139" t="s">
        <v>252</v>
      </c>
      <c r="AN1139" t="s">
        <v>253</v>
      </c>
      <c r="AO1139" t="s">
        <v>19208</v>
      </c>
      <c r="AP1139" t="s">
        <v>19209</v>
      </c>
      <c r="AQ1139" t="s">
        <v>74</v>
      </c>
      <c r="AR1139" t="s">
        <v>19210</v>
      </c>
      <c r="AS1139" t="s">
        <v>19211</v>
      </c>
      <c r="AT1139" t="s">
        <v>1275</v>
      </c>
      <c r="AU1139">
        <v>2023</v>
      </c>
      <c r="AV1139">
        <v>95</v>
      </c>
      <c r="AW1139">
        <v>8</v>
      </c>
      <c r="AX1139" t="s">
        <v>74</v>
      </c>
      <c r="AY1139" t="s">
        <v>74</v>
      </c>
      <c r="AZ1139" t="s">
        <v>74</v>
      </c>
      <c r="BA1139" t="s">
        <v>74</v>
      </c>
      <c r="BB1139">
        <v>1725</v>
      </c>
      <c r="BC1139">
        <v>1748</v>
      </c>
      <c r="BD1139" t="s">
        <v>74</v>
      </c>
      <c r="BE1139" t="s">
        <v>19212</v>
      </c>
      <c r="BF1139" t="str">
        <f>HYPERLINK("http://dx.doi.org/10.1002/jad.12243","http://dx.doi.org/10.1002/jad.12243")</f>
        <v>http://dx.doi.org/10.1002/jad.12243</v>
      </c>
      <c r="BG1139" t="s">
        <v>74</v>
      </c>
      <c r="BH1139" t="s">
        <v>2929</v>
      </c>
      <c r="BI1139">
        <v>24</v>
      </c>
      <c r="BJ1139" t="s">
        <v>11136</v>
      </c>
      <c r="BK1139" t="s">
        <v>99</v>
      </c>
      <c r="BL1139" t="s">
        <v>301</v>
      </c>
      <c r="BM1139" t="s">
        <v>19213</v>
      </c>
      <c r="BN1139">
        <v>37698125</v>
      </c>
      <c r="BO1139" t="s">
        <v>156</v>
      </c>
      <c r="BP1139" t="s">
        <v>74</v>
      </c>
      <c r="BQ1139" t="s">
        <v>74</v>
      </c>
      <c r="BR1139" t="s">
        <v>102</v>
      </c>
      <c r="BS1139" t="s">
        <v>19214</v>
      </c>
      <c r="BT1139" t="str">
        <f>HYPERLINK("https%3A%2F%2Fwww.webofscience.com%2Fwos%2Fwoscc%2Ffull-record%2FWOS:001063224200001","View Full Record in Web of Science")</f>
        <v>View Full Record in Web of Science</v>
      </c>
    </row>
    <row r="1140" spans="1:72" x14ac:dyDescent="0.35">
      <c r="A1140" t="s">
        <v>72</v>
      </c>
      <c r="B1140" t="s">
        <v>19215</v>
      </c>
      <c r="C1140" t="s">
        <v>74</v>
      </c>
      <c r="D1140" t="s">
        <v>74</v>
      </c>
      <c r="E1140" t="s">
        <v>74</v>
      </c>
      <c r="F1140" t="s">
        <v>19216</v>
      </c>
      <c r="G1140" t="s">
        <v>74</v>
      </c>
      <c r="H1140" t="s">
        <v>74</v>
      </c>
      <c r="I1140" t="s">
        <v>19217</v>
      </c>
      <c r="J1140" t="s">
        <v>19218</v>
      </c>
      <c r="K1140" t="s">
        <v>74</v>
      </c>
      <c r="L1140" t="s">
        <v>74</v>
      </c>
      <c r="M1140" t="s">
        <v>78</v>
      </c>
      <c r="N1140" t="s">
        <v>79</v>
      </c>
      <c r="O1140" t="s">
        <v>74</v>
      </c>
      <c r="P1140" t="s">
        <v>74</v>
      </c>
      <c r="Q1140" t="s">
        <v>74</v>
      </c>
      <c r="R1140" t="s">
        <v>74</v>
      </c>
      <c r="S1140" t="s">
        <v>74</v>
      </c>
      <c r="T1140" t="s">
        <v>19219</v>
      </c>
      <c r="U1140" t="s">
        <v>19220</v>
      </c>
      <c r="V1140" t="s">
        <v>19221</v>
      </c>
      <c r="W1140" t="s">
        <v>19222</v>
      </c>
      <c r="X1140" t="s">
        <v>19223</v>
      </c>
      <c r="Y1140" t="s">
        <v>19224</v>
      </c>
      <c r="Z1140" t="s">
        <v>19225</v>
      </c>
      <c r="AA1140" t="s">
        <v>74</v>
      </c>
      <c r="AB1140" t="s">
        <v>19226</v>
      </c>
      <c r="AC1140" t="s">
        <v>19227</v>
      </c>
      <c r="AD1140" t="s">
        <v>19227</v>
      </c>
      <c r="AE1140" t="s">
        <v>19228</v>
      </c>
      <c r="AF1140" t="s">
        <v>74</v>
      </c>
      <c r="AG1140">
        <v>34</v>
      </c>
      <c r="AH1140">
        <v>0</v>
      </c>
      <c r="AI1140">
        <v>0</v>
      </c>
      <c r="AJ1140">
        <v>25</v>
      </c>
      <c r="AK1140">
        <v>46</v>
      </c>
      <c r="AL1140" t="s">
        <v>19229</v>
      </c>
      <c r="AM1140" t="s">
        <v>19230</v>
      </c>
      <c r="AN1140" t="s">
        <v>19231</v>
      </c>
      <c r="AO1140" t="s">
        <v>19232</v>
      </c>
      <c r="AP1140" t="s">
        <v>19233</v>
      </c>
      <c r="AQ1140" t="s">
        <v>74</v>
      </c>
      <c r="AR1140" t="s">
        <v>19234</v>
      </c>
      <c r="AS1140" t="s">
        <v>19235</v>
      </c>
      <c r="AT1140" t="s">
        <v>19236</v>
      </c>
      <c r="AU1140">
        <v>2024</v>
      </c>
      <c r="AV1140" t="s">
        <v>74</v>
      </c>
      <c r="AW1140" t="s">
        <v>74</v>
      </c>
      <c r="AX1140" t="s">
        <v>74</v>
      </c>
      <c r="AY1140" t="s">
        <v>74</v>
      </c>
      <c r="AZ1140" t="s">
        <v>74</v>
      </c>
      <c r="BA1140" t="s">
        <v>74</v>
      </c>
      <c r="BB1140" t="s">
        <v>74</v>
      </c>
      <c r="BC1140" t="s">
        <v>74</v>
      </c>
      <c r="BD1140" t="s">
        <v>74</v>
      </c>
      <c r="BE1140" t="s">
        <v>19237</v>
      </c>
      <c r="BF1140" t="str">
        <f>HYPERLINK("http://dx.doi.org/10.1027/1864-1105/a000420","http://dx.doi.org/10.1027/1864-1105/a000420")</f>
        <v>http://dx.doi.org/10.1027/1864-1105/a000420</v>
      </c>
      <c r="BG1140" t="s">
        <v>74</v>
      </c>
      <c r="BH1140" t="s">
        <v>123</v>
      </c>
      <c r="BI1140">
        <v>8</v>
      </c>
      <c r="BJ1140" t="s">
        <v>19238</v>
      </c>
      <c r="BK1140" t="s">
        <v>99</v>
      </c>
      <c r="BL1140" t="s">
        <v>19239</v>
      </c>
      <c r="BM1140" t="s">
        <v>19240</v>
      </c>
      <c r="BN1140" t="s">
        <v>74</v>
      </c>
      <c r="BO1140" t="s">
        <v>74</v>
      </c>
      <c r="BP1140" t="s">
        <v>74</v>
      </c>
      <c r="BQ1140" t="s">
        <v>74</v>
      </c>
      <c r="BR1140" t="s">
        <v>102</v>
      </c>
      <c r="BS1140" t="s">
        <v>19241</v>
      </c>
      <c r="BT1140" t="str">
        <f>HYPERLINK("https%3A%2F%2Fwww.webofscience.com%2Fwos%2Fwoscc%2Ffull-record%2FWOS:001184549900003","View Full Record in Web of Science")</f>
        <v>View Full Record in Web of Science</v>
      </c>
    </row>
    <row r="1141" spans="1:72" x14ac:dyDescent="0.35">
      <c r="A1141" t="s">
        <v>72</v>
      </c>
      <c r="B1141" t="s">
        <v>19242</v>
      </c>
      <c r="C1141" t="s">
        <v>74</v>
      </c>
      <c r="D1141" t="s">
        <v>74</v>
      </c>
      <c r="E1141" t="s">
        <v>74</v>
      </c>
      <c r="F1141" t="s">
        <v>19243</v>
      </c>
      <c r="G1141" t="s">
        <v>74</v>
      </c>
      <c r="H1141" t="s">
        <v>74</v>
      </c>
      <c r="I1141" t="s">
        <v>19244</v>
      </c>
      <c r="J1141" t="s">
        <v>13509</v>
      </c>
      <c r="K1141" t="s">
        <v>74</v>
      </c>
      <c r="L1141" t="s">
        <v>74</v>
      </c>
      <c r="M1141" t="s">
        <v>78</v>
      </c>
      <c r="N1141" t="s">
        <v>108</v>
      </c>
      <c r="O1141" t="s">
        <v>74</v>
      </c>
      <c r="P1141" t="s">
        <v>74</v>
      </c>
      <c r="Q1141" t="s">
        <v>74</v>
      </c>
      <c r="R1141" t="s">
        <v>74</v>
      </c>
      <c r="S1141" t="s">
        <v>74</v>
      </c>
      <c r="T1141" t="s">
        <v>19245</v>
      </c>
      <c r="U1141" t="s">
        <v>19246</v>
      </c>
      <c r="V1141" t="s">
        <v>19247</v>
      </c>
      <c r="W1141" t="s">
        <v>19248</v>
      </c>
      <c r="X1141" t="s">
        <v>19249</v>
      </c>
      <c r="Y1141" t="s">
        <v>19250</v>
      </c>
      <c r="Z1141" t="s">
        <v>19251</v>
      </c>
      <c r="AA1141" t="s">
        <v>19252</v>
      </c>
      <c r="AB1141" t="s">
        <v>19253</v>
      </c>
      <c r="AC1141" t="s">
        <v>74</v>
      </c>
      <c r="AD1141" t="s">
        <v>74</v>
      </c>
      <c r="AE1141" t="s">
        <v>74</v>
      </c>
      <c r="AF1141" t="s">
        <v>74</v>
      </c>
      <c r="AG1141">
        <v>63</v>
      </c>
      <c r="AH1141">
        <v>39</v>
      </c>
      <c r="AI1141">
        <v>41</v>
      </c>
      <c r="AJ1141">
        <v>19</v>
      </c>
      <c r="AK1141">
        <v>119</v>
      </c>
      <c r="AL1141" t="s">
        <v>88</v>
      </c>
      <c r="AM1141" t="s">
        <v>89</v>
      </c>
      <c r="AN1141" t="s">
        <v>90</v>
      </c>
      <c r="AO1141" t="s">
        <v>13519</v>
      </c>
      <c r="AP1141" t="s">
        <v>13520</v>
      </c>
      <c r="AQ1141" t="s">
        <v>74</v>
      </c>
      <c r="AR1141" t="s">
        <v>13521</v>
      </c>
      <c r="AS1141" t="s">
        <v>13522</v>
      </c>
      <c r="AT1141" t="s">
        <v>2599</v>
      </c>
      <c r="AU1141">
        <v>2023</v>
      </c>
      <c r="AV1141">
        <v>11</v>
      </c>
      <c r="AW1141">
        <v>8</v>
      </c>
      <c r="AX1141" t="s">
        <v>74</v>
      </c>
      <c r="AY1141" t="s">
        <v>74</v>
      </c>
      <c r="AZ1141" t="s">
        <v>74</v>
      </c>
      <c r="BA1141" t="s">
        <v>74</v>
      </c>
      <c r="BB1141">
        <v>1499</v>
      </c>
      <c r="BC1141">
        <v>1520</v>
      </c>
      <c r="BD1141" t="s">
        <v>74</v>
      </c>
      <c r="BE1141" t="s">
        <v>19254</v>
      </c>
      <c r="BF1141" t="str">
        <f>HYPERLINK("http://dx.doi.org/10.1080/21670811.2022.2128389","http://dx.doi.org/10.1080/21670811.2022.2128389")</f>
        <v>http://dx.doi.org/10.1080/21670811.2022.2128389</v>
      </c>
      <c r="BG1141" t="s">
        <v>74</v>
      </c>
      <c r="BH1141" t="s">
        <v>598</v>
      </c>
      <c r="BI1141">
        <v>22</v>
      </c>
      <c r="BJ1141" t="s">
        <v>124</v>
      </c>
      <c r="BK1141" t="s">
        <v>99</v>
      </c>
      <c r="BL1141" t="s">
        <v>124</v>
      </c>
      <c r="BM1141" t="s">
        <v>19255</v>
      </c>
      <c r="BN1141" t="s">
        <v>74</v>
      </c>
      <c r="BO1141" t="s">
        <v>4154</v>
      </c>
      <c r="BP1141" t="s">
        <v>74</v>
      </c>
      <c r="BQ1141" t="s">
        <v>74</v>
      </c>
      <c r="BR1141" t="s">
        <v>102</v>
      </c>
      <c r="BS1141" t="s">
        <v>19256</v>
      </c>
      <c r="BT1141" t="str">
        <f>HYPERLINK("https%3A%2F%2Fwww.webofscience.com%2Fwos%2Fwoscc%2Ffull-record%2FWOS:000870569100001","View Full Record in Web of Science")</f>
        <v>View Full Record in Web of Science</v>
      </c>
    </row>
    <row r="1142" spans="1:72" x14ac:dyDescent="0.35">
      <c r="A1142" t="s">
        <v>72</v>
      </c>
      <c r="B1142" t="s">
        <v>19257</v>
      </c>
      <c r="C1142" t="s">
        <v>74</v>
      </c>
      <c r="D1142" t="s">
        <v>74</v>
      </c>
      <c r="E1142" t="s">
        <v>74</v>
      </c>
      <c r="F1142" t="s">
        <v>19258</v>
      </c>
      <c r="G1142" t="s">
        <v>74</v>
      </c>
      <c r="H1142" t="s">
        <v>74</v>
      </c>
      <c r="I1142" t="s">
        <v>19259</v>
      </c>
      <c r="J1142" t="s">
        <v>13574</v>
      </c>
      <c r="K1142" t="s">
        <v>74</v>
      </c>
      <c r="L1142" t="s">
        <v>74</v>
      </c>
      <c r="M1142" t="s">
        <v>78</v>
      </c>
      <c r="N1142" t="s">
        <v>108</v>
      </c>
      <c r="O1142" t="s">
        <v>74</v>
      </c>
      <c r="P1142" t="s">
        <v>74</v>
      </c>
      <c r="Q1142" t="s">
        <v>74</v>
      </c>
      <c r="R1142" t="s">
        <v>74</v>
      </c>
      <c r="S1142" t="s">
        <v>74</v>
      </c>
      <c r="T1142" t="s">
        <v>74</v>
      </c>
      <c r="U1142" t="s">
        <v>19260</v>
      </c>
      <c r="V1142" t="s">
        <v>19261</v>
      </c>
      <c r="W1142" t="s">
        <v>19262</v>
      </c>
      <c r="X1142" t="s">
        <v>13328</v>
      </c>
      <c r="Y1142" t="s">
        <v>19263</v>
      </c>
      <c r="Z1142" t="s">
        <v>19264</v>
      </c>
      <c r="AA1142" t="s">
        <v>9727</v>
      </c>
      <c r="AB1142" t="s">
        <v>11524</v>
      </c>
      <c r="AC1142" t="s">
        <v>74</v>
      </c>
      <c r="AD1142" t="s">
        <v>74</v>
      </c>
      <c r="AE1142" t="s">
        <v>74</v>
      </c>
      <c r="AF1142" t="s">
        <v>74</v>
      </c>
      <c r="AG1142">
        <v>33</v>
      </c>
      <c r="AH1142">
        <v>6</v>
      </c>
      <c r="AI1142">
        <v>6</v>
      </c>
      <c r="AJ1142">
        <v>0</v>
      </c>
      <c r="AK1142">
        <v>3</v>
      </c>
      <c r="AL1142" t="s">
        <v>1901</v>
      </c>
      <c r="AM1142" t="s">
        <v>995</v>
      </c>
      <c r="AN1142" t="s">
        <v>1902</v>
      </c>
      <c r="AO1142" t="s">
        <v>13583</v>
      </c>
      <c r="AP1142" t="s">
        <v>74</v>
      </c>
      <c r="AQ1142" t="s">
        <v>74</v>
      </c>
      <c r="AR1142" t="s">
        <v>13584</v>
      </c>
      <c r="AS1142" t="s">
        <v>13585</v>
      </c>
      <c r="AT1142" t="s">
        <v>257</v>
      </c>
      <c r="AU1142">
        <v>2023</v>
      </c>
      <c r="AV1142">
        <v>7</v>
      </c>
      <c r="AW1142">
        <v>6</v>
      </c>
      <c r="AX1142" t="s">
        <v>74</v>
      </c>
      <c r="AY1142" t="s">
        <v>74</v>
      </c>
      <c r="AZ1142" t="s">
        <v>74</v>
      </c>
      <c r="BA1142" t="s">
        <v>74</v>
      </c>
      <c r="BB1142" t="s">
        <v>74</v>
      </c>
      <c r="BC1142" t="s">
        <v>74</v>
      </c>
      <c r="BD1142" t="s">
        <v>74</v>
      </c>
      <c r="BE1142" t="s">
        <v>19265</v>
      </c>
      <c r="BF1142" t="str">
        <f>HYPERLINK("http://dx.doi.org/10.5435/JAAOSGlobal-D-23-00034","http://dx.doi.org/10.5435/JAAOSGlobal-D-23-00034")</f>
        <v>http://dx.doi.org/10.5435/JAAOSGlobal-D-23-00034</v>
      </c>
      <c r="BG1142" t="s">
        <v>74</v>
      </c>
      <c r="BH1142" t="s">
        <v>74</v>
      </c>
      <c r="BI1142">
        <v>7</v>
      </c>
      <c r="BJ1142" t="s">
        <v>9734</v>
      </c>
      <c r="BK1142" t="s">
        <v>125</v>
      </c>
      <c r="BL1142" t="s">
        <v>9734</v>
      </c>
      <c r="BM1142" t="s">
        <v>19266</v>
      </c>
      <c r="BN1142">
        <v>37285512</v>
      </c>
      <c r="BO1142" t="s">
        <v>394</v>
      </c>
      <c r="BP1142" t="s">
        <v>74</v>
      </c>
      <c r="BQ1142" t="s">
        <v>74</v>
      </c>
      <c r="BR1142" t="s">
        <v>102</v>
      </c>
      <c r="BS1142" t="s">
        <v>19267</v>
      </c>
      <c r="BT1142" t="str">
        <f>HYPERLINK("https%3A%2F%2Fwww.webofscience.com%2Fwos%2Fwoscc%2Ffull-record%2FWOS:001009759200003","View Full Record in Web of Science")</f>
        <v>View Full Record in Web of Science</v>
      </c>
    </row>
    <row r="1143" spans="1:72" x14ac:dyDescent="0.35">
      <c r="A1143" t="s">
        <v>72</v>
      </c>
      <c r="B1143" t="s">
        <v>19268</v>
      </c>
      <c r="C1143" t="s">
        <v>74</v>
      </c>
      <c r="D1143" t="s">
        <v>74</v>
      </c>
      <c r="E1143" t="s">
        <v>74</v>
      </c>
      <c r="F1143" t="s">
        <v>19269</v>
      </c>
      <c r="G1143" t="s">
        <v>74</v>
      </c>
      <c r="H1143" t="s">
        <v>74</v>
      </c>
      <c r="I1143" t="s">
        <v>19270</v>
      </c>
      <c r="J1143" t="s">
        <v>19271</v>
      </c>
      <c r="K1143" t="s">
        <v>74</v>
      </c>
      <c r="L1143" t="s">
        <v>74</v>
      </c>
      <c r="M1143" t="s">
        <v>78</v>
      </c>
      <c r="N1143" t="s">
        <v>108</v>
      </c>
      <c r="O1143" t="s">
        <v>74</v>
      </c>
      <c r="P1143" t="s">
        <v>74</v>
      </c>
      <c r="Q1143" t="s">
        <v>74</v>
      </c>
      <c r="R1143" t="s">
        <v>74</v>
      </c>
      <c r="S1143" t="s">
        <v>74</v>
      </c>
      <c r="T1143" t="s">
        <v>19272</v>
      </c>
      <c r="U1143" t="s">
        <v>19273</v>
      </c>
      <c r="V1143" t="s">
        <v>19274</v>
      </c>
      <c r="W1143" t="s">
        <v>19275</v>
      </c>
      <c r="X1143" t="s">
        <v>19276</v>
      </c>
      <c r="Y1143" t="s">
        <v>19277</v>
      </c>
      <c r="Z1143" t="s">
        <v>19278</v>
      </c>
      <c r="AA1143" t="s">
        <v>19279</v>
      </c>
      <c r="AB1143" t="s">
        <v>19280</v>
      </c>
      <c r="AC1143" t="s">
        <v>74</v>
      </c>
      <c r="AD1143" t="s">
        <v>74</v>
      </c>
      <c r="AE1143" t="s">
        <v>74</v>
      </c>
      <c r="AF1143" t="s">
        <v>74</v>
      </c>
      <c r="AG1143">
        <v>96</v>
      </c>
      <c r="AH1143">
        <v>3</v>
      </c>
      <c r="AI1143">
        <v>4</v>
      </c>
      <c r="AJ1143">
        <v>5</v>
      </c>
      <c r="AK1143">
        <v>21</v>
      </c>
      <c r="AL1143" t="s">
        <v>16365</v>
      </c>
      <c r="AM1143" t="s">
        <v>19281</v>
      </c>
      <c r="AN1143" t="s">
        <v>19282</v>
      </c>
      <c r="AO1143" t="s">
        <v>19283</v>
      </c>
      <c r="AP1143" t="s">
        <v>74</v>
      </c>
      <c r="AQ1143" t="s">
        <v>74</v>
      </c>
      <c r="AR1143" t="s">
        <v>19284</v>
      </c>
      <c r="AS1143" t="s">
        <v>19285</v>
      </c>
      <c r="AT1143" t="s">
        <v>19286</v>
      </c>
      <c r="AU1143">
        <v>2023</v>
      </c>
      <c r="AV1143">
        <v>23</v>
      </c>
      <c r="AW1143">
        <v>72</v>
      </c>
      <c r="AX1143" t="s">
        <v>74</v>
      </c>
      <c r="AY1143" t="s">
        <v>74</v>
      </c>
      <c r="AZ1143" t="s">
        <v>74</v>
      </c>
      <c r="BA1143" t="s">
        <v>74</v>
      </c>
      <c r="BB1143" t="s">
        <v>74</v>
      </c>
      <c r="BC1143" t="s">
        <v>74</v>
      </c>
      <c r="BD1143">
        <v>7</v>
      </c>
      <c r="BE1143" t="s">
        <v>19287</v>
      </c>
      <c r="BF1143" t="str">
        <f>HYPERLINK("http://dx.doi.org/10.6018/red.491551","http://dx.doi.org/10.6018/red.491551")</f>
        <v>http://dx.doi.org/10.6018/red.491551</v>
      </c>
      <c r="BG1143" t="s">
        <v>74</v>
      </c>
      <c r="BH1143" t="s">
        <v>74</v>
      </c>
      <c r="BI1143">
        <v>19</v>
      </c>
      <c r="BJ1143" t="s">
        <v>787</v>
      </c>
      <c r="BK1143" t="s">
        <v>125</v>
      </c>
      <c r="BL1143" t="s">
        <v>787</v>
      </c>
      <c r="BM1143" t="s">
        <v>19288</v>
      </c>
      <c r="BN1143" t="s">
        <v>74</v>
      </c>
      <c r="BO1143" t="s">
        <v>235</v>
      </c>
      <c r="BP1143" t="s">
        <v>74</v>
      </c>
      <c r="BQ1143" t="s">
        <v>74</v>
      </c>
      <c r="BR1143" t="s">
        <v>102</v>
      </c>
      <c r="BS1143" t="s">
        <v>19289</v>
      </c>
      <c r="BT1143" t="str">
        <f>HYPERLINK("https%3A%2F%2Fwww.webofscience.com%2Fwos%2Fwoscc%2Ffull-record%2FWOS:001026122200005","View Full Record in Web of Science")</f>
        <v>View Full Record in Web of Science</v>
      </c>
    </row>
    <row r="1144" spans="1:72" x14ac:dyDescent="0.35">
      <c r="A1144" t="s">
        <v>72</v>
      </c>
      <c r="B1144" t="s">
        <v>19290</v>
      </c>
      <c r="C1144" t="s">
        <v>74</v>
      </c>
      <c r="D1144" t="s">
        <v>74</v>
      </c>
      <c r="E1144" t="s">
        <v>74</v>
      </c>
      <c r="F1144" t="s">
        <v>19291</v>
      </c>
      <c r="G1144" t="s">
        <v>74</v>
      </c>
      <c r="H1144" t="s">
        <v>74</v>
      </c>
      <c r="I1144" t="s">
        <v>19292</v>
      </c>
      <c r="J1144" t="s">
        <v>401</v>
      </c>
      <c r="K1144" t="s">
        <v>74</v>
      </c>
      <c r="L1144" t="s">
        <v>74</v>
      </c>
      <c r="M1144" t="s">
        <v>78</v>
      </c>
      <c r="N1144" t="s">
        <v>108</v>
      </c>
      <c r="O1144" t="s">
        <v>74</v>
      </c>
      <c r="P1144" t="s">
        <v>74</v>
      </c>
      <c r="Q1144" t="s">
        <v>74</v>
      </c>
      <c r="R1144" t="s">
        <v>74</v>
      </c>
      <c r="S1144" t="s">
        <v>74</v>
      </c>
      <c r="T1144" t="s">
        <v>19293</v>
      </c>
      <c r="U1144" t="s">
        <v>19294</v>
      </c>
      <c r="V1144" t="s">
        <v>19295</v>
      </c>
      <c r="W1144" t="s">
        <v>19296</v>
      </c>
      <c r="X1144" t="s">
        <v>19297</v>
      </c>
      <c r="Y1144" t="s">
        <v>19298</v>
      </c>
      <c r="Z1144" t="s">
        <v>19299</v>
      </c>
      <c r="AA1144" t="s">
        <v>74</v>
      </c>
      <c r="AB1144" t="s">
        <v>74</v>
      </c>
      <c r="AC1144" t="s">
        <v>74</v>
      </c>
      <c r="AD1144" t="s">
        <v>74</v>
      </c>
      <c r="AE1144" t="s">
        <v>74</v>
      </c>
      <c r="AF1144" t="s">
        <v>74</v>
      </c>
      <c r="AG1144">
        <v>69</v>
      </c>
      <c r="AH1144">
        <v>3</v>
      </c>
      <c r="AI1144">
        <v>3</v>
      </c>
      <c r="AJ1144">
        <v>0</v>
      </c>
      <c r="AK1144">
        <v>9</v>
      </c>
      <c r="AL1144" t="s">
        <v>409</v>
      </c>
      <c r="AM1144" t="s">
        <v>410</v>
      </c>
      <c r="AN1144" t="s">
        <v>411</v>
      </c>
      <c r="AO1144" t="s">
        <v>412</v>
      </c>
      <c r="AP1144" t="s">
        <v>74</v>
      </c>
      <c r="AQ1144" t="s">
        <v>74</v>
      </c>
      <c r="AR1144" t="s">
        <v>413</v>
      </c>
      <c r="AS1144" t="s">
        <v>414</v>
      </c>
      <c r="AT1144" t="s">
        <v>74</v>
      </c>
      <c r="AU1144">
        <v>2021</v>
      </c>
      <c r="AV1144">
        <v>15</v>
      </c>
      <c r="AW1144" t="s">
        <v>74</v>
      </c>
      <c r="AX1144" t="s">
        <v>74</v>
      </c>
      <c r="AY1144" t="s">
        <v>74</v>
      </c>
      <c r="AZ1144" t="s">
        <v>74</v>
      </c>
      <c r="BA1144" t="s">
        <v>74</v>
      </c>
      <c r="BB1144">
        <v>3580</v>
      </c>
      <c r="BC1144">
        <v>3599</v>
      </c>
      <c r="BD1144" t="s">
        <v>74</v>
      </c>
      <c r="BE1144" t="s">
        <v>74</v>
      </c>
      <c r="BF1144" t="s">
        <v>74</v>
      </c>
      <c r="BG1144" t="s">
        <v>74</v>
      </c>
      <c r="BH1144" t="s">
        <v>74</v>
      </c>
      <c r="BI1144">
        <v>20</v>
      </c>
      <c r="BJ1144" t="s">
        <v>124</v>
      </c>
      <c r="BK1144" t="s">
        <v>99</v>
      </c>
      <c r="BL1144" t="s">
        <v>124</v>
      </c>
      <c r="BM1144" t="s">
        <v>1217</v>
      </c>
      <c r="BN1144" t="s">
        <v>74</v>
      </c>
      <c r="BO1144" t="s">
        <v>74</v>
      </c>
      <c r="BP1144" t="s">
        <v>74</v>
      </c>
      <c r="BQ1144" t="s">
        <v>74</v>
      </c>
      <c r="BR1144" t="s">
        <v>102</v>
      </c>
      <c r="BS1144" t="s">
        <v>19300</v>
      </c>
      <c r="BT1144" t="str">
        <f>HYPERLINK("https%3A%2F%2Fwww.webofscience.com%2Fwos%2Fwoscc%2Ffull-record%2FWOS:000729944300074","View Full Record in Web of Science")</f>
        <v>View Full Record in Web of Science</v>
      </c>
    </row>
    <row r="1145" spans="1:72" x14ac:dyDescent="0.35">
      <c r="A1145" t="s">
        <v>72</v>
      </c>
      <c r="B1145" t="s">
        <v>19301</v>
      </c>
      <c r="C1145" t="s">
        <v>74</v>
      </c>
      <c r="D1145" t="s">
        <v>74</v>
      </c>
      <c r="E1145" t="s">
        <v>74</v>
      </c>
      <c r="F1145" t="s">
        <v>19302</v>
      </c>
      <c r="G1145" t="s">
        <v>74</v>
      </c>
      <c r="H1145" t="s">
        <v>74</v>
      </c>
      <c r="I1145" t="s">
        <v>19303</v>
      </c>
      <c r="J1145" t="s">
        <v>19304</v>
      </c>
      <c r="K1145" t="s">
        <v>74</v>
      </c>
      <c r="L1145" t="s">
        <v>74</v>
      </c>
      <c r="M1145" t="s">
        <v>78</v>
      </c>
      <c r="N1145" t="s">
        <v>79</v>
      </c>
      <c r="O1145" t="s">
        <v>74</v>
      </c>
      <c r="P1145" t="s">
        <v>74</v>
      </c>
      <c r="Q1145" t="s">
        <v>74</v>
      </c>
      <c r="R1145" t="s">
        <v>74</v>
      </c>
      <c r="S1145" t="s">
        <v>74</v>
      </c>
      <c r="T1145" t="s">
        <v>19305</v>
      </c>
      <c r="U1145" t="s">
        <v>19306</v>
      </c>
      <c r="V1145" t="s">
        <v>19307</v>
      </c>
      <c r="W1145" t="s">
        <v>19308</v>
      </c>
      <c r="X1145" t="s">
        <v>19309</v>
      </c>
      <c r="Y1145" t="s">
        <v>19310</v>
      </c>
      <c r="Z1145" t="s">
        <v>19311</v>
      </c>
      <c r="AA1145" t="s">
        <v>19312</v>
      </c>
      <c r="AB1145" t="s">
        <v>19313</v>
      </c>
      <c r="AC1145" t="s">
        <v>19314</v>
      </c>
      <c r="AD1145" t="s">
        <v>17211</v>
      </c>
      <c r="AE1145" t="s">
        <v>19315</v>
      </c>
      <c r="AF1145" t="s">
        <v>74</v>
      </c>
      <c r="AG1145">
        <v>80</v>
      </c>
      <c r="AH1145">
        <v>3</v>
      </c>
      <c r="AI1145">
        <v>3</v>
      </c>
      <c r="AJ1145">
        <v>24</v>
      </c>
      <c r="AK1145">
        <v>98</v>
      </c>
      <c r="AL1145" t="s">
        <v>88</v>
      </c>
      <c r="AM1145" t="s">
        <v>89</v>
      </c>
      <c r="AN1145" t="s">
        <v>90</v>
      </c>
      <c r="AO1145" t="s">
        <v>19316</v>
      </c>
      <c r="AP1145" t="s">
        <v>19317</v>
      </c>
      <c r="AQ1145" t="s">
        <v>74</v>
      </c>
      <c r="AR1145" t="s">
        <v>19318</v>
      </c>
      <c r="AS1145" t="s">
        <v>19319</v>
      </c>
      <c r="AT1145" t="s">
        <v>19320</v>
      </c>
      <c r="AU1145">
        <v>2023</v>
      </c>
      <c r="AV1145" t="s">
        <v>74</v>
      </c>
      <c r="AW1145" t="s">
        <v>74</v>
      </c>
      <c r="AX1145" t="s">
        <v>74</v>
      </c>
      <c r="AY1145" t="s">
        <v>74</v>
      </c>
      <c r="AZ1145" t="s">
        <v>74</v>
      </c>
      <c r="BA1145" t="s">
        <v>74</v>
      </c>
      <c r="BB1145" t="s">
        <v>74</v>
      </c>
      <c r="BC1145" t="s">
        <v>74</v>
      </c>
      <c r="BD1145" t="s">
        <v>74</v>
      </c>
      <c r="BE1145" t="s">
        <v>19321</v>
      </c>
      <c r="BF1145" t="str">
        <f>HYPERLINK("http://dx.doi.org/10.1080/17512786.2023.2199720","http://dx.doi.org/10.1080/17512786.2023.2199720")</f>
        <v>http://dx.doi.org/10.1080/17512786.2023.2199720</v>
      </c>
      <c r="BG1145" t="s">
        <v>74</v>
      </c>
      <c r="BH1145" t="s">
        <v>299</v>
      </c>
      <c r="BI1145">
        <v>25</v>
      </c>
      <c r="BJ1145" t="s">
        <v>124</v>
      </c>
      <c r="BK1145" t="s">
        <v>99</v>
      </c>
      <c r="BL1145" t="s">
        <v>124</v>
      </c>
      <c r="BM1145" t="s">
        <v>19322</v>
      </c>
      <c r="BN1145" t="s">
        <v>74</v>
      </c>
      <c r="BO1145" t="s">
        <v>74</v>
      </c>
      <c r="BP1145" t="s">
        <v>74</v>
      </c>
      <c r="BQ1145" t="s">
        <v>74</v>
      </c>
      <c r="BR1145" t="s">
        <v>102</v>
      </c>
      <c r="BS1145" t="s">
        <v>19323</v>
      </c>
      <c r="BT1145" t="str">
        <f>HYPERLINK("https%3A%2F%2Fwww.webofscience.com%2Fwos%2Fwoscc%2Ffull-record%2FWOS:000973023000001","View Full Record in Web of Science")</f>
        <v>View Full Record in Web of Science</v>
      </c>
    </row>
    <row r="1146" spans="1:72" x14ac:dyDescent="0.35">
      <c r="A1146" t="s">
        <v>72</v>
      </c>
      <c r="B1146" t="s">
        <v>19324</v>
      </c>
      <c r="C1146" t="s">
        <v>74</v>
      </c>
      <c r="D1146" t="s">
        <v>74</v>
      </c>
      <c r="E1146" t="s">
        <v>74</v>
      </c>
      <c r="F1146" t="s">
        <v>19325</v>
      </c>
      <c r="G1146" t="s">
        <v>74</v>
      </c>
      <c r="H1146" t="s">
        <v>74</v>
      </c>
      <c r="I1146" t="s">
        <v>19326</v>
      </c>
      <c r="J1146" t="s">
        <v>19327</v>
      </c>
      <c r="K1146" t="s">
        <v>74</v>
      </c>
      <c r="L1146" t="s">
        <v>74</v>
      </c>
      <c r="M1146" t="s">
        <v>78</v>
      </c>
      <c r="N1146" t="s">
        <v>19328</v>
      </c>
      <c r="O1146" t="s">
        <v>74</v>
      </c>
      <c r="P1146" t="s">
        <v>74</v>
      </c>
      <c r="Q1146" t="s">
        <v>74</v>
      </c>
      <c r="R1146" t="s">
        <v>74</v>
      </c>
      <c r="S1146" t="s">
        <v>74</v>
      </c>
      <c r="T1146" t="s">
        <v>19329</v>
      </c>
      <c r="U1146" t="s">
        <v>74</v>
      </c>
      <c r="V1146" t="s">
        <v>19330</v>
      </c>
      <c r="W1146" t="s">
        <v>19331</v>
      </c>
      <c r="X1146" t="s">
        <v>9789</v>
      </c>
      <c r="Y1146" t="s">
        <v>19332</v>
      </c>
      <c r="Z1146" t="s">
        <v>19333</v>
      </c>
      <c r="AA1146" t="s">
        <v>74</v>
      </c>
      <c r="AB1146" t="s">
        <v>74</v>
      </c>
      <c r="AC1146" t="s">
        <v>74</v>
      </c>
      <c r="AD1146" t="s">
        <v>74</v>
      </c>
      <c r="AE1146" t="s">
        <v>74</v>
      </c>
      <c r="AF1146" t="s">
        <v>74</v>
      </c>
      <c r="AG1146">
        <v>10</v>
      </c>
      <c r="AH1146">
        <v>0</v>
      </c>
      <c r="AI1146">
        <v>0</v>
      </c>
      <c r="AJ1146">
        <v>0</v>
      </c>
      <c r="AK1146">
        <v>0</v>
      </c>
      <c r="AL1146" t="s">
        <v>516</v>
      </c>
      <c r="AM1146" t="s">
        <v>517</v>
      </c>
      <c r="AN1146" t="s">
        <v>518</v>
      </c>
      <c r="AO1146" t="s">
        <v>19334</v>
      </c>
      <c r="AP1146" t="s">
        <v>74</v>
      </c>
      <c r="AQ1146" t="s">
        <v>74</v>
      </c>
      <c r="AR1146" t="s">
        <v>19335</v>
      </c>
      <c r="AS1146" t="s">
        <v>19336</v>
      </c>
      <c r="AT1146" t="s">
        <v>1275</v>
      </c>
      <c r="AU1146">
        <v>2024</v>
      </c>
      <c r="AV1146">
        <v>57</v>
      </c>
      <c r="AW1146" t="s">
        <v>74</v>
      </c>
      <c r="AX1146" t="s">
        <v>74</v>
      </c>
      <c r="AY1146" t="s">
        <v>74</v>
      </c>
      <c r="AZ1146" t="s">
        <v>74</v>
      </c>
      <c r="BA1146" t="s">
        <v>74</v>
      </c>
      <c r="BB1146" t="s">
        <v>74</v>
      </c>
      <c r="BC1146" t="s">
        <v>74</v>
      </c>
      <c r="BD1146">
        <v>111047</v>
      </c>
      <c r="BE1146" t="s">
        <v>19337</v>
      </c>
      <c r="BF1146" t="str">
        <f>HYPERLINK("http://dx.doi.org/10.1016/j.dib.2024.111047","http://dx.doi.org/10.1016/j.dib.2024.111047")</f>
        <v>http://dx.doi.org/10.1016/j.dib.2024.111047</v>
      </c>
      <c r="BG1146" t="s">
        <v>74</v>
      </c>
      <c r="BH1146" t="s">
        <v>1721</v>
      </c>
      <c r="BI1146">
        <v>8</v>
      </c>
      <c r="BJ1146" t="s">
        <v>1301</v>
      </c>
      <c r="BK1146" t="s">
        <v>125</v>
      </c>
      <c r="BL1146" t="s">
        <v>1302</v>
      </c>
      <c r="BM1146" t="s">
        <v>19338</v>
      </c>
      <c r="BN1146">
        <v>39525659</v>
      </c>
      <c r="BO1146" t="s">
        <v>74</v>
      </c>
      <c r="BP1146" t="s">
        <v>74</v>
      </c>
      <c r="BQ1146" t="s">
        <v>74</v>
      </c>
      <c r="BR1146" t="s">
        <v>102</v>
      </c>
      <c r="BS1146" t="s">
        <v>19339</v>
      </c>
      <c r="BT1146" t="str">
        <f>HYPERLINK("https%3A%2F%2Fwww.webofscience.com%2Fwos%2Fwoscc%2Ffull-record%2FWOS:001345462500001","View Full Record in Web of Science")</f>
        <v>View Full Record in Web of Science</v>
      </c>
    </row>
    <row r="1147" spans="1:72" x14ac:dyDescent="0.35">
      <c r="A1147" t="s">
        <v>72</v>
      </c>
      <c r="B1147" t="s">
        <v>19340</v>
      </c>
      <c r="C1147" t="s">
        <v>74</v>
      </c>
      <c r="D1147" t="s">
        <v>74</v>
      </c>
      <c r="E1147" t="s">
        <v>74</v>
      </c>
      <c r="F1147" t="s">
        <v>19341</v>
      </c>
      <c r="G1147" t="s">
        <v>74</v>
      </c>
      <c r="H1147" t="s">
        <v>74</v>
      </c>
      <c r="I1147" t="s">
        <v>19342</v>
      </c>
      <c r="J1147" t="s">
        <v>11516</v>
      </c>
      <c r="K1147" t="s">
        <v>74</v>
      </c>
      <c r="L1147" t="s">
        <v>74</v>
      </c>
      <c r="M1147" t="s">
        <v>78</v>
      </c>
      <c r="N1147" t="s">
        <v>108</v>
      </c>
      <c r="O1147" t="s">
        <v>74</v>
      </c>
      <c r="P1147" t="s">
        <v>74</v>
      </c>
      <c r="Q1147" t="s">
        <v>74</v>
      </c>
      <c r="R1147" t="s">
        <v>74</v>
      </c>
      <c r="S1147" t="s">
        <v>74</v>
      </c>
      <c r="T1147" t="s">
        <v>19343</v>
      </c>
      <c r="U1147" t="s">
        <v>19344</v>
      </c>
      <c r="V1147" t="s">
        <v>19345</v>
      </c>
      <c r="W1147" t="s">
        <v>19346</v>
      </c>
      <c r="X1147" t="s">
        <v>19347</v>
      </c>
      <c r="Y1147" t="s">
        <v>19348</v>
      </c>
      <c r="Z1147" t="s">
        <v>15779</v>
      </c>
      <c r="AA1147" t="s">
        <v>19349</v>
      </c>
      <c r="AB1147" t="s">
        <v>74</v>
      </c>
      <c r="AC1147" t="s">
        <v>74</v>
      </c>
      <c r="AD1147" t="s">
        <v>74</v>
      </c>
      <c r="AE1147" t="s">
        <v>74</v>
      </c>
      <c r="AF1147" t="s">
        <v>74</v>
      </c>
      <c r="AG1147">
        <v>30</v>
      </c>
      <c r="AH1147">
        <v>1</v>
      </c>
      <c r="AI1147">
        <v>1</v>
      </c>
      <c r="AJ1147">
        <v>2</v>
      </c>
      <c r="AK1147">
        <v>3</v>
      </c>
      <c r="AL1147" t="s">
        <v>171</v>
      </c>
      <c r="AM1147" t="s">
        <v>172</v>
      </c>
      <c r="AN1147" t="s">
        <v>173</v>
      </c>
      <c r="AO1147" t="s">
        <v>74</v>
      </c>
      <c r="AP1147" t="s">
        <v>11525</v>
      </c>
      <c r="AQ1147" t="s">
        <v>74</v>
      </c>
      <c r="AR1147" t="s">
        <v>11526</v>
      </c>
      <c r="AS1147" t="s">
        <v>11527</v>
      </c>
      <c r="AT1147" t="s">
        <v>178</v>
      </c>
      <c r="AU1147">
        <v>2024</v>
      </c>
      <c r="AV1147">
        <v>12</v>
      </c>
      <c r="AW1147">
        <v>2</v>
      </c>
      <c r="AX1147" t="s">
        <v>74</v>
      </c>
      <c r="AY1147" t="s">
        <v>74</v>
      </c>
      <c r="AZ1147" t="s">
        <v>74</v>
      </c>
      <c r="BA1147" t="s">
        <v>74</v>
      </c>
      <c r="BB1147" t="s">
        <v>74</v>
      </c>
      <c r="BC1147" t="s">
        <v>74</v>
      </c>
      <c r="BD1147">
        <v>2.3259671241228544E+16</v>
      </c>
      <c r="BE1147" t="s">
        <v>19350</v>
      </c>
      <c r="BF1147" t="str">
        <f>HYPERLINK("http://dx.doi.org/10.1177/23259671241228543","http://dx.doi.org/10.1177/23259671241228543")</f>
        <v>http://dx.doi.org/10.1177/23259671241228543</v>
      </c>
      <c r="BG1147" t="s">
        <v>74</v>
      </c>
      <c r="BH1147" t="s">
        <v>74</v>
      </c>
      <c r="BI1147">
        <v>7</v>
      </c>
      <c r="BJ1147" t="s">
        <v>11529</v>
      </c>
      <c r="BK1147" t="s">
        <v>209</v>
      </c>
      <c r="BL1147" t="s">
        <v>11529</v>
      </c>
      <c r="BM1147" t="s">
        <v>19351</v>
      </c>
      <c r="BN1147">
        <v>38405012</v>
      </c>
      <c r="BO1147" t="s">
        <v>235</v>
      </c>
      <c r="BP1147" t="s">
        <v>74</v>
      </c>
      <c r="BQ1147" t="s">
        <v>74</v>
      </c>
      <c r="BR1147" t="s">
        <v>102</v>
      </c>
      <c r="BS1147" t="s">
        <v>19352</v>
      </c>
      <c r="BT1147" t="str">
        <f>HYPERLINK("https%3A%2F%2Fwww.webofscience.com%2Fwos%2Fwoscc%2Ffull-record%2FWOS:001174071600001","View Full Record in Web of Science")</f>
        <v>View Full Record in Web of Science</v>
      </c>
    </row>
    <row r="1148" spans="1:72" x14ac:dyDescent="0.35">
      <c r="A1148" t="s">
        <v>72</v>
      </c>
      <c r="B1148" t="s">
        <v>19353</v>
      </c>
      <c r="C1148" t="s">
        <v>74</v>
      </c>
      <c r="D1148" t="s">
        <v>74</v>
      </c>
      <c r="E1148" t="s">
        <v>74</v>
      </c>
      <c r="F1148" t="s">
        <v>19354</v>
      </c>
      <c r="G1148" t="s">
        <v>74</v>
      </c>
      <c r="H1148" t="s">
        <v>74</v>
      </c>
      <c r="I1148" t="s">
        <v>19355</v>
      </c>
      <c r="J1148" t="s">
        <v>216</v>
      </c>
      <c r="K1148" t="s">
        <v>74</v>
      </c>
      <c r="L1148" t="s">
        <v>74</v>
      </c>
      <c r="M1148" t="s">
        <v>78</v>
      </c>
      <c r="N1148" t="s">
        <v>108</v>
      </c>
      <c r="O1148" t="s">
        <v>74</v>
      </c>
      <c r="P1148" t="s">
        <v>74</v>
      </c>
      <c r="Q1148" t="s">
        <v>74</v>
      </c>
      <c r="R1148" t="s">
        <v>74</v>
      </c>
      <c r="S1148" t="s">
        <v>74</v>
      </c>
      <c r="T1148" t="s">
        <v>19356</v>
      </c>
      <c r="U1148" t="s">
        <v>19357</v>
      </c>
      <c r="V1148" t="s">
        <v>19358</v>
      </c>
      <c r="W1148" t="s">
        <v>19359</v>
      </c>
      <c r="X1148" t="s">
        <v>19360</v>
      </c>
      <c r="Y1148" t="s">
        <v>19361</v>
      </c>
      <c r="Z1148" t="s">
        <v>16502</v>
      </c>
      <c r="AA1148" t="s">
        <v>16503</v>
      </c>
      <c r="AB1148" t="s">
        <v>19362</v>
      </c>
      <c r="AC1148" t="s">
        <v>74</v>
      </c>
      <c r="AD1148" t="s">
        <v>74</v>
      </c>
      <c r="AE1148" t="s">
        <v>74</v>
      </c>
      <c r="AF1148" t="s">
        <v>74</v>
      </c>
      <c r="AG1148">
        <v>60</v>
      </c>
      <c r="AH1148">
        <v>25</v>
      </c>
      <c r="AI1148">
        <v>25</v>
      </c>
      <c r="AJ1148">
        <v>12</v>
      </c>
      <c r="AK1148">
        <v>31</v>
      </c>
      <c r="AL1148" t="s">
        <v>226</v>
      </c>
      <c r="AM1148" t="s">
        <v>227</v>
      </c>
      <c r="AN1148" t="s">
        <v>228</v>
      </c>
      <c r="AO1148" t="s">
        <v>229</v>
      </c>
      <c r="AP1148" t="s">
        <v>74</v>
      </c>
      <c r="AQ1148" t="s">
        <v>74</v>
      </c>
      <c r="AR1148" t="s">
        <v>230</v>
      </c>
      <c r="AS1148" t="s">
        <v>231</v>
      </c>
      <c r="AT1148" t="s">
        <v>232</v>
      </c>
      <c r="AU1148">
        <v>2023</v>
      </c>
      <c r="AV1148">
        <v>9</v>
      </c>
      <c r="AW1148">
        <v>1</v>
      </c>
      <c r="AX1148" t="s">
        <v>74</v>
      </c>
      <c r="AY1148" t="s">
        <v>74</v>
      </c>
      <c r="AZ1148" t="s">
        <v>74</v>
      </c>
      <c r="BA1148" t="s">
        <v>74</v>
      </c>
      <c r="BB1148" t="s">
        <v>74</v>
      </c>
      <c r="BC1148" t="s">
        <v>74</v>
      </c>
      <c r="BD1148">
        <v>2.0563051231155104E+16</v>
      </c>
      <c r="BE1148" t="s">
        <v>19363</v>
      </c>
      <c r="BF1148" t="str">
        <f>HYPERLINK("http://dx.doi.org/10.1177/20563051231155103","http://dx.doi.org/10.1177/20563051231155103")</f>
        <v>http://dx.doi.org/10.1177/20563051231155103</v>
      </c>
      <c r="BG1148" t="s">
        <v>74</v>
      </c>
      <c r="BH1148" t="s">
        <v>74</v>
      </c>
      <c r="BI1148">
        <v>12</v>
      </c>
      <c r="BJ1148" t="s">
        <v>124</v>
      </c>
      <c r="BK1148" t="s">
        <v>99</v>
      </c>
      <c r="BL1148" t="s">
        <v>124</v>
      </c>
      <c r="BM1148" t="s">
        <v>19364</v>
      </c>
      <c r="BN1148" t="s">
        <v>74</v>
      </c>
      <c r="BO1148" t="s">
        <v>19365</v>
      </c>
      <c r="BP1148" t="s">
        <v>395</v>
      </c>
      <c r="BQ1148" t="s">
        <v>396</v>
      </c>
      <c r="BR1148" t="s">
        <v>102</v>
      </c>
      <c r="BS1148" t="s">
        <v>19366</v>
      </c>
      <c r="BT1148" t="str">
        <f>HYPERLINK("https%3A%2F%2Fwww.webofscience.com%2Fwos%2Fwoscc%2Ffull-record%2FWOS:000945410600001","View Full Record in Web of Science")</f>
        <v>View Full Record in Web of Science</v>
      </c>
    </row>
    <row r="1149" spans="1:72" x14ac:dyDescent="0.35">
      <c r="A1149" t="s">
        <v>72</v>
      </c>
      <c r="B1149" t="s">
        <v>19367</v>
      </c>
      <c r="C1149" t="s">
        <v>74</v>
      </c>
      <c r="D1149" t="s">
        <v>74</v>
      </c>
      <c r="E1149" t="s">
        <v>74</v>
      </c>
      <c r="F1149" t="s">
        <v>19368</v>
      </c>
      <c r="G1149" t="s">
        <v>74</v>
      </c>
      <c r="H1149" t="s">
        <v>74</v>
      </c>
      <c r="I1149" t="s">
        <v>19369</v>
      </c>
      <c r="J1149" t="s">
        <v>19370</v>
      </c>
      <c r="K1149" t="s">
        <v>74</v>
      </c>
      <c r="L1149" t="s">
        <v>74</v>
      </c>
      <c r="M1149" t="s">
        <v>78</v>
      </c>
      <c r="N1149" t="s">
        <v>108</v>
      </c>
      <c r="O1149" t="s">
        <v>74</v>
      </c>
      <c r="P1149" t="s">
        <v>74</v>
      </c>
      <c r="Q1149" t="s">
        <v>74</v>
      </c>
      <c r="R1149" t="s">
        <v>74</v>
      </c>
      <c r="S1149" t="s">
        <v>74</v>
      </c>
      <c r="T1149" t="s">
        <v>19371</v>
      </c>
      <c r="U1149" t="s">
        <v>19372</v>
      </c>
      <c r="V1149" t="s">
        <v>19373</v>
      </c>
      <c r="W1149" t="s">
        <v>19374</v>
      </c>
      <c r="X1149" t="s">
        <v>19375</v>
      </c>
      <c r="Y1149" t="s">
        <v>19376</v>
      </c>
      <c r="Z1149" t="s">
        <v>19377</v>
      </c>
      <c r="AA1149" t="s">
        <v>74</v>
      </c>
      <c r="AB1149" t="s">
        <v>74</v>
      </c>
      <c r="AC1149" t="s">
        <v>74</v>
      </c>
      <c r="AD1149" t="s">
        <v>74</v>
      </c>
      <c r="AE1149" t="s">
        <v>74</v>
      </c>
      <c r="AF1149" t="s">
        <v>74</v>
      </c>
      <c r="AG1149">
        <v>54</v>
      </c>
      <c r="AH1149">
        <v>0</v>
      </c>
      <c r="AI1149">
        <v>0</v>
      </c>
      <c r="AJ1149">
        <v>2</v>
      </c>
      <c r="AK1149">
        <v>2</v>
      </c>
      <c r="AL1149" t="s">
        <v>199</v>
      </c>
      <c r="AM1149" t="s">
        <v>200</v>
      </c>
      <c r="AN1149" t="s">
        <v>471</v>
      </c>
      <c r="AO1149" t="s">
        <v>19378</v>
      </c>
      <c r="AP1149" t="s">
        <v>19379</v>
      </c>
      <c r="AQ1149" t="s">
        <v>74</v>
      </c>
      <c r="AR1149" t="s">
        <v>19380</v>
      </c>
      <c r="AS1149" t="s">
        <v>19381</v>
      </c>
      <c r="AT1149" t="s">
        <v>19382</v>
      </c>
      <c r="AU1149">
        <v>2024</v>
      </c>
      <c r="AV1149">
        <v>125</v>
      </c>
      <c r="AW1149">
        <v>10</v>
      </c>
      <c r="AX1149" t="s">
        <v>74</v>
      </c>
      <c r="AY1149" t="s">
        <v>74</v>
      </c>
      <c r="AZ1149" t="s">
        <v>456</v>
      </c>
      <c r="BA1149" t="s">
        <v>74</v>
      </c>
      <c r="BB1149">
        <v>813</v>
      </c>
      <c r="BC1149">
        <v>830</v>
      </c>
      <c r="BD1149" t="s">
        <v>74</v>
      </c>
      <c r="BE1149" t="s">
        <v>19383</v>
      </c>
      <c r="BF1149" t="str">
        <f>HYPERLINK("http://dx.doi.org/10.1108/ILS-12-2023-0209","http://dx.doi.org/10.1108/ILS-12-2023-0209")</f>
        <v>http://dx.doi.org/10.1108/ILS-12-2023-0209</v>
      </c>
      <c r="BG1149" t="s">
        <v>74</v>
      </c>
      <c r="BH1149" t="s">
        <v>1467</v>
      </c>
      <c r="BI1149">
        <v>18</v>
      </c>
      <c r="BJ1149" t="s">
        <v>1162</v>
      </c>
      <c r="BK1149" t="s">
        <v>125</v>
      </c>
      <c r="BL1149" t="s">
        <v>1162</v>
      </c>
      <c r="BM1149" t="s">
        <v>19384</v>
      </c>
      <c r="BN1149" t="s">
        <v>74</v>
      </c>
      <c r="BO1149" t="s">
        <v>74</v>
      </c>
      <c r="BP1149" t="s">
        <v>74</v>
      </c>
      <c r="BQ1149" t="s">
        <v>74</v>
      </c>
      <c r="BR1149" t="s">
        <v>102</v>
      </c>
      <c r="BS1149" t="s">
        <v>19385</v>
      </c>
      <c r="BT1149" t="str">
        <f>HYPERLINK("https%3A%2F%2Fwww.webofscience.com%2Fwos%2Fwoscc%2Ffull-record%2FWOS:001228676900001","View Full Record in Web of Science")</f>
        <v>View Full Record in Web of Science</v>
      </c>
    </row>
    <row r="1150" spans="1:72" x14ac:dyDescent="0.35">
      <c r="A1150" t="s">
        <v>72</v>
      </c>
      <c r="B1150" t="s">
        <v>19386</v>
      </c>
      <c r="C1150" t="s">
        <v>74</v>
      </c>
      <c r="D1150" t="s">
        <v>74</v>
      </c>
      <c r="E1150" t="s">
        <v>74</v>
      </c>
      <c r="F1150" t="s">
        <v>19387</v>
      </c>
      <c r="G1150" t="s">
        <v>74</v>
      </c>
      <c r="H1150" t="s">
        <v>74</v>
      </c>
      <c r="I1150" t="s">
        <v>19388</v>
      </c>
      <c r="J1150" t="s">
        <v>19389</v>
      </c>
      <c r="K1150" t="s">
        <v>74</v>
      </c>
      <c r="L1150" t="s">
        <v>74</v>
      </c>
      <c r="M1150" t="s">
        <v>78</v>
      </c>
      <c r="N1150" t="s">
        <v>108</v>
      </c>
      <c r="O1150" t="s">
        <v>74</v>
      </c>
      <c r="P1150" t="s">
        <v>74</v>
      </c>
      <c r="Q1150" t="s">
        <v>74</v>
      </c>
      <c r="R1150" t="s">
        <v>74</v>
      </c>
      <c r="S1150" t="s">
        <v>74</v>
      </c>
      <c r="T1150" t="s">
        <v>19390</v>
      </c>
      <c r="U1150" t="s">
        <v>19391</v>
      </c>
      <c r="V1150" t="s">
        <v>19392</v>
      </c>
      <c r="W1150" t="s">
        <v>19393</v>
      </c>
      <c r="X1150" t="s">
        <v>19394</v>
      </c>
      <c r="Y1150" t="s">
        <v>19395</v>
      </c>
      <c r="Z1150" t="s">
        <v>19396</v>
      </c>
      <c r="AA1150" t="s">
        <v>19397</v>
      </c>
      <c r="AB1150" t="s">
        <v>19398</v>
      </c>
      <c r="AC1150" t="s">
        <v>74</v>
      </c>
      <c r="AD1150" t="s">
        <v>74</v>
      </c>
      <c r="AE1150" t="s">
        <v>74</v>
      </c>
      <c r="AF1150" t="s">
        <v>74</v>
      </c>
      <c r="AG1150">
        <v>56</v>
      </c>
      <c r="AH1150">
        <v>1</v>
      </c>
      <c r="AI1150">
        <v>1</v>
      </c>
      <c r="AJ1150">
        <v>0</v>
      </c>
      <c r="AK1150">
        <v>4</v>
      </c>
      <c r="AL1150" t="s">
        <v>1901</v>
      </c>
      <c r="AM1150" t="s">
        <v>995</v>
      </c>
      <c r="AN1150" t="s">
        <v>1902</v>
      </c>
      <c r="AO1150" t="s">
        <v>19399</v>
      </c>
      <c r="AP1150" t="s">
        <v>19400</v>
      </c>
      <c r="AQ1150" t="s">
        <v>74</v>
      </c>
      <c r="AR1150" t="s">
        <v>19401</v>
      </c>
      <c r="AS1150" t="s">
        <v>19402</v>
      </c>
      <c r="AT1150" t="s">
        <v>18579</v>
      </c>
      <c r="AU1150">
        <v>2023</v>
      </c>
      <c r="AV1150">
        <v>34</v>
      </c>
      <c r="AW1150">
        <v>2</v>
      </c>
      <c r="AX1150" t="s">
        <v>74</v>
      </c>
      <c r="AY1150" t="s">
        <v>74</v>
      </c>
      <c r="AZ1150" t="s">
        <v>74</v>
      </c>
      <c r="BA1150" t="s">
        <v>74</v>
      </c>
      <c r="BB1150">
        <v>564</v>
      </c>
      <c r="BC1150">
        <v>570</v>
      </c>
      <c r="BD1150" t="s">
        <v>74</v>
      </c>
      <c r="BE1150" t="s">
        <v>19403</v>
      </c>
      <c r="BF1150" t="str">
        <f>HYPERLINK("http://dx.doi.org/10.1097/SCS.0000000000009106","http://dx.doi.org/10.1097/SCS.0000000000009106")</f>
        <v>http://dx.doi.org/10.1097/SCS.0000000000009106</v>
      </c>
      <c r="BG1150" t="s">
        <v>74</v>
      </c>
      <c r="BH1150" t="s">
        <v>74</v>
      </c>
      <c r="BI1150">
        <v>7</v>
      </c>
      <c r="BJ1150" t="s">
        <v>4994</v>
      </c>
      <c r="BK1150" t="s">
        <v>209</v>
      </c>
      <c r="BL1150" t="s">
        <v>4994</v>
      </c>
      <c r="BM1150" t="s">
        <v>19404</v>
      </c>
      <c r="BN1150">
        <v>36730871</v>
      </c>
      <c r="BO1150" t="s">
        <v>74</v>
      </c>
      <c r="BP1150" t="s">
        <v>74</v>
      </c>
      <c r="BQ1150" t="s">
        <v>74</v>
      </c>
      <c r="BR1150" t="s">
        <v>102</v>
      </c>
      <c r="BS1150" t="s">
        <v>19405</v>
      </c>
      <c r="BT1150" t="str">
        <f>HYPERLINK("https%3A%2F%2Fwww.webofscience.com%2Fwos%2Fwoscc%2Ffull-record%2FWOS:000971283000062","View Full Record in Web of Science")</f>
        <v>View Full Record in Web of Science</v>
      </c>
    </row>
    <row r="1151" spans="1:72" x14ac:dyDescent="0.35">
      <c r="A1151" t="s">
        <v>72</v>
      </c>
      <c r="B1151" t="s">
        <v>19406</v>
      </c>
      <c r="C1151" t="s">
        <v>74</v>
      </c>
      <c r="D1151" t="s">
        <v>74</v>
      </c>
      <c r="E1151" t="s">
        <v>74</v>
      </c>
      <c r="F1151" t="s">
        <v>19407</v>
      </c>
      <c r="G1151" t="s">
        <v>74</v>
      </c>
      <c r="H1151" t="s">
        <v>74</v>
      </c>
      <c r="I1151" t="s">
        <v>19408</v>
      </c>
      <c r="J1151" t="s">
        <v>438</v>
      </c>
      <c r="K1151" t="s">
        <v>74</v>
      </c>
      <c r="L1151" t="s">
        <v>74</v>
      </c>
      <c r="M1151" t="s">
        <v>78</v>
      </c>
      <c r="N1151" t="s">
        <v>79</v>
      </c>
      <c r="O1151" t="s">
        <v>74</v>
      </c>
      <c r="P1151" t="s">
        <v>74</v>
      </c>
      <c r="Q1151" t="s">
        <v>74</v>
      </c>
      <c r="R1151" t="s">
        <v>74</v>
      </c>
      <c r="S1151" t="s">
        <v>74</v>
      </c>
      <c r="T1151" t="s">
        <v>19409</v>
      </c>
      <c r="U1151" t="s">
        <v>19410</v>
      </c>
      <c r="V1151" t="s">
        <v>19411</v>
      </c>
      <c r="W1151" t="s">
        <v>19412</v>
      </c>
      <c r="X1151" t="s">
        <v>19413</v>
      </c>
      <c r="Y1151" t="s">
        <v>19414</v>
      </c>
      <c r="Z1151" t="s">
        <v>19415</v>
      </c>
      <c r="AA1151" t="s">
        <v>19416</v>
      </c>
      <c r="AB1151" t="s">
        <v>19417</v>
      </c>
      <c r="AC1151" t="s">
        <v>74</v>
      </c>
      <c r="AD1151" t="s">
        <v>74</v>
      </c>
      <c r="AE1151" t="s">
        <v>74</v>
      </c>
      <c r="AF1151" t="s">
        <v>74</v>
      </c>
      <c r="AG1151">
        <v>63</v>
      </c>
      <c r="AH1151">
        <v>0</v>
      </c>
      <c r="AI1151">
        <v>0</v>
      </c>
      <c r="AJ1151">
        <v>3</v>
      </c>
      <c r="AK1151">
        <v>7</v>
      </c>
      <c r="AL1151" t="s">
        <v>226</v>
      </c>
      <c r="AM1151" t="s">
        <v>227</v>
      </c>
      <c r="AN1151" t="s">
        <v>228</v>
      </c>
      <c r="AO1151" t="s">
        <v>451</v>
      </c>
      <c r="AP1151" t="s">
        <v>452</v>
      </c>
      <c r="AQ1151" t="s">
        <v>74</v>
      </c>
      <c r="AR1151" t="s">
        <v>453</v>
      </c>
      <c r="AS1151" t="s">
        <v>454</v>
      </c>
      <c r="AT1151" t="s">
        <v>19418</v>
      </c>
      <c r="AU1151">
        <v>2024</v>
      </c>
      <c r="AV1151" t="s">
        <v>74</v>
      </c>
      <c r="AW1151" t="s">
        <v>74</v>
      </c>
      <c r="AX1151" t="s">
        <v>74</v>
      </c>
      <c r="AY1151" t="s">
        <v>74</v>
      </c>
      <c r="AZ1151" t="s">
        <v>74</v>
      </c>
      <c r="BA1151" t="s">
        <v>74</v>
      </c>
      <c r="BB1151" t="s">
        <v>74</v>
      </c>
      <c r="BC1151" t="s">
        <v>74</v>
      </c>
      <c r="BD1151" t="s">
        <v>74</v>
      </c>
      <c r="BE1151" t="s">
        <v>19419</v>
      </c>
      <c r="BF1151" t="str">
        <f>HYPERLINK("http://dx.doi.org/10.1177/14614448241243096","http://dx.doi.org/10.1177/14614448241243096")</f>
        <v>http://dx.doi.org/10.1177/14614448241243096</v>
      </c>
      <c r="BG1151" t="s">
        <v>74</v>
      </c>
      <c r="BH1151" t="s">
        <v>2410</v>
      </c>
      <c r="BI1151">
        <v>32</v>
      </c>
      <c r="BJ1151" t="s">
        <v>124</v>
      </c>
      <c r="BK1151" t="s">
        <v>99</v>
      </c>
      <c r="BL1151" t="s">
        <v>124</v>
      </c>
      <c r="BM1151" t="s">
        <v>19420</v>
      </c>
      <c r="BN1151" t="s">
        <v>74</v>
      </c>
      <c r="BO1151" t="s">
        <v>156</v>
      </c>
      <c r="BP1151" t="s">
        <v>74</v>
      </c>
      <c r="BQ1151" t="s">
        <v>74</v>
      </c>
      <c r="BR1151" t="s">
        <v>102</v>
      </c>
      <c r="BS1151" t="s">
        <v>19421</v>
      </c>
      <c r="BT1151" t="str">
        <f>HYPERLINK("https%3A%2F%2Fwww.webofscience.com%2Fwos%2Fwoscc%2Ffull-record%2FWOS:001203779800001","View Full Record in Web of Science")</f>
        <v>View Full Record in Web of Science</v>
      </c>
    </row>
    <row r="1152" spans="1:72" x14ac:dyDescent="0.35">
      <c r="A1152" t="s">
        <v>72</v>
      </c>
      <c r="B1152" t="s">
        <v>19422</v>
      </c>
      <c r="C1152" t="s">
        <v>74</v>
      </c>
      <c r="D1152" t="s">
        <v>74</v>
      </c>
      <c r="E1152" t="s">
        <v>74</v>
      </c>
      <c r="F1152" t="s">
        <v>19423</v>
      </c>
      <c r="G1152" t="s">
        <v>74</v>
      </c>
      <c r="H1152" t="s">
        <v>74</v>
      </c>
      <c r="I1152" t="s">
        <v>19424</v>
      </c>
      <c r="J1152" t="s">
        <v>19425</v>
      </c>
      <c r="K1152" t="s">
        <v>74</v>
      </c>
      <c r="L1152" t="s">
        <v>74</v>
      </c>
      <c r="M1152" t="s">
        <v>78</v>
      </c>
      <c r="N1152" t="s">
        <v>79</v>
      </c>
      <c r="O1152" t="s">
        <v>74</v>
      </c>
      <c r="P1152" t="s">
        <v>74</v>
      </c>
      <c r="Q1152" t="s">
        <v>74</v>
      </c>
      <c r="R1152" t="s">
        <v>74</v>
      </c>
      <c r="S1152" t="s">
        <v>74</v>
      </c>
      <c r="T1152" t="s">
        <v>19426</v>
      </c>
      <c r="U1152" t="s">
        <v>74</v>
      </c>
      <c r="V1152" t="s">
        <v>19427</v>
      </c>
      <c r="W1152" t="s">
        <v>19428</v>
      </c>
      <c r="X1152" t="s">
        <v>19429</v>
      </c>
      <c r="Y1152" t="s">
        <v>19430</v>
      </c>
      <c r="Z1152" t="s">
        <v>19431</v>
      </c>
      <c r="AA1152" t="s">
        <v>10700</v>
      </c>
      <c r="AB1152" t="s">
        <v>74</v>
      </c>
      <c r="AC1152" t="s">
        <v>74</v>
      </c>
      <c r="AD1152" t="s">
        <v>74</v>
      </c>
      <c r="AE1152" t="s">
        <v>74</v>
      </c>
      <c r="AF1152" t="s">
        <v>74</v>
      </c>
      <c r="AG1152">
        <v>63</v>
      </c>
      <c r="AH1152">
        <v>1</v>
      </c>
      <c r="AI1152">
        <v>1</v>
      </c>
      <c r="AJ1152">
        <v>5</v>
      </c>
      <c r="AK1152">
        <v>9</v>
      </c>
      <c r="AL1152" t="s">
        <v>171</v>
      </c>
      <c r="AM1152" t="s">
        <v>172</v>
      </c>
      <c r="AN1152" t="s">
        <v>173</v>
      </c>
      <c r="AO1152" t="s">
        <v>19432</v>
      </c>
      <c r="AP1152" t="s">
        <v>19433</v>
      </c>
      <c r="AQ1152" t="s">
        <v>74</v>
      </c>
      <c r="AR1152" t="s">
        <v>19434</v>
      </c>
      <c r="AS1152" t="s">
        <v>19435</v>
      </c>
      <c r="AT1152" t="s">
        <v>19436</v>
      </c>
      <c r="AU1152">
        <v>2024</v>
      </c>
      <c r="AV1152" t="s">
        <v>74</v>
      </c>
      <c r="AW1152" t="s">
        <v>74</v>
      </c>
      <c r="AX1152" t="s">
        <v>74</v>
      </c>
      <c r="AY1152" t="s">
        <v>74</v>
      </c>
      <c r="AZ1152" t="s">
        <v>74</v>
      </c>
      <c r="BA1152" t="s">
        <v>74</v>
      </c>
      <c r="BB1152" t="s">
        <v>74</v>
      </c>
      <c r="BC1152" t="s">
        <v>74</v>
      </c>
      <c r="BD1152" t="s">
        <v>74</v>
      </c>
      <c r="BE1152" t="s">
        <v>19437</v>
      </c>
      <c r="BF1152" t="str">
        <f>HYPERLINK("http://dx.doi.org/10.1177/21674795241232404","http://dx.doi.org/10.1177/21674795241232404")</f>
        <v>http://dx.doi.org/10.1177/21674795241232404</v>
      </c>
      <c r="BG1152" t="s">
        <v>74</v>
      </c>
      <c r="BH1152" t="s">
        <v>786</v>
      </c>
      <c r="BI1152">
        <v>19</v>
      </c>
      <c r="BJ1152" t="s">
        <v>19438</v>
      </c>
      <c r="BK1152" t="s">
        <v>99</v>
      </c>
      <c r="BL1152" t="s">
        <v>18917</v>
      </c>
      <c r="BM1152" t="s">
        <v>19439</v>
      </c>
      <c r="BN1152" t="s">
        <v>74</v>
      </c>
      <c r="BO1152" t="s">
        <v>74</v>
      </c>
      <c r="BP1152" t="s">
        <v>74</v>
      </c>
      <c r="BQ1152" t="s">
        <v>74</v>
      </c>
      <c r="BR1152" t="s">
        <v>102</v>
      </c>
      <c r="BS1152" t="s">
        <v>19440</v>
      </c>
      <c r="BT1152" t="str">
        <f>HYPERLINK("https%3A%2F%2Fwww.webofscience.com%2Fwos%2Fwoscc%2Ffull-record%2FWOS:001157833100001","View Full Record in Web of Science")</f>
        <v>View Full Record in Web of Science</v>
      </c>
    </row>
    <row r="1153" spans="1:72" x14ac:dyDescent="0.35">
      <c r="A1153" t="s">
        <v>72</v>
      </c>
      <c r="B1153" t="s">
        <v>19441</v>
      </c>
      <c r="C1153" t="s">
        <v>74</v>
      </c>
      <c r="D1153" t="s">
        <v>74</v>
      </c>
      <c r="E1153" t="s">
        <v>74</v>
      </c>
      <c r="F1153" t="s">
        <v>19442</v>
      </c>
      <c r="G1153" t="s">
        <v>74</v>
      </c>
      <c r="H1153" t="s">
        <v>74</v>
      </c>
      <c r="I1153" t="s">
        <v>19443</v>
      </c>
      <c r="J1153" t="s">
        <v>19444</v>
      </c>
      <c r="K1153" t="s">
        <v>74</v>
      </c>
      <c r="L1153" t="s">
        <v>74</v>
      </c>
      <c r="M1153" t="s">
        <v>78</v>
      </c>
      <c r="N1153" t="s">
        <v>108</v>
      </c>
      <c r="O1153" t="s">
        <v>74</v>
      </c>
      <c r="P1153" t="s">
        <v>74</v>
      </c>
      <c r="Q1153" t="s">
        <v>74</v>
      </c>
      <c r="R1153" t="s">
        <v>74</v>
      </c>
      <c r="S1153" t="s">
        <v>74</v>
      </c>
      <c r="T1153" t="s">
        <v>19445</v>
      </c>
      <c r="U1153" t="s">
        <v>19446</v>
      </c>
      <c r="V1153" t="s">
        <v>19447</v>
      </c>
      <c r="W1153" t="s">
        <v>19448</v>
      </c>
      <c r="X1153" t="s">
        <v>19449</v>
      </c>
      <c r="Y1153" t="s">
        <v>19450</v>
      </c>
      <c r="Z1153" t="s">
        <v>19451</v>
      </c>
      <c r="AA1153" t="s">
        <v>19452</v>
      </c>
      <c r="AB1153" t="s">
        <v>19453</v>
      </c>
      <c r="AC1153" t="s">
        <v>74</v>
      </c>
      <c r="AD1153" t="s">
        <v>74</v>
      </c>
      <c r="AE1153" t="s">
        <v>74</v>
      </c>
      <c r="AF1153" t="s">
        <v>74</v>
      </c>
      <c r="AG1153">
        <v>86</v>
      </c>
      <c r="AH1153">
        <v>3</v>
      </c>
      <c r="AI1153">
        <v>3</v>
      </c>
      <c r="AJ1153">
        <v>3</v>
      </c>
      <c r="AK1153">
        <v>17</v>
      </c>
      <c r="AL1153" t="s">
        <v>88</v>
      </c>
      <c r="AM1153" t="s">
        <v>89</v>
      </c>
      <c r="AN1153" t="s">
        <v>90</v>
      </c>
      <c r="AO1153" t="s">
        <v>19454</v>
      </c>
      <c r="AP1153" t="s">
        <v>19455</v>
      </c>
      <c r="AQ1153" t="s">
        <v>74</v>
      </c>
      <c r="AR1153" t="s">
        <v>19456</v>
      </c>
      <c r="AS1153" t="s">
        <v>19457</v>
      </c>
      <c r="AT1153" t="s">
        <v>7454</v>
      </c>
      <c r="AU1153">
        <v>2024</v>
      </c>
      <c r="AV1153">
        <v>21</v>
      </c>
      <c r="AW1153">
        <v>4</v>
      </c>
      <c r="AX1153" t="s">
        <v>74</v>
      </c>
      <c r="AY1153" t="s">
        <v>74</v>
      </c>
      <c r="AZ1153" t="s">
        <v>74</v>
      </c>
      <c r="BA1153" t="s">
        <v>74</v>
      </c>
      <c r="BB1153">
        <v>293</v>
      </c>
      <c r="BC1153">
        <v>314</v>
      </c>
      <c r="BD1153" t="s">
        <v>74</v>
      </c>
      <c r="BE1153" t="s">
        <v>19458</v>
      </c>
      <c r="BF1153" t="str">
        <f>HYPERLINK("http://dx.doi.org/10.1080/16522354.2023.2207160","http://dx.doi.org/10.1080/16522354.2023.2207160")</f>
        <v>http://dx.doi.org/10.1080/16522354.2023.2207160</v>
      </c>
      <c r="BG1153" t="s">
        <v>74</v>
      </c>
      <c r="BH1153" t="s">
        <v>1180</v>
      </c>
      <c r="BI1153">
        <v>22</v>
      </c>
      <c r="BJ1153" t="s">
        <v>1597</v>
      </c>
      <c r="BK1153" t="s">
        <v>125</v>
      </c>
      <c r="BL1153" t="s">
        <v>480</v>
      </c>
      <c r="BM1153" t="s">
        <v>19459</v>
      </c>
      <c r="BN1153" t="s">
        <v>74</v>
      </c>
      <c r="BO1153" t="s">
        <v>156</v>
      </c>
      <c r="BP1153" t="s">
        <v>74</v>
      </c>
      <c r="BQ1153" t="s">
        <v>74</v>
      </c>
      <c r="BR1153" t="s">
        <v>102</v>
      </c>
      <c r="BS1153" t="s">
        <v>19460</v>
      </c>
      <c r="BT1153" t="str">
        <f>HYPERLINK("https%3A%2F%2Fwww.webofscience.com%2Fwos%2Fwoscc%2Ffull-record%2FWOS:001022674000001","View Full Record in Web of Science")</f>
        <v>View Full Record in Web of Science</v>
      </c>
    </row>
    <row r="1154" spans="1:72" x14ac:dyDescent="0.35">
      <c r="A1154" t="s">
        <v>72</v>
      </c>
      <c r="B1154" t="s">
        <v>19461</v>
      </c>
      <c r="C1154" t="s">
        <v>74</v>
      </c>
      <c r="D1154" t="s">
        <v>74</v>
      </c>
      <c r="E1154" t="s">
        <v>74</v>
      </c>
      <c r="F1154" t="s">
        <v>19462</v>
      </c>
      <c r="G1154" t="s">
        <v>74</v>
      </c>
      <c r="H1154" t="s">
        <v>74</v>
      </c>
      <c r="I1154" t="s">
        <v>19463</v>
      </c>
      <c r="J1154" t="s">
        <v>4112</v>
      </c>
      <c r="K1154" t="s">
        <v>74</v>
      </c>
      <c r="L1154" t="s">
        <v>74</v>
      </c>
      <c r="M1154" t="s">
        <v>78</v>
      </c>
      <c r="N1154" t="s">
        <v>108</v>
      </c>
      <c r="O1154" t="s">
        <v>74</v>
      </c>
      <c r="P1154" t="s">
        <v>74</v>
      </c>
      <c r="Q1154" t="s">
        <v>74</v>
      </c>
      <c r="R1154" t="s">
        <v>74</v>
      </c>
      <c r="S1154" t="s">
        <v>74</v>
      </c>
      <c r="T1154" t="s">
        <v>19464</v>
      </c>
      <c r="U1154" t="s">
        <v>74</v>
      </c>
      <c r="V1154" t="s">
        <v>19465</v>
      </c>
      <c r="W1154" t="s">
        <v>19466</v>
      </c>
      <c r="X1154" t="s">
        <v>19467</v>
      </c>
      <c r="Y1154" t="s">
        <v>19468</v>
      </c>
      <c r="Z1154" t="s">
        <v>19469</v>
      </c>
      <c r="AA1154" t="s">
        <v>19470</v>
      </c>
      <c r="AB1154" t="s">
        <v>19471</v>
      </c>
      <c r="AC1154" t="s">
        <v>19472</v>
      </c>
      <c r="AD1154" t="s">
        <v>19472</v>
      </c>
      <c r="AE1154" t="s">
        <v>19473</v>
      </c>
      <c r="AF1154" t="s">
        <v>74</v>
      </c>
      <c r="AG1154">
        <v>32</v>
      </c>
      <c r="AH1154">
        <v>7</v>
      </c>
      <c r="AI1154">
        <v>9</v>
      </c>
      <c r="AJ1154">
        <v>4</v>
      </c>
      <c r="AK1154">
        <v>8</v>
      </c>
      <c r="AL1154" t="s">
        <v>543</v>
      </c>
      <c r="AM1154" t="s">
        <v>544</v>
      </c>
      <c r="AN1154" t="s">
        <v>545</v>
      </c>
      <c r="AO1154" t="s">
        <v>74</v>
      </c>
      <c r="AP1154" t="s">
        <v>4124</v>
      </c>
      <c r="AQ1154" t="s">
        <v>74</v>
      </c>
      <c r="AR1154" t="s">
        <v>4125</v>
      </c>
      <c r="AS1154" t="s">
        <v>4126</v>
      </c>
      <c r="AT1154" t="s">
        <v>8762</v>
      </c>
      <c r="AU1154">
        <v>2022</v>
      </c>
      <c r="AV1154">
        <v>2</v>
      </c>
      <c r="AW1154">
        <v>2</v>
      </c>
      <c r="AX1154" t="s">
        <v>74</v>
      </c>
      <c r="AY1154" t="s">
        <v>74</v>
      </c>
      <c r="AZ1154" t="s">
        <v>74</v>
      </c>
      <c r="BA1154" t="s">
        <v>74</v>
      </c>
      <c r="BB1154" t="s">
        <v>74</v>
      </c>
      <c r="BC1154" t="s">
        <v>74</v>
      </c>
      <c r="BD1154" t="s">
        <v>19474</v>
      </c>
      <c r="BE1154" t="s">
        <v>19475</v>
      </c>
      <c r="BF1154" t="str">
        <f>HYPERLINK("http://dx.doi.org/10.2196/38316","http://dx.doi.org/10.2196/38316")</f>
        <v>http://dx.doi.org/10.2196/38316</v>
      </c>
      <c r="BG1154" t="s">
        <v>74</v>
      </c>
      <c r="BH1154" t="s">
        <v>74</v>
      </c>
      <c r="BI1154">
        <v>9</v>
      </c>
      <c r="BJ1154" t="s">
        <v>4129</v>
      </c>
      <c r="BK1154" t="s">
        <v>125</v>
      </c>
      <c r="BL1154" t="s">
        <v>4129</v>
      </c>
      <c r="BM1154" t="s">
        <v>19476</v>
      </c>
      <c r="BN1154">
        <v>36338548</v>
      </c>
      <c r="BO1154" t="s">
        <v>552</v>
      </c>
      <c r="BP1154" t="s">
        <v>74</v>
      </c>
      <c r="BQ1154" t="s">
        <v>74</v>
      </c>
      <c r="BR1154" t="s">
        <v>102</v>
      </c>
      <c r="BS1154" t="s">
        <v>19477</v>
      </c>
      <c r="BT1154" t="str">
        <f>HYPERLINK("https%3A%2F%2Fwww.webofscience.com%2Fwos%2Fwoscc%2Ffull-record%2FWOS:001126820700029","View Full Record in Web of Science")</f>
        <v>View Full Record in Web of Science</v>
      </c>
    </row>
    <row r="1155" spans="1:72" x14ac:dyDescent="0.35">
      <c r="A1155" t="s">
        <v>72</v>
      </c>
      <c r="B1155" t="s">
        <v>19478</v>
      </c>
      <c r="C1155" t="s">
        <v>74</v>
      </c>
      <c r="D1155" t="s">
        <v>74</v>
      </c>
      <c r="E1155" t="s">
        <v>74</v>
      </c>
      <c r="F1155" t="s">
        <v>19479</v>
      </c>
      <c r="G1155" t="s">
        <v>74</v>
      </c>
      <c r="H1155" t="s">
        <v>74</v>
      </c>
      <c r="I1155" t="s">
        <v>19480</v>
      </c>
      <c r="J1155" t="s">
        <v>19481</v>
      </c>
      <c r="K1155" t="s">
        <v>74</v>
      </c>
      <c r="L1155" t="s">
        <v>74</v>
      </c>
      <c r="M1155" t="s">
        <v>78</v>
      </c>
      <c r="N1155" t="s">
        <v>108</v>
      </c>
      <c r="O1155" t="s">
        <v>74</v>
      </c>
      <c r="P1155" t="s">
        <v>74</v>
      </c>
      <c r="Q1155" t="s">
        <v>74</v>
      </c>
      <c r="R1155" t="s">
        <v>74</v>
      </c>
      <c r="S1155" t="s">
        <v>74</v>
      </c>
      <c r="T1155" t="s">
        <v>19482</v>
      </c>
      <c r="U1155" t="s">
        <v>19483</v>
      </c>
      <c r="V1155" t="s">
        <v>19484</v>
      </c>
      <c r="W1155" t="s">
        <v>19485</v>
      </c>
      <c r="X1155" t="s">
        <v>19486</v>
      </c>
      <c r="Y1155" t="s">
        <v>19487</v>
      </c>
      <c r="Z1155" t="s">
        <v>19488</v>
      </c>
      <c r="AA1155" t="s">
        <v>74</v>
      </c>
      <c r="AB1155" t="s">
        <v>74</v>
      </c>
      <c r="AC1155" t="s">
        <v>74</v>
      </c>
      <c r="AD1155" t="s">
        <v>74</v>
      </c>
      <c r="AE1155" t="s">
        <v>74</v>
      </c>
      <c r="AF1155" t="s">
        <v>74</v>
      </c>
      <c r="AG1155">
        <v>58</v>
      </c>
      <c r="AH1155">
        <v>0</v>
      </c>
      <c r="AI1155">
        <v>0</v>
      </c>
      <c r="AJ1155">
        <v>9</v>
      </c>
      <c r="AK1155">
        <v>14</v>
      </c>
      <c r="AL1155" t="s">
        <v>9792</v>
      </c>
      <c r="AM1155" t="s">
        <v>517</v>
      </c>
      <c r="AN1155" t="s">
        <v>9793</v>
      </c>
      <c r="AO1155" t="s">
        <v>19489</v>
      </c>
      <c r="AP1155" t="s">
        <v>19490</v>
      </c>
      <c r="AQ1155" t="s">
        <v>74</v>
      </c>
      <c r="AR1155" t="s">
        <v>19491</v>
      </c>
      <c r="AS1155" t="s">
        <v>19492</v>
      </c>
      <c r="AT1155" t="s">
        <v>19493</v>
      </c>
      <c r="AU1155">
        <v>2024</v>
      </c>
      <c r="AV1155">
        <v>10</v>
      </c>
      <c r="AW1155">
        <v>1</v>
      </c>
      <c r="AX1155" t="s">
        <v>74</v>
      </c>
      <c r="AY1155" t="s">
        <v>74</v>
      </c>
      <c r="AZ1155" t="s">
        <v>74</v>
      </c>
      <c r="BA1155" t="s">
        <v>74</v>
      </c>
      <c r="BB1155">
        <v>6</v>
      </c>
      <c r="BC1155">
        <v>27</v>
      </c>
      <c r="BD1155" t="s">
        <v>74</v>
      </c>
      <c r="BE1155" t="s">
        <v>19494</v>
      </c>
      <c r="BF1155" t="str">
        <f>HYPERLINK("http://dx.doi.org/10.1075/ttmc.00124.tom","http://dx.doi.org/10.1075/ttmc.00124.tom")</f>
        <v>http://dx.doi.org/10.1075/ttmc.00124.tom</v>
      </c>
      <c r="BG1155" t="s">
        <v>74</v>
      </c>
      <c r="BH1155" t="s">
        <v>74</v>
      </c>
      <c r="BI1155">
        <v>22</v>
      </c>
      <c r="BJ1155" t="s">
        <v>7934</v>
      </c>
      <c r="BK1155" t="s">
        <v>125</v>
      </c>
      <c r="BL1155" t="s">
        <v>7935</v>
      </c>
      <c r="BM1155" t="s">
        <v>19495</v>
      </c>
      <c r="BN1155" t="s">
        <v>74</v>
      </c>
      <c r="BO1155" t="s">
        <v>74</v>
      </c>
      <c r="BP1155" t="s">
        <v>74</v>
      </c>
      <c r="BQ1155" t="s">
        <v>74</v>
      </c>
      <c r="BR1155" t="s">
        <v>102</v>
      </c>
      <c r="BS1155" t="s">
        <v>19496</v>
      </c>
      <c r="BT1155" t="str">
        <f>HYPERLINK("https%3A%2F%2Fwww.webofscience.com%2Fwos%2Fwoscc%2Ffull-record%2FWOS:001162586300001","View Full Record in Web of Science")</f>
        <v>View Full Record in Web of Science</v>
      </c>
    </row>
    <row r="1156" spans="1:72" x14ac:dyDescent="0.35">
      <c r="A1156" t="s">
        <v>72</v>
      </c>
      <c r="B1156" t="s">
        <v>19497</v>
      </c>
      <c r="C1156" t="s">
        <v>74</v>
      </c>
      <c r="D1156" t="s">
        <v>74</v>
      </c>
      <c r="E1156" t="s">
        <v>74</v>
      </c>
      <c r="F1156" t="s">
        <v>19498</v>
      </c>
      <c r="G1156" t="s">
        <v>74</v>
      </c>
      <c r="H1156" t="s">
        <v>74</v>
      </c>
      <c r="I1156" t="s">
        <v>19499</v>
      </c>
      <c r="J1156" t="s">
        <v>19500</v>
      </c>
      <c r="K1156" t="s">
        <v>74</v>
      </c>
      <c r="L1156" t="s">
        <v>74</v>
      </c>
      <c r="M1156" t="s">
        <v>78</v>
      </c>
      <c r="N1156" t="s">
        <v>108</v>
      </c>
      <c r="O1156" t="s">
        <v>74</v>
      </c>
      <c r="P1156" t="s">
        <v>74</v>
      </c>
      <c r="Q1156" t="s">
        <v>74</v>
      </c>
      <c r="R1156" t="s">
        <v>74</v>
      </c>
      <c r="S1156" t="s">
        <v>74</v>
      </c>
      <c r="T1156" t="s">
        <v>19501</v>
      </c>
      <c r="U1156" t="s">
        <v>19502</v>
      </c>
      <c r="V1156" t="s">
        <v>19503</v>
      </c>
      <c r="W1156" t="s">
        <v>19504</v>
      </c>
      <c r="X1156" t="s">
        <v>19505</v>
      </c>
      <c r="Y1156" t="s">
        <v>19506</v>
      </c>
      <c r="Z1156" t="s">
        <v>19507</v>
      </c>
      <c r="AA1156" t="s">
        <v>19508</v>
      </c>
      <c r="AB1156" t="s">
        <v>74</v>
      </c>
      <c r="AC1156" t="s">
        <v>19509</v>
      </c>
      <c r="AD1156" t="s">
        <v>19510</v>
      </c>
      <c r="AE1156" t="s">
        <v>19511</v>
      </c>
      <c r="AF1156" t="s">
        <v>74</v>
      </c>
      <c r="AG1156">
        <v>81</v>
      </c>
      <c r="AH1156">
        <v>0</v>
      </c>
      <c r="AI1156">
        <v>0</v>
      </c>
      <c r="AJ1156">
        <v>81</v>
      </c>
      <c r="AK1156">
        <v>81</v>
      </c>
      <c r="AL1156" t="s">
        <v>1965</v>
      </c>
      <c r="AM1156" t="s">
        <v>666</v>
      </c>
      <c r="AN1156" t="s">
        <v>1966</v>
      </c>
      <c r="AO1156" t="s">
        <v>19512</v>
      </c>
      <c r="AP1156" t="s">
        <v>19513</v>
      </c>
      <c r="AQ1156" t="s">
        <v>74</v>
      </c>
      <c r="AR1156" t="s">
        <v>19514</v>
      </c>
      <c r="AS1156" t="s">
        <v>19515</v>
      </c>
      <c r="AT1156" t="s">
        <v>594</v>
      </c>
      <c r="AU1156">
        <v>2024</v>
      </c>
      <c r="AV1156">
        <v>183</v>
      </c>
      <c r="AW1156" t="s">
        <v>74</v>
      </c>
      <c r="AX1156" t="s">
        <v>74</v>
      </c>
      <c r="AY1156" t="s">
        <v>74</v>
      </c>
      <c r="AZ1156" t="s">
        <v>74</v>
      </c>
      <c r="BA1156" t="s">
        <v>74</v>
      </c>
      <c r="BB1156" t="s">
        <v>74</v>
      </c>
      <c r="BC1156" t="s">
        <v>74</v>
      </c>
      <c r="BD1156">
        <v>114874</v>
      </c>
      <c r="BE1156" t="s">
        <v>19516</v>
      </c>
      <c r="BF1156" t="str">
        <f>HYPERLINK("http://dx.doi.org/10.1016/j.jbusres.2024.114874","http://dx.doi.org/10.1016/j.jbusres.2024.114874")</f>
        <v>http://dx.doi.org/10.1016/j.jbusres.2024.114874</v>
      </c>
      <c r="BG1156" t="s">
        <v>74</v>
      </c>
      <c r="BH1156" t="s">
        <v>2444</v>
      </c>
      <c r="BI1156">
        <v>12</v>
      </c>
      <c r="BJ1156" t="s">
        <v>1597</v>
      </c>
      <c r="BK1156" t="s">
        <v>99</v>
      </c>
      <c r="BL1156" t="s">
        <v>480</v>
      </c>
      <c r="BM1156" t="s">
        <v>19517</v>
      </c>
      <c r="BN1156" t="s">
        <v>74</v>
      </c>
      <c r="BO1156" t="s">
        <v>74</v>
      </c>
      <c r="BP1156" t="s">
        <v>74</v>
      </c>
      <c r="BQ1156" t="s">
        <v>74</v>
      </c>
      <c r="BR1156" t="s">
        <v>102</v>
      </c>
      <c r="BS1156" t="s">
        <v>19518</v>
      </c>
      <c r="BT1156" t="str">
        <f>HYPERLINK("https%3A%2F%2Fwww.webofscience.com%2Fwos%2Fwoscc%2Ffull-record%2FWOS:001288717600001","View Full Record in Web of Science")</f>
        <v>View Full Record in Web of Science</v>
      </c>
    </row>
    <row r="1157" spans="1:72" x14ac:dyDescent="0.35">
      <c r="A1157" t="s">
        <v>72</v>
      </c>
      <c r="B1157" t="s">
        <v>19519</v>
      </c>
      <c r="C1157" t="s">
        <v>74</v>
      </c>
      <c r="D1157" t="s">
        <v>74</v>
      </c>
      <c r="E1157" t="s">
        <v>74</v>
      </c>
      <c r="F1157" t="s">
        <v>19520</v>
      </c>
      <c r="G1157" t="s">
        <v>74</v>
      </c>
      <c r="H1157" t="s">
        <v>74</v>
      </c>
      <c r="I1157" t="s">
        <v>19521</v>
      </c>
      <c r="J1157" t="s">
        <v>8768</v>
      </c>
      <c r="K1157" t="s">
        <v>74</v>
      </c>
      <c r="L1157" t="s">
        <v>74</v>
      </c>
      <c r="M1157" t="s">
        <v>8769</v>
      </c>
      <c r="N1157" t="s">
        <v>108</v>
      </c>
      <c r="O1157" t="s">
        <v>74</v>
      </c>
      <c r="P1157" t="s">
        <v>74</v>
      </c>
      <c r="Q1157" t="s">
        <v>74</v>
      </c>
      <c r="R1157" t="s">
        <v>74</v>
      </c>
      <c r="S1157" t="s">
        <v>74</v>
      </c>
      <c r="T1157" t="s">
        <v>19522</v>
      </c>
      <c r="U1157" t="s">
        <v>74</v>
      </c>
      <c r="V1157" t="s">
        <v>19523</v>
      </c>
      <c r="W1157" t="s">
        <v>19524</v>
      </c>
      <c r="X1157" t="s">
        <v>19525</v>
      </c>
      <c r="Y1157" t="s">
        <v>19526</v>
      </c>
      <c r="Z1157" t="s">
        <v>19527</v>
      </c>
      <c r="AA1157" t="s">
        <v>12779</v>
      </c>
      <c r="AB1157" t="s">
        <v>74</v>
      </c>
      <c r="AC1157" t="s">
        <v>74</v>
      </c>
      <c r="AD1157" t="s">
        <v>74</v>
      </c>
      <c r="AE1157" t="s">
        <v>74</v>
      </c>
      <c r="AF1157" t="s">
        <v>74</v>
      </c>
      <c r="AG1157">
        <v>9</v>
      </c>
      <c r="AH1157">
        <v>0</v>
      </c>
      <c r="AI1157">
        <v>0</v>
      </c>
      <c r="AJ1157">
        <v>1</v>
      </c>
      <c r="AK1157">
        <v>1</v>
      </c>
      <c r="AL1157" t="s">
        <v>8773</v>
      </c>
      <c r="AM1157" t="s">
        <v>8774</v>
      </c>
      <c r="AN1157" t="s">
        <v>8775</v>
      </c>
      <c r="AO1157" t="s">
        <v>8776</v>
      </c>
      <c r="AP1157" t="s">
        <v>74</v>
      </c>
      <c r="AQ1157" t="s">
        <v>74</v>
      </c>
      <c r="AR1157" t="s">
        <v>8777</v>
      </c>
      <c r="AS1157" t="s">
        <v>8778</v>
      </c>
      <c r="AT1157" t="s">
        <v>74</v>
      </c>
      <c r="AU1157">
        <v>2024</v>
      </c>
      <c r="AV1157" t="s">
        <v>74</v>
      </c>
      <c r="AW1157" t="s">
        <v>74</v>
      </c>
      <c r="AX1157" t="s">
        <v>74</v>
      </c>
      <c r="AY1157" t="s">
        <v>74</v>
      </c>
      <c r="AZ1157" t="s">
        <v>456</v>
      </c>
      <c r="BA1157" t="s">
        <v>74</v>
      </c>
      <c r="BB1157" t="s">
        <v>74</v>
      </c>
      <c r="BC1157" t="s">
        <v>74</v>
      </c>
      <c r="BD1157" t="s">
        <v>74</v>
      </c>
      <c r="BE1157" t="s">
        <v>74</v>
      </c>
      <c r="BF1157" t="s">
        <v>74</v>
      </c>
      <c r="BG1157" t="s">
        <v>74</v>
      </c>
      <c r="BH1157" t="s">
        <v>74</v>
      </c>
      <c r="BI1157">
        <v>197</v>
      </c>
      <c r="BJ1157" t="s">
        <v>2124</v>
      </c>
      <c r="BK1157" t="s">
        <v>125</v>
      </c>
      <c r="BL1157" t="s">
        <v>2124</v>
      </c>
      <c r="BM1157" t="s">
        <v>8779</v>
      </c>
      <c r="BN1157" t="s">
        <v>74</v>
      </c>
      <c r="BO1157" t="s">
        <v>74</v>
      </c>
      <c r="BP1157" t="s">
        <v>74</v>
      </c>
      <c r="BQ1157" t="s">
        <v>74</v>
      </c>
      <c r="BR1157" t="s">
        <v>102</v>
      </c>
      <c r="BS1157" t="s">
        <v>19528</v>
      </c>
      <c r="BT1157" t="str">
        <f>HYPERLINK("https%3A%2F%2Fwww.webofscience.com%2Fwos%2Fwoscc%2Ffull-record%2FWOS:001336390400003","View Full Record in Web of Science")</f>
        <v>View Full Record in Web of Science</v>
      </c>
    </row>
    <row r="1158" spans="1:72" x14ac:dyDescent="0.35">
      <c r="A1158" t="s">
        <v>72</v>
      </c>
      <c r="B1158" t="s">
        <v>19529</v>
      </c>
      <c r="C1158" t="s">
        <v>74</v>
      </c>
      <c r="D1158" t="s">
        <v>74</v>
      </c>
      <c r="E1158" t="s">
        <v>74</v>
      </c>
      <c r="F1158" t="s">
        <v>19530</v>
      </c>
      <c r="G1158" t="s">
        <v>74</v>
      </c>
      <c r="H1158" t="s">
        <v>74</v>
      </c>
      <c r="I1158" t="s">
        <v>19531</v>
      </c>
      <c r="J1158" t="s">
        <v>3329</v>
      </c>
      <c r="K1158" t="s">
        <v>74</v>
      </c>
      <c r="L1158" t="s">
        <v>74</v>
      </c>
      <c r="M1158" t="s">
        <v>78</v>
      </c>
      <c r="N1158" t="s">
        <v>79</v>
      </c>
      <c r="O1158" t="s">
        <v>74</v>
      </c>
      <c r="P1158" t="s">
        <v>74</v>
      </c>
      <c r="Q1158" t="s">
        <v>74</v>
      </c>
      <c r="R1158" t="s">
        <v>74</v>
      </c>
      <c r="S1158" t="s">
        <v>74</v>
      </c>
      <c r="T1158" t="s">
        <v>19532</v>
      </c>
      <c r="U1158" t="s">
        <v>19533</v>
      </c>
      <c r="V1158" t="s">
        <v>19534</v>
      </c>
      <c r="W1158" t="s">
        <v>19535</v>
      </c>
      <c r="X1158" t="s">
        <v>19536</v>
      </c>
      <c r="Y1158" t="s">
        <v>19537</v>
      </c>
      <c r="Z1158" t="s">
        <v>19538</v>
      </c>
      <c r="AA1158" t="s">
        <v>19539</v>
      </c>
      <c r="AB1158" t="s">
        <v>19540</v>
      </c>
      <c r="AC1158" t="s">
        <v>19541</v>
      </c>
      <c r="AD1158" t="s">
        <v>19542</v>
      </c>
      <c r="AE1158" t="s">
        <v>19543</v>
      </c>
      <c r="AF1158" t="s">
        <v>74</v>
      </c>
      <c r="AG1158">
        <v>92</v>
      </c>
      <c r="AH1158">
        <v>0</v>
      </c>
      <c r="AI1158">
        <v>0</v>
      </c>
      <c r="AJ1158">
        <v>1</v>
      </c>
      <c r="AK1158">
        <v>1</v>
      </c>
      <c r="AL1158" t="s">
        <v>171</v>
      </c>
      <c r="AM1158" t="s">
        <v>172</v>
      </c>
      <c r="AN1158" t="s">
        <v>173</v>
      </c>
      <c r="AO1158" t="s">
        <v>3336</v>
      </c>
      <c r="AP1158" t="s">
        <v>3337</v>
      </c>
      <c r="AQ1158" t="s">
        <v>74</v>
      </c>
      <c r="AR1158" t="s">
        <v>3338</v>
      </c>
      <c r="AS1158" t="s">
        <v>3339</v>
      </c>
      <c r="AT1158" t="s">
        <v>4548</v>
      </c>
      <c r="AU1158">
        <v>2024</v>
      </c>
      <c r="AV1158" t="s">
        <v>74</v>
      </c>
      <c r="AW1158" t="s">
        <v>74</v>
      </c>
      <c r="AX1158" t="s">
        <v>74</v>
      </c>
      <c r="AY1158" t="s">
        <v>74</v>
      </c>
      <c r="AZ1158" t="s">
        <v>74</v>
      </c>
      <c r="BA1158" t="s">
        <v>74</v>
      </c>
      <c r="BB1158" t="s">
        <v>74</v>
      </c>
      <c r="BC1158" t="s">
        <v>74</v>
      </c>
      <c r="BD1158" t="s">
        <v>74</v>
      </c>
      <c r="BE1158" t="s">
        <v>19544</v>
      </c>
      <c r="BF1158" t="str">
        <f>HYPERLINK("http://dx.doi.org/10.1177/13678779241276751","http://dx.doi.org/10.1177/13678779241276751")</f>
        <v>http://dx.doi.org/10.1177/13678779241276751</v>
      </c>
      <c r="BG1158" t="s">
        <v>74</v>
      </c>
      <c r="BH1158" t="s">
        <v>337</v>
      </c>
      <c r="BI1158">
        <v>20</v>
      </c>
      <c r="BJ1158" t="s">
        <v>2124</v>
      </c>
      <c r="BK1158" t="s">
        <v>2125</v>
      </c>
      <c r="BL1158" t="s">
        <v>2124</v>
      </c>
      <c r="BM1158" t="s">
        <v>19545</v>
      </c>
      <c r="BN1158" t="s">
        <v>74</v>
      </c>
      <c r="BO1158" t="s">
        <v>74</v>
      </c>
      <c r="BP1158" t="s">
        <v>74</v>
      </c>
      <c r="BQ1158" t="s">
        <v>74</v>
      </c>
      <c r="BR1158" t="s">
        <v>102</v>
      </c>
      <c r="BS1158" t="s">
        <v>19546</v>
      </c>
      <c r="BT1158" t="str">
        <f>HYPERLINK("https%3A%2F%2Fwww.webofscience.com%2Fwos%2Fwoscc%2Ffull-record%2FWOS:001313228600001","View Full Record in Web of Science")</f>
        <v>View Full Record in Web of Science</v>
      </c>
    </row>
    <row r="1159" spans="1:72" x14ac:dyDescent="0.35">
      <c r="A1159" t="s">
        <v>72</v>
      </c>
      <c r="B1159" t="s">
        <v>19547</v>
      </c>
      <c r="C1159" t="s">
        <v>74</v>
      </c>
      <c r="D1159" t="s">
        <v>74</v>
      </c>
      <c r="E1159" t="s">
        <v>74</v>
      </c>
      <c r="F1159" t="s">
        <v>19548</v>
      </c>
      <c r="G1159" t="s">
        <v>74</v>
      </c>
      <c r="H1159" t="s">
        <v>74</v>
      </c>
      <c r="I1159" t="s">
        <v>19549</v>
      </c>
      <c r="J1159" t="s">
        <v>3144</v>
      </c>
      <c r="K1159" t="s">
        <v>74</v>
      </c>
      <c r="L1159" t="s">
        <v>74</v>
      </c>
      <c r="M1159" t="s">
        <v>78</v>
      </c>
      <c r="N1159" t="s">
        <v>1328</v>
      </c>
      <c r="O1159" t="s">
        <v>74</v>
      </c>
      <c r="P1159" t="s">
        <v>74</v>
      </c>
      <c r="Q1159" t="s">
        <v>74</v>
      </c>
      <c r="R1159" t="s">
        <v>74</v>
      </c>
      <c r="S1159" t="s">
        <v>74</v>
      </c>
      <c r="T1159" t="s">
        <v>19550</v>
      </c>
      <c r="U1159" t="s">
        <v>74</v>
      </c>
      <c r="V1159" t="s">
        <v>74</v>
      </c>
      <c r="W1159" t="s">
        <v>19551</v>
      </c>
      <c r="X1159" t="s">
        <v>19552</v>
      </c>
      <c r="Y1159" t="s">
        <v>9239</v>
      </c>
      <c r="Z1159" t="s">
        <v>3149</v>
      </c>
      <c r="AA1159" t="s">
        <v>74</v>
      </c>
      <c r="AB1159" t="s">
        <v>74</v>
      </c>
      <c r="AC1159" t="s">
        <v>74</v>
      </c>
      <c r="AD1159" t="s">
        <v>74</v>
      </c>
      <c r="AE1159" t="s">
        <v>74</v>
      </c>
      <c r="AF1159" t="s">
        <v>74</v>
      </c>
      <c r="AG1159">
        <v>5</v>
      </c>
      <c r="AH1159">
        <v>0</v>
      </c>
      <c r="AI1159">
        <v>0</v>
      </c>
      <c r="AJ1159">
        <v>0</v>
      </c>
      <c r="AK1159">
        <v>2</v>
      </c>
      <c r="AL1159" t="s">
        <v>171</v>
      </c>
      <c r="AM1159" t="s">
        <v>172</v>
      </c>
      <c r="AN1159" t="s">
        <v>173</v>
      </c>
      <c r="AO1159" t="s">
        <v>3152</v>
      </c>
      <c r="AP1159" t="s">
        <v>3153</v>
      </c>
      <c r="AQ1159" t="s">
        <v>74</v>
      </c>
      <c r="AR1159" t="s">
        <v>3154</v>
      </c>
      <c r="AS1159" t="s">
        <v>3155</v>
      </c>
      <c r="AT1159" t="s">
        <v>232</v>
      </c>
      <c r="AU1159">
        <v>2024</v>
      </c>
      <c r="AV1159">
        <v>28</v>
      </c>
      <c r="AW1159">
        <v>1</v>
      </c>
      <c r="AX1159" t="s">
        <v>74</v>
      </c>
      <c r="AY1159" t="s">
        <v>74</v>
      </c>
      <c r="AZ1159" t="s">
        <v>74</v>
      </c>
      <c r="BA1159" t="s">
        <v>74</v>
      </c>
      <c r="BB1159">
        <v>92</v>
      </c>
      <c r="BC1159">
        <v>94</v>
      </c>
      <c r="BD1159" t="s">
        <v>74</v>
      </c>
      <c r="BE1159" t="s">
        <v>19553</v>
      </c>
      <c r="BF1159" t="str">
        <f>HYPERLINK("http://dx.doi.org/10.1177/12034754231220930","http://dx.doi.org/10.1177/12034754231220930")</f>
        <v>http://dx.doi.org/10.1177/12034754231220930</v>
      </c>
      <c r="BG1159" t="s">
        <v>74</v>
      </c>
      <c r="BH1159" t="s">
        <v>1377</v>
      </c>
      <c r="BI1159">
        <v>3</v>
      </c>
      <c r="BJ1159" t="s">
        <v>1341</v>
      </c>
      <c r="BK1159" t="s">
        <v>209</v>
      </c>
      <c r="BL1159" t="s">
        <v>1341</v>
      </c>
      <c r="BM1159" t="s">
        <v>19554</v>
      </c>
      <c r="BN1159">
        <v>38189266</v>
      </c>
      <c r="BO1159" t="s">
        <v>74</v>
      </c>
      <c r="BP1159" t="s">
        <v>74</v>
      </c>
      <c r="BQ1159" t="s">
        <v>74</v>
      </c>
      <c r="BR1159" t="s">
        <v>102</v>
      </c>
      <c r="BS1159" t="s">
        <v>19555</v>
      </c>
      <c r="BT1159" t="str">
        <f>HYPERLINK("https%3A%2F%2Fwww.webofscience.com%2Fwos%2Fwoscc%2Ffull-record%2FWOS:001138807100001","View Full Record in Web of Science")</f>
        <v>View Full Record in Web of Science</v>
      </c>
    </row>
    <row r="1160" spans="1:72" x14ac:dyDescent="0.35">
      <c r="A1160" t="s">
        <v>72</v>
      </c>
      <c r="B1160" t="s">
        <v>19556</v>
      </c>
      <c r="C1160" t="s">
        <v>74</v>
      </c>
      <c r="D1160" t="s">
        <v>74</v>
      </c>
      <c r="E1160" t="s">
        <v>74</v>
      </c>
      <c r="F1160" t="s">
        <v>19557</v>
      </c>
      <c r="G1160" t="s">
        <v>74</v>
      </c>
      <c r="H1160" t="s">
        <v>74</v>
      </c>
      <c r="I1160" t="s">
        <v>19558</v>
      </c>
      <c r="J1160" t="s">
        <v>19559</v>
      </c>
      <c r="K1160" t="s">
        <v>74</v>
      </c>
      <c r="L1160" t="s">
        <v>74</v>
      </c>
      <c r="M1160" t="s">
        <v>78</v>
      </c>
      <c r="N1160" t="s">
        <v>108</v>
      </c>
      <c r="O1160" t="s">
        <v>74</v>
      </c>
      <c r="P1160" t="s">
        <v>74</v>
      </c>
      <c r="Q1160" t="s">
        <v>74</v>
      </c>
      <c r="R1160" t="s">
        <v>74</v>
      </c>
      <c r="S1160" t="s">
        <v>74</v>
      </c>
      <c r="T1160" t="s">
        <v>19560</v>
      </c>
      <c r="U1160" t="s">
        <v>74</v>
      </c>
      <c r="V1160" t="s">
        <v>19561</v>
      </c>
      <c r="W1160" t="s">
        <v>19562</v>
      </c>
      <c r="X1160" t="s">
        <v>19563</v>
      </c>
      <c r="Y1160" t="s">
        <v>19564</v>
      </c>
      <c r="Z1160" t="s">
        <v>19565</v>
      </c>
      <c r="AA1160" t="s">
        <v>74</v>
      </c>
      <c r="AB1160" t="s">
        <v>74</v>
      </c>
      <c r="AC1160" t="s">
        <v>19566</v>
      </c>
      <c r="AD1160" t="s">
        <v>19566</v>
      </c>
      <c r="AE1160" t="s">
        <v>19567</v>
      </c>
      <c r="AF1160" t="s">
        <v>74</v>
      </c>
      <c r="AG1160">
        <v>43</v>
      </c>
      <c r="AH1160">
        <v>0</v>
      </c>
      <c r="AI1160">
        <v>0</v>
      </c>
      <c r="AJ1160">
        <v>14</v>
      </c>
      <c r="AK1160">
        <v>19</v>
      </c>
      <c r="AL1160" t="s">
        <v>251</v>
      </c>
      <c r="AM1160" t="s">
        <v>252</v>
      </c>
      <c r="AN1160" t="s">
        <v>253</v>
      </c>
      <c r="AO1160" t="s">
        <v>19568</v>
      </c>
      <c r="AP1160" t="s">
        <v>19569</v>
      </c>
      <c r="AQ1160" t="s">
        <v>74</v>
      </c>
      <c r="AR1160" t="s">
        <v>19570</v>
      </c>
      <c r="AS1160" t="s">
        <v>19571</v>
      </c>
      <c r="AT1160" t="s">
        <v>257</v>
      </c>
      <c r="AU1160">
        <v>2024</v>
      </c>
      <c r="AV1160">
        <v>40</v>
      </c>
      <c r="AW1160">
        <v>3</v>
      </c>
      <c r="AX1160" t="s">
        <v>74</v>
      </c>
      <c r="AY1160" t="s">
        <v>74</v>
      </c>
      <c r="AZ1160" t="s">
        <v>74</v>
      </c>
      <c r="BA1160" t="s">
        <v>74</v>
      </c>
      <c r="BB1160">
        <v>1154</v>
      </c>
      <c r="BC1160">
        <v>1165</v>
      </c>
      <c r="BD1160" t="s">
        <v>74</v>
      </c>
      <c r="BE1160" t="s">
        <v>19572</v>
      </c>
      <c r="BF1160" t="str">
        <f>HYPERLINK("http://dx.doi.org/10.1111/jcal.12943","http://dx.doi.org/10.1111/jcal.12943")</f>
        <v>http://dx.doi.org/10.1111/jcal.12943</v>
      </c>
      <c r="BG1160" t="s">
        <v>74</v>
      </c>
      <c r="BH1160" t="s">
        <v>1377</v>
      </c>
      <c r="BI1160">
        <v>12</v>
      </c>
      <c r="BJ1160" t="s">
        <v>787</v>
      </c>
      <c r="BK1160" t="s">
        <v>99</v>
      </c>
      <c r="BL1160" t="s">
        <v>787</v>
      </c>
      <c r="BM1160" t="s">
        <v>19573</v>
      </c>
      <c r="BN1160" t="s">
        <v>74</v>
      </c>
      <c r="BO1160" t="s">
        <v>74</v>
      </c>
      <c r="BP1160" t="s">
        <v>74</v>
      </c>
      <c r="BQ1160" t="s">
        <v>74</v>
      </c>
      <c r="BR1160" t="s">
        <v>102</v>
      </c>
      <c r="BS1160" t="s">
        <v>19574</v>
      </c>
      <c r="BT1160" t="str">
        <f>HYPERLINK("https%3A%2F%2Fwww.webofscience.com%2Fwos%2Fwoscc%2Ffull-record%2FWOS:001142794600001","View Full Record in Web of Science")</f>
        <v>View Full Record in Web of Science</v>
      </c>
    </row>
    <row r="1161" spans="1:72" x14ac:dyDescent="0.35">
      <c r="A1161" t="s">
        <v>72</v>
      </c>
      <c r="B1161" t="s">
        <v>19575</v>
      </c>
      <c r="C1161" t="s">
        <v>74</v>
      </c>
      <c r="D1161" t="s">
        <v>74</v>
      </c>
      <c r="E1161" t="s">
        <v>74</v>
      </c>
      <c r="F1161" t="s">
        <v>19576</v>
      </c>
      <c r="G1161" t="s">
        <v>74</v>
      </c>
      <c r="H1161" t="s">
        <v>74</v>
      </c>
      <c r="I1161" t="s">
        <v>19577</v>
      </c>
      <c r="J1161" t="s">
        <v>10612</v>
      </c>
      <c r="K1161" t="s">
        <v>74</v>
      </c>
      <c r="L1161" t="s">
        <v>74</v>
      </c>
      <c r="M1161" t="s">
        <v>78</v>
      </c>
      <c r="N1161" t="s">
        <v>108</v>
      </c>
      <c r="O1161" t="s">
        <v>74</v>
      </c>
      <c r="P1161" t="s">
        <v>74</v>
      </c>
      <c r="Q1161" t="s">
        <v>74</v>
      </c>
      <c r="R1161" t="s">
        <v>74</v>
      </c>
      <c r="S1161" t="s">
        <v>74</v>
      </c>
      <c r="T1161" t="s">
        <v>74</v>
      </c>
      <c r="U1161" t="s">
        <v>19578</v>
      </c>
      <c r="V1161" t="s">
        <v>19579</v>
      </c>
      <c r="W1161" t="s">
        <v>19580</v>
      </c>
      <c r="X1161" t="s">
        <v>19581</v>
      </c>
      <c r="Y1161" t="s">
        <v>19582</v>
      </c>
      <c r="Z1161" t="s">
        <v>19583</v>
      </c>
      <c r="AA1161" t="s">
        <v>74</v>
      </c>
      <c r="AB1161" t="s">
        <v>74</v>
      </c>
      <c r="AC1161" t="s">
        <v>74</v>
      </c>
      <c r="AD1161" t="s">
        <v>74</v>
      </c>
      <c r="AE1161" t="s">
        <v>74</v>
      </c>
      <c r="AF1161" t="s">
        <v>74</v>
      </c>
      <c r="AG1161">
        <v>35</v>
      </c>
      <c r="AH1161">
        <v>18</v>
      </c>
      <c r="AI1161">
        <v>18</v>
      </c>
      <c r="AJ1161">
        <v>0</v>
      </c>
      <c r="AK1161">
        <v>5</v>
      </c>
      <c r="AL1161" t="s">
        <v>1901</v>
      </c>
      <c r="AM1161" t="s">
        <v>995</v>
      </c>
      <c r="AN1161" t="s">
        <v>1902</v>
      </c>
      <c r="AO1161" t="s">
        <v>10620</v>
      </c>
      <c r="AP1161" t="s">
        <v>74</v>
      </c>
      <c r="AQ1161" t="s">
        <v>74</v>
      </c>
      <c r="AR1161" t="s">
        <v>10621</v>
      </c>
      <c r="AS1161" t="s">
        <v>10622</v>
      </c>
      <c r="AT1161" t="s">
        <v>273</v>
      </c>
      <c r="AU1161">
        <v>2022</v>
      </c>
      <c r="AV1161">
        <v>10</v>
      </c>
      <c r="AW1161">
        <v>7</v>
      </c>
      <c r="AX1161" t="s">
        <v>74</v>
      </c>
      <c r="AY1161" t="s">
        <v>74</v>
      </c>
      <c r="AZ1161" t="s">
        <v>74</v>
      </c>
      <c r="BA1161" t="s">
        <v>74</v>
      </c>
      <c r="BB1161" t="s">
        <v>74</v>
      </c>
      <c r="BC1161" t="s">
        <v>74</v>
      </c>
      <c r="BD1161" t="s">
        <v>19584</v>
      </c>
      <c r="BE1161" t="s">
        <v>19585</v>
      </c>
      <c r="BF1161" t="str">
        <f>HYPERLINK("http://dx.doi.org/10.1097/GOX.0000000000004443","http://dx.doi.org/10.1097/GOX.0000000000004443")</f>
        <v>http://dx.doi.org/10.1097/GOX.0000000000004443</v>
      </c>
      <c r="BG1161" t="s">
        <v>74</v>
      </c>
      <c r="BH1161" t="s">
        <v>74</v>
      </c>
      <c r="BI1161">
        <v>7</v>
      </c>
      <c r="BJ1161" t="s">
        <v>4994</v>
      </c>
      <c r="BK1161" t="s">
        <v>125</v>
      </c>
      <c r="BL1161" t="s">
        <v>4994</v>
      </c>
      <c r="BM1161" t="s">
        <v>19586</v>
      </c>
      <c r="BN1161">
        <v>35924001</v>
      </c>
      <c r="BO1161" t="s">
        <v>552</v>
      </c>
      <c r="BP1161" t="s">
        <v>74</v>
      </c>
      <c r="BQ1161" t="s">
        <v>74</v>
      </c>
      <c r="BR1161" t="s">
        <v>102</v>
      </c>
      <c r="BS1161" t="s">
        <v>19587</v>
      </c>
      <c r="BT1161" t="str">
        <f>HYPERLINK("https%3A%2F%2Fwww.webofscience.com%2Fwos%2Fwoscc%2Ffull-record%2FWOS:000830673800002","View Full Record in Web of Science")</f>
        <v>View Full Record in Web of Science</v>
      </c>
    </row>
    <row r="1162" spans="1:72" x14ac:dyDescent="0.35">
      <c r="A1162" t="s">
        <v>72</v>
      </c>
      <c r="B1162" t="s">
        <v>19588</v>
      </c>
      <c r="C1162" t="s">
        <v>74</v>
      </c>
      <c r="D1162" t="s">
        <v>74</v>
      </c>
      <c r="E1162" t="s">
        <v>74</v>
      </c>
      <c r="F1162" t="s">
        <v>19589</v>
      </c>
      <c r="G1162" t="s">
        <v>74</v>
      </c>
      <c r="H1162" t="s">
        <v>74</v>
      </c>
      <c r="I1162" t="s">
        <v>19590</v>
      </c>
      <c r="J1162" t="s">
        <v>8249</v>
      </c>
      <c r="K1162" t="s">
        <v>74</v>
      </c>
      <c r="L1162" t="s">
        <v>74</v>
      </c>
      <c r="M1162" t="s">
        <v>3503</v>
      </c>
      <c r="N1162" t="s">
        <v>108</v>
      </c>
      <c r="O1162" t="s">
        <v>74</v>
      </c>
      <c r="P1162" t="s">
        <v>74</v>
      </c>
      <c r="Q1162" t="s">
        <v>74</v>
      </c>
      <c r="R1162" t="s">
        <v>74</v>
      </c>
      <c r="S1162" t="s">
        <v>74</v>
      </c>
      <c r="T1162" t="s">
        <v>19591</v>
      </c>
      <c r="U1162" t="s">
        <v>74</v>
      </c>
      <c r="V1162" t="s">
        <v>19592</v>
      </c>
      <c r="W1162" t="s">
        <v>19593</v>
      </c>
      <c r="X1162" t="s">
        <v>9809</v>
      </c>
      <c r="Y1162" t="s">
        <v>19594</v>
      </c>
      <c r="Z1162" t="s">
        <v>19595</v>
      </c>
      <c r="AA1162" t="s">
        <v>74</v>
      </c>
      <c r="AB1162" t="s">
        <v>74</v>
      </c>
      <c r="AC1162" t="s">
        <v>74</v>
      </c>
      <c r="AD1162" t="s">
        <v>74</v>
      </c>
      <c r="AE1162" t="s">
        <v>74</v>
      </c>
      <c r="AF1162" t="s">
        <v>74</v>
      </c>
      <c r="AG1162">
        <v>48</v>
      </c>
      <c r="AH1162">
        <v>0</v>
      </c>
      <c r="AI1162">
        <v>0</v>
      </c>
      <c r="AJ1162">
        <v>15</v>
      </c>
      <c r="AK1162">
        <v>15</v>
      </c>
      <c r="AL1162" t="s">
        <v>8256</v>
      </c>
      <c r="AM1162" t="s">
        <v>8257</v>
      </c>
      <c r="AN1162" t="s">
        <v>8258</v>
      </c>
      <c r="AO1162" t="s">
        <v>8259</v>
      </c>
      <c r="AP1162" t="s">
        <v>74</v>
      </c>
      <c r="AQ1162" t="s">
        <v>74</v>
      </c>
      <c r="AR1162" t="s">
        <v>8260</v>
      </c>
      <c r="AS1162" t="s">
        <v>8261</v>
      </c>
      <c r="AT1162" t="s">
        <v>74</v>
      </c>
      <c r="AU1162">
        <v>2025</v>
      </c>
      <c r="AV1162">
        <v>83</v>
      </c>
      <c r="AW1162" t="s">
        <v>74</v>
      </c>
      <c r="AX1162" t="s">
        <v>74</v>
      </c>
      <c r="AY1162" t="s">
        <v>74</v>
      </c>
      <c r="AZ1162" t="s">
        <v>74</v>
      </c>
      <c r="BA1162" t="s">
        <v>74</v>
      </c>
      <c r="BB1162" t="s">
        <v>74</v>
      </c>
      <c r="BC1162" t="s">
        <v>74</v>
      </c>
      <c r="BD1162" t="s">
        <v>74</v>
      </c>
      <c r="BE1162" t="s">
        <v>19596</v>
      </c>
      <c r="BF1162" t="str">
        <f>HYPERLINK("http://dx.doi.org/10.4185/rlcs-2025-2323","http://dx.doi.org/10.4185/rlcs-2025-2323")</f>
        <v>http://dx.doi.org/10.4185/rlcs-2025-2323</v>
      </c>
      <c r="BG1162" t="s">
        <v>74</v>
      </c>
      <c r="BH1162" t="s">
        <v>74</v>
      </c>
      <c r="BI1162">
        <v>23</v>
      </c>
      <c r="BJ1162" t="s">
        <v>124</v>
      </c>
      <c r="BK1162" t="s">
        <v>125</v>
      </c>
      <c r="BL1162" t="s">
        <v>124</v>
      </c>
      <c r="BM1162" t="s">
        <v>19597</v>
      </c>
      <c r="BN1162" t="s">
        <v>74</v>
      </c>
      <c r="BO1162" t="s">
        <v>235</v>
      </c>
      <c r="BP1162" t="s">
        <v>74</v>
      </c>
      <c r="BQ1162" t="s">
        <v>74</v>
      </c>
      <c r="BR1162" t="s">
        <v>102</v>
      </c>
      <c r="BS1162" t="s">
        <v>19598</v>
      </c>
      <c r="BT1162" t="str">
        <f>HYPERLINK("https%3A%2F%2Fwww.webofscience.com%2Fwos%2Fwoscc%2Ffull-record%2FWOS:001257553200001","View Full Record in Web of Science")</f>
        <v>View Full Record in Web of Science</v>
      </c>
    </row>
    <row r="1163" spans="1:72" x14ac:dyDescent="0.35">
      <c r="A1163" t="s">
        <v>72</v>
      </c>
      <c r="B1163" t="s">
        <v>19599</v>
      </c>
      <c r="C1163" t="s">
        <v>74</v>
      </c>
      <c r="D1163" t="s">
        <v>74</v>
      </c>
      <c r="E1163" t="s">
        <v>74</v>
      </c>
      <c r="F1163" t="s">
        <v>19600</v>
      </c>
      <c r="G1163" t="s">
        <v>74</v>
      </c>
      <c r="H1163" t="s">
        <v>74</v>
      </c>
      <c r="I1163" t="s">
        <v>19601</v>
      </c>
      <c r="J1163" t="s">
        <v>19602</v>
      </c>
      <c r="K1163" t="s">
        <v>74</v>
      </c>
      <c r="L1163" t="s">
        <v>74</v>
      </c>
      <c r="M1163" t="s">
        <v>78</v>
      </c>
      <c r="N1163" t="s">
        <v>108</v>
      </c>
      <c r="O1163" t="s">
        <v>74</v>
      </c>
      <c r="P1163" t="s">
        <v>74</v>
      </c>
      <c r="Q1163" t="s">
        <v>74</v>
      </c>
      <c r="R1163" t="s">
        <v>74</v>
      </c>
      <c r="S1163" t="s">
        <v>74</v>
      </c>
      <c r="T1163" t="s">
        <v>19603</v>
      </c>
      <c r="U1163" t="s">
        <v>19604</v>
      </c>
      <c r="V1163" t="s">
        <v>19605</v>
      </c>
      <c r="W1163" t="s">
        <v>19606</v>
      </c>
      <c r="X1163" t="s">
        <v>19607</v>
      </c>
      <c r="Y1163" t="s">
        <v>19608</v>
      </c>
      <c r="Z1163" t="s">
        <v>19609</v>
      </c>
      <c r="AA1163" t="s">
        <v>19610</v>
      </c>
      <c r="AB1163" t="s">
        <v>19611</v>
      </c>
      <c r="AC1163" t="s">
        <v>19612</v>
      </c>
      <c r="AD1163" t="s">
        <v>19613</v>
      </c>
      <c r="AE1163" t="s">
        <v>19614</v>
      </c>
      <c r="AF1163" t="s">
        <v>74</v>
      </c>
      <c r="AG1163">
        <v>43</v>
      </c>
      <c r="AH1163">
        <v>0</v>
      </c>
      <c r="AI1163">
        <v>0</v>
      </c>
      <c r="AJ1163">
        <v>9</v>
      </c>
      <c r="AK1163">
        <v>28</v>
      </c>
      <c r="AL1163" t="s">
        <v>3489</v>
      </c>
      <c r="AM1163" t="s">
        <v>3490</v>
      </c>
      <c r="AN1163" t="s">
        <v>3491</v>
      </c>
      <c r="AO1163" t="s">
        <v>19615</v>
      </c>
      <c r="AP1163" t="s">
        <v>19616</v>
      </c>
      <c r="AQ1163" t="s">
        <v>74</v>
      </c>
      <c r="AR1163" t="s">
        <v>19617</v>
      </c>
      <c r="AS1163" t="s">
        <v>19618</v>
      </c>
      <c r="AT1163" t="s">
        <v>297</v>
      </c>
      <c r="AU1163">
        <v>2024</v>
      </c>
      <c r="AV1163">
        <v>32</v>
      </c>
      <c r="AW1163">
        <v>8</v>
      </c>
      <c r="AX1163" t="s">
        <v>74</v>
      </c>
      <c r="AY1163" t="s">
        <v>74</v>
      </c>
      <c r="AZ1163" t="s">
        <v>74</v>
      </c>
      <c r="BA1163" t="s">
        <v>74</v>
      </c>
      <c r="BB1163">
        <v>1559</v>
      </c>
      <c r="BC1163">
        <v>1570</v>
      </c>
      <c r="BD1163" t="s">
        <v>74</v>
      </c>
      <c r="BE1163" t="s">
        <v>19619</v>
      </c>
      <c r="BF1163" t="str">
        <f>HYPERLINK("http://dx.doi.org/10.1007/s10389-023-01921-5","http://dx.doi.org/10.1007/s10389-023-01921-5")</f>
        <v>http://dx.doi.org/10.1007/s10389-023-01921-5</v>
      </c>
      <c r="BG1163" t="s">
        <v>74</v>
      </c>
      <c r="BH1163" t="s">
        <v>180</v>
      </c>
      <c r="BI1163">
        <v>12</v>
      </c>
      <c r="BJ1163" t="s">
        <v>392</v>
      </c>
      <c r="BK1163" t="s">
        <v>125</v>
      </c>
      <c r="BL1163" t="s">
        <v>392</v>
      </c>
      <c r="BM1163" t="s">
        <v>19620</v>
      </c>
      <c r="BN1163">
        <v>37361279</v>
      </c>
      <c r="BO1163" t="s">
        <v>12267</v>
      </c>
      <c r="BP1163" t="s">
        <v>74</v>
      </c>
      <c r="BQ1163" t="s">
        <v>74</v>
      </c>
      <c r="BR1163" t="s">
        <v>102</v>
      </c>
      <c r="BS1163" t="s">
        <v>19621</v>
      </c>
      <c r="BT1163" t="str">
        <f>HYPERLINK("https%3A%2F%2Fwww.webofscience.com%2Fwos%2Fwoscc%2Ffull-record%2FWOS:000985180600001","View Full Record in Web of Science")</f>
        <v>View Full Record in Web of Science</v>
      </c>
    </row>
    <row r="1164" spans="1:72" x14ac:dyDescent="0.35">
      <c r="A1164" t="s">
        <v>72</v>
      </c>
      <c r="B1164" t="s">
        <v>19622</v>
      </c>
      <c r="C1164" t="s">
        <v>74</v>
      </c>
      <c r="D1164" t="s">
        <v>74</v>
      </c>
      <c r="E1164" t="s">
        <v>74</v>
      </c>
      <c r="F1164" t="s">
        <v>19623</v>
      </c>
      <c r="G1164" t="s">
        <v>74</v>
      </c>
      <c r="H1164" t="s">
        <v>74</v>
      </c>
      <c r="I1164" t="s">
        <v>19624</v>
      </c>
      <c r="J1164" t="s">
        <v>19625</v>
      </c>
      <c r="K1164" t="s">
        <v>74</v>
      </c>
      <c r="L1164" t="s">
        <v>74</v>
      </c>
      <c r="M1164" t="s">
        <v>78</v>
      </c>
      <c r="N1164" t="s">
        <v>108</v>
      </c>
      <c r="O1164" t="s">
        <v>74</v>
      </c>
      <c r="P1164" t="s">
        <v>74</v>
      </c>
      <c r="Q1164" t="s">
        <v>74</v>
      </c>
      <c r="R1164" t="s">
        <v>74</v>
      </c>
      <c r="S1164" t="s">
        <v>74</v>
      </c>
      <c r="T1164" t="s">
        <v>19626</v>
      </c>
      <c r="U1164" t="s">
        <v>19627</v>
      </c>
      <c r="V1164" t="s">
        <v>19628</v>
      </c>
      <c r="W1164" t="s">
        <v>19629</v>
      </c>
      <c r="X1164" t="s">
        <v>19630</v>
      </c>
      <c r="Y1164" t="s">
        <v>19631</v>
      </c>
      <c r="Z1164" t="s">
        <v>19632</v>
      </c>
      <c r="AA1164" t="s">
        <v>19633</v>
      </c>
      <c r="AB1164" t="s">
        <v>74</v>
      </c>
      <c r="AC1164" t="s">
        <v>74</v>
      </c>
      <c r="AD1164" t="s">
        <v>74</v>
      </c>
      <c r="AE1164" t="s">
        <v>74</v>
      </c>
      <c r="AF1164" t="s">
        <v>74</v>
      </c>
      <c r="AG1164">
        <v>60</v>
      </c>
      <c r="AH1164">
        <v>13</v>
      </c>
      <c r="AI1164">
        <v>13</v>
      </c>
      <c r="AJ1164">
        <v>9</v>
      </c>
      <c r="AK1164">
        <v>25</v>
      </c>
      <c r="AL1164" t="s">
        <v>19634</v>
      </c>
      <c r="AM1164" t="s">
        <v>19635</v>
      </c>
      <c r="AN1164" t="s">
        <v>19636</v>
      </c>
      <c r="AO1164" t="s">
        <v>19637</v>
      </c>
      <c r="AP1164" t="s">
        <v>74</v>
      </c>
      <c r="AQ1164" t="s">
        <v>74</v>
      </c>
      <c r="AR1164" t="s">
        <v>19638</v>
      </c>
      <c r="AS1164" t="s">
        <v>19639</v>
      </c>
      <c r="AT1164" t="s">
        <v>257</v>
      </c>
      <c r="AU1164">
        <v>2023</v>
      </c>
      <c r="AV1164">
        <v>28</v>
      </c>
      <c r="AW1164">
        <v>2</v>
      </c>
      <c r="AX1164" t="s">
        <v>74</v>
      </c>
      <c r="AY1164" t="s">
        <v>74</v>
      </c>
      <c r="AZ1164" t="s">
        <v>74</v>
      </c>
      <c r="BA1164" t="s">
        <v>74</v>
      </c>
      <c r="BB1164">
        <v>174</v>
      </c>
      <c r="BC1164">
        <v>184</v>
      </c>
      <c r="BD1164" t="s">
        <v>74</v>
      </c>
      <c r="BE1164" t="s">
        <v>19640</v>
      </c>
      <c r="BF1164" t="str">
        <f>HYPERLINK("http://dx.doi.org/10.1016/j.apmrv.2022.07.007","http://dx.doi.org/10.1016/j.apmrv.2022.07.007")</f>
        <v>http://dx.doi.org/10.1016/j.apmrv.2022.07.007</v>
      </c>
      <c r="BG1164" t="s">
        <v>74</v>
      </c>
      <c r="BH1164" t="s">
        <v>1954</v>
      </c>
      <c r="BI1164">
        <v>11</v>
      </c>
      <c r="BJ1164" t="s">
        <v>1930</v>
      </c>
      <c r="BK1164" t="s">
        <v>125</v>
      </c>
      <c r="BL1164" t="s">
        <v>480</v>
      </c>
      <c r="BM1164" t="s">
        <v>19641</v>
      </c>
      <c r="BN1164" t="s">
        <v>74</v>
      </c>
      <c r="BO1164" t="s">
        <v>156</v>
      </c>
      <c r="BP1164" t="s">
        <v>74</v>
      </c>
      <c r="BQ1164" t="s">
        <v>74</v>
      </c>
      <c r="BR1164" t="s">
        <v>102</v>
      </c>
      <c r="BS1164" t="s">
        <v>19642</v>
      </c>
      <c r="BT1164" t="str">
        <f>HYPERLINK("https%3A%2F%2Fwww.webofscience.com%2Fwos%2Fwoscc%2Ffull-record%2FWOS:001015361900001","View Full Record in Web of Science")</f>
        <v>View Full Record in Web of Science</v>
      </c>
    </row>
    <row r="1165" spans="1:72" x14ac:dyDescent="0.35">
      <c r="A1165" t="s">
        <v>72</v>
      </c>
      <c r="B1165" t="s">
        <v>19643</v>
      </c>
      <c r="C1165" t="s">
        <v>74</v>
      </c>
      <c r="D1165" t="s">
        <v>74</v>
      </c>
      <c r="E1165" t="s">
        <v>74</v>
      </c>
      <c r="F1165" t="s">
        <v>19644</v>
      </c>
      <c r="G1165" t="s">
        <v>74</v>
      </c>
      <c r="H1165" t="s">
        <v>74</v>
      </c>
      <c r="I1165" t="s">
        <v>19645</v>
      </c>
      <c r="J1165" t="s">
        <v>18440</v>
      </c>
      <c r="K1165" t="s">
        <v>74</v>
      </c>
      <c r="L1165" t="s">
        <v>74</v>
      </c>
      <c r="M1165" t="s">
        <v>78</v>
      </c>
      <c r="N1165" t="s">
        <v>108</v>
      </c>
      <c r="O1165" t="s">
        <v>74</v>
      </c>
      <c r="P1165" t="s">
        <v>74</v>
      </c>
      <c r="Q1165" t="s">
        <v>74</v>
      </c>
      <c r="R1165" t="s">
        <v>74</v>
      </c>
      <c r="S1165" t="s">
        <v>74</v>
      </c>
      <c r="T1165" t="s">
        <v>19646</v>
      </c>
      <c r="U1165" t="s">
        <v>4286</v>
      </c>
      <c r="V1165" t="s">
        <v>19647</v>
      </c>
      <c r="W1165" t="s">
        <v>19648</v>
      </c>
      <c r="X1165" t="s">
        <v>5185</v>
      </c>
      <c r="Y1165" t="s">
        <v>19649</v>
      </c>
      <c r="Z1165" t="s">
        <v>19650</v>
      </c>
      <c r="AA1165" t="s">
        <v>19651</v>
      </c>
      <c r="AB1165" t="s">
        <v>19652</v>
      </c>
      <c r="AC1165" t="s">
        <v>19653</v>
      </c>
      <c r="AD1165" t="s">
        <v>19653</v>
      </c>
      <c r="AE1165" t="s">
        <v>19654</v>
      </c>
      <c r="AF1165" t="s">
        <v>74</v>
      </c>
      <c r="AG1165">
        <v>35</v>
      </c>
      <c r="AH1165">
        <v>0</v>
      </c>
      <c r="AI1165">
        <v>0</v>
      </c>
      <c r="AJ1165">
        <v>9</v>
      </c>
      <c r="AK1165">
        <v>15</v>
      </c>
      <c r="AL1165" t="s">
        <v>1195</v>
      </c>
      <c r="AM1165" t="s">
        <v>1196</v>
      </c>
      <c r="AN1165" t="s">
        <v>1197</v>
      </c>
      <c r="AO1165" t="s">
        <v>74</v>
      </c>
      <c r="AP1165" t="s">
        <v>18448</v>
      </c>
      <c r="AQ1165" t="s">
        <v>74</v>
      </c>
      <c r="AR1165" t="s">
        <v>18449</v>
      </c>
      <c r="AS1165" t="s">
        <v>18450</v>
      </c>
      <c r="AT1165" t="s">
        <v>1484</v>
      </c>
      <c r="AU1165">
        <v>2024</v>
      </c>
      <c r="AV1165">
        <v>14</v>
      </c>
      <c r="AW1165">
        <v>3</v>
      </c>
      <c r="AX1165" t="s">
        <v>74</v>
      </c>
      <c r="AY1165" t="s">
        <v>74</v>
      </c>
      <c r="AZ1165" t="s">
        <v>74</v>
      </c>
      <c r="BA1165" t="s">
        <v>74</v>
      </c>
      <c r="BB1165" t="s">
        <v>74</v>
      </c>
      <c r="BC1165" t="s">
        <v>74</v>
      </c>
      <c r="BD1165">
        <v>201</v>
      </c>
      <c r="BE1165" t="s">
        <v>19655</v>
      </c>
      <c r="BF1165" t="str">
        <f>HYPERLINK("http://dx.doi.org/10.3390/bs14030201","http://dx.doi.org/10.3390/bs14030201")</f>
        <v>http://dx.doi.org/10.3390/bs14030201</v>
      </c>
      <c r="BG1165" t="s">
        <v>74</v>
      </c>
      <c r="BH1165" t="s">
        <v>74</v>
      </c>
      <c r="BI1165">
        <v>13</v>
      </c>
      <c r="BJ1165" t="s">
        <v>698</v>
      </c>
      <c r="BK1165" t="s">
        <v>99</v>
      </c>
      <c r="BL1165" t="s">
        <v>301</v>
      </c>
      <c r="BM1165" t="s">
        <v>19656</v>
      </c>
      <c r="BN1165">
        <v>38540504</v>
      </c>
      <c r="BO1165" t="s">
        <v>552</v>
      </c>
      <c r="BP1165" t="s">
        <v>74</v>
      </c>
      <c r="BQ1165" t="s">
        <v>74</v>
      </c>
      <c r="BR1165" t="s">
        <v>102</v>
      </c>
      <c r="BS1165" t="s">
        <v>19657</v>
      </c>
      <c r="BT1165" t="str">
        <f>HYPERLINK("https%3A%2F%2Fwww.webofscience.com%2Fwos%2Fwoscc%2Ffull-record%2FWOS:001191991000001","View Full Record in Web of Science")</f>
        <v>View Full Record in Web of Science</v>
      </c>
    </row>
    <row r="1166" spans="1:72" x14ac:dyDescent="0.35">
      <c r="A1166" t="s">
        <v>72</v>
      </c>
      <c r="B1166" t="s">
        <v>19658</v>
      </c>
      <c r="C1166" t="s">
        <v>74</v>
      </c>
      <c r="D1166" t="s">
        <v>74</v>
      </c>
      <c r="E1166" t="s">
        <v>74</v>
      </c>
      <c r="F1166" t="s">
        <v>19659</v>
      </c>
      <c r="G1166" t="s">
        <v>74</v>
      </c>
      <c r="H1166" t="s">
        <v>74</v>
      </c>
      <c r="I1166" t="s">
        <v>19660</v>
      </c>
      <c r="J1166" t="s">
        <v>3502</v>
      </c>
      <c r="K1166" t="s">
        <v>74</v>
      </c>
      <c r="L1166" t="s">
        <v>74</v>
      </c>
      <c r="M1166" t="s">
        <v>3503</v>
      </c>
      <c r="N1166" t="s">
        <v>108</v>
      </c>
      <c r="O1166" t="s">
        <v>74</v>
      </c>
      <c r="P1166" t="s">
        <v>74</v>
      </c>
      <c r="Q1166" t="s">
        <v>74</v>
      </c>
      <c r="R1166" t="s">
        <v>74</v>
      </c>
      <c r="S1166" t="s">
        <v>74</v>
      </c>
      <c r="T1166" t="s">
        <v>19661</v>
      </c>
      <c r="U1166" t="s">
        <v>19127</v>
      </c>
      <c r="V1166" t="s">
        <v>19662</v>
      </c>
      <c r="W1166" t="s">
        <v>19663</v>
      </c>
      <c r="X1166" t="s">
        <v>19664</v>
      </c>
      <c r="Y1166" t="s">
        <v>19665</v>
      </c>
      <c r="Z1166" t="s">
        <v>19666</v>
      </c>
      <c r="AA1166" t="s">
        <v>19667</v>
      </c>
      <c r="AB1166" t="s">
        <v>19668</v>
      </c>
      <c r="AC1166" t="s">
        <v>74</v>
      </c>
      <c r="AD1166" t="s">
        <v>74</v>
      </c>
      <c r="AE1166" t="s">
        <v>74</v>
      </c>
      <c r="AF1166" t="s">
        <v>74</v>
      </c>
      <c r="AG1166">
        <v>48</v>
      </c>
      <c r="AH1166">
        <v>1</v>
      </c>
      <c r="AI1166">
        <v>1</v>
      </c>
      <c r="AJ1166">
        <v>6</v>
      </c>
      <c r="AK1166">
        <v>20</v>
      </c>
      <c r="AL1166" t="s">
        <v>3511</v>
      </c>
      <c r="AM1166" t="s">
        <v>3512</v>
      </c>
      <c r="AN1166" t="s">
        <v>3513</v>
      </c>
      <c r="AO1166" t="s">
        <v>3514</v>
      </c>
      <c r="AP1166" t="s">
        <v>74</v>
      </c>
      <c r="AQ1166" t="s">
        <v>74</v>
      </c>
      <c r="AR1166" t="s">
        <v>3515</v>
      </c>
      <c r="AS1166" t="s">
        <v>3516</v>
      </c>
      <c r="AT1166" t="s">
        <v>8762</v>
      </c>
      <c r="AU1166">
        <v>2023</v>
      </c>
      <c r="AV1166">
        <v>14</v>
      </c>
      <c r="AW1166">
        <v>2</v>
      </c>
      <c r="AX1166" t="s">
        <v>74</v>
      </c>
      <c r="AY1166" t="s">
        <v>74</v>
      </c>
      <c r="AZ1166" t="s">
        <v>456</v>
      </c>
      <c r="BA1166" t="s">
        <v>74</v>
      </c>
      <c r="BB1166">
        <v>273</v>
      </c>
      <c r="BC1166">
        <v>282</v>
      </c>
      <c r="BD1166" t="s">
        <v>74</v>
      </c>
      <c r="BE1166" t="s">
        <v>19669</v>
      </c>
      <c r="BF1166" t="str">
        <f>HYPERLINK("http://dx.doi.org/10.14198/MEDCOM.24250","http://dx.doi.org/10.14198/MEDCOM.24250")</f>
        <v>http://dx.doi.org/10.14198/MEDCOM.24250</v>
      </c>
      <c r="BG1166" t="s">
        <v>74</v>
      </c>
      <c r="BH1166" t="s">
        <v>74</v>
      </c>
      <c r="BI1166">
        <v>10</v>
      </c>
      <c r="BJ1166" t="s">
        <v>124</v>
      </c>
      <c r="BK1166" t="s">
        <v>125</v>
      </c>
      <c r="BL1166" t="s">
        <v>124</v>
      </c>
      <c r="BM1166" t="s">
        <v>19670</v>
      </c>
      <c r="BN1166" t="s">
        <v>74</v>
      </c>
      <c r="BO1166" t="s">
        <v>552</v>
      </c>
      <c r="BP1166" t="s">
        <v>74</v>
      </c>
      <c r="BQ1166" t="s">
        <v>74</v>
      </c>
      <c r="BR1166" t="s">
        <v>102</v>
      </c>
      <c r="BS1166" t="s">
        <v>19671</v>
      </c>
      <c r="BT1166" t="str">
        <f>HYPERLINK("https%3A%2F%2Fwww.webofscience.com%2Fwos%2Fwoscc%2Ffull-record%2FWOS:001065890100020","View Full Record in Web of Science")</f>
        <v>View Full Record in Web of Science</v>
      </c>
    </row>
    <row r="1167" spans="1:72" x14ac:dyDescent="0.35">
      <c r="A1167" t="s">
        <v>72</v>
      </c>
      <c r="B1167" t="s">
        <v>19672</v>
      </c>
      <c r="C1167" t="s">
        <v>74</v>
      </c>
      <c r="D1167" t="s">
        <v>74</v>
      </c>
      <c r="E1167" t="s">
        <v>74</v>
      </c>
      <c r="F1167" t="s">
        <v>19673</v>
      </c>
      <c r="G1167" t="s">
        <v>74</v>
      </c>
      <c r="H1167" t="s">
        <v>74</v>
      </c>
      <c r="I1167" t="s">
        <v>19674</v>
      </c>
      <c r="J1167" t="s">
        <v>19675</v>
      </c>
      <c r="K1167" t="s">
        <v>74</v>
      </c>
      <c r="L1167" t="s">
        <v>74</v>
      </c>
      <c r="M1167" t="s">
        <v>78</v>
      </c>
      <c r="N1167" t="s">
        <v>108</v>
      </c>
      <c r="O1167" t="s">
        <v>74</v>
      </c>
      <c r="P1167" t="s">
        <v>74</v>
      </c>
      <c r="Q1167" t="s">
        <v>74</v>
      </c>
      <c r="R1167" t="s">
        <v>74</v>
      </c>
      <c r="S1167" t="s">
        <v>74</v>
      </c>
      <c r="T1167" t="s">
        <v>19676</v>
      </c>
      <c r="U1167" t="s">
        <v>19677</v>
      </c>
      <c r="V1167" t="s">
        <v>19678</v>
      </c>
      <c r="W1167" t="s">
        <v>19679</v>
      </c>
      <c r="X1167" t="s">
        <v>19680</v>
      </c>
      <c r="Y1167" t="s">
        <v>19681</v>
      </c>
      <c r="Z1167" t="s">
        <v>19682</v>
      </c>
      <c r="AA1167" t="s">
        <v>74</v>
      </c>
      <c r="AB1167" t="s">
        <v>74</v>
      </c>
      <c r="AC1167" t="s">
        <v>74</v>
      </c>
      <c r="AD1167" t="s">
        <v>74</v>
      </c>
      <c r="AE1167" t="s">
        <v>74</v>
      </c>
      <c r="AF1167" t="s">
        <v>74</v>
      </c>
      <c r="AG1167">
        <v>65</v>
      </c>
      <c r="AH1167">
        <v>14</v>
      </c>
      <c r="AI1167">
        <v>14</v>
      </c>
      <c r="AJ1167">
        <v>46</v>
      </c>
      <c r="AK1167">
        <v>340</v>
      </c>
      <c r="AL1167" t="s">
        <v>199</v>
      </c>
      <c r="AM1167" t="s">
        <v>200</v>
      </c>
      <c r="AN1167" t="s">
        <v>471</v>
      </c>
      <c r="AO1167" t="s">
        <v>19683</v>
      </c>
      <c r="AP1167" t="s">
        <v>19684</v>
      </c>
      <c r="AQ1167" t="s">
        <v>74</v>
      </c>
      <c r="AR1167" t="s">
        <v>19685</v>
      </c>
      <c r="AS1167" t="s">
        <v>19686</v>
      </c>
      <c r="AT1167" t="s">
        <v>19687</v>
      </c>
      <c r="AU1167">
        <v>2022</v>
      </c>
      <c r="AV1167">
        <v>122</v>
      </c>
      <c r="AW1167">
        <v>8</v>
      </c>
      <c r="AX1167" t="s">
        <v>74</v>
      </c>
      <c r="AY1167" t="s">
        <v>74</v>
      </c>
      <c r="AZ1167" t="s">
        <v>74</v>
      </c>
      <c r="BA1167" t="s">
        <v>74</v>
      </c>
      <c r="BB1167">
        <v>1956</v>
      </c>
      <c r="BC1167">
        <v>1974</v>
      </c>
      <c r="BD1167" t="s">
        <v>74</v>
      </c>
      <c r="BE1167" t="s">
        <v>19688</v>
      </c>
      <c r="BF1167" t="str">
        <f>HYPERLINK("http://dx.doi.org/10.1108/IMDS-12-2021-0754","http://dx.doi.org/10.1108/IMDS-12-2021-0754")</f>
        <v>http://dx.doi.org/10.1108/IMDS-12-2021-0754</v>
      </c>
      <c r="BG1167" t="s">
        <v>74</v>
      </c>
      <c r="BH1167" t="s">
        <v>1527</v>
      </c>
      <c r="BI1167">
        <v>19</v>
      </c>
      <c r="BJ1167" t="s">
        <v>19689</v>
      </c>
      <c r="BK1167" t="s">
        <v>209</v>
      </c>
      <c r="BL1167" t="s">
        <v>1113</v>
      </c>
      <c r="BM1167" t="s">
        <v>19690</v>
      </c>
      <c r="BN1167" t="s">
        <v>74</v>
      </c>
      <c r="BO1167" t="s">
        <v>74</v>
      </c>
      <c r="BP1167" t="s">
        <v>74</v>
      </c>
      <c r="BQ1167" t="s">
        <v>74</v>
      </c>
      <c r="BR1167" t="s">
        <v>102</v>
      </c>
      <c r="BS1167" t="s">
        <v>19691</v>
      </c>
      <c r="BT1167" t="str">
        <f>HYPERLINK("https%3A%2F%2Fwww.webofscience.com%2Fwos%2Fwoscc%2Ffull-record%2FWOS:000838789800001","View Full Record in Web of Science")</f>
        <v>View Full Record in Web of Science</v>
      </c>
    </row>
    <row r="1168" spans="1:72" x14ac:dyDescent="0.35">
      <c r="A1168" t="s">
        <v>128</v>
      </c>
      <c r="B1168" t="s">
        <v>19692</v>
      </c>
      <c r="C1168" t="s">
        <v>74</v>
      </c>
      <c r="D1168" t="s">
        <v>19693</v>
      </c>
      <c r="E1168" t="s">
        <v>74</v>
      </c>
      <c r="F1168" t="s">
        <v>19694</v>
      </c>
      <c r="G1168" t="s">
        <v>74</v>
      </c>
      <c r="H1168" t="s">
        <v>74</v>
      </c>
      <c r="I1168" t="s">
        <v>19695</v>
      </c>
      <c r="J1168" t="s">
        <v>19696</v>
      </c>
      <c r="K1168" t="s">
        <v>8364</v>
      </c>
      <c r="L1168" t="s">
        <v>74</v>
      </c>
      <c r="M1168" t="s">
        <v>78</v>
      </c>
      <c r="N1168" t="s">
        <v>135</v>
      </c>
      <c r="O1168" t="s">
        <v>19697</v>
      </c>
      <c r="P1168" t="s">
        <v>8366</v>
      </c>
      <c r="Q1168" t="s">
        <v>8367</v>
      </c>
      <c r="R1168" t="s">
        <v>74</v>
      </c>
      <c r="S1168" t="s">
        <v>74</v>
      </c>
      <c r="T1168" t="s">
        <v>19698</v>
      </c>
      <c r="U1168" t="s">
        <v>74</v>
      </c>
      <c r="V1168" t="s">
        <v>19699</v>
      </c>
      <c r="W1168" t="s">
        <v>19700</v>
      </c>
      <c r="X1168" t="s">
        <v>74</v>
      </c>
      <c r="Y1168" t="s">
        <v>19701</v>
      </c>
      <c r="Z1168" t="s">
        <v>19702</v>
      </c>
      <c r="AA1168" t="s">
        <v>19703</v>
      </c>
      <c r="AB1168" t="s">
        <v>19704</v>
      </c>
      <c r="AC1168" t="s">
        <v>74</v>
      </c>
      <c r="AD1168" t="s">
        <v>74</v>
      </c>
      <c r="AE1168" t="s">
        <v>74</v>
      </c>
      <c r="AF1168" t="s">
        <v>74</v>
      </c>
      <c r="AG1168">
        <v>21</v>
      </c>
      <c r="AH1168">
        <v>0</v>
      </c>
      <c r="AI1168">
        <v>0</v>
      </c>
      <c r="AJ1168">
        <v>3</v>
      </c>
      <c r="AK1168">
        <v>3</v>
      </c>
      <c r="AL1168" t="s">
        <v>639</v>
      </c>
      <c r="AM1168" t="s">
        <v>640</v>
      </c>
      <c r="AN1168" t="s">
        <v>641</v>
      </c>
      <c r="AO1168" t="s">
        <v>8380</v>
      </c>
      <c r="AP1168" t="s">
        <v>8381</v>
      </c>
      <c r="AQ1168" t="s">
        <v>19705</v>
      </c>
      <c r="AR1168" t="s">
        <v>8383</v>
      </c>
      <c r="AS1168" t="s">
        <v>74</v>
      </c>
      <c r="AT1168" t="s">
        <v>74</v>
      </c>
      <c r="AU1168">
        <v>2023</v>
      </c>
      <c r="AV1168">
        <v>14030</v>
      </c>
      <c r="AW1168" t="s">
        <v>74</v>
      </c>
      <c r="AX1168" t="s">
        <v>74</v>
      </c>
      <c r="AY1168" t="s">
        <v>74</v>
      </c>
      <c r="AZ1168" t="s">
        <v>74</v>
      </c>
      <c r="BA1168" t="s">
        <v>74</v>
      </c>
      <c r="BB1168">
        <v>503</v>
      </c>
      <c r="BC1168">
        <v>515</v>
      </c>
      <c r="BD1168" t="s">
        <v>74</v>
      </c>
      <c r="BE1168" t="s">
        <v>19706</v>
      </c>
      <c r="BF1168" t="str">
        <f>HYPERLINK("http://dx.doi.org/10.1007/978-3-031-35699-5_36","http://dx.doi.org/10.1007/978-3-031-35699-5_36")</f>
        <v>http://dx.doi.org/10.1007/978-3-031-35699-5_36</v>
      </c>
      <c r="BG1168" t="s">
        <v>74</v>
      </c>
      <c r="BH1168" t="s">
        <v>74</v>
      </c>
      <c r="BI1168">
        <v>13</v>
      </c>
      <c r="BJ1168" t="s">
        <v>2736</v>
      </c>
      <c r="BK1168" t="s">
        <v>723</v>
      </c>
      <c r="BL1168" t="s">
        <v>210</v>
      </c>
      <c r="BM1168" t="s">
        <v>19707</v>
      </c>
      <c r="BN1168" t="s">
        <v>74</v>
      </c>
      <c r="BO1168" t="s">
        <v>74</v>
      </c>
      <c r="BP1168" t="s">
        <v>74</v>
      </c>
      <c r="BQ1168" t="s">
        <v>74</v>
      </c>
      <c r="BR1168" t="s">
        <v>102</v>
      </c>
      <c r="BS1168" t="s">
        <v>19708</v>
      </c>
      <c r="BT1168" t="str">
        <f>HYPERLINK("https%3A%2F%2Fwww.webofscience.com%2Fwos%2Fwoscc%2Ffull-record%2FWOS:001206154900036","View Full Record in Web of Science")</f>
        <v>View Full Record in Web of Science</v>
      </c>
    </row>
    <row r="1169" spans="1:72" x14ac:dyDescent="0.35">
      <c r="A1169" t="s">
        <v>72</v>
      </c>
      <c r="B1169" t="s">
        <v>19709</v>
      </c>
      <c r="C1169" t="s">
        <v>74</v>
      </c>
      <c r="D1169" t="s">
        <v>74</v>
      </c>
      <c r="E1169" t="s">
        <v>74</v>
      </c>
      <c r="F1169" t="s">
        <v>19710</v>
      </c>
      <c r="G1169" t="s">
        <v>74</v>
      </c>
      <c r="H1169" t="s">
        <v>74</v>
      </c>
      <c r="I1169" t="s">
        <v>19711</v>
      </c>
      <c r="J1169" t="s">
        <v>8886</v>
      </c>
      <c r="K1169" t="s">
        <v>74</v>
      </c>
      <c r="L1169" t="s">
        <v>74</v>
      </c>
      <c r="M1169" t="s">
        <v>78</v>
      </c>
      <c r="N1169" t="s">
        <v>108</v>
      </c>
      <c r="O1169" t="s">
        <v>74</v>
      </c>
      <c r="P1169" t="s">
        <v>74</v>
      </c>
      <c r="Q1169" t="s">
        <v>74</v>
      </c>
      <c r="R1169" t="s">
        <v>74</v>
      </c>
      <c r="S1169" t="s">
        <v>74</v>
      </c>
      <c r="T1169" t="s">
        <v>19712</v>
      </c>
      <c r="U1169" t="s">
        <v>74</v>
      </c>
      <c r="V1169" t="s">
        <v>19713</v>
      </c>
      <c r="W1169" t="s">
        <v>19714</v>
      </c>
      <c r="X1169" t="s">
        <v>19715</v>
      </c>
      <c r="Y1169" t="s">
        <v>19716</v>
      </c>
      <c r="Z1169" t="s">
        <v>19717</v>
      </c>
      <c r="AA1169" t="s">
        <v>19718</v>
      </c>
      <c r="AB1169" t="s">
        <v>19719</v>
      </c>
      <c r="AC1169" t="s">
        <v>19720</v>
      </c>
      <c r="AD1169" t="s">
        <v>19721</v>
      </c>
      <c r="AE1169" t="s">
        <v>19722</v>
      </c>
      <c r="AF1169" t="s">
        <v>74</v>
      </c>
      <c r="AG1169">
        <v>20</v>
      </c>
      <c r="AH1169">
        <v>4</v>
      </c>
      <c r="AI1169">
        <v>4</v>
      </c>
      <c r="AJ1169">
        <v>5</v>
      </c>
      <c r="AK1169">
        <v>80</v>
      </c>
      <c r="AL1169" t="s">
        <v>384</v>
      </c>
      <c r="AM1169" t="s">
        <v>385</v>
      </c>
      <c r="AN1169" t="s">
        <v>386</v>
      </c>
      <c r="AO1169" t="s">
        <v>74</v>
      </c>
      <c r="AP1169" t="s">
        <v>8897</v>
      </c>
      <c r="AQ1169" t="s">
        <v>74</v>
      </c>
      <c r="AR1169" t="s">
        <v>8898</v>
      </c>
      <c r="AS1169" t="s">
        <v>8899</v>
      </c>
      <c r="AT1169" t="s">
        <v>9747</v>
      </c>
      <c r="AU1169">
        <v>2022</v>
      </c>
      <c r="AV1169">
        <v>7</v>
      </c>
      <c r="AW1169" t="s">
        <v>74</v>
      </c>
      <c r="AX1169" t="s">
        <v>74</v>
      </c>
      <c r="AY1169" t="s">
        <v>74</v>
      </c>
      <c r="AZ1169" t="s">
        <v>74</v>
      </c>
      <c r="BA1169" t="s">
        <v>74</v>
      </c>
      <c r="BB1169" t="s">
        <v>74</v>
      </c>
      <c r="BC1169" t="s">
        <v>74</v>
      </c>
      <c r="BD1169">
        <v>778782</v>
      </c>
      <c r="BE1169" t="s">
        <v>19723</v>
      </c>
      <c r="BF1169" t="str">
        <f>HYPERLINK("http://dx.doi.org/10.3389/fcomm.2022.778782","http://dx.doi.org/10.3389/fcomm.2022.778782")</f>
        <v>http://dx.doi.org/10.3389/fcomm.2022.778782</v>
      </c>
      <c r="BG1169" t="s">
        <v>74</v>
      </c>
      <c r="BH1169" t="s">
        <v>74</v>
      </c>
      <c r="BI1169">
        <v>12</v>
      </c>
      <c r="BJ1169" t="s">
        <v>124</v>
      </c>
      <c r="BK1169" t="s">
        <v>125</v>
      </c>
      <c r="BL1169" t="s">
        <v>124</v>
      </c>
      <c r="BM1169" t="s">
        <v>19724</v>
      </c>
      <c r="BN1169" t="s">
        <v>74</v>
      </c>
      <c r="BO1169" t="s">
        <v>235</v>
      </c>
      <c r="BP1169" t="s">
        <v>74</v>
      </c>
      <c r="BQ1169" t="s">
        <v>74</v>
      </c>
      <c r="BR1169" t="s">
        <v>102</v>
      </c>
      <c r="BS1169" t="s">
        <v>19725</v>
      </c>
      <c r="BT1169" t="str">
        <f>HYPERLINK("https%3A%2F%2Fwww.webofscience.com%2Fwos%2Fwoscc%2Ffull-record%2FWOS:000772703500001","View Full Record in Web of Science")</f>
        <v>View Full Record in Web of Science</v>
      </c>
    </row>
    <row r="1170" spans="1:72" x14ac:dyDescent="0.35">
      <c r="A1170" t="s">
        <v>72</v>
      </c>
      <c r="B1170" t="s">
        <v>19726</v>
      </c>
      <c r="C1170" t="s">
        <v>74</v>
      </c>
      <c r="D1170" t="s">
        <v>74</v>
      </c>
      <c r="E1170" t="s">
        <v>74</v>
      </c>
      <c r="F1170" t="s">
        <v>19727</v>
      </c>
      <c r="G1170" t="s">
        <v>74</v>
      </c>
      <c r="H1170" t="s">
        <v>74</v>
      </c>
      <c r="I1170" t="s">
        <v>19728</v>
      </c>
      <c r="J1170" t="s">
        <v>14866</v>
      </c>
      <c r="K1170" t="s">
        <v>74</v>
      </c>
      <c r="L1170" t="s">
        <v>74</v>
      </c>
      <c r="M1170" t="s">
        <v>78</v>
      </c>
      <c r="N1170" t="s">
        <v>108</v>
      </c>
      <c r="O1170" t="s">
        <v>74</v>
      </c>
      <c r="P1170" t="s">
        <v>74</v>
      </c>
      <c r="Q1170" t="s">
        <v>74</v>
      </c>
      <c r="R1170" t="s">
        <v>74</v>
      </c>
      <c r="S1170" t="s">
        <v>74</v>
      </c>
      <c r="T1170" t="s">
        <v>19729</v>
      </c>
      <c r="U1170" t="s">
        <v>15802</v>
      </c>
      <c r="V1170" t="s">
        <v>19730</v>
      </c>
      <c r="W1170" t="s">
        <v>19731</v>
      </c>
      <c r="X1170" t="s">
        <v>19201</v>
      </c>
      <c r="Y1170" t="s">
        <v>19732</v>
      </c>
      <c r="Z1170" t="s">
        <v>19733</v>
      </c>
      <c r="AA1170" t="s">
        <v>74</v>
      </c>
      <c r="AB1170" t="s">
        <v>19734</v>
      </c>
      <c r="AC1170" t="s">
        <v>74</v>
      </c>
      <c r="AD1170" t="s">
        <v>74</v>
      </c>
      <c r="AE1170" t="s">
        <v>74</v>
      </c>
      <c r="AF1170" t="s">
        <v>74</v>
      </c>
      <c r="AG1170">
        <v>19</v>
      </c>
      <c r="AH1170">
        <v>16</v>
      </c>
      <c r="AI1170">
        <v>18</v>
      </c>
      <c r="AJ1170">
        <v>2</v>
      </c>
      <c r="AK1170">
        <v>26</v>
      </c>
      <c r="AL1170" t="s">
        <v>171</v>
      </c>
      <c r="AM1170" t="s">
        <v>172</v>
      </c>
      <c r="AN1170" t="s">
        <v>173</v>
      </c>
      <c r="AO1170" t="s">
        <v>14874</v>
      </c>
      <c r="AP1170" t="s">
        <v>14875</v>
      </c>
      <c r="AQ1170" t="s">
        <v>74</v>
      </c>
      <c r="AR1170" t="s">
        <v>14876</v>
      </c>
      <c r="AS1170" t="s">
        <v>14877</v>
      </c>
      <c r="AT1170" t="s">
        <v>745</v>
      </c>
      <c r="AU1170">
        <v>2022</v>
      </c>
      <c r="AV1170">
        <v>23</v>
      </c>
      <c r="AW1170">
        <v>3</v>
      </c>
      <c r="AX1170" t="s">
        <v>74</v>
      </c>
      <c r="AY1170" t="s">
        <v>74</v>
      </c>
      <c r="AZ1170" t="s">
        <v>74</v>
      </c>
      <c r="BA1170" t="s">
        <v>74</v>
      </c>
      <c r="BB1170">
        <v>382</v>
      </c>
      <c r="BC1170">
        <v>387</v>
      </c>
      <c r="BD1170">
        <v>1.5248399211013002E+16</v>
      </c>
      <c r="BE1170" t="s">
        <v>19735</v>
      </c>
      <c r="BF1170" t="str">
        <f>HYPERLINK("http://dx.doi.org/10.1177/15248399211013002","http://dx.doi.org/10.1177/15248399211013002")</f>
        <v>http://dx.doi.org/10.1177/15248399211013002</v>
      </c>
      <c r="BG1170" t="s">
        <v>74</v>
      </c>
      <c r="BH1170" t="s">
        <v>1827</v>
      </c>
      <c r="BI1170">
        <v>6</v>
      </c>
      <c r="BJ1170" t="s">
        <v>392</v>
      </c>
      <c r="BK1170" t="s">
        <v>125</v>
      </c>
      <c r="BL1170" t="s">
        <v>392</v>
      </c>
      <c r="BM1170" t="s">
        <v>19736</v>
      </c>
      <c r="BN1170">
        <v>33969725</v>
      </c>
      <c r="BO1170" t="s">
        <v>6798</v>
      </c>
      <c r="BP1170" t="s">
        <v>74</v>
      </c>
      <c r="BQ1170" t="s">
        <v>74</v>
      </c>
      <c r="BR1170" t="s">
        <v>102</v>
      </c>
      <c r="BS1170" t="s">
        <v>19737</v>
      </c>
      <c r="BT1170" t="str">
        <f>HYPERLINK("https%3A%2F%2Fwww.webofscience.com%2Fwos%2Fwoscc%2Ffull-record%2FWOS:000649514000001","View Full Record in Web of Science")</f>
        <v>View Full Record in Web of Science</v>
      </c>
    </row>
    <row r="1171" spans="1:72" x14ac:dyDescent="0.35">
      <c r="A1171" t="s">
        <v>72</v>
      </c>
      <c r="B1171" t="s">
        <v>19738</v>
      </c>
      <c r="C1171" t="s">
        <v>74</v>
      </c>
      <c r="D1171" t="s">
        <v>74</v>
      </c>
      <c r="E1171" t="s">
        <v>74</v>
      </c>
      <c r="F1171" t="s">
        <v>19739</v>
      </c>
      <c r="G1171" t="s">
        <v>74</v>
      </c>
      <c r="H1171" t="s">
        <v>74</v>
      </c>
      <c r="I1171" t="s">
        <v>19740</v>
      </c>
      <c r="J1171" t="s">
        <v>19741</v>
      </c>
      <c r="K1171" t="s">
        <v>74</v>
      </c>
      <c r="L1171" t="s">
        <v>74</v>
      </c>
      <c r="M1171" t="s">
        <v>78</v>
      </c>
      <c r="N1171" t="s">
        <v>108</v>
      </c>
      <c r="O1171" t="s">
        <v>74</v>
      </c>
      <c r="P1171" t="s">
        <v>74</v>
      </c>
      <c r="Q1171" t="s">
        <v>74</v>
      </c>
      <c r="R1171" t="s">
        <v>74</v>
      </c>
      <c r="S1171" t="s">
        <v>74</v>
      </c>
      <c r="T1171" t="s">
        <v>19742</v>
      </c>
      <c r="U1171" t="s">
        <v>74</v>
      </c>
      <c r="V1171" t="s">
        <v>19743</v>
      </c>
      <c r="W1171" t="s">
        <v>19744</v>
      </c>
      <c r="X1171" t="s">
        <v>14183</v>
      </c>
      <c r="Y1171" t="s">
        <v>14184</v>
      </c>
      <c r="Z1171" t="s">
        <v>13062</v>
      </c>
      <c r="AA1171" t="s">
        <v>74</v>
      </c>
      <c r="AB1171" t="s">
        <v>18039</v>
      </c>
      <c r="AC1171" t="s">
        <v>74</v>
      </c>
      <c r="AD1171" t="s">
        <v>74</v>
      </c>
      <c r="AE1171" t="s">
        <v>74</v>
      </c>
      <c r="AF1171" t="s">
        <v>74</v>
      </c>
      <c r="AG1171">
        <v>10</v>
      </c>
      <c r="AH1171">
        <v>2</v>
      </c>
      <c r="AI1171">
        <v>2</v>
      </c>
      <c r="AJ1171">
        <v>1</v>
      </c>
      <c r="AK1171">
        <v>4</v>
      </c>
      <c r="AL1171" t="s">
        <v>2027</v>
      </c>
      <c r="AM1171" t="s">
        <v>666</v>
      </c>
      <c r="AN1171" t="s">
        <v>2028</v>
      </c>
      <c r="AO1171" t="s">
        <v>19745</v>
      </c>
      <c r="AP1171" t="s">
        <v>19746</v>
      </c>
      <c r="AQ1171" t="s">
        <v>74</v>
      </c>
      <c r="AR1171" t="s">
        <v>19747</v>
      </c>
      <c r="AS1171" t="s">
        <v>19748</v>
      </c>
      <c r="AT1171" t="s">
        <v>232</v>
      </c>
      <c r="AU1171">
        <v>2024</v>
      </c>
      <c r="AV1171">
        <v>52</v>
      </c>
      <c r="AW1171">
        <v>1</v>
      </c>
      <c r="AX1171" t="s">
        <v>74</v>
      </c>
      <c r="AY1171" t="s">
        <v>74</v>
      </c>
      <c r="AZ1171" t="s">
        <v>74</v>
      </c>
      <c r="BA1171" t="s">
        <v>74</v>
      </c>
      <c r="BB1171">
        <v>123</v>
      </c>
      <c r="BC1171">
        <v>124</v>
      </c>
      <c r="BD1171" t="s">
        <v>74</v>
      </c>
      <c r="BE1171" t="s">
        <v>19749</v>
      </c>
      <c r="BF1171" t="str">
        <f>HYPERLINK("http://dx.doi.org/10.1016/j.ajic.2023.06.021","http://dx.doi.org/10.1016/j.ajic.2023.06.021")</f>
        <v>http://dx.doi.org/10.1016/j.ajic.2023.06.021</v>
      </c>
      <c r="BG1171" t="s">
        <v>74</v>
      </c>
      <c r="BH1171" t="s">
        <v>1449</v>
      </c>
      <c r="BI1171">
        <v>2</v>
      </c>
      <c r="BJ1171" t="s">
        <v>19750</v>
      </c>
      <c r="BK1171" t="s">
        <v>209</v>
      </c>
      <c r="BL1171" t="s">
        <v>19750</v>
      </c>
      <c r="BM1171" t="s">
        <v>19751</v>
      </c>
      <c r="BN1171">
        <v>37422067</v>
      </c>
      <c r="BO1171" t="s">
        <v>74</v>
      </c>
      <c r="BP1171" t="s">
        <v>74</v>
      </c>
      <c r="BQ1171" t="s">
        <v>74</v>
      </c>
      <c r="BR1171" t="s">
        <v>102</v>
      </c>
      <c r="BS1171" t="s">
        <v>19752</v>
      </c>
      <c r="BT1171" t="str">
        <f>HYPERLINK("https%3A%2F%2Fwww.webofscience.com%2Fwos%2Fwoscc%2Ffull-record%2FWOS:001141012200001","View Full Record in Web of Science")</f>
        <v>View Full Record in Web of Science</v>
      </c>
    </row>
    <row r="1172" spans="1:72" x14ac:dyDescent="0.35">
      <c r="A1172" t="s">
        <v>72</v>
      </c>
      <c r="B1172" t="s">
        <v>19753</v>
      </c>
      <c r="C1172" t="s">
        <v>74</v>
      </c>
      <c r="D1172" t="s">
        <v>74</v>
      </c>
      <c r="E1172" t="s">
        <v>74</v>
      </c>
      <c r="F1172" t="s">
        <v>19754</v>
      </c>
      <c r="G1172" t="s">
        <v>74</v>
      </c>
      <c r="H1172" t="s">
        <v>74</v>
      </c>
      <c r="I1172" t="s">
        <v>19755</v>
      </c>
      <c r="J1172" t="s">
        <v>19756</v>
      </c>
      <c r="K1172" t="s">
        <v>74</v>
      </c>
      <c r="L1172" t="s">
        <v>74</v>
      </c>
      <c r="M1172" t="s">
        <v>78</v>
      </c>
      <c r="N1172" t="s">
        <v>79</v>
      </c>
      <c r="O1172" t="s">
        <v>74</v>
      </c>
      <c r="P1172" t="s">
        <v>74</v>
      </c>
      <c r="Q1172" t="s">
        <v>74</v>
      </c>
      <c r="R1172" t="s">
        <v>74</v>
      </c>
      <c r="S1172" t="s">
        <v>74</v>
      </c>
      <c r="T1172" t="s">
        <v>19757</v>
      </c>
      <c r="U1172" t="s">
        <v>19758</v>
      </c>
      <c r="V1172" t="s">
        <v>19759</v>
      </c>
      <c r="W1172" t="s">
        <v>19760</v>
      </c>
      <c r="X1172" t="s">
        <v>2226</v>
      </c>
      <c r="Y1172" t="s">
        <v>19761</v>
      </c>
      <c r="Z1172" t="s">
        <v>74</v>
      </c>
      <c r="AA1172" t="s">
        <v>4522</v>
      </c>
      <c r="AB1172" t="s">
        <v>74</v>
      </c>
      <c r="AC1172" t="s">
        <v>19762</v>
      </c>
      <c r="AD1172" t="s">
        <v>19763</v>
      </c>
      <c r="AE1172" t="s">
        <v>19764</v>
      </c>
      <c r="AF1172" t="s">
        <v>74</v>
      </c>
      <c r="AG1172">
        <v>54</v>
      </c>
      <c r="AH1172">
        <v>1</v>
      </c>
      <c r="AI1172">
        <v>1</v>
      </c>
      <c r="AJ1172">
        <v>1</v>
      </c>
      <c r="AK1172">
        <v>1</v>
      </c>
      <c r="AL1172" t="s">
        <v>88</v>
      </c>
      <c r="AM1172" t="s">
        <v>89</v>
      </c>
      <c r="AN1172" t="s">
        <v>90</v>
      </c>
      <c r="AO1172" t="s">
        <v>19765</v>
      </c>
      <c r="AP1172" t="s">
        <v>19766</v>
      </c>
      <c r="AQ1172" t="s">
        <v>74</v>
      </c>
      <c r="AR1172" t="s">
        <v>19767</v>
      </c>
      <c r="AS1172" t="s">
        <v>19768</v>
      </c>
      <c r="AT1172" t="s">
        <v>19769</v>
      </c>
      <c r="AU1172">
        <v>2024</v>
      </c>
      <c r="AV1172" t="s">
        <v>74</v>
      </c>
      <c r="AW1172" t="s">
        <v>74</v>
      </c>
      <c r="AX1172" t="s">
        <v>74</v>
      </c>
      <c r="AY1172" t="s">
        <v>74</v>
      </c>
      <c r="AZ1172" t="s">
        <v>74</v>
      </c>
      <c r="BA1172" t="s">
        <v>74</v>
      </c>
      <c r="BB1172" t="s">
        <v>74</v>
      </c>
      <c r="BC1172" t="s">
        <v>74</v>
      </c>
      <c r="BD1172" t="s">
        <v>74</v>
      </c>
      <c r="BE1172" t="s">
        <v>19770</v>
      </c>
      <c r="BF1172" t="str">
        <f>HYPERLINK("http://dx.doi.org/10.1080/10894160.2024.2369431","http://dx.doi.org/10.1080/10894160.2024.2369431")</f>
        <v>http://dx.doi.org/10.1080/10894160.2024.2369431</v>
      </c>
      <c r="BG1172" t="s">
        <v>74</v>
      </c>
      <c r="BH1172" t="s">
        <v>500</v>
      </c>
      <c r="BI1172">
        <v>19</v>
      </c>
      <c r="BJ1172" t="s">
        <v>98</v>
      </c>
      <c r="BK1172" t="s">
        <v>125</v>
      </c>
      <c r="BL1172" t="s">
        <v>100</v>
      </c>
      <c r="BM1172" t="s">
        <v>19771</v>
      </c>
      <c r="BN1172">
        <v>38907626</v>
      </c>
      <c r="BO1172" t="s">
        <v>74</v>
      </c>
      <c r="BP1172" t="s">
        <v>74</v>
      </c>
      <c r="BQ1172" t="s">
        <v>74</v>
      </c>
      <c r="BR1172" t="s">
        <v>102</v>
      </c>
      <c r="BS1172" t="s">
        <v>19772</v>
      </c>
      <c r="BT1172" t="str">
        <f>HYPERLINK("https%3A%2F%2Fwww.webofscience.com%2Fwos%2Fwoscc%2Ffull-record%2FWOS:001252806400001","View Full Record in Web of Science")</f>
        <v>View Full Record in Web of Science</v>
      </c>
    </row>
    <row r="1173" spans="1:72" x14ac:dyDescent="0.35">
      <c r="A1173" t="s">
        <v>72</v>
      </c>
      <c r="B1173" t="s">
        <v>19773</v>
      </c>
      <c r="C1173" t="s">
        <v>74</v>
      </c>
      <c r="D1173" t="s">
        <v>74</v>
      </c>
      <c r="E1173" t="s">
        <v>74</v>
      </c>
      <c r="F1173" t="s">
        <v>19774</v>
      </c>
      <c r="G1173" t="s">
        <v>74</v>
      </c>
      <c r="H1173" t="s">
        <v>74</v>
      </c>
      <c r="I1173" t="s">
        <v>19775</v>
      </c>
      <c r="J1173" t="s">
        <v>19776</v>
      </c>
      <c r="K1173" t="s">
        <v>74</v>
      </c>
      <c r="L1173" t="s">
        <v>74</v>
      </c>
      <c r="M1173" t="s">
        <v>78</v>
      </c>
      <c r="N1173" t="s">
        <v>108</v>
      </c>
      <c r="O1173" t="s">
        <v>74</v>
      </c>
      <c r="P1173" t="s">
        <v>74</v>
      </c>
      <c r="Q1173" t="s">
        <v>74</v>
      </c>
      <c r="R1173" t="s">
        <v>74</v>
      </c>
      <c r="S1173" t="s">
        <v>74</v>
      </c>
      <c r="T1173" t="s">
        <v>19777</v>
      </c>
      <c r="U1173" t="s">
        <v>19778</v>
      </c>
      <c r="V1173" t="s">
        <v>19779</v>
      </c>
      <c r="W1173" t="s">
        <v>19780</v>
      </c>
      <c r="X1173" t="s">
        <v>19781</v>
      </c>
      <c r="Y1173" t="s">
        <v>19782</v>
      </c>
      <c r="Z1173" t="s">
        <v>19783</v>
      </c>
      <c r="AA1173" t="s">
        <v>19784</v>
      </c>
      <c r="AB1173" t="s">
        <v>19785</v>
      </c>
      <c r="AC1173" t="s">
        <v>74</v>
      </c>
      <c r="AD1173" t="s">
        <v>74</v>
      </c>
      <c r="AE1173" t="s">
        <v>74</v>
      </c>
      <c r="AF1173" t="s">
        <v>74</v>
      </c>
      <c r="AG1173">
        <v>37</v>
      </c>
      <c r="AH1173">
        <v>1</v>
      </c>
      <c r="AI1173">
        <v>3</v>
      </c>
      <c r="AJ1173">
        <v>2</v>
      </c>
      <c r="AK1173">
        <v>9</v>
      </c>
      <c r="AL1173" t="s">
        <v>171</v>
      </c>
      <c r="AM1173" t="s">
        <v>172</v>
      </c>
      <c r="AN1173" t="s">
        <v>173</v>
      </c>
      <c r="AO1173" t="s">
        <v>19786</v>
      </c>
      <c r="AP1173" t="s">
        <v>19787</v>
      </c>
      <c r="AQ1173" t="s">
        <v>74</v>
      </c>
      <c r="AR1173" t="s">
        <v>19788</v>
      </c>
      <c r="AS1173" t="s">
        <v>19789</v>
      </c>
      <c r="AT1173" t="s">
        <v>745</v>
      </c>
      <c r="AU1173">
        <v>2024</v>
      </c>
      <c r="AV1173">
        <v>25</v>
      </c>
      <c r="AW1173">
        <v>4</v>
      </c>
      <c r="AX1173" t="s">
        <v>74</v>
      </c>
      <c r="AY1173" t="s">
        <v>74</v>
      </c>
      <c r="AZ1173" t="s">
        <v>74</v>
      </c>
      <c r="BA1173" t="s">
        <v>74</v>
      </c>
      <c r="BB1173">
        <v>370</v>
      </c>
      <c r="BC1173">
        <v>385</v>
      </c>
      <c r="BD1173" t="s">
        <v>74</v>
      </c>
      <c r="BE1173" t="s">
        <v>19790</v>
      </c>
      <c r="BF1173" t="str">
        <f>HYPERLINK("http://dx.doi.org/10.1177/15274764231217105","http://dx.doi.org/10.1177/15274764231217105")</f>
        <v>http://dx.doi.org/10.1177/15274764231217105</v>
      </c>
      <c r="BG1173" t="s">
        <v>74</v>
      </c>
      <c r="BH1173" t="s">
        <v>1449</v>
      </c>
      <c r="BI1173">
        <v>16</v>
      </c>
      <c r="BJ1173" t="s">
        <v>9507</v>
      </c>
      <c r="BK1173" t="s">
        <v>2125</v>
      </c>
      <c r="BL1173" t="s">
        <v>9508</v>
      </c>
      <c r="BM1173" t="s">
        <v>19791</v>
      </c>
      <c r="BN1173" t="s">
        <v>74</v>
      </c>
      <c r="BO1173" t="s">
        <v>74</v>
      </c>
      <c r="BP1173" t="s">
        <v>74</v>
      </c>
      <c r="BQ1173" t="s">
        <v>74</v>
      </c>
      <c r="BR1173" t="s">
        <v>102</v>
      </c>
      <c r="BS1173" t="s">
        <v>19792</v>
      </c>
      <c r="BT1173" t="str">
        <f>HYPERLINK("https%3A%2F%2Fwww.webofscience.com%2Fwos%2Fwoscc%2Ffull-record%2FWOS:001112664200001","View Full Record in Web of Science")</f>
        <v>View Full Record in Web of Science</v>
      </c>
    </row>
    <row r="1174" spans="1:72" x14ac:dyDescent="0.35">
      <c r="A1174" t="s">
        <v>72</v>
      </c>
      <c r="B1174" t="s">
        <v>19793</v>
      </c>
      <c r="C1174" t="s">
        <v>74</v>
      </c>
      <c r="D1174" t="s">
        <v>74</v>
      </c>
      <c r="E1174" t="s">
        <v>74</v>
      </c>
      <c r="F1174" t="s">
        <v>19794</v>
      </c>
      <c r="G1174" t="s">
        <v>74</v>
      </c>
      <c r="H1174" t="s">
        <v>74</v>
      </c>
      <c r="I1174" t="s">
        <v>19795</v>
      </c>
      <c r="J1174" t="s">
        <v>5890</v>
      </c>
      <c r="K1174" t="s">
        <v>74</v>
      </c>
      <c r="L1174" t="s">
        <v>74</v>
      </c>
      <c r="M1174" t="s">
        <v>78</v>
      </c>
      <c r="N1174" t="s">
        <v>108</v>
      </c>
      <c r="O1174" t="s">
        <v>74</v>
      </c>
      <c r="P1174" t="s">
        <v>74</v>
      </c>
      <c r="Q1174" t="s">
        <v>74</v>
      </c>
      <c r="R1174" t="s">
        <v>74</v>
      </c>
      <c r="S1174" t="s">
        <v>74</v>
      </c>
      <c r="T1174" t="s">
        <v>19796</v>
      </c>
      <c r="U1174" t="s">
        <v>74</v>
      </c>
      <c r="V1174" t="s">
        <v>19797</v>
      </c>
      <c r="W1174" t="s">
        <v>19798</v>
      </c>
      <c r="X1174" t="s">
        <v>19799</v>
      </c>
      <c r="Y1174" t="s">
        <v>19800</v>
      </c>
      <c r="Z1174" t="s">
        <v>19801</v>
      </c>
      <c r="AA1174" t="s">
        <v>74</v>
      </c>
      <c r="AB1174" t="s">
        <v>74</v>
      </c>
      <c r="AC1174" t="s">
        <v>19802</v>
      </c>
      <c r="AD1174" t="s">
        <v>19803</v>
      </c>
      <c r="AE1174" t="s">
        <v>19804</v>
      </c>
      <c r="AF1174" t="s">
        <v>74</v>
      </c>
      <c r="AG1174">
        <v>58</v>
      </c>
      <c r="AH1174">
        <v>36</v>
      </c>
      <c r="AI1174">
        <v>38</v>
      </c>
      <c r="AJ1174">
        <v>57</v>
      </c>
      <c r="AK1174">
        <v>464</v>
      </c>
      <c r="AL1174" t="s">
        <v>88</v>
      </c>
      <c r="AM1174" t="s">
        <v>89</v>
      </c>
      <c r="AN1174" t="s">
        <v>90</v>
      </c>
      <c r="AO1174" t="s">
        <v>5898</v>
      </c>
      <c r="AP1174" t="s">
        <v>5899</v>
      </c>
      <c r="AQ1174" t="s">
        <v>74</v>
      </c>
      <c r="AR1174" t="s">
        <v>5900</v>
      </c>
      <c r="AS1174" t="s">
        <v>5901</v>
      </c>
      <c r="AT1174" t="s">
        <v>10144</v>
      </c>
      <c r="AU1174">
        <v>2023</v>
      </c>
      <c r="AV1174">
        <v>33</v>
      </c>
      <c r="AW1174">
        <v>2</v>
      </c>
      <c r="AX1174" t="s">
        <v>74</v>
      </c>
      <c r="AY1174" t="s">
        <v>74</v>
      </c>
      <c r="AZ1174" t="s">
        <v>74</v>
      </c>
      <c r="BA1174" t="s">
        <v>74</v>
      </c>
      <c r="BB1174">
        <v>402</v>
      </c>
      <c r="BC1174">
        <v>425</v>
      </c>
      <c r="BD1174" t="s">
        <v>74</v>
      </c>
      <c r="BE1174" t="s">
        <v>19805</v>
      </c>
      <c r="BF1174" t="str">
        <f>HYPERLINK("http://dx.doi.org/10.1080/10350330.2020.1870405","http://dx.doi.org/10.1080/10350330.2020.1870405")</f>
        <v>http://dx.doi.org/10.1080/10350330.2020.1870405</v>
      </c>
      <c r="BG1174" t="s">
        <v>74</v>
      </c>
      <c r="BH1174" t="s">
        <v>5316</v>
      </c>
      <c r="BI1174">
        <v>24</v>
      </c>
      <c r="BJ1174" t="s">
        <v>5904</v>
      </c>
      <c r="BK1174" t="s">
        <v>2125</v>
      </c>
      <c r="BL1174" t="s">
        <v>5905</v>
      </c>
      <c r="BM1174" t="s">
        <v>19806</v>
      </c>
      <c r="BN1174" t="s">
        <v>74</v>
      </c>
      <c r="BO1174" t="s">
        <v>6798</v>
      </c>
      <c r="BP1174" t="s">
        <v>74</v>
      </c>
      <c r="BQ1174" t="s">
        <v>74</v>
      </c>
      <c r="BR1174" t="s">
        <v>102</v>
      </c>
      <c r="BS1174" t="s">
        <v>19807</v>
      </c>
      <c r="BT1174" t="str">
        <f>HYPERLINK("https%3A%2F%2Fwww.webofscience.com%2Fwos%2Fwoscc%2Ffull-record%2FWOS:000605704300001","View Full Record in Web of Science")</f>
        <v>View Full Record in Web of Science</v>
      </c>
    </row>
    <row r="1175" spans="1:72" x14ac:dyDescent="0.35">
      <c r="A1175" t="s">
        <v>72</v>
      </c>
      <c r="B1175" t="s">
        <v>19808</v>
      </c>
      <c r="C1175" t="s">
        <v>74</v>
      </c>
      <c r="D1175" t="s">
        <v>74</v>
      </c>
      <c r="E1175" t="s">
        <v>74</v>
      </c>
      <c r="F1175" t="s">
        <v>19809</v>
      </c>
      <c r="G1175" t="s">
        <v>74</v>
      </c>
      <c r="H1175" t="s">
        <v>74</v>
      </c>
      <c r="I1175" t="s">
        <v>19810</v>
      </c>
      <c r="J1175" t="s">
        <v>19811</v>
      </c>
      <c r="K1175" t="s">
        <v>74</v>
      </c>
      <c r="L1175" t="s">
        <v>74</v>
      </c>
      <c r="M1175" t="s">
        <v>78</v>
      </c>
      <c r="N1175" t="s">
        <v>79</v>
      </c>
      <c r="O1175" t="s">
        <v>74</v>
      </c>
      <c r="P1175" t="s">
        <v>74</v>
      </c>
      <c r="Q1175" t="s">
        <v>74</v>
      </c>
      <c r="R1175" t="s">
        <v>74</v>
      </c>
      <c r="S1175" t="s">
        <v>74</v>
      </c>
      <c r="T1175" t="s">
        <v>19812</v>
      </c>
      <c r="U1175" t="s">
        <v>19813</v>
      </c>
      <c r="V1175" t="s">
        <v>19814</v>
      </c>
      <c r="W1175" t="s">
        <v>19815</v>
      </c>
      <c r="X1175" t="s">
        <v>19816</v>
      </c>
      <c r="Y1175" t="s">
        <v>19817</v>
      </c>
      <c r="Z1175" t="s">
        <v>19818</v>
      </c>
      <c r="AA1175" t="s">
        <v>19819</v>
      </c>
      <c r="AB1175" t="s">
        <v>74</v>
      </c>
      <c r="AC1175" t="s">
        <v>19820</v>
      </c>
      <c r="AD1175" t="s">
        <v>19820</v>
      </c>
      <c r="AE1175" t="s">
        <v>19821</v>
      </c>
      <c r="AF1175" t="s">
        <v>74</v>
      </c>
      <c r="AG1175">
        <v>24</v>
      </c>
      <c r="AH1175">
        <v>0</v>
      </c>
      <c r="AI1175">
        <v>0</v>
      </c>
      <c r="AJ1175">
        <v>0</v>
      </c>
      <c r="AK1175">
        <v>0</v>
      </c>
      <c r="AL1175" t="s">
        <v>171</v>
      </c>
      <c r="AM1175" t="s">
        <v>172</v>
      </c>
      <c r="AN1175" t="s">
        <v>173</v>
      </c>
      <c r="AO1175" t="s">
        <v>19822</v>
      </c>
      <c r="AP1175" t="s">
        <v>19823</v>
      </c>
      <c r="AQ1175" t="s">
        <v>74</v>
      </c>
      <c r="AR1175" t="s">
        <v>19824</v>
      </c>
      <c r="AS1175" t="s">
        <v>19825</v>
      </c>
      <c r="AT1175" t="s">
        <v>6608</v>
      </c>
      <c r="AU1175">
        <v>2024</v>
      </c>
      <c r="AV1175" t="s">
        <v>74</v>
      </c>
      <c r="AW1175" t="s">
        <v>74</v>
      </c>
      <c r="AX1175" t="s">
        <v>74</v>
      </c>
      <c r="AY1175" t="s">
        <v>74</v>
      </c>
      <c r="AZ1175" t="s">
        <v>74</v>
      </c>
      <c r="BA1175" t="s">
        <v>74</v>
      </c>
      <c r="BB1175" t="s">
        <v>74</v>
      </c>
      <c r="BC1175" t="s">
        <v>74</v>
      </c>
      <c r="BD1175" t="s">
        <v>74</v>
      </c>
      <c r="BE1175" t="s">
        <v>19826</v>
      </c>
      <c r="BF1175" t="str">
        <f>HYPERLINK("http://dx.doi.org/10.1177/10664807241293149","http://dx.doi.org/10.1177/10664807241293149")</f>
        <v>http://dx.doi.org/10.1177/10664807241293149</v>
      </c>
      <c r="BG1175" t="s">
        <v>74</v>
      </c>
      <c r="BH1175" t="s">
        <v>4092</v>
      </c>
      <c r="BI1175">
        <v>10</v>
      </c>
      <c r="BJ1175" t="s">
        <v>6776</v>
      </c>
      <c r="BK1175" t="s">
        <v>125</v>
      </c>
      <c r="BL1175" t="s">
        <v>6776</v>
      </c>
      <c r="BM1175" t="s">
        <v>19827</v>
      </c>
      <c r="BN1175" t="s">
        <v>74</v>
      </c>
      <c r="BO1175" t="s">
        <v>74</v>
      </c>
      <c r="BP1175" t="s">
        <v>74</v>
      </c>
      <c r="BQ1175" t="s">
        <v>74</v>
      </c>
      <c r="BR1175" t="s">
        <v>102</v>
      </c>
      <c r="BS1175" t="s">
        <v>19828</v>
      </c>
      <c r="BT1175" t="str">
        <f>HYPERLINK("https%3A%2F%2Fwww.webofscience.com%2Fwos%2Fwoscc%2Ffull-record%2FWOS:001347644600001","View Full Record in Web of Science")</f>
        <v>View Full Record in Web of Science</v>
      </c>
    </row>
    <row r="1176" spans="1:72" x14ac:dyDescent="0.35">
      <c r="A1176" t="s">
        <v>72</v>
      </c>
      <c r="B1176" t="s">
        <v>14643</v>
      </c>
      <c r="C1176" t="s">
        <v>74</v>
      </c>
      <c r="D1176" t="s">
        <v>74</v>
      </c>
      <c r="E1176" t="s">
        <v>74</v>
      </c>
      <c r="F1176" t="s">
        <v>14644</v>
      </c>
      <c r="G1176" t="s">
        <v>74</v>
      </c>
      <c r="H1176" t="s">
        <v>74</v>
      </c>
      <c r="I1176" t="s">
        <v>19829</v>
      </c>
      <c r="J1176" t="s">
        <v>19830</v>
      </c>
      <c r="K1176" t="s">
        <v>74</v>
      </c>
      <c r="L1176" t="s">
        <v>74</v>
      </c>
      <c r="M1176" t="s">
        <v>78</v>
      </c>
      <c r="N1176" t="s">
        <v>108</v>
      </c>
      <c r="O1176" t="s">
        <v>74</v>
      </c>
      <c r="P1176" t="s">
        <v>74</v>
      </c>
      <c r="Q1176" t="s">
        <v>74</v>
      </c>
      <c r="R1176" t="s">
        <v>74</v>
      </c>
      <c r="S1176" t="s">
        <v>74</v>
      </c>
      <c r="T1176" t="s">
        <v>74</v>
      </c>
      <c r="U1176" t="s">
        <v>19831</v>
      </c>
      <c r="V1176" t="s">
        <v>19832</v>
      </c>
      <c r="W1176" t="s">
        <v>19833</v>
      </c>
      <c r="X1176" t="s">
        <v>19834</v>
      </c>
      <c r="Y1176" t="s">
        <v>19835</v>
      </c>
      <c r="Z1176" t="s">
        <v>19836</v>
      </c>
      <c r="AA1176" t="s">
        <v>74</v>
      </c>
      <c r="AB1176" t="s">
        <v>74</v>
      </c>
      <c r="AC1176" t="s">
        <v>74</v>
      </c>
      <c r="AD1176" t="s">
        <v>74</v>
      </c>
      <c r="AE1176" t="s">
        <v>74</v>
      </c>
      <c r="AF1176" t="s">
        <v>74</v>
      </c>
      <c r="AG1176">
        <v>30</v>
      </c>
      <c r="AH1176">
        <v>0</v>
      </c>
      <c r="AI1176">
        <v>0</v>
      </c>
      <c r="AJ1176">
        <v>3</v>
      </c>
      <c r="AK1176">
        <v>3</v>
      </c>
      <c r="AL1176" t="s">
        <v>251</v>
      </c>
      <c r="AM1176" t="s">
        <v>252</v>
      </c>
      <c r="AN1176" t="s">
        <v>253</v>
      </c>
      <c r="AO1176" t="s">
        <v>19837</v>
      </c>
      <c r="AP1176" t="s">
        <v>19838</v>
      </c>
      <c r="AQ1176" t="s">
        <v>74</v>
      </c>
      <c r="AR1176" t="s">
        <v>19839</v>
      </c>
      <c r="AS1176" t="s">
        <v>19840</v>
      </c>
      <c r="AT1176" t="s">
        <v>297</v>
      </c>
      <c r="AU1176">
        <v>2024</v>
      </c>
      <c r="AV1176">
        <v>60</v>
      </c>
      <c r="AW1176">
        <v>3</v>
      </c>
      <c r="AX1176" t="s">
        <v>74</v>
      </c>
      <c r="AY1176" t="s">
        <v>74</v>
      </c>
      <c r="AZ1176" t="s">
        <v>74</v>
      </c>
      <c r="BA1176" t="s">
        <v>74</v>
      </c>
      <c r="BB1176">
        <v>350</v>
      </c>
      <c r="BC1176">
        <v>356</v>
      </c>
      <c r="BD1176" t="s">
        <v>74</v>
      </c>
      <c r="BE1176" t="s">
        <v>19841</v>
      </c>
      <c r="BF1176" t="str">
        <f>HYPERLINK("http://dx.doi.org/10.1111/apt.18096","http://dx.doi.org/10.1111/apt.18096")</f>
        <v>http://dx.doi.org/10.1111/apt.18096</v>
      </c>
      <c r="BG1176" t="s">
        <v>74</v>
      </c>
      <c r="BH1176" t="s">
        <v>500</v>
      </c>
      <c r="BI1176">
        <v>7</v>
      </c>
      <c r="BJ1176" t="s">
        <v>19842</v>
      </c>
      <c r="BK1176" t="s">
        <v>209</v>
      </c>
      <c r="BL1176" t="s">
        <v>19842</v>
      </c>
      <c r="BM1176" t="s">
        <v>19843</v>
      </c>
      <c r="BN1176">
        <v>38853598</v>
      </c>
      <c r="BO1176" t="s">
        <v>74</v>
      </c>
      <c r="BP1176" t="s">
        <v>74</v>
      </c>
      <c r="BQ1176" t="s">
        <v>74</v>
      </c>
      <c r="BR1176" t="s">
        <v>102</v>
      </c>
      <c r="BS1176" t="s">
        <v>19844</v>
      </c>
      <c r="BT1176" t="str">
        <f>HYPERLINK("https%3A%2F%2Fwww.webofscience.com%2Fwos%2Fwoscc%2Ffull-record%2FWOS:001242542700001","View Full Record in Web of Science")</f>
        <v>View Full Record in Web of Science</v>
      </c>
    </row>
    <row r="1177" spans="1:72" x14ac:dyDescent="0.35">
      <c r="A1177" t="s">
        <v>72</v>
      </c>
      <c r="B1177" t="s">
        <v>19845</v>
      </c>
      <c r="C1177" t="s">
        <v>74</v>
      </c>
      <c r="D1177" t="s">
        <v>74</v>
      </c>
      <c r="E1177" t="s">
        <v>74</v>
      </c>
      <c r="F1177" t="s">
        <v>19846</v>
      </c>
      <c r="G1177" t="s">
        <v>74</v>
      </c>
      <c r="H1177" t="s">
        <v>74</v>
      </c>
      <c r="I1177" t="s">
        <v>19847</v>
      </c>
      <c r="J1177" t="s">
        <v>9090</v>
      </c>
      <c r="K1177" t="s">
        <v>74</v>
      </c>
      <c r="L1177" t="s">
        <v>74</v>
      </c>
      <c r="M1177" t="s">
        <v>78</v>
      </c>
      <c r="N1177" t="s">
        <v>108</v>
      </c>
      <c r="O1177" t="s">
        <v>74</v>
      </c>
      <c r="P1177" t="s">
        <v>74</v>
      </c>
      <c r="Q1177" t="s">
        <v>74</v>
      </c>
      <c r="R1177" t="s">
        <v>74</v>
      </c>
      <c r="S1177" t="s">
        <v>74</v>
      </c>
      <c r="T1177" t="s">
        <v>74</v>
      </c>
      <c r="U1177" t="s">
        <v>19848</v>
      </c>
      <c r="V1177" t="s">
        <v>19849</v>
      </c>
      <c r="W1177" t="s">
        <v>19850</v>
      </c>
      <c r="X1177" t="s">
        <v>10410</v>
      </c>
      <c r="Y1177" t="s">
        <v>19851</v>
      </c>
      <c r="Z1177" t="s">
        <v>19852</v>
      </c>
      <c r="AA1177" t="s">
        <v>74</v>
      </c>
      <c r="AB1177" t="s">
        <v>19853</v>
      </c>
      <c r="AC1177" t="s">
        <v>74</v>
      </c>
      <c r="AD1177" t="s">
        <v>74</v>
      </c>
      <c r="AE1177" t="s">
        <v>74</v>
      </c>
      <c r="AF1177" t="s">
        <v>74</v>
      </c>
      <c r="AG1177">
        <v>22</v>
      </c>
      <c r="AH1177">
        <v>0</v>
      </c>
      <c r="AI1177">
        <v>0</v>
      </c>
      <c r="AJ1177">
        <v>0</v>
      </c>
      <c r="AK1177">
        <v>2</v>
      </c>
      <c r="AL1177" t="s">
        <v>2248</v>
      </c>
      <c r="AM1177" t="s">
        <v>2249</v>
      </c>
      <c r="AN1177" t="s">
        <v>2250</v>
      </c>
      <c r="AO1177" t="s">
        <v>9096</v>
      </c>
      <c r="AP1177" t="s">
        <v>9097</v>
      </c>
      <c r="AQ1177" t="s">
        <v>74</v>
      </c>
      <c r="AR1177" t="s">
        <v>9098</v>
      </c>
      <c r="AS1177" t="s">
        <v>9099</v>
      </c>
      <c r="AT1177" t="s">
        <v>10144</v>
      </c>
      <c r="AU1177">
        <v>2024</v>
      </c>
      <c r="AV1177">
        <v>44</v>
      </c>
      <c r="AW1177">
        <v>4</v>
      </c>
      <c r="AX1177" t="s">
        <v>74</v>
      </c>
      <c r="AY1177" t="s">
        <v>74</v>
      </c>
      <c r="AZ1177" t="s">
        <v>74</v>
      </c>
      <c r="BA1177" t="s">
        <v>74</v>
      </c>
      <c r="BB1177">
        <v>436</v>
      </c>
      <c r="BC1177">
        <v>443</v>
      </c>
      <c r="BD1177" t="s">
        <v>74</v>
      </c>
      <c r="BE1177" t="s">
        <v>19854</v>
      </c>
      <c r="BF1177" t="str">
        <f>HYPERLINK("http://dx.doi.org/10.1093/asj/sjad347","http://dx.doi.org/10.1093/asj/sjad347")</f>
        <v>http://dx.doi.org/10.1093/asj/sjad347</v>
      </c>
      <c r="BG1177" t="s">
        <v>74</v>
      </c>
      <c r="BH1177" t="s">
        <v>1449</v>
      </c>
      <c r="BI1177">
        <v>8</v>
      </c>
      <c r="BJ1177" t="s">
        <v>4994</v>
      </c>
      <c r="BK1177" t="s">
        <v>209</v>
      </c>
      <c r="BL1177" t="s">
        <v>4994</v>
      </c>
      <c r="BM1177" t="s">
        <v>19855</v>
      </c>
      <c r="BN1177">
        <v>37963100</v>
      </c>
      <c r="BO1177" t="s">
        <v>74</v>
      </c>
      <c r="BP1177" t="s">
        <v>74</v>
      </c>
      <c r="BQ1177" t="s">
        <v>74</v>
      </c>
      <c r="BR1177" t="s">
        <v>102</v>
      </c>
      <c r="BS1177" t="s">
        <v>19856</v>
      </c>
      <c r="BT1177" t="str">
        <f>HYPERLINK("https%3A%2F%2Fwww.webofscience.com%2Fwos%2Fwoscc%2Ffull-record%2FWOS:001122500800001","View Full Record in Web of Science")</f>
        <v>View Full Record in Web of Science</v>
      </c>
    </row>
    <row r="1178" spans="1:72" x14ac:dyDescent="0.35">
      <c r="A1178" t="s">
        <v>72</v>
      </c>
      <c r="B1178" t="s">
        <v>19857</v>
      </c>
      <c r="C1178" t="s">
        <v>74</v>
      </c>
      <c r="D1178" t="s">
        <v>74</v>
      </c>
      <c r="E1178" t="s">
        <v>74</v>
      </c>
      <c r="F1178" t="s">
        <v>19858</v>
      </c>
      <c r="G1178" t="s">
        <v>74</v>
      </c>
      <c r="H1178" t="s">
        <v>74</v>
      </c>
      <c r="I1178" t="s">
        <v>19859</v>
      </c>
      <c r="J1178" t="s">
        <v>793</v>
      </c>
      <c r="K1178" t="s">
        <v>74</v>
      </c>
      <c r="L1178" t="s">
        <v>74</v>
      </c>
      <c r="M1178" t="s">
        <v>78</v>
      </c>
      <c r="N1178" t="s">
        <v>108</v>
      </c>
      <c r="O1178" t="s">
        <v>74</v>
      </c>
      <c r="P1178" t="s">
        <v>74</v>
      </c>
      <c r="Q1178" t="s">
        <v>74</v>
      </c>
      <c r="R1178" t="s">
        <v>74</v>
      </c>
      <c r="S1178" t="s">
        <v>74</v>
      </c>
      <c r="T1178" t="s">
        <v>19860</v>
      </c>
      <c r="U1178" t="s">
        <v>19861</v>
      </c>
      <c r="V1178" t="s">
        <v>19862</v>
      </c>
      <c r="W1178" t="s">
        <v>19863</v>
      </c>
      <c r="X1178" t="s">
        <v>19864</v>
      </c>
      <c r="Y1178" t="s">
        <v>19865</v>
      </c>
      <c r="Z1178" t="s">
        <v>19866</v>
      </c>
      <c r="AA1178" t="s">
        <v>74</v>
      </c>
      <c r="AB1178" t="s">
        <v>74</v>
      </c>
      <c r="AC1178" t="s">
        <v>74</v>
      </c>
      <c r="AD1178" t="s">
        <v>74</v>
      </c>
      <c r="AE1178" t="s">
        <v>74</v>
      </c>
      <c r="AF1178" t="s">
        <v>74</v>
      </c>
      <c r="AG1178">
        <v>20</v>
      </c>
      <c r="AH1178">
        <v>0</v>
      </c>
      <c r="AI1178">
        <v>0</v>
      </c>
      <c r="AJ1178">
        <v>0</v>
      </c>
      <c r="AK1178">
        <v>0</v>
      </c>
      <c r="AL1178" t="s">
        <v>803</v>
      </c>
      <c r="AM1178" t="s">
        <v>227</v>
      </c>
      <c r="AN1178" t="s">
        <v>804</v>
      </c>
      <c r="AO1178" t="s">
        <v>74</v>
      </c>
      <c r="AP1178" t="s">
        <v>805</v>
      </c>
      <c r="AQ1178" t="s">
        <v>74</v>
      </c>
      <c r="AR1178" t="s">
        <v>806</v>
      </c>
      <c r="AS1178" t="s">
        <v>807</v>
      </c>
      <c r="AT1178" t="s">
        <v>19867</v>
      </c>
      <c r="AU1178">
        <v>2024</v>
      </c>
      <c r="AV1178">
        <v>16</v>
      </c>
      <c r="AW1178">
        <v>6</v>
      </c>
      <c r="AX1178" t="s">
        <v>74</v>
      </c>
      <c r="AY1178" t="s">
        <v>74</v>
      </c>
      <c r="AZ1178" t="s">
        <v>74</v>
      </c>
      <c r="BA1178" t="s">
        <v>74</v>
      </c>
      <c r="BB1178" t="s">
        <v>74</v>
      </c>
      <c r="BC1178" t="s">
        <v>74</v>
      </c>
      <c r="BD1178" t="s">
        <v>19868</v>
      </c>
      <c r="BE1178" t="s">
        <v>19869</v>
      </c>
      <c r="BF1178" t="str">
        <f>HYPERLINK("http://dx.doi.org/10.7759/cureus.63102","http://dx.doi.org/10.7759/cureus.63102")</f>
        <v>http://dx.doi.org/10.7759/cureus.63102</v>
      </c>
      <c r="BG1178" t="s">
        <v>74</v>
      </c>
      <c r="BH1178" t="s">
        <v>74</v>
      </c>
      <c r="BI1178">
        <v>9</v>
      </c>
      <c r="BJ1178" t="s">
        <v>811</v>
      </c>
      <c r="BK1178" t="s">
        <v>125</v>
      </c>
      <c r="BL1178" t="s">
        <v>812</v>
      </c>
      <c r="BM1178" t="s">
        <v>19870</v>
      </c>
      <c r="BN1178">
        <v>39070416</v>
      </c>
      <c r="BO1178" t="s">
        <v>394</v>
      </c>
      <c r="BP1178" t="s">
        <v>74</v>
      </c>
      <c r="BQ1178" t="s">
        <v>74</v>
      </c>
      <c r="BR1178" t="s">
        <v>102</v>
      </c>
      <c r="BS1178" t="s">
        <v>19871</v>
      </c>
      <c r="BT1178" t="str">
        <f>HYPERLINK("https%3A%2F%2Fwww.webofscience.com%2Fwos%2Fwoscc%2Ffull-record%2FWOS:001257337900029","View Full Record in Web of Science")</f>
        <v>View Full Record in Web of Science</v>
      </c>
    </row>
    <row r="1179" spans="1:72" x14ac:dyDescent="0.35">
      <c r="A1179" t="s">
        <v>72</v>
      </c>
      <c r="B1179" t="s">
        <v>9061</v>
      </c>
      <c r="C1179" t="s">
        <v>74</v>
      </c>
      <c r="D1179" t="s">
        <v>74</v>
      </c>
      <c r="E1179" t="s">
        <v>74</v>
      </c>
      <c r="F1179" t="s">
        <v>9062</v>
      </c>
      <c r="G1179" t="s">
        <v>74</v>
      </c>
      <c r="H1179" t="s">
        <v>74</v>
      </c>
      <c r="I1179" t="s">
        <v>19872</v>
      </c>
      <c r="J1179" t="s">
        <v>2450</v>
      </c>
      <c r="K1179" t="s">
        <v>74</v>
      </c>
      <c r="L1179" t="s">
        <v>74</v>
      </c>
      <c r="M1179" t="s">
        <v>78</v>
      </c>
      <c r="N1179" t="s">
        <v>108</v>
      </c>
      <c r="O1179" t="s">
        <v>74</v>
      </c>
      <c r="P1179" t="s">
        <v>74</v>
      </c>
      <c r="Q1179" t="s">
        <v>74</v>
      </c>
      <c r="R1179" t="s">
        <v>74</v>
      </c>
      <c r="S1179" t="s">
        <v>74</v>
      </c>
      <c r="T1179" t="s">
        <v>74</v>
      </c>
      <c r="U1179" t="s">
        <v>19873</v>
      </c>
      <c r="V1179" t="s">
        <v>19874</v>
      </c>
      <c r="W1179" t="s">
        <v>13224</v>
      </c>
      <c r="X1179" t="s">
        <v>9069</v>
      </c>
      <c r="Y1179" t="s">
        <v>14771</v>
      </c>
      <c r="Z1179" t="s">
        <v>9071</v>
      </c>
      <c r="AA1179" t="s">
        <v>9072</v>
      </c>
      <c r="AB1179" t="s">
        <v>13226</v>
      </c>
      <c r="AC1179" t="s">
        <v>9074</v>
      </c>
      <c r="AD1179" t="s">
        <v>9075</v>
      </c>
      <c r="AE1179" t="s">
        <v>19875</v>
      </c>
      <c r="AF1179" t="s">
        <v>74</v>
      </c>
      <c r="AG1179">
        <v>84</v>
      </c>
      <c r="AH1179">
        <v>2</v>
      </c>
      <c r="AI1179">
        <v>2</v>
      </c>
      <c r="AJ1179">
        <v>5</v>
      </c>
      <c r="AK1179">
        <v>20</v>
      </c>
      <c r="AL1179" t="s">
        <v>2458</v>
      </c>
      <c r="AM1179" t="s">
        <v>2459</v>
      </c>
      <c r="AN1179" t="s">
        <v>2460</v>
      </c>
      <c r="AO1179" t="s">
        <v>2461</v>
      </c>
      <c r="AP1179" t="s">
        <v>74</v>
      </c>
      <c r="AQ1179" t="s">
        <v>74</v>
      </c>
      <c r="AR1179" t="s">
        <v>2450</v>
      </c>
      <c r="AS1179" t="s">
        <v>2462</v>
      </c>
      <c r="AT1179" t="s">
        <v>19876</v>
      </c>
      <c r="AU1179">
        <v>2023</v>
      </c>
      <c r="AV1179">
        <v>18</v>
      </c>
      <c r="AW1179">
        <v>8</v>
      </c>
      <c r="AX1179" t="s">
        <v>74</v>
      </c>
      <c r="AY1179" t="s">
        <v>74</v>
      </c>
      <c r="AZ1179" t="s">
        <v>74</v>
      </c>
      <c r="BA1179" t="s">
        <v>74</v>
      </c>
      <c r="BB1179" t="s">
        <v>74</v>
      </c>
      <c r="BC1179" t="s">
        <v>74</v>
      </c>
      <c r="BD1179" t="s">
        <v>19877</v>
      </c>
      <c r="BE1179" t="s">
        <v>19878</v>
      </c>
      <c r="BF1179" t="str">
        <f>HYPERLINK("http://dx.doi.org/10.1371/journal.pone.0285987","http://dx.doi.org/10.1371/journal.pone.0285987")</f>
        <v>http://dx.doi.org/10.1371/journal.pone.0285987</v>
      </c>
      <c r="BG1179" t="s">
        <v>74</v>
      </c>
      <c r="BH1179" t="s">
        <v>74</v>
      </c>
      <c r="BI1179">
        <v>14</v>
      </c>
      <c r="BJ1179" t="s">
        <v>1301</v>
      </c>
      <c r="BK1179" t="s">
        <v>209</v>
      </c>
      <c r="BL1179" t="s">
        <v>1302</v>
      </c>
      <c r="BM1179" t="s">
        <v>19879</v>
      </c>
      <c r="BN1179">
        <v>37531317</v>
      </c>
      <c r="BO1179" t="s">
        <v>394</v>
      </c>
      <c r="BP1179" t="s">
        <v>74</v>
      </c>
      <c r="BQ1179" t="s">
        <v>74</v>
      </c>
      <c r="BR1179" t="s">
        <v>102</v>
      </c>
      <c r="BS1179" t="s">
        <v>19880</v>
      </c>
      <c r="BT1179" t="str">
        <f>HYPERLINK("https%3A%2F%2Fwww.webofscience.com%2Fwos%2Fwoscc%2Ffull-record%2FWOS:001043323500001","View Full Record in Web of Science")</f>
        <v>View Full Record in Web of Science</v>
      </c>
    </row>
    <row r="1180" spans="1:72" x14ac:dyDescent="0.35">
      <c r="A1180" t="s">
        <v>72</v>
      </c>
      <c r="B1180" t="s">
        <v>13997</v>
      </c>
      <c r="C1180" t="s">
        <v>74</v>
      </c>
      <c r="D1180" t="s">
        <v>74</v>
      </c>
      <c r="E1180" t="s">
        <v>74</v>
      </c>
      <c r="F1180" t="s">
        <v>13999</v>
      </c>
      <c r="G1180" t="s">
        <v>74</v>
      </c>
      <c r="H1180" t="s">
        <v>74</v>
      </c>
      <c r="I1180" t="s">
        <v>19881</v>
      </c>
      <c r="J1180" t="s">
        <v>19882</v>
      </c>
      <c r="K1180" t="s">
        <v>74</v>
      </c>
      <c r="L1180" t="s">
        <v>74</v>
      </c>
      <c r="M1180" t="s">
        <v>78</v>
      </c>
      <c r="N1180" t="s">
        <v>108</v>
      </c>
      <c r="O1180" t="s">
        <v>74</v>
      </c>
      <c r="P1180" t="s">
        <v>74</v>
      </c>
      <c r="Q1180" t="s">
        <v>74</v>
      </c>
      <c r="R1180" t="s">
        <v>74</v>
      </c>
      <c r="S1180" t="s">
        <v>74</v>
      </c>
      <c r="T1180" t="s">
        <v>19883</v>
      </c>
      <c r="U1180" t="s">
        <v>74</v>
      </c>
      <c r="V1180" t="s">
        <v>19884</v>
      </c>
      <c r="W1180" t="s">
        <v>19885</v>
      </c>
      <c r="X1180" t="s">
        <v>6108</v>
      </c>
      <c r="Y1180" t="s">
        <v>19886</v>
      </c>
      <c r="Z1180" t="s">
        <v>19887</v>
      </c>
      <c r="AA1180" t="s">
        <v>74</v>
      </c>
      <c r="AB1180" t="s">
        <v>19888</v>
      </c>
      <c r="AC1180" t="s">
        <v>74</v>
      </c>
      <c r="AD1180" t="s">
        <v>74</v>
      </c>
      <c r="AE1180" t="s">
        <v>74</v>
      </c>
      <c r="AF1180" t="s">
        <v>74</v>
      </c>
      <c r="AG1180">
        <v>30</v>
      </c>
      <c r="AH1180">
        <v>0</v>
      </c>
      <c r="AI1180">
        <v>0</v>
      </c>
      <c r="AJ1180">
        <v>0</v>
      </c>
      <c r="AK1180">
        <v>0</v>
      </c>
      <c r="AL1180" t="s">
        <v>18120</v>
      </c>
      <c r="AM1180" t="s">
        <v>18121</v>
      </c>
      <c r="AN1180" t="s">
        <v>18122</v>
      </c>
      <c r="AO1180" t="s">
        <v>19889</v>
      </c>
      <c r="AP1180" t="s">
        <v>19890</v>
      </c>
      <c r="AQ1180" t="s">
        <v>74</v>
      </c>
      <c r="AR1180" t="s">
        <v>19891</v>
      </c>
      <c r="AS1180" t="s">
        <v>19892</v>
      </c>
      <c r="AT1180" t="s">
        <v>74</v>
      </c>
      <c r="AU1180">
        <v>2023</v>
      </c>
      <c r="AV1180">
        <v>10</v>
      </c>
      <c r="AW1180">
        <v>1</v>
      </c>
      <c r="AX1180" t="s">
        <v>74</v>
      </c>
      <c r="AY1180" t="s">
        <v>74</v>
      </c>
      <c r="AZ1180" t="s">
        <v>74</v>
      </c>
      <c r="BA1180" t="s">
        <v>74</v>
      </c>
      <c r="BB1180">
        <v>19</v>
      </c>
      <c r="BC1180">
        <v>35</v>
      </c>
      <c r="BD1180" t="s">
        <v>74</v>
      </c>
      <c r="BE1180" t="s">
        <v>19893</v>
      </c>
      <c r="BF1180" t="str">
        <f>HYPERLINK("http://dx.doi.org/10.1558/jwpm.26375","http://dx.doi.org/10.1558/jwpm.26375")</f>
        <v>http://dx.doi.org/10.1558/jwpm.26375</v>
      </c>
      <c r="BG1180" t="s">
        <v>74</v>
      </c>
      <c r="BH1180" t="s">
        <v>74</v>
      </c>
      <c r="BI1180">
        <v>17</v>
      </c>
      <c r="BJ1180" t="s">
        <v>6991</v>
      </c>
      <c r="BK1180" t="s">
        <v>125</v>
      </c>
      <c r="BL1180" t="s">
        <v>6991</v>
      </c>
      <c r="BM1180" t="s">
        <v>19894</v>
      </c>
      <c r="BN1180" t="s">
        <v>74</v>
      </c>
      <c r="BO1180" t="s">
        <v>74</v>
      </c>
      <c r="BP1180" t="s">
        <v>74</v>
      </c>
      <c r="BQ1180" t="s">
        <v>74</v>
      </c>
      <c r="BR1180" t="s">
        <v>102</v>
      </c>
      <c r="BS1180" t="s">
        <v>19895</v>
      </c>
      <c r="BT1180" t="str">
        <f>HYPERLINK("https%3A%2F%2Fwww.webofscience.com%2Fwos%2Fwoscc%2Ffull-record%2FWOS:001041191700003","View Full Record in Web of Science")</f>
        <v>View Full Record in Web of Science</v>
      </c>
    </row>
    <row r="1181" spans="1:72" x14ac:dyDescent="0.35">
      <c r="A1181" t="s">
        <v>72</v>
      </c>
      <c r="B1181" t="s">
        <v>19896</v>
      </c>
      <c r="C1181" t="s">
        <v>74</v>
      </c>
      <c r="D1181" t="s">
        <v>74</v>
      </c>
      <c r="E1181" t="s">
        <v>74</v>
      </c>
      <c r="F1181" t="s">
        <v>19897</v>
      </c>
      <c r="G1181" t="s">
        <v>74</v>
      </c>
      <c r="H1181" t="s">
        <v>74</v>
      </c>
      <c r="I1181" t="s">
        <v>19898</v>
      </c>
      <c r="J1181" t="s">
        <v>19899</v>
      </c>
      <c r="K1181" t="s">
        <v>74</v>
      </c>
      <c r="L1181" t="s">
        <v>74</v>
      </c>
      <c r="M1181" t="s">
        <v>78</v>
      </c>
      <c r="N1181" t="s">
        <v>108</v>
      </c>
      <c r="O1181" t="s">
        <v>74</v>
      </c>
      <c r="P1181" t="s">
        <v>74</v>
      </c>
      <c r="Q1181" t="s">
        <v>74</v>
      </c>
      <c r="R1181" t="s">
        <v>74</v>
      </c>
      <c r="S1181" t="s">
        <v>74</v>
      </c>
      <c r="T1181" t="s">
        <v>19900</v>
      </c>
      <c r="U1181" t="s">
        <v>19901</v>
      </c>
      <c r="V1181" t="s">
        <v>19902</v>
      </c>
      <c r="W1181" t="s">
        <v>19903</v>
      </c>
      <c r="X1181" t="s">
        <v>19904</v>
      </c>
      <c r="Y1181" t="s">
        <v>19905</v>
      </c>
      <c r="Z1181" t="s">
        <v>19906</v>
      </c>
      <c r="AA1181" t="s">
        <v>19907</v>
      </c>
      <c r="AB1181" t="s">
        <v>19908</v>
      </c>
      <c r="AC1181" t="s">
        <v>74</v>
      </c>
      <c r="AD1181" t="s">
        <v>74</v>
      </c>
      <c r="AE1181" t="s">
        <v>74</v>
      </c>
      <c r="AF1181" t="s">
        <v>74</v>
      </c>
      <c r="AG1181">
        <v>73</v>
      </c>
      <c r="AH1181">
        <v>3</v>
      </c>
      <c r="AI1181">
        <v>3</v>
      </c>
      <c r="AJ1181">
        <v>69</v>
      </c>
      <c r="AK1181">
        <v>164</v>
      </c>
      <c r="AL1181" t="s">
        <v>251</v>
      </c>
      <c r="AM1181" t="s">
        <v>252</v>
      </c>
      <c r="AN1181" t="s">
        <v>253</v>
      </c>
      <c r="AO1181" t="s">
        <v>19909</v>
      </c>
      <c r="AP1181" t="s">
        <v>19910</v>
      </c>
      <c r="AQ1181" t="s">
        <v>74</v>
      </c>
      <c r="AR1181" t="s">
        <v>19911</v>
      </c>
      <c r="AS1181" t="s">
        <v>19912</v>
      </c>
      <c r="AT1181" t="s">
        <v>232</v>
      </c>
      <c r="AU1181">
        <v>2024</v>
      </c>
      <c r="AV1181">
        <v>26</v>
      </c>
      <c r="AW1181">
        <v>1</v>
      </c>
      <c r="AX1181" t="s">
        <v>74</v>
      </c>
      <c r="AY1181" t="s">
        <v>74</v>
      </c>
      <c r="AZ1181" t="s">
        <v>74</v>
      </c>
      <c r="BA1181" t="s">
        <v>74</v>
      </c>
      <c r="BB1181" t="s">
        <v>74</v>
      </c>
      <c r="BC1181" t="s">
        <v>74</v>
      </c>
      <c r="BD1181" t="s">
        <v>74</v>
      </c>
      <c r="BE1181" t="s">
        <v>19913</v>
      </c>
      <c r="BF1181" t="str">
        <f>HYPERLINK("http://dx.doi.org/10.1002/jtr.2599","http://dx.doi.org/10.1002/jtr.2599")</f>
        <v>http://dx.doi.org/10.1002/jtr.2599</v>
      </c>
      <c r="BG1181" t="s">
        <v>74</v>
      </c>
      <c r="BH1181" t="s">
        <v>2929</v>
      </c>
      <c r="BI1181">
        <v>10</v>
      </c>
      <c r="BJ1181" t="s">
        <v>574</v>
      </c>
      <c r="BK1181" t="s">
        <v>99</v>
      </c>
      <c r="BL1181" t="s">
        <v>100</v>
      </c>
      <c r="BM1181" t="s">
        <v>19914</v>
      </c>
      <c r="BN1181" t="s">
        <v>74</v>
      </c>
      <c r="BO1181" t="s">
        <v>74</v>
      </c>
      <c r="BP1181" t="s">
        <v>74</v>
      </c>
      <c r="BQ1181" t="s">
        <v>74</v>
      </c>
      <c r="BR1181" t="s">
        <v>102</v>
      </c>
      <c r="BS1181" t="s">
        <v>19915</v>
      </c>
      <c r="BT1181" t="str">
        <f>HYPERLINK("https%3A%2F%2Fwww.webofscience.com%2Fwos%2Fwoscc%2Ffull-record%2FWOS:001071562100001","View Full Record in Web of Science")</f>
        <v>View Full Record in Web of Science</v>
      </c>
    </row>
    <row r="1182" spans="1:72" x14ac:dyDescent="0.35">
      <c r="A1182" t="s">
        <v>72</v>
      </c>
      <c r="B1182" t="s">
        <v>15214</v>
      </c>
      <c r="C1182" t="s">
        <v>74</v>
      </c>
      <c r="D1182" t="s">
        <v>74</v>
      </c>
      <c r="E1182" t="s">
        <v>74</v>
      </c>
      <c r="F1182" t="s">
        <v>15215</v>
      </c>
      <c r="G1182" t="s">
        <v>74</v>
      </c>
      <c r="H1182" t="s">
        <v>74</v>
      </c>
      <c r="I1182" t="s">
        <v>19916</v>
      </c>
      <c r="J1182" t="s">
        <v>9917</v>
      </c>
      <c r="K1182" t="s">
        <v>74</v>
      </c>
      <c r="L1182" t="s">
        <v>74</v>
      </c>
      <c r="M1182" t="s">
        <v>78</v>
      </c>
      <c r="N1182" t="s">
        <v>108</v>
      </c>
      <c r="O1182" t="s">
        <v>74</v>
      </c>
      <c r="P1182" t="s">
        <v>74</v>
      </c>
      <c r="Q1182" t="s">
        <v>74</v>
      </c>
      <c r="R1182" t="s">
        <v>74</v>
      </c>
      <c r="S1182" t="s">
        <v>74</v>
      </c>
      <c r="T1182" t="s">
        <v>19917</v>
      </c>
      <c r="U1182" t="s">
        <v>19918</v>
      </c>
      <c r="V1182" t="s">
        <v>19919</v>
      </c>
      <c r="W1182" t="s">
        <v>19920</v>
      </c>
      <c r="X1182" t="s">
        <v>15218</v>
      </c>
      <c r="Y1182" t="s">
        <v>19921</v>
      </c>
      <c r="Z1182" t="s">
        <v>9920</v>
      </c>
      <c r="AA1182" t="s">
        <v>19922</v>
      </c>
      <c r="AB1182" t="s">
        <v>19923</v>
      </c>
      <c r="AC1182" t="s">
        <v>74</v>
      </c>
      <c r="AD1182" t="s">
        <v>74</v>
      </c>
      <c r="AE1182" t="s">
        <v>74</v>
      </c>
      <c r="AF1182" t="s">
        <v>74</v>
      </c>
      <c r="AG1182">
        <v>36</v>
      </c>
      <c r="AH1182">
        <v>13</v>
      </c>
      <c r="AI1182">
        <v>14</v>
      </c>
      <c r="AJ1182">
        <v>0</v>
      </c>
      <c r="AK1182">
        <v>12</v>
      </c>
      <c r="AL1182" t="s">
        <v>251</v>
      </c>
      <c r="AM1182" t="s">
        <v>252</v>
      </c>
      <c r="AN1182" t="s">
        <v>253</v>
      </c>
      <c r="AO1182" t="s">
        <v>9922</v>
      </c>
      <c r="AP1182" t="s">
        <v>9923</v>
      </c>
      <c r="AQ1182" t="s">
        <v>74</v>
      </c>
      <c r="AR1182" t="s">
        <v>9924</v>
      </c>
      <c r="AS1182" t="s">
        <v>9925</v>
      </c>
      <c r="AT1182" t="s">
        <v>273</v>
      </c>
      <c r="AU1182">
        <v>2022</v>
      </c>
      <c r="AV1182">
        <v>41</v>
      </c>
      <c r="AW1182">
        <v>5</v>
      </c>
      <c r="AX1182" t="s">
        <v>74</v>
      </c>
      <c r="AY1182" t="s">
        <v>74</v>
      </c>
      <c r="AZ1182" t="s">
        <v>74</v>
      </c>
      <c r="BA1182" t="s">
        <v>74</v>
      </c>
      <c r="BB1182">
        <v>1119</v>
      </c>
      <c r="BC1182">
        <v>1125</v>
      </c>
      <c r="BD1182" t="s">
        <v>74</v>
      </c>
      <c r="BE1182" t="s">
        <v>19924</v>
      </c>
      <c r="BF1182" t="str">
        <f>HYPERLINK("http://dx.doi.org/10.1111/dar.13433","http://dx.doi.org/10.1111/dar.13433")</f>
        <v>http://dx.doi.org/10.1111/dar.13433</v>
      </c>
      <c r="BG1182" t="s">
        <v>74</v>
      </c>
      <c r="BH1182" t="s">
        <v>2076</v>
      </c>
      <c r="BI1182">
        <v>7</v>
      </c>
      <c r="BJ1182" t="s">
        <v>4614</v>
      </c>
      <c r="BK1182" t="s">
        <v>99</v>
      </c>
      <c r="BL1182" t="s">
        <v>4614</v>
      </c>
      <c r="BM1182" t="s">
        <v>19925</v>
      </c>
      <c r="BN1182">
        <v>35073422</v>
      </c>
      <c r="BO1182" t="s">
        <v>74</v>
      </c>
      <c r="BP1182" t="s">
        <v>74</v>
      </c>
      <c r="BQ1182" t="s">
        <v>74</v>
      </c>
      <c r="BR1182" t="s">
        <v>102</v>
      </c>
      <c r="BS1182" t="s">
        <v>19926</v>
      </c>
      <c r="BT1182" t="str">
        <f>HYPERLINK("https%3A%2F%2Fwww.webofscience.com%2Fwos%2Fwoscc%2Ffull-record%2FWOS:000746077700001","View Full Record in Web of Science")</f>
        <v>View Full Record in Web of Science</v>
      </c>
    </row>
    <row r="1183" spans="1:72" x14ac:dyDescent="0.35">
      <c r="A1183" t="s">
        <v>72</v>
      </c>
      <c r="B1183" t="s">
        <v>19927</v>
      </c>
      <c r="C1183" t="s">
        <v>74</v>
      </c>
      <c r="D1183" t="s">
        <v>74</v>
      </c>
      <c r="E1183" t="s">
        <v>74</v>
      </c>
      <c r="F1183" t="s">
        <v>19928</v>
      </c>
      <c r="G1183" t="s">
        <v>74</v>
      </c>
      <c r="H1183" t="s">
        <v>74</v>
      </c>
      <c r="I1183" t="s">
        <v>19929</v>
      </c>
      <c r="J1183" t="s">
        <v>2649</v>
      </c>
      <c r="K1183" t="s">
        <v>74</v>
      </c>
      <c r="L1183" t="s">
        <v>74</v>
      </c>
      <c r="M1183" t="s">
        <v>78</v>
      </c>
      <c r="N1183" t="s">
        <v>108</v>
      </c>
      <c r="O1183" t="s">
        <v>74</v>
      </c>
      <c r="P1183" t="s">
        <v>74</v>
      </c>
      <c r="Q1183" t="s">
        <v>74</v>
      </c>
      <c r="R1183" t="s">
        <v>74</v>
      </c>
      <c r="S1183" t="s">
        <v>74</v>
      </c>
      <c r="T1183" t="s">
        <v>19930</v>
      </c>
      <c r="U1183" t="s">
        <v>19931</v>
      </c>
      <c r="V1183" t="s">
        <v>19932</v>
      </c>
      <c r="W1183" t="s">
        <v>19933</v>
      </c>
      <c r="X1183" t="s">
        <v>19934</v>
      </c>
      <c r="Y1183" t="s">
        <v>19935</v>
      </c>
      <c r="Z1183" t="s">
        <v>19936</v>
      </c>
      <c r="AA1183" t="s">
        <v>19937</v>
      </c>
      <c r="AB1183" t="s">
        <v>19938</v>
      </c>
      <c r="AC1183" t="s">
        <v>19939</v>
      </c>
      <c r="AD1183" t="s">
        <v>19940</v>
      </c>
      <c r="AE1183" t="s">
        <v>19941</v>
      </c>
      <c r="AF1183" t="s">
        <v>74</v>
      </c>
      <c r="AG1183">
        <v>48</v>
      </c>
      <c r="AH1183">
        <v>28</v>
      </c>
      <c r="AI1183">
        <v>33</v>
      </c>
      <c r="AJ1183">
        <v>6</v>
      </c>
      <c r="AK1183">
        <v>83</v>
      </c>
      <c r="AL1183" t="s">
        <v>2662</v>
      </c>
      <c r="AM1183" t="s">
        <v>2663</v>
      </c>
      <c r="AN1183" t="s">
        <v>2664</v>
      </c>
      <c r="AO1183" t="s">
        <v>2665</v>
      </c>
      <c r="AP1183" t="s">
        <v>74</v>
      </c>
      <c r="AQ1183" t="s">
        <v>74</v>
      </c>
      <c r="AR1183" t="s">
        <v>2666</v>
      </c>
      <c r="AS1183" t="s">
        <v>2667</v>
      </c>
      <c r="AT1183" t="s">
        <v>74</v>
      </c>
      <c r="AU1183">
        <v>2022</v>
      </c>
      <c r="AV1183">
        <v>10</v>
      </c>
      <c r="AW1183">
        <v>1</v>
      </c>
      <c r="AX1183" t="s">
        <v>74</v>
      </c>
      <c r="AY1183" t="s">
        <v>74</v>
      </c>
      <c r="AZ1183" t="s">
        <v>74</v>
      </c>
      <c r="BA1183" t="s">
        <v>74</v>
      </c>
      <c r="BB1183">
        <v>208</v>
      </c>
      <c r="BC1183">
        <v>221</v>
      </c>
      <c r="BD1183" t="s">
        <v>74</v>
      </c>
      <c r="BE1183" t="s">
        <v>19942</v>
      </c>
      <c r="BF1183" t="str">
        <f>HYPERLINK("http://dx.doi.org/10.17645/mac.v10i1.4743","http://dx.doi.org/10.17645/mac.v10i1.4743")</f>
        <v>http://dx.doi.org/10.17645/mac.v10i1.4743</v>
      </c>
      <c r="BG1183" t="s">
        <v>74</v>
      </c>
      <c r="BH1183" t="s">
        <v>74</v>
      </c>
      <c r="BI1183">
        <v>14</v>
      </c>
      <c r="BJ1183" t="s">
        <v>124</v>
      </c>
      <c r="BK1183" t="s">
        <v>99</v>
      </c>
      <c r="BL1183" t="s">
        <v>124</v>
      </c>
      <c r="BM1183" t="s">
        <v>3104</v>
      </c>
      <c r="BN1183" t="s">
        <v>74</v>
      </c>
      <c r="BO1183" t="s">
        <v>552</v>
      </c>
      <c r="BP1183" t="s">
        <v>74</v>
      </c>
      <c r="BQ1183" t="s">
        <v>74</v>
      </c>
      <c r="BR1183" t="s">
        <v>102</v>
      </c>
      <c r="BS1183" t="s">
        <v>19943</v>
      </c>
      <c r="BT1183" t="str">
        <f>HYPERLINK("https%3A%2F%2Fwww.webofscience.com%2Fwos%2Fwoscc%2Ffull-record%2FWOS:000762434300008","View Full Record in Web of Science")</f>
        <v>View Full Record in Web of Science</v>
      </c>
    </row>
    <row r="1184" spans="1:72" x14ac:dyDescent="0.35">
      <c r="A1184" t="s">
        <v>128</v>
      </c>
      <c r="B1184" t="s">
        <v>19944</v>
      </c>
      <c r="C1184" t="s">
        <v>74</v>
      </c>
      <c r="D1184" t="s">
        <v>74</v>
      </c>
      <c r="E1184" t="s">
        <v>702</v>
      </c>
      <c r="F1184" t="s">
        <v>19945</v>
      </c>
      <c r="G1184" t="s">
        <v>74</v>
      </c>
      <c r="H1184" t="s">
        <v>74</v>
      </c>
      <c r="I1184" t="s">
        <v>19946</v>
      </c>
      <c r="J1184" t="s">
        <v>883</v>
      </c>
      <c r="K1184" t="s">
        <v>74</v>
      </c>
      <c r="L1184" t="s">
        <v>74</v>
      </c>
      <c r="M1184" t="s">
        <v>78</v>
      </c>
      <c r="N1184" t="s">
        <v>135</v>
      </c>
      <c r="O1184" t="s">
        <v>884</v>
      </c>
      <c r="P1184" t="s">
        <v>829</v>
      </c>
      <c r="Q1184" t="s">
        <v>830</v>
      </c>
      <c r="R1184" t="s">
        <v>831</v>
      </c>
      <c r="S1184" t="s">
        <v>74</v>
      </c>
      <c r="T1184" t="s">
        <v>19947</v>
      </c>
      <c r="U1184" t="s">
        <v>19948</v>
      </c>
      <c r="V1184" t="s">
        <v>19949</v>
      </c>
      <c r="W1184" t="s">
        <v>19950</v>
      </c>
      <c r="X1184" t="s">
        <v>19951</v>
      </c>
      <c r="Y1184" t="s">
        <v>19952</v>
      </c>
      <c r="Z1184" t="s">
        <v>19953</v>
      </c>
      <c r="AA1184" t="s">
        <v>19954</v>
      </c>
      <c r="AB1184" t="s">
        <v>19955</v>
      </c>
      <c r="AC1184" t="s">
        <v>19956</v>
      </c>
      <c r="AD1184" t="s">
        <v>19957</v>
      </c>
      <c r="AE1184" t="s">
        <v>19958</v>
      </c>
      <c r="AF1184" t="s">
        <v>74</v>
      </c>
      <c r="AG1184">
        <v>143</v>
      </c>
      <c r="AH1184">
        <v>0</v>
      </c>
      <c r="AI1184">
        <v>0</v>
      </c>
      <c r="AJ1184">
        <v>3</v>
      </c>
      <c r="AK1184">
        <v>3</v>
      </c>
      <c r="AL1184" t="s">
        <v>718</v>
      </c>
      <c r="AM1184" t="s">
        <v>666</v>
      </c>
      <c r="AN1184" t="s">
        <v>719</v>
      </c>
      <c r="AO1184" t="s">
        <v>74</v>
      </c>
      <c r="AP1184" t="s">
        <v>74</v>
      </c>
      <c r="AQ1184" t="s">
        <v>892</v>
      </c>
      <c r="AR1184" t="s">
        <v>74</v>
      </c>
      <c r="AS1184" t="s">
        <v>74</v>
      </c>
      <c r="AT1184" t="s">
        <v>74</v>
      </c>
      <c r="AU1184">
        <v>2024</v>
      </c>
      <c r="AV1184" t="s">
        <v>74</v>
      </c>
      <c r="AW1184" t="s">
        <v>74</v>
      </c>
      <c r="AX1184" t="s">
        <v>74</v>
      </c>
      <c r="AY1184" t="s">
        <v>74</v>
      </c>
      <c r="AZ1184" t="s">
        <v>74</v>
      </c>
      <c r="BA1184" t="s">
        <v>74</v>
      </c>
      <c r="BB1184" t="s">
        <v>74</v>
      </c>
      <c r="BC1184" t="s">
        <v>74</v>
      </c>
      <c r="BD1184" t="s">
        <v>74</v>
      </c>
      <c r="BE1184" t="s">
        <v>19959</v>
      </c>
      <c r="BF1184" t="str">
        <f>HYPERLINK("http://dx.doi.org/10.1145/3613904.3642413","http://dx.doi.org/10.1145/3613904.3642413")</f>
        <v>http://dx.doi.org/10.1145/3613904.3642413</v>
      </c>
      <c r="BG1184" t="s">
        <v>74</v>
      </c>
      <c r="BH1184" t="s">
        <v>74</v>
      </c>
      <c r="BI1184">
        <v>18</v>
      </c>
      <c r="BJ1184" t="s">
        <v>894</v>
      </c>
      <c r="BK1184" t="s">
        <v>723</v>
      </c>
      <c r="BL1184" t="s">
        <v>210</v>
      </c>
      <c r="BM1184" t="s">
        <v>895</v>
      </c>
      <c r="BN1184" t="s">
        <v>74</v>
      </c>
      <c r="BO1184" t="s">
        <v>767</v>
      </c>
      <c r="BP1184" t="s">
        <v>74</v>
      </c>
      <c r="BQ1184" t="s">
        <v>74</v>
      </c>
      <c r="BR1184" t="s">
        <v>102</v>
      </c>
      <c r="BS1184" t="s">
        <v>19960</v>
      </c>
      <c r="BT1184" t="str">
        <f>HYPERLINK("https%3A%2F%2Fwww.webofscience.com%2Fwos%2Fwoscc%2Ffull-record%2FWOS:001259864900012","View Full Record in Web of Science")</f>
        <v>View Full Record in Web of Science</v>
      </c>
    </row>
    <row r="1185" spans="1:72" x14ac:dyDescent="0.35">
      <c r="A1185" t="s">
        <v>72</v>
      </c>
      <c r="B1185" t="s">
        <v>19961</v>
      </c>
      <c r="C1185" t="s">
        <v>74</v>
      </c>
      <c r="D1185" t="s">
        <v>74</v>
      </c>
      <c r="E1185" t="s">
        <v>74</v>
      </c>
      <c r="F1185" t="s">
        <v>19962</v>
      </c>
      <c r="G1185" t="s">
        <v>74</v>
      </c>
      <c r="H1185" t="s">
        <v>74</v>
      </c>
      <c r="I1185" t="s">
        <v>19963</v>
      </c>
      <c r="J1185" t="s">
        <v>13233</v>
      </c>
      <c r="K1185" t="s">
        <v>74</v>
      </c>
      <c r="L1185" t="s">
        <v>74</v>
      </c>
      <c r="M1185" t="s">
        <v>78</v>
      </c>
      <c r="N1185" t="s">
        <v>108</v>
      </c>
      <c r="O1185" t="s">
        <v>74</v>
      </c>
      <c r="P1185" t="s">
        <v>74</v>
      </c>
      <c r="Q1185" t="s">
        <v>74</v>
      </c>
      <c r="R1185" t="s">
        <v>74</v>
      </c>
      <c r="S1185" t="s">
        <v>74</v>
      </c>
      <c r="T1185" t="s">
        <v>19964</v>
      </c>
      <c r="U1185" t="s">
        <v>19965</v>
      </c>
      <c r="V1185" t="s">
        <v>19966</v>
      </c>
      <c r="W1185" t="s">
        <v>19967</v>
      </c>
      <c r="X1185" t="s">
        <v>19968</v>
      </c>
      <c r="Y1185" t="s">
        <v>19969</v>
      </c>
      <c r="Z1185" t="s">
        <v>19970</v>
      </c>
      <c r="AA1185" t="s">
        <v>74</v>
      </c>
      <c r="AB1185" t="s">
        <v>19971</v>
      </c>
      <c r="AC1185" t="s">
        <v>74</v>
      </c>
      <c r="AD1185" t="s">
        <v>74</v>
      </c>
      <c r="AE1185" t="s">
        <v>74</v>
      </c>
      <c r="AF1185" t="s">
        <v>74</v>
      </c>
      <c r="AG1185">
        <v>66</v>
      </c>
      <c r="AH1185">
        <v>0</v>
      </c>
      <c r="AI1185">
        <v>0</v>
      </c>
      <c r="AJ1185">
        <v>8</v>
      </c>
      <c r="AK1185">
        <v>8</v>
      </c>
      <c r="AL1185" t="s">
        <v>171</v>
      </c>
      <c r="AM1185" t="s">
        <v>172</v>
      </c>
      <c r="AN1185" t="s">
        <v>173</v>
      </c>
      <c r="AO1185" t="s">
        <v>13246</v>
      </c>
      <c r="AP1185" t="s">
        <v>74</v>
      </c>
      <c r="AQ1185" t="s">
        <v>74</v>
      </c>
      <c r="AR1185" t="s">
        <v>13233</v>
      </c>
      <c r="AS1185" t="s">
        <v>13247</v>
      </c>
      <c r="AT1185" t="s">
        <v>930</v>
      </c>
      <c r="AU1185">
        <v>2024</v>
      </c>
      <c r="AV1185">
        <v>14</v>
      </c>
      <c r="AW1185">
        <v>2</v>
      </c>
      <c r="AX1185" t="s">
        <v>74</v>
      </c>
      <c r="AY1185" t="s">
        <v>74</v>
      </c>
      <c r="AZ1185" t="s">
        <v>74</v>
      </c>
      <c r="BA1185" t="s">
        <v>74</v>
      </c>
      <c r="BB1185" t="s">
        <v>74</v>
      </c>
      <c r="BC1185" t="s">
        <v>74</v>
      </c>
      <c r="BD1185">
        <v>2.1582440241255424E+16</v>
      </c>
      <c r="BE1185" t="s">
        <v>19972</v>
      </c>
      <c r="BF1185" t="str">
        <f>HYPERLINK("http://dx.doi.org/10.1177/21582440241255426","http://dx.doi.org/10.1177/21582440241255426")</f>
        <v>http://dx.doi.org/10.1177/21582440241255426</v>
      </c>
      <c r="BG1185" t="s">
        <v>74</v>
      </c>
      <c r="BH1185" t="s">
        <v>74</v>
      </c>
      <c r="BI1185">
        <v>20</v>
      </c>
      <c r="BJ1185" t="s">
        <v>98</v>
      </c>
      <c r="BK1185" t="s">
        <v>99</v>
      </c>
      <c r="BL1185" t="s">
        <v>100</v>
      </c>
      <c r="BM1185" t="s">
        <v>19973</v>
      </c>
      <c r="BN1185" t="s">
        <v>74</v>
      </c>
      <c r="BO1185" t="s">
        <v>235</v>
      </c>
      <c r="BP1185" t="s">
        <v>74</v>
      </c>
      <c r="BQ1185" t="s">
        <v>74</v>
      </c>
      <c r="BR1185" t="s">
        <v>102</v>
      </c>
      <c r="BS1185" t="s">
        <v>19974</v>
      </c>
      <c r="BT1185" t="str">
        <f>HYPERLINK("https%3A%2F%2Fwww.webofscience.com%2Fwos%2Fwoscc%2Ffull-record%2FWOS:001229538200001","View Full Record in Web of Science")</f>
        <v>View Full Record in Web of Science</v>
      </c>
    </row>
    <row r="1186" spans="1:72" x14ac:dyDescent="0.35">
      <c r="A1186" t="s">
        <v>72</v>
      </c>
      <c r="B1186" t="s">
        <v>19975</v>
      </c>
      <c r="C1186" t="s">
        <v>74</v>
      </c>
      <c r="D1186" t="s">
        <v>74</v>
      </c>
      <c r="E1186" t="s">
        <v>74</v>
      </c>
      <c r="F1186" t="s">
        <v>19976</v>
      </c>
      <c r="G1186" t="s">
        <v>74</v>
      </c>
      <c r="H1186" t="s">
        <v>74</v>
      </c>
      <c r="I1186" t="s">
        <v>19977</v>
      </c>
      <c r="J1186" t="s">
        <v>19978</v>
      </c>
      <c r="K1186" t="s">
        <v>74</v>
      </c>
      <c r="L1186" t="s">
        <v>74</v>
      </c>
      <c r="M1186" t="s">
        <v>78</v>
      </c>
      <c r="N1186" t="s">
        <v>108</v>
      </c>
      <c r="O1186" t="s">
        <v>74</v>
      </c>
      <c r="P1186" t="s">
        <v>74</v>
      </c>
      <c r="Q1186" t="s">
        <v>74</v>
      </c>
      <c r="R1186" t="s">
        <v>74</v>
      </c>
      <c r="S1186" t="s">
        <v>74</v>
      </c>
      <c r="T1186" t="s">
        <v>19979</v>
      </c>
      <c r="U1186" t="s">
        <v>19980</v>
      </c>
      <c r="V1186" t="s">
        <v>19981</v>
      </c>
      <c r="W1186" t="s">
        <v>19982</v>
      </c>
      <c r="X1186" t="s">
        <v>19983</v>
      </c>
      <c r="Y1186" t="s">
        <v>19984</v>
      </c>
      <c r="Z1186" t="s">
        <v>19985</v>
      </c>
      <c r="AA1186" t="s">
        <v>19986</v>
      </c>
      <c r="AB1186" t="s">
        <v>19987</v>
      </c>
      <c r="AC1186" t="s">
        <v>19988</v>
      </c>
      <c r="AD1186" t="s">
        <v>19989</v>
      </c>
      <c r="AE1186" t="s">
        <v>19990</v>
      </c>
      <c r="AF1186" t="s">
        <v>74</v>
      </c>
      <c r="AG1186">
        <v>53</v>
      </c>
      <c r="AH1186">
        <v>6</v>
      </c>
      <c r="AI1186">
        <v>6</v>
      </c>
      <c r="AJ1186">
        <v>8</v>
      </c>
      <c r="AK1186">
        <v>74</v>
      </c>
      <c r="AL1186" t="s">
        <v>88</v>
      </c>
      <c r="AM1186" t="s">
        <v>89</v>
      </c>
      <c r="AN1186" t="s">
        <v>90</v>
      </c>
      <c r="AO1186" t="s">
        <v>19991</v>
      </c>
      <c r="AP1186" t="s">
        <v>19992</v>
      </c>
      <c r="AQ1186" t="s">
        <v>74</v>
      </c>
      <c r="AR1186" t="s">
        <v>19993</v>
      </c>
      <c r="AS1186" t="s">
        <v>19994</v>
      </c>
      <c r="AT1186" t="s">
        <v>18008</v>
      </c>
      <c r="AU1186">
        <v>2023</v>
      </c>
      <c r="AV1186">
        <v>18</v>
      </c>
      <c r="AW1186">
        <v>2</v>
      </c>
      <c r="AX1186" t="s">
        <v>74</v>
      </c>
      <c r="AY1186" t="s">
        <v>74</v>
      </c>
      <c r="AZ1186" t="s">
        <v>74</v>
      </c>
      <c r="BA1186" t="s">
        <v>74</v>
      </c>
      <c r="BB1186">
        <v>210</v>
      </c>
      <c r="BC1186">
        <v>230</v>
      </c>
      <c r="BD1186" t="s">
        <v>74</v>
      </c>
      <c r="BE1186" t="s">
        <v>19995</v>
      </c>
      <c r="BF1186" t="str">
        <f>HYPERLINK("http://dx.doi.org/10.1080/15546128.2022.2096734","http://dx.doi.org/10.1080/15546128.2022.2096734")</f>
        <v>http://dx.doi.org/10.1080/15546128.2022.2096734</v>
      </c>
      <c r="BG1186" t="s">
        <v>74</v>
      </c>
      <c r="BH1186" t="s">
        <v>2175</v>
      </c>
      <c r="BI1186">
        <v>21</v>
      </c>
      <c r="BJ1186" t="s">
        <v>787</v>
      </c>
      <c r="BK1186" t="s">
        <v>125</v>
      </c>
      <c r="BL1186" t="s">
        <v>787</v>
      </c>
      <c r="BM1186" t="s">
        <v>19996</v>
      </c>
      <c r="BN1186" t="s">
        <v>74</v>
      </c>
      <c r="BO1186" t="s">
        <v>74</v>
      </c>
      <c r="BP1186" t="s">
        <v>74</v>
      </c>
      <c r="BQ1186" t="s">
        <v>74</v>
      </c>
      <c r="BR1186" t="s">
        <v>102</v>
      </c>
      <c r="BS1186" t="s">
        <v>19997</v>
      </c>
      <c r="BT1186" t="str">
        <f>HYPERLINK("https%3A%2F%2Fwww.webofscience.com%2Fwos%2Fwoscc%2Ffull-record%2FWOS:000824428700001","View Full Record in Web of Science")</f>
        <v>View Full Record in Web of Science</v>
      </c>
    </row>
    <row r="1187" spans="1:72" x14ac:dyDescent="0.35">
      <c r="A1187" t="s">
        <v>72</v>
      </c>
      <c r="B1187" t="s">
        <v>19998</v>
      </c>
      <c r="C1187" t="s">
        <v>74</v>
      </c>
      <c r="D1187" t="s">
        <v>74</v>
      </c>
      <c r="E1187" t="s">
        <v>74</v>
      </c>
      <c r="F1187" t="s">
        <v>19999</v>
      </c>
      <c r="G1187" t="s">
        <v>74</v>
      </c>
      <c r="H1187" t="s">
        <v>74</v>
      </c>
      <c r="I1187" t="s">
        <v>20000</v>
      </c>
      <c r="J1187" t="s">
        <v>6561</v>
      </c>
      <c r="K1187" t="s">
        <v>74</v>
      </c>
      <c r="L1187" t="s">
        <v>74</v>
      </c>
      <c r="M1187" t="s">
        <v>78</v>
      </c>
      <c r="N1187" t="s">
        <v>108</v>
      </c>
      <c r="O1187" t="s">
        <v>74</v>
      </c>
      <c r="P1187" t="s">
        <v>74</v>
      </c>
      <c r="Q1187" t="s">
        <v>74</v>
      </c>
      <c r="R1187" t="s">
        <v>74</v>
      </c>
      <c r="S1187" t="s">
        <v>74</v>
      </c>
      <c r="T1187" t="s">
        <v>20001</v>
      </c>
      <c r="U1187" t="s">
        <v>20002</v>
      </c>
      <c r="V1187" t="s">
        <v>20003</v>
      </c>
      <c r="W1187" t="s">
        <v>20004</v>
      </c>
      <c r="X1187" t="s">
        <v>20005</v>
      </c>
      <c r="Y1187" t="s">
        <v>20006</v>
      </c>
      <c r="Z1187" t="s">
        <v>20007</v>
      </c>
      <c r="AA1187" t="s">
        <v>74</v>
      </c>
      <c r="AB1187" t="s">
        <v>74</v>
      </c>
      <c r="AC1187" t="s">
        <v>74</v>
      </c>
      <c r="AD1187" t="s">
        <v>74</v>
      </c>
      <c r="AE1187" t="s">
        <v>74</v>
      </c>
      <c r="AF1187" t="s">
        <v>74</v>
      </c>
      <c r="AG1187">
        <v>73</v>
      </c>
      <c r="AH1187">
        <v>0</v>
      </c>
      <c r="AI1187">
        <v>0</v>
      </c>
      <c r="AJ1187">
        <v>1</v>
      </c>
      <c r="AK1187">
        <v>1</v>
      </c>
      <c r="AL1187" t="s">
        <v>6569</v>
      </c>
      <c r="AM1187" t="s">
        <v>5806</v>
      </c>
      <c r="AN1187" t="s">
        <v>5807</v>
      </c>
      <c r="AO1187" t="s">
        <v>6570</v>
      </c>
      <c r="AP1187" t="s">
        <v>6571</v>
      </c>
      <c r="AQ1187" t="s">
        <v>74</v>
      </c>
      <c r="AR1187" t="s">
        <v>6572</v>
      </c>
      <c r="AS1187" t="s">
        <v>6573</v>
      </c>
      <c r="AT1187" t="s">
        <v>74</v>
      </c>
      <c r="AU1187">
        <v>2023</v>
      </c>
      <c r="AV1187">
        <v>21</v>
      </c>
      <c r="AW1187">
        <v>11</v>
      </c>
      <c r="AX1187" t="s">
        <v>74</v>
      </c>
      <c r="AY1187" t="s">
        <v>74</v>
      </c>
      <c r="AZ1187" t="s">
        <v>74</v>
      </c>
      <c r="BA1187" t="s">
        <v>74</v>
      </c>
      <c r="BB1187">
        <v>91</v>
      </c>
      <c r="BC1187">
        <v>101</v>
      </c>
      <c r="BD1187" t="s">
        <v>74</v>
      </c>
      <c r="BE1187" t="s">
        <v>20008</v>
      </c>
      <c r="BF1187" t="str">
        <f>HYPERLINK("http://dx.doi.org/10.15722/jds.21.11.202311.91","http://dx.doi.org/10.15722/jds.21.11.202311.91")</f>
        <v>http://dx.doi.org/10.15722/jds.21.11.202311.91</v>
      </c>
      <c r="BG1187" t="s">
        <v>74</v>
      </c>
      <c r="BH1187" t="s">
        <v>74</v>
      </c>
      <c r="BI1187">
        <v>11</v>
      </c>
      <c r="BJ1187" t="s">
        <v>479</v>
      </c>
      <c r="BK1187" t="s">
        <v>125</v>
      </c>
      <c r="BL1187" t="s">
        <v>480</v>
      </c>
      <c r="BM1187" t="s">
        <v>20009</v>
      </c>
      <c r="BN1187" t="s">
        <v>74</v>
      </c>
      <c r="BO1187" t="s">
        <v>74</v>
      </c>
      <c r="BP1187" t="s">
        <v>74</v>
      </c>
      <c r="BQ1187" t="s">
        <v>74</v>
      </c>
      <c r="BR1187" t="s">
        <v>102</v>
      </c>
      <c r="BS1187" t="s">
        <v>20010</v>
      </c>
      <c r="BT1187" t="str">
        <f>HYPERLINK("https%3A%2F%2Fwww.webofscience.com%2Fwos%2Fwoscc%2Ffull-record%2FWOS:001350714600009","View Full Record in Web of Science")</f>
        <v>View Full Record in Web of Science</v>
      </c>
    </row>
    <row r="1188" spans="1:72" x14ac:dyDescent="0.35">
      <c r="A1188" t="s">
        <v>72</v>
      </c>
      <c r="B1188" t="s">
        <v>20011</v>
      </c>
      <c r="C1188" t="s">
        <v>74</v>
      </c>
      <c r="D1188" t="s">
        <v>74</v>
      </c>
      <c r="E1188" t="s">
        <v>74</v>
      </c>
      <c r="F1188" t="s">
        <v>20012</v>
      </c>
      <c r="G1188" t="s">
        <v>74</v>
      </c>
      <c r="H1188" t="s">
        <v>74</v>
      </c>
      <c r="I1188" t="s">
        <v>20013</v>
      </c>
      <c r="J1188" t="s">
        <v>373</v>
      </c>
      <c r="K1188" t="s">
        <v>74</v>
      </c>
      <c r="L1188" t="s">
        <v>74</v>
      </c>
      <c r="M1188" t="s">
        <v>78</v>
      </c>
      <c r="N1188" t="s">
        <v>108</v>
      </c>
      <c r="O1188" t="s">
        <v>74</v>
      </c>
      <c r="P1188" t="s">
        <v>74</v>
      </c>
      <c r="Q1188" t="s">
        <v>74</v>
      </c>
      <c r="R1188" t="s">
        <v>74</v>
      </c>
      <c r="S1188" t="s">
        <v>74</v>
      </c>
      <c r="T1188" t="s">
        <v>20014</v>
      </c>
      <c r="U1188" t="s">
        <v>20015</v>
      </c>
      <c r="V1188" t="s">
        <v>20016</v>
      </c>
      <c r="W1188" t="s">
        <v>20017</v>
      </c>
      <c r="X1188" t="s">
        <v>74</v>
      </c>
      <c r="Y1188" t="s">
        <v>20018</v>
      </c>
      <c r="Z1188" t="s">
        <v>20019</v>
      </c>
      <c r="AA1188" t="s">
        <v>20020</v>
      </c>
      <c r="AB1188" t="s">
        <v>74</v>
      </c>
      <c r="AC1188" t="s">
        <v>74</v>
      </c>
      <c r="AD1188" t="s">
        <v>74</v>
      </c>
      <c r="AE1188" t="s">
        <v>74</v>
      </c>
      <c r="AF1188" t="s">
        <v>74</v>
      </c>
      <c r="AG1188">
        <v>36</v>
      </c>
      <c r="AH1188">
        <v>2</v>
      </c>
      <c r="AI1188">
        <v>2</v>
      </c>
      <c r="AJ1188">
        <v>0</v>
      </c>
      <c r="AK1188">
        <v>14</v>
      </c>
      <c r="AL1188" t="s">
        <v>384</v>
      </c>
      <c r="AM1188" t="s">
        <v>385</v>
      </c>
      <c r="AN1188" t="s">
        <v>386</v>
      </c>
      <c r="AO1188" t="s">
        <v>74</v>
      </c>
      <c r="AP1188" t="s">
        <v>387</v>
      </c>
      <c r="AQ1188" t="s">
        <v>74</v>
      </c>
      <c r="AR1188" t="s">
        <v>388</v>
      </c>
      <c r="AS1188" t="s">
        <v>389</v>
      </c>
      <c r="AT1188" t="s">
        <v>20021</v>
      </c>
      <c r="AU1188">
        <v>2023</v>
      </c>
      <c r="AV1188">
        <v>11</v>
      </c>
      <c r="AW1188" t="s">
        <v>74</v>
      </c>
      <c r="AX1188" t="s">
        <v>74</v>
      </c>
      <c r="AY1188" t="s">
        <v>74</v>
      </c>
      <c r="AZ1188" t="s">
        <v>74</v>
      </c>
      <c r="BA1188" t="s">
        <v>74</v>
      </c>
      <c r="BB1188" t="s">
        <v>74</v>
      </c>
      <c r="BC1188" t="s">
        <v>74</v>
      </c>
      <c r="BD1188">
        <v>1254603</v>
      </c>
      <c r="BE1188" t="s">
        <v>20022</v>
      </c>
      <c r="BF1188" t="str">
        <f>HYPERLINK("http://dx.doi.org/10.3389/fpubh.2023.1254603","http://dx.doi.org/10.3389/fpubh.2023.1254603")</f>
        <v>http://dx.doi.org/10.3389/fpubh.2023.1254603</v>
      </c>
      <c r="BG1188" t="s">
        <v>74</v>
      </c>
      <c r="BH1188" t="s">
        <v>74</v>
      </c>
      <c r="BI1188">
        <v>9</v>
      </c>
      <c r="BJ1188" t="s">
        <v>392</v>
      </c>
      <c r="BK1188" t="s">
        <v>182</v>
      </c>
      <c r="BL1188" t="s">
        <v>392</v>
      </c>
      <c r="BM1188" t="s">
        <v>20023</v>
      </c>
      <c r="BN1188">
        <v>37876715</v>
      </c>
      <c r="BO1188" t="s">
        <v>394</v>
      </c>
      <c r="BP1188" t="s">
        <v>74</v>
      </c>
      <c r="BQ1188" t="s">
        <v>74</v>
      </c>
      <c r="BR1188" t="s">
        <v>102</v>
      </c>
      <c r="BS1188" t="s">
        <v>20024</v>
      </c>
      <c r="BT1188" t="str">
        <f>HYPERLINK("https%3A%2F%2Fwww.webofscience.com%2Fwos%2Fwoscc%2Ffull-record%2FWOS:001087635200001","View Full Record in Web of Science")</f>
        <v>View Full Record in Web of Science</v>
      </c>
    </row>
    <row r="1189" spans="1:72" x14ac:dyDescent="0.35">
      <c r="A1189" t="s">
        <v>72</v>
      </c>
      <c r="B1189" t="s">
        <v>20025</v>
      </c>
      <c r="C1189" t="s">
        <v>74</v>
      </c>
      <c r="D1189" t="s">
        <v>74</v>
      </c>
      <c r="E1189" t="s">
        <v>74</v>
      </c>
      <c r="F1189" t="s">
        <v>20026</v>
      </c>
      <c r="G1189" t="s">
        <v>74</v>
      </c>
      <c r="H1189" t="s">
        <v>74</v>
      </c>
      <c r="I1189" t="s">
        <v>20027</v>
      </c>
      <c r="J1189" t="s">
        <v>4192</v>
      </c>
      <c r="K1189" t="s">
        <v>74</v>
      </c>
      <c r="L1189" t="s">
        <v>74</v>
      </c>
      <c r="M1189" t="s">
        <v>78</v>
      </c>
      <c r="N1189" t="s">
        <v>108</v>
      </c>
      <c r="O1189" t="s">
        <v>74</v>
      </c>
      <c r="P1189" t="s">
        <v>74</v>
      </c>
      <c r="Q1189" t="s">
        <v>74</v>
      </c>
      <c r="R1189" t="s">
        <v>74</v>
      </c>
      <c r="S1189" t="s">
        <v>74</v>
      </c>
      <c r="T1189" t="s">
        <v>20028</v>
      </c>
      <c r="U1189" t="s">
        <v>19127</v>
      </c>
      <c r="V1189" t="s">
        <v>20029</v>
      </c>
      <c r="W1189" t="s">
        <v>20030</v>
      </c>
      <c r="X1189" t="s">
        <v>20031</v>
      </c>
      <c r="Y1189" t="s">
        <v>20032</v>
      </c>
      <c r="Z1189" t="s">
        <v>20033</v>
      </c>
      <c r="AA1189" t="s">
        <v>20034</v>
      </c>
      <c r="AB1189" t="s">
        <v>20035</v>
      </c>
      <c r="AC1189" t="s">
        <v>74</v>
      </c>
      <c r="AD1189" t="s">
        <v>74</v>
      </c>
      <c r="AE1189" t="s">
        <v>74</v>
      </c>
      <c r="AF1189" t="s">
        <v>74</v>
      </c>
      <c r="AG1189">
        <v>39</v>
      </c>
      <c r="AH1189">
        <v>0</v>
      </c>
      <c r="AI1189">
        <v>0</v>
      </c>
      <c r="AJ1189">
        <v>5</v>
      </c>
      <c r="AK1189">
        <v>13</v>
      </c>
      <c r="AL1189" t="s">
        <v>4200</v>
      </c>
      <c r="AM1189" t="s">
        <v>4201</v>
      </c>
      <c r="AN1189" t="s">
        <v>4202</v>
      </c>
      <c r="AO1189" t="s">
        <v>4203</v>
      </c>
      <c r="AP1189" t="s">
        <v>4204</v>
      </c>
      <c r="AQ1189" t="s">
        <v>74</v>
      </c>
      <c r="AR1189" t="s">
        <v>4205</v>
      </c>
      <c r="AS1189" t="s">
        <v>4206</v>
      </c>
      <c r="AT1189" t="s">
        <v>1275</v>
      </c>
      <c r="AU1189">
        <v>2023</v>
      </c>
      <c r="AV1189" t="s">
        <v>74</v>
      </c>
      <c r="AW1189">
        <v>69</v>
      </c>
      <c r="AX1189" t="s">
        <v>74</v>
      </c>
      <c r="AY1189" t="s">
        <v>74</v>
      </c>
      <c r="AZ1189" t="s">
        <v>74</v>
      </c>
      <c r="BA1189" t="s">
        <v>74</v>
      </c>
      <c r="BB1189">
        <v>93</v>
      </c>
      <c r="BC1189">
        <v>112</v>
      </c>
      <c r="BD1189" t="s">
        <v>74</v>
      </c>
      <c r="BE1189" t="s">
        <v>20036</v>
      </c>
      <c r="BF1189" t="str">
        <f>HYPERLINK("http://dx.doi.org/10.5565/rev/analisi.3634","http://dx.doi.org/10.5565/rev/analisi.3634")</f>
        <v>http://dx.doi.org/10.5565/rev/analisi.3634</v>
      </c>
      <c r="BG1189" t="s">
        <v>74</v>
      </c>
      <c r="BH1189" t="s">
        <v>74</v>
      </c>
      <c r="BI1189">
        <v>20</v>
      </c>
      <c r="BJ1189" t="s">
        <v>124</v>
      </c>
      <c r="BK1189" t="s">
        <v>125</v>
      </c>
      <c r="BL1189" t="s">
        <v>124</v>
      </c>
      <c r="BM1189" t="s">
        <v>4208</v>
      </c>
      <c r="BN1189" t="s">
        <v>74</v>
      </c>
      <c r="BO1189" t="s">
        <v>5678</v>
      </c>
      <c r="BP1189" t="s">
        <v>74</v>
      </c>
      <c r="BQ1189" t="s">
        <v>74</v>
      </c>
      <c r="BR1189" t="s">
        <v>102</v>
      </c>
      <c r="BS1189" t="s">
        <v>20037</v>
      </c>
      <c r="BT1189" t="str">
        <f>HYPERLINK("https%3A%2F%2Fwww.webofscience.com%2Fwos%2Fwoscc%2Ffull-record%2FWOS:001141862900001","View Full Record in Web of Science")</f>
        <v>View Full Record in Web of Science</v>
      </c>
    </row>
    <row r="1190" spans="1:72" x14ac:dyDescent="0.35">
      <c r="A1190" t="s">
        <v>72</v>
      </c>
      <c r="B1190" t="s">
        <v>20038</v>
      </c>
      <c r="C1190" t="s">
        <v>74</v>
      </c>
      <c r="D1190" t="s">
        <v>74</v>
      </c>
      <c r="E1190" t="s">
        <v>74</v>
      </c>
      <c r="F1190" t="s">
        <v>20039</v>
      </c>
      <c r="G1190" t="s">
        <v>74</v>
      </c>
      <c r="H1190" t="s">
        <v>74</v>
      </c>
      <c r="I1190" t="s">
        <v>20040</v>
      </c>
      <c r="J1190" t="s">
        <v>20041</v>
      </c>
      <c r="K1190" t="s">
        <v>74</v>
      </c>
      <c r="L1190" t="s">
        <v>74</v>
      </c>
      <c r="M1190" t="s">
        <v>1012</v>
      </c>
      <c r="N1190" t="s">
        <v>108</v>
      </c>
      <c r="O1190" t="s">
        <v>74</v>
      </c>
      <c r="P1190" t="s">
        <v>74</v>
      </c>
      <c r="Q1190" t="s">
        <v>74</v>
      </c>
      <c r="R1190" t="s">
        <v>74</v>
      </c>
      <c r="S1190" t="s">
        <v>74</v>
      </c>
      <c r="T1190" t="s">
        <v>20042</v>
      </c>
      <c r="U1190" t="s">
        <v>20043</v>
      </c>
      <c r="V1190" t="s">
        <v>20044</v>
      </c>
      <c r="W1190" t="s">
        <v>20045</v>
      </c>
      <c r="X1190" t="s">
        <v>20046</v>
      </c>
      <c r="Y1190" t="s">
        <v>20047</v>
      </c>
      <c r="Z1190" t="s">
        <v>1019</v>
      </c>
      <c r="AA1190" t="s">
        <v>1020</v>
      </c>
      <c r="AB1190" t="s">
        <v>74</v>
      </c>
      <c r="AC1190" t="s">
        <v>74</v>
      </c>
      <c r="AD1190" t="s">
        <v>74</v>
      </c>
      <c r="AE1190" t="s">
        <v>74</v>
      </c>
      <c r="AF1190" t="s">
        <v>74</v>
      </c>
      <c r="AG1190">
        <v>33</v>
      </c>
      <c r="AH1190">
        <v>3</v>
      </c>
      <c r="AI1190">
        <v>3</v>
      </c>
      <c r="AJ1190">
        <v>3</v>
      </c>
      <c r="AK1190">
        <v>16</v>
      </c>
      <c r="AL1190" t="s">
        <v>665</v>
      </c>
      <c r="AM1190" t="s">
        <v>666</v>
      </c>
      <c r="AN1190" t="s">
        <v>667</v>
      </c>
      <c r="AO1190" t="s">
        <v>20048</v>
      </c>
      <c r="AP1190" t="s">
        <v>20049</v>
      </c>
      <c r="AQ1190" t="s">
        <v>74</v>
      </c>
      <c r="AR1190" t="s">
        <v>20050</v>
      </c>
      <c r="AS1190" t="s">
        <v>20051</v>
      </c>
      <c r="AT1190" t="s">
        <v>455</v>
      </c>
      <c r="AU1190">
        <v>2023</v>
      </c>
      <c r="AV1190">
        <v>66</v>
      </c>
      <c r="AW1190">
        <v>9</v>
      </c>
      <c r="AX1190" t="s">
        <v>74</v>
      </c>
      <c r="AY1190" t="s">
        <v>74</v>
      </c>
      <c r="AZ1190" t="s">
        <v>456</v>
      </c>
      <c r="BA1190" t="s">
        <v>74</v>
      </c>
      <c r="BB1190">
        <v>990</v>
      </c>
      <c r="BC1190">
        <v>999</v>
      </c>
      <c r="BD1190" t="s">
        <v>74</v>
      </c>
      <c r="BE1190" t="s">
        <v>20052</v>
      </c>
      <c r="BF1190" t="str">
        <f>HYPERLINK("http://dx.doi.org/10.1007/s00103-023-03698-0","http://dx.doi.org/10.1007/s00103-023-03698-0")</f>
        <v>http://dx.doi.org/10.1007/s00103-023-03698-0</v>
      </c>
      <c r="BG1190" t="s">
        <v>74</v>
      </c>
      <c r="BH1190" t="s">
        <v>180</v>
      </c>
      <c r="BI1190">
        <v>10</v>
      </c>
      <c r="BJ1190" t="s">
        <v>392</v>
      </c>
      <c r="BK1190" t="s">
        <v>209</v>
      </c>
      <c r="BL1190" t="s">
        <v>392</v>
      </c>
      <c r="BM1190" t="s">
        <v>20053</v>
      </c>
      <c r="BN1190">
        <v>37160419</v>
      </c>
      <c r="BO1190" t="s">
        <v>1343</v>
      </c>
      <c r="BP1190" t="s">
        <v>74</v>
      </c>
      <c r="BQ1190" t="s">
        <v>74</v>
      </c>
      <c r="BR1190" t="s">
        <v>102</v>
      </c>
      <c r="BS1190" t="s">
        <v>20054</v>
      </c>
      <c r="BT1190" t="str">
        <f>HYPERLINK("https%3A%2F%2Fwww.webofscience.com%2Fwos%2Fwoscc%2Ffull-record%2FWOS:000985417600001","View Full Record in Web of Science")</f>
        <v>View Full Record in Web of Science</v>
      </c>
    </row>
    <row r="1191" spans="1:72" x14ac:dyDescent="0.35">
      <c r="A1191" t="s">
        <v>72</v>
      </c>
      <c r="B1191" t="s">
        <v>20055</v>
      </c>
      <c r="C1191" t="s">
        <v>74</v>
      </c>
      <c r="D1191" t="s">
        <v>74</v>
      </c>
      <c r="E1191" t="s">
        <v>74</v>
      </c>
      <c r="F1191" t="s">
        <v>20056</v>
      </c>
      <c r="G1191" t="s">
        <v>74</v>
      </c>
      <c r="H1191" t="s">
        <v>74</v>
      </c>
      <c r="I1191" t="s">
        <v>20057</v>
      </c>
      <c r="J1191" t="s">
        <v>5221</v>
      </c>
      <c r="K1191" t="s">
        <v>74</v>
      </c>
      <c r="L1191" t="s">
        <v>74</v>
      </c>
      <c r="M1191" t="s">
        <v>3503</v>
      </c>
      <c r="N1191" t="s">
        <v>108</v>
      </c>
      <c r="O1191" t="s">
        <v>74</v>
      </c>
      <c r="P1191" t="s">
        <v>74</v>
      </c>
      <c r="Q1191" t="s">
        <v>74</v>
      </c>
      <c r="R1191" t="s">
        <v>74</v>
      </c>
      <c r="S1191" t="s">
        <v>74</v>
      </c>
      <c r="T1191" t="s">
        <v>20058</v>
      </c>
      <c r="U1191" t="s">
        <v>20059</v>
      </c>
      <c r="V1191" t="s">
        <v>20060</v>
      </c>
      <c r="W1191" t="s">
        <v>20061</v>
      </c>
      <c r="X1191" t="s">
        <v>14433</v>
      </c>
      <c r="Y1191" t="s">
        <v>20062</v>
      </c>
      <c r="Z1191" t="s">
        <v>20063</v>
      </c>
      <c r="AA1191" t="s">
        <v>20064</v>
      </c>
      <c r="AB1191" t="s">
        <v>20065</v>
      </c>
      <c r="AC1191" t="s">
        <v>74</v>
      </c>
      <c r="AD1191" t="s">
        <v>74</v>
      </c>
      <c r="AE1191" t="s">
        <v>74</v>
      </c>
      <c r="AF1191" t="s">
        <v>74</v>
      </c>
      <c r="AG1191">
        <v>94</v>
      </c>
      <c r="AH1191">
        <v>21</v>
      </c>
      <c r="AI1191">
        <v>21</v>
      </c>
      <c r="AJ1191">
        <v>8</v>
      </c>
      <c r="AK1191">
        <v>62</v>
      </c>
      <c r="AL1191" t="s">
        <v>5231</v>
      </c>
      <c r="AM1191" t="s">
        <v>5232</v>
      </c>
      <c r="AN1191" t="s">
        <v>5233</v>
      </c>
      <c r="AO1191" t="s">
        <v>5234</v>
      </c>
      <c r="AP1191" t="s">
        <v>5235</v>
      </c>
      <c r="AQ1191" t="s">
        <v>74</v>
      </c>
      <c r="AR1191" t="s">
        <v>5236</v>
      </c>
      <c r="AS1191" t="s">
        <v>5237</v>
      </c>
      <c r="AT1191" t="s">
        <v>18579</v>
      </c>
      <c r="AU1191">
        <v>2022</v>
      </c>
      <c r="AV1191">
        <v>31</v>
      </c>
      <c r="AW1191">
        <v>2</v>
      </c>
      <c r="AX1191" t="s">
        <v>74</v>
      </c>
      <c r="AY1191" t="s">
        <v>74</v>
      </c>
      <c r="AZ1191" t="s">
        <v>74</v>
      </c>
      <c r="BA1191" t="s">
        <v>74</v>
      </c>
      <c r="BB1191" t="s">
        <v>74</v>
      </c>
      <c r="BC1191" t="s">
        <v>74</v>
      </c>
      <c r="BD1191" t="s">
        <v>20066</v>
      </c>
      <c r="BE1191" t="s">
        <v>20067</v>
      </c>
      <c r="BF1191" t="str">
        <f>HYPERLINK("http://dx.doi.org/10.3145/epi.2022.mar.10","http://dx.doi.org/10.3145/epi.2022.mar.10")</f>
        <v>http://dx.doi.org/10.3145/epi.2022.mar.10</v>
      </c>
      <c r="BG1191" t="s">
        <v>74</v>
      </c>
      <c r="BH1191" t="s">
        <v>74</v>
      </c>
      <c r="BI1191">
        <v>20</v>
      </c>
      <c r="BJ1191" t="s">
        <v>5240</v>
      </c>
      <c r="BK1191" t="s">
        <v>99</v>
      </c>
      <c r="BL1191" t="s">
        <v>5240</v>
      </c>
      <c r="BM1191" t="s">
        <v>20068</v>
      </c>
      <c r="BN1191" t="s">
        <v>74</v>
      </c>
      <c r="BO1191" t="s">
        <v>767</v>
      </c>
      <c r="BP1191" t="s">
        <v>74</v>
      </c>
      <c r="BQ1191" t="s">
        <v>74</v>
      </c>
      <c r="BR1191" t="s">
        <v>102</v>
      </c>
      <c r="BS1191" t="s">
        <v>20069</v>
      </c>
      <c r="BT1191" t="str">
        <f>HYPERLINK("https%3A%2F%2Fwww.webofscience.com%2Fwos%2Fwoscc%2Ffull-record%2FWOS:000790300900011","View Full Record in Web of Science")</f>
        <v>View Full Record in Web of Science</v>
      </c>
    </row>
    <row r="1192" spans="1:72" x14ac:dyDescent="0.35">
      <c r="A1192" t="s">
        <v>72</v>
      </c>
      <c r="B1192" t="s">
        <v>20070</v>
      </c>
      <c r="C1192" t="s">
        <v>74</v>
      </c>
      <c r="D1192" t="s">
        <v>74</v>
      </c>
      <c r="E1192" t="s">
        <v>74</v>
      </c>
      <c r="F1192" t="s">
        <v>20071</v>
      </c>
      <c r="G1192" t="s">
        <v>74</v>
      </c>
      <c r="H1192" t="s">
        <v>74</v>
      </c>
      <c r="I1192" t="s">
        <v>20072</v>
      </c>
      <c r="J1192" t="s">
        <v>8249</v>
      </c>
      <c r="K1192" t="s">
        <v>74</v>
      </c>
      <c r="L1192" t="s">
        <v>74</v>
      </c>
      <c r="M1192" t="s">
        <v>78</v>
      </c>
      <c r="N1192" t="s">
        <v>108</v>
      </c>
      <c r="O1192" t="s">
        <v>74</v>
      </c>
      <c r="P1192" t="s">
        <v>74</v>
      </c>
      <c r="Q1192" t="s">
        <v>74</v>
      </c>
      <c r="R1192" t="s">
        <v>74</v>
      </c>
      <c r="S1192" t="s">
        <v>74</v>
      </c>
      <c r="T1192" t="s">
        <v>20073</v>
      </c>
      <c r="U1192" t="s">
        <v>20074</v>
      </c>
      <c r="V1192" t="s">
        <v>20075</v>
      </c>
      <c r="W1192" t="s">
        <v>20076</v>
      </c>
      <c r="X1192" t="s">
        <v>20077</v>
      </c>
      <c r="Y1192" t="s">
        <v>20078</v>
      </c>
      <c r="Z1192" t="s">
        <v>8410</v>
      </c>
      <c r="AA1192" t="s">
        <v>20079</v>
      </c>
      <c r="AB1192" t="s">
        <v>20080</v>
      </c>
      <c r="AC1192" t="s">
        <v>74</v>
      </c>
      <c r="AD1192" t="s">
        <v>74</v>
      </c>
      <c r="AE1192" t="s">
        <v>74</v>
      </c>
      <c r="AF1192" t="s">
        <v>74</v>
      </c>
      <c r="AG1192">
        <v>95</v>
      </c>
      <c r="AH1192">
        <v>3</v>
      </c>
      <c r="AI1192">
        <v>3</v>
      </c>
      <c r="AJ1192">
        <v>3</v>
      </c>
      <c r="AK1192">
        <v>44</v>
      </c>
      <c r="AL1192" t="s">
        <v>10032</v>
      </c>
      <c r="AM1192" t="s">
        <v>10033</v>
      </c>
      <c r="AN1192" t="s">
        <v>10034</v>
      </c>
      <c r="AO1192" t="s">
        <v>8259</v>
      </c>
      <c r="AP1192" t="s">
        <v>74</v>
      </c>
      <c r="AQ1192" t="s">
        <v>74</v>
      </c>
      <c r="AR1192" t="s">
        <v>8260</v>
      </c>
      <c r="AS1192" t="s">
        <v>8261</v>
      </c>
      <c r="AT1192" t="s">
        <v>74</v>
      </c>
      <c r="AU1192">
        <v>2023</v>
      </c>
      <c r="AV1192">
        <v>81</v>
      </c>
      <c r="AW1192" t="s">
        <v>74</v>
      </c>
      <c r="AX1192" t="s">
        <v>74</v>
      </c>
      <c r="AY1192" t="s">
        <v>74</v>
      </c>
      <c r="AZ1192" t="s">
        <v>74</v>
      </c>
      <c r="BA1192" t="s">
        <v>74</v>
      </c>
      <c r="BB1192">
        <v>109</v>
      </c>
      <c r="BC1192">
        <v>132</v>
      </c>
      <c r="BD1192" t="s">
        <v>74</v>
      </c>
      <c r="BE1192" t="s">
        <v>20081</v>
      </c>
      <c r="BF1192" t="str">
        <f>HYPERLINK("http://dx.doi.org/10.4185/RLCS-2023-1841","http://dx.doi.org/10.4185/RLCS-2023-1841")</f>
        <v>http://dx.doi.org/10.4185/RLCS-2023-1841</v>
      </c>
      <c r="BG1192" t="s">
        <v>74</v>
      </c>
      <c r="BH1192" t="s">
        <v>74</v>
      </c>
      <c r="BI1192">
        <v>24</v>
      </c>
      <c r="BJ1192" t="s">
        <v>124</v>
      </c>
      <c r="BK1192" t="s">
        <v>125</v>
      </c>
      <c r="BL1192" t="s">
        <v>124</v>
      </c>
      <c r="BM1192" t="s">
        <v>20082</v>
      </c>
      <c r="BN1192" t="s">
        <v>74</v>
      </c>
      <c r="BO1192" t="s">
        <v>3287</v>
      </c>
      <c r="BP1192" t="s">
        <v>74</v>
      </c>
      <c r="BQ1192" t="s">
        <v>74</v>
      </c>
      <c r="BR1192" t="s">
        <v>102</v>
      </c>
      <c r="BS1192" t="s">
        <v>20083</v>
      </c>
      <c r="BT1192" t="str">
        <f>HYPERLINK("https%3A%2F%2Fwww.webofscience.com%2Fwos%2Fwoscc%2Ffull-record%2FWOS:000891241000002","View Full Record in Web of Science")</f>
        <v>View Full Record in Web of Science</v>
      </c>
    </row>
    <row r="1193" spans="1:72" x14ac:dyDescent="0.35">
      <c r="A1193" t="s">
        <v>72</v>
      </c>
      <c r="B1193" t="s">
        <v>20084</v>
      </c>
      <c r="C1193" t="s">
        <v>74</v>
      </c>
      <c r="D1193" t="s">
        <v>74</v>
      </c>
      <c r="E1193" t="s">
        <v>74</v>
      </c>
      <c r="F1193" t="s">
        <v>20085</v>
      </c>
      <c r="G1193" t="s">
        <v>74</v>
      </c>
      <c r="H1193" t="s">
        <v>74</v>
      </c>
      <c r="I1193" t="s">
        <v>20086</v>
      </c>
      <c r="J1193" t="s">
        <v>20087</v>
      </c>
      <c r="K1193" t="s">
        <v>74</v>
      </c>
      <c r="L1193" t="s">
        <v>74</v>
      </c>
      <c r="M1193" t="s">
        <v>78</v>
      </c>
      <c r="N1193" t="s">
        <v>108</v>
      </c>
      <c r="O1193" t="s">
        <v>74</v>
      </c>
      <c r="P1193" t="s">
        <v>74</v>
      </c>
      <c r="Q1193" t="s">
        <v>74</v>
      </c>
      <c r="R1193" t="s">
        <v>74</v>
      </c>
      <c r="S1193" t="s">
        <v>74</v>
      </c>
      <c r="T1193" t="s">
        <v>20088</v>
      </c>
      <c r="U1193" t="s">
        <v>20089</v>
      </c>
      <c r="V1193" t="s">
        <v>20090</v>
      </c>
      <c r="W1193" t="s">
        <v>20091</v>
      </c>
      <c r="X1193" t="s">
        <v>20092</v>
      </c>
      <c r="Y1193" t="s">
        <v>20093</v>
      </c>
      <c r="Z1193" t="s">
        <v>20094</v>
      </c>
      <c r="AA1193" t="s">
        <v>74</v>
      </c>
      <c r="AB1193" t="s">
        <v>74</v>
      </c>
      <c r="AC1193" t="s">
        <v>20095</v>
      </c>
      <c r="AD1193" t="s">
        <v>9316</v>
      </c>
      <c r="AE1193" t="s">
        <v>20096</v>
      </c>
      <c r="AF1193" t="s">
        <v>74</v>
      </c>
      <c r="AG1193">
        <v>60</v>
      </c>
      <c r="AH1193">
        <v>1</v>
      </c>
      <c r="AI1193">
        <v>1</v>
      </c>
      <c r="AJ1193">
        <v>3</v>
      </c>
      <c r="AK1193">
        <v>3</v>
      </c>
      <c r="AL1193" t="s">
        <v>8832</v>
      </c>
      <c r="AM1193" t="s">
        <v>8833</v>
      </c>
      <c r="AN1193" t="s">
        <v>8834</v>
      </c>
      <c r="AO1193" t="s">
        <v>20097</v>
      </c>
      <c r="AP1193" t="s">
        <v>20098</v>
      </c>
      <c r="AQ1193" t="s">
        <v>74</v>
      </c>
      <c r="AR1193" t="s">
        <v>20099</v>
      </c>
      <c r="AS1193" t="s">
        <v>20100</v>
      </c>
      <c r="AT1193" t="s">
        <v>455</v>
      </c>
      <c r="AU1193">
        <v>2024</v>
      </c>
      <c r="AV1193">
        <v>57</v>
      </c>
      <c r="AW1193">
        <v>3</v>
      </c>
      <c r="AX1193" t="s">
        <v>74</v>
      </c>
      <c r="AY1193" t="s">
        <v>74</v>
      </c>
      <c r="AZ1193" t="s">
        <v>456</v>
      </c>
      <c r="BA1193" t="s">
        <v>74</v>
      </c>
      <c r="BB1193">
        <v>81</v>
      </c>
      <c r="BC1193">
        <v>103</v>
      </c>
      <c r="BD1193" t="s">
        <v>74</v>
      </c>
      <c r="BE1193" t="s">
        <v>20101</v>
      </c>
      <c r="BF1193" t="str">
        <f>HYPERLINK("http://dx.doi.org/10.1525/cpcs.2024.2305308","http://dx.doi.org/10.1525/cpcs.2024.2305308")</f>
        <v>http://dx.doi.org/10.1525/cpcs.2024.2305308</v>
      </c>
      <c r="BG1193" t="s">
        <v>74</v>
      </c>
      <c r="BH1193" t="s">
        <v>74</v>
      </c>
      <c r="BI1193">
        <v>23</v>
      </c>
      <c r="BJ1193" t="s">
        <v>1004</v>
      </c>
      <c r="BK1193" t="s">
        <v>99</v>
      </c>
      <c r="BL1193" t="s">
        <v>1005</v>
      </c>
      <c r="BM1193" t="s">
        <v>20102</v>
      </c>
      <c r="BN1193" t="s">
        <v>74</v>
      </c>
      <c r="BO1193" t="s">
        <v>156</v>
      </c>
      <c r="BP1193" t="s">
        <v>74</v>
      </c>
      <c r="BQ1193" t="s">
        <v>74</v>
      </c>
      <c r="BR1193" t="s">
        <v>102</v>
      </c>
      <c r="BS1193" t="s">
        <v>20103</v>
      </c>
      <c r="BT1193" t="str">
        <f>HYPERLINK("https%3A%2F%2Fwww.webofscience.com%2Fwos%2Fwoscc%2Ffull-record%2FWOS:001306650400005","View Full Record in Web of Science")</f>
        <v>View Full Record in Web of Science</v>
      </c>
    </row>
    <row r="1194" spans="1:72" x14ac:dyDescent="0.35">
      <c r="A1194" t="s">
        <v>72</v>
      </c>
      <c r="B1194" t="s">
        <v>20104</v>
      </c>
      <c r="C1194" t="s">
        <v>74</v>
      </c>
      <c r="D1194" t="s">
        <v>74</v>
      </c>
      <c r="E1194" t="s">
        <v>74</v>
      </c>
      <c r="F1194" t="s">
        <v>20105</v>
      </c>
      <c r="G1194" t="s">
        <v>74</v>
      </c>
      <c r="H1194" t="s">
        <v>74</v>
      </c>
      <c r="I1194" t="s">
        <v>20106</v>
      </c>
      <c r="J1194" t="s">
        <v>17309</v>
      </c>
      <c r="K1194" t="s">
        <v>74</v>
      </c>
      <c r="L1194" t="s">
        <v>74</v>
      </c>
      <c r="M1194" t="s">
        <v>7332</v>
      </c>
      <c r="N1194" t="s">
        <v>108</v>
      </c>
      <c r="O1194" t="s">
        <v>74</v>
      </c>
      <c r="P1194" t="s">
        <v>74</v>
      </c>
      <c r="Q1194" t="s">
        <v>74</v>
      </c>
      <c r="R1194" t="s">
        <v>74</v>
      </c>
      <c r="S1194" t="s">
        <v>74</v>
      </c>
      <c r="T1194" t="s">
        <v>20107</v>
      </c>
      <c r="U1194" t="s">
        <v>74</v>
      </c>
      <c r="V1194" t="s">
        <v>20108</v>
      </c>
      <c r="W1194" t="s">
        <v>20109</v>
      </c>
      <c r="X1194" t="s">
        <v>20110</v>
      </c>
      <c r="Y1194" t="s">
        <v>20111</v>
      </c>
      <c r="Z1194" t="s">
        <v>20112</v>
      </c>
      <c r="AA1194" t="s">
        <v>74</v>
      </c>
      <c r="AB1194" t="s">
        <v>74</v>
      </c>
      <c r="AC1194" t="s">
        <v>74</v>
      </c>
      <c r="AD1194" t="s">
        <v>74</v>
      </c>
      <c r="AE1194" t="s">
        <v>74</v>
      </c>
      <c r="AF1194" t="s">
        <v>74</v>
      </c>
      <c r="AG1194">
        <v>14</v>
      </c>
      <c r="AH1194">
        <v>0</v>
      </c>
      <c r="AI1194">
        <v>0</v>
      </c>
      <c r="AJ1194">
        <v>1</v>
      </c>
      <c r="AK1194">
        <v>16</v>
      </c>
      <c r="AL1194" t="s">
        <v>17315</v>
      </c>
      <c r="AM1194" t="s">
        <v>17316</v>
      </c>
      <c r="AN1194" t="s">
        <v>17317</v>
      </c>
      <c r="AO1194" t="s">
        <v>17318</v>
      </c>
      <c r="AP1194" t="s">
        <v>17319</v>
      </c>
      <c r="AQ1194" t="s">
        <v>74</v>
      </c>
      <c r="AR1194" t="s">
        <v>17320</v>
      </c>
      <c r="AS1194" t="s">
        <v>17321</v>
      </c>
      <c r="AT1194" t="s">
        <v>455</v>
      </c>
      <c r="AU1194">
        <v>2021</v>
      </c>
      <c r="AV1194">
        <v>2</v>
      </c>
      <c r="AW1194">
        <v>41</v>
      </c>
      <c r="AX1194" t="s">
        <v>74</v>
      </c>
      <c r="AY1194" t="s">
        <v>74</v>
      </c>
      <c r="AZ1194" t="s">
        <v>74</v>
      </c>
      <c r="BA1194" t="s">
        <v>74</v>
      </c>
      <c r="BB1194" t="s">
        <v>74</v>
      </c>
      <c r="BC1194" t="s">
        <v>74</v>
      </c>
      <c r="BD1194" t="s">
        <v>74</v>
      </c>
      <c r="BE1194" t="s">
        <v>20113</v>
      </c>
      <c r="BF1194" t="str">
        <f>HYPERLINK("http://dx.doi.org/10.5965/1414573102412021e0112","http://dx.doi.org/10.5965/1414573102412021e0112")</f>
        <v>http://dx.doi.org/10.5965/1414573102412021e0112</v>
      </c>
      <c r="BG1194" t="s">
        <v>74</v>
      </c>
      <c r="BH1194" t="s">
        <v>74</v>
      </c>
      <c r="BI1194">
        <v>30</v>
      </c>
      <c r="BJ1194" t="s">
        <v>315</v>
      </c>
      <c r="BK1194" t="s">
        <v>125</v>
      </c>
      <c r="BL1194" t="s">
        <v>315</v>
      </c>
      <c r="BM1194" t="s">
        <v>20114</v>
      </c>
      <c r="BN1194" t="s">
        <v>74</v>
      </c>
      <c r="BO1194" t="s">
        <v>394</v>
      </c>
      <c r="BP1194" t="s">
        <v>74</v>
      </c>
      <c r="BQ1194" t="s">
        <v>74</v>
      </c>
      <c r="BR1194" t="s">
        <v>102</v>
      </c>
      <c r="BS1194" t="s">
        <v>20115</v>
      </c>
      <c r="BT1194" t="str">
        <f>HYPERLINK("https%3A%2F%2Fwww.webofscience.com%2Fwos%2Fwoscc%2Ffull-record%2FWOS:000740714600017","View Full Record in Web of Science")</f>
        <v>View Full Record in Web of Science</v>
      </c>
    </row>
    <row r="1195" spans="1:72" x14ac:dyDescent="0.35">
      <c r="A1195" t="s">
        <v>72</v>
      </c>
      <c r="B1195" t="s">
        <v>20116</v>
      </c>
      <c r="C1195" t="s">
        <v>74</v>
      </c>
      <c r="D1195" t="s">
        <v>74</v>
      </c>
      <c r="E1195" t="s">
        <v>74</v>
      </c>
      <c r="F1195" t="s">
        <v>20117</v>
      </c>
      <c r="G1195" t="s">
        <v>74</v>
      </c>
      <c r="H1195" t="s">
        <v>74</v>
      </c>
      <c r="I1195" t="s">
        <v>20118</v>
      </c>
      <c r="J1195" t="s">
        <v>20119</v>
      </c>
      <c r="K1195" t="s">
        <v>74</v>
      </c>
      <c r="L1195" t="s">
        <v>74</v>
      </c>
      <c r="M1195" t="s">
        <v>78</v>
      </c>
      <c r="N1195" t="s">
        <v>108</v>
      </c>
      <c r="O1195" t="s">
        <v>74</v>
      </c>
      <c r="P1195" t="s">
        <v>74</v>
      </c>
      <c r="Q1195" t="s">
        <v>74</v>
      </c>
      <c r="R1195" t="s">
        <v>74</v>
      </c>
      <c r="S1195" t="s">
        <v>74</v>
      </c>
      <c r="T1195" t="s">
        <v>20120</v>
      </c>
      <c r="U1195" t="s">
        <v>20121</v>
      </c>
      <c r="V1195" t="s">
        <v>20122</v>
      </c>
      <c r="W1195" t="s">
        <v>20123</v>
      </c>
      <c r="X1195" t="s">
        <v>10898</v>
      </c>
      <c r="Y1195" t="s">
        <v>20124</v>
      </c>
      <c r="Z1195" t="s">
        <v>20125</v>
      </c>
      <c r="AA1195" t="s">
        <v>12207</v>
      </c>
      <c r="AB1195" t="s">
        <v>20126</v>
      </c>
      <c r="AC1195" t="s">
        <v>74</v>
      </c>
      <c r="AD1195" t="s">
        <v>74</v>
      </c>
      <c r="AE1195" t="s">
        <v>74</v>
      </c>
      <c r="AF1195" t="s">
        <v>74</v>
      </c>
      <c r="AG1195">
        <v>39</v>
      </c>
      <c r="AH1195">
        <v>0</v>
      </c>
      <c r="AI1195">
        <v>0</v>
      </c>
      <c r="AJ1195">
        <v>0</v>
      </c>
      <c r="AK1195">
        <v>0</v>
      </c>
      <c r="AL1195" t="s">
        <v>11128</v>
      </c>
      <c r="AM1195" t="s">
        <v>666</v>
      </c>
      <c r="AN1195" t="s">
        <v>11129</v>
      </c>
      <c r="AO1195" t="s">
        <v>20127</v>
      </c>
      <c r="AP1195" t="s">
        <v>20128</v>
      </c>
      <c r="AQ1195" t="s">
        <v>74</v>
      </c>
      <c r="AR1195" t="s">
        <v>20129</v>
      </c>
      <c r="AS1195" t="s">
        <v>20130</v>
      </c>
      <c r="AT1195" t="s">
        <v>273</v>
      </c>
      <c r="AU1195">
        <v>2024</v>
      </c>
      <c r="AV1195">
        <v>41</v>
      </c>
      <c r="AW1195">
        <v>7</v>
      </c>
      <c r="AX1195" t="s">
        <v>74</v>
      </c>
      <c r="AY1195" t="s">
        <v>74</v>
      </c>
      <c r="AZ1195" t="s">
        <v>74</v>
      </c>
      <c r="BA1195" t="s">
        <v>74</v>
      </c>
      <c r="BB1195">
        <v>1763</v>
      </c>
      <c r="BC1195">
        <v>1770</v>
      </c>
      <c r="BD1195" t="s">
        <v>74</v>
      </c>
      <c r="BE1195" t="s">
        <v>20131</v>
      </c>
      <c r="BF1195" t="str">
        <f>HYPERLINK("http://dx.doi.org/10.1007/s10815-024-03110-z","http://dx.doi.org/10.1007/s10815-024-03110-z")</f>
        <v>http://dx.doi.org/10.1007/s10815-024-03110-z</v>
      </c>
      <c r="BG1195" t="s">
        <v>74</v>
      </c>
      <c r="BH1195" t="s">
        <v>2410</v>
      </c>
      <c r="BI1195">
        <v>8</v>
      </c>
      <c r="BJ1195" t="s">
        <v>20132</v>
      </c>
      <c r="BK1195" t="s">
        <v>209</v>
      </c>
      <c r="BL1195" t="s">
        <v>20132</v>
      </c>
      <c r="BM1195" t="s">
        <v>20133</v>
      </c>
      <c r="BN1195">
        <v>38613649</v>
      </c>
      <c r="BO1195" t="s">
        <v>74</v>
      </c>
      <c r="BP1195" t="s">
        <v>74</v>
      </c>
      <c r="BQ1195" t="s">
        <v>74</v>
      </c>
      <c r="BR1195" t="s">
        <v>102</v>
      </c>
      <c r="BS1195" t="s">
        <v>20134</v>
      </c>
      <c r="BT1195" t="str">
        <f>HYPERLINK("https%3A%2F%2Fwww.webofscience.com%2Fwos%2Fwoscc%2Ffull-record%2FWOS:001202002100003","View Full Record in Web of Science")</f>
        <v>View Full Record in Web of Science</v>
      </c>
    </row>
    <row r="1196" spans="1:72" x14ac:dyDescent="0.35">
      <c r="A1196" t="s">
        <v>72</v>
      </c>
      <c r="B1196" t="s">
        <v>20135</v>
      </c>
      <c r="C1196" t="s">
        <v>74</v>
      </c>
      <c r="D1196" t="s">
        <v>74</v>
      </c>
      <c r="E1196" t="s">
        <v>74</v>
      </c>
      <c r="F1196" t="s">
        <v>20136</v>
      </c>
      <c r="G1196" t="s">
        <v>74</v>
      </c>
      <c r="H1196" t="s">
        <v>74</v>
      </c>
      <c r="I1196" t="s">
        <v>20137</v>
      </c>
      <c r="J1196" t="s">
        <v>12597</v>
      </c>
      <c r="K1196" t="s">
        <v>74</v>
      </c>
      <c r="L1196" t="s">
        <v>74</v>
      </c>
      <c r="M1196" t="s">
        <v>78</v>
      </c>
      <c r="N1196" t="s">
        <v>108</v>
      </c>
      <c r="O1196" t="s">
        <v>74</v>
      </c>
      <c r="P1196" t="s">
        <v>74</v>
      </c>
      <c r="Q1196" t="s">
        <v>74</v>
      </c>
      <c r="R1196" t="s">
        <v>74</v>
      </c>
      <c r="S1196" t="s">
        <v>74</v>
      </c>
      <c r="T1196" t="s">
        <v>20138</v>
      </c>
      <c r="U1196" t="s">
        <v>20139</v>
      </c>
      <c r="V1196" t="s">
        <v>20140</v>
      </c>
      <c r="W1196" t="s">
        <v>20141</v>
      </c>
      <c r="X1196" t="s">
        <v>11432</v>
      </c>
      <c r="Y1196" t="s">
        <v>20142</v>
      </c>
      <c r="Z1196" t="s">
        <v>20143</v>
      </c>
      <c r="AA1196" t="s">
        <v>20144</v>
      </c>
      <c r="AB1196" t="s">
        <v>20145</v>
      </c>
      <c r="AC1196" t="s">
        <v>74</v>
      </c>
      <c r="AD1196" t="s">
        <v>74</v>
      </c>
      <c r="AE1196" t="s">
        <v>74</v>
      </c>
      <c r="AF1196" t="s">
        <v>74</v>
      </c>
      <c r="AG1196">
        <v>39</v>
      </c>
      <c r="AH1196">
        <v>76</v>
      </c>
      <c r="AI1196">
        <v>80</v>
      </c>
      <c r="AJ1196">
        <v>38</v>
      </c>
      <c r="AK1196">
        <v>201</v>
      </c>
      <c r="AL1196" t="s">
        <v>290</v>
      </c>
      <c r="AM1196" t="s">
        <v>291</v>
      </c>
      <c r="AN1196" t="s">
        <v>292</v>
      </c>
      <c r="AO1196" t="s">
        <v>12606</v>
      </c>
      <c r="AP1196" t="s">
        <v>12607</v>
      </c>
      <c r="AQ1196" t="s">
        <v>74</v>
      </c>
      <c r="AR1196" t="s">
        <v>12608</v>
      </c>
      <c r="AS1196" t="s">
        <v>12609</v>
      </c>
      <c r="AT1196" t="s">
        <v>1484</v>
      </c>
      <c r="AU1196">
        <v>2022</v>
      </c>
      <c r="AV1196">
        <v>126</v>
      </c>
      <c r="AW1196" t="s">
        <v>74</v>
      </c>
      <c r="AX1196" t="s">
        <v>74</v>
      </c>
      <c r="AY1196" t="s">
        <v>74</v>
      </c>
      <c r="AZ1196" t="s">
        <v>74</v>
      </c>
      <c r="BA1196" t="s">
        <v>74</v>
      </c>
      <c r="BB1196" t="s">
        <v>74</v>
      </c>
      <c r="BC1196" t="s">
        <v>74</v>
      </c>
      <c r="BD1196">
        <v>107204</v>
      </c>
      <c r="BE1196" t="s">
        <v>20146</v>
      </c>
      <c r="BF1196" t="str">
        <f>HYPERLINK("http://dx.doi.org/10.1016/j.addbeh.2021.107204","http://dx.doi.org/10.1016/j.addbeh.2021.107204")</f>
        <v>http://dx.doi.org/10.1016/j.addbeh.2021.107204</v>
      </c>
      <c r="BG1196" t="s">
        <v>74</v>
      </c>
      <c r="BH1196" t="s">
        <v>74</v>
      </c>
      <c r="BI1196">
        <v>5</v>
      </c>
      <c r="BJ1196" t="s">
        <v>12611</v>
      </c>
      <c r="BK1196" t="s">
        <v>182</v>
      </c>
      <c r="BL1196" t="s">
        <v>12612</v>
      </c>
      <c r="BM1196" t="s">
        <v>20147</v>
      </c>
      <c r="BN1196">
        <v>34875508</v>
      </c>
      <c r="BO1196" t="s">
        <v>74</v>
      </c>
      <c r="BP1196" t="s">
        <v>395</v>
      </c>
      <c r="BQ1196" t="s">
        <v>396</v>
      </c>
      <c r="BR1196" t="s">
        <v>102</v>
      </c>
      <c r="BS1196" t="s">
        <v>20148</v>
      </c>
      <c r="BT1196" t="str">
        <f>HYPERLINK("https%3A%2F%2Fwww.webofscience.com%2Fwos%2Fwoscc%2Ffull-record%2FWOS:000822561500022","View Full Record in Web of Science")</f>
        <v>View Full Record in Web of Science</v>
      </c>
    </row>
    <row r="1197" spans="1:72" x14ac:dyDescent="0.35">
      <c r="A1197" t="s">
        <v>72</v>
      </c>
      <c r="B1197" t="s">
        <v>20149</v>
      </c>
      <c r="C1197" t="s">
        <v>74</v>
      </c>
      <c r="D1197" t="s">
        <v>74</v>
      </c>
      <c r="E1197" t="s">
        <v>74</v>
      </c>
      <c r="F1197" t="s">
        <v>20150</v>
      </c>
      <c r="G1197" t="s">
        <v>74</v>
      </c>
      <c r="H1197" t="s">
        <v>74</v>
      </c>
      <c r="I1197" t="s">
        <v>20151</v>
      </c>
      <c r="J1197" t="s">
        <v>20152</v>
      </c>
      <c r="K1197" t="s">
        <v>74</v>
      </c>
      <c r="L1197" t="s">
        <v>74</v>
      </c>
      <c r="M1197" t="s">
        <v>78</v>
      </c>
      <c r="N1197" t="s">
        <v>108</v>
      </c>
      <c r="O1197" t="s">
        <v>74</v>
      </c>
      <c r="P1197" t="s">
        <v>74</v>
      </c>
      <c r="Q1197" t="s">
        <v>74</v>
      </c>
      <c r="R1197" t="s">
        <v>74</v>
      </c>
      <c r="S1197" t="s">
        <v>74</v>
      </c>
      <c r="T1197" t="s">
        <v>20153</v>
      </c>
      <c r="U1197" t="s">
        <v>20154</v>
      </c>
      <c r="V1197" t="s">
        <v>20155</v>
      </c>
      <c r="W1197" t="s">
        <v>20156</v>
      </c>
      <c r="X1197" t="s">
        <v>20157</v>
      </c>
      <c r="Y1197" t="s">
        <v>20158</v>
      </c>
      <c r="Z1197" t="s">
        <v>20159</v>
      </c>
      <c r="AA1197" t="s">
        <v>20160</v>
      </c>
      <c r="AB1197" t="s">
        <v>20161</v>
      </c>
      <c r="AC1197" t="s">
        <v>74</v>
      </c>
      <c r="AD1197" t="s">
        <v>74</v>
      </c>
      <c r="AE1197" t="s">
        <v>74</v>
      </c>
      <c r="AF1197" t="s">
        <v>74</v>
      </c>
      <c r="AG1197">
        <v>37</v>
      </c>
      <c r="AH1197">
        <v>47</v>
      </c>
      <c r="AI1197">
        <v>49</v>
      </c>
      <c r="AJ1197">
        <v>14</v>
      </c>
      <c r="AK1197">
        <v>192</v>
      </c>
      <c r="AL1197" t="s">
        <v>516</v>
      </c>
      <c r="AM1197" t="s">
        <v>517</v>
      </c>
      <c r="AN1197" t="s">
        <v>518</v>
      </c>
      <c r="AO1197" t="s">
        <v>20162</v>
      </c>
      <c r="AP1197" t="s">
        <v>20163</v>
      </c>
      <c r="AQ1197" t="s">
        <v>74</v>
      </c>
      <c r="AR1197" t="s">
        <v>20164</v>
      </c>
      <c r="AS1197" t="s">
        <v>20165</v>
      </c>
      <c r="AT1197" t="s">
        <v>1484</v>
      </c>
      <c r="AU1197">
        <v>2022</v>
      </c>
      <c r="AV1197">
        <v>37</v>
      </c>
      <c r="AW1197" t="s">
        <v>74</v>
      </c>
      <c r="AX1197" t="s">
        <v>74</v>
      </c>
      <c r="AY1197" t="s">
        <v>74</v>
      </c>
      <c r="AZ1197" t="s">
        <v>74</v>
      </c>
      <c r="BA1197" t="s">
        <v>74</v>
      </c>
      <c r="BB1197" t="s">
        <v>74</v>
      </c>
      <c r="BC1197" t="s">
        <v>74</v>
      </c>
      <c r="BD1197">
        <v>100458</v>
      </c>
      <c r="BE1197" t="s">
        <v>20166</v>
      </c>
      <c r="BF1197" t="str">
        <f>HYPERLINK("http://dx.doi.org/10.1016/j.jort.2021.100458","http://dx.doi.org/10.1016/j.jort.2021.100458")</f>
        <v>http://dx.doi.org/10.1016/j.jort.2021.100458</v>
      </c>
      <c r="BG1197" t="s">
        <v>74</v>
      </c>
      <c r="BH1197" t="s">
        <v>74</v>
      </c>
      <c r="BI1197">
        <v>6</v>
      </c>
      <c r="BJ1197" t="s">
        <v>574</v>
      </c>
      <c r="BK1197" t="s">
        <v>99</v>
      </c>
      <c r="BL1197" t="s">
        <v>100</v>
      </c>
      <c r="BM1197" t="s">
        <v>20167</v>
      </c>
      <c r="BN1197" t="s">
        <v>74</v>
      </c>
      <c r="BO1197" t="s">
        <v>156</v>
      </c>
      <c r="BP1197" t="s">
        <v>74</v>
      </c>
      <c r="BQ1197" t="s">
        <v>74</v>
      </c>
      <c r="BR1197" t="s">
        <v>102</v>
      </c>
      <c r="BS1197" t="s">
        <v>20168</v>
      </c>
      <c r="BT1197" t="str">
        <f>HYPERLINK("https%3A%2F%2Fwww.webofscience.com%2Fwos%2Fwoscc%2Ffull-record%2FWOS:000776132900007","View Full Record in Web of Science")</f>
        <v>View Full Record in Web of Science</v>
      </c>
    </row>
    <row r="1198" spans="1:72" x14ac:dyDescent="0.35">
      <c r="A1198" t="s">
        <v>72</v>
      </c>
      <c r="B1198" t="s">
        <v>20169</v>
      </c>
      <c r="C1198" t="s">
        <v>74</v>
      </c>
      <c r="D1198" t="s">
        <v>74</v>
      </c>
      <c r="E1198" t="s">
        <v>74</v>
      </c>
      <c r="F1198" t="s">
        <v>20170</v>
      </c>
      <c r="G1198" t="s">
        <v>74</v>
      </c>
      <c r="H1198" t="s">
        <v>74</v>
      </c>
      <c r="I1198" t="s">
        <v>20171</v>
      </c>
      <c r="J1198" t="s">
        <v>20172</v>
      </c>
      <c r="K1198" t="s">
        <v>74</v>
      </c>
      <c r="L1198" t="s">
        <v>74</v>
      </c>
      <c r="M1198" t="s">
        <v>78</v>
      </c>
      <c r="N1198" t="s">
        <v>108</v>
      </c>
      <c r="O1198" t="s">
        <v>74</v>
      </c>
      <c r="P1198" t="s">
        <v>74</v>
      </c>
      <c r="Q1198" t="s">
        <v>74</v>
      </c>
      <c r="R1198" t="s">
        <v>74</v>
      </c>
      <c r="S1198" t="s">
        <v>74</v>
      </c>
      <c r="T1198" t="s">
        <v>20173</v>
      </c>
      <c r="U1198" t="s">
        <v>20174</v>
      </c>
      <c r="V1198" t="s">
        <v>20175</v>
      </c>
      <c r="W1198" t="s">
        <v>20176</v>
      </c>
      <c r="X1198" t="s">
        <v>20177</v>
      </c>
      <c r="Y1198" t="s">
        <v>20178</v>
      </c>
      <c r="Z1198" t="s">
        <v>20179</v>
      </c>
      <c r="AA1198" t="s">
        <v>74</v>
      </c>
      <c r="AB1198" t="s">
        <v>20180</v>
      </c>
      <c r="AC1198" t="s">
        <v>74</v>
      </c>
      <c r="AD1198" t="s">
        <v>74</v>
      </c>
      <c r="AE1198" t="s">
        <v>74</v>
      </c>
      <c r="AF1198" t="s">
        <v>74</v>
      </c>
      <c r="AG1198">
        <v>27</v>
      </c>
      <c r="AH1198">
        <v>4</v>
      </c>
      <c r="AI1198">
        <v>4</v>
      </c>
      <c r="AJ1198">
        <v>2</v>
      </c>
      <c r="AK1198">
        <v>3</v>
      </c>
      <c r="AL1198" t="s">
        <v>8334</v>
      </c>
      <c r="AM1198" t="s">
        <v>291</v>
      </c>
      <c r="AN1198" t="s">
        <v>8335</v>
      </c>
      <c r="AO1198" t="s">
        <v>74</v>
      </c>
      <c r="AP1198" t="s">
        <v>20181</v>
      </c>
      <c r="AQ1198" t="s">
        <v>74</v>
      </c>
      <c r="AR1198" t="s">
        <v>20182</v>
      </c>
      <c r="AS1198" t="s">
        <v>20183</v>
      </c>
      <c r="AT1198" t="s">
        <v>11259</v>
      </c>
      <c r="AU1198">
        <v>2023</v>
      </c>
      <c r="AV1198">
        <v>11</v>
      </c>
      <c r="AW1198">
        <v>2</v>
      </c>
      <c r="AX1198" t="s">
        <v>74</v>
      </c>
      <c r="AY1198" t="s">
        <v>74</v>
      </c>
      <c r="AZ1198" t="s">
        <v>74</v>
      </c>
      <c r="BA1198" t="s">
        <v>74</v>
      </c>
      <c r="BB1198" t="s">
        <v>74</v>
      </c>
      <c r="BC1198" t="s">
        <v>74</v>
      </c>
      <c r="BD1198" t="s">
        <v>20184</v>
      </c>
      <c r="BE1198" t="s">
        <v>20185</v>
      </c>
      <c r="BF1198" t="str">
        <f>HYPERLINK("http://dx.doi.org/10.1093/sexmed/qfac020","http://dx.doi.org/10.1093/sexmed/qfac020")</f>
        <v>http://dx.doi.org/10.1093/sexmed/qfac020</v>
      </c>
      <c r="BG1198" t="s">
        <v>74</v>
      </c>
      <c r="BH1198" t="s">
        <v>74</v>
      </c>
      <c r="BI1198">
        <v>5</v>
      </c>
      <c r="BJ1198" t="s">
        <v>20186</v>
      </c>
      <c r="BK1198" t="s">
        <v>209</v>
      </c>
      <c r="BL1198" t="s">
        <v>20187</v>
      </c>
      <c r="BM1198" t="s">
        <v>20188</v>
      </c>
      <c r="BN1198">
        <v>36910705</v>
      </c>
      <c r="BO1198" t="s">
        <v>394</v>
      </c>
      <c r="BP1198" t="s">
        <v>74</v>
      </c>
      <c r="BQ1198" t="s">
        <v>74</v>
      </c>
      <c r="BR1198" t="s">
        <v>102</v>
      </c>
      <c r="BS1198" t="s">
        <v>20189</v>
      </c>
      <c r="BT1198" t="str">
        <f>HYPERLINK("https%3A%2F%2Fwww.webofscience.com%2Fwos%2Fwoscc%2Ffull-record%2FWOS:001096220900010","View Full Record in Web of Science")</f>
        <v>View Full Record in Web of Science</v>
      </c>
    </row>
    <row r="1199" spans="1:72" x14ac:dyDescent="0.35">
      <c r="A1199" t="s">
        <v>72</v>
      </c>
      <c r="B1199" t="s">
        <v>20190</v>
      </c>
      <c r="C1199" t="s">
        <v>74</v>
      </c>
      <c r="D1199" t="s">
        <v>74</v>
      </c>
      <c r="E1199" t="s">
        <v>74</v>
      </c>
      <c r="F1199" t="s">
        <v>20191</v>
      </c>
      <c r="G1199" t="s">
        <v>74</v>
      </c>
      <c r="H1199" t="s">
        <v>74</v>
      </c>
      <c r="I1199" t="s">
        <v>20192</v>
      </c>
      <c r="J1199" t="s">
        <v>20193</v>
      </c>
      <c r="K1199" t="s">
        <v>74</v>
      </c>
      <c r="L1199" t="s">
        <v>74</v>
      </c>
      <c r="M1199" t="s">
        <v>7332</v>
      </c>
      <c r="N1199" t="s">
        <v>108</v>
      </c>
      <c r="O1199" t="s">
        <v>74</v>
      </c>
      <c r="P1199" t="s">
        <v>74</v>
      </c>
      <c r="Q1199" t="s">
        <v>74</v>
      </c>
      <c r="R1199" t="s">
        <v>74</v>
      </c>
      <c r="S1199" t="s">
        <v>74</v>
      </c>
      <c r="T1199" t="s">
        <v>20194</v>
      </c>
      <c r="U1199" t="s">
        <v>74</v>
      </c>
      <c r="V1199" t="s">
        <v>20195</v>
      </c>
      <c r="W1199" t="s">
        <v>20196</v>
      </c>
      <c r="X1199" t="s">
        <v>20197</v>
      </c>
      <c r="Y1199" t="s">
        <v>20198</v>
      </c>
      <c r="Z1199" t="s">
        <v>20199</v>
      </c>
      <c r="AA1199" t="s">
        <v>74</v>
      </c>
      <c r="AB1199" t="s">
        <v>74</v>
      </c>
      <c r="AC1199" t="s">
        <v>74</v>
      </c>
      <c r="AD1199" t="s">
        <v>74</v>
      </c>
      <c r="AE1199" t="s">
        <v>74</v>
      </c>
      <c r="AF1199" t="s">
        <v>74</v>
      </c>
      <c r="AG1199">
        <v>21</v>
      </c>
      <c r="AH1199">
        <v>0</v>
      </c>
      <c r="AI1199">
        <v>0</v>
      </c>
      <c r="AJ1199">
        <v>1</v>
      </c>
      <c r="AK1199">
        <v>4</v>
      </c>
      <c r="AL1199" t="s">
        <v>20200</v>
      </c>
      <c r="AM1199" t="s">
        <v>20201</v>
      </c>
      <c r="AN1199" t="s">
        <v>20202</v>
      </c>
      <c r="AO1199" t="s">
        <v>20203</v>
      </c>
      <c r="AP1199" t="s">
        <v>20204</v>
      </c>
      <c r="AQ1199" t="s">
        <v>74</v>
      </c>
      <c r="AR1199" t="s">
        <v>20193</v>
      </c>
      <c r="AS1199" t="s">
        <v>20205</v>
      </c>
      <c r="AT1199" t="s">
        <v>2968</v>
      </c>
      <c r="AU1199">
        <v>2023</v>
      </c>
      <c r="AV1199" t="s">
        <v>74</v>
      </c>
      <c r="AW1199">
        <v>39</v>
      </c>
      <c r="AX1199" t="s">
        <v>74</v>
      </c>
      <c r="AY1199" t="s">
        <v>74</v>
      </c>
      <c r="AZ1199" t="s">
        <v>74</v>
      </c>
      <c r="BA1199" t="s">
        <v>74</v>
      </c>
      <c r="BB1199">
        <v>201</v>
      </c>
      <c r="BC1199">
        <v>225</v>
      </c>
      <c r="BD1199" t="s">
        <v>74</v>
      </c>
      <c r="BE1199" t="s">
        <v>74</v>
      </c>
      <c r="BF1199" t="s">
        <v>74</v>
      </c>
      <c r="BG1199" t="s">
        <v>74</v>
      </c>
      <c r="BH1199" t="s">
        <v>74</v>
      </c>
      <c r="BI1199">
        <v>25</v>
      </c>
      <c r="BJ1199" t="s">
        <v>4461</v>
      </c>
      <c r="BK1199" t="s">
        <v>125</v>
      </c>
      <c r="BL1199" t="s">
        <v>4462</v>
      </c>
      <c r="BM1199" t="s">
        <v>20206</v>
      </c>
      <c r="BN1199" t="s">
        <v>74</v>
      </c>
      <c r="BO1199" t="s">
        <v>74</v>
      </c>
      <c r="BP1199" t="s">
        <v>74</v>
      </c>
      <c r="BQ1199" t="s">
        <v>74</v>
      </c>
      <c r="BR1199" t="s">
        <v>102</v>
      </c>
      <c r="BS1199" t="s">
        <v>20207</v>
      </c>
      <c r="BT1199" t="str">
        <f>HYPERLINK("https%3A%2F%2Fwww.webofscience.com%2Fwos%2Fwoscc%2Ffull-record%2FWOS:001114323600011","View Full Record in Web of Science")</f>
        <v>View Full Record in Web of Science</v>
      </c>
    </row>
    <row r="1200" spans="1:72" x14ac:dyDescent="0.35">
      <c r="A1200" t="s">
        <v>72</v>
      </c>
      <c r="B1200" t="s">
        <v>20208</v>
      </c>
      <c r="C1200" t="s">
        <v>74</v>
      </c>
      <c r="D1200" t="s">
        <v>74</v>
      </c>
      <c r="E1200" t="s">
        <v>74</v>
      </c>
      <c r="F1200" t="s">
        <v>20209</v>
      </c>
      <c r="G1200" t="s">
        <v>74</v>
      </c>
      <c r="H1200" t="s">
        <v>74</v>
      </c>
      <c r="I1200" t="s">
        <v>20210</v>
      </c>
      <c r="J1200" t="s">
        <v>9971</v>
      </c>
      <c r="K1200" t="s">
        <v>74</v>
      </c>
      <c r="L1200" t="s">
        <v>74</v>
      </c>
      <c r="M1200" t="s">
        <v>78</v>
      </c>
      <c r="N1200" t="s">
        <v>108</v>
      </c>
      <c r="O1200" t="s">
        <v>74</v>
      </c>
      <c r="P1200" t="s">
        <v>74</v>
      </c>
      <c r="Q1200" t="s">
        <v>74</v>
      </c>
      <c r="R1200" t="s">
        <v>74</v>
      </c>
      <c r="S1200" t="s">
        <v>74</v>
      </c>
      <c r="T1200" t="s">
        <v>20211</v>
      </c>
      <c r="U1200" t="s">
        <v>74</v>
      </c>
      <c r="V1200" t="s">
        <v>20212</v>
      </c>
      <c r="W1200" t="s">
        <v>20213</v>
      </c>
      <c r="X1200" t="s">
        <v>20214</v>
      </c>
      <c r="Y1200" t="s">
        <v>20215</v>
      </c>
      <c r="Z1200" t="s">
        <v>74</v>
      </c>
      <c r="AA1200" t="s">
        <v>74</v>
      </c>
      <c r="AB1200" t="s">
        <v>74</v>
      </c>
      <c r="AC1200" t="s">
        <v>74</v>
      </c>
      <c r="AD1200" t="s">
        <v>74</v>
      </c>
      <c r="AE1200" t="s">
        <v>74</v>
      </c>
      <c r="AF1200" t="s">
        <v>74</v>
      </c>
      <c r="AG1200">
        <v>53</v>
      </c>
      <c r="AH1200">
        <v>0</v>
      </c>
      <c r="AI1200">
        <v>0</v>
      </c>
      <c r="AJ1200">
        <v>1</v>
      </c>
      <c r="AK1200">
        <v>1</v>
      </c>
      <c r="AL1200" t="s">
        <v>9978</v>
      </c>
      <c r="AM1200" t="s">
        <v>6529</v>
      </c>
      <c r="AN1200" t="s">
        <v>9979</v>
      </c>
      <c r="AO1200" t="s">
        <v>9980</v>
      </c>
      <c r="AP1200" t="s">
        <v>74</v>
      </c>
      <c r="AQ1200" t="s">
        <v>74</v>
      </c>
      <c r="AR1200" t="s">
        <v>9981</v>
      </c>
      <c r="AS1200" t="s">
        <v>9982</v>
      </c>
      <c r="AT1200" t="s">
        <v>8762</v>
      </c>
      <c r="AU1200">
        <v>2023</v>
      </c>
      <c r="AV1200">
        <v>21</v>
      </c>
      <c r="AW1200">
        <v>2</v>
      </c>
      <c r="AX1200" t="s">
        <v>74</v>
      </c>
      <c r="AY1200" t="s">
        <v>74</v>
      </c>
      <c r="AZ1200" t="s">
        <v>74</v>
      </c>
      <c r="BA1200" t="s">
        <v>74</v>
      </c>
      <c r="BB1200" t="s">
        <v>74</v>
      </c>
      <c r="BC1200" t="s">
        <v>74</v>
      </c>
      <c r="BD1200" t="s">
        <v>74</v>
      </c>
      <c r="BE1200" t="s">
        <v>20216</v>
      </c>
      <c r="BF1200" t="str">
        <f>HYPERLINK("http://dx.doi.org/10.7195/ri14.v21i2.2026","http://dx.doi.org/10.7195/ri14.v21i2.2026")</f>
        <v>http://dx.doi.org/10.7195/ri14.v21i2.2026</v>
      </c>
      <c r="BG1200" t="s">
        <v>74</v>
      </c>
      <c r="BH1200" t="s">
        <v>74</v>
      </c>
      <c r="BI1200">
        <v>21</v>
      </c>
      <c r="BJ1200" t="s">
        <v>124</v>
      </c>
      <c r="BK1200" t="s">
        <v>125</v>
      </c>
      <c r="BL1200" t="s">
        <v>124</v>
      </c>
      <c r="BM1200" t="s">
        <v>20217</v>
      </c>
      <c r="BN1200" t="s">
        <v>74</v>
      </c>
      <c r="BO1200" t="s">
        <v>552</v>
      </c>
      <c r="BP1200" t="s">
        <v>74</v>
      </c>
      <c r="BQ1200" t="s">
        <v>74</v>
      </c>
      <c r="BR1200" t="s">
        <v>102</v>
      </c>
      <c r="BS1200" t="s">
        <v>20218</v>
      </c>
      <c r="BT1200" t="str">
        <f>HYPERLINK("https%3A%2F%2Fwww.webofscience.com%2Fwos%2Fwoscc%2Ffull-record%2FWOS:001100696500001","View Full Record in Web of Science")</f>
        <v>View Full Record in Web of Science</v>
      </c>
    </row>
    <row r="1201" spans="1:72" x14ac:dyDescent="0.35">
      <c r="A1201" t="s">
        <v>128</v>
      </c>
      <c r="B1201" t="s">
        <v>20219</v>
      </c>
      <c r="C1201" t="s">
        <v>74</v>
      </c>
      <c r="D1201" t="s">
        <v>20220</v>
      </c>
      <c r="E1201" t="s">
        <v>74</v>
      </c>
      <c r="F1201" t="s">
        <v>20221</v>
      </c>
      <c r="G1201" t="s">
        <v>74</v>
      </c>
      <c r="H1201" t="s">
        <v>74</v>
      </c>
      <c r="I1201" t="s">
        <v>20222</v>
      </c>
      <c r="J1201" t="s">
        <v>20223</v>
      </c>
      <c r="K1201" t="s">
        <v>17886</v>
      </c>
      <c r="L1201" t="s">
        <v>74</v>
      </c>
      <c r="M1201" t="s">
        <v>78</v>
      </c>
      <c r="N1201" t="s">
        <v>135</v>
      </c>
      <c r="O1201" t="s">
        <v>20224</v>
      </c>
      <c r="P1201" t="s">
        <v>20225</v>
      </c>
      <c r="Q1201" t="s">
        <v>138</v>
      </c>
      <c r="R1201" t="s">
        <v>20226</v>
      </c>
      <c r="S1201" t="s">
        <v>74</v>
      </c>
      <c r="T1201" t="s">
        <v>74</v>
      </c>
      <c r="U1201" t="s">
        <v>74</v>
      </c>
      <c r="V1201" t="s">
        <v>20227</v>
      </c>
      <c r="W1201" t="s">
        <v>20228</v>
      </c>
      <c r="X1201" t="s">
        <v>20229</v>
      </c>
      <c r="Y1201" t="s">
        <v>20230</v>
      </c>
      <c r="Z1201" t="s">
        <v>20231</v>
      </c>
      <c r="AA1201" t="s">
        <v>20232</v>
      </c>
      <c r="AB1201" t="s">
        <v>20233</v>
      </c>
      <c r="AC1201" t="s">
        <v>20234</v>
      </c>
      <c r="AD1201" t="s">
        <v>1108</v>
      </c>
      <c r="AE1201" t="s">
        <v>20235</v>
      </c>
      <c r="AF1201" t="s">
        <v>74</v>
      </c>
      <c r="AG1201">
        <v>40</v>
      </c>
      <c r="AH1201">
        <v>23</v>
      </c>
      <c r="AI1201">
        <v>24</v>
      </c>
      <c r="AJ1201">
        <v>3</v>
      </c>
      <c r="AK1201">
        <v>26</v>
      </c>
      <c r="AL1201" t="s">
        <v>1677</v>
      </c>
      <c r="AM1201" t="s">
        <v>666</v>
      </c>
      <c r="AN1201" t="s">
        <v>1692</v>
      </c>
      <c r="AO1201" t="s">
        <v>17899</v>
      </c>
      <c r="AP1201" t="s">
        <v>74</v>
      </c>
      <c r="AQ1201" t="s">
        <v>20236</v>
      </c>
      <c r="AR1201" t="s">
        <v>17901</v>
      </c>
      <c r="AS1201" t="s">
        <v>74</v>
      </c>
      <c r="AT1201" t="s">
        <v>74</v>
      </c>
      <c r="AU1201">
        <v>2021</v>
      </c>
      <c r="AV1201" t="s">
        <v>74</v>
      </c>
      <c r="AW1201" t="s">
        <v>74</v>
      </c>
      <c r="AX1201" t="s">
        <v>74</v>
      </c>
      <c r="AY1201" t="s">
        <v>74</v>
      </c>
      <c r="AZ1201" t="s">
        <v>74</v>
      </c>
      <c r="BA1201" t="s">
        <v>74</v>
      </c>
      <c r="BB1201">
        <v>899</v>
      </c>
      <c r="BC1201">
        <v>908</v>
      </c>
      <c r="BD1201" t="s">
        <v>74</v>
      </c>
      <c r="BE1201" t="s">
        <v>20237</v>
      </c>
      <c r="BF1201" t="str">
        <f>HYPERLINK("http://dx.doi.org/10.1109/BigData52589.2021.9671928","http://dx.doi.org/10.1109/BigData52589.2021.9671928")</f>
        <v>http://dx.doi.org/10.1109/BigData52589.2021.9671928</v>
      </c>
      <c r="BG1201" t="s">
        <v>74</v>
      </c>
      <c r="BH1201" t="s">
        <v>74</v>
      </c>
      <c r="BI1201">
        <v>10</v>
      </c>
      <c r="BJ1201" t="s">
        <v>894</v>
      </c>
      <c r="BK1201" t="s">
        <v>723</v>
      </c>
      <c r="BL1201" t="s">
        <v>210</v>
      </c>
      <c r="BM1201" t="s">
        <v>20238</v>
      </c>
      <c r="BN1201" t="s">
        <v>74</v>
      </c>
      <c r="BO1201" t="s">
        <v>74</v>
      </c>
      <c r="BP1201" t="s">
        <v>74</v>
      </c>
      <c r="BQ1201" t="s">
        <v>74</v>
      </c>
      <c r="BR1201" t="s">
        <v>102</v>
      </c>
      <c r="BS1201" t="s">
        <v>20239</v>
      </c>
      <c r="BT1201" t="str">
        <f>HYPERLINK("https%3A%2F%2Fwww.webofscience.com%2Fwos%2Fwoscc%2Ffull-record%2FWOS:000800559501001","View Full Record in Web of Science")</f>
        <v>View Full Record in Web of Science</v>
      </c>
    </row>
    <row r="1202" spans="1:72" x14ac:dyDescent="0.35">
      <c r="A1202" t="s">
        <v>72</v>
      </c>
      <c r="B1202" t="s">
        <v>20240</v>
      </c>
      <c r="C1202" t="s">
        <v>74</v>
      </c>
      <c r="D1202" t="s">
        <v>74</v>
      </c>
      <c r="E1202" t="s">
        <v>74</v>
      </c>
      <c r="F1202" t="s">
        <v>20241</v>
      </c>
      <c r="G1202" t="s">
        <v>74</v>
      </c>
      <c r="H1202" t="s">
        <v>74</v>
      </c>
      <c r="I1202" t="s">
        <v>20242</v>
      </c>
      <c r="J1202" t="s">
        <v>5221</v>
      </c>
      <c r="K1202" t="s">
        <v>74</v>
      </c>
      <c r="L1202" t="s">
        <v>74</v>
      </c>
      <c r="M1202" t="s">
        <v>78</v>
      </c>
      <c r="N1202" t="s">
        <v>108</v>
      </c>
      <c r="O1202" t="s">
        <v>74</v>
      </c>
      <c r="P1202" t="s">
        <v>74</v>
      </c>
      <c r="Q1202" t="s">
        <v>74</v>
      </c>
      <c r="R1202" t="s">
        <v>74</v>
      </c>
      <c r="S1202" t="s">
        <v>74</v>
      </c>
      <c r="T1202" t="s">
        <v>20243</v>
      </c>
      <c r="U1202" t="s">
        <v>20244</v>
      </c>
      <c r="V1202" t="s">
        <v>20245</v>
      </c>
      <c r="W1202" t="s">
        <v>20246</v>
      </c>
      <c r="X1202" t="s">
        <v>20247</v>
      </c>
      <c r="Y1202" t="s">
        <v>20248</v>
      </c>
      <c r="Z1202" t="s">
        <v>20249</v>
      </c>
      <c r="AA1202" t="s">
        <v>20250</v>
      </c>
      <c r="AB1202" t="s">
        <v>20251</v>
      </c>
      <c r="AC1202" t="s">
        <v>20252</v>
      </c>
      <c r="AD1202" t="s">
        <v>20252</v>
      </c>
      <c r="AE1202" t="s">
        <v>20253</v>
      </c>
      <c r="AF1202" t="s">
        <v>74</v>
      </c>
      <c r="AG1202">
        <v>53</v>
      </c>
      <c r="AH1202">
        <v>2</v>
      </c>
      <c r="AI1202">
        <v>2</v>
      </c>
      <c r="AJ1202">
        <v>20</v>
      </c>
      <c r="AK1202">
        <v>42</v>
      </c>
      <c r="AL1202" t="s">
        <v>5231</v>
      </c>
      <c r="AM1202" t="s">
        <v>5232</v>
      </c>
      <c r="AN1202" t="s">
        <v>5233</v>
      </c>
      <c r="AO1202" t="s">
        <v>5234</v>
      </c>
      <c r="AP1202" t="s">
        <v>5235</v>
      </c>
      <c r="AQ1202" t="s">
        <v>74</v>
      </c>
      <c r="AR1202" t="s">
        <v>5236</v>
      </c>
      <c r="AS1202" t="s">
        <v>5237</v>
      </c>
      <c r="AT1202" t="s">
        <v>74</v>
      </c>
      <c r="AU1202">
        <v>2023</v>
      </c>
      <c r="AV1202">
        <v>32</v>
      </c>
      <c r="AW1202">
        <v>2</v>
      </c>
      <c r="AX1202" t="s">
        <v>74</v>
      </c>
      <c r="AY1202" t="s">
        <v>74</v>
      </c>
      <c r="AZ1202" t="s">
        <v>74</v>
      </c>
      <c r="BA1202" t="s">
        <v>74</v>
      </c>
      <c r="BB1202" t="s">
        <v>74</v>
      </c>
      <c r="BC1202" t="s">
        <v>74</v>
      </c>
      <c r="BD1202" t="s">
        <v>20254</v>
      </c>
      <c r="BE1202" t="s">
        <v>20255</v>
      </c>
      <c r="BF1202" t="str">
        <f>HYPERLINK("http://dx.doi.org/10.3145/epi.2023.mar.11","http://dx.doi.org/10.3145/epi.2023.mar.11")</f>
        <v>http://dx.doi.org/10.3145/epi.2023.mar.11</v>
      </c>
      <c r="BG1202" t="s">
        <v>74</v>
      </c>
      <c r="BH1202" t="s">
        <v>74</v>
      </c>
      <c r="BI1202">
        <v>13</v>
      </c>
      <c r="BJ1202" t="s">
        <v>5240</v>
      </c>
      <c r="BK1202" t="s">
        <v>99</v>
      </c>
      <c r="BL1202" t="s">
        <v>5240</v>
      </c>
      <c r="BM1202" t="s">
        <v>20256</v>
      </c>
      <c r="BN1202" t="s">
        <v>74</v>
      </c>
      <c r="BO1202" t="s">
        <v>156</v>
      </c>
      <c r="BP1202" t="s">
        <v>74</v>
      </c>
      <c r="BQ1202" t="s">
        <v>74</v>
      </c>
      <c r="BR1202" t="s">
        <v>102</v>
      </c>
      <c r="BS1202" t="s">
        <v>20257</v>
      </c>
      <c r="BT1202" t="str">
        <f>HYPERLINK("https%3A%2F%2Fwww.webofscience.com%2Fwos%2Fwoscc%2Ffull-record%2FWOS:001041238800025","View Full Record in Web of Science")</f>
        <v>View Full Record in Web of Science</v>
      </c>
    </row>
    <row r="1203" spans="1:72" x14ac:dyDescent="0.35">
      <c r="A1203" t="s">
        <v>72</v>
      </c>
      <c r="B1203" t="s">
        <v>20258</v>
      </c>
      <c r="C1203" t="s">
        <v>74</v>
      </c>
      <c r="D1203" t="s">
        <v>74</v>
      </c>
      <c r="E1203" t="s">
        <v>74</v>
      </c>
      <c r="F1203" t="s">
        <v>20259</v>
      </c>
      <c r="G1203" t="s">
        <v>74</v>
      </c>
      <c r="H1203" t="s">
        <v>74</v>
      </c>
      <c r="I1203" t="s">
        <v>20260</v>
      </c>
      <c r="J1203" t="s">
        <v>20261</v>
      </c>
      <c r="K1203" t="s">
        <v>74</v>
      </c>
      <c r="L1203" t="s">
        <v>74</v>
      </c>
      <c r="M1203" t="s">
        <v>78</v>
      </c>
      <c r="N1203" t="s">
        <v>108</v>
      </c>
      <c r="O1203" t="s">
        <v>74</v>
      </c>
      <c r="P1203" t="s">
        <v>74</v>
      </c>
      <c r="Q1203" t="s">
        <v>74</v>
      </c>
      <c r="R1203" t="s">
        <v>74</v>
      </c>
      <c r="S1203" t="s">
        <v>74</v>
      </c>
      <c r="T1203" t="s">
        <v>20262</v>
      </c>
      <c r="U1203" t="s">
        <v>20263</v>
      </c>
      <c r="V1203" t="s">
        <v>20264</v>
      </c>
      <c r="W1203" t="s">
        <v>20265</v>
      </c>
      <c r="X1203" t="s">
        <v>74</v>
      </c>
      <c r="Y1203" t="s">
        <v>20266</v>
      </c>
      <c r="Z1203" t="s">
        <v>20267</v>
      </c>
      <c r="AA1203" t="s">
        <v>74</v>
      </c>
      <c r="AB1203" t="s">
        <v>74</v>
      </c>
      <c r="AC1203" t="s">
        <v>74</v>
      </c>
      <c r="AD1203" t="s">
        <v>74</v>
      </c>
      <c r="AE1203" t="s">
        <v>74</v>
      </c>
      <c r="AF1203" t="s">
        <v>74</v>
      </c>
      <c r="AG1203">
        <v>35</v>
      </c>
      <c r="AH1203">
        <v>0</v>
      </c>
      <c r="AI1203">
        <v>0</v>
      </c>
      <c r="AJ1203">
        <v>0</v>
      </c>
      <c r="AK1203">
        <v>0</v>
      </c>
      <c r="AL1203" t="s">
        <v>171</v>
      </c>
      <c r="AM1203" t="s">
        <v>172</v>
      </c>
      <c r="AN1203" t="s">
        <v>173</v>
      </c>
      <c r="AO1203" t="s">
        <v>20268</v>
      </c>
      <c r="AP1203" t="s">
        <v>74</v>
      </c>
      <c r="AQ1203" t="s">
        <v>74</v>
      </c>
      <c r="AR1203" t="s">
        <v>20269</v>
      </c>
      <c r="AS1203" t="s">
        <v>20270</v>
      </c>
      <c r="AT1203" t="s">
        <v>74</v>
      </c>
      <c r="AU1203">
        <v>2024</v>
      </c>
      <c r="AV1203">
        <v>18</v>
      </c>
      <c r="AW1203" t="s">
        <v>74</v>
      </c>
      <c r="AX1203" t="s">
        <v>74</v>
      </c>
      <c r="AY1203" t="s">
        <v>74</v>
      </c>
      <c r="AZ1203" t="s">
        <v>74</v>
      </c>
      <c r="BA1203" t="s">
        <v>74</v>
      </c>
      <c r="BB1203" t="s">
        <v>74</v>
      </c>
      <c r="BC1203" t="s">
        <v>74</v>
      </c>
      <c r="BD1203">
        <v>2.6323524241297696E+16</v>
      </c>
      <c r="BE1203" t="s">
        <v>20271</v>
      </c>
      <c r="BF1203" t="str">
        <f>HYPERLINK("http://dx.doi.org/10.1177/26323524241297695","http://dx.doi.org/10.1177/26323524241297695")</f>
        <v>http://dx.doi.org/10.1177/26323524241297695</v>
      </c>
      <c r="BG1203" t="s">
        <v>74</v>
      </c>
      <c r="BH1203" t="s">
        <v>74</v>
      </c>
      <c r="BI1203">
        <v>9</v>
      </c>
      <c r="BJ1203" t="s">
        <v>4129</v>
      </c>
      <c r="BK1203" t="s">
        <v>125</v>
      </c>
      <c r="BL1203" t="s">
        <v>4129</v>
      </c>
      <c r="BM1203" t="s">
        <v>20272</v>
      </c>
      <c r="BN1203">
        <v>39539771</v>
      </c>
      <c r="BO1203" t="s">
        <v>1888</v>
      </c>
      <c r="BP1203" t="s">
        <v>74</v>
      </c>
      <c r="BQ1203" t="s">
        <v>74</v>
      </c>
      <c r="BR1203" t="s">
        <v>102</v>
      </c>
      <c r="BS1203" t="s">
        <v>20273</v>
      </c>
      <c r="BT1203" t="str">
        <f>HYPERLINK("https%3A%2F%2Fwww.webofscience.com%2Fwos%2Fwoscc%2Ffull-record%2FWOS:001353357000001","View Full Record in Web of Science")</f>
        <v>View Full Record in Web of Science</v>
      </c>
    </row>
    <row r="1204" spans="1:72" x14ac:dyDescent="0.35">
      <c r="A1204" t="s">
        <v>72</v>
      </c>
      <c r="B1204" t="s">
        <v>20274</v>
      </c>
      <c r="C1204" t="s">
        <v>74</v>
      </c>
      <c r="D1204" t="s">
        <v>74</v>
      </c>
      <c r="E1204" t="s">
        <v>74</v>
      </c>
      <c r="F1204" t="s">
        <v>20275</v>
      </c>
      <c r="G1204" t="s">
        <v>74</v>
      </c>
      <c r="H1204" t="s">
        <v>74</v>
      </c>
      <c r="I1204" t="s">
        <v>20276</v>
      </c>
      <c r="J1204" t="s">
        <v>20277</v>
      </c>
      <c r="K1204" t="s">
        <v>74</v>
      </c>
      <c r="L1204" t="s">
        <v>74</v>
      </c>
      <c r="M1204" t="s">
        <v>78</v>
      </c>
      <c r="N1204" t="s">
        <v>108</v>
      </c>
      <c r="O1204" t="s">
        <v>74</v>
      </c>
      <c r="P1204" t="s">
        <v>74</v>
      </c>
      <c r="Q1204" t="s">
        <v>74</v>
      </c>
      <c r="R1204" t="s">
        <v>74</v>
      </c>
      <c r="S1204" t="s">
        <v>74</v>
      </c>
      <c r="T1204" t="s">
        <v>20278</v>
      </c>
      <c r="U1204" t="s">
        <v>4975</v>
      </c>
      <c r="V1204" t="s">
        <v>20279</v>
      </c>
      <c r="W1204" t="s">
        <v>20280</v>
      </c>
      <c r="X1204" t="s">
        <v>20281</v>
      </c>
      <c r="Y1204" t="s">
        <v>20282</v>
      </c>
      <c r="Z1204" t="s">
        <v>20283</v>
      </c>
      <c r="AA1204" t="s">
        <v>20284</v>
      </c>
      <c r="AB1204" t="s">
        <v>20285</v>
      </c>
      <c r="AC1204" t="s">
        <v>74</v>
      </c>
      <c r="AD1204" t="s">
        <v>74</v>
      </c>
      <c r="AE1204" t="s">
        <v>74</v>
      </c>
      <c r="AF1204" t="s">
        <v>74</v>
      </c>
      <c r="AG1204">
        <v>61</v>
      </c>
      <c r="AH1204">
        <v>7</v>
      </c>
      <c r="AI1204">
        <v>8</v>
      </c>
      <c r="AJ1204">
        <v>8</v>
      </c>
      <c r="AK1204">
        <v>24</v>
      </c>
      <c r="AL1204" t="s">
        <v>8334</v>
      </c>
      <c r="AM1204" t="s">
        <v>291</v>
      </c>
      <c r="AN1204" t="s">
        <v>8335</v>
      </c>
      <c r="AO1204" t="s">
        <v>20286</v>
      </c>
      <c r="AP1204" t="s">
        <v>20287</v>
      </c>
      <c r="AQ1204" t="s">
        <v>74</v>
      </c>
      <c r="AR1204" t="s">
        <v>20288</v>
      </c>
      <c r="AS1204" t="s">
        <v>20289</v>
      </c>
      <c r="AT1204" t="s">
        <v>5690</v>
      </c>
      <c r="AU1204">
        <v>2023</v>
      </c>
      <c r="AV1204">
        <v>38</v>
      </c>
      <c r="AW1204">
        <v>2</v>
      </c>
      <c r="AX1204" t="s">
        <v>74</v>
      </c>
      <c r="AY1204" t="s">
        <v>74</v>
      </c>
      <c r="AZ1204" t="s">
        <v>74</v>
      </c>
      <c r="BA1204" t="s">
        <v>74</v>
      </c>
      <c r="BB1204" t="s">
        <v>74</v>
      </c>
      <c r="BC1204" t="s">
        <v>74</v>
      </c>
      <c r="BD1204" t="s">
        <v>20290</v>
      </c>
      <c r="BE1204" t="s">
        <v>20291</v>
      </c>
      <c r="BF1204" t="str">
        <f>HYPERLINK("http://dx.doi.org/10.1093/heapro/daad034","http://dx.doi.org/10.1093/heapro/daad034")</f>
        <v>http://dx.doi.org/10.1093/heapro/daad034</v>
      </c>
      <c r="BG1204" t="s">
        <v>74</v>
      </c>
      <c r="BH1204" t="s">
        <v>74</v>
      </c>
      <c r="BI1204">
        <v>13</v>
      </c>
      <c r="BJ1204" t="s">
        <v>14190</v>
      </c>
      <c r="BK1204" t="s">
        <v>182</v>
      </c>
      <c r="BL1204" t="s">
        <v>4129</v>
      </c>
      <c r="BM1204" t="s">
        <v>20292</v>
      </c>
      <c r="BN1204">
        <v>37099680</v>
      </c>
      <c r="BO1204" t="s">
        <v>1343</v>
      </c>
      <c r="BP1204" t="s">
        <v>74</v>
      </c>
      <c r="BQ1204" t="s">
        <v>74</v>
      </c>
      <c r="BR1204" t="s">
        <v>102</v>
      </c>
      <c r="BS1204" t="s">
        <v>20293</v>
      </c>
      <c r="BT1204" t="str">
        <f>HYPERLINK("https%3A%2F%2Fwww.webofscience.com%2Fwos%2Fwoscc%2Ffull-record%2FWOS:000979976200006","View Full Record in Web of Science")</f>
        <v>View Full Record in Web of Science</v>
      </c>
    </row>
    <row r="1205" spans="1:72" x14ac:dyDescent="0.35">
      <c r="A1205" t="s">
        <v>72</v>
      </c>
      <c r="B1205" t="s">
        <v>20294</v>
      </c>
      <c r="C1205" t="s">
        <v>74</v>
      </c>
      <c r="D1205" t="s">
        <v>74</v>
      </c>
      <c r="E1205" t="s">
        <v>74</v>
      </c>
      <c r="F1205" t="s">
        <v>20295</v>
      </c>
      <c r="G1205" t="s">
        <v>74</v>
      </c>
      <c r="H1205" t="s">
        <v>74</v>
      </c>
      <c r="I1205" t="s">
        <v>20296</v>
      </c>
      <c r="J1205" t="s">
        <v>20297</v>
      </c>
      <c r="K1205" t="s">
        <v>74</v>
      </c>
      <c r="L1205" t="s">
        <v>74</v>
      </c>
      <c r="M1205" t="s">
        <v>78</v>
      </c>
      <c r="N1205" t="s">
        <v>108</v>
      </c>
      <c r="O1205" t="s">
        <v>74</v>
      </c>
      <c r="P1205" t="s">
        <v>74</v>
      </c>
      <c r="Q1205" t="s">
        <v>74</v>
      </c>
      <c r="R1205" t="s">
        <v>74</v>
      </c>
      <c r="S1205" t="s">
        <v>74</v>
      </c>
      <c r="T1205" t="s">
        <v>20298</v>
      </c>
      <c r="U1205" t="s">
        <v>20299</v>
      </c>
      <c r="V1205" t="s">
        <v>20300</v>
      </c>
      <c r="W1205" t="s">
        <v>20301</v>
      </c>
      <c r="X1205" t="s">
        <v>20302</v>
      </c>
      <c r="Y1205" t="s">
        <v>20303</v>
      </c>
      <c r="Z1205" t="s">
        <v>13062</v>
      </c>
      <c r="AA1205" t="s">
        <v>18958</v>
      </c>
      <c r="AB1205" t="s">
        <v>20304</v>
      </c>
      <c r="AC1205" t="s">
        <v>74</v>
      </c>
      <c r="AD1205" t="s">
        <v>74</v>
      </c>
      <c r="AE1205" t="s">
        <v>74</v>
      </c>
      <c r="AF1205" t="s">
        <v>74</v>
      </c>
      <c r="AG1205">
        <v>48</v>
      </c>
      <c r="AH1205">
        <v>4</v>
      </c>
      <c r="AI1205">
        <v>4</v>
      </c>
      <c r="AJ1205">
        <v>2</v>
      </c>
      <c r="AK1205">
        <v>5</v>
      </c>
      <c r="AL1205" t="s">
        <v>384</v>
      </c>
      <c r="AM1205" t="s">
        <v>385</v>
      </c>
      <c r="AN1205" t="s">
        <v>386</v>
      </c>
      <c r="AO1205" t="s">
        <v>74</v>
      </c>
      <c r="AP1205" t="s">
        <v>20305</v>
      </c>
      <c r="AQ1205" t="s">
        <v>74</v>
      </c>
      <c r="AR1205" t="s">
        <v>20306</v>
      </c>
      <c r="AS1205" t="s">
        <v>20307</v>
      </c>
      <c r="AT1205" t="s">
        <v>20308</v>
      </c>
      <c r="AU1205">
        <v>2022</v>
      </c>
      <c r="AV1205">
        <v>4</v>
      </c>
      <c r="AW1205" t="s">
        <v>74</v>
      </c>
      <c r="AX1205" t="s">
        <v>74</v>
      </c>
      <c r="AY1205" t="s">
        <v>74</v>
      </c>
      <c r="AZ1205" t="s">
        <v>74</v>
      </c>
      <c r="BA1205" t="s">
        <v>74</v>
      </c>
      <c r="BB1205" t="s">
        <v>74</v>
      </c>
      <c r="BC1205" t="s">
        <v>74</v>
      </c>
      <c r="BD1205">
        <v>888302</v>
      </c>
      <c r="BE1205" t="s">
        <v>20309</v>
      </c>
      <c r="BF1205" t="str">
        <f>HYPERLINK("http://dx.doi.org/10.3389/fdgth.2022.888302","http://dx.doi.org/10.3389/fdgth.2022.888302")</f>
        <v>http://dx.doi.org/10.3389/fdgth.2022.888302</v>
      </c>
      <c r="BG1205" t="s">
        <v>74</v>
      </c>
      <c r="BH1205" t="s">
        <v>74</v>
      </c>
      <c r="BI1205">
        <v>7</v>
      </c>
      <c r="BJ1205" t="s">
        <v>550</v>
      </c>
      <c r="BK1205" t="s">
        <v>125</v>
      </c>
      <c r="BL1205" t="s">
        <v>550</v>
      </c>
      <c r="BM1205" t="s">
        <v>20310</v>
      </c>
      <c r="BN1205">
        <v>35847414</v>
      </c>
      <c r="BO1205" t="s">
        <v>394</v>
      </c>
      <c r="BP1205" t="s">
        <v>74</v>
      </c>
      <c r="BQ1205" t="s">
        <v>74</v>
      </c>
      <c r="BR1205" t="s">
        <v>102</v>
      </c>
      <c r="BS1205" t="s">
        <v>20311</v>
      </c>
      <c r="BT1205" t="str">
        <f>HYPERLINK("https%3A%2F%2Fwww.webofscience.com%2Fwos%2Fwoscc%2Ffull-record%2FWOS:001033148800001","View Full Record in Web of Science")</f>
        <v>View Full Record in Web of Science</v>
      </c>
    </row>
    <row r="1206" spans="1:72" x14ac:dyDescent="0.35">
      <c r="A1206" t="s">
        <v>72</v>
      </c>
      <c r="B1206" t="s">
        <v>20312</v>
      </c>
      <c r="C1206" t="s">
        <v>74</v>
      </c>
      <c r="D1206" t="s">
        <v>74</v>
      </c>
      <c r="E1206" t="s">
        <v>74</v>
      </c>
      <c r="F1206" t="s">
        <v>20313</v>
      </c>
      <c r="G1206" t="s">
        <v>74</v>
      </c>
      <c r="H1206" t="s">
        <v>74</v>
      </c>
      <c r="I1206" t="s">
        <v>20314</v>
      </c>
      <c r="J1206" t="s">
        <v>15730</v>
      </c>
      <c r="K1206" t="s">
        <v>74</v>
      </c>
      <c r="L1206" t="s">
        <v>74</v>
      </c>
      <c r="M1206" t="s">
        <v>78</v>
      </c>
      <c r="N1206" t="s">
        <v>108</v>
      </c>
      <c r="O1206" t="s">
        <v>74</v>
      </c>
      <c r="P1206" t="s">
        <v>74</v>
      </c>
      <c r="Q1206" t="s">
        <v>74</v>
      </c>
      <c r="R1206" t="s">
        <v>74</v>
      </c>
      <c r="S1206" t="s">
        <v>74</v>
      </c>
      <c r="T1206" t="s">
        <v>20315</v>
      </c>
      <c r="U1206" t="s">
        <v>74</v>
      </c>
      <c r="V1206" t="s">
        <v>20316</v>
      </c>
      <c r="W1206" t="s">
        <v>20317</v>
      </c>
      <c r="X1206" t="s">
        <v>20318</v>
      </c>
      <c r="Y1206" t="s">
        <v>20319</v>
      </c>
      <c r="Z1206" t="s">
        <v>20320</v>
      </c>
      <c r="AA1206" t="s">
        <v>74</v>
      </c>
      <c r="AB1206" t="s">
        <v>74</v>
      </c>
      <c r="AC1206" t="s">
        <v>74</v>
      </c>
      <c r="AD1206" t="s">
        <v>74</v>
      </c>
      <c r="AE1206" t="s">
        <v>74</v>
      </c>
      <c r="AF1206" t="s">
        <v>74</v>
      </c>
      <c r="AG1206">
        <v>61</v>
      </c>
      <c r="AH1206">
        <v>0</v>
      </c>
      <c r="AI1206">
        <v>0</v>
      </c>
      <c r="AJ1206">
        <v>13</v>
      </c>
      <c r="AK1206">
        <v>23</v>
      </c>
      <c r="AL1206" t="s">
        <v>15741</v>
      </c>
      <c r="AM1206" t="s">
        <v>15742</v>
      </c>
      <c r="AN1206" t="s">
        <v>15743</v>
      </c>
      <c r="AO1206" t="s">
        <v>15744</v>
      </c>
      <c r="AP1206" t="s">
        <v>15745</v>
      </c>
      <c r="AQ1206" t="s">
        <v>74</v>
      </c>
      <c r="AR1206" t="s">
        <v>15746</v>
      </c>
      <c r="AS1206" t="s">
        <v>15747</v>
      </c>
      <c r="AT1206" t="s">
        <v>5154</v>
      </c>
      <c r="AU1206">
        <v>2024</v>
      </c>
      <c r="AV1206">
        <v>23</v>
      </c>
      <c r="AW1206">
        <v>1</v>
      </c>
      <c r="AX1206" t="s">
        <v>74</v>
      </c>
      <c r="AY1206" t="s">
        <v>74</v>
      </c>
      <c r="AZ1206" t="s">
        <v>74</v>
      </c>
      <c r="BA1206" t="s">
        <v>74</v>
      </c>
      <c r="BB1206">
        <v>377</v>
      </c>
      <c r="BC1206">
        <v>393</v>
      </c>
      <c r="BD1206" t="s">
        <v>74</v>
      </c>
      <c r="BE1206" t="s">
        <v>20321</v>
      </c>
      <c r="BF1206" t="str">
        <f>HYPERLINK("http://dx.doi.org/10.26441/RC23.1-2024-3316","http://dx.doi.org/10.26441/RC23.1-2024-3316")</f>
        <v>http://dx.doi.org/10.26441/RC23.1-2024-3316</v>
      </c>
      <c r="BG1206" t="s">
        <v>74</v>
      </c>
      <c r="BH1206" t="s">
        <v>74</v>
      </c>
      <c r="BI1206">
        <v>17</v>
      </c>
      <c r="BJ1206" t="s">
        <v>124</v>
      </c>
      <c r="BK1206" t="s">
        <v>125</v>
      </c>
      <c r="BL1206" t="s">
        <v>124</v>
      </c>
      <c r="BM1206" t="s">
        <v>17843</v>
      </c>
      <c r="BN1206" t="s">
        <v>74</v>
      </c>
      <c r="BO1206" t="s">
        <v>235</v>
      </c>
      <c r="BP1206" t="s">
        <v>74</v>
      </c>
      <c r="BQ1206" t="s">
        <v>74</v>
      </c>
      <c r="BR1206" t="s">
        <v>102</v>
      </c>
      <c r="BS1206" t="s">
        <v>20322</v>
      </c>
      <c r="BT1206" t="str">
        <f>HYPERLINK("https%3A%2F%2Fwww.webofscience.com%2Fwos%2Fwoscc%2Ffull-record%2FWOS:001180928300001","View Full Record in Web of Science")</f>
        <v>View Full Record in Web of Science</v>
      </c>
    </row>
    <row r="1207" spans="1:72" x14ac:dyDescent="0.35">
      <c r="A1207" t="s">
        <v>72</v>
      </c>
      <c r="B1207" t="s">
        <v>20323</v>
      </c>
      <c r="C1207" t="s">
        <v>74</v>
      </c>
      <c r="D1207" t="s">
        <v>74</v>
      </c>
      <c r="E1207" t="s">
        <v>74</v>
      </c>
      <c r="F1207" t="s">
        <v>20324</v>
      </c>
      <c r="G1207" t="s">
        <v>74</v>
      </c>
      <c r="H1207" t="s">
        <v>74</v>
      </c>
      <c r="I1207" t="s">
        <v>20325</v>
      </c>
      <c r="J1207" t="s">
        <v>3584</v>
      </c>
      <c r="K1207" t="s">
        <v>74</v>
      </c>
      <c r="L1207" t="s">
        <v>74</v>
      </c>
      <c r="M1207" t="s">
        <v>78</v>
      </c>
      <c r="N1207" t="s">
        <v>108</v>
      </c>
      <c r="O1207" t="s">
        <v>74</v>
      </c>
      <c r="P1207" t="s">
        <v>74</v>
      </c>
      <c r="Q1207" t="s">
        <v>74</v>
      </c>
      <c r="R1207" t="s">
        <v>74</v>
      </c>
      <c r="S1207" t="s">
        <v>74</v>
      </c>
      <c r="T1207" t="s">
        <v>20326</v>
      </c>
      <c r="U1207" t="s">
        <v>20327</v>
      </c>
      <c r="V1207" t="s">
        <v>20328</v>
      </c>
      <c r="W1207" t="s">
        <v>20329</v>
      </c>
      <c r="X1207" t="s">
        <v>20330</v>
      </c>
      <c r="Y1207" t="s">
        <v>20331</v>
      </c>
      <c r="Z1207" t="s">
        <v>20332</v>
      </c>
      <c r="AA1207" t="s">
        <v>74</v>
      </c>
      <c r="AB1207" t="s">
        <v>20333</v>
      </c>
      <c r="AC1207" t="s">
        <v>74</v>
      </c>
      <c r="AD1207" t="s">
        <v>74</v>
      </c>
      <c r="AE1207" t="s">
        <v>74</v>
      </c>
      <c r="AF1207" t="s">
        <v>74</v>
      </c>
      <c r="AG1207">
        <v>107</v>
      </c>
      <c r="AH1207">
        <v>3</v>
      </c>
      <c r="AI1207">
        <v>4</v>
      </c>
      <c r="AJ1207">
        <v>36</v>
      </c>
      <c r="AK1207">
        <v>134</v>
      </c>
      <c r="AL1207" t="s">
        <v>1195</v>
      </c>
      <c r="AM1207" t="s">
        <v>1196</v>
      </c>
      <c r="AN1207" t="s">
        <v>1197</v>
      </c>
      <c r="AO1207" t="s">
        <v>74</v>
      </c>
      <c r="AP1207" t="s">
        <v>3594</v>
      </c>
      <c r="AQ1207" t="s">
        <v>74</v>
      </c>
      <c r="AR1207" t="s">
        <v>3595</v>
      </c>
      <c r="AS1207" t="s">
        <v>3596</v>
      </c>
      <c r="AT1207" t="s">
        <v>273</v>
      </c>
      <c r="AU1207">
        <v>2023</v>
      </c>
      <c r="AV1207">
        <v>15</v>
      </c>
      <c r="AW1207">
        <v>13</v>
      </c>
      <c r="AX1207" t="s">
        <v>74</v>
      </c>
      <c r="AY1207" t="s">
        <v>74</v>
      </c>
      <c r="AZ1207" t="s">
        <v>74</v>
      </c>
      <c r="BA1207" t="s">
        <v>74</v>
      </c>
      <c r="BB1207" t="s">
        <v>74</v>
      </c>
      <c r="BC1207" t="s">
        <v>74</v>
      </c>
      <c r="BD1207">
        <v>10028</v>
      </c>
      <c r="BE1207" t="s">
        <v>20334</v>
      </c>
      <c r="BF1207" t="str">
        <f>HYPERLINK("http://dx.doi.org/10.3390/su151310028","http://dx.doi.org/10.3390/su151310028")</f>
        <v>http://dx.doi.org/10.3390/su151310028</v>
      </c>
      <c r="BG1207" t="s">
        <v>74</v>
      </c>
      <c r="BH1207" t="s">
        <v>74</v>
      </c>
      <c r="BI1207">
        <v>19</v>
      </c>
      <c r="BJ1207" t="s">
        <v>3598</v>
      </c>
      <c r="BK1207" t="s">
        <v>182</v>
      </c>
      <c r="BL1207" t="s">
        <v>3599</v>
      </c>
      <c r="BM1207" t="s">
        <v>20335</v>
      </c>
      <c r="BN1207" t="s">
        <v>74</v>
      </c>
      <c r="BO1207" t="s">
        <v>235</v>
      </c>
      <c r="BP1207" t="s">
        <v>74</v>
      </c>
      <c r="BQ1207" t="s">
        <v>74</v>
      </c>
      <c r="BR1207" t="s">
        <v>102</v>
      </c>
      <c r="BS1207" t="s">
        <v>20336</v>
      </c>
      <c r="BT1207" t="str">
        <f>HYPERLINK("https%3A%2F%2Fwww.webofscience.com%2Fwos%2Fwoscc%2Ffull-record%2FWOS:001028462300001","View Full Record in Web of Science")</f>
        <v>View Full Record in Web of Science</v>
      </c>
    </row>
    <row r="1208" spans="1:72" x14ac:dyDescent="0.35">
      <c r="A1208" t="s">
        <v>72</v>
      </c>
      <c r="B1208" t="s">
        <v>20337</v>
      </c>
      <c r="C1208" t="s">
        <v>74</v>
      </c>
      <c r="D1208" t="s">
        <v>74</v>
      </c>
      <c r="E1208" t="s">
        <v>74</v>
      </c>
      <c r="F1208" t="s">
        <v>20338</v>
      </c>
      <c r="G1208" t="s">
        <v>74</v>
      </c>
      <c r="H1208" t="s">
        <v>74</v>
      </c>
      <c r="I1208" t="s">
        <v>20339</v>
      </c>
      <c r="J1208" t="s">
        <v>18235</v>
      </c>
      <c r="K1208" t="s">
        <v>74</v>
      </c>
      <c r="L1208" t="s">
        <v>74</v>
      </c>
      <c r="M1208" t="s">
        <v>78</v>
      </c>
      <c r="N1208" t="s">
        <v>374</v>
      </c>
      <c r="O1208" t="s">
        <v>74</v>
      </c>
      <c r="P1208" t="s">
        <v>74</v>
      </c>
      <c r="Q1208" t="s">
        <v>74</v>
      </c>
      <c r="R1208" t="s">
        <v>74</v>
      </c>
      <c r="S1208" t="s">
        <v>74</v>
      </c>
      <c r="T1208" t="s">
        <v>74</v>
      </c>
      <c r="U1208" t="s">
        <v>20340</v>
      </c>
      <c r="V1208" t="s">
        <v>20341</v>
      </c>
      <c r="W1208" t="s">
        <v>20342</v>
      </c>
      <c r="X1208" t="s">
        <v>20343</v>
      </c>
      <c r="Y1208" t="s">
        <v>20344</v>
      </c>
      <c r="Z1208" t="s">
        <v>20345</v>
      </c>
      <c r="AA1208" t="s">
        <v>20346</v>
      </c>
      <c r="AB1208" t="s">
        <v>20347</v>
      </c>
      <c r="AC1208" t="s">
        <v>74</v>
      </c>
      <c r="AD1208" t="s">
        <v>74</v>
      </c>
      <c r="AE1208" t="s">
        <v>74</v>
      </c>
      <c r="AF1208" t="s">
        <v>74</v>
      </c>
      <c r="AG1208">
        <v>81</v>
      </c>
      <c r="AH1208">
        <v>1</v>
      </c>
      <c r="AI1208">
        <v>1</v>
      </c>
      <c r="AJ1208">
        <v>0</v>
      </c>
      <c r="AK1208">
        <v>9</v>
      </c>
      <c r="AL1208" t="s">
        <v>1129</v>
      </c>
      <c r="AM1208" t="s">
        <v>89</v>
      </c>
      <c r="AN1208" t="s">
        <v>1130</v>
      </c>
      <c r="AO1208" t="s">
        <v>18243</v>
      </c>
      <c r="AP1208" t="s">
        <v>18244</v>
      </c>
      <c r="AQ1208" t="s">
        <v>74</v>
      </c>
      <c r="AR1208" t="s">
        <v>18245</v>
      </c>
      <c r="AS1208" t="s">
        <v>18246</v>
      </c>
      <c r="AT1208" t="s">
        <v>10144</v>
      </c>
      <c r="AU1208">
        <v>2022</v>
      </c>
      <c r="AV1208">
        <v>16</v>
      </c>
      <c r="AW1208">
        <v>2</v>
      </c>
      <c r="AX1208" t="s">
        <v>74</v>
      </c>
      <c r="AY1208" t="s">
        <v>74</v>
      </c>
      <c r="AZ1208" t="s">
        <v>456</v>
      </c>
      <c r="BA1208" t="s">
        <v>74</v>
      </c>
      <c r="BB1208">
        <v>291</v>
      </c>
      <c r="BC1208">
        <v>312</v>
      </c>
      <c r="BD1208" t="s">
        <v>74</v>
      </c>
      <c r="BE1208" t="s">
        <v>20348</v>
      </c>
      <c r="BF1208" t="str">
        <f>HYPERLINK("http://dx.doi.org/10.1080/1553118X.2021.2011732","http://dx.doi.org/10.1080/1553118X.2021.2011732")</f>
        <v>http://dx.doi.org/10.1080/1553118X.2021.2011732</v>
      </c>
      <c r="BG1208" t="s">
        <v>74</v>
      </c>
      <c r="BH1208" t="s">
        <v>74</v>
      </c>
      <c r="BI1208">
        <v>22</v>
      </c>
      <c r="BJ1208" t="s">
        <v>124</v>
      </c>
      <c r="BK1208" t="s">
        <v>125</v>
      </c>
      <c r="BL1208" t="s">
        <v>124</v>
      </c>
      <c r="BM1208" t="s">
        <v>20349</v>
      </c>
      <c r="BN1208" t="s">
        <v>74</v>
      </c>
      <c r="BO1208" t="s">
        <v>2738</v>
      </c>
      <c r="BP1208" t="s">
        <v>74</v>
      </c>
      <c r="BQ1208" t="s">
        <v>74</v>
      </c>
      <c r="BR1208" t="s">
        <v>102</v>
      </c>
      <c r="BS1208" t="s">
        <v>20350</v>
      </c>
      <c r="BT1208" t="str">
        <f>HYPERLINK("https%3A%2F%2Fwww.webofscience.com%2Fwos%2Fwoscc%2Ffull-record%2FWOS:000989997800010","View Full Record in Web of Science")</f>
        <v>View Full Record in Web of Science</v>
      </c>
    </row>
    <row r="1209" spans="1:72" x14ac:dyDescent="0.35">
      <c r="A1209" t="s">
        <v>72</v>
      </c>
      <c r="B1209" t="s">
        <v>20351</v>
      </c>
      <c r="C1209" t="s">
        <v>74</v>
      </c>
      <c r="D1209" t="s">
        <v>74</v>
      </c>
      <c r="E1209" t="s">
        <v>74</v>
      </c>
      <c r="F1209" t="s">
        <v>20352</v>
      </c>
      <c r="G1209" t="s">
        <v>74</v>
      </c>
      <c r="H1209" t="s">
        <v>74</v>
      </c>
      <c r="I1209" t="s">
        <v>20353</v>
      </c>
      <c r="J1209" t="s">
        <v>161</v>
      </c>
      <c r="K1209" t="s">
        <v>74</v>
      </c>
      <c r="L1209" t="s">
        <v>74</v>
      </c>
      <c r="M1209" t="s">
        <v>78</v>
      </c>
      <c r="N1209" t="s">
        <v>79</v>
      </c>
      <c r="O1209" t="s">
        <v>74</v>
      </c>
      <c r="P1209" t="s">
        <v>74</v>
      </c>
      <c r="Q1209" t="s">
        <v>74</v>
      </c>
      <c r="R1209" t="s">
        <v>74</v>
      </c>
      <c r="S1209" t="s">
        <v>74</v>
      </c>
      <c r="T1209" t="s">
        <v>20354</v>
      </c>
      <c r="U1209" t="s">
        <v>20355</v>
      </c>
      <c r="V1209" t="s">
        <v>20356</v>
      </c>
      <c r="W1209" t="s">
        <v>20357</v>
      </c>
      <c r="X1209" t="s">
        <v>20358</v>
      </c>
      <c r="Y1209" t="s">
        <v>20359</v>
      </c>
      <c r="Z1209" t="s">
        <v>20360</v>
      </c>
      <c r="AA1209" t="s">
        <v>20361</v>
      </c>
      <c r="AB1209" t="s">
        <v>20362</v>
      </c>
      <c r="AC1209" t="s">
        <v>20363</v>
      </c>
      <c r="AD1209" t="s">
        <v>20364</v>
      </c>
      <c r="AE1209" t="s">
        <v>20365</v>
      </c>
      <c r="AF1209" t="s">
        <v>74</v>
      </c>
      <c r="AG1209">
        <v>129</v>
      </c>
      <c r="AH1209">
        <v>0</v>
      </c>
      <c r="AI1209">
        <v>0</v>
      </c>
      <c r="AJ1209">
        <v>26</v>
      </c>
      <c r="AK1209">
        <v>26</v>
      </c>
      <c r="AL1209" t="s">
        <v>171</v>
      </c>
      <c r="AM1209" t="s">
        <v>172</v>
      </c>
      <c r="AN1209" t="s">
        <v>173</v>
      </c>
      <c r="AO1209" t="s">
        <v>174</v>
      </c>
      <c r="AP1209" t="s">
        <v>175</v>
      </c>
      <c r="AQ1209" t="s">
        <v>74</v>
      </c>
      <c r="AR1209" t="s">
        <v>176</v>
      </c>
      <c r="AS1209" t="s">
        <v>177</v>
      </c>
      <c r="AT1209" t="s">
        <v>20366</v>
      </c>
      <c r="AU1209">
        <v>2024</v>
      </c>
      <c r="AV1209" t="s">
        <v>74</v>
      </c>
      <c r="AW1209" t="s">
        <v>74</v>
      </c>
      <c r="AX1209" t="s">
        <v>74</v>
      </c>
      <c r="AY1209" t="s">
        <v>74</v>
      </c>
      <c r="AZ1209" t="s">
        <v>74</v>
      </c>
      <c r="BA1209" t="s">
        <v>74</v>
      </c>
      <c r="BB1209" t="s">
        <v>74</v>
      </c>
      <c r="BC1209" t="s">
        <v>74</v>
      </c>
      <c r="BD1209" t="s">
        <v>74</v>
      </c>
      <c r="BE1209" t="s">
        <v>20367</v>
      </c>
      <c r="BF1209" t="str">
        <f>HYPERLINK("http://dx.doi.org/10.1177/08944393241260242","http://dx.doi.org/10.1177/08944393241260242")</f>
        <v>http://dx.doi.org/10.1177/08944393241260242</v>
      </c>
      <c r="BG1209" t="s">
        <v>74</v>
      </c>
      <c r="BH1209" t="s">
        <v>2444</v>
      </c>
      <c r="BI1209">
        <v>24</v>
      </c>
      <c r="BJ1209" t="s">
        <v>181</v>
      </c>
      <c r="BK1209" t="s">
        <v>182</v>
      </c>
      <c r="BL1209" t="s">
        <v>183</v>
      </c>
      <c r="BM1209" t="s">
        <v>20368</v>
      </c>
      <c r="BN1209" t="s">
        <v>74</v>
      </c>
      <c r="BO1209" t="s">
        <v>74</v>
      </c>
      <c r="BP1209" t="s">
        <v>74</v>
      </c>
      <c r="BQ1209" t="s">
        <v>74</v>
      </c>
      <c r="BR1209" t="s">
        <v>102</v>
      </c>
      <c r="BS1209" t="s">
        <v>20369</v>
      </c>
      <c r="BT1209" t="str">
        <f>HYPERLINK("https%3A%2F%2Fwww.webofscience.com%2Fwos%2Fwoscc%2Ffull-record%2FWOS:001287286400001","View Full Record in Web of Science")</f>
        <v>View Full Record in Web of Science</v>
      </c>
    </row>
    <row r="1210" spans="1:72" x14ac:dyDescent="0.35">
      <c r="A1210" t="s">
        <v>72</v>
      </c>
      <c r="B1210" t="s">
        <v>7131</v>
      </c>
      <c r="C1210" t="s">
        <v>74</v>
      </c>
      <c r="D1210" t="s">
        <v>74</v>
      </c>
      <c r="E1210" t="s">
        <v>74</v>
      </c>
      <c r="F1210" t="s">
        <v>20370</v>
      </c>
      <c r="G1210" t="s">
        <v>74</v>
      </c>
      <c r="H1210" t="s">
        <v>74</v>
      </c>
      <c r="I1210" t="s">
        <v>20371</v>
      </c>
      <c r="J1210" t="s">
        <v>20372</v>
      </c>
      <c r="K1210" t="s">
        <v>74</v>
      </c>
      <c r="L1210" t="s">
        <v>74</v>
      </c>
      <c r="M1210" t="s">
        <v>7332</v>
      </c>
      <c r="N1210" t="s">
        <v>108</v>
      </c>
      <c r="O1210" t="s">
        <v>74</v>
      </c>
      <c r="P1210" t="s">
        <v>74</v>
      </c>
      <c r="Q1210" t="s">
        <v>74</v>
      </c>
      <c r="R1210" t="s">
        <v>74</v>
      </c>
      <c r="S1210" t="s">
        <v>74</v>
      </c>
      <c r="T1210" t="s">
        <v>20373</v>
      </c>
      <c r="U1210" t="s">
        <v>74</v>
      </c>
      <c r="V1210" t="s">
        <v>20374</v>
      </c>
      <c r="W1210" t="s">
        <v>20375</v>
      </c>
      <c r="X1210" t="s">
        <v>7137</v>
      </c>
      <c r="Y1210" t="s">
        <v>20376</v>
      </c>
      <c r="Z1210" t="s">
        <v>7139</v>
      </c>
      <c r="AA1210" t="s">
        <v>74</v>
      </c>
      <c r="AB1210" t="s">
        <v>74</v>
      </c>
      <c r="AC1210" t="s">
        <v>74</v>
      </c>
      <c r="AD1210" t="s">
        <v>74</v>
      </c>
      <c r="AE1210" t="s">
        <v>74</v>
      </c>
      <c r="AF1210" t="s">
        <v>74</v>
      </c>
      <c r="AG1210">
        <v>43</v>
      </c>
      <c r="AH1210">
        <v>2</v>
      </c>
      <c r="AI1210">
        <v>2</v>
      </c>
      <c r="AJ1210">
        <v>5</v>
      </c>
      <c r="AK1210">
        <v>77</v>
      </c>
      <c r="AL1210" t="s">
        <v>20377</v>
      </c>
      <c r="AM1210" t="s">
        <v>20378</v>
      </c>
      <c r="AN1210" t="s">
        <v>20379</v>
      </c>
      <c r="AO1210" t="s">
        <v>20380</v>
      </c>
      <c r="AP1210" t="s">
        <v>20381</v>
      </c>
      <c r="AQ1210" t="s">
        <v>74</v>
      </c>
      <c r="AR1210" t="s">
        <v>20372</v>
      </c>
      <c r="AS1210" t="s">
        <v>20382</v>
      </c>
      <c r="AT1210" t="s">
        <v>6934</v>
      </c>
      <c r="AU1210">
        <v>2022</v>
      </c>
      <c r="AV1210">
        <v>28</v>
      </c>
      <c r="AW1210">
        <v>2</v>
      </c>
      <c r="AX1210" t="s">
        <v>74</v>
      </c>
      <c r="AY1210" t="s">
        <v>74</v>
      </c>
      <c r="AZ1210" t="s">
        <v>74</v>
      </c>
      <c r="BA1210" t="s">
        <v>74</v>
      </c>
      <c r="BB1210">
        <v>13</v>
      </c>
      <c r="BC1210">
        <v>39</v>
      </c>
      <c r="BD1210" t="s">
        <v>20383</v>
      </c>
      <c r="BE1210" t="s">
        <v>20384</v>
      </c>
      <c r="BF1210" t="str">
        <f>HYPERLINK("http://dx.doi.org/10.19132/1808-5245282.116231","http://dx.doi.org/10.19132/1808-5245282.116231")</f>
        <v>http://dx.doi.org/10.19132/1808-5245282.116231</v>
      </c>
      <c r="BG1210" t="s">
        <v>74</v>
      </c>
      <c r="BH1210" t="s">
        <v>74</v>
      </c>
      <c r="BI1210">
        <v>27</v>
      </c>
      <c r="BJ1210" t="s">
        <v>1162</v>
      </c>
      <c r="BK1210" t="s">
        <v>125</v>
      </c>
      <c r="BL1210" t="s">
        <v>1162</v>
      </c>
      <c r="BM1210" t="s">
        <v>20385</v>
      </c>
      <c r="BN1210" t="s">
        <v>74</v>
      </c>
      <c r="BO1210" t="s">
        <v>235</v>
      </c>
      <c r="BP1210" t="s">
        <v>74</v>
      </c>
      <c r="BQ1210" t="s">
        <v>74</v>
      </c>
      <c r="BR1210" t="s">
        <v>102</v>
      </c>
      <c r="BS1210" t="s">
        <v>20386</v>
      </c>
      <c r="BT1210" t="str">
        <f>HYPERLINK("https%3A%2F%2Fwww.webofscience.com%2Fwos%2Fwoscc%2Ffull-record%2FWOS:000761017800008","View Full Record in Web of Science")</f>
        <v>View Full Record in Web of Science</v>
      </c>
    </row>
    <row r="1211" spans="1:72" x14ac:dyDescent="0.35">
      <c r="A1211" t="s">
        <v>72</v>
      </c>
      <c r="B1211" t="s">
        <v>20387</v>
      </c>
      <c r="C1211" t="s">
        <v>74</v>
      </c>
      <c r="D1211" t="s">
        <v>74</v>
      </c>
      <c r="E1211" t="s">
        <v>74</v>
      </c>
      <c r="F1211" t="s">
        <v>20388</v>
      </c>
      <c r="G1211" t="s">
        <v>74</v>
      </c>
      <c r="H1211" t="s">
        <v>74</v>
      </c>
      <c r="I1211" t="s">
        <v>20389</v>
      </c>
      <c r="J1211" t="s">
        <v>20390</v>
      </c>
      <c r="K1211" t="s">
        <v>74</v>
      </c>
      <c r="L1211" t="s">
        <v>74</v>
      </c>
      <c r="M1211" t="s">
        <v>78</v>
      </c>
      <c r="N1211" t="s">
        <v>79</v>
      </c>
      <c r="O1211" t="s">
        <v>74</v>
      </c>
      <c r="P1211" t="s">
        <v>74</v>
      </c>
      <c r="Q1211" t="s">
        <v>74</v>
      </c>
      <c r="R1211" t="s">
        <v>74</v>
      </c>
      <c r="S1211" t="s">
        <v>74</v>
      </c>
      <c r="T1211" t="s">
        <v>20391</v>
      </c>
      <c r="U1211" t="s">
        <v>20392</v>
      </c>
      <c r="V1211" t="s">
        <v>20393</v>
      </c>
      <c r="W1211" t="s">
        <v>20394</v>
      </c>
      <c r="X1211" t="s">
        <v>13042</v>
      </c>
      <c r="Y1211" t="s">
        <v>20395</v>
      </c>
      <c r="Z1211" t="s">
        <v>20396</v>
      </c>
      <c r="AA1211" t="s">
        <v>74</v>
      </c>
      <c r="AB1211" t="s">
        <v>20397</v>
      </c>
      <c r="AC1211" t="s">
        <v>74</v>
      </c>
      <c r="AD1211" t="s">
        <v>74</v>
      </c>
      <c r="AE1211" t="s">
        <v>74</v>
      </c>
      <c r="AF1211" t="s">
        <v>74</v>
      </c>
      <c r="AG1211">
        <v>35</v>
      </c>
      <c r="AH1211">
        <v>1</v>
      </c>
      <c r="AI1211">
        <v>1</v>
      </c>
      <c r="AJ1211">
        <v>0</v>
      </c>
      <c r="AK1211">
        <v>0</v>
      </c>
      <c r="AL1211" t="s">
        <v>251</v>
      </c>
      <c r="AM1211" t="s">
        <v>252</v>
      </c>
      <c r="AN1211" t="s">
        <v>253</v>
      </c>
      <c r="AO1211" t="s">
        <v>20398</v>
      </c>
      <c r="AP1211" t="s">
        <v>20399</v>
      </c>
      <c r="AQ1211" t="s">
        <v>74</v>
      </c>
      <c r="AR1211" t="s">
        <v>20390</v>
      </c>
      <c r="AS1211" t="s">
        <v>20400</v>
      </c>
      <c r="AT1211" t="s">
        <v>20401</v>
      </c>
      <c r="AU1211">
        <v>2024</v>
      </c>
      <c r="AV1211" t="s">
        <v>74</v>
      </c>
      <c r="AW1211" t="s">
        <v>74</v>
      </c>
      <c r="AX1211" t="s">
        <v>74</v>
      </c>
      <c r="AY1211" t="s">
        <v>74</v>
      </c>
      <c r="AZ1211" t="s">
        <v>74</v>
      </c>
      <c r="BA1211" t="s">
        <v>74</v>
      </c>
      <c r="BB1211" t="s">
        <v>74</v>
      </c>
      <c r="BC1211" t="s">
        <v>74</v>
      </c>
      <c r="BD1211" t="s">
        <v>74</v>
      </c>
      <c r="BE1211" t="s">
        <v>20402</v>
      </c>
      <c r="BF1211" t="str">
        <f>HYPERLINK("http://dx.doi.org/10.1002/lary.31617","http://dx.doi.org/10.1002/lary.31617")</f>
        <v>http://dx.doi.org/10.1002/lary.31617</v>
      </c>
      <c r="BG1211" t="s">
        <v>74</v>
      </c>
      <c r="BH1211" t="s">
        <v>478</v>
      </c>
      <c r="BI1211">
        <v>9</v>
      </c>
      <c r="BJ1211" t="s">
        <v>20403</v>
      </c>
      <c r="BK1211" t="s">
        <v>209</v>
      </c>
      <c r="BL1211" t="s">
        <v>20404</v>
      </c>
      <c r="BM1211" t="s">
        <v>20405</v>
      </c>
      <c r="BN1211">
        <v>38963292</v>
      </c>
      <c r="BO1211" t="s">
        <v>74</v>
      </c>
      <c r="BP1211" t="s">
        <v>74</v>
      </c>
      <c r="BQ1211" t="s">
        <v>74</v>
      </c>
      <c r="BR1211" t="s">
        <v>102</v>
      </c>
      <c r="BS1211" t="s">
        <v>20406</v>
      </c>
      <c r="BT1211" t="str">
        <f>HYPERLINK("https%3A%2F%2Fwww.webofscience.com%2Fwos%2Fwoscc%2Ffull-record%2FWOS:001262630800001","View Full Record in Web of Science")</f>
        <v>View Full Record in Web of Science</v>
      </c>
    </row>
    <row r="1212" spans="1:72" x14ac:dyDescent="0.35">
      <c r="A1212" t="s">
        <v>72</v>
      </c>
      <c r="B1212" t="s">
        <v>20407</v>
      </c>
      <c r="C1212" t="s">
        <v>74</v>
      </c>
      <c r="D1212" t="s">
        <v>74</v>
      </c>
      <c r="E1212" t="s">
        <v>74</v>
      </c>
      <c r="F1212" t="s">
        <v>20408</v>
      </c>
      <c r="G1212" t="s">
        <v>74</v>
      </c>
      <c r="H1212" t="s">
        <v>74</v>
      </c>
      <c r="I1212" t="s">
        <v>20409</v>
      </c>
      <c r="J1212" t="s">
        <v>20410</v>
      </c>
      <c r="K1212" t="s">
        <v>74</v>
      </c>
      <c r="L1212" t="s">
        <v>74</v>
      </c>
      <c r="M1212" t="s">
        <v>78</v>
      </c>
      <c r="N1212" t="s">
        <v>108</v>
      </c>
      <c r="O1212" t="s">
        <v>74</v>
      </c>
      <c r="P1212" t="s">
        <v>74</v>
      </c>
      <c r="Q1212" t="s">
        <v>74</v>
      </c>
      <c r="R1212" t="s">
        <v>74</v>
      </c>
      <c r="S1212" t="s">
        <v>74</v>
      </c>
      <c r="T1212" t="s">
        <v>20411</v>
      </c>
      <c r="U1212" t="s">
        <v>20412</v>
      </c>
      <c r="V1212" t="s">
        <v>20413</v>
      </c>
      <c r="W1212" t="s">
        <v>20414</v>
      </c>
      <c r="X1212" t="s">
        <v>74</v>
      </c>
      <c r="Y1212" t="s">
        <v>20415</v>
      </c>
      <c r="Z1212" t="s">
        <v>74</v>
      </c>
      <c r="AA1212" t="s">
        <v>20416</v>
      </c>
      <c r="AB1212" t="s">
        <v>20417</v>
      </c>
      <c r="AC1212" t="s">
        <v>20418</v>
      </c>
      <c r="AD1212" t="s">
        <v>20419</v>
      </c>
      <c r="AE1212" t="s">
        <v>20420</v>
      </c>
      <c r="AF1212" t="s">
        <v>74</v>
      </c>
      <c r="AG1212">
        <v>80</v>
      </c>
      <c r="AH1212">
        <v>3</v>
      </c>
      <c r="AI1212">
        <v>3</v>
      </c>
      <c r="AJ1212">
        <v>5</v>
      </c>
      <c r="AK1212">
        <v>32</v>
      </c>
      <c r="AL1212" t="s">
        <v>20421</v>
      </c>
      <c r="AM1212" t="s">
        <v>20422</v>
      </c>
      <c r="AN1212" t="s">
        <v>20423</v>
      </c>
      <c r="AO1212" t="s">
        <v>20424</v>
      </c>
      <c r="AP1212" t="s">
        <v>20425</v>
      </c>
      <c r="AQ1212" t="s">
        <v>74</v>
      </c>
      <c r="AR1212" t="s">
        <v>20426</v>
      </c>
      <c r="AS1212" t="s">
        <v>20427</v>
      </c>
      <c r="AT1212" t="s">
        <v>74</v>
      </c>
      <c r="AU1212">
        <v>2022</v>
      </c>
      <c r="AV1212">
        <v>18</v>
      </c>
      <c r="AW1212">
        <v>1</v>
      </c>
      <c r="AX1212" t="s">
        <v>74</v>
      </c>
      <c r="AY1212" t="s">
        <v>74</v>
      </c>
      <c r="AZ1212" t="s">
        <v>74</v>
      </c>
      <c r="BA1212" t="s">
        <v>74</v>
      </c>
      <c r="BB1212" t="s">
        <v>74</v>
      </c>
      <c r="BC1212" t="s">
        <v>74</v>
      </c>
      <c r="BD1212" t="s">
        <v>74</v>
      </c>
      <c r="BE1212" t="s">
        <v>20428</v>
      </c>
      <c r="BF1212" t="str">
        <f>HYPERLINK("http://dx.doi.org/10.4018/IJeC.304371","http://dx.doi.org/10.4018/IJeC.304371")</f>
        <v>http://dx.doi.org/10.4018/IJeC.304371</v>
      </c>
      <c r="BG1212" t="s">
        <v>74</v>
      </c>
      <c r="BH1212" t="s">
        <v>74</v>
      </c>
      <c r="BI1212">
        <v>19</v>
      </c>
      <c r="BJ1212" t="s">
        <v>5789</v>
      </c>
      <c r="BK1212" t="s">
        <v>125</v>
      </c>
      <c r="BL1212" t="s">
        <v>210</v>
      </c>
      <c r="BM1212" t="s">
        <v>20429</v>
      </c>
      <c r="BN1212" t="s">
        <v>74</v>
      </c>
      <c r="BO1212" t="s">
        <v>74</v>
      </c>
      <c r="BP1212" t="s">
        <v>74</v>
      </c>
      <c r="BQ1212" t="s">
        <v>74</v>
      </c>
      <c r="BR1212" t="s">
        <v>102</v>
      </c>
      <c r="BS1212" t="s">
        <v>20430</v>
      </c>
      <c r="BT1212" t="str">
        <f>HYPERLINK("https%3A%2F%2Fwww.webofscience.com%2Fwos%2Fwoscc%2Ffull-record%2FWOS:000886236900011","View Full Record in Web of Science")</f>
        <v>View Full Record in Web of Science</v>
      </c>
    </row>
    <row r="1213" spans="1:72" x14ac:dyDescent="0.35">
      <c r="A1213" t="s">
        <v>72</v>
      </c>
      <c r="B1213" t="s">
        <v>20431</v>
      </c>
      <c r="C1213" t="s">
        <v>74</v>
      </c>
      <c r="D1213" t="s">
        <v>74</v>
      </c>
      <c r="E1213" t="s">
        <v>74</v>
      </c>
      <c r="F1213" t="s">
        <v>20432</v>
      </c>
      <c r="G1213" t="s">
        <v>74</v>
      </c>
      <c r="H1213" t="s">
        <v>74</v>
      </c>
      <c r="I1213" t="s">
        <v>20433</v>
      </c>
      <c r="J1213" t="s">
        <v>20434</v>
      </c>
      <c r="K1213" t="s">
        <v>74</v>
      </c>
      <c r="L1213" t="s">
        <v>74</v>
      </c>
      <c r="M1213" t="s">
        <v>78</v>
      </c>
      <c r="N1213" t="s">
        <v>108</v>
      </c>
      <c r="O1213" t="s">
        <v>74</v>
      </c>
      <c r="P1213" t="s">
        <v>74</v>
      </c>
      <c r="Q1213" t="s">
        <v>74</v>
      </c>
      <c r="R1213" t="s">
        <v>74</v>
      </c>
      <c r="S1213" t="s">
        <v>74</v>
      </c>
      <c r="T1213" t="s">
        <v>20435</v>
      </c>
      <c r="U1213" t="s">
        <v>20436</v>
      </c>
      <c r="V1213" t="s">
        <v>20437</v>
      </c>
      <c r="W1213" t="s">
        <v>20438</v>
      </c>
      <c r="X1213" t="s">
        <v>20439</v>
      </c>
      <c r="Y1213" t="s">
        <v>20440</v>
      </c>
      <c r="Z1213" t="s">
        <v>20441</v>
      </c>
      <c r="AA1213" t="s">
        <v>20442</v>
      </c>
      <c r="AB1213" t="s">
        <v>20443</v>
      </c>
      <c r="AC1213" t="s">
        <v>20444</v>
      </c>
      <c r="AD1213" t="s">
        <v>20444</v>
      </c>
      <c r="AE1213" t="s">
        <v>20445</v>
      </c>
      <c r="AF1213" t="s">
        <v>74</v>
      </c>
      <c r="AG1213">
        <v>55</v>
      </c>
      <c r="AH1213">
        <v>7</v>
      </c>
      <c r="AI1213">
        <v>7</v>
      </c>
      <c r="AJ1213">
        <v>52</v>
      </c>
      <c r="AK1213">
        <v>61</v>
      </c>
      <c r="AL1213" t="s">
        <v>516</v>
      </c>
      <c r="AM1213" t="s">
        <v>517</v>
      </c>
      <c r="AN1213" t="s">
        <v>518</v>
      </c>
      <c r="AO1213" t="s">
        <v>20446</v>
      </c>
      <c r="AP1213" t="s">
        <v>20447</v>
      </c>
      <c r="AQ1213" t="s">
        <v>74</v>
      </c>
      <c r="AR1213" t="s">
        <v>20448</v>
      </c>
      <c r="AS1213" t="s">
        <v>20449</v>
      </c>
      <c r="AT1213" t="s">
        <v>930</v>
      </c>
      <c r="AU1213">
        <v>2024</v>
      </c>
      <c r="AV1213">
        <v>179</v>
      </c>
      <c r="AW1213" t="s">
        <v>74</v>
      </c>
      <c r="AX1213" t="s">
        <v>74</v>
      </c>
      <c r="AY1213" t="s">
        <v>74</v>
      </c>
      <c r="AZ1213" t="s">
        <v>74</v>
      </c>
      <c r="BA1213" t="s">
        <v>74</v>
      </c>
      <c r="BB1213" t="s">
        <v>74</v>
      </c>
      <c r="BC1213" t="s">
        <v>74</v>
      </c>
      <c r="BD1213">
        <v>114147</v>
      </c>
      <c r="BE1213" t="s">
        <v>20450</v>
      </c>
      <c r="BF1213" t="str">
        <f>HYPERLINK("http://dx.doi.org/10.1016/j.dss.2023.114147","http://dx.doi.org/10.1016/j.dss.2023.114147")</f>
        <v>http://dx.doi.org/10.1016/j.dss.2023.114147</v>
      </c>
      <c r="BG1213" t="s">
        <v>74</v>
      </c>
      <c r="BH1213" t="s">
        <v>123</v>
      </c>
      <c r="BI1213">
        <v>11</v>
      </c>
      <c r="BJ1213" t="s">
        <v>20451</v>
      </c>
      <c r="BK1213" t="s">
        <v>209</v>
      </c>
      <c r="BL1213" t="s">
        <v>20452</v>
      </c>
      <c r="BM1213" t="s">
        <v>20453</v>
      </c>
      <c r="BN1213" t="s">
        <v>74</v>
      </c>
      <c r="BO1213" t="s">
        <v>74</v>
      </c>
      <c r="BP1213" t="s">
        <v>74</v>
      </c>
      <c r="BQ1213" t="s">
        <v>74</v>
      </c>
      <c r="BR1213" t="s">
        <v>102</v>
      </c>
      <c r="BS1213" t="s">
        <v>20454</v>
      </c>
      <c r="BT1213" t="str">
        <f>HYPERLINK("https%3A%2F%2Fwww.webofscience.com%2Fwos%2Fwoscc%2Ffull-record%2FWOS:001209692400001","View Full Record in Web of Science")</f>
        <v>View Full Record in Web of Science</v>
      </c>
    </row>
    <row r="1214" spans="1:72" x14ac:dyDescent="0.35">
      <c r="A1214" t="s">
        <v>72</v>
      </c>
      <c r="B1214" t="s">
        <v>20455</v>
      </c>
      <c r="C1214" t="s">
        <v>74</v>
      </c>
      <c r="D1214" t="s">
        <v>74</v>
      </c>
      <c r="E1214" t="s">
        <v>74</v>
      </c>
      <c r="F1214" t="s">
        <v>20456</v>
      </c>
      <c r="G1214" t="s">
        <v>74</v>
      </c>
      <c r="H1214" t="s">
        <v>74</v>
      </c>
      <c r="I1214" t="s">
        <v>20457</v>
      </c>
      <c r="J1214" t="s">
        <v>20458</v>
      </c>
      <c r="K1214" t="s">
        <v>74</v>
      </c>
      <c r="L1214" t="s">
        <v>74</v>
      </c>
      <c r="M1214" t="s">
        <v>78</v>
      </c>
      <c r="N1214" t="s">
        <v>108</v>
      </c>
      <c r="O1214" t="s">
        <v>74</v>
      </c>
      <c r="P1214" t="s">
        <v>74</v>
      </c>
      <c r="Q1214" t="s">
        <v>74</v>
      </c>
      <c r="R1214" t="s">
        <v>74</v>
      </c>
      <c r="S1214" t="s">
        <v>74</v>
      </c>
      <c r="T1214" t="s">
        <v>20459</v>
      </c>
      <c r="U1214" t="s">
        <v>20460</v>
      </c>
      <c r="V1214" t="s">
        <v>20461</v>
      </c>
      <c r="W1214" t="s">
        <v>20462</v>
      </c>
      <c r="X1214" t="s">
        <v>74</v>
      </c>
      <c r="Y1214" t="s">
        <v>20463</v>
      </c>
      <c r="Z1214" t="s">
        <v>20464</v>
      </c>
      <c r="AA1214" t="s">
        <v>74</v>
      </c>
      <c r="AB1214" t="s">
        <v>74</v>
      </c>
      <c r="AC1214" t="s">
        <v>74</v>
      </c>
      <c r="AD1214" t="s">
        <v>74</v>
      </c>
      <c r="AE1214" t="s">
        <v>74</v>
      </c>
      <c r="AF1214" t="s">
        <v>74</v>
      </c>
      <c r="AG1214">
        <v>47</v>
      </c>
      <c r="AH1214">
        <v>0</v>
      </c>
      <c r="AI1214">
        <v>0</v>
      </c>
      <c r="AJ1214">
        <v>5</v>
      </c>
      <c r="AK1214">
        <v>19</v>
      </c>
      <c r="AL1214" t="s">
        <v>20465</v>
      </c>
      <c r="AM1214" t="s">
        <v>20466</v>
      </c>
      <c r="AN1214" t="s">
        <v>20467</v>
      </c>
      <c r="AO1214" t="s">
        <v>20468</v>
      </c>
      <c r="AP1214" t="s">
        <v>20469</v>
      </c>
      <c r="AQ1214" t="s">
        <v>74</v>
      </c>
      <c r="AR1214" t="s">
        <v>20470</v>
      </c>
      <c r="AS1214" t="s">
        <v>20471</v>
      </c>
      <c r="AT1214" t="s">
        <v>74</v>
      </c>
      <c r="AU1214">
        <v>2023</v>
      </c>
      <c r="AV1214">
        <v>19</v>
      </c>
      <c r="AW1214">
        <v>1</v>
      </c>
      <c r="AX1214" t="s">
        <v>74</v>
      </c>
      <c r="AY1214" t="s">
        <v>74</v>
      </c>
      <c r="AZ1214" t="s">
        <v>74</v>
      </c>
      <c r="BA1214" t="s">
        <v>74</v>
      </c>
      <c r="BB1214" t="s">
        <v>74</v>
      </c>
      <c r="BC1214" t="s">
        <v>74</v>
      </c>
      <c r="BD1214" t="s">
        <v>74</v>
      </c>
      <c r="BE1214" t="s">
        <v>20472</v>
      </c>
      <c r="BF1214" t="str">
        <f>HYPERLINK("http://dx.doi.org/10.16925/2357-6014.2023.01.07","http://dx.doi.org/10.16925/2357-6014.2023.01.07")</f>
        <v>http://dx.doi.org/10.16925/2357-6014.2023.01.07</v>
      </c>
      <c r="BG1214" t="s">
        <v>74</v>
      </c>
      <c r="BH1214" t="s">
        <v>74</v>
      </c>
      <c r="BI1214">
        <v>26</v>
      </c>
      <c r="BJ1214" t="s">
        <v>20473</v>
      </c>
      <c r="BK1214" t="s">
        <v>125</v>
      </c>
      <c r="BL1214" t="s">
        <v>20474</v>
      </c>
      <c r="BM1214" t="s">
        <v>20475</v>
      </c>
      <c r="BN1214" t="s">
        <v>74</v>
      </c>
      <c r="BO1214" t="s">
        <v>235</v>
      </c>
      <c r="BP1214" t="s">
        <v>74</v>
      </c>
      <c r="BQ1214" t="s">
        <v>74</v>
      </c>
      <c r="BR1214" t="s">
        <v>102</v>
      </c>
      <c r="BS1214" t="s">
        <v>20476</v>
      </c>
      <c r="BT1214" t="str">
        <f>HYPERLINK("https%3A%2F%2Fwww.webofscience.com%2Fwos%2Fwoscc%2Ffull-record%2FWOS:001061992900002","View Full Record in Web of Science")</f>
        <v>View Full Record in Web of Science</v>
      </c>
    </row>
    <row r="1215" spans="1:72" x14ac:dyDescent="0.35">
      <c r="A1215" t="s">
        <v>72</v>
      </c>
      <c r="B1215" t="s">
        <v>20477</v>
      </c>
      <c r="C1215" t="s">
        <v>74</v>
      </c>
      <c r="D1215" t="s">
        <v>74</v>
      </c>
      <c r="E1215" t="s">
        <v>74</v>
      </c>
      <c r="F1215" t="s">
        <v>20478</v>
      </c>
      <c r="G1215" t="s">
        <v>74</v>
      </c>
      <c r="H1215" t="s">
        <v>74</v>
      </c>
      <c r="I1215" t="s">
        <v>20479</v>
      </c>
      <c r="J1215" t="s">
        <v>4192</v>
      </c>
      <c r="K1215" t="s">
        <v>74</v>
      </c>
      <c r="L1215" t="s">
        <v>74</v>
      </c>
      <c r="M1215" t="s">
        <v>3503</v>
      </c>
      <c r="N1215" t="s">
        <v>108</v>
      </c>
      <c r="O1215" t="s">
        <v>74</v>
      </c>
      <c r="P1215" t="s">
        <v>74</v>
      </c>
      <c r="Q1215" t="s">
        <v>74</v>
      </c>
      <c r="R1215" t="s">
        <v>74</v>
      </c>
      <c r="S1215" t="s">
        <v>74</v>
      </c>
      <c r="T1215" t="s">
        <v>20480</v>
      </c>
      <c r="U1215" t="s">
        <v>20481</v>
      </c>
      <c r="V1215" t="s">
        <v>20482</v>
      </c>
      <c r="W1215" t="s">
        <v>20483</v>
      </c>
      <c r="X1215" t="s">
        <v>14433</v>
      </c>
      <c r="Y1215" t="s">
        <v>14434</v>
      </c>
      <c r="Z1215" t="s">
        <v>20484</v>
      </c>
      <c r="AA1215" t="s">
        <v>20485</v>
      </c>
      <c r="AB1215" t="s">
        <v>20486</v>
      </c>
      <c r="AC1215" t="s">
        <v>74</v>
      </c>
      <c r="AD1215" t="s">
        <v>74</v>
      </c>
      <c r="AE1215" t="s">
        <v>74</v>
      </c>
      <c r="AF1215" t="s">
        <v>74</v>
      </c>
      <c r="AG1215">
        <v>48</v>
      </c>
      <c r="AH1215">
        <v>0</v>
      </c>
      <c r="AI1215">
        <v>0</v>
      </c>
      <c r="AJ1215">
        <v>6</v>
      </c>
      <c r="AK1215">
        <v>18</v>
      </c>
      <c r="AL1215" t="s">
        <v>4200</v>
      </c>
      <c r="AM1215" t="s">
        <v>4201</v>
      </c>
      <c r="AN1215" t="s">
        <v>4202</v>
      </c>
      <c r="AO1215" t="s">
        <v>4203</v>
      </c>
      <c r="AP1215" t="s">
        <v>4204</v>
      </c>
      <c r="AQ1215" t="s">
        <v>74</v>
      </c>
      <c r="AR1215" t="s">
        <v>4205</v>
      </c>
      <c r="AS1215" t="s">
        <v>4206</v>
      </c>
      <c r="AT1215" t="s">
        <v>1275</v>
      </c>
      <c r="AU1215">
        <v>2023</v>
      </c>
      <c r="AV1215" t="s">
        <v>74</v>
      </c>
      <c r="AW1215">
        <v>69</v>
      </c>
      <c r="AX1215" t="s">
        <v>74</v>
      </c>
      <c r="AY1215" t="s">
        <v>74</v>
      </c>
      <c r="AZ1215" t="s">
        <v>74</v>
      </c>
      <c r="BA1215" t="s">
        <v>74</v>
      </c>
      <c r="BB1215">
        <v>149</v>
      </c>
      <c r="BC1215">
        <v>166</v>
      </c>
      <c r="BD1215" t="s">
        <v>74</v>
      </c>
      <c r="BE1215" t="s">
        <v>20487</v>
      </c>
      <c r="BF1215" t="str">
        <f>HYPERLINK("http://dx.doi.org/10.5565/rev/analisi.3587","http://dx.doi.org/10.5565/rev/analisi.3587")</f>
        <v>http://dx.doi.org/10.5565/rev/analisi.3587</v>
      </c>
      <c r="BG1215" t="s">
        <v>74</v>
      </c>
      <c r="BH1215" t="s">
        <v>74</v>
      </c>
      <c r="BI1215">
        <v>18</v>
      </c>
      <c r="BJ1215" t="s">
        <v>124</v>
      </c>
      <c r="BK1215" t="s">
        <v>125</v>
      </c>
      <c r="BL1215" t="s">
        <v>124</v>
      </c>
      <c r="BM1215" t="s">
        <v>4208</v>
      </c>
      <c r="BN1215" t="s">
        <v>74</v>
      </c>
      <c r="BO1215" t="s">
        <v>3287</v>
      </c>
      <c r="BP1215" t="s">
        <v>74</v>
      </c>
      <c r="BQ1215" t="s">
        <v>74</v>
      </c>
      <c r="BR1215" t="s">
        <v>102</v>
      </c>
      <c r="BS1215" t="s">
        <v>20488</v>
      </c>
      <c r="BT1215" t="str">
        <f>HYPERLINK("https%3A%2F%2Fwww.webofscience.com%2Fwos%2Fwoscc%2Ffull-record%2FWOS:001141862900006","View Full Record in Web of Science")</f>
        <v>View Full Record in Web of Science</v>
      </c>
    </row>
    <row r="1216" spans="1:72" x14ac:dyDescent="0.35">
      <c r="A1216" t="s">
        <v>72</v>
      </c>
      <c r="B1216" t="s">
        <v>20489</v>
      </c>
      <c r="C1216" t="s">
        <v>74</v>
      </c>
      <c r="D1216" t="s">
        <v>74</v>
      </c>
      <c r="E1216" t="s">
        <v>74</v>
      </c>
      <c r="F1216" t="s">
        <v>20490</v>
      </c>
      <c r="G1216" t="s">
        <v>74</v>
      </c>
      <c r="H1216" t="s">
        <v>74</v>
      </c>
      <c r="I1216" t="s">
        <v>20491</v>
      </c>
      <c r="J1216" t="s">
        <v>14178</v>
      </c>
      <c r="K1216" t="s">
        <v>74</v>
      </c>
      <c r="L1216" t="s">
        <v>74</v>
      </c>
      <c r="M1216" t="s">
        <v>78</v>
      </c>
      <c r="N1216" t="s">
        <v>79</v>
      </c>
      <c r="O1216" t="s">
        <v>74</v>
      </c>
      <c r="P1216" t="s">
        <v>74</v>
      </c>
      <c r="Q1216" t="s">
        <v>74</v>
      </c>
      <c r="R1216" t="s">
        <v>74</v>
      </c>
      <c r="S1216" t="s">
        <v>74</v>
      </c>
      <c r="T1216" t="s">
        <v>20492</v>
      </c>
      <c r="U1216" t="s">
        <v>74</v>
      </c>
      <c r="V1216" t="s">
        <v>20493</v>
      </c>
      <c r="W1216" t="s">
        <v>20494</v>
      </c>
      <c r="X1216" t="s">
        <v>20495</v>
      </c>
      <c r="Y1216" t="s">
        <v>14184</v>
      </c>
      <c r="Z1216" t="s">
        <v>13062</v>
      </c>
      <c r="AA1216" t="s">
        <v>74</v>
      </c>
      <c r="AB1216" t="s">
        <v>13063</v>
      </c>
      <c r="AC1216" t="s">
        <v>74</v>
      </c>
      <c r="AD1216" t="s">
        <v>74</v>
      </c>
      <c r="AE1216" t="s">
        <v>74</v>
      </c>
      <c r="AF1216" t="s">
        <v>74</v>
      </c>
      <c r="AG1216">
        <v>56</v>
      </c>
      <c r="AH1216">
        <v>0</v>
      </c>
      <c r="AI1216">
        <v>0</v>
      </c>
      <c r="AJ1216">
        <v>0</v>
      </c>
      <c r="AK1216">
        <v>0</v>
      </c>
      <c r="AL1216" t="s">
        <v>665</v>
      </c>
      <c r="AM1216" t="s">
        <v>666</v>
      </c>
      <c r="AN1216" t="s">
        <v>667</v>
      </c>
      <c r="AO1216" t="s">
        <v>14185</v>
      </c>
      <c r="AP1216" t="s">
        <v>14186</v>
      </c>
      <c r="AQ1216" t="s">
        <v>74</v>
      </c>
      <c r="AR1216" t="s">
        <v>14187</v>
      </c>
      <c r="AS1216" t="s">
        <v>14188</v>
      </c>
      <c r="AT1216" t="s">
        <v>1719</v>
      </c>
      <c r="AU1216">
        <v>2024</v>
      </c>
      <c r="AV1216" t="s">
        <v>74</v>
      </c>
      <c r="AW1216" t="s">
        <v>74</v>
      </c>
      <c r="AX1216" t="s">
        <v>74</v>
      </c>
      <c r="AY1216" t="s">
        <v>74</v>
      </c>
      <c r="AZ1216" t="s">
        <v>74</v>
      </c>
      <c r="BA1216" t="s">
        <v>74</v>
      </c>
      <c r="BB1216" t="s">
        <v>74</v>
      </c>
      <c r="BC1216" t="s">
        <v>74</v>
      </c>
      <c r="BD1216" t="s">
        <v>74</v>
      </c>
      <c r="BE1216" t="s">
        <v>20496</v>
      </c>
      <c r="BF1216" t="str">
        <f>HYPERLINK("http://dx.doi.org/10.1007/s10900-024-01415-9","http://dx.doi.org/10.1007/s10900-024-01415-9")</f>
        <v>http://dx.doi.org/10.1007/s10900-024-01415-9</v>
      </c>
      <c r="BG1216" t="s">
        <v>74</v>
      </c>
      <c r="BH1216" t="s">
        <v>1721</v>
      </c>
      <c r="BI1216">
        <v>7</v>
      </c>
      <c r="BJ1216" t="s">
        <v>14190</v>
      </c>
      <c r="BK1216" t="s">
        <v>99</v>
      </c>
      <c r="BL1216" t="s">
        <v>4129</v>
      </c>
      <c r="BM1216" t="s">
        <v>20497</v>
      </c>
      <c r="BN1216">
        <v>39453512</v>
      </c>
      <c r="BO1216" t="s">
        <v>156</v>
      </c>
      <c r="BP1216" t="s">
        <v>74</v>
      </c>
      <c r="BQ1216" t="s">
        <v>74</v>
      </c>
      <c r="BR1216" t="s">
        <v>102</v>
      </c>
      <c r="BS1216" t="s">
        <v>20498</v>
      </c>
      <c r="BT1216" t="str">
        <f>HYPERLINK("https%3A%2F%2Fwww.webofscience.com%2Fwos%2Fwoscc%2Ffull-record%2FWOS:001342156500001","View Full Record in Web of Science")</f>
        <v>View Full Record in Web of Science</v>
      </c>
    </row>
    <row r="1217" spans="1:72" x14ac:dyDescent="0.35">
      <c r="A1217" t="s">
        <v>72</v>
      </c>
      <c r="B1217" t="s">
        <v>20499</v>
      </c>
      <c r="C1217" t="s">
        <v>74</v>
      </c>
      <c r="D1217" t="s">
        <v>74</v>
      </c>
      <c r="E1217" t="s">
        <v>74</v>
      </c>
      <c r="F1217" t="s">
        <v>20500</v>
      </c>
      <c r="G1217" t="s">
        <v>74</v>
      </c>
      <c r="H1217" t="s">
        <v>74</v>
      </c>
      <c r="I1217" t="s">
        <v>20501</v>
      </c>
      <c r="J1217" t="s">
        <v>1246</v>
      </c>
      <c r="K1217" t="s">
        <v>74</v>
      </c>
      <c r="L1217" t="s">
        <v>74</v>
      </c>
      <c r="M1217" t="s">
        <v>78</v>
      </c>
      <c r="N1217" t="s">
        <v>108</v>
      </c>
      <c r="O1217" t="s">
        <v>74</v>
      </c>
      <c r="P1217" t="s">
        <v>74</v>
      </c>
      <c r="Q1217" t="s">
        <v>74</v>
      </c>
      <c r="R1217" t="s">
        <v>74</v>
      </c>
      <c r="S1217" t="s">
        <v>74</v>
      </c>
      <c r="T1217" t="s">
        <v>74</v>
      </c>
      <c r="U1217" t="s">
        <v>20502</v>
      </c>
      <c r="V1217" t="s">
        <v>20503</v>
      </c>
      <c r="W1217" t="s">
        <v>20504</v>
      </c>
      <c r="X1217" t="s">
        <v>20505</v>
      </c>
      <c r="Y1217" t="s">
        <v>20506</v>
      </c>
      <c r="Z1217" t="s">
        <v>20507</v>
      </c>
      <c r="AA1217" t="s">
        <v>14600</v>
      </c>
      <c r="AB1217" t="s">
        <v>20508</v>
      </c>
      <c r="AC1217" t="s">
        <v>20509</v>
      </c>
      <c r="AD1217" t="s">
        <v>20510</v>
      </c>
      <c r="AE1217" t="s">
        <v>20511</v>
      </c>
      <c r="AF1217" t="s">
        <v>74</v>
      </c>
      <c r="AG1217">
        <v>90</v>
      </c>
      <c r="AH1217">
        <v>27</v>
      </c>
      <c r="AI1217">
        <v>27</v>
      </c>
      <c r="AJ1217">
        <v>53</v>
      </c>
      <c r="AK1217">
        <v>333</v>
      </c>
      <c r="AL1217" t="s">
        <v>994</v>
      </c>
      <c r="AM1217" t="s">
        <v>995</v>
      </c>
      <c r="AN1217" t="s">
        <v>996</v>
      </c>
      <c r="AO1217" t="s">
        <v>1256</v>
      </c>
      <c r="AP1217" t="s">
        <v>1257</v>
      </c>
      <c r="AQ1217" t="s">
        <v>74</v>
      </c>
      <c r="AR1217" t="s">
        <v>1258</v>
      </c>
      <c r="AS1217" t="s">
        <v>1259</v>
      </c>
      <c r="AT1217" t="s">
        <v>2599</v>
      </c>
      <c r="AU1217">
        <v>2023</v>
      </c>
      <c r="AV1217">
        <v>39</v>
      </c>
      <c r="AW1217">
        <v>15</v>
      </c>
      <c r="AX1217" t="s">
        <v>74</v>
      </c>
      <c r="AY1217" t="s">
        <v>74</v>
      </c>
      <c r="AZ1217" t="s">
        <v>74</v>
      </c>
      <c r="BA1217" t="s">
        <v>74</v>
      </c>
      <c r="BB1217">
        <v>3071</v>
      </c>
      <c r="BC1217">
        <v>3083</v>
      </c>
      <c r="BD1217" t="s">
        <v>74</v>
      </c>
      <c r="BE1217" t="s">
        <v>20512</v>
      </c>
      <c r="BF1217" t="str">
        <f>HYPERLINK("http://dx.doi.org/10.1080/10447318.2022.2091653","http://dx.doi.org/10.1080/10447318.2022.2091653")</f>
        <v>http://dx.doi.org/10.1080/10447318.2022.2091653</v>
      </c>
      <c r="BG1217" t="s">
        <v>74</v>
      </c>
      <c r="BH1217" t="s">
        <v>1527</v>
      </c>
      <c r="BI1217">
        <v>13</v>
      </c>
      <c r="BJ1217" t="s">
        <v>1137</v>
      </c>
      <c r="BK1217" t="s">
        <v>182</v>
      </c>
      <c r="BL1217" t="s">
        <v>1113</v>
      </c>
      <c r="BM1217" t="s">
        <v>20513</v>
      </c>
      <c r="BN1217" t="s">
        <v>74</v>
      </c>
      <c r="BO1217" t="s">
        <v>74</v>
      </c>
      <c r="BP1217" t="s">
        <v>74</v>
      </c>
      <c r="BQ1217" t="s">
        <v>74</v>
      </c>
      <c r="BR1217" t="s">
        <v>102</v>
      </c>
      <c r="BS1217" t="s">
        <v>20514</v>
      </c>
      <c r="BT1217" t="str">
        <f>HYPERLINK("https%3A%2F%2Fwww.webofscience.com%2Fwos%2Fwoscc%2Ffull-record%2FWOS:000844095400001","View Full Record in Web of Science")</f>
        <v>View Full Record in Web of Science</v>
      </c>
    </row>
    <row r="1218" spans="1:72" x14ac:dyDescent="0.35">
      <c r="A1218" t="s">
        <v>72</v>
      </c>
      <c r="B1218" t="s">
        <v>20515</v>
      </c>
      <c r="C1218" t="s">
        <v>74</v>
      </c>
      <c r="D1218" t="s">
        <v>74</v>
      </c>
      <c r="E1218" t="s">
        <v>74</v>
      </c>
      <c r="F1218" t="s">
        <v>20516</v>
      </c>
      <c r="G1218" t="s">
        <v>74</v>
      </c>
      <c r="H1218" t="s">
        <v>74</v>
      </c>
      <c r="I1218" t="s">
        <v>20517</v>
      </c>
      <c r="J1218" t="s">
        <v>19602</v>
      </c>
      <c r="K1218" t="s">
        <v>74</v>
      </c>
      <c r="L1218" t="s">
        <v>74</v>
      </c>
      <c r="M1218" t="s">
        <v>78</v>
      </c>
      <c r="N1218" t="s">
        <v>79</v>
      </c>
      <c r="O1218" t="s">
        <v>74</v>
      </c>
      <c r="P1218" t="s">
        <v>74</v>
      </c>
      <c r="Q1218" t="s">
        <v>74</v>
      </c>
      <c r="R1218" t="s">
        <v>74</v>
      </c>
      <c r="S1218" t="s">
        <v>74</v>
      </c>
      <c r="T1218" t="s">
        <v>20518</v>
      </c>
      <c r="U1218" t="s">
        <v>20519</v>
      </c>
      <c r="V1218" t="s">
        <v>20520</v>
      </c>
      <c r="W1218" t="s">
        <v>20521</v>
      </c>
      <c r="X1218" t="s">
        <v>12416</v>
      </c>
      <c r="Y1218" t="s">
        <v>20522</v>
      </c>
      <c r="Z1218" t="s">
        <v>20523</v>
      </c>
      <c r="AA1218" t="s">
        <v>74</v>
      </c>
      <c r="AB1218" t="s">
        <v>20524</v>
      </c>
      <c r="AC1218" t="s">
        <v>74</v>
      </c>
      <c r="AD1218" t="s">
        <v>74</v>
      </c>
      <c r="AE1218" t="s">
        <v>74</v>
      </c>
      <c r="AF1218" t="s">
        <v>74</v>
      </c>
      <c r="AG1218">
        <v>16</v>
      </c>
      <c r="AH1218">
        <v>3</v>
      </c>
      <c r="AI1218">
        <v>3</v>
      </c>
      <c r="AJ1218">
        <v>3</v>
      </c>
      <c r="AK1218">
        <v>9</v>
      </c>
      <c r="AL1218" t="s">
        <v>3489</v>
      </c>
      <c r="AM1218" t="s">
        <v>3490</v>
      </c>
      <c r="AN1218" t="s">
        <v>3491</v>
      </c>
      <c r="AO1218" t="s">
        <v>19615</v>
      </c>
      <c r="AP1218" t="s">
        <v>19616</v>
      </c>
      <c r="AQ1218" t="s">
        <v>74</v>
      </c>
      <c r="AR1218" t="s">
        <v>19617</v>
      </c>
      <c r="AS1218" t="s">
        <v>19618</v>
      </c>
      <c r="AT1218" t="s">
        <v>20525</v>
      </c>
      <c r="AU1218">
        <v>2023</v>
      </c>
      <c r="AV1218" t="s">
        <v>74</v>
      </c>
      <c r="AW1218" t="s">
        <v>74</v>
      </c>
      <c r="AX1218" t="s">
        <v>74</v>
      </c>
      <c r="AY1218" t="s">
        <v>74</v>
      </c>
      <c r="AZ1218" t="s">
        <v>74</v>
      </c>
      <c r="BA1218" t="s">
        <v>74</v>
      </c>
      <c r="BB1218" t="s">
        <v>74</v>
      </c>
      <c r="BC1218" t="s">
        <v>74</v>
      </c>
      <c r="BD1218" t="s">
        <v>74</v>
      </c>
      <c r="BE1218" t="s">
        <v>20526</v>
      </c>
      <c r="BF1218" t="str">
        <f>HYPERLINK("http://dx.doi.org/10.1007/s10389-023-02062-5","http://dx.doi.org/10.1007/s10389-023-02062-5")</f>
        <v>http://dx.doi.org/10.1007/s10389-023-02062-5</v>
      </c>
      <c r="BG1218" t="s">
        <v>74</v>
      </c>
      <c r="BH1218" t="s">
        <v>3138</v>
      </c>
      <c r="BI1218">
        <v>6</v>
      </c>
      <c r="BJ1218" t="s">
        <v>392</v>
      </c>
      <c r="BK1218" t="s">
        <v>125</v>
      </c>
      <c r="BL1218" t="s">
        <v>392</v>
      </c>
      <c r="BM1218" t="s">
        <v>20527</v>
      </c>
      <c r="BN1218" t="s">
        <v>74</v>
      </c>
      <c r="BO1218" t="s">
        <v>74</v>
      </c>
      <c r="BP1218" t="s">
        <v>74</v>
      </c>
      <c r="BQ1218" t="s">
        <v>74</v>
      </c>
      <c r="BR1218" t="s">
        <v>102</v>
      </c>
      <c r="BS1218" t="s">
        <v>20528</v>
      </c>
      <c r="BT1218" t="str">
        <f>HYPERLINK("https%3A%2F%2Fwww.webofscience.com%2Fwos%2Fwoscc%2Ffull-record%2FWOS:001044833900001","View Full Record in Web of Science")</f>
        <v>View Full Record in Web of Science</v>
      </c>
    </row>
    <row r="1219" spans="1:72" x14ac:dyDescent="0.35">
      <c r="A1219" t="s">
        <v>72</v>
      </c>
      <c r="B1219" t="s">
        <v>16390</v>
      </c>
      <c r="C1219" t="s">
        <v>74</v>
      </c>
      <c r="D1219" t="s">
        <v>74</v>
      </c>
      <c r="E1219" t="s">
        <v>74</v>
      </c>
      <c r="F1219" t="s">
        <v>16391</v>
      </c>
      <c r="G1219" t="s">
        <v>74</v>
      </c>
      <c r="H1219" t="s">
        <v>74</v>
      </c>
      <c r="I1219" t="s">
        <v>20529</v>
      </c>
      <c r="J1219" t="s">
        <v>13056</v>
      </c>
      <c r="K1219" t="s">
        <v>74</v>
      </c>
      <c r="L1219" t="s">
        <v>74</v>
      </c>
      <c r="M1219" t="s">
        <v>78</v>
      </c>
      <c r="N1219" t="s">
        <v>108</v>
      </c>
      <c r="O1219" t="s">
        <v>74</v>
      </c>
      <c r="P1219" t="s">
        <v>74</v>
      </c>
      <c r="Q1219" t="s">
        <v>74</v>
      </c>
      <c r="R1219" t="s">
        <v>74</v>
      </c>
      <c r="S1219" t="s">
        <v>74</v>
      </c>
      <c r="T1219" t="s">
        <v>20530</v>
      </c>
      <c r="U1219" t="s">
        <v>74</v>
      </c>
      <c r="V1219" t="s">
        <v>20531</v>
      </c>
      <c r="W1219" t="s">
        <v>20532</v>
      </c>
      <c r="X1219" t="s">
        <v>16394</v>
      </c>
      <c r="Y1219" t="s">
        <v>14184</v>
      </c>
      <c r="Z1219" t="s">
        <v>13062</v>
      </c>
      <c r="AA1219" t="s">
        <v>74</v>
      </c>
      <c r="AB1219" t="s">
        <v>20533</v>
      </c>
      <c r="AC1219" t="s">
        <v>74</v>
      </c>
      <c r="AD1219" t="s">
        <v>74</v>
      </c>
      <c r="AE1219" t="s">
        <v>74</v>
      </c>
      <c r="AF1219" t="s">
        <v>74</v>
      </c>
      <c r="AG1219">
        <v>48</v>
      </c>
      <c r="AH1219">
        <v>17</v>
      </c>
      <c r="AI1219">
        <v>17</v>
      </c>
      <c r="AJ1219">
        <v>0</v>
      </c>
      <c r="AK1219">
        <v>22</v>
      </c>
      <c r="AL1219" t="s">
        <v>543</v>
      </c>
      <c r="AM1219" t="s">
        <v>544</v>
      </c>
      <c r="AN1219" t="s">
        <v>545</v>
      </c>
      <c r="AO1219" t="s">
        <v>13064</v>
      </c>
      <c r="AP1219" t="s">
        <v>74</v>
      </c>
      <c r="AQ1219" t="s">
        <v>74</v>
      </c>
      <c r="AR1219" t="s">
        <v>13065</v>
      </c>
      <c r="AS1219" t="s">
        <v>13066</v>
      </c>
      <c r="AT1219" t="s">
        <v>257</v>
      </c>
      <c r="AU1219">
        <v>2021</v>
      </c>
      <c r="AV1219">
        <v>7</v>
      </c>
      <c r="AW1219">
        <v>6</v>
      </c>
      <c r="AX1219" t="s">
        <v>74</v>
      </c>
      <c r="AY1219" t="s">
        <v>74</v>
      </c>
      <c r="AZ1219" t="s">
        <v>74</v>
      </c>
      <c r="BA1219" t="s">
        <v>74</v>
      </c>
      <c r="BB1219" t="s">
        <v>74</v>
      </c>
      <c r="BC1219" t="s">
        <v>74</v>
      </c>
      <c r="BD1219" t="s">
        <v>20534</v>
      </c>
      <c r="BE1219" t="s">
        <v>20535</v>
      </c>
      <c r="BF1219" t="str">
        <f>HYPERLINK("http://dx.doi.org/10.2196/29528","http://dx.doi.org/10.2196/29528")</f>
        <v>http://dx.doi.org/10.2196/29528</v>
      </c>
      <c r="BG1219" t="s">
        <v>74</v>
      </c>
      <c r="BH1219" t="s">
        <v>74</v>
      </c>
      <c r="BI1219">
        <v>7</v>
      </c>
      <c r="BJ1219" t="s">
        <v>392</v>
      </c>
      <c r="BK1219" t="s">
        <v>182</v>
      </c>
      <c r="BL1219" t="s">
        <v>392</v>
      </c>
      <c r="BM1219" t="s">
        <v>16399</v>
      </c>
      <c r="BN1219">
        <v>34081591</v>
      </c>
      <c r="BO1219" t="s">
        <v>552</v>
      </c>
      <c r="BP1219" t="s">
        <v>74</v>
      </c>
      <c r="BQ1219" t="s">
        <v>74</v>
      </c>
      <c r="BR1219" t="s">
        <v>102</v>
      </c>
      <c r="BS1219" t="s">
        <v>20536</v>
      </c>
      <c r="BT1219" t="str">
        <f>HYPERLINK("https%3A%2F%2Fwww.webofscience.com%2Fwos%2Fwoscc%2Ffull-record%2FWOS:000738510300018","View Full Record in Web of Science")</f>
        <v>View Full Record in Web of Science</v>
      </c>
    </row>
    <row r="1220" spans="1:72" x14ac:dyDescent="0.35">
      <c r="A1220" t="s">
        <v>72</v>
      </c>
      <c r="B1220" t="s">
        <v>20537</v>
      </c>
      <c r="C1220" t="s">
        <v>74</v>
      </c>
      <c r="D1220" t="s">
        <v>74</v>
      </c>
      <c r="E1220" t="s">
        <v>74</v>
      </c>
      <c r="F1220" t="s">
        <v>20538</v>
      </c>
      <c r="G1220" t="s">
        <v>74</v>
      </c>
      <c r="H1220" t="s">
        <v>74</v>
      </c>
      <c r="I1220" t="s">
        <v>20539</v>
      </c>
      <c r="J1220" t="s">
        <v>1603</v>
      </c>
      <c r="K1220" t="s">
        <v>74</v>
      </c>
      <c r="L1220" t="s">
        <v>74</v>
      </c>
      <c r="M1220" t="s">
        <v>78</v>
      </c>
      <c r="N1220" t="s">
        <v>108</v>
      </c>
      <c r="O1220" t="s">
        <v>74</v>
      </c>
      <c r="P1220" t="s">
        <v>74</v>
      </c>
      <c r="Q1220" t="s">
        <v>74</v>
      </c>
      <c r="R1220" t="s">
        <v>74</v>
      </c>
      <c r="S1220" t="s">
        <v>74</v>
      </c>
      <c r="T1220" t="s">
        <v>20540</v>
      </c>
      <c r="U1220" t="s">
        <v>20541</v>
      </c>
      <c r="V1220" t="s">
        <v>20542</v>
      </c>
      <c r="W1220" t="s">
        <v>20543</v>
      </c>
      <c r="X1220" t="s">
        <v>20544</v>
      </c>
      <c r="Y1220" t="s">
        <v>14398</v>
      </c>
      <c r="Z1220" t="s">
        <v>20545</v>
      </c>
      <c r="AA1220" t="s">
        <v>20546</v>
      </c>
      <c r="AB1220" t="s">
        <v>20547</v>
      </c>
      <c r="AC1220" t="s">
        <v>74</v>
      </c>
      <c r="AD1220" t="s">
        <v>74</v>
      </c>
      <c r="AE1220" t="s">
        <v>74</v>
      </c>
      <c r="AF1220" t="s">
        <v>74</v>
      </c>
      <c r="AG1220">
        <v>51</v>
      </c>
      <c r="AH1220">
        <v>8</v>
      </c>
      <c r="AI1220">
        <v>9</v>
      </c>
      <c r="AJ1220">
        <v>34</v>
      </c>
      <c r="AK1220">
        <v>111</v>
      </c>
      <c r="AL1220" t="s">
        <v>516</v>
      </c>
      <c r="AM1220" t="s">
        <v>517</v>
      </c>
      <c r="AN1220" t="s">
        <v>518</v>
      </c>
      <c r="AO1220" t="s">
        <v>1612</v>
      </c>
      <c r="AP1220" t="s">
        <v>1613</v>
      </c>
      <c r="AQ1220" t="s">
        <v>74</v>
      </c>
      <c r="AR1220" t="s">
        <v>1603</v>
      </c>
      <c r="AS1220" t="s">
        <v>1614</v>
      </c>
      <c r="AT1220" t="s">
        <v>257</v>
      </c>
      <c r="AU1220">
        <v>2023</v>
      </c>
      <c r="AV1220">
        <v>45</v>
      </c>
      <c r="AW1220" t="s">
        <v>74</v>
      </c>
      <c r="AX1220" t="s">
        <v>74</v>
      </c>
      <c r="AY1220" t="s">
        <v>74</v>
      </c>
      <c r="AZ1220" t="s">
        <v>74</v>
      </c>
      <c r="BA1220" t="s">
        <v>74</v>
      </c>
      <c r="BB1220">
        <v>117</v>
      </c>
      <c r="BC1220">
        <v>125</v>
      </c>
      <c r="BD1220" t="s">
        <v>74</v>
      </c>
      <c r="BE1220" t="s">
        <v>20548</v>
      </c>
      <c r="BF1220" t="str">
        <f>HYPERLINK("http://dx.doi.org/10.1016/j.bodyim.2023.02.006","http://dx.doi.org/10.1016/j.bodyim.2023.02.006")</f>
        <v>http://dx.doi.org/10.1016/j.bodyim.2023.02.006</v>
      </c>
      <c r="BG1220" t="s">
        <v>74</v>
      </c>
      <c r="BH1220" t="s">
        <v>1046</v>
      </c>
      <c r="BI1220">
        <v>9</v>
      </c>
      <c r="BJ1220" t="s">
        <v>1616</v>
      </c>
      <c r="BK1220" t="s">
        <v>99</v>
      </c>
      <c r="BL1220" t="s">
        <v>1617</v>
      </c>
      <c r="BM1220" t="s">
        <v>20549</v>
      </c>
      <c r="BN1220">
        <v>36870186</v>
      </c>
      <c r="BO1220" t="s">
        <v>156</v>
      </c>
      <c r="BP1220" t="s">
        <v>74</v>
      </c>
      <c r="BQ1220" t="s">
        <v>74</v>
      </c>
      <c r="BR1220" t="s">
        <v>102</v>
      </c>
      <c r="BS1220" t="s">
        <v>20550</v>
      </c>
      <c r="BT1220" t="str">
        <f>HYPERLINK("https%3A%2F%2Fwww.webofscience.com%2Fwos%2Fwoscc%2Ffull-record%2FWOS:000950002500001","View Full Record in Web of Science")</f>
        <v>View Full Record in Web of Science</v>
      </c>
    </row>
    <row r="1221" spans="1:72" x14ac:dyDescent="0.35">
      <c r="A1221" t="s">
        <v>72</v>
      </c>
      <c r="B1221" t="s">
        <v>20551</v>
      </c>
      <c r="C1221" t="s">
        <v>74</v>
      </c>
      <c r="D1221" t="s">
        <v>74</v>
      </c>
      <c r="E1221" t="s">
        <v>74</v>
      </c>
      <c r="F1221" t="s">
        <v>20552</v>
      </c>
      <c r="G1221" t="s">
        <v>74</v>
      </c>
      <c r="H1221" t="s">
        <v>74</v>
      </c>
      <c r="I1221" t="s">
        <v>20553</v>
      </c>
      <c r="J1221" t="s">
        <v>20554</v>
      </c>
      <c r="K1221" t="s">
        <v>74</v>
      </c>
      <c r="L1221" t="s">
        <v>74</v>
      </c>
      <c r="M1221" t="s">
        <v>78</v>
      </c>
      <c r="N1221" t="s">
        <v>108</v>
      </c>
      <c r="O1221" t="s">
        <v>74</v>
      </c>
      <c r="P1221" t="s">
        <v>74</v>
      </c>
      <c r="Q1221" t="s">
        <v>74</v>
      </c>
      <c r="R1221" t="s">
        <v>74</v>
      </c>
      <c r="S1221" t="s">
        <v>74</v>
      </c>
      <c r="T1221" t="s">
        <v>20555</v>
      </c>
      <c r="U1221" t="s">
        <v>74</v>
      </c>
      <c r="V1221" t="s">
        <v>20556</v>
      </c>
      <c r="W1221" t="s">
        <v>20557</v>
      </c>
      <c r="X1221" t="s">
        <v>13060</v>
      </c>
      <c r="Y1221" t="s">
        <v>20558</v>
      </c>
      <c r="Z1221" t="s">
        <v>13062</v>
      </c>
      <c r="AA1221" t="s">
        <v>74</v>
      </c>
      <c r="AB1221" t="s">
        <v>13063</v>
      </c>
      <c r="AC1221" t="s">
        <v>74</v>
      </c>
      <c r="AD1221" t="s">
        <v>74</v>
      </c>
      <c r="AE1221" t="s">
        <v>74</v>
      </c>
      <c r="AF1221" t="s">
        <v>74</v>
      </c>
      <c r="AG1221">
        <v>18</v>
      </c>
      <c r="AH1221">
        <v>14</v>
      </c>
      <c r="AI1221">
        <v>14</v>
      </c>
      <c r="AJ1221">
        <v>2</v>
      </c>
      <c r="AK1221">
        <v>21</v>
      </c>
      <c r="AL1221" t="s">
        <v>543</v>
      </c>
      <c r="AM1221" t="s">
        <v>544</v>
      </c>
      <c r="AN1221" t="s">
        <v>16396</v>
      </c>
      <c r="AO1221" t="s">
        <v>20559</v>
      </c>
      <c r="AP1221" t="s">
        <v>74</v>
      </c>
      <c r="AQ1221" t="s">
        <v>74</v>
      </c>
      <c r="AR1221" t="s">
        <v>20560</v>
      </c>
      <c r="AS1221" t="s">
        <v>20561</v>
      </c>
      <c r="AT1221" t="s">
        <v>2213</v>
      </c>
      <c r="AU1221">
        <v>2021</v>
      </c>
      <c r="AV1221">
        <v>4</v>
      </c>
      <c r="AW1221">
        <v>4</v>
      </c>
      <c r="AX1221" t="s">
        <v>74</v>
      </c>
      <c r="AY1221" t="s">
        <v>74</v>
      </c>
      <c r="AZ1221" t="s">
        <v>74</v>
      </c>
      <c r="BA1221" t="s">
        <v>74</v>
      </c>
      <c r="BB1221" t="s">
        <v>74</v>
      </c>
      <c r="BC1221" t="s">
        <v>74</v>
      </c>
      <c r="BD1221" t="s">
        <v>20562</v>
      </c>
      <c r="BE1221" t="s">
        <v>20563</v>
      </c>
      <c r="BF1221" t="str">
        <f>HYPERLINK("http://dx.doi.org/10.2196/30681","http://dx.doi.org/10.2196/30681")</f>
        <v>http://dx.doi.org/10.2196/30681</v>
      </c>
      <c r="BG1221" t="s">
        <v>74</v>
      </c>
      <c r="BH1221" t="s">
        <v>74</v>
      </c>
      <c r="BI1221">
        <v>5</v>
      </c>
      <c r="BJ1221" t="s">
        <v>6641</v>
      </c>
      <c r="BK1221" t="s">
        <v>125</v>
      </c>
      <c r="BL1221" t="s">
        <v>6641</v>
      </c>
      <c r="BM1221" t="s">
        <v>20564</v>
      </c>
      <c r="BN1221">
        <v>34694231</v>
      </c>
      <c r="BO1221" t="s">
        <v>552</v>
      </c>
      <c r="BP1221" t="s">
        <v>74</v>
      </c>
      <c r="BQ1221" t="s">
        <v>74</v>
      </c>
      <c r="BR1221" t="s">
        <v>102</v>
      </c>
      <c r="BS1221" t="s">
        <v>20565</v>
      </c>
      <c r="BT1221" t="str">
        <f>HYPERLINK("https%3A%2F%2Fwww.webofscience.com%2Fwos%2Fwoscc%2Ffull-record%2FWOS:000780484800016","View Full Record in Web of Science")</f>
        <v>View Full Record in Web of Science</v>
      </c>
    </row>
    <row r="1222" spans="1:72" x14ac:dyDescent="0.35">
      <c r="A1222" t="s">
        <v>72</v>
      </c>
      <c r="B1222" t="s">
        <v>20566</v>
      </c>
      <c r="C1222" t="s">
        <v>74</v>
      </c>
      <c r="D1222" t="s">
        <v>74</v>
      </c>
      <c r="E1222" t="s">
        <v>74</v>
      </c>
      <c r="F1222" t="s">
        <v>20567</v>
      </c>
      <c r="G1222" t="s">
        <v>74</v>
      </c>
      <c r="H1222" t="s">
        <v>74</v>
      </c>
      <c r="I1222" t="s">
        <v>20568</v>
      </c>
      <c r="J1222" t="s">
        <v>20569</v>
      </c>
      <c r="K1222" t="s">
        <v>74</v>
      </c>
      <c r="L1222" t="s">
        <v>74</v>
      </c>
      <c r="M1222" t="s">
        <v>78</v>
      </c>
      <c r="N1222" t="s">
        <v>108</v>
      </c>
      <c r="O1222" t="s">
        <v>74</v>
      </c>
      <c r="P1222" t="s">
        <v>74</v>
      </c>
      <c r="Q1222" t="s">
        <v>74</v>
      </c>
      <c r="R1222" t="s">
        <v>74</v>
      </c>
      <c r="S1222" t="s">
        <v>74</v>
      </c>
      <c r="T1222" t="s">
        <v>20570</v>
      </c>
      <c r="U1222" t="s">
        <v>74</v>
      </c>
      <c r="V1222" t="s">
        <v>20571</v>
      </c>
      <c r="W1222" t="s">
        <v>20572</v>
      </c>
      <c r="X1222" t="s">
        <v>11703</v>
      </c>
      <c r="Y1222" t="s">
        <v>20573</v>
      </c>
      <c r="Z1222" t="s">
        <v>20574</v>
      </c>
      <c r="AA1222" t="s">
        <v>74</v>
      </c>
      <c r="AB1222" t="s">
        <v>20575</v>
      </c>
      <c r="AC1222" t="s">
        <v>74</v>
      </c>
      <c r="AD1222" t="s">
        <v>74</v>
      </c>
      <c r="AE1222" t="s">
        <v>74</v>
      </c>
      <c r="AF1222" t="s">
        <v>74</v>
      </c>
      <c r="AG1222">
        <v>15</v>
      </c>
      <c r="AH1222">
        <v>1</v>
      </c>
      <c r="AI1222">
        <v>1</v>
      </c>
      <c r="AJ1222">
        <v>0</v>
      </c>
      <c r="AK1222">
        <v>1</v>
      </c>
      <c r="AL1222" t="s">
        <v>13277</v>
      </c>
      <c r="AM1222" t="s">
        <v>13278</v>
      </c>
      <c r="AN1222" t="s">
        <v>13279</v>
      </c>
      <c r="AO1222" t="s">
        <v>20576</v>
      </c>
      <c r="AP1222" t="s">
        <v>20577</v>
      </c>
      <c r="AQ1222" t="s">
        <v>74</v>
      </c>
      <c r="AR1222" t="s">
        <v>20578</v>
      </c>
      <c r="AS1222" t="s">
        <v>20579</v>
      </c>
      <c r="AT1222" t="s">
        <v>232</v>
      </c>
      <c r="AU1222">
        <v>2024</v>
      </c>
      <c r="AV1222">
        <v>176</v>
      </c>
      <c r="AW1222" t="s">
        <v>74</v>
      </c>
      <c r="AX1222" t="s">
        <v>74</v>
      </c>
      <c r="AY1222" t="s">
        <v>74</v>
      </c>
      <c r="AZ1222" t="s">
        <v>74</v>
      </c>
      <c r="BA1222" t="s">
        <v>74</v>
      </c>
      <c r="BB1222" t="s">
        <v>74</v>
      </c>
      <c r="BC1222" t="s">
        <v>74</v>
      </c>
      <c r="BD1222">
        <v>111816</v>
      </c>
      <c r="BE1222" t="s">
        <v>20580</v>
      </c>
      <c r="BF1222" t="str">
        <f>HYPERLINK("http://dx.doi.org/10.1016/j.ijporl.2023.111816","http://dx.doi.org/10.1016/j.ijporl.2023.111816")</f>
        <v>http://dx.doi.org/10.1016/j.ijporl.2023.111816</v>
      </c>
      <c r="BG1222" t="s">
        <v>74</v>
      </c>
      <c r="BH1222" t="s">
        <v>1449</v>
      </c>
      <c r="BI1222">
        <v>5</v>
      </c>
      <c r="BJ1222" t="s">
        <v>20581</v>
      </c>
      <c r="BK1222" t="s">
        <v>209</v>
      </c>
      <c r="BL1222" t="s">
        <v>20581</v>
      </c>
      <c r="BM1222" t="s">
        <v>20582</v>
      </c>
      <c r="BN1222">
        <v>38104524</v>
      </c>
      <c r="BO1222" t="s">
        <v>74</v>
      </c>
      <c r="BP1222" t="s">
        <v>74</v>
      </c>
      <c r="BQ1222" t="s">
        <v>74</v>
      </c>
      <c r="BR1222" t="s">
        <v>102</v>
      </c>
      <c r="BS1222" t="s">
        <v>20583</v>
      </c>
      <c r="BT1222" t="str">
        <f>HYPERLINK("https%3A%2F%2Fwww.webofscience.com%2Fwos%2Fwoscc%2Ffull-record%2FWOS:001139020700001","View Full Record in Web of Science")</f>
        <v>View Full Record in Web of Science</v>
      </c>
    </row>
    <row r="1223" spans="1:72" x14ac:dyDescent="0.35">
      <c r="A1223" t="s">
        <v>72</v>
      </c>
      <c r="B1223" t="s">
        <v>20584</v>
      </c>
      <c r="C1223" t="s">
        <v>74</v>
      </c>
      <c r="D1223" t="s">
        <v>74</v>
      </c>
      <c r="E1223" t="s">
        <v>74</v>
      </c>
      <c r="F1223" t="s">
        <v>20585</v>
      </c>
      <c r="G1223" t="s">
        <v>74</v>
      </c>
      <c r="H1223" t="s">
        <v>74</v>
      </c>
      <c r="I1223" t="s">
        <v>20586</v>
      </c>
      <c r="J1223" t="s">
        <v>1936</v>
      </c>
      <c r="K1223" t="s">
        <v>74</v>
      </c>
      <c r="L1223" t="s">
        <v>74</v>
      </c>
      <c r="M1223" t="s">
        <v>78</v>
      </c>
      <c r="N1223" t="s">
        <v>108</v>
      </c>
      <c r="O1223" t="s">
        <v>74</v>
      </c>
      <c r="P1223" t="s">
        <v>74</v>
      </c>
      <c r="Q1223" t="s">
        <v>74</v>
      </c>
      <c r="R1223" t="s">
        <v>74</v>
      </c>
      <c r="S1223" t="s">
        <v>74</v>
      </c>
      <c r="T1223" t="s">
        <v>20587</v>
      </c>
      <c r="U1223" t="s">
        <v>20588</v>
      </c>
      <c r="V1223" t="s">
        <v>20589</v>
      </c>
      <c r="W1223" t="s">
        <v>20590</v>
      </c>
      <c r="X1223" t="s">
        <v>20591</v>
      </c>
      <c r="Y1223" t="s">
        <v>20592</v>
      </c>
      <c r="Z1223" t="s">
        <v>20593</v>
      </c>
      <c r="AA1223" t="s">
        <v>74</v>
      </c>
      <c r="AB1223" t="s">
        <v>74</v>
      </c>
      <c r="AC1223" t="s">
        <v>74</v>
      </c>
      <c r="AD1223" t="s">
        <v>74</v>
      </c>
      <c r="AE1223" t="s">
        <v>74</v>
      </c>
      <c r="AF1223" t="s">
        <v>74</v>
      </c>
      <c r="AG1223">
        <v>44</v>
      </c>
      <c r="AH1223">
        <v>8</v>
      </c>
      <c r="AI1223">
        <v>10</v>
      </c>
      <c r="AJ1223">
        <v>4</v>
      </c>
      <c r="AK1223">
        <v>31</v>
      </c>
      <c r="AL1223" t="s">
        <v>516</v>
      </c>
      <c r="AM1223" t="s">
        <v>517</v>
      </c>
      <c r="AN1223" t="s">
        <v>518</v>
      </c>
      <c r="AO1223" t="s">
        <v>1949</v>
      </c>
      <c r="AP1223" t="s">
        <v>1950</v>
      </c>
      <c r="AQ1223" t="s">
        <v>74</v>
      </c>
      <c r="AR1223" t="s">
        <v>1951</v>
      </c>
      <c r="AS1223" t="s">
        <v>1952</v>
      </c>
      <c r="AT1223" t="s">
        <v>297</v>
      </c>
      <c r="AU1223">
        <v>2023</v>
      </c>
      <c r="AV1223">
        <v>50</v>
      </c>
      <c r="AW1223" t="s">
        <v>74</v>
      </c>
      <c r="AX1223" t="s">
        <v>74</v>
      </c>
      <c r="AY1223" t="s">
        <v>74</v>
      </c>
      <c r="AZ1223" t="s">
        <v>74</v>
      </c>
      <c r="BA1223" t="s">
        <v>74</v>
      </c>
      <c r="BB1223" t="s">
        <v>74</v>
      </c>
      <c r="BC1223" t="s">
        <v>74</v>
      </c>
      <c r="BD1223">
        <v>101760</v>
      </c>
      <c r="BE1223" t="s">
        <v>20594</v>
      </c>
      <c r="BF1223" t="str">
        <f>HYPERLINK("http://dx.doi.org/10.1016/j.eatbeh.2023.101760","http://dx.doi.org/10.1016/j.eatbeh.2023.101760")</f>
        <v>http://dx.doi.org/10.1016/j.eatbeh.2023.101760</v>
      </c>
      <c r="BG1223" t="s">
        <v>74</v>
      </c>
      <c r="BH1223" t="s">
        <v>1954</v>
      </c>
      <c r="BI1223">
        <v>7</v>
      </c>
      <c r="BJ1223" t="s">
        <v>1955</v>
      </c>
      <c r="BK1223" t="s">
        <v>99</v>
      </c>
      <c r="BL1223" t="s">
        <v>1617</v>
      </c>
      <c r="BM1223" t="s">
        <v>20595</v>
      </c>
      <c r="BN1223">
        <v>37329772</v>
      </c>
      <c r="BO1223" t="s">
        <v>74</v>
      </c>
      <c r="BP1223" t="s">
        <v>74</v>
      </c>
      <c r="BQ1223" t="s">
        <v>74</v>
      </c>
      <c r="BR1223" t="s">
        <v>102</v>
      </c>
      <c r="BS1223" t="s">
        <v>20596</v>
      </c>
      <c r="BT1223" t="str">
        <f>HYPERLINK("https%3A%2F%2Fwww.webofscience.com%2Fwos%2Fwoscc%2Ffull-record%2FWOS:001025004700001","View Full Record in Web of Science")</f>
        <v>View Full Record in Web of Science</v>
      </c>
    </row>
    <row r="1224" spans="1:72" x14ac:dyDescent="0.35">
      <c r="A1224" t="s">
        <v>72</v>
      </c>
      <c r="B1224" t="s">
        <v>20597</v>
      </c>
      <c r="C1224" t="s">
        <v>74</v>
      </c>
      <c r="D1224" t="s">
        <v>74</v>
      </c>
      <c r="E1224" t="s">
        <v>74</v>
      </c>
      <c r="F1224" t="s">
        <v>20598</v>
      </c>
      <c r="G1224" t="s">
        <v>74</v>
      </c>
      <c r="H1224" t="s">
        <v>74</v>
      </c>
      <c r="I1224" t="s">
        <v>20599</v>
      </c>
      <c r="J1224" t="s">
        <v>20297</v>
      </c>
      <c r="K1224" t="s">
        <v>74</v>
      </c>
      <c r="L1224" t="s">
        <v>74</v>
      </c>
      <c r="M1224" t="s">
        <v>78</v>
      </c>
      <c r="N1224" t="s">
        <v>108</v>
      </c>
      <c r="O1224" t="s">
        <v>74</v>
      </c>
      <c r="P1224" t="s">
        <v>74</v>
      </c>
      <c r="Q1224" t="s">
        <v>74</v>
      </c>
      <c r="R1224" t="s">
        <v>74</v>
      </c>
      <c r="S1224" t="s">
        <v>74</v>
      </c>
      <c r="T1224" t="s">
        <v>20600</v>
      </c>
      <c r="U1224" t="s">
        <v>20601</v>
      </c>
      <c r="V1224" t="s">
        <v>20602</v>
      </c>
      <c r="W1224" t="s">
        <v>20603</v>
      </c>
      <c r="X1224" t="s">
        <v>20604</v>
      </c>
      <c r="Y1224" t="s">
        <v>20605</v>
      </c>
      <c r="Z1224" t="s">
        <v>20606</v>
      </c>
      <c r="AA1224" t="s">
        <v>20607</v>
      </c>
      <c r="AB1224" t="s">
        <v>20608</v>
      </c>
      <c r="AC1224" t="s">
        <v>74</v>
      </c>
      <c r="AD1224" t="s">
        <v>74</v>
      </c>
      <c r="AE1224" t="s">
        <v>74</v>
      </c>
      <c r="AF1224" t="s">
        <v>74</v>
      </c>
      <c r="AG1224">
        <v>93</v>
      </c>
      <c r="AH1224">
        <v>6</v>
      </c>
      <c r="AI1224">
        <v>6</v>
      </c>
      <c r="AJ1224">
        <v>0</v>
      </c>
      <c r="AK1224">
        <v>1</v>
      </c>
      <c r="AL1224" t="s">
        <v>384</v>
      </c>
      <c r="AM1224" t="s">
        <v>385</v>
      </c>
      <c r="AN1224" t="s">
        <v>386</v>
      </c>
      <c r="AO1224" t="s">
        <v>74</v>
      </c>
      <c r="AP1224" t="s">
        <v>20305</v>
      </c>
      <c r="AQ1224" t="s">
        <v>74</v>
      </c>
      <c r="AR1224" t="s">
        <v>20306</v>
      </c>
      <c r="AS1224" t="s">
        <v>20307</v>
      </c>
      <c r="AT1224" t="s">
        <v>16709</v>
      </c>
      <c r="AU1224">
        <v>2022</v>
      </c>
      <c r="AV1224">
        <v>4</v>
      </c>
      <c r="AW1224" t="s">
        <v>74</v>
      </c>
      <c r="AX1224" t="s">
        <v>74</v>
      </c>
      <c r="AY1224" t="s">
        <v>74</v>
      </c>
      <c r="AZ1224" t="s">
        <v>74</v>
      </c>
      <c r="BA1224" t="s">
        <v>74</v>
      </c>
      <c r="BB1224" t="s">
        <v>74</v>
      </c>
      <c r="BC1224" t="s">
        <v>74</v>
      </c>
      <c r="BD1224">
        <v>819228</v>
      </c>
      <c r="BE1224" t="s">
        <v>20609</v>
      </c>
      <c r="BF1224" t="str">
        <f>HYPERLINK("http://dx.doi.org/10.3389/fdgth.2022.819228","http://dx.doi.org/10.3389/fdgth.2022.819228")</f>
        <v>http://dx.doi.org/10.3389/fdgth.2022.819228</v>
      </c>
      <c r="BG1224" t="s">
        <v>74</v>
      </c>
      <c r="BH1224" t="s">
        <v>74</v>
      </c>
      <c r="BI1224">
        <v>17</v>
      </c>
      <c r="BJ1224" t="s">
        <v>550</v>
      </c>
      <c r="BK1224" t="s">
        <v>125</v>
      </c>
      <c r="BL1224" t="s">
        <v>550</v>
      </c>
      <c r="BM1224" t="s">
        <v>20610</v>
      </c>
      <c r="BN1224">
        <v>35966142</v>
      </c>
      <c r="BO1224" t="s">
        <v>552</v>
      </c>
      <c r="BP1224" t="s">
        <v>74</v>
      </c>
      <c r="BQ1224" t="s">
        <v>74</v>
      </c>
      <c r="BR1224" t="s">
        <v>102</v>
      </c>
      <c r="BS1224" t="s">
        <v>20611</v>
      </c>
      <c r="BT1224" t="str">
        <f>HYPERLINK("https%3A%2F%2Fwww.webofscience.com%2Fwos%2Fwoscc%2Ffull-record%2FWOS:001030271200001","View Full Record in Web of Science")</f>
        <v>View Full Record in Web of Science</v>
      </c>
    </row>
    <row r="1225" spans="1:72" x14ac:dyDescent="0.35">
      <c r="A1225" t="s">
        <v>128</v>
      </c>
      <c r="B1225" t="s">
        <v>20612</v>
      </c>
      <c r="C1225" t="s">
        <v>74</v>
      </c>
      <c r="D1225" t="s">
        <v>74</v>
      </c>
      <c r="E1225" t="s">
        <v>20613</v>
      </c>
      <c r="F1225" t="s">
        <v>20614</v>
      </c>
      <c r="G1225" t="s">
        <v>74</v>
      </c>
      <c r="H1225" t="s">
        <v>74</v>
      </c>
      <c r="I1225" t="s">
        <v>20615</v>
      </c>
      <c r="J1225" t="s">
        <v>20616</v>
      </c>
      <c r="K1225" t="s">
        <v>74</v>
      </c>
      <c r="L1225" t="s">
        <v>74</v>
      </c>
      <c r="M1225" t="s">
        <v>78</v>
      </c>
      <c r="N1225" t="s">
        <v>135</v>
      </c>
      <c r="O1225" t="s">
        <v>20617</v>
      </c>
      <c r="P1225" t="s">
        <v>20618</v>
      </c>
      <c r="Q1225" t="s">
        <v>138</v>
      </c>
      <c r="R1225" t="s">
        <v>20613</v>
      </c>
      <c r="S1225" t="s">
        <v>74</v>
      </c>
      <c r="T1225" t="s">
        <v>20619</v>
      </c>
      <c r="U1225" t="s">
        <v>2584</v>
      </c>
      <c r="V1225" t="s">
        <v>20620</v>
      </c>
      <c r="W1225" t="s">
        <v>20621</v>
      </c>
      <c r="X1225" t="s">
        <v>17158</v>
      </c>
      <c r="Y1225" t="s">
        <v>20622</v>
      </c>
      <c r="Z1225" t="s">
        <v>20623</v>
      </c>
      <c r="AA1225" t="s">
        <v>74</v>
      </c>
      <c r="AB1225" t="s">
        <v>20624</v>
      </c>
      <c r="AC1225" t="s">
        <v>74</v>
      </c>
      <c r="AD1225" t="s">
        <v>74</v>
      </c>
      <c r="AE1225" t="s">
        <v>74</v>
      </c>
      <c r="AF1225" t="s">
        <v>74</v>
      </c>
      <c r="AG1225">
        <v>21</v>
      </c>
      <c r="AH1225">
        <v>0</v>
      </c>
      <c r="AI1225">
        <v>0</v>
      </c>
      <c r="AJ1225">
        <v>0</v>
      </c>
      <c r="AK1225">
        <v>60</v>
      </c>
      <c r="AL1225" t="s">
        <v>20625</v>
      </c>
      <c r="AM1225" t="s">
        <v>20626</v>
      </c>
      <c r="AN1225" t="s">
        <v>20627</v>
      </c>
      <c r="AO1225" t="s">
        <v>74</v>
      </c>
      <c r="AP1225" t="s">
        <v>74</v>
      </c>
      <c r="AQ1225" t="s">
        <v>20628</v>
      </c>
      <c r="AR1225" t="s">
        <v>74</v>
      </c>
      <c r="AS1225" t="s">
        <v>74</v>
      </c>
      <c r="AT1225" t="s">
        <v>74</v>
      </c>
      <c r="AU1225">
        <v>2020</v>
      </c>
      <c r="AV1225" t="s">
        <v>74</v>
      </c>
      <c r="AW1225" t="s">
        <v>74</v>
      </c>
      <c r="AX1225" t="s">
        <v>74</v>
      </c>
      <c r="AY1225" t="s">
        <v>74</v>
      </c>
      <c r="AZ1225" t="s">
        <v>74</v>
      </c>
      <c r="BA1225" t="s">
        <v>74</v>
      </c>
      <c r="BB1225" t="s">
        <v>74</v>
      </c>
      <c r="BC1225" t="s">
        <v>74</v>
      </c>
      <c r="BD1225" t="s">
        <v>74</v>
      </c>
      <c r="BE1225" t="s">
        <v>74</v>
      </c>
      <c r="BF1225" t="s">
        <v>74</v>
      </c>
      <c r="BG1225" t="s">
        <v>74</v>
      </c>
      <c r="BH1225" t="s">
        <v>74</v>
      </c>
      <c r="BI1225">
        <v>5</v>
      </c>
      <c r="BJ1225" t="s">
        <v>6668</v>
      </c>
      <c r="BK1225" t="s">
        <v>723</v>
      </c>
      <c r="BL1225" t="s">
        <v>210</v>
      </c>
      <c r="BM1225" t="s">
        <v>20629</v>
      </c>
      <c r="BN1225" t="s">
        <v>74</v>
      </c>
      <c r="BO1225" t="s">
        <v>74</v>
      </c>
      <c r="BP1225" t="s">
        <v>74</v>
      </c>
      <c r="BQ1225" t="s">
        <v>74</v>
      </c>
      <c r="BR1225" t="s">
        <v>102</v>
      </c>
      <c r="BS1225" t="s">
        <v>20630</v>
      </c>
      <c r="BT1225" t="str">
        <f>HYPERLINK("https%3A%2F%2Fwww.webofscience.com%2Fwos%2Fwoscc%2Ffull-record%2FWOS:000559924500064","View Full Record in Web of Science")</f>
        <v>View Full Record in Web of Science</v>
      </c>
    </row>
    <row r="1226" spans="1:72" x14ac:dyDescent="0.35">
      <c r="A1226" t="s">
        <v>72</v>
      </c>
      <c r="B1226" t="s">
        <v>20631</v>
      </c>
      <c r="C1226" t="s">
        <v>74</v>
      </c>
      <c r="D1226" t="s">
        <v>74</v>
      </c>
      <c r="E1226" t="s">
        <v>74</v>
      </c>
      <c r="F1226" t="s">
        <v>20632</v>
      </c>
      <c r="G1226" t="s">
        <v>74</v>
      </c>
      <c r="H1226" t="s">
        <v>74</v>
      </c>
      <c r="I1226" t="s">
        <v>20633</v>
      </c>
      <c r="J1226" t="s">
        <v>20634</v>
      </c>
      <c r="K1226" t="s">
        <v>74</v>
      </c>
      <c r="L1226" t="s">
        <v>74</v>
      </c>
      <c r="M1226" t="s">
        <v>78</v>
      </c>
      <c r="N1226" t="s">
        <v>108</v>
      </c>
      <c r="O1226" t="s">
        <v>74</v>
      </c>
      <c r="P1226" t="s">
        <v>74</v>
      </c>
      <c r="Q1226" t="s">
        <v>74</v>
      </c>
      <c r="R1226" t="s">
        <v>74</v>
      </c>
      <c r="S1226" t="s">
        <v>74</v>
      </c>
      <c r="T1226" t="s">
        <v>20635</v>
      </c>
      <c r="U1226" t="s">
        <v>20636</v>
      </c>
      <c r="V1226" t="s">
        <v>20637</v>
      </c>
      <c r="W1226" t="s">
        <v>20638</v>
      </c>
      <c r="X1226" t="s">
        <v>20639</v>
      </c>
      <c r="Y1226" t="s">
        <v>20640</v>
      </c>
      <c r="Z1226" t="s">
        <v>20641</v>
      </c>
      <c r="AA1226" t="s">
        <v>20642</v>
      </c>
      <c r="AB1226" t="s">
        <v>74</v>
      </c>
      <c r="AC1226" t="s">
        <v>74</v>
      </c>
      <c r="AD1226" t="s">
        <v>74</v>
      </c>
      <c r="AE1226" t="s">
        <v>74</v>
      </c>
      <c r="AF1226" t="s">
        <v>74</v>
      </c>
      <c r="AG1226">
        <v>20</v>
      </c>
      <c r="AH1226">
        <v>1</v>
      </c>
      <c r="AI1226">
        <v>1</v>
      </c>
      <c r="AJ1226">
        <v>0</v>
      </c>
      <c r="AK1226">
        <v>0</v>
      </c>
      <c r="AL1226" t="s">
        <v>384</v>
      </c>
      <c r="AM1226" t="s">
        <v>385</v>
      </c>
      <c r="AN1226" t="s">
        <v>386</v>
      </c>
      <c r="AO1226" t="s">
        <v>20643</v>
      </c>
      <c r="AP1226" t="s">
        <v>74</v>
      </c>
      <c r="AQ1226" t="s">
        <v>74</v>
      </c>
      <c r="AR1226" t="s">
        <v>20644</v>
      </c>
      <c r="AS1226" t="s">
        <v>20645</v>
      </c>
      <c r="AT1226" t="s">
        <v>20646</v>
      </c>
      <c r="AU1226">
        <v>2024</v>
      </c>
      <c r="AV1226">
        <v>11</v>
      </c>
      <c r="AW1226" t="s">
        <v>74</v>
      </c>
      <c r="AX1226" t="s">
        <v>74</v>
      </c>
      <c r="AY1226" t="s">
        <v>74</v>
      </c>
      <c r="AZ1226" t="s">
        <v>74</v>
      </c>
      <c r="BA1226" t="s">
        <v>74</v>
      </c>
      <c r="BB1226" t="s">
        <v>74</v>
      </c>
      <c r="BC1226" t="s">
        <v>74</v>
      </c>
      <c r="BD1226">
        <v>1374851</v>
      </c>
      <c r="BE1226" t="s">
        <v>20647</v>
      </c>
      <c r="BF1226" t="str">
        <f>HYPERLINK("http://dx.doi.org/10.3389/fsurg.2024.1374851","http://dx.doi.org/10.3389/fsurg.2024.1374851")</f>
        <v>http://dx.doi.org/10.3389/fsurg.2024.1374851</v>
      </c>
      <c r="BG1226" t="s">
        <v>74</v>
      </c>
      <c r="BH1226" t="s">
        <v>74</v>
      </c>
      <c r="BI1226">
        <v>4</v>
      </c>
      <c r="BJ1226" t="s">
        <v>4994</v>
      </c>
      <c r="BK1226" t="s">
        <v>209</v>
      </c>
      <c r="BL1226" t="s">
        <v>4994</v>
      </c>
      <c r="BM1226" t="s">
        <v>20648</v>
      </c>
      <c r="BN1226">
        <v>38571558</v>
      </c>
      <c r="BO1226" t="s">
        <v>552</v>
      </c>
      <c r="BP1226" t="s">
        <v>74</v>
      </c>
      <c r="BQ1226" t="s">
        <v>74</v>
      </c>
      <c r="BR1226" t="s">
        <v>102</v>
      </c>
      <c r="BS1226" t="s">
        <v>20649</v>
      </c>
      <c r="BT1226" t="str">
        <f>HYPERLINK("https%3A%2F%2Fwww.webofscience.com%2Fwos%2Fwoscc%2Ffull-record%2FWOS:001195778800001","View Full Record in Web of Science")</f>
        <v>View Full Record in Web of Science</v>
      </c>
    </row>
    <row r="1227" spans="1:72" x14ac:dyDescent="0.35">
      <c r="A1227" t="s">
        <v>128</v>
      </c>
      <c r="B1227" t="s">
        <v>20650</v>
      </c>
      <c r="C1227" t="s">
        <v>74</v>
      </c>
      <c r="D1227" t="s">
        <v>74</v>
      </c>
      <c r="E1227" t="s">
        <v>702</v>
      </c>
      <c r="F1227" t="s">
        <v>20651</v>
      </c>
      <c r="G1227" t="s">
        <v>74</v>
      </c>
      <c r="H1227" t="s">
        <v>74</v>
      </c>
      <c r="I1227" t="s">
        <v>20652</v>
      </c>
      <c r="J1227" t="s">
        <v>3931</v>
      </c>
      <c r="K1227" t="s">
        <v>74</v>
      </c>
      <c r="L1227" t="s">
        <v>74</v>
      </c>
      <c r="M1227" t="s">
        <v>78</v>
      </c>
      <c r="N1227" t="s">
        <v>135</v>
      </c>
      <c r="O1227" t="s">
        <v>828</v>
      </c>
      <c r="P1227" t="s">
        <v>829</v>
      </c>
      <c r="Q1227" t="s">
        <v>830</v>
      </c>
      <c r="R1227" t="s">
        <v>831</v>
      </c>
      <c r="S1227" t="s">
        <v>74</v>
      </c>
      <c r="T1227" t="s">
        <v>20653</v>
      </c>
      <c r="U1227" t="s">
        <v>74</v>
      </c>
      <c r="V1227" t="s">
        <v>20654</v>
      </c>
      <c r="W1227" t="s">
        <v>20655</v>
      </c>
      <c r="X1227" t="s">
        <v>11951</v>
      </c>
      <c r="Y1227" t="s">
        <v>20656</v>
      </c>
      <c r="Z1227" t="s">
        <v>20657</v>
      </c>
      <c r="AA1227" t="s">
        <v>20658</v>
      </c>
      <c r="AB1227" t="s">
        <v>20659</v>
      </c>
      <c r="AC1227" t="s">
        <v>74</v>
      </c>
      <c r="AD1227" t="s">
        <v>74</v>
      </c>
      <c r="AE1227" t="s">
        <v>74</v>
      </c>
      <c r="AF1227" t="s">
        <v>74</v>
      </c>
      <c r="AG1227">
        <v>94</v>
      </c>
      <c r="AH1227">
        <v>2</v>
      </c>
      <c r="AI1227">
        <v>2</v>
      </c>
      <c r="AJ1227">
        <v>1</v>
      </c>
      <c r="AK1227">
        <v>1</v>
      </c>
      <c r="AL1227" t="s">
        <v>718</v>
      </c>
      <c r="AM1227" t="s">
        <v>666</v>
      </c>
      <c r="AN1227" t="s">
        <v>719</v>
      </c>
      <c r="AO1227" t="s">
        <v>74</v>
      </c>
      <c r="AP1227" t="s">
        <v>74</v>
      </c>
      <c r="AQ1227" t="s">
        <v>892</v>
      </c>
      <c r="AR1227" t="s">
        <v>74</v>
      </c>
      <c r="AS1227" t="s">
        <v>74</v>
      </c>
      <c r="AT1227" t="s">
        <v>74</v>
      </c>
      <c r="AU1227">
        <v>2024</v>
      </c>
      <c r="AV1227" t="s">
        <v>74</v>
      </c>
      <c r="AW1227" t="s">
        <v>74</v>
      </c>
      <c r="AX1227" t="s">
        <v>74</v>
      </c>
      <c r="AY1227" t="s">
        <v>74</v>
      </c>
      <c r="AZ1227" t="s">
        <v>74</v>
      </c>
      <c r="BA1227" t="s">
        <v>74</v>
      </c>
      <c r="BB1227" t="s">
        <v>74</v>
      </c>
      <c r="BC1227" t="s">
        <v>74</v>
      </c>
      <c r="BD1227" t="s">
        <v>74</v>
      </c>
      <c r="BE1227" t="s">
        <v>20660</v>
      </c>
      <c r="BF1227" t="str">
        <f>HYPERLINK("http://dx.doi.org/10.1145/3613904.3642148","http://dx.doi.org/10.1145/3613904.3642148")</f>
        <v>http://dx.doi.org/10.1145/3613904.3642148</v>
      </c>
      <c r="BG1227" t="s">
        <v>74</v>
      </c>
      <c r="BH1227" t="s">
        <v>74</v>
      </c>
      <c r="BI1227">
        <v>15</v>
      </c>
      <c r="BJ1227" t="s">
        <v>894</v>
      </c>
      <c r="BK1227" t="s">
        <v>723</v>
      </c>
      <c r="BL1227" t="s">
        <v>210</v>
      </c>
      <c r="BM1227" t="s">
        <v>3944</v>
      </c>
      <c r="BN1227" t="s">
        <v>74</v>
      </c>
      <c r="BO1227" t="s">
        <v>7742</v>
      </c>
      <c r="BP1227" t="s">
        <v>74</v>
      </c>
      <c r="BQ1227" t="s">
        <v>74</v>
      </c>
      <c r="BR1227" t="s">
        <v>102</v>
      </c>
      <c r="BS1227" t="s">
        <v>20661</v>
      </c>
      <c r="BT1227" t="str">
        <f>HYPERLINK("https%3A%2F%2Fwww.webofscience.com%2Fwos%2Fwoscc%2Ffull-record%2FWOS:001255317904049","View Full Record in Web of Science")</f>
        <v>View Full Record in Web of Science</v>
      </c>
    </row>
    <row r="1228" spans="1:72" x14ac:dyDescent="0.35">
      <c r="A1228" t="s">
        <v>72</v>
      </c>
      <c r="B1228" t="s">
        <v>20662</v>
      </c>
      <c r="C1228" t="s">
        <v>74</v>
      </c>
      <c r="D1228" t="s">
        <v>74</v>
      </c>
      <c r="E1228" t="s">
        <v>74</v>
      </c>
      <c r="F1228" t="s">
        <v>20663</v>
      </c>
      <c r="G1228" t="s">
        <v>74</v>
      </c>
      <c r="H1228" t="s">
        <v>74</v>
      </c>
      <c r="I1228" t="s">
        <v>20664</v>
      </c>
      <c r="J1228" t="s">
        <v>20665</v>
      </c>
      <c r="K1228" t="s">
        <v>74</v>
      </c>
      <c r="L1228" t="s">
        <v>74</v>
      </c>
      <c r="M1228" t="s">
        <v>78</v>
      </c>
      <c r="N1228" t="s">
        <v>108</v>
      </c>
      <c r="O1228" t="s">
        <v>74</v>
      </c>
      <c r="P1228" t="s">
        <v>74</v>
      </c>
      <c r="Q1228" t="s">
        <v>74</v>
      </c>
      <c r="R1228" t="s">
        <v>74</v>
      </c>
      <c r="S1228" t="s">
        <v>74</v>
      </c>
      <c r="T1228" t="s">
        <v>20666</v>
      </c>
      <c r="U1228" t="s">
        <v>74</v>
      </c>
      <c r="V1228" t="s">
        <v>20667</v>
      </c>
      <c r="W1228" t="s">
        <v>20668</v>
      </c>
      <c r="X1228" t="s">
        <v>20669</v>
      </c>
      <c r="Y1228" t="s">
        <v>20670</v>
      </c>
      <c r="Z1228" t="s">
        <v>20671</v>
      </c>
      <c r="AA1228" t="s">
        <v>74</v>
      </c>
      <c r="AB1228" t="s">
        <v>74</v>
      </c>
      <c r="AC1228" t="s">
        <v>74</v>
      </c>
      <c r="AD1228" t="s">
        <v>74</v>
      </c>
      <c r="AE1228" t="s">
        <v>20672</v>
      </c>
      <c r="AF1228" t="s">
        <v>74</v>
      </c>
      <c r="AG1228">
        <v>27</v>
      </c>
      <c r="AH1228">
        <v>0</v>
      </c>
      <c r="AI1228">
        <v>0</v>
      </c>
      <c r="AJ1228">
        <v>0</v>
      </c>
      <c r="AK1228">
        <v>0</v>
      </c>
      <c r="AL1228" t="s">
        <v>20673</v>
      </c>
      <c r="AM1228" t="s">
        <v>20674</v>
      </c>
      <c r="AN1228" t="s">
        <v>20675</v>
      </c>
      <c r="AO1228" t="s">
        <v>20676</v>
      </c>
      <c r="AP1228" t="s">
        <v>20677</v>
      </c>
      <c r="AQ1228" t="s">
        <v>74</v>
      </c>
      <c r="AR1228" t="s">
        <v>20678</v>
      </c>
      <c r="AS1228" t="s">
        <v>20679</v>
      </c>
      <c r="AT1228" t="s">
        <v>257</v>
      </c>
      <c r="AU1228">
        <v>2024</v>
      </c>
      <c r="AV1228">
        <v>17</v>
      </c>
      <c r="AW1228">
        <v>2</v>
      </c>
      <c r="AX1228" t="s">
        <v>74</v>
      </c>
      <c r="AY1228" t="s">
        <v>74</v>
      </c>
      <c r="AZ1228" t="s">
        <v>74</v>
      </c>
      <c r="BA1228" t="s">
        <v>74</v>
      </c>
      <c r="BB1228">
        <v>86</v>
      </c>
      <c r="BC1228">
        <v>102</v>
      </c>
      <c r="BD1228" t="s">
        <v>74</v>
      </c>
      <c r="BE1228" t="s">
        <v>20680</v>
      </c>
      <c r="BF1228" t="str">
        <f>HYPERLINK("http://dx.doi.org/10.3167/ghs.2024.170207","http://dx.doi.org/10.3167/ghs.2024.170207")</f>
        <v>http://dx.doi.org/10.3167/ghs.2024.170207</v>
      </c>
      <c r="BG1228" t="s">
        <v>74</v>
      </c>
      <c r="BH1228" t="s">
        <v>74</v>
      </c>
      <c r="BI1228">
        <v>17</v>
      </c>
      <c r="BJ1228" t="s">
        <v>98</v>
      </c>
      <c r="BK1228" t="s">
        <v>125</v>
      </c>
      <c r="BL1228" t="s">
        <v>100</v>
      </c>
      <c r="BM1228" t="s">
        <v>20681</v>
      </c>
      <c r="BN1228" t="s">
        <v>74</v>
      </c>
      <c r="BO1228" t="s">
        <v>74</v>
      </c>
      <c r="BP1228" t="s">
        <v>74</v>
      </c>
      <c r="BQ1228" t="s">
        <v>74</v>
      </c>
      <c r="BR1228" t="s">
        <v>102</v>
      </c>
      <c r="BS1228" t="s">
        <v>20682</v>
      </c>
      <c r="BT1228" t="str">
        <f>HYPERLINK("https%3A%2F%2Fwww.webofscience.com%2Fwos%2Fwoscc%2Ffull-record%2FWOS:001326608100006","View Full Record in Web of Science")</f>
        <v>View Full Record in Web of Science</v>
      </c>
    </row>
    <row r="1229" spans="1:72" x14ac:dyDescent="0.35">
      <c r="A1229" t="s">
        <v>72</v>
      </c>
      <c r="B1229" t="s">
        <v>20683</v>
      </c>
      <c r="C1229" t="s">
        <v>74</v>
      </c>
      <c r="D1229" t="s">
        <v>74</v>
      </c>
      <c r="E1229" t="s">
        <v>74</v>
      </c>
      <c r="F1229" t="s">
        <v>20684</v>
      </c>
      <c r="G1229" t="s">
        <v>74</v>
      </c>
      <c r="H1229" t="s">
        <v>74</v>
      </c>
      <c r="I1229" t="s">
        <v>20685</v>
      </c>
      <c r="J1229" t="s">
        <v>3584</v>
      </c>
      <c r="K1229" t="s">
        <v>74</v>
      </c>
      <c r="L1229" t="s">
        <v>74</v>
      </c>
      <c r="M1229" t="s">
        <v>78</v>
      </c>
      <c r="N1229" t="s">
        <v>108</v>
      </c>
      <c r="O1229" t="s">
        <v>74</v>
      </c>
      <c r="P1229" t="s">
        <v>74</v>
      </c>
      <c r="Q1229" t="s">
        <v>74</v>
      </c>
      <c r="R1229" t="s">
        <v>74</v>
      </c>
      <c r="S1229" t="s">
        <v>74</v>
      </c>
      <c r="T1229" t="s">
        <v>20686</v>
      </c>
      <c r="U1229" t="s">
        <v>20687</v>
      </c>
      <c r="V1229" t="s">
        <v>20688</v>
      </c>
      <c r="W1229" t="s">
        <v>20689</v>
      </c>
      <c r="X1229" t="s">
        <v>20690</v>
      </c>
      <c r="Y1229" t="s">
        <v>20691</v>
      </c>
      <c r="Z1229" t="s">
        <v>20692</v>
      </c>
      <c r="AA1229" t="s">
        <v>20693</v>
      </c>
      <c r="AB1229" t="s">
        <v>20694</v>
      </c>
      <c r="AC1229" t="s">
        <v>20695</v>
      </c>
      <c r="AD1229" t="s">
        <v>20696</v>
      </c>
      <c r="AE1229" t="s">
        <v>20697</v>
      </c>
      <c r="AF1229" t="s">
        <v>74</v>
      </c>
      <c r="AG1229">
        <v>54</v>
      </c>
      <c r="AH1229">
        <v>36</v>
      </c>
      <c r="AI1229">
        <v>39</v>
      </c>
      <c r="AJ1229">
        <v>38</v>
      </c>
      <c r="AK1229">
        <v>459</v>
      </c>
      <c r="AL1229" t="s">
        <v>1195</v>
      </c>
      <c r="AM1229" t="s">
        <v>1196</v>
      </c>
      <c r="AN1229" t="s">
        <v>1197</v>
      </c>
      <c r="AO1229" t="s">
        <v>74</v>
      </c>
      <c r="AP1229" t="s">
        <v>3594</v>
      </c>
      <c r="AQ1229" t="s">
        <v>74</v>
      </c>
      <c r="AR1229" t="s">
        <v>3595</v>
      </c>
      <c r="AS1229" t="s">
        <v>3596</v>
      </c>
      <c r="AT1229" t="s">
        <v>455</v>
      </c>
      <c r="AU1229">
        <v>2020</v>
      </c>
      <c r="AV1229">
        <v>12</v>
      </c>
      <c r="AW1229">
        <v>17</v>
      </c>
      <c r="AX1229" t="s">
        <v>74</v>
      </c>
      <c r="AY1229" t="s">
        <v>74</v>
      </c>
      <c r="AZ1229" t="s">
        <v>74</v>
      </c>
      <c r="BA1229" t="s">
        <v>74</v>
      </c>
      <c r="BB1229" t="s">
        <v>74</v>
      </c>
      <c r="BC1229" t="s">
        <v>74</v>
      </c>
      <c r="BD1229">
        <v>6739</v>
      </c>
      <c r="BE1229" t="s">
        <v>20698</v>
      </c>
      <c r="BF1229" t="str">
        <f>HYPERLINK("http://dx.doi.org/10.3390/su12176739","http://dx.doi.org/10.3390/su12176739")</f>
        <v>http://dx.doi.org/10.3390/su12176739</v>
      </c>
      <c r="BG1229" t="s">
        <v>74</v>
      </c>
      <c r="BH1229" t="s">
        <v>74</v>
      </c>
      <c r="BI1229">
        <v>13</v>
      </c>
      <c r="BJ1229" t="s">
        <v>3598</v>
      </c>
      <c r="BK1229" t="s">
        <v>182</v>
      </c>
      <c r="BL1229" t="s">
        <v>3599</v>
      </c>
      <c r="BM1229" t="s">
        <v>20699</v>
      </c>
      <c r="BN1229" t="s">
        <v>74</v>
      </c>
      <c r="BO1229" t="s">
        <v>552</v>
      </c>
      <c r="BP1229" t="s">
        <v>74</v>
      </c>
      <c r="BQ1229" t="s">
        <v>74</v>
      </c>
      <c r="BR1229" t="s">
        <v>102</v>
      </c>
      <c r="BS1229" t="s">
        <v>20700</v>
      </c>
      <c r="BT1229" t="str">
        <f>HYPERLINK("https%3A%2F%2Fwww.webofscience.com%2Fwos%2Fwoscc%2Ffull-record%2FWOS:000569712600001","View Full Record in Web of Science")</f>
        <v>View Full Record in Web of Science</v>
      </c>
    </row>
    <row r="1230" spans="1:72" x14ac:dyDescent="0.35">
      <c r="A1230" t="s">
        <v>72</v>
      </c>
      <c r="B1230" t="s">
        <v>20701</v>
      </c>
      <c r="C1230" t="s">
        <v>74</v>
      </c>
      <c r="D1230" t="s">
        <v>74</v>
      </c>
      <c r="E1230" t="s">
        <v>74</v>
      </c>
      <c r="F1230" t="s">
        <v>11885</v>
      </c>
      <c r="G1230" t="s">
        <v>74</v>
      </c>
      <c r="H1230" t="s">
        <v>74</v>
      </c>
      <c r="I1230" t="s">
        <v>20702</v>
      </c>
      <c r="J1230" t="s">
        <v>772</v>
      </c>
      <c r="K1230" t="s">
        <v>74</v>
      </c>
      <c r="L1230" t="s">
        <v>74</v>
      </c>
      <c r="M1230" t="s">
        <v>78</v>
      </c>
      <c r="N1230" t="s">
        <v>108</v>
      </c>
      <c r="O1230" t="s">
        <v>74</v>
      </c>
      <c r="P1230" t="s">
        <v>74</v>
      </c>
      <c r="Q1230" t="s">
        <v>74</v>
      </c>
      <c r="R1230" t="s">
        <v>74</v>
      </c>
      <c r="S1230" t="s">
        <v>74</v>
      </c>
      <c r="T1230" t="s">
        <v>20703</v>
      </c>
      <c r="U1230" t="s">
        <v>20704</v>
      </c>
      <c r="V1230" t="s">
        <v>20705</v>
      </c>
      <c r="W1230" t="s">
        <v>20706</v>
      </c>
      <c r="X1230" t="s">
        <v>11891</v>
      </c>
      <c r="Y1230" t="s">
        <v>20707</v>
      </c>
      <c r="Z1230" t="s">
        <v>11893</v>
      </c>
      <c r="AA1230" t="s">
        <v>5570</v>
      </c>
      <c r="AB1230" t="s">
        <v>5571</v>
      </c>
      <c r="AC1230" t="s">
        <v>20708</v>
      </c>
      <c r="AD1230" t="s">
        <v>20709</v>
      </c>
      <c r="AE1230" t="s">
        <v>20710</v>
      </c>
      <c r="AF1230" t="s">
        <v>74</v>
      </c>
      <c r="AG1230">
        <v>55</v>
      </c>
      <c r="AH1230">
        <v>24</v>
      </c>
      <c r="AI1230">
        <v>26</v>
      </c>
      <c r="AJ1230">
        <v>2</v>
      </c>
      <c r="AK1230">
        <v>34</v>
      </c>
      <c r="AL1230" t="s">
        <v>290</v>
      </c>
      <c r="AM1230" t="s">
        <v>291</v>
      </c>
      <c r="AN1230" t="s">
        <v>292</v>
      </c>
      <c r="AO1230" t="s">
        <v>781</v>
      </c>
      <c r="AP1230" t="s">
        <v>782</v>
      </c>
      <c r="AQ1230" t="s">
        <v>74</v>
      </c>
      <c r="AR1230" t="s">
        <v>783</v>
      </c>
      <c r="AS1230" t="s">
        <v>784</v>
      </c>
      <c r="AT1230" t="s">
        <v>1484</v>
      </c>
      <c r="AU1230">
        <v>2023</v>
      </c>
      <c r="AV1230">
        <v>123</v>
      </c>
      <c r="AW1230" t="s">
        <v>74</v>
      </c>
      <c r="AX1230" t="s">
        <v>74</v>
      </c>
      <c r="AY1230" t="s">
        <v>74</v>
      </c>
      <c r="AZ1230" t="s">
        <v>74</v>
      </c>
      <c r="BA1230" t="s">
        <v>74</v>
      </c>
      <c r="BB1230" t="s">
        <v>74</v>
      </c>
      <c r="BC1230" t="s">
        <v>74</v>
      </c>
      <c r="BD1230">
        <v>103978</v>
      </c>
      <c r="BE1230" t="s">
        <v>20711</v>
      </c>
      <c r="BF1230" t="str">
        <f>HYPERLINK("http://dx.doi.org/10.1016/j.tate.2022.103978","http://dx.doi.org/10.1016/j.tate.2022.103978")</f>
        <v>http://dx.doi.org/10.1016/j.tate.2022.103978</v>
      </c>
      <c r="BG1230" t="s">
        <v>74</v>
      </c>
      <c r="BH1230" t="s">
        <v>3970</v>
      </c>
      <c r="BI1230">
        <v>17</v>
      </c>
      <c r="BJ1230" t="s">
        <v>787</v>
      </c>
      <c r="BK1230" t="s">
        <v>99</v>
      </c>
      <c r="BL1230" t="s">
        <v>787</v>
      </c>
      <c r="BM1230" t="s">
        <v>20712</v>
      </c>
      <c r="BN1230" t="s">
        <v>74</v>
      </c>
      <c r="BO1230" t="s">
        <v>74</v>
      </c>
      <c r="BP1230" t="s">
        <v>74</v>
      </c>
      <c r="BQ1230" t="s">
        <v>74</v>
      </c>
      <c r="BR1230" t="s">
        <v>102</v>
      </c>
      <c r="BS1230" t="s">
        <v>20713</v>
      </c>
      <c r="BT1230" t="str">
        <f>HYPERLINK("https%3A%2F%2Fwww.webofscience.com%2Fwos%2Fwoscc%2Ffull-record%2FWOS:000921535300001","View Full Record in Web of Science")</f>
        <v>View Full Record in Web of Science</v>
      </c>
    </row>
    <row r="1231" spans="1:72" x14ac:dyDescent="0.35">
      <c r="A1231" t="s">
        <v>128</v>
      </c>
      <c r="B1231" t="s">
        <v>20714</v>
      </c>
      <c r="C1231" t="s">
        <v>74</v>
      </c>
      <c r="D1231" t="s">
        <v>74</v>
      </c>
      <c r="E1231" t="s">
        <v>1677</v>
      </c>
      <c r="F1231" t="s">
        <v>20715</v>
      </c>
      <c r="G1231" t="s">
        <v>74</v>
      </c>
      <c r="H1231" t="s">
        <v>74</v>
      </c>
      <c r="I1231" t="s">
        <v>20716</v>
      </c>
      <c r="J1231" t="s">
        <v>20717</v>
      </c>
      <c r="K1231" t="s">
        <v>20718</v>
      </c>
      <c r="L1231" t="s">
        <v>74</v>
      </c>
      <c r="M1231" t="s">
        <v>78</v>
      </c>
      <c r="N1231" t="s">
        <v>135</v>
      </c>
      <c r="O1231" t="s">
        <v>20719</v>
      </c>
      <c r="P1231" t="s">
        <v>20720</v>
      </c>
      <c r="Q1231" t="s">
        <v>20721</v>
      </c>
      <c r="R1231" t="s">
        <v>1677</v>
      </c>
      <c r="S1231" t="s">
        <v>74</v>
      </c>
      <c r="T1231" t="s">
        <v>74</v>
      </c>
      <c r="U1231" t="s">
        <v>74</v>
      </c>
      <c r="V1231" t="s">
        <v>20722</v>
      </c>
      <c r="W1231" t="s">
        <v>20723</v>
      </c>
      <c r="X1231" t="s">
        <v>20724</v>
      </c>
      <c r="Y1231" t="s">
        <v>20725</v>
      </c>
      <c r="Z1231" t="s">
        <v>20726</v>
      </c>
      <c r="AA1231" t="s">
        <v>74</v>
      </c>
      <c r="AB1231" t="s">
        <v>74</v>
      </c>
      <c r="AC1231" t="s">
        <v>74</v>
      </c>
      <c r="AD1231" t="s">
        <v>74</v>
      </c>
      <c r="AE1231" t="s">
        <v>74</v>
      </c>
      <c r="AF1231" t="s">
        <v>74</v>
      </c>
      <c r="AG1231">
        <v>5</v>
      </c>
      <c r="AH1231">
        <v>21</v>
      </c>
      <c r="AI1231">
        <v>29</v>
      </c>
      <c r="AJ1231">
        <v>5</v>
      </c>
      <c r="AK1231">
        <v>45</v>
      </c>
      <c r="AL1231" t="s">
        <v>1677</v>
      </c>
      <c r="AM1231" t="s">
        <v>666</v>
      </c>
      <c r="AN1231" t="s">
        <v>1692</v>
      </c>
      <c r="AO1231" t="s">
        <v>20727</v>
      </c>
      <c r="AP1231" t="s">
        <v>74</v>
      </c>
      <c r="AQ1231" t="s">
        <v>20728</v>
      </c>
      <c r="AR1231" t="s">
        <v>20729</v>
      </c>
      <c r="AS1231" t="s">
        <v>74</v>
      </c>
      <c r="AT1231" t="s">
        <v>74</v>
      </c>
      <c r="AU1231">
        <v>2019</v>
      </c>
      <c r="AV1231" t="s">
        <v>74</v>
      </c>
      <c r="AW1231" t="s">
        <v>74</v>
      </c>
      <c r="AX1231" t="s">
        <v>74</v>
      </c>
      <c r="AY1231" t="s">
        <v>74</v>
      </c>
      <c r="AZ1231" t="s">
        <v>74</v>
      </c>
      <c r="BA1231" t="s">
        <v>74</v>
      </c>
      <c r="BB1231" t="s">
        <v>74</v>
      </c>
      <c r="BC1231" t="s">
        <v>74</v>
      </c>
      <c r="BD1231" t="s">
        <v>74</v>
      </c>
      <c r="BE1231" t="s">
        <v>20730</v>
      </c>
      <c r="BF1231" t="str">
        <f>HYPERLINK("http://dx.doi.org/10.1109/icce-tw46550.2019.8992021","http://dx.doi.org/10.1109/icce-tw46550.2019.8992021")</f>
        <v>http://dx.doi.org/10.1109/icce-tw46550.2019.8992021</v>
      </c>
      <c r="BG1231" t="s">
        <v>74</v>
      </c>
      <c r="BH1231" t="s">
        <v>74</v>
      </c>
      <c r="BI1231">
        <v>2</v>
      </c>
      <c r="BJ1231" t="s">
        <v>20731</v>
      </c>
      <c r="BK1231" t="s">
        <v>723</v>
      </c>
      <c r="BL1231" t="s">
        <v>20474</v>
      </c>
      <c r="BM1231" t="s">
        <v>20732</v>
      </c>
      <c r="BN1231" t="s">
        <v>74</v>
      </c>
      <c r="BO1231" t="s">
        <v>74</v>
      </c>
      <c r="BP1231" t="s">
        <v>74</v>
      </c>
      <c r="BQ1231" t="s">
        <v>74</v>
      </c>
      <c r="BR1231" t="s">
        <v>102</v>
      </c>
      <c r="BS1231" t="s">
        <v>20733</v>
      </c>
      <c r="BT1231" t="str">
        <f>HYPERLINK("https%3A%2F%2Fwww.webofscience.com%2Fwos%2Fwoscc%2Ffull-record%2FWOS:000712323500324","View Full Record in Web of Science")</f>
        <v>View Full Record in Web of Science</v>
      </c>
    </row>
    <row r="1232" spans="1:72" x14ac:dyDescent="0.35">
      <c r="A1232" t="s">
        <v>72</v>
      </c>
      <c r="B1232" t="s">
        <v>20734</v>
      </c>
      <c r="C1232" t="s">
        <v>74</v>
      </c>
      <c r="D1232" t="s">
        <v>74</v>
      </c>
      <c r="E1232" t="s">
        <v>74</v>
      </c>
      <c r="F1232" t="s">
        <v>20735</v>
      </c>
      <c r="G1232" t="s">
        <v>74</v>
      </c>
      <c r="H1232" t="s">
        <v>74</v>
      </c>
      <c r="I1232" t="s">
        <v>20736</v>
      </c>
      <c r="J1232" t="s">
        <v>20737</v>
      </c>
      <c r="K1232" t="s">
        <v>74</v>
      </c>
      <c r="L1232" t="s">
        <v>74</v>
      </c>
      <c r="M1232" t="s">
        <v>78</v>
      </c>
      <c r="N1232" t="s">
        <v>108</v>
      </c>
      <c r="O1232" t="s">
        <v>74</v>
      </c>
      <c r="P1232" t="s">
        <v>74</v>
      </c>
      <c r="Q1232" t="s">
        <v>74</v>
      </c>
      <c r="R1232" t="s">
        <v>74</v>
      </c>
      <c r="S1232" t="s">
        <v>74</v>
      </c>
      <c r="T1232" t="s">
        <v>20738</v>
      </c>
      <c r="U1232" t="s">
        <v>20739</v>
      </c>
      <c r="V1232" t="s">
        <v>20740</v>
      </c>
      <c r="W1232" t="s">
        <v>20741</v>
      </c>
      <c r="X1232" t="s">
        <v>20742</v>
      </c>
      <c r="Y1232" t="s">
        <v>20743</v>
      </c>
      <c r="Z1232" t="s">
        <v>20744</v>
      </c>
      <c r="AA1232" t="s">
        <v>74</v>
      </c>
      <c r="AB1232" t="s">
        <v>20745</v>
      </c>
      <c r="AC1232" t="s">
        <v>20746</v>
      </c>
      <c r="AD1232" t="s">
        <v>20747</v>
      </c>
      <c r="AE1232" t="s">
        <v>20748</v>
      </c>
      <c r="AF1232" t="s">
        <v>74</v>
      </c>
      <c r="AG1232">
        <v>33</v>
      </c>
      <c r="AH1232">
        <v>0</v>
      </c>
      <c r="AI1232">
        <v>0</v>
      </c>
      <c r="AJ1232">
        <v>19</v>
      </c>
      <c r="AK1232">
        <v>22</v>
      </c>
      <c r="AL1232" t="s">
        <v>88</v>
      </c>
      <c r="AM1232" t="s">
        <v>89</v>
      </c>
      <c r="AN1232" t="s">
        <v>90</v>
      </c>
      <c r="AO1232" t="s">
        <v>20749</v>
      </c>
      <c r="AP1232" t="s">
        <v>20750</v>
      </c>
      <c r="AQ1232" t="s">
        <v>74</v>
      </c>
      <c r="AR1232" t="s">
        <v>20751</v>
      </c>
      <c r="AS1232" t="s">
        <v>20752</v>
      </c>
      <c r="AT1232" t="s">
        <v>20753</v>
      </c>
      <c r="AU1232">
        <v>2024</v>
      </c>
      <c r="AV1232">
        <v>38</v>
      </c>
      <c r="AW1232">
        <v>2</v>
      </c>
      <c r="AX1232" t="s">
        <v>74</v>
      </c>
      <c r="AY1232" t="s">
        <v>74</v>
      </c>
      <c r="AZ1232" t="s">
        <v>74</v>
      </c>
      <c r="BA1232" t="s">
        <v>74</v>
      </c>
      <c r="BB1232">
        <v>193</v>
      </c>
      <c r="BC1232">
        <v>213</v>
      </c>
      <c r="BD1232" t="s">
        <v>74</v>
      </c>
      <c r="BE1232" t="s">
        <v>20754</v>
      </c>
      <c r="BF1232" t="str">
        <f>HYPERLINK("http://dx.doi.org/10.1080/10304312.2024.2348691","http://dx.doi.org/10.1080/10304312.2024.2348691")</f>
        <v>http://dx.doi.org/10.1080/10304312.2024.2348691</v>
      </c>
      <c r="BG1232" t="s">
        <v>74</v>
      </c>
      <c r="BH1232" t="s">
        <v>1467</v>
      </c>
      <c r="BI1232">
        <v>21</v>
      </c>
      <c r="BJ1232" t="s">
        <v>17168</v>
      </c>
      <c r="BK1232" t="s">
        <v>2125</v>
      </c>
      <c r="BL1232" t="s">
        <v>17169</v>
      </c>
      <c r="BM1232" t="s">
        <v>20755</v>
      </c>
      <c r="BN1232" t="s">
        <v>74</v>
      </c>
      <c r="BO1232" t="s">
        <v>74</v>
      </c>
      <c r="BP1232" t="s">
        <v>74</v>
      </c>
      <c r="BQ1232" t="s">
        <v>74</v>
      </c>
      <c r="BR1232" t="s">
        <v>102</v>
      </c>
      <c r="BS1232" t="s">
        <v>20756</v>
      </c>
      <c r="BT1232" t="str">
        <f>HYPERLINK("https%3A%2F%2Fwww.webofscience.com%2Fwos%2Fwoscc%2Ffull-record%2FWOS:001215374700001","View Full Record in Web of Science")</f>
        <v>View Full Record in Web of Science</v>
      </c>
    </row>
    <row r="1233" spans="1:72" x14ac:dyDescent="0.35">
      <c r="A1233" t="s">
        <v>72</v>
      </c>
      <c r="B1233" t="s">
        <v>20757</v>
      </c>
      <c r="C1233" t="s">
        <v>74</v>
      </c>
      <c r="D1233" t="s">
        <v>74</v>
      </c>
      <c r="E1233" t="s">
        <v>74</v>
      </c>
      <c r="F1233" t="s">
        <v>20758</v>
      </c>
      <c r="G1233" t="s">
        <v>74</v>
      </c>
      <c r="H1233" t="s">
        <v>74</v>
      </c>
      <c r="I1233" t="s">
        <v>20759</v>
      </c>
      <c r="J1233" t="s">
        <v>2450</v>
      </c>
      <c r="K1233" t="s">
        <v>74</v>
      </c>
      <c r="L1233" t="s">
        <v>74</v>
      </c>
      <c r="M1233" t="s">
        <v>78</v>
      </c>
      <c r="N1233" t="s">
        <v>108</v>
      </c>
      <c r="O1233" t="s">
        <v>74</v>
      </c>
      <c r="P1233" t="s">
        <v>74</v>
      </c>
      <c r="Q1233" t="s">
        <v>74</v>
      </c>
      <c r="R1233" t="s">
        <v>74</v>
      </c>
      <c r="S1233" t="s">
        <v>74</v>
      </c>
      <c r="T1233" t="s">
        <v>74</v>
      </c>
      <c r="U1233" t="s">
        <v>20760</v>
      </c>
      <c r="V1233" t="s">
        <v>20761</v>
      </c>
      <c r="W1233" t="s">
        <v>20762</v>
      </c>
      <c r="X1233" t="s">
        <v>20763</v>
      </c>
      <c r="Y1233" t="s">
        <v>20764</v>
      </c>
      <c r="Z1233" t="s">
        <v>20765</v>
      </c>
      <c r="AA1233" t="s">
        <v>20766</v>
      </c>
      <c r="AB1233" t="s">
        <v>20767</v>
      </c>
      <c r="AC1233" t="s">
        <v>74</v>
      </c>
      <c r="AD1233" t="s">
        <v>74</v>
      </c>
      <c r="AE1233" t="s">
        <v>74</v>
      </c>
      <c r="AF1233" t="s">
        <v>74</v>
      </c>
      <c r="AG1233">
        <v>54</v>
      </c>
      <c r="AH1233">
        <v>0</v>
      </c>
      <c r="AI1233">
        <v>0</v>
      </c>
      <c r="AJ1233">
        <v>19</v>
      </c>
      <c r="AK1233">
        <v>21</v>
      </c>
      <c r="AL1233" t="s">
        <v>2458</v>
      </c>
      <c r="AM1233" t="s">
        <v>2459</v>
      </c>
      <c r="AN1233" t="s">
        <v>2460</v>
      </c>
      <c r="AO1233" t="s">
        <v>2461</v>
      </c>
      <c r="AP1233" t="s">
        <v>74</v>
      </c>
      <c r="AQ1233" t="s">
        <v>74</v>
      </c>
      <c r="AR1233" t="s">
        <v>2450</v>
      </c>
      <c r="AS1233" t="s">
        <v>2462</v>
      </c>
      <c r="AT1233" t="s">
        <v>12346</v>
      </c>
      <c r="AU1233">
        <v>2024</v>
      </c>
      <c r="AV1233">
        <v>19</v>
      </c>
      <c r="AW1233">
        <v>4</v>
      </c>
      <c r="AX1233" t="s">
        <v>74</v>
      </c>
      <c r="AY1233" t="s">
        <v>74</v>
      </c>
      <c r="AZ1233" t="s">
        <v>74</v>
      </c>
      <c r="BA1233" t="s">
        <v>74</v>
      </c>
      <c r="BB1233" t="s">
        <v>74</v>
      </c>
      <c r="BC1233" t="s">
        <v>74</v>
      </c>
      <c r="BD1233" t="s">
        <v>20768</v>
      </c>
      <c r="BE1233" t="s">
        <v>20769</v>
      </c>
      <c r="BF1233" t="str">
        <f>HYPERLINK("http://dx.doi.org/10.1371/journal.pone.0299496","http://dx.doi.org/10.1371/journal.pone.0299496")</f>
        <v>http://dx.doi.org/10.1371/journal.pone.0299496</v>
      </c>
      <c r="BG1233" t="s">
        <v>74</v>
      </c>
      <c r="BH1233" t="s">
        <v>74</v>
      </c>
      <c r="BI1233">
        <v>15</v>
      </c>
      <c r="BJ1233" t="s">
        <v>1301</v>
      </c>
      <c r="BK1233" t="s">
        <v>209</v>
      </c>
      <c r="BL1233" t="s">
        <v>1302</v>
      </c>
      <c r="BM1233" t="s">
        <v>20770</v>
      </c>
      <c r="BN1233">
        <v>38573890</v>
      </c>
      <c r="BO1233" t="s">
        <v>394</v>
      </c>
      <c r="BP1233" t="s">
        <v>74</v>
      </c>
      <c r="BQ1233" t="s">
        <v>74</v>
      </c>
      <c r="BR1233" t="s">
        <v>102</v>
      </c>
      <c r="BS1233" t="s">
        <v>20771</v>
      </c>
      <c r="BT1233" t="str">
        <f>HYPERLINK("https%3A%2F%2Fwww.webofscience.com%2Fwos%2Fwoscc%2Ffull-record%2FWOS:001198272000049","View Full Record in Web of Science")</f>
        <v>View Full Record in Web of Science</v>
      </c>
    </row>
    <row r="1234" spans="1:72" x14ac:dyDescent="0.35">
      <c r="A1234" t="s">
        <v>72</v>
      </c>
      <c r="B1234" t="s">
        <v>20772</v>
      </c>
      <c r="C1234" t="s">
        <v>74</v>
      </c>
      <c r="D1234" t="s">
        <v>74</v>
      </c>
      <c r="E1234" t="s">
        <v>74</v>
      </c>
      <c r="F1234" t="s">
        <v>20773</v>
      </c>
      <c r="G1234" t="s">
        <v>74</v>
      </c>
      <c r="H1234" t="s">
        <v>74</v>
      </c>
      <c r="I1234" t="s">
        <v>20774</v>
      </c>
      <c r="J1234" t="s">
        <v>20775</v>
      </c>
      <c r="K1234" t="s">
        <v>74</v>
      </c>
      <c r="L1234" t="s">
        <v>74</v>
      </c>
      <c r="M1234" t="s">
        <v>78</v>
      </c>
      <c r="N1234" t="s">
        <v>374</v>
      </c>
      <c r="O1234" t="s">
        <v>74</v>
      </c>
      <c r="P1234" t="s">
        <v>74</v>
      </c>
      <c r="Q1234" t="s">
        <v>74</v>
      </c>
      <c r="R1234" t="s">
        <v>74</v>
      </c>
      <c r="S1234" t="s">
        <v>74</v>
      </c>
      <c r="T1234" t="s">
        <v>20776</v>
      </c>
      <c r="U1234" t="s">
        <v>20777</v>
      </c>
      <c r="V1234" t="s">
        <v>20778</v>
      </c>
      <c r="W1234" t="s">
        <v>20779</v>
      </c>
      <c r="X1234" t="s">
        <v>20780</v>
      </c>
      <c r="Y1234" t="s">
        <v>20781</v>
      </c>
      <c r="Z1234" t="s">
        <v>20782</v>
      </c>
      <c r="AA1234" t="s">
        <v>74</v>
      </c>
      <c r="AB1234" t="s">
        <v>20783</v>
      </c>
      <c r="AC1234" t="s">
        <v>74</v>
      </c>
      <c r="AD1234" t="s">
        <v>74</v>
      </c>
      <c r="AE1234" t="s">
        <v>74</v>
      </c>
      <c r="AF1234" t="s">
        <v>74</v>
      </c>
      <c r="AG1234">
        <v>63</v>
      </c>
      <c r="AH1234">
        <v>23</v>
      </c>
      <c r="AI1234">
        <v>26</v>
      </c>
      <c r="AJ1234">
        <v>3</v>
      </c>
      <c r="AK1234">
        <v>67</v>
      </c>
      <c r="AL1234" t="s">
        <v>1901</v>
      </c>
      <c r="AM1234" t="s">
        <v>995</v>
      </c>
      <c r="AN1234" t="s">
        <v>1902</v>
      </c>
      <c r="AO1234" t="s">
        <v>20784</v>
      </c>
      <c r="AP1234" t="s">
        <v>20785</v>
      </c>
      <c r="AQ1234" t="s">
        <v>74</v>
      </c>
      <c r="AR1234" t="s">
        <v>20786</v>
      </c>
      <c r="AS1234" t="s">
        <v>20787</v>
      </c>
      <c r="AT1234" t="s">
        <v>178</v>
      </c>
      <c r="AU1234">
        <v>2021</v>
      </c>
      <c r="AV1234">
        <v>33</v>
      </c>
      <c r="AW1234">
        <v>1</v>
      </c>
      <c r="AX1234" t="s">
        <v>74</v>
      </c>
      <c r="AY1234" t="s">
        <v>74</v>
      </c>
      <c r="AZ1234" t="s">
        <v>74</v>
      </c>
      <c r="BA1234" t="s">
        <v>74</v>
      </c>
      <c r="BB1234">
        <v>170</v>
      </c>
      <c r="BC1234">
        <v>177</v>
      </c>
      <c r="BD1234" t="s">
        <v>74</v>
      </c>
      <c r="BE1234" t="s">
        <v>20788</v>
      </c>
      <c r="BF1234" t="str">
        <f>HYPERLINK("http://dx.doi.org/10.1097/MOP.0000000000000989","http://dx.doi.org/10.1097/MOP.0000000000000989")</f>
        <v>http://dx.doi.org/10.1097/MOP.0000000000000989</v>
      </c>
      <c r="BG1234" t="s">
        <v>74</v>
      </c>
      <c r="BH1234" t="s">
        <v>74</v>
      </c>
      <c r="BI1234">
        <v>8</v>
      </c>
      <c r="BJ1234" t="s">
        <v>6641</v>
      </c>
      <c r="BK1234" t="s">
        <v>182</v>
      </c>
      <c r="BL1234" t="s">
        <v>6641</v>
      </c>
      <c r="BM1234" t="s">
        <v>20789</v>
      </c>
      <c r="BN1234">
        <v>33337608</v>
      </c>
      <c r="BO1234" t="s">
        <v>74</v>
      </c>
      <c r="BP1234" t="s">
        <v>74</v>
      </c>
      <c r="BQ1234" t="s">
        <v>74</v>
      </c>
      <c r="BR1234" t="s">
        <v>102</v>
      </c>
      <c r="BS1234" t="s">
        <v>20790</v>
      </c>
      <c r="BT1234" t="str">
        <f>HYPERLINK("https%3A%2F%2Fwww.webofscience.com%2Fwos%2Fwoscc%2Ffull-record%2FWOS:000612853000022","View Full Record in Web of Science")</f>
        <v>View Full Record in Web of Science</v>
      </c>
    </row>
    <row r="1235" spans="1:72" x14ac:dyDescent="0.35">
      <c r="A1235" t="s">
        <v>72</v>
      </c>
      <c r="B1235" t="s">
        <v>20791</v>
      </c>
      <c r="C1235" t="s">
        <v>74</v>
      </c>
      <c r="D1235" t="s">
        <v>74</v>
      </c>
      <c r="E1235" t="s">
        <v>74</v>
      </c>
      <c r="F1235" t="s">
        <v>20792</v>
      </c>
      <c r="G1235" t="s">
        <v>74</v>
      </c>
      <c r="H1235" t="s">
        <v>74</v>
      </c>
      <c r="I1235" t="s">
        <v>20793</v>
      </c>
      <c r="J1235" t="s">
        <v>20794</v>
      </c>
      <c r="K1235" t="s">
        <v>74</v>
      </c>
      <c r="L1235" t="s">
        <v>74</v>
      </c>
      <c r="M1235" t="s">
        <v>7332</v>
      </c>
      <c r="N1235" t="s">
        <v>108</v>
      </c>
      <c r="O1235" t="s">
        <v>74</v>
      </c>
      <c r="P1235" t="s">
        <v>74</v>
      </c>
      <c r="Q1235" t="s">
        <v>74</v>
      </c>
      <c r="R1235" t="s">
        <v>74</v>
      </c>
      <c r="S1235" t="s">
        <v>74</v>
      </c>
      <c r="T1235" t="s">
        <v>20795</v>
      </c>
      <c r="U1235" t="s">
        <v>74</v>
      </c>
      <c r="V1235" t="s">
        <v>20796</v>
      </c>
      <c r="W1235" t="s">
        <v>20797</v>
      </c>
      <c r="X1235" t="s">
        <v>20798</v>
      </c>
      <c r="Y1235" t="s">
        <v>20799</v>
      </c>
      <c r="Z1235" t="s">
        <v>20800</v>
      </c>
      <c r="AA1235" t="s">
        <v>20801</v>
      </c>
      <c r="AB1235" t="s">
        <v>74</v>
      </c>
      <c r="AC1235" t="s">
        <v>74</v>
      </c>
      <c r="AD1235" t="s">
        <v>74</v>
      </c>
      <c r="AE1235" t="s">
        <v>74</v>
      </c>
      <c r="AF1235" t="s">
        <v>74</v>
      </c>
      <c r="AG1235">
        <v>18</v>
      </c>
      <c r="AH1235">
        <v>0</v>
      </c>
      <c r="AI1235">
        <v>0</v>
      </c>
      <c r="AJ1235">
        <v>2</v>
      </c>
      <c r="AK1235">
        <v>4</v>
      </c>
      <c r="AL1235" t="s">
        <v>20802</v>
      </c>
      <c r="AM1235" t="s">
        <v>20803</v>
      </c>
      <c r="AN1235" t="s">
        <v>20804</v>
      </c>
      <c r="AO1235" t="s">
        <v>20805</v>
      </c>
      <c r="AP1235" t="s">
        <v>20806</v>
      </c>
      <c r="AQ1235" t="s">
        <v>74</v>
      </c>
      <c r="AR1235" t="s">
        <v>20794</v>
      </c>
      <c r="AS1235" t="s">
        <v>20794</v>
      </c>
      <c r="AT1235" t="s">
        <v>8762</v>
      </c>
      <c r="AU1235">
        <v>2023</v>
      </c>
      <c r="AV1235" t="s">
        <v>74</v>
      </c>
      <c r="AW1235">
        <v>46</v>
      </c>
      <c r="AX1235" t="s">
        <v>74</v>
      </c>
      <c r="AY1235" t="s">
        <v>74</v>
      </c>
      <c r="AZ1235" t="s">
        <v>74</v>
      </c>
      <c r="BA1235" t="s">
        <v>74</v>
      </c>
      <c r="BB1235">
        <v>480</v>
      </c>
      <c r="BC1235">
        <v>499</v>
      </c>
      <c r="BD1235" t="s">
        <v>74</v>
      </c>
      <c r="BE1235" t="s">
        <v>20807</v>
      </c>
      <c r="BF1235" t="str">
        <f>HYPERLINK("http://dx.doi.org/10.12957/soletras.2023.79588","http://dx.doi.org/10.12957/soletras.2023.79588")</f>
        <v>http://dx.doi.org/10.12957/soletras.2023.79588</v>
      </c>
      <c r="BG1235" t="s">
        <v>74</v>
      </c>
      <c r="BH1235" t="s">
        <v>74</v>
      </c>
      <c r="BI1235">
        <v>20</v>
      </c>
      <c r="BJ1235" t="s">
        <v>3284</v>
      </c>
      <c r="BK1235" t="s">
        <v>125</v>
      </c>
      <c r="BL1235" t="s">
        <v>3285</v>
      </c>
      <c r="BM1235" t="s">
        <v>20808</v>
      </c>
      <c r="BN1235" t="s">
        <v>74</v>
      </c>
      <c r="BO1235" t="s">
        <v>235</v>
      </c>
      <c r="BP1235" t="s">
        <v>74</v>
      </c>
      <c r="BQ1235" t="s">
        <v>74</v>
      </c>
      <c r="BR1235" t="s">
        <v>102</v>
      </c>
      <c r="BS1235" t="s">
        <v>20809</v>
      </c>
      <c r="BT1235" t="str">
        <f>HYPERLINK("https%3A%2F%2Fwww.webofscience.com%2Fwos%2Fwoscc%2Ffull-record%2FWOS:001090664900001","View Full Record in Web of Science")</f>
        <v>View Full Record in Web of Science</v>
      </c>
    </row>
    <row r="1236" spans="1:72" x14ac:dyDescent="0.35">
      <c r="A1236" t="s">
        <v>72</v>
      </c>
      <c r="B1236" t="s">
        <v>20810</v>
      </c>
      <c r="C1236" t="s">
        <v>74</v>
      </c>
      <c r="D1236" t="s">
        <v>74</v>
      </c>
      <c r="E1236" t="s">
        <v>74</v>
      </c>
      <c r="F1236" t="s">
        <v>20811</v>
      </c>
      <c r="G1236" t="s">
        <v>74</v>
      </c>
      <c r="H1236" t="s">
        <v>74</v>
      </c>
      <c r="I1236" t="s">
        <v>20812</v>
      </c>
      <c r="J1236" t="s">
        <v>20813</v>
      </c>
      <c r="K1236" t="s">
        <v>74</v>
      </c>
      <c r="L1236" t="s">
        <v>74</v>
      </c>
      <c r="M1236" t="s">
        <v>78</v>
      </c>
      <c r="N1236" t="s">
        <v>108</v>
      </c>
      <c r="O1236" t="s">
        <v>74</v>
      </c>
      <c r="P1236" t="s">
        <v>74</v>
      </c>
      <c r="Q1236" t="s">
        <v>74</v>
      </c>
      <c r="R1236" t="s">
        <v>74</v>
      </c>
      <c r="S1236" t="s">
        <v>74</v>
      </c>
      <c r="T1236" t="s">
        <v>20814</v>
      </c>
      <c r="U1236" t="s">
        <v>20815</v>
      </c>
      <c r="V1236" t="s">
        <v>20816</v>
      </c>
      <c r="W1236" t="s">
        <v>20817</v>
      </c>
      <c r="X1236" t="s">
        <v>20818</v>
      </c>
      <c r="Y1236" t="s">
        <v>20819</v>
      </c>
      <c r="Z1236" t="s">
        <v>20820</v>
      </c>
      <c r="AA1236" t="s">
        <v>20821</v>
      </c>
      <c r="AB1236" t="s">
        <v>20822</v>
      </c>
      <c r="AC1236" t="s">
        <v>74</v>
      </c>
      <c r="AD1236" t="s">
        <v>74</v>
      </c>
      <c r="AE1236" t="s">
        <v>74</v>
      </c>
      <c r="AF1236" t="s">
        <v>74</v>
      </c>
      <c r="AG1236">
        <v>54</v>
      </c>
      <c r="AH1236">
        <v>7</v>
      </c>
      <c r="AI1236">
        <v>8</v>
      </c>
      <c r="AJ1236">
        <v>12</v>
      </c>
      <c r="AK1236">
        <v>89</v>
      </c>
      <c r="AL1236" t="s">
        <v>3632</v>
      </c>
      <c r="AM1236" t="s">
        <v>291</v>
      </c>
      <c r="AN1236" t="s">
        <v>3633</v>
      </c>
      <c r="AO1236" t="s">
        <v>20823</v>
      </c>
      <c r="AP1236" t="s">
        <v>20824</v>
      </c>
      <c r="AQ1236" t="s">
        <v>74</v>
      </c>
      <c r="AR1236" t="s">
        <v>20813</v>
      </c>
      <c r="AS1236" t="s">
        <v>20825</v>
      </c>
      <c r="AT1236" t="s">
        <v>523</v>
      </c>
      <c r="AU1236">
        <v>2022</v>
      </c>
      <c r="AV1236">
        <v>130</v>
      </c>
      <c r="AW1236" t="s">
        <v>74</v>
      </c>
      <c r="AX1236" t="s">
        <v>74</v>
      </c>
      <c r="AY1236" t="s">
        <v>74</v>
      </c>
      <c r="AZ1236" t="s">
        <v>74</v>
      </c>
      <c r="BA1236" t="s">
        <v>74</v>
      </c>
      <c r="BB1236" t="s">
        <v>74</v>
      </c>
      <c r="BC1236" t="s">
        <v>74</v>
      </c>
      <c r="BD1236">
        <v>103983</v>
      </c>
      <c r="BE1236" t="s">
        <v>20826</v>
      </c>
      <c r="BF1236" t="str">
        <f>HYPERLINK("http://dx.doi.org/10.1016/j.cities.2022.103983","http://dx.doi.org/10.1016/j.cities.2022.103983")</f>
        <v>http://dx.doi.org/10.1016/j.cities.2022.103983</v>
      </c>
      <c r="BG1236" t="s">
        <v>74</v>
      </c>
      <c r="BH1236" t="s">
        <v>598</v>
      </c>
      <c r="BI1236">
        <v>11</v>
      </c>
      <c r="BJ1236" t="s">
        <v>20827</v>
      </c>
      <c r="BK1236" t="s">
        <v>99</v>
      </c>
      <c r="BL1236" t="s">
        <v>20827</v>
      </c>
      <c r="BM1236" t="s">
        <v>20828</v>
      </c>
      <c r="BN1236" t="s">
        <v>74</v>
      </c>
      <c r="BO1236" t="s">
        <v>74</v>
      </c>
      <c r="BP1236" t="s">
        <v>74</v>
      </c>
      <c r="BQ1236" t="s">
        <v>74</v>
      </c>
      <c r="BR1236" t="s">
        <v>102</v>
      </c>
      <c r="BS1236" t="s">
        <v>20829</v>
      </c>
      <c r="BT1236" t="str">
        <f>HYPERLINK("https%3A%2F%2Fwww.webofscience.com%2Fwos%2Fwoscc%2Ffull-record%2FWOS:000859980000002","View Full Record in Web of Science")</f>
        <v>View Full Record in Web of Science</v>
      </c>
    </row>
    <row r="1237" spans="1:72" x14ac:dyDescent="0.35">
      <c r="A1237" t="s">
        <v>72</v>
      </c>
      <c r="B1237" t="s">
        <v>20830</v>
      </c>
      <c r="C1237" t="s">
        <v>74</v>
      </c>
      <c r="D1237" t="s">
        <v>74</v>
      </c>
      <c r="E1237" t="s">
        <v>74</v>
      </c>
      <c r="F1237" t="s">
        <v>20831</v>
      </c>
      <c r="G1237" t="s">
        <v>74</v>
      </c>
      <c r="H1237" t="s">
        <v>74</v>
      </c>
      <c r="I1237" t="s">
        <v>20832</v>
      </c>
      <c r="J1237" t="s">
        <v>20833</v>
      </c>
      <c r="K1237" t="s">
        <v>74</v>
      </c>
      <c r="L1237" t="s">
        <v>74</v>
      </c>
      <c r="M1237" t="s">
        <v>78</v>
      </c>
      <c r="N1237" t="s">
        <v>79</v>
      </c>
      <c r="O1237" t="s">
        <v>74</v>
      </c>
      <c r="P1237" t="s">
        <v>74</v>
      </c>
      <c r="Q1237" t="s">
        <v>74</v>
      </c>
      <c r="R1237" t="s">
        <v>74</v>
      </c>
      <c r="S1237" t="s">
        <v>74</v>
      </c>
      <c r="T1237" t="s">
        <v>74</v>
      </c>
      <c r="U1237" t="s">
        <v>20834</v>
      </c>
      <c r="V1237" t="s">
        <v>20835</v>
      </c>
      <c r="W1237" t="s">
        <v>20836</v>
      </c>
      <c r="X1237" t="s">
        <v>1251</v>
      </c>
      <c r="Y1237" t="s">
        <v>20837</v>
      </c>
      <c r="Z1237" t="s">
        <v>20838</v>
      </c>
      <c r="AA1237" t="s">
        <v>20839</v>
      </c>
      <c r="AB1237" t="s">
        <v>20840</v>
      </c>
      <c r="AC1237" t="s">
        <v>74</v>
      </c>
      <c r="AD1237" t="s">
        <v>74</v>
      </c>
      <c r="AE1237" t="s">
        <v>74</v>
      </c>
      <c r="AF1237" t="s">
        <v>74</v>
      </c>
      <c r="AG1237">
        <v>89</v>
      </c>
      <c r="AH1237">
        <v>0</v>
      </c>
      <c r="AI1237">
        <v>0</v>
      </c>
      <c r="AJ1237">
        <v>1</v>
      </c>
      <c r="AK1237">
        <v>1</v>
      </c>
      <c r="AL1237" t="s">
        <v>88</v>
      </c>
      <c r="AM1237" t="s">
        <v>89</v>
      </c>
      <c r="AN1237" t="s">
        <v>90</v>
      </c>
      <c r="AO1237" t="s">
        <v>20841</v>
      </c>
      <c r="AP1237" t="s">
        <v>20842</v>
      </c>
      <c r="AQ1237" t="s">
        <v>74</v>
      </c>
      <c r="AR1237" t="s">
        <v>20843</v>
      </c>
      <c r="AS1237" t="s">
        <v>20844</v>
      </c>
      <c r="AT1237" t="s">
        <v>20845</v>
      </c>
      <c r="AU1237">
        <v>2024</v>
      </c>
      <c r="AV1237" t="s">
        <v>74</v>
      </c>
      <c r="AW1237" t="s">
        <v>74</v>
      </c>
      <c r="AX1237" t="s">
        <v>74</v>
      </c>
      <c r="AY1237" t="s">
        <v>74</v>
      </c>
      <c r="AZ1237" t="s">
        <v>74</v>
      </c>
      <c r="BA1237" t="s">
        <v>74</v>
      </c>
      <c r="BB1237" t="s">
        <v>74</v>
      </c>
      <c r="BC1237" t="s">
        <v>74</v>
      </c>
      <c r="BD1237" t="s">
        <v>74</v>
      </c>
      <c r="BE1237" t="s">
        <v>20846</v>
      </c>
      <c r="BF1237" t="str">
        <f>HYPERLINK("http://dx.doi.org/10.1080/15456870.2024.2420754","http://dx.doi.org/10.1080/15456870.2024.2420754")</f>
        <v>http://dx.doi.org/10.1080/15456870.2024.2420754</v>
      </c>
      <c r="BG1237" t="s">
        <v>74</v>
      </c>
      <c r="BH1237" t="s">
        <v>1721</v>
      </c>
      <c r="BI1237">
        <v>24</v>
      </c>
      <c r="BJ1237" t="s">
        <v>124</v>
      </c>
      <c r="BK1237" t="s">
        <v>125</v>
      </c>
      <c r="BL1237" t="s">
        <v>124</v>
      </c>
      <c r="BM1237" t="s">
        <v>20847</v>
      </c>
      <c r="BN1237" t="s">
        <v>74</v>
      </c>
      <c r="BO1237" t="s">
        <v>74</v>
      </c>
      <c r="BP1237" t="s">
        <v>74</v>
      </c>
      <c r="BQ1237" t="s">
        <v>74</v>
      </c>
      <c r="BR1237" t="s">
        <v>102</v>
      </c>
      <c r="BS1237" t="s">
        <v>20848</v>
      </c>
      <c r="BT1237" t="str">
        <f>HYPERLINK("https%3A%2F%2Fwww.webofscience.com%2Fwos%2Fwoscc%2Ffull-record%2FWOS:001341219400001","View Full Record in Web of Science")</f>
        <v>View Full Record in Web of Science</v>
      </c>
    </row>
    <row r="1238" spans="1:72" x14ac:dyDescent="0.35">
      <c r="A1238" t="s">
        <v>72</v>
      </c>
      <c r="B1238" t="s">
        <v>20849</v>
      </c>
      <c r="C1238" t="s">
        <v>74</v>
      </c>
      <c r="D1238" t="s">
        <v>74</v>
      </c>
      <c r="E1238" t="s">
        <v>74</v>
      </c>
      <c r="F1238" t="s">
        <v>20850</v>
      </c>
      <c r="G1238" t="s">
        <v>74</v>
      </c>
      <c r="H1238" t="s">
        <v>74</v>
      </c>
      <c r="I1238" t="s">
        <v>20851</v>
      </c>
      <c r="J1238" t="s">
        <v>793</v>
      </c>
      <c r="K1238" t="s">
        <v>74</v>
      </c>
      <c r="L1238" t="s">
        <v>74</v>
      </c>
      <c r="M1238" t="s">
        <v>78</v>
      </c>
      <c r="N1238" t="s">
        <v>108</v>
      </c>
      <c r="O1238" t="s">
        <v>74</v>
      </c>
      <c r="P1238" t="s">
        <v>74</v>
      </c>
      <c r="Q1238" t="s">
        <v>74</v>
      </c>
      <c r="R1238" t="s">
        <v>74</v>
      </c>
      <c r="S1238" t="s">
        <v>74</v>
      </c>
      <c r="T1238" t="s">
        <v>20852</v>
      </c>
      <c r="U1238" t="s">
        <v>8220</v>
      </c>
      <c r="V1238" t="s">
        <v>20853</v>
      </c>
      <c r="W1238" t="s">
        <v>20854</v>
      </c>
      <c r="X1238" t="s">
        <v>20855</v>
      </c>
      <c r="Y1238" t="s">
        <v>5251</v>
      </c>
      <c r="Z1238" t="s">
        <v>5252</v>
      </c>
      <c r="AA1238" t="s">
        <v>5253</v>
      </c>
      <c r="AB1238" t="s">
        <v>5254</v>
      </c>
      <c r="AC1238" t="s">
        <v>74</v>
      </c>
      <c r="AD1238" t="s">
        <v>74</v>
      </c>
      <c r="AE1238" t="s">
        <v>74</v>
      </c>
      <c r="AF1238" t="s">
        <v>74</v>
      </c>
      <c r="AG1238">
        <v>23</v>
      </c>
      <c r="AH1238">
        <v>1</v>
      </c>
      <c r="AI1238">
        <v>1</v>
      </c>
      <c r="AJ1238">
        <v>2</v>
      </c>
      <c r="AK1238">
        <v>2</v>
      </c>
      <c r="AL1238" t="s">
        <v>803</v>
      </c>
      <c r="AM1238" t="s">
        <v>227</v>
      </c>
      <c r="AN1238" t="s">
        <v>804</v>
      </c>
      <c r="AO1238" t="s">
        <v>74</v>
      </c>
      <c r="AP1238" t="s">
        <v>805</v>
      </c>
      <c r="AQ1238" t="s">
        <v>74</v>
      </c>
      <c r="AR1238" t="s">
        <v>806</v>
      </c>
      <c r="AS1238" t="s">
        <v>807</v>
      </c>
      <c r="AT1238" t="s">
        <v>9747</v>
      </c>
      <c r="AU1238">
        <v>2024</v>
      </c>
      <c r="AV1238">
        <v>16</v>
      </c>
      <c r="AW1238">
        <v>2</v>
      </c>
      <c r="AX1238" t="s">
        <v>74</v>
      </c>
      <c r="AY1238" t="s">
        <v>74</v>
      </c>
      <c r="AZ1238" t="s">
        <v>74</v>
      </c>
      <c r="BA1238" t="s">
        <v>74</v>
      </c>
      <c r="BB1238" t="s">
        <v>74</v>
      </c>
      <c r="BC1238" t="s">
        <v>74</v>
      </c>
      <c r="BD1238" t="s">
        <v>20856</v>
      </c>
      <c r="BE1238" t="s">
        <v>20857</v>
      </c>
      <c r="BF1238" t="str">
        <f>HYPERLINK("http://dx.doi.org/10.7759/cureus.55195","http://dx.doi.org/10.7759/cureus.55195")</f>
        <v>http://dx.doi.org/10.7759/cureus.55195</v>
      </c>
      <c r="BG1238" t="s">
        <v>74</v>
      </c>
      <c r="BH1238" t="s">
        <v>74</v>
      </c>
      <c r="BI1238">
        <v>9</v>
      </c>
      <c r="BJ1238" t="s">
        <v>811</v>
      </c>
      <c r="BK1238" t="s">
        <v>125</v>
      </c>
      <c r="BL1238" t="s">
        <v>812</v>
      </c>
      <c r="BM1238" t="s">
        <v>20858</v>
      </c>
      <c r="BN1238">
        <v>38558591</v>
      </c>
      <c r="BO1238" t="s">
        <v>552</v>
      </c>
      <c r="BP1238" t="s">
        <v>74</v>
      </c>
      <c r="BQ1238" t="s">
        <v>74</v>
      </c>
      <c r="BR1238" t="s">
        <v>102</v>
      </c>
      <c r="BS1238" t="s">
        <v>20859</v>
      </c>
      <c r="BT1238" t="str">
        <f>HYPERLINK("https%3A%2F%2Fwww.webofscience.com%2Fwos%2Fwoscc%2Ffull-record%2FWOS:001199959900001","View Full Record in Web of Science")</f>
        <v>View Full Record in Web of Science</v>
      </c>
    </row>
    <row r="1239" spans="1:72" x14ac:dyDescent="0.35">
      <c r="A1239" t="s">
        <v>128</v>
      </c>
      <c r="B1239" t="s">
        <v>20860</v>
      </c>
      <c r="C1239" t="s">
        <v>74</v>
      </c>
      <c r="D1239" t="s">
        <v>16292</v>
      </c>
      <c r="E1239" t="s">
        <v>74</v>
      </c>
      <c r="F1239" t="s">
        <v>20861</v>
      </c>
      <c r="G1239" t="s">
        <v>74</v>
      </c>
      <c r="H1239" t="s">
        <v>74</v>
      </c>
      <c r="I1239" t="s">
        <v>20862</v>
      </c>
      <c r="J1239" t="s">
        <v>16295</v>
      </c>
      <c r="K1239" t="s">
        <v>16296</v>
      </c>
      <c r="L1239" t="s">
        <v>74</v>
      </c>
      <c r="M1239" t="s">
        <v>78</v>
      </c>
      <c r="N1239" t="s">
        <v>135</v>
      </c>
      <c r="O1239" t="s">
        <v>16297</v>
      </c>
      <c r="P1239" t="s">
        <v>16298</v>
      </c>
      <c r="Q1239" t="s">
        <v>8367</v>
      </c>
      <c r="R1239" t="s">
        <v>74</v>
      </c>
      <c r="S1239" t="s">
        <v>74</v>
      </c>
      <c r="T1239" t="s">
        <v>20863</v>
      </c>
      <c r="U1239" t="s">
        <v>74</v>
      </c>
      <c r="V1239" t="s">
        <v>20864</v>
      </c>
      <c r="W1239" t="s">
        <v>20865</v>
      </c>
      <c r="X1239" t="s">
        <v>20866</v>
      </c>
      <c r="Y1239" t="s">
        <v>20867</v>
      </c>
      <c r="Z1239" t="s">
        <v>20868</v>
      </c>
      <c r="AA1239" t="s">
        <v>20869</v>
      </c>
      <c r="AB1239" t="s">
        <v>20870</v>
      </c>
      <c r="AC1239" t="s">
        <v>74</v>
      </c>
      <c r="AD1239" t="s">
        <v>74</v>
      </c>
      <c r="AE1239" t="s">
        <v>74</v>
      </c>
      <c r="AF1239" t="s">
        <v>74</v>
      </c>
      <c r="AG1239">
        <v>26</v>
      </c>
      <c r="AH1239">
        <v>20</v>
      </c>
      <c r="AI1239">
        <v>20</v>
      </c>
      <c r="AJ1239">
        <v>4</v>
      </c>
      <c r="AK1239">
        <v>15</v>
      </c>
      <c r="AL1239" t="s">
        <v>639</v>
      </c>
      <c r="AM1239" t="s">
        <v>640</v>
      </c>
      <c r="AN1239" t="s">
        <v>641</v>
      </c>
      <c r="AO1239" t="s">
        <v>74</v>
      </c>
      <c r="AP1239" t="s">
        <v>74</v>
      </c>
      <c r="AQ1239" t="s">
        <v>16304</v>
      </c>
      <c r="AR1239" t="s">
        <v>16305</v>
      </c>
      <c r="AS1239" t="s">
        <v>74</v>
      </c>
      <c r="AT1239" t="s">
        <v>74</v>
      </c>
      <c r="AU1239">
        <v>2020</v>
      </c>
      <c r="AV1239">
        <v>12195</v>
      </c>
      <c r="AW1239" t="s">
        <v>74</v>
      </c>
      <c r="AX1239" t="s">
        <v>74</v>
      </c>
      <c r="AY1239" t="s">
        <v>74</v>
      </c>
      <c r="AZ1239" t="s">
        <v>74</v>
      </c>
      <c r="BA1239" t="s">
        <v>74</v>
      </c>
      <c r="BB1239">
        <v>57</v>
      </c>
      <c r="BC1239">
        <v>70</v>
      </c>
      <c r="BD1239" t="s">
        <v>74</v>
      </c>
      <c r="BE1239" t="s">
        <v>20871</v>
      </c>
      <c r="BF1239" t="str">
        <f>HYPERLINK("http://dx.doi.org/10.1007/978-3-030-49576-3_5","http://dx.doi.org/10.1007/978-3-030-49576-3_5")</f>
        <v>http://dx.doi.org/10.1007/978-3-030-49576-3_5</v>
      </c>
      <c r="BG1239" t="s">
        <v>74</v>
      </c>
      <c r="BH1239" t="s">
        <v>74</v>
      </c>
      <c r="BI1239">
        <v>14</v>
      </c>
      <c r="BJ1239" t="s">
        <v>16307</v>
      </c>
      <c r="BK1239" t="s">
        <v>648</v>
      </c>
      <c r="BL1239" t="s">
        <v>16308</v>
      </c>
      <c r="BM1239" t="s">
        <v>16309</v>
      </c>
      <c r="BN1239" t="s">
        <v>74</v>
      </c>
      <c r="BO1239" t="s">
        <v>74</v>
      </c>
      <c r="BP1239" t="s">
        <v>74</v>
      </c>
      <c r="BQ1239" t="s">
        <v>74</v>
      </c>
      <c r="BR1239" t="s">
        <v>102</v>
      </c>
      <c r="BS1239" t="s">
        <v>20872</v>
      </c>
      <c r="BT1239" t="str">
        <f>HYPERLINK("https%3A%2F%2Fwww.webofscience.com%2Fwos%2Fwoscc%2Ffull-record%2FWOS:001297926500005","View Full Record in Web of Science")</f>
        <v>View Full Record in Web of Science</v>
      </c>
    </row>
    <row r="1240" spans="1:72" x14ac:dyDescent="0.35">
      <c r="A1240" t="s">
        <v>72</v>
      </c>
      <c r="B1240" t="s">
        <v>20873</v>
      </c>
      <c r="C1240" t="s">
        <v>74</v>
      </c>
      <c r="D1240" t="s">
        <v>74</v>
      </c>
      <c r="E1240" t="s">
        <v>74</v>
      </c>
      <c r="F1240" t="s">
        <v>20874</v>
      </c>
      <c r="G1240" t="s">
        <v>74</v>
      </c>
      <c r="H1240" t="s">
        <v>74</v>
      </c>
      <c r="I1240" t="s">
        <v>20875</v>
      </c>
      <c r="J1240" t="s">
        <v>20876</v>
      </c>
      <c r="K1240" t="s">
        <v>74</v>
      </c>
      <c r="L1240" t="s">
        <v>74</v>
      </c>
      <c r="M1240" t="s">
        <v>78</v>
      </c>
      <c r="N1240" t="s">
        <v>108</v>
      </c>
      <c r="O1240" t="s">
        <v>74</v>
      </c>
      <c r="P1240" t="s">
        <v>74</v>
      </c>
      <c r="Q1240" t="s">
        <v>74</v>
      </c>
      <c r="R1240" t="s">
        <v>74</v>
      </c>
      <c r="S1240" t="s">
        <v>74</v>
      </c>
      <c r="T1240" t="s">
        <v>20877</v>
      </c>
      <c r="U1240" t="s">
        <v>74</v>
      </c>
      <c r="V1240" t="s">
        <v>20878</v>
      </c>
      <c r="W1240" t="s">
        <v>20879</v>
      </c>
      <c r="X1240" t="s">
        <v>4471</v>
      </c>
      <c r="Y1240" t="s">
        <v>20880</v>
      </c>
      <c r="Z1240" t="s">
        <v>20881</v>
      </c>
      <c r="AA1240" t="s">
        <v>20882</v>
      </c>
      <c r="AB1240" t="s">
        <v>20883</v>
      </c>
      <c r="AC1240" t="s">
        <v>20884</v>
      </c>
      <c r="AD1240" t="s">
        <v>20885</v>
      </c>
      <c r="AE1240" t="s">
        <v>20886</v>
      </c>
      <c r="AF1240" t="s">
        <v>74</v>
      </c>
      <c r="AG1240">
        <v>32</v>
      </c>
      <c r="AH1240">
        <v>13</v>
      </c>
      <c r="AI1240">
        <v>13</v>
      </c>
      <c r="AJ1240">
        <v>10</v>
      </c>
      <c r="AK1240">
        <v>91</v>
      </c>
      <c r="AL1240" t="s">
        <v>88</v>
      </c>
      <c r="AM1240" t="s">
        <v>89</v>
      </c>
      <c r="AN1240" t="s">
        <v>90</v>
      </c>
      <c r="AO1240" t="s">
        <v>20887</v>
      </c>
      <c r="AP1240" t="s">
        <v>20888</v>
      </c>
      <c r="AQ1240" t="s">
        <v>74</v>
      </c>
      <c r="AR1240" t="s">
        <v>20889</v>
      </c>
      <c r="AS1240" t="s">
        <v>20890</v>
      </c>
      <c r="AT1240" t="s">
        <v>1447</v>
      </c>
      <c r="AU1240">
        <v>2022</v>
      </c>
      <c r="AV1240">
        <v>47</v>
      </c>
      <c r="AW1240">
        <v>3</v>
      </c>
      <c r="AX1240" t="s">
        <v>74</v>
      </c>
      <c r="AY1240" t="s">
        <v>74</v>
      </c>
      <c r="AZ1240" t="s">
        <v>456</v>
      </c>
      <c r="BA1240" t="s">
        <v>74</v>
      </c>
      <c r="BB1240">
        <v>355</v>
      </c>
      <c r="BC1240">
        <v>372</v>
      </c>
      <c r="BD1240" t="s">
        <v>74</v>
      </c>
      <c r="BE1240" t="s">
        <v>20891</v>
      </c>
      <c r="BF1240" t="str">
        <f>HYPERLINK("http://dx.doi.org/10.1080/17439884.2022.2068575","http://dx.doi.org/10.1080/17439884.2022.2068575")</f>
        <v>http://dx.doi.org/10.1080/17439884.2022.2068575</v>
      </c>
      <c r="BG1240" t="s">
        <v>74</v>
      </c>
      <c r="BH1240" t="s">
        <v>9082</v>
      </c>
      <c r="BI1240">
        <v>18</v>
      </c>
      <c r="BJ1240" t="s">
        <v>787</v>
      </c>
      <c r="BK1240" t="s">
        <v>99</v>
      </c>
      <c r="BL1240" t="s">
        <v>787</v>
      </c>
      <c r="BM1240" t="s">
        <v>20892</v>
      </c>
      <c r="BN1240" t="s">
        <v>74</v>
      </c>
      <c r="BO1240" t="s">
        <v>74</v>
      </c>
      <c r="BP1240" t="s">
        <v>74</v>
      </c>
      <c r="BQ1240" t="s">
        <v>74</v>
      </c>
      <c r="BR1240" t="s">
        <v>102</v>
      </c>
      <c r="BS1240" t="s">
        <v>20893</v>
      </c>
      <c r="BT1240" t="str">
        <f>HYPERLINK("https%3A%2F%2Fwww.webofscience.com%2Fwos%2Fwoscc%2Ffull-record%2FWOS:000790313200001","View Full Record in Web of Science")</f>
        <v>View Full Record in Web of Science</v>
      </c>
    </row>
    <row r="1241" spans="1:72" x14ac:dyDescent="0.35">
      <c r="A1241" t="s">
        <v>72</v>
      </c>
      <c r="B1241" t="s">
        <v>20894</v>
      </c>
      <c r="C1241" t="s">
        <v>74</v>
      </c>
      <c r="D1241" t="s">
        <v>74</v>
      </c>
      <c r="E1241" t="s">
        <v>74</v>
      </c>
      <c r="F1241" t="s">
        <v>20895</v>
      </c>
      <c r="G1241" t="s">
        <v>74</v>
      </c>
      <c r="H1241" t="s">
        <v>74</v>
      </c>
      <c r="I1241" t="s">
        <v>20896</v>
      </c>
      <c r="J1241" t="s">
        <v>15861</v>
      </c>
      <c r="K1241" t="s">
        <v>74</v>
      </c>
      <c r="L1241" t="s">
        <v>74</v>
      </c>
      <c r="M1241" t="s">
        <v>3503</v>
      </c>
      <c r="N1241" t="s">
        <v>108</v>
      </c>
      <c r="O1241" t="s">
        <v>74</v>
      </c>
      <c r="P1241" t="s">
        <v>74</v>
      </c>
      <c r="Q1241" t="s">
        <v>74</v>
      </c>
      <c r="R1241" t="s">
        <v>74</v>
      </c>
      <c r="S1241" t="s">
        <v>74</v>
      </c>
      <c r="T1241" t="s">
        <v>20897</v>
      </c>
      <c r="U1241" t="s">
        <v>20898</v>
      </c>
      <c r="V1241" t="s">
        <v>20899</v>
      </c>
      <c r="W1241" t="s">
        <v>20900</v>
      </c>
      <c r="X1241" t="s">
        <v>9809</v>
      </c>
      <c r="Y1241" t="s">
        <v>20901</v>
      </c>
      <c r="Z1241" t="s">
        <v>20902</v>
      </c>
      <c r="AA1241" t="s">
        <v>20903</v>
      </c>
      <c r="AB1241" t="s">
        <v>20904</v>
      </c>
      <c r="AC1241" t="s">
        <v>74</v>
      </c>
      <c r="AD1241" t="s">
        <v>74</v>
      </c>
      <c r="AE1241" t="s">
        <v>74</v>
      </c>
      <c r="AF1241" t="s">
        <v>74</v>
      </c>
      <c r="AG1241">
        <v>46</v>
      </c>
      <c r="AH1241">
        <v>14</v>
      </c>
      <c r="AI1241">
        <v>15</v>
      </c>
      <c r="AJ1241">
        <v>23</v>
      </c>
      <c r="AK1241">
        <v>75</v>
      </c>
      <c r="AL1241" t="s">
        <v>15870</v>
      </c>
      <c r="AM1241" t="s">
        <v>15871</v>
      </c>
      <c r="AN1241" t="s">
        <v>15872</v>
      </c>
      <c r="AO1241" t="s">
        <v>15873</v>
      </c>
      <c r="AP1241" t="s">
        <v>15874</v>
      </c>
      <c r="AQ1241" t="s">
        <v>74</v>
      </c>
      <c r="AR1241" t="s">
        <v>15861</v>
      </c>
      <c r="AS1241" t="s">
        <v>15875</v>
      </c>
      <c r="AT1241" t="s">
        <v>930</v>
      </c>
      <c r="AU1241">
        <v>2023</v>
      </c>
      <c r="AV1241">
        <v>31</v>
      </c>
      <c r="AW1241">
        <v>75</v>
      </c>
      <c r="AX1241" t="s">
        <v>74</v>
      </c>
      <c r="AY1241" t="s">
        <v>74</v>
      </c>
      <c r="AZ1241" t="s">
        <v>74</v>
      </c>
      <c r="BA1241" t="s">
        <v>74</v>
      </c>
      <c r="BB1241">
        <v>49</v>
      </c>
      <c r="BC1241">
        <v>60</v>
      </c>
      <c r="BD1241" t="s">
        <v>74</v>
      </c>
      <c r="BE1241" t="s">
        <v>20905</v>
      </c>
      <c r="BF1241" t="str">
        <f>HYPERLINK("http://dx.doi.org/10.3916/C75-2023-04","http://dx.doi.org/10.3916/C75-2023-04")</f>
        <v>http://dx.doi.org/10.3916/C75-2023-04</v>
      </c>
      <c r="BG1241" t="s">
        <v>74</v>
      </c>
      <c r="BH1241" t="s">
        <v>74</v>
      </c>
      <c r="BI1241">
        <v>12</v>
      </c>
      <c r="BJ1241" t="s">
        <v>15877</v>
      </c>
      <c r="BK1241" t="s">
        <v>99</v>
      </c>
      <c r="BL1241" t="s">
        <v>15877</v>
      </c>
      <c r="BM1241" t="s">
        <v>20906</v>
      </c>
      <c r="BN1241" t="s">
        <v>74</v>
      </c>
      <c r="BO1241" t="s">
        <v>5678</v>
      </c>
      <c r="BP1241" t="s">
        <v>74</v>
      </c>
      <c r="BQ1241" t="s">
        <v>74</v>
      </c>
      <c r="BR1241" t="s">
        <v>102</v>
      </c>
      <c r="BS1241" t="s">
        <v>20907</v>
      </c>
      <c r="BT1241" t="str">
        <f>HYPERLINK("https%3A%2F%2Fwww.webofscience.com%2Fwos%2Fwoscc%2Ffull-record%2FWOS:000971989200004","View Full Record in Web of Science")</f>
        <v>View Full Record in Web of Science</v>
      </c>
    </row>
    <row r="1242" spans="1:72" x14ac:dyDescent="0.35">
      <c r="A1242" t="s">
        <v>128</v>
      </c>
      <c r="B1242" t="s">
        <v>20908</v>
      </c>
      <c r="C1242" t="s">
        <v>74</v>
      </c>
      <c r="D1242" t="s">
        <v>74</v>
      </c>
      <c r="E1242" t="s">
        <v>702</v>
      </c>
      <c r="F1242" t="s">
        <v>20909</v>
      </c>
      <c r="G1242" t="s">
        <v>74</v>
      </c>
      <c r="H1242" t="s">
        <v>74</v>
      </c>
      <c r="I1242" t="s">
        <v>20910</v>
      </c>
      <c r="J1242" t="s">
        <v>20911</v>
      </c>
      <c r="K1242" t="s">
        <v>74</v>
      </c>
      <c r="L1242" t="s">
        <v>74</v>
      </c>
      <c r="M1242" t="s">
        <v>78</v>
      </c>
      <c r="N1242" t="s">
        <v>135</v>
      </c>
      <c r="O1242" t="s">
        <v>20912</v>
      </c>
      <c r="P1242" t="s">
        <v>20913</v>
      </c>
      <c r="Q1242" t="s">
        <v>20914</v>
      </c>
      <c r="R1242" t="s">
        <v>20915</v>
      </c>
      <c r="S1242" t="s">
        <v>74</v>
      </c>
      <c r="T1242" t="s">
        <v>20916</v>
      </c>
      <c r="U1242" t="s">
        <v>74</v>
      </c>
      <c r="V1242" t="s">
        <v>20917</v>
      </c>
      <c r="W1242" t="s">
        <v>20918</v>
      </c>
      <c r="X1242" t="s">
        <v>5390</v>
      </c>
      <c r="Y1242" t="s">
        <v>20919</v>
      </c>
      <c r="Z1242" t="s">
        <v>20920</v>
      </c>
      <c r="AA1242" t="s">
        <v>74</v>
      </c>
      <c r="AB1242" t="s">
        <v>74</v>
      </c>
      <c r="AC1242" t="s">
        <v>20921</v>
      </c>
      <c r="AD1242" t="s">
        <v>20921</v>
      </c>
      <c r="AE1242" t="s">
        <v>20922</v>
      </c>
      <c r="AF1242" t="s">
        <v>74</v>
      </c>
      <c r="AG1242">
        <v>35</v>
      </c>
      <c r="AH1242">
        <v>1</v>
      </c>
      <c r="AI1242">
        <v>1</v>
      </c>
      <c r="AJ1242">
        <v>1</v>
      </c>
      <c r="AK1242">
        <v>1</v>
      </c>
      <c r="AL1242" t="s">
        <v>718</v>
      </c>
      <c r="AM1242" t="s">
        <v>666</v>
      </c>
      <c r="AN1242" t="s">
        <v>719</v>
      </c>
      <c r="AO1242" t="s">
        <v>74</v>
      </c>
      <c r="AP1242" t="s">
        <v>74</v>
      </c>
      <c r="AQ1242" t="s">
        <v>20923</v>
      </c>
      <c r="AR1242" t="s">
        <v>74</v>
      </c>
      <c r="AS1242" t="s">
        <v>74</v>
      </c>
      <c r="AT1242" t="s">
        <v>74</v>
      </c>
      <c r="AU1242">
        <v>2023</v>
      </c>
      <c r="AV1242" t="s">
        <v>74</v>
      </c>
      <c r="AW1242" t="s">
        <v>74</v>
      </c>
      <c r="AX1242" t="s">
        <v>74</v>
      </c>
      <c r="AY1242" t="s">
        <v>74</v>
      </c>
      <c r="AZ1242" t="s">
        <v>74</v>
      </c>
      <c r="BA1242" t="s">
        <v>74</v>
      </c>
      <c r="BB1242" t="s">
        <v>74</v>
      </c>
      <c r="BC1242" t="s">
        <v>74</v>
      </c>
      <c r="BD1242">
        <v>20</v>
      </c>
      <c r="BE1242" t="s">
        <v>20924</v>
      </c>
      <c r="BF1242" t="str">
        <f>HYPERLINK("http://dx.doi.org/10.1145/3565066.3608705","http://dx.doi.org/10.1145/3565066.3608705")</f>
        <v>http://dx.doi.org/10.1145/3565066.3608705</v>
      </c>
      <c r="BG1242" t="s">
        <v>74</v>
      </c>
      <c r="BH1242" t="s">
        <v>74</v>
      </c>
      <c r="BI1242">
        <v>6</v>
      </c>
      <c r="BJ1242" t="s">
        <v>20925</v>
      </c>
      <c r="BK1242" t="s">
        <v>723</v>
      </c>
      <c r="BL1242" t="s">
        <v>210</v>
      </c>
      <c r="BM1242" t="s">
        <v>20926</v>
      </c>
      <c r="BN1242" t="s">
        <v>74</v>
      </c>
      <c r="BO1242" t="s">
        <v>74</v>
      </c>
      <c r="BP1242" t="s">
        <v>74</v>
      </c>
      <c r="BQ1242" t="s">
        <v>74</v>
      </c>
      <c r="BR1242" t="s">
        <v>102</v>
      </c>
      <c r="BS1242" t="s">
        <v>20927</v>
      </c>
      <c r="BT1242" t="str">
        <f>HYPERLINK("https%3A%2F%2Fwww.webofscience.com%2Fwos%2Fwoscc%2Ffull-record%2FWOS:001143735000020","View Full Record in Web of Science")</f>
        <v>View Full Record in Web of Science</v>
      </c>
    </row>
    <row r="1243" spans="1:72" x14ac:dyDescent="0.35">
      <c r="A1243" t="s">
        <v>72</v>
      </c>
      <c r="B1243" t="s">
        <v>20928</v>
      </c>
      <c r="C1243" t="s">
        <v>74</v>
      </c>
      <c r="D1243" t="s">
        <v>74</v>
      </c>
      <c r="E1243" t="s">
        <v>74</v>
      </c>
      <c r="F1243" t="s">
        <v>20929</v>
      </c>
      <c r="G1243" t="s">
        <v>74</v>
      </c>
      <c r="H1243" t="s">
        <v>74</v>
      </c>
      <c r="I1243" t="s">
        <v>20930</v>
      </c>
      <c r="J1243" t="s">
        <v>1603</v>
      </c>
      <c r="K1243" t="s">
        <v>74</v>
      </c>
      <c r="L1243" t="s">
        <v>74</v>
      </c>
      <c r="M1243" t="s">
        <v>78</v>
      </c>
      <c r="N1243" t="s">
        <v>108</v>
      </c>
      <c r="O1243" t="s">
        <v>74</v>
      </c>
      <c r="P1243" t="s">
        <v>74</v>
      </c>
      <c r="Q1243" t="s">
        <v>74</v>
      </c>
      <c r="R1243" t="s">
        <v>74</v>
      </c>
      <c r="S1243" t="s">
        <v>74</v>
      </c>
      <c r="T1243" t="s">
        <v>20931</v>
      </c>
      <c r="U1243" t="s">
        <v>20932</v>
      </c>
      <c r="V1243" t="s">
        <v>20933</v>
      </c>
      <c r="W1243" t="s">
        <v>20934</v>
      </c>
      <c r="X1243" t="s">
        <v>20935</v>
      </c>
      <c r="Y1243" t="s">
        <v>20936</v>
      </c>
      <c r="Z1243" t="s">
        <v>20937</v>
      </c>
      <c r="AA1243" t="s">
        <v>20938</v>
      </c>
      <c r="AB1243" t="s">
        <v>20939</v>
      </c>
      <c r="AC1243" t="s">
        <v>74</v>
      </c>
      <c r="AD1243" t="s">
        <v>74</v>
      </c>
      <c r="AE1243" t="s">
        <v>74</v>
      </c>
      <c r="AF1243" t="s">
        <v>74</v>
      </c>
      <c r="AG1243">
        <v>86</v>
      </c>
      <c r="AH1243">
        <v>0</v>
      </c>
      <c r="AI1243">
        <v>0</v>
      </c>
      <c r="AJ1243">
        <v>26</v>
      </c>
      <c r="AK1243">
        <v>26</v>
      </c>
      <c r="AL1243" t="s">
        <v>516</v>
      </c>
      <c r="AM1243" t="s">
        <v>517</v>
      </c>
      <c r="AN1243" t="s">
        <v>518</v>
      </c>
      <c r="AO1243" t="s">
        <v>1612</v>
      </c>
      <c r="AP1243" t="s">
        <v>1613</v>
      </c>
      <c r="AQ1243" t="s">
        <v>74</v>
      </c>
      <c r="AR1243" t="s">
        <v>1603</v>
      </c>
      <c r="AS1243" t="s">
        <v>1614</v>
      </c>
      <c r="AT1243" t="s">
        <v>257</v>
      </c>
      <c r="AU1243">
        <v>2024</v>
      </c>
      <c r="AV1243">
        <v>49</v>
      </c>
      <c r="AW1243" t="s">
        <v>74</v>
      </c>
      <c r="AX1243" t="s">
        <v>74</v>
      </c>
      <c r="AY1243" t="s">
        <v>74</v>
      </c>
      <c r="AZ1243" t="s">
        <v>74</v>
      </c>
      <c r="BA1243" t="s">
        <v>74</v>
      </c>
      <c r="BB1243" t="s">
        <v>74</v>
      </c>
      <c r="BC1243" t="s">
        <v>74</v>
      </c>
      <c r="BD1243">
        <v>101712</v>
      </c>
      <c r="BE1243" t="s">
        <v>20940</v>
      </c>
      <c r="BF1243" t="str">
        <f>HYPERLINK("http://dx.doi.org/10.1016/j.bodyim.2024.101712","http://dx.doi.org/10.1016/j.bodyim.2024.101712")</f>
        <v>http://dx.doi.org/10.1016/j.bodyim.2024.101712</v>
      </c>
      <c r="BG1243" t="s">
        <v>74</v>
      </c>
      <c r="BH1243" t="s">
        <v>2410</v>
      </c>
      <c r="BI1243">
        <v>11</v>
      </c>
      <c r="BJ1243" t="s">
        <v>1616</v>
      </c>
      <c r="BK1243" t="s">
        <v>99</v>
      </c>
      <c r="BL1243" t="s">
        <v>1617</v>
      </c>
      <c r="BM1243" t="s">
        <v>20941</v>
      </c>
      <c r="BN1243">
        <v>38636388</v>
      </c>
      <c r="BO1243" t="s">
        <v>74</v>
      </c>
      <c r="BP1243" t="s">
        <v>74</v>
      </c>
      <c r="BQ1243" t="s">
        <v>74</v>
      </c>
      <c r="BR1243" t="s">
        <v>102</v>
      </c>
      <c r="BS1243" t="s">
        <v>20942</v>
      </c>
      <c r="BT1243" t="str">
        <f>HYPERLINK("https%3A%2F%2Fwww.webofscience.com%2Fwos%2Fwoscc%2Ffull-record%2FWOS:001231190000001","View Full Record in Web of Science")</f>
        <v>View Full Record in Web of Science</v>
      </c>
    </row>
    <row r="1244" spans="1:72" x14ac:dyDescent="0.35">
      <c r="A1244" t="s">
        <v>72</v>
      </c>
      <c r="B1244" t="s">
        <v>20943</v>
      </c>
      <c r="C1244" t="s">
        <v>74</v>
      </c>
      <c r="D1244" t="s">
        <v>74</v>
      </c>
      <c r="E1244" t="s">
        <v>74</v>
      </c>
      <c r="F1244" t="s">
        <v>20944</v>
      </c>
      <c r="G1244" t="s">
        <v>74</v>
      </c>
      <c r="H1244" t="s">
        <v>74</v>
      </c>
      <c r="I1244" t="s">
        <v>20945</v>
      </c>
      <c r="J1244" t="s">
        <v>6082</v>
      </c>
      <c r="K1244" t="s">
        <v>74</v>
      </c>
      <c r="L1244" t="s">
        <v>74</v>
      </c>
      <c r="M1244" t="s">
        <v>78</v>
      </c>
      <c r="N1244" t="s">
        <v>108</v>
      </c>
      <c r="O1244" t="s">
        <v>74</v>
      </c>
      <c r="P1244" t="s">
        <v>74</v>
      </c>
      <c r="Q1244" t="s">
        <v>74</v>
      </c>
      <c r="R1244" t="s">
        <v>74</v>
      </c>
      <c r="S1244" t="s">
        <v>74</v>
      </c>
      <c r="T1244" t="s">
        <v>20946</v>
      </c>
      <c r="U1244" t="s">
        <v>20947</v>
      </c>
      <c r="V1244" t="s">
        <v>20948</v>
      </c>
      <c r="W1244" t="s">
        <v>20949</v>
      </c>
      <c r="X1244" t="s">
        <v>20950</v>
      </c>
      <c r="Y1244" t="s">
        <v>20951</v>
      </c>
      <c r="Z1244" t="s">
        <v>20952</v>
      </c>
      <c r="AA1244" t="s">
        <v>74</v>
      </c>
      <c r="AB1244" t="s">
        <v>74</v>
      </c>
      <c r="AC1244" t="s">
        <v>20953</v>
      </c>
      <c r="AD1244" t="s">
        <v>20953</v>
      </c>
      <c r="AE1244" t="s">
        <v>20954</v>
      </c>
      <c r="AF1244" t="s">
        <v>74</v>
      </c>
      <c r="AG1244">
        <v>52</v>
      </c>
      <c r="AH1244">
        <v>2</v>
      </c>
      <c r="AI1244">
        <v>2</v>
      </c>
      <c r="AJ1244">
        <v>35</v>
      </c>
      <c r="AK1244">
        <v>76</v>
      </c>
      <c r="AL1244" t="s">
        <v>226</v>
      </c>
      <c r="AM1244" t="s">
        <v>227</v>
      </c>
      <c r="AN1244" t="s">
        <v>228</v>
      </c>
      <c r="AO1244" t="s">
        <v>6092</v>
      </c>
      <c r="AP1244" t="s">
        <v>74</v>
      </c>
      <c r="AQ1244" t="s">
        <v>74</v>
      </c>
      <c r="AR1244" t="s">
        <v>6093</v>
      </c>
      <c r="AS1244" t="s">
        <v>6094</v>
      </c>
      <c r="AT1244" t="s">
        <v>74</v>
      </c>
      <c r="AU1244">
        <v>2023</v>
      </c>
      <c r="AV1244">
        <v>9</v>
      </c>
      <c r="AW1244" t="s">
        <v>74</v>
      </c>
      <c r="AX1244" t="s">
        <v>74</v>
      </c>
      <c r="AY1244" t="s">
        <v>74</v>
      </c>
      <c r="AZ1244" t="s">
        <v>74</v>
      </c>
      <c r="BA1244" t="s">
        <v>74</v>
      </c>
      <c r="BB1244" t="s">
        <v>74</v>
      </c>
      <c r="BC1244" t="s">
        <v>74</v>
      </c>
      <c r="BD1244">
        <v>2.0552076231219116E+16</v>
      </c>
      <c r="BE1244" t="s">
        <v>20955</v>
      </c>
      <c r="BF1244" t="str">
        <f>HYPERLINK("http://dx.doi.org/10.1177/20552076231219116","http://dx.doi.org/10.1177/20552076231219116")</f>
        <v>http://dx.doi.org/10.1177/20552076231219116</v>
      </c>
      <c r="BG1244" t="s">
        <v>74</v>
      </c>
      <c r="BH1244" t="s">
        <v>74</v>
      </c>
      <c r="BI1244">
        <v>14</v>
      </c>
      <c r="BJ1244" t="s">
        <v>6096</v>
      </c>
      <c r="BK1244" t="s">
        <v>182</v>
      </c>
      <c r="BL1244" t="s">
        <v>6097</v>
      </c>
      <c r="BM1244" t="s">
        <v>20956</v>
      </c>
      <c r="BN1244">
        <v>38107983</v>
      </c>
      <c r="BO1244" t="s">
        <v>235</v>
      </c>
      <c r="BP1244" t="s">
        <v>74</v>
      </c>
      <c r="BQ1244" t="s">
        <v>74</v>
      </c>
      <c r="BR1244" t="s">
        <v>102</v>
      </c>
      <c r="BS1244" t="s">
        <v>20957</v>
      </c>
      <c r="BT1244" t="str">
        <f>HYPERLINK("https%3A%2F%2Fwww.webofscience.com%2Fwos%2Fwoscc%2Ffull-record%2FWOS:001124709600001","View Full Record in Web of Science")</f>
        <v>View Full Record in Web of Science</v>
      </c>
    </row>
    <row r="1245" spans="1:72" x14ac:dyDescent="0.35">
      <c r="A1245" t="s">
        <v>72</v>
      </c>
      <c r="B1245" t="s">
        <v>20958</v>
      </c>
      <c r="C1245" t="s">
        <v>74</v>
      </c>
      <c r="D1245" t="s">
        <v>74</v>
      </c>
      <c r="E1245" t="s">
        <v>74</v>
      </c>
      <c r="F1245" t="s">
        <v>20959</v>
      </c>
      <c r="G1245" t="s">
        <v>74</v>
      </c>
      <c r="H1245" t="s">
        <v>74</v>
      </c>
      <c r="I1245" t="s">
        <v>20960</v>
      </c>
      <c r="J1245" t="s">
        <v>20961</v>
      </c>
      <c r="K1245" t="s">
        <v>74</v>
      </c>
      <c r="L1245" t="s">
        <v>74</v>
      </c>
      <c r="M1245" t="s">
        <v>78</v>
      </c>
      <c r="N1245" t="s">
        <v>108</v>
      </c>
      <c r="O1245" t="s">
        <v>74</v>
      </c>
      <c r="P1245" t="s">
        <v>74</v>
      </c>
      <c r="Q1245" t="s">
        <v>74</v>
      </c>
      <c r="R1245" t="s">
        <v>74</v>
      </c>
      <c r="S1245" t="s">
        <v>74</v>
      </c>
      <c r="T1245" t="s">
        <v>20962</v>
      </c>
      <c r="U1245" t="s">
        <v>1776</v>
      </c>
      <c r="V1245" t="s">
        <v>20963</v>
      </c>
      <c r="W1245" t="s">
        <v>20964</v>
      </c>
      <c r="X1245" t="s">
        <v>20965</v>
      </c>
      <c r="Y1245" t="s">
        <v>20966</v>
      </c>
      <c r="Z1245" t="s">
        <v>20967</v>
      </c>
      <c r="AA1245" t="s">
        <v>20968</v>
      </c>
      <c r="AB1245" t="s">
        <v>74</v>
      </c>
      <c r="AC1245" t="s">
        <v>74</v>
      </c>
      <c r="AD1245" t="s">
        <v>74</v>
      </c>
      <c r="AE1245" t="s">
        <v>74</v>
      </c>
      <c r="AF1245" t="s">
        <v>74</v>
      </c>
      <c r="AG1245">
        <v>57</v>
      </c>
      <c r="AH1245">
        <v>0</v>
      </c>
      <c r="AI1245">
        <v>0</v>
      </c>
      <c r="AJ1245">
        <v>2</v>
      </c>
      <c r="AK1245">
        <v>2</v>
      </c>
      <c r="AL1245" t="s">
        <v>1195</v>
      </c>
      <c r="AM1245" t="s">
        <v>1196</v>
      </c>
      <c r="AN1245" t="s">
        <v>1197</v>
      </c>
      <c r="AO1245" t="s">
        <v>74</v>
      </c>
      <c r="AP1245" t="s">
        <v>20969</v>
      </c>
      <c r="AQ1245" t="s">
        <v>74</v>
      </c>
      <c r="AR1245" t="s">
        <v>20961</v>
      </c>
      <c r="AS1245" t="s">
        <v>20970</v>
      </c>
      <c r="AT1245" t="s">
        <v>178</v>
      </c>
      <c r="AU1245">
        <v>2024</v>
      </c>
      <c r="AV1245">
        <v>14</v>
      </c>
      <c r="AW1245">
        <v>2</v>
      </c>
      <c r="AX1245" t="s">
        <v>74</v>
      </c>
      <c r="AY1245" t="s">
        <v>74</v>
      </c>
      <c r="AZ1245" t="s">
        <v>74</v>
      </c>
      <c r="BA1245" t="s">
        <v>74</v>
      </c>
      <c r="BB1245" t="s">
        <v>74</v>
      </c>
      <c r="BC1245" t="s">
        <v>74</v>
      </c>
      <c r="BD1245">
        <v>30</v>
      </c>
      <c r="BE1245" t="s">
        <v>20971</v>
      </c>
      <c r="BF1245" t="str">
        <f>HYPERLINK("http://dx.doi.org/10.3390/soc14020030","http://dx.doi.org/10.3390/soc14020030")</f>
        <v>http://dx.doi.org/10.3390/soc14020030</v>
      </c>
      <c r="BG1245" t="s">
        <v>74</v>
      </c>
      <c r="BH1245" t="s">
        <v>74</v>
      </c>
      <c r="BI1245">
        <v>15</v>
      </c>
      <c r="BJ1245" t="s">
        <v>4573</v>
      </c>
      <c r="BK1245" t="s">
        <v>125</v>
      </c>
      <c r="BL1245" t="s">
        <v>4573</v>
      </c>
      <c r="BM1245" t="s">
        <v>20972</v>
      </c>
      <c r="BN1245" t="s">
        <v>74</v>
      </c>
      <c r="BO1245" t="s">
        <v>235</v>
      </c>
      <c r="BP1245" t="s">
        <v>74</v>
      </c>
      <c r="BQ1245" t="s">
        <v>74</v>
      </c>
      <c r="BR1245" t="s">
        <v>102</v>
      </c>
      <c r="BS1245" t="s">
        <v>20973</v>
      </c>
      <c r="BT1245" t="str">
        <f>HYPERLINK("https%3A%2F%2Fwww.webofscience.com%2Fwos%2Fwoscc%2Ffull-record%2FWOS:001172429100001","View Full Record in Web of Science")</f>
        <v>View Full Record in Web of Science</v>
      </c>
    </row>
    <row r="1246" spans="1:72" x14ac:dyDescent="0.35">
      <c r="A1246" t="s">
        <v>72</v>
      </c>
      <c r="B1246" t="s">
        <v>20974</v>
      </c>
      <c r="C1246" t="s">
        <v>74</v>
      </c>
      <c r="D1246" t="s">
        <v>74</v>
      </c>
      <c r="E1246" t="s">
        <v>74</v>
      </c>
      <c r="F1246" t="s">
        <v>20975</v>
      </c>
      <c r="G1246" t="s">
        <v>74</v>
      </c>
      <c r="H1246" t="s">
        <v>74</v>
      </c>
      <c r="I1246" t="s">
        <v>20976</v>
      </c>
      <c r="J1246" t="s">
        <v>20977</v>
      </c>
      <c r="K1246" t="s">
        <v>74</v>
      </c>
      <c r="L1246" t="s">
        <v>74</v>
      </c>
      <c r="M1246" t="s">
        <v>78</v>
      </c>
      <c r="N1246" t="s">
        <v>108</v>
      </c>
      <c r="O1246" t="s">
        <v>74</v>
      </c>
      <c r="P1246" t="s">
        <v>74</v>
      </c>
      <c r="Q1246" t="s">
        <v>74</v>
      </c>
      <c r="R1246" t="s">
        <v>74</v>
      </c>
      <c r="S1246" t="s">
        <v>74</v>
      </c>
      <c r="T1246" t="s">
        <v>20978</v>
      </c>
      <c r="U1246" t="s">
        <v>74</v>
      </c>
      <c r="V1246" t="s">
        <v>20979</v>
      </c>
      <c r="W1246" t="s">
        <v>20980</v>
      </c>
      <c r="X1246" t="s">
        <v>20981</v>
      </c>
      <c r="Y1246" t="s">
        <v>6022</v>
      </c>
      <c r="Z1246" t="s">
        <v>381</v>
      </c>
      <c r="AA1246" t="s">
        <v>20982</v>
      </c>
      <c r="AB1246" t="s">
        <v>74</v>
      </c>
      <c r="AC1246" t="s">
        <v>20983</v>
      </c>
      <c r="AD1246" t="s">
        <v>20984</v>
      </c>
      <c r="AE1246" t="s">
        <v>20985</v>
      </c>
      <c r="AF1246" t="s">
        <v>74</v>
      </c>
      <c r="AG1246">
        <v>38</v>
      </c>
      <c r="AH1246">
        <v>0</v>
      </c>
      <c r="AI1246">
        <v>0</v>
      </c>
      <c r="AJ1246">
        <v>3</v>
      </c>
      <c r="AK1246">
        <v>3</v>
      </c>
      <c r="AL1246" t="s">
        <v>803</v>
      </c>
      <c r="AM1246" t="s">
        <v>227</v>
      </c>
      <c r="AN1246" t="s">
        <v>804</v>
      </c>
      <c r="AO1246" t="s">
        <v>74</v>
      </c>
      <c r="AP1246" t="s">
        <v>20986</v>
      </c>
      <c r="AQ1246" t="s">
        <v>74</v>
      </c>
      <c r="AR1246" t="s">
        <v>20987</v>
      </c>
      <c r="AS1246" t="s">
        <v>20988</v>
      </c>
      <c r="AT1246" t="s">
        <v>9388</v>
      </c>
      <c r="AU1246">
        <v>2024</v>
      </c>
      <c r="AV1246">
        <v>17</v>
      </c>
      <c r="AW1246">
        <v>1</v>
      </c>
      <c r="AX1246" t="s">
        <v>74</v>
      </c>
      <c r="AY1246" t="s">
        <v>74</v>
      </c>
      <c r="AZ1246" t="s">
        <v>74</v>
      </c>
      <c r="BA1246" t="s">
        <v>74</v>
      </c>
      <c r="BB1246" t="s">
        <v>74</v>
      </c>
      <c r="BC1246" t="s">
        <v>74</v>
      </c>
      <c r="BD1246">
        <v>189</v>
      </c>
      <c r="BE1246" t="s">
        <v>20989</v>
      </c>
      <c r="BF1246" t="str">
        <f>HYPERLINK("http://dx.doi.org/10.1186/s13104-024-06833-5","http://dx.doi.org/10.1186/s13104-024-06833-5")</f>
        <v>http://dx.doi.org/10.1186/s13104-024-06833-5</v>
      </c>
      <c r="BG1246" t="s">
        <v>74</v>
      </c>
      <c r="BH1246" t="s">
        <v>74</v>
      </c>
      <c r="BI1246">
        <v>7</v>
      </c>
      <c r="BJ1246" t="s">
        <v>20990</v>
      </c>
      <c r="BK1246" t="s">
        <v>125</v>
      </c>
      <c r="BL1246" t="s">
        <v>20991</v>
      </c>
      <c r="BM1246" t="s">
        <v>20992</v>
      </c>
      <c r="BN1246">
        <v>38970143</v>
      </c>
      <c r="BO1246" t="s">
        <v>394</v>
      </c>
      <c r="BP1246" t="s">
        <v>74</v>
      </c>
      <c r="BQ1246" t="s">
        <v>74</v>
      </c>
      <c r="BR1246" t="s">
        <v>102</v>
      </c>
      <c r="BS1246" t="s">
        <v>20993</v>
      </c>
      <c r="BT1246" t="str">
        <f>HYPERLINK("https%3A%2F%2Fwww.webofscience.com%2Fwos%2Fwoscc%2Ffull-record%2FWOS:001263335400001","View Full Record in Web of Science")</f>
        <v>View Full Record in Web of Science</v>
      </c>
    </row>
    <row r="1247" spans="1:72" x14ac:dyDescent="0.35">
      <c r="A1247" t="s">
        <v>72</v>
      </c>
      <c r="B1247" t="s">
        <v>20994</v>
      </c>
      <c r="C1247" t="s">
        <v>74</v>
      </c>
      <c r="D1247" t="s">
        <v>74</v>
      </c>
      <c r="E1247" t="s">
        <v>74</v>
      </c>
      <c r="F1247" t="s">
        <v>20995</v>
      </c>
      <c r="G1247" t="s">
        <v>74</v>
      </c>
      <c r="H1247" t="s">
        <v>74</v>
      </c>
      <c r="I1247" t="s">
        <v>20996</v>
      </c>
      <c r="J1247" t="s">
        <v>6063</v>
      </c>
      <c r="K1247" t="s">
        <v>74</v>
      </c>
      <c r="L1247" t="s">
        <v>74</v>
      </c>
      <c r="M1247" t="s">
        <v>78</v>
      </c>
      <c r="N1247" t="s">
        <v>108</v>
      </c>
      <c r="O1247" t="s">
        <v>74</v>
      </c>
      <c r="P1247" t="s">
        <v>74</v>
      </c>
      <c r="Q1247" t="s">
        <v>74</v>
      </c>
      <c r="R1247" t="s">
        <v>74</v>
      </c>
      <c r="S1247" t="s">
        <v>74</v>
      </c>
      <c r="T1247" t="s">
        <v>74</v>
      </c>
      <c r="U1247" t="s">
        <v>20997</v>
      </c>
      <c r="V1247" t="s">
        <v>20998</v>
      </c>
      <c r="W1247" t="s">
        <v>20999</v>
      </c>
      <c r="X1247" t="s">
        <v>21000</v>
      </c>
      <c r="Y1247" t="s">
        <v>21001</v>
      </c>
      <c r="Z1247" t="s">
        <v>21002</v>
      </c>
      <c r="AA1247" t="s">
        <v>21003</v>
      </c>
      <c r="AB1247" t="s">
        <v>21004</v>
      </c>
      <c r="AC1247" t="s">
        <v>74</v>
      </c>
      <c r="AD1247" t="s">
        <v>74</v>
      </c>
      <c r="AE1247" t="s">
        <v>74</v>
      </c>
      <c r="AF1247" t="s">
        <v>74</v>
      </c>
      <c r="AG1247">
        <v>36</v>
      </c>
      <c r="AH1247">
        <v>4</v>
      </c>
      <c r="AI1247">
        <v>4</v>
      </c>
      <c r="AJ1247">
        <v>1</v>
      </c>
      <c r="AK1247">
        <v>2</v>
      </c>
      <c r="AL1247" t="s">
        <v>803</v>
      </c>
      <c r="AM1247" t="s">
        <v>227</v>
      </c>
      <c r="AN1247" t="s">
        <v>804</v>
      </c>
      <c r="AO1247" t="s">
        <v>6071</v>
      </c>
      <c r="AP1247" t="s">
        <v>6072</v>
      </c>
      <c r="AQ1247" t="s">
        <v>74</v>
      </c>
      <c r="AR1247" t="s">
        <v>6073</v>
      </c>
      <c r="AS1247" t="s">
        <v>6074</v>
      </c>
      <c r="AT1247" t="s">
        <v>523</v>
      </c>
      <c r="AU1247">
        <v>2024</v>
      </c>
      <c r="AV1247">
        <v>36</v>
      </c>
      <c r="AW1247">
        <v>7</v>
      </c>
      <c r="AX1247" t="s">
        <v>74</v>
      </c>
      <c r="AY1247" t="s">
        <v>74</v>
      </c>
      <c r="AZ1247" t="s">
        <v>74</v>
      </c>
      <c r="BA1247" t="s">
        <v>74</v>
      </c>
      <c r="BB1247">
        <v>741</v>
      </c>
      <c r="BC1247">
        <v>746</v>
      </c>
      <c r="BD1247" t="s">
        <v>74</v>
      </c>
      <c r="BE1247" t="s">
        <v>21005</v>
      </c>
      <c r="BF1247" t="str">
        <f>HYPERLINK("http://dx.doi.org/10.1038/s41443-023-00726-0","http://dx.doi.org/10.1038/s41443-023-00726-0")</f>
        <v>http://dx.doi.org/10.1038/s41443-023-00726-0</v>
      </c>
      <c r="BG1247" t="s">
        <v>74</v>
      </c>
      <c r="BH1247" t="s">
        <v>1180</v>
      </c>
      <c r="BI1247">
        <v>6</v>
      </c>
      <c r="BJ1247" t="s">
        <v>1908</v>
      </c>
      <c r="BK1247" t="s">
        <v>209</v>
      </c>
      <c r="BL1247" t="s">
        <v>1908</v>
      </c>
      <c r="BM1247" t="s">
        <v>21006</v>
      </c>
      <c r="BN1247">
        <v>37420042</v>
      </c>
      <c r="BO1247" t="s">
        <v>74</v>
      </c>
      <c r="BP1247" t="s">
        <v>74</v>
      </c>
      <c r="BQ1247" t="s">
        <v>74</v>
      </c>
      <c r="BR1247" t="s">
        <v>102</v>
      </c>
      <c r="BS1247" t="s">
        <v>21007</v>
      </c>
      <c r="BT1247" t="str">
        <f>HYPERLINK("https%3A%2F%2Fwww.webofscience.com%2Fwos%2Fwoscc%2Ffull-record%2FWOS:001023974800001","View Full Record in Web of Science")</f>
        <v>View Full Record in Web of Science</v>
      </c>
    </row>
    <row r="1248" spans="1:72" x14ac:dyDescent="0.35">
      <c r="A1248" t="s">
        <v>72</v>
      </c>
      <c r="B1248" t="s">
        <v>21008</v>
      </c>
      <c r="C1248" t="s">
        <v>74</v>
      </c>
      <c r="D1248" t="s">
        <v>74</v>
      </c>
      <c r="E1248" t="s">
        <v>74</v>
      </c>
      <c r="F1248" t="s">
        <v>21009</v>
      </c>
      <c r="G1248" t="s">
        <v>74</v>
      </c>
      <c r="H1248" t="s">
        <v>74</v>
      </c>
      <c r="I1248" t="s">
        <v>21010</v>
      </c>
      <c r="J1248" t="s">
        <v>21011</v>
      </c>
      <c r="K1248" t="s">
        <v>74</v>
      </c>
      <c r="L1248" t="s">
        <v>74</v>
      </c>
      <c r="M1248" t="s">
        <v>78</v>
      </c>
      <c r="N1248" t="s">
        <v>108</v>
      </c>
      <c r="O1248" t="s">
        <v>74</v>
      </c>
      <c r="P1248" t="s">
        <v>74</v>
      </c>
      <c r="Q1248" t="s">
        <v>74</v>
      </c>
      <c r="R1248" t="s">
        <v>74</v>
      </c>
      <c r="S1248" t="s">
        <v>74</v>
      </c>
      <c r="T1248" t="s">
        <v>21012</v>
      </c>
      <c r="U1248" t="s">
        <v>21013</v>
      </c>
      <c r="V1248" t="s">
        <v>21014</v>
      </c>
      <c r="W1248" t="s">
        <v>21015</v>
      </c>
      <c r="X1248" t="s">
        <v>14183</v>
      </c>
      <c r="Y1248" t="s">
        <v>19019</v>
      </c>
      <c r="Z1248" t="s">
        <v>13062</v>
      </c>
      <c r="AA1248" t="s">
        <v>74</v>
      </c>
      <c r="AB1248" t="s">
        <v>13063</v>
      </c>
      <c r="AC1248" t="s">
        <v>74</v>
      </c>
      <c r="AD1248" t="s">
        <v>74</v>
      </c>
      <c r="AE1248" t="s">
        <v>74</v>
      </c>
      <c r="AF1248" t="s">
        <v>74</v>
      </c>
      <c r="AG1248">
        <v>21</v>
      </c>
      <c r="AH1248">
        <v>6</v>
      </c>
      <c r="AI1248">
        <v>6</v>
      </c>
      <c r="AJ1248">
        <v>0</v>
      </c>
      <c r="AK1248">
        <v>19</v>
      </c>
      <c r="AL1248" t="s">
        <v>3489</v>
      </c>
      <c r="AM1248" t="s">
        <v>3490</v>
      </c>
      <c r="AN1248" t="s">
        <v>3491</v>
      </c>
      <c r="AO1248" t="s">
        <v>21016</v>
      </c>
      <c r="AP1248" t="s">
        <v>21017</v>
      </c>
      <c r="AQ1248" t="s">
        <v>74</v>
      </c>
      <c r="AR1248" t="s">
        <v>21018</v>
      </c>
      <c r="AS1248" t="s">
        <v>21019</v>
      </c>
      <c r="AT1248" t="s">
        <v>273</v>
      </c>
      <c r="AU1248">
        <v>2021</v>
      </c>
      <c r="AV1248">
        <v>12</v>
      </c>
      <c r="AW1248">
        <v>3</v>
      </c>
      <c r="AX1248" t="s">
        <v>74</v>
      </c>
      <c r="AY1248" t="s">
        <v>74</v>
      </c>
      <c r="AZ1248" t="s">
        <v>74</v>
      </c>
      <c r="BA1248" t="s">
        <v>74</v>
      </c>
      <c r="BB1248">
        <v>489</v>
      </c>
      <c r="BC1248">
        <v>492</v>
      </c>
      <c r="BD1248" t="s">
        <v>74</v>
      </c>
      <c r="BE1248" t="s">
        <v>21020</v>
      </c>
      <c r="BF1248" t="str">
        <f>HYPERLINK("http://dx.doi.org/10.1007/s12687-021-00526-3","http://dx.doi.org/10.1007/s12687-021-00526-3")</f>
        <v>http://dx.doi.org/10.1007/s12687-021-00526-3</v>
      </c>
      <c r="BG1248" t="s">
        <v>74</v>
      </c>
      <c r="BH1248" t="s">
        <v>8593</v>
      </c>
      <c r="BI1248">
        <v>4</v>
      </c>
      <c r="BJ1248" t="s">
        <v>21021</v>
      </c>
      <c r="BK1248" t="s">
        <v>125</v>
      </c>
      <c r="BL1248" t="s">
        <v>21021</v>
      </c>
      <c r="BM1248" t="s">
        <v>21022</v>
      </c>
      <c r="BN1248">
        <v>33860464</v>
      </c>
      <c r="BO1248" t="s">
        <v>2194</v>
      </c>
      <c r="BP1248" t="s">
        <v>74</v>
      </c>
      <c r="BQ1248" t="s">
        <v>74</v>
      </c>
      <c r="BR1248" t="s">
        <v>102</v>
      </c>
      <c r="BS1248" t="s">
        <v>21023</v>
      </c>
      <c r="BT1248" t="str">
        <f>HYPERLINK("https%3A%2F%2Fwww.webofscience.com%2Fwos%2Fwoscc%2Ffull-record%2FWOS:000640457500001","View Full Record in Web of Science")</f>
        <v>View Full Record in Web of Science</v>
      </c>
    </row>
    <row r="1249" spans="1:72" x14ac:dyDescent="0.35">
      <c r="A1249" t="s">
        <v>72</v>
      </c>
      <c r="B1249" t="s">
        <v>21024</v>
      </c>
      <c r="C1249" t="s">
        <v>74</v>
      </c>
      <c r="D1249" t="s">
        <v>74</v>
      </c>
      <c r="E1249" t="s">
        <v>74</v>
      </c>
      <c r="F1249" t="s">
        <v>21025</v>
      </c>
      <c r="G1249" t="s">
        <v>74</v>
      </c>
      <c r="H1249" t="s">
        <v>74</v>
      </c>
      <c r="I1249" t="s">
        <v>21026</v>
      </c>
      <c r="J1249" t="s">
        <v>21027</v>
      </c>
      <c r="K1249" t="s">
        <v>74</v>
      </c>
      <c r="L1249" t="s">
        <v>74</v>
      </c>
      <c r="M1249" t="s">
        <v>78</v>
      </c>
      <c r="N1249" t="s">
        <v>108</v>
      </c>
      <c r="O1249" t="s">
        <v>74</v>
      </c>
      <c r="P1249" t="s">
        <v>74</v>
      </c>
      <c r="Q1249" t="s">
        <v>74</v>
      </c>
      <c r="R1249" t="s">
        <v>74</v>
      </c>
      <c r="S1249" t="s">
        <v>74</v>
      </c>
      <c r="T1249" t="s">
        <v>21028</v>
      </c>
      <c r="U1249" t="s">
        <v>21029</v>
      </c>
      <c r="V1249" t="s">
        <v>21030</v>
      </c>
      <c r="W1249" t="s">
        <v>21031</v>
      </c>
      <c r="X1249" t="s">
        <v>21032</v>
      </c>
      <c r="Y1249" t="s">
        <v>21033</v>
      </c>
      <c r="Z1249" t="s">
        <v>21034</v>
      </c>
      <c r="AA1249" t="s">
        <v>21035</v>
      </c>
      <c r="AB1249" t="s">
        <v>21036</v>
      </c>
      <c r="AC1249" t="s">
        <v>74</v>
      </c>
      <c r="AD1249" t="s">
        <v>74</v>
      </c>
      <c r="AE1249" t="s">
        <v>74</v>
      </c>
      <c r="AF1249" t="s">
        <v>74</v>
      </c>
      <c r="AG1249">
        <v>48</v>
      </c>
      <c r="AH1249">
        <v>13</v>
      </c>
      <c r="AI1249">
        <v>13</v>
      </c>
      <c r="AJ1249">
        <v>19</v>
      </c>
      <c r="AK1249">
        <v>80</v>
      </c>
      <c r="AL1249" t="s">
        <v>199</v>
      </c>
      <c r="AM1249" t="s">
        <v>200</v>
      </c>
      <c r="AN1249" t="s">
        <v>471</v>
      </c>
      <c r="AO1249" t="s">
        <v>21037</v>
      </c>
      <c r="AP1249" t="s">
        <v>21038</v>
      </c>
      <c r="AQ1249" t="s">
        <v>74</v>
      </c>
      <c r="AR1249" t="s">
        <v>21039</v>
      </c>
      <c r="AS1249" t="s">
        <v>21040</v>
      </c>
      <c r="AT1249" t="s">
        <v>21041</v>
      </c>
      <c r="AU1249">
        <v>2024</v>
      </c>
      <c r="AV1249">
        <v>62</v>
      </c>
      <c r="AW1249">
        <v>2</v>
      </c>
      <c r="AX1249" t="s">
        <v>74</v>
      </c>
      <c r="AY1249" t="s">
        <v>74</v>
      </c>
      <c r="AZ1249" t="s">
        <v>456</v>
      </c>
      <c r="BA1249" t="s">
        <v>74</v>
      </c>
      <c r="BB1249">
        <v>471</v>
      </c>
      <c r="BC1249">
        <v>491</v>
      </c>
      <c r="BD1249" t="s">
        <v>74</v>
      </c>
      <c r="BE1249" t="s">
        <v>21042</v>
      </c>
      <c r="BF1249" t="str">
        <f>HYPERLINK("http://dx.doi.org/10.1108/MD-09-2022-1316","http://dx.doi.org/10.1108/MD-09-2022-1316")</f>
        <v>http://dx.doi.org/10.1108/MD-09-2022-1316</v>
      </c>
      <c r="BG1249" t="s">
        <v>74</v>
      </c>
      <c r="BH1249" t="s">
        <v>3970</v>
      </c>
      <c r="BI1249">
        <v>21</v>
      </c>
      <c r="BJ1249" t="s">
        <v>479</v>
      </c>
      <c r="BK1249" t="s">
        <v>99</v>
      </c>
      <c r="BL1249" t="s">
        <v>480</v>
      </c>
      <c r="BM1249" t="s">
        <v>21043</v>
      </c>
      <c r="BN1249" t="s">
        <v>74</v>
      </c>
      <c r="BO1249" t="s">
        <v>74</v>
      </c>
      <c r="BP1249" t="s">
        <v>74</v>
      </c>
      <c r="BQ1249" t="s">
        <v>74</v>
      </c>
      <c r="BR1249" t="s">
        <v>102</v>
      </c>
      <c r="BS1249" t="s">
        <v>21044</v>
      </c>
      <c r="BT1249" t="str">
        <f>HYPERLINK("https%3A%2F%2Fwww.webofscience.com%2Fwos%2Fwoscc%2Ffull-record%2FWOS:000897987700001","View Full Record in Web of Science")</f>
        <v>View Full Record in Web of Science</v>
      </c>
    </row>
    <row r="1250" spans="1:72" x14ac:dyDescent="0.35">
      <c r="A1250" t="s">
        <v>72</v>
      </c>
      <c r="B1250" t="s">
        <v>21045</v>
      </c>
      <c r="C1250" t="s">
        <v>74</v>
      </c>
      <c r="D1250" t="s">
        <v>74</v>
      </c>
      <c r="E1250" t="s">
        <v>74</v>
      </c>
      <c r="F1250" t="s">
        <v>21046</v>
      </c>
      <c r="G1250" t="s">
        <v>74</v>
      </c>
      <c r="H1250" t="s">
        <v>74</v>
      </c>
      <c r="I1250" t="s">
        <v>21047</v>
      </c>
      <c r="J1250" t="s">
        <v>14428</v>
      </c>
      <c r="K1250" t="s">
        <v>74</v>
      </c>
      <c r="L1250" t="s">
        <v>74</v>
      </c>
      <c r="M1250" t="s">
        <v>78</v>
      </c>
      <c r="N1250" t="s">
        <v>108</v>
      </c>
      <c r="O1250" t="s">
        <v>74</v>
      </c>
      <c r="P1250" t="s">
        <v>74</v>
      </c>
      <c r="Q1250" t="s">
        <v>74</v>
      </c>
      <c r="R1250" t="s">
        <v>74</v>
      </c>
      <c r="S1250" t="s">
        <v>74</v>
      </c>
      <c r="T1250" t="s">
        <v>21048</v>
      </c>
      <c r="U1250" t="s">
        <v>74</v>
      </c>
      <c r="V1250" t="s">
        <v>21049</v>
      </c>
      <c r="W1250" t="s">
        <v>21050</v>
      </c>
      <c r="X1250" t="s">
        <v>21051</v>
      </c>
      <c r="Y1250" t="s">
        <v>21052</v>
      </c>
      <c r="Z1250" t="s">
        <v>21053</v>
      </c>
      <c r="AA1250" t="s">
        <v>9977</v>
      </c>
      <c r="AB1250" t="s">
        <v>74</v>
      </c>
      <c r="AC1250" t="s">
        <v>74</v>
      </c>
      <c r="AD1250" t="s">
        <v>74</v>
      </c>
      <c r="AE1250" t="s">
        <v>74</v>
      </c>
      <c r="AF1250" t="s">
        <v>74</v>
      </c>
      <c r="AG1250">
        <v>32</v>
      </c>
      <c r="AH1250">
        <v>0</v>
      </c>
      <c r="AI1250">
        <v>0</v>
      </c>
      <c r="AJ1250">
        <v>5</v>
      </c>
      <c r="AK1250">
        <v>7</v>
      </c>
      <c r="AL1250" t="s">
        <v>14437</v>
      </c>
      <c r="AM1250" t="s">
        <v>6529</v>
      </c>
      <c r="AN1250" t="s">
        <v>14438</v>
      </c>
      <c r="AO1250" t="s">
        <v>14439</v>
      </c>
      <c r="AP1250" t="s">
        <v>14440</v>
      </c>
      <c r="AQ1250" t="s">
        <v>74</v>
      </c>
      <c r="AR1250" t="s">
        <v>14441</v>
      </c>
      <c r="AS1250" t="s">
        <v>14442</v>
      </c>
      <c r="AT1250" t="s">
        <v>74</v>
      </c>
      <c r="AU1250">
        <v>2023</v>
      </c>
      <c r="AV1250">
        <v>28</v>
      </c>
      <c r="AW1250">
        <v>2</v>
      </c>
      <c r="AX1250" t="s">
        <v>74</v>
      </c>
      <c r="AY1250" t="s">
        <v>74</v>
      </c>
      <c r="AZ1250" t="s">
        <v>74</v>
      </c>
      <c r="BA1250" t="s">
        <v>74</v>
      </c>
      <c r="BB1250">
        <v>267</v>
      </c>
      <c r="BC1250">
        <v>278</v>
      </c>
      <c r="BD1250" t="s">
        <v>74</v>
      </c>
      <c r="BE1250" t="s">
        <v>21054</v>
      </c>
      <c r="BF1250" t="str">
        <f>HYPERLINK("http://dx.doi.org/10.5209/hics.92238","http://dx.doi.org/10.5209/hics.92238")</f>
        <v>http://dx.doi.org/10.5209/hics.92238</v>
      </c>
      <c r="BG1250" t="s">
        <v>74</v>
      </c>
      <c r="BH1250" t="s">
        <v>74</v>
      </c>
      <c r="BI1250">
        <v>12</v>
      </c>
      <c r="BJ1250" t="s">
        <v>14444</v>
      </c>
      <c r="BK1250" t="s">
        <v>316</v>
      </c>
      <c r="BL1250" t="s">
        <v>14445</v>
      </c>
      <c r="BM1250" t="s">
        <v>21055</v>
      </c>
      <c r="BN1250" t="s">
        <v>74</v>
      </c>
      <c r="BO1250" t="s">
        <v>394</v>
      </c>
      <c r="BP1250" t="s">
        <v>74</v>
      </c>
      <c r="BQ1250" t="s">
        <v>74</v>
      </c>
      <c r="BR1250" t="s">
        <v>102</v>
      </c>
      <c r="BS1250" t="s">
        <v>21056</v>
      </c>
      <c r="BT1250" t="str">
        <f>HYPERLINK("https%3A%2F%2Fwww.webofscience.com%2Fwos%2Fwoscc%2Ffull-record%2FWOS:001126102400017","View Full Record in Web of Science")</f>
        <v>View Full Record in Web of Science</v>
      </c>
    </row>
    <row r="1251" spans="1:72" x14ac:dyDescent="0.35">
      <c r="A1251" t="s">
        <v>128</v>
      </c>
      <c r="B1251" t="s">
        <v>6756</v>
      </c>
      <c r="C1251" t="s">
        <v>74</v>
      </c>
      <c r="D1251" t="s">
        <v>74</v>
      </c>
      <c r="E1251" t="s">
        <v>4235</v>
      </c>
      <c r="F1251" t="s">
        <v>6757</v>
      </c>
      <c r="G1251" t="s">
        <v>74</v>
      </c>
      <c r="H1251" t="s">
        <v>74</v>
      </c>
      <c r="I1251" t="s">
        <v>21057</v>
      </c>
      <c r="J1251" t="s">
        <v>21058</v>
      </c>
      <c r="K1251" t="s">
        <v>74</v>
      </c>
      <c r="L1251" t="s">
        <v>74</v>
      </c>
      <c r="M1251" t="s">
        <v>78</v>
      </c>
      <c r="N1251" t="s">
        <v>135</v>
      </c>
      <c r="O1251" t="s">
        <v>21059</v>
      </c>
      <c r="P1251" t="s">
        <v>21060</v>
      </c>
      <c r="Q1251" t="s">
        <v>138</v>
      </c>
      <c r="R1251" t="s">
        <v>21061</v>
      </c>
      <c r="S1251" t="s">
        <v>74</v>
      </c>
      <c r="T1251" t="s">
        <v>21062</v>
      </c>
      <c r="U1251" t="s">
        <v>74</v>
      </c>
      <c r="V1251" t="s">
        <v>21063</v>
      </c>
      <c r="W1251" t="s">
        <v>21064</v>
      </c>
      <c r="X1251" t="s">
        <v>21065</v>
      </c>
      <c r="Y1251" t="s">
        <v>21066</v>
      </c>
      <c r="Z1251" t="s">
        <v>21067</v>
      </c>
      <c r="AA1251" t="s">
        <v>6766</v>
      </c>
      <c r="AB1251" t="s">
        <v>21068</v>
      </c>
      <c r="AC1251" t="s">
        <v>21069</v>
      </c>
      <c r="AD1251" t="s">
        <v>21070</v>
      </c>
      <c r="AE1251" t="s">
        <v>21071</v>
      </c>
      <c r="AF1251" t="s">
        <v>74</v>
      </c>
      <c r="AG1251">
        <v>23</v>
      </c>
      <c r="AH1251">
        <v>3</v>
      </c>
      <c r="AI1251">
        <v>5</v>
      </c>
      <c r="AJ1251">
        <v>0</v>
      </c>
      <c r="AK1251">
        <v>16</v>
      </c>
      <c r="AL1251" t="s">
        <v>718</v>
      </c>
      <c r="AM1251" t="s">
        <v>666</v>
      </c>
      <c r="AN1251" t="s">
        <v>719</v>
      </c>
      <c r="AO1251" t="s">
        <v>74</v>
      </c>
      <c r="AP1251" t="s">
        <v>74</v>
      </c>
      <c r="AQ1251" t="s">
        <v>21072</v>
      </c>
      <c r="AR1251" t="s">
        <v>74</v>
      </c>
      <c r="AS1251" t="s">
        <v>74</v>
      </c>
      <c r="AT1251" t="s">
        <v>74</v>
      </c>
      <c r="AU1251">
        <v>2021</v>
      </c>
      <c r="AV1251" t="s">
        <v>74</v>
      </c>
      <c r="AW1251" t="s">
        <v>74</v>
      </c>
      <c r="AX1251" t="s">
        <v>74</v>
      </c>
      <c r="AY1251" t="s">
        <v>74</v>
      </c>
      <c r="AZ1251" t="s">
        <v>74</v>
      </c>
      <c r="BA1251" t="s">
        <v>74</v>
      </c>
      <c r="BB1251">
        <v>498</v>
      </c>
      <c r="BC1251">
        <v>502</v>
      </c>
      <c r="BD1251" t="s">
        <v>74</v>
      </c>
      <c r="BE1251" t="s">
        <v>21073</v>
      </c>
      <c r="BF1251" t="str">
        <f>HYPERLINK("http://dx.doi.org/10.1145/3459990.3465201","http://dx.doi.org/10.1145/3459990.3465201")</f>
        <v>http://dx.doi.org/10.1145/3459990.3465201</v>
      </c>
      <c r="BG1251" t="s">
        <v>74</v>
      </c>
      <c r="BH1251" t="s">
        <v>74</v>
      </c>
      <c r="BI1251">
        <v>5</v>
      </c>
      <c r="BJ1251" t="s">
        <v>18506</v>
      </c>
      <c r="BK1251" t="s">
        <v>723</v>
      </c>
      <c r="BL1251" t="s">
        <v>210</v>
      </c>
      <c r="BM1251" t="s">
        <v>21074</v>
      </c>
      <c r="BN1251" t="s">
        <v>74</v>
      </c>
      <c r="BO1251" t="s">
        <v>2194</v>
      </c>
      <c r="BP1251" t="s">
        <v>74</v>
      </c>
      <c r="BQ1251" t="s">
        <v>74</v>
      </c>
      <c r="BR1251" t="s">
        <v>102</v>
      </c>
      <c r="BS1251" t="s">
        <v>21075</v>
      </c>
      <c r="BT1251" t="str">
        <f>HYPERLINK("https%3A%2F%2Fwww.webofscience.com%2Fwos%2Fwoscc%2Ffull-record%2FWOS:000767988500054","View Full Record in Web of Science")</f>
        <v>View Full Record in Web of Science</v>
      </c>
    </row>
    <row r="1252" spans="1:72" x14ac:dyDescent="0.35">
      <c r="A1252" t="s">
        <v>72</v>
      </c>
      <c r="B1252" t="s">
        <v>21076</v>
      </c>
      <c r="C1252" t="s">
        <v>74</v>
      </c>
      <c r="D1252" t="s">
        <v>74</v>
      </c>
      <c r="E1252" t="s">
        <v>74</v>
      </c>
      <c r="F1252" t="s">
        <v>21077</v>
      </c>
      <c r="G1252" t="s">
        <v>74</v>
      </c>
      <c r="H1252" t="s">
        <v>74</v>
      </c>
      <c r="I1252" t="s">
        <v>21078</v>
      </c>
      <c r="J1252" t="s">
        <v>1433</v>
      </c>
      <c r="K1252" t="s">
        <v>74</v>
      </c>
      <c r="L1252" t="s">
        <v>74</v>
      </c>
      <c r="M1252" t="s">
        <v>78</v>
      </c>
      <c r="N1252" t="s">
        <v>108</v>
      </c>
      <c r="O1252" t="s">
        <v>74</v>
      </c>
      <c r="P1252" t="s">
        <v>74</v>
      </c>
      <c r="Q1252" t="s">
        <v>74</v>
      </c>
      <c r="R1252" t="s">
        <v>74</v>
      </c>
      <c r="S1252" t="s">
        <v>74</v>
      </c>
      <c r="T1252" t="s">
        <v>21079</v>
      </c>
      <c r="U1252" t="s">
        <v>21080</v>
      </c>
      <c r="V1252" t="s">
        <v>21081</v>
      </c>
      <c r="W1252" t="s">
        <v>21082</v>
      </c>
      <c r="X1252" t="s">
        <v>21083</v>
      </c>
      <c r="Y1252" t="s">
        <v>21084</v>
      </c>
      <c r="Z1252" t="s">
        <v>10783</v>
      </c>
      <c r="AA1252" t="s">
        <v>21085</v>
      </c>
      <c r="AB1252" t="s">
        <v>6790</v>
      </c>
      <c r="AC1252" t="s">
        <v>21086</v>
      </c>
      <c r="AD1252" t="s">
        <v>21087</v>
      </c>
      <c r="AE1252" t="s">
        <v>21088</v>
      </c>
      <c r="AF1252" t="s">
        <v>74</v>
      </c>
      <c r="AG1252">
        <v>43</v>
      </c>
      <c r="AH1252">
        <v>4</v>
      </c>
      <c r="AI1252">
        <v>4</v>
      </c>
      <c r="AJ1252">
        <v>7</v>
      </c>
      <c r="AK1252">
        <v>11</v>
      </c>
      <c r="AL1252" t="s">
        <v>88</v>
      </c>
      <c r="AM1252" t="s">
        <v>89</v>
      </c>
      <c r="AN1252" t="s">
        <v>90</v>
      </c>
      <c r="AO1252" t="s">
        <v>1443</v>
      </c>
      <c r="AP1252" t="s">
        <v>1444</v>
      </c>
      <c r="AQ1252" t="s">
        <v>74</v>
      </c>
      <c r="AR1252" t="s">
        <v>1445</v>
      </c>
      <c r="AS1252" t="s">
        <v>1446</v>
      </c>
      <c r="AT1252" t="s">
        <v>1447</v>
      </c>
      <c r="AU1252">
        <v>2024</v>
      </c>
      <c r="AV1252">
        <v>25</v>
      </c>
      <c r="AW1252">
        <v>9</v>
      </c>
      <c r="AX1252" t="s">
        <v>74</v>
      </c>
      <c r="AY1252" t="s">
        <v>74</v>
      </c>
      <c r="AZ1252" t="s">
        <v>456</v>
      </c>
      <c r="BA1252" t="s">
        <v>74</v>
      </c>
      <c r="BB1252">
        <v>1053</v>
      </c>
      <c r="BC1252">
        <v>1075</v>
      </c>
      <c r="BD1252" t="s">
        <v>74</v>
      </c>
      <c r="BE1252" t="s">
        <v>21089</v>
      </c>
      <c r="BF1252" t="str">
        <f>HYPERLINK("http://dx.doi.org/10.1080/1461670X.2024.2324318","http://dx.doi.org/10.1080/1461670X.2024.2324318")</f>
        <v>http://dx.doi.org/10.1080/1461670X.2024.2324318</v>
      </c>
      <c r="BG1252" t="s">
        <v>74</v>
      </c>
      <c r="BH1252" t="s">
        <v>123</v>
      </c>
      <c r="BI1252">
        <v>23</v>
      </c>
      <c r="BJ1252" t="s">
        <v>124</v>
      </c>
      <c r="BK1252" t="s">
        <v>99</v>
      </c>
      <c r="BL1252" t="s">
        <v>124</v>
      </c>
      <c r="BM1252" t="s">
        <v>1450</v>
      </c>
      <c r="BN1252" t="s">
        <v>74</v>
      </c>
      <c r="BO1252" t="s">
        <v>156</v>
      </c>
      <c r="BP1252" t="s">
        <v>74</v>
      </c>
      <c r="BQ1252" t="s">
        <v>74</v>
      </c>
      <c r="BR1252" t="s">
        <v>102</v>
      </c>
      <c r="BS1252" t="s">
        <v>21090</v>
      </c>
      <c r="BT1252" t="str">
        <f>HYPERLINK("https%3A%2F%2Fwww.webofscience.com%2Fwos%2Fwoscc%2Ffull-record%2FWOS:001176731600001","View Full Record in Web of Science")</f>
        <v>View Full Record in Web of Science</v>
      </c>
    </row>
    <row r="1253" spans="1:72" x14ac:dyDescent="0.35">
      <c r="A1253" t="s">
        <v>72</v>
      </c>
      <c r="B1253" t="s">
        <v>21091</v>
      </c>
      <c r="C1253" t="s">
        <v>74</v>
      </c>
      <c r="D1253" t="s">
        <v>74</v>
      </c>
      <c r="E1253" t="s">
        <v>74</v>
      </c>
      <c r="F1253" t="s">
        <v>21092</v>
      </c>
      <c r="G1253" t="s">
        <v>74</v>
      </c>
      <c r="H1253" t="s">
        <v>74</v>
      </c>
      <c r="I1253" t="s">
        <v>21093</v>
      </c>
      <c r="J1253" t="s">
        <v>21094</v>
      </c>
      <c r="K1253" t="s">
        <v>74</v>
      </c>
      <c r="L1253" t="s">
        <v>74</v>
      </c>
      <c r="M1253" t="s">
        <v>78</v>
      </c>
      <c r="N1253" t="s">
        <v>108</v>
      </c>
      <c r="O1253" t="s">
        <v>74</v>
      </c>
      <c r="P1253" t="s">
        <v>74</v>
      </c>
      <c r="Q1253" t="s">
        <v>74</v>
      </c>
      <c r="R1253" t="s">
        <v>74</v>
      </c>
      <c r="S1253" t="s">
        <v>74</v>
      </c>
      <c r="T1253" t="s">
        <v>21095</v>
      </c>
      <c r="U1253" t="s">
        <v>21096</v>
      </c>
      <c r="V1253" t="s">
        <v>21097</v>
      </c>
      <c r="W1253" t="s">
        <v>21098</v>
      </c>
      <c r="X1253" t="s">
        <v>21099</v>
      </c>
      <c r="Y1253" t="s">
        <v>21100</v>
      </c>
      <c r="Z1253" t="s">
        <v>21101</v>
      </c>
      <c r="AA1253" t="s">
        <v>21102</v>
      </c>
      <c r="AB1253" t="s">
        <v>21103</v>
      </c>
      <c r="AC1253" t="s">
        <v>74</v>
      </c>
      <c r="AD1253" t="s">
        <v>74</v>
      </c>
      <c r="AE1253" t="s">
        <v>74</v>
      </c>
      <c r="AF1253" t="s">
        <v>74</v>
      </c>
      <c r="AG1253">
        <v>39</v>
      </c>
      <c r="AH1253">
        <v>0</v>
      </c>
      <c r="AI1253">
        <v>0</v>
      </c>
      <c r="AJ1253">
        <v>4</v>
      </c>
      <c r="AK1253">
        <v>7</v>
      </c>
      <c r="AL1253" t="s">
        <v>21104</v>
      </c>
      <c r="AM1253" t="s">
        <v>19135</v>
      </c>
      <c r="AN1253" t="s">
        <v>21105</v>
      </c>
      <c r="AO1253" t="s">
        <v>21106</v>
      </c>
      <c r="AP1253" t="s">
        <v>21107</v>
      </c>
      <c r="AQ1253" t="s">
        <v>74</v>
      </c>
      <c r="AR1253" t="s">
        <v>21108</v>
      </c>
      <c r="AS1253" t="s">
        <v>21109</v>
      </c>
      <c r="AT1253" t="s">
        <v>1484</v>
      </c>
      <c r="AU1253">
        <v>2024</v>
      </c>
      <c r="AV1253">
        <v>13</v>
      </c>
      <c r="AW1253">
        <v>1</v>
      </c>
      <c r="AX1253" t="s">
        <v>74</v>
      </c>
      <c r="AY1253" t="s">
        <v>74</v>
      </c>
      <c r="AZ1253" t="s">
        <v>74</v>
      </c>
      <c r="BA1253" t="s">
        <v>74</v>
      </c>
      <c r="BB1253">
        <v>1</v>
      </c>
      <c r="BC1253">
        <v>5</v>
      </c>
      <c r="BD1253" t="s">
        <v>74</v>
      </c>
      <c r="BE1253" t="s">
        <v>21110</v>
      </c>
      <c r="BF1253" t="str">
        <f>HYPERLINK("http://dx.doi.org/10.1556/2006.2023.00084","http://dx.doi.org/10.1556/2006.2023.00084")</f>
        <v>http://dx.doi.org/10.1556/2006.2023.00084</v>
      </c>
      <c r="BG1253" t="s">
        <v>74</v>
      </c>
      <c r="BH1253" t="s">
        <v>74</v>
      </c>
      <c r="BI1253">
        <v>5</v>
      </c>
      <c r="BJ1253" t="s">
        <v>1847</v>
      </c>
      <c r="BK1253" t="s">
        <v>182</v>
      </c>
      <c r="BL1253" t="s">
        <v>1847</v>
      </c>
      <c r="BM1253" t="s">
        <v>21111</v>
      </c>
      <c r="BN1253">
        <v>38324033</v>
      </c>
      <c r="BO1253" t="s">
        <v>21112</v>
      </c>
      <c r="BP1253" t="s">
        <v>74</v>
      </c>
      <c r="BQ1253" t="s">
        <v>74</v>
      </c>
      <c r="BR1253" t="s">
        <v>102</v>
      </c>
      <c r="BS1253" t="s">
        <v>21113</v>
      </c>
      <c r="BT1253" t="str">
        <f>HYPERLINK("https%3A%2F%2Fwww.webofscience.com%2Fwos%2Fwoscc%2Ffull-record%2FWOS:001251149700001","View Full Record in Web of Science")</f>
        <v>View Full Record in Web of Science</v>
      </c>
    </row>
    <row r="1254" spans="1:72" x14ac:dyDescent="0.35">
      <c r="A1254" t="s">
        <v>128</v>
      </c>
      <c r="B1254" t="s">
        <v>21114</v>
      </c>
      <c r="C1254" t="s">
        <v>74</v>
      </c>
      <c r="D1254" t="s">
        <v>21115</v>
      </c>
      <c r="E1254" t="s">
        <v>74</v>
      </c>
      <c r="F1254" t="s">
        <v>21116</v>
      </c>
      <c r="G1254" t="s">
        <v>74</v>
      </c>
      <c r="H1254" t="s">
        <v>74</v>
      </c>
      <c r="I1254" t="s">
        <v>21117</v>
      </c>
      <c r="J1254" t="s">
        <v>21118</v>
      </c>
      <c r="K1254" t="s">
        <v>8364</v>
      </c>
      <c r="L1254" t="s">
        <v>74</v>
      </c>
      <c r="M1254" t="s">
        <v>78</v>
      </c>
      <c r="N1254" t="s">
        <v>135</v>
      </c>
      <c r="O1254" t="s">
        <v>21119</v>
      </c>
      <c r="P1254" t="s">
        <v>10449</v>
      </c>
      <c r="Q1254" t="s">
        <v>6828</v>
      </c>
      <c r="R1254" t="s">
        <v>74</v>
      </c>
      <c r="S1254" t="s">
        <v>74</v>
      </c>
      <c r="T1254" t="s">
        <v>21120</v>
      </c>
      <c r="U1254" t="s">
        <v>74</v>
      </c>
      <c r="V1254" t="s">
        <v>21121</v>
      </c>
      <c r="W1254" t="s">
        <v>21122</v>
      </c>
      <c r="X1254" t="s">
        <v>21123</v>
      </c>
      <c r="Y1254" t="s">
        <v>21124</v>
      </c>
      <c r="Z1254" t="s">
        <v>21125</v>
      </c>
      <c r="AA1254" t="s">
        <v>74</v>
      </c>
      <c r="AB1254" t="s">
        <v>21126</v>
      </c>
      <c r="AC1254" t="s">
        <v>74</v>
      </c>
      <c r="AD1254" t="s">
        <v>74</v>
      </c>
      <c r="AE1254" t="s">
        <v>74</v>
      </c>
      <c r="AF1254" t="s">
        <v>74</v>
      </c>
      <c r="AG1254">
        <v>40</v>
      </c>
      <c r="AH1254">
        <v>0</v>
      </c>
      <c r="AI1254">
        <v>0</v>
      </c>
      <c r="AJ1254">
        <v>7</v>
      </c>
      <c r="AK1254">
        <v>7</v>
      </c>
      <c r="AL1254" t="s">
        <v>639</v>
      </c>
      <c r="AM1254" t="s">
        <v>640</v>
      </c>
      <c r="AN1254" t="s">
        <v>641</v>
      </c>
      <c r="AO1254" t="s">
        <v>8380</v>
      </c>
      <c r="AP1254" t="s">
        <v>8381</v>
      </c>
      <c r="AQ1254" t="s">
        <v>21127</v>
      </c>
      <c r="AR1254" t="s">
        <v>8383</v>
      </c>
      <c r="AS1254" t="s">
        <v>74</v>
      </c>
      <c r="AT1254" t="s">
        <v>74</v>
      </c>
      <c r="AU1254">
        <v>2024</v>
      </c>
      <c r="AV1254">
        <v>14690</v>
      </c>
      <c r="AW1254" t="s">
        <v>74</v>
      </c>
      <c r="AX1254" t="s">
        <v>74</v>
      </c>
      <c r="AY1254" t="s">
        <v>74</v>
      </c>
      <c r="AZ1254" t="s">
        <v>74</v>
      </c>
      <c r="BA1254" t="s">
        <v>74</v>
      </c>
      <c r="BB1254">
        <v>189</v>
      </c>
      <c r="BC1254">
        <v>208</v>
      </c>
      <c r="BD1254" t="s">
        <v>74</v>
      </c>
      <c r="BE1254" t="s">
        <v>21128</v>
      </c>
      <c r="BF1254" t="str">
        <f>HYPERLINK("http://dx.doi.org/10.1007/978-3-031-60114-9_14","http://dx.doi.org/10.1007/978-3-031-60114-9_14")</f>
        <v>http://dx.doi.org/10.1007/978-3-031-60114-9_14</v>
      </c>
      <c r="BG1254" t="s">
        <v>74</v>
      </c>
      <c r="BH1254" t="s">
        <v>74</v>
      </c>
      <c r="BI1254">
        <v>20</v>
      </c>
      <c r="BJ1254" t="s">
        <v>21129</v>
      </c>
      <c r="BK1254" t="s">
        <v>723</v>
      </c>
      <c r="BL1254" t="s">
        <v>210</v>
      </c>
      <c r="BM1254" t="s">
        <v>21130</v>
      </c>
      <c r="BN1254" t="s">
        <v>74</v>
      </c>
      <c r="BO1254" t="s">
        <v>74</v>
      </c>
      <c r="BP1254" t="s">
        <v>74</v>
      </c>
      <c r="BQ1254" t="s">
        <v>74</v>
      </c>
      <c r="BR1254" t="s">
        <v>102</v>
      </c>
      <c r="BS1254" t="s">
        <v>21131</v>
      </c>
      <c r="BT1254" t="str">
        <f>HYPERLINK("https%3A%2F%2Fwww.webofscience.com%2Fwos%2Fwoscc%2Ffull-record%2FWOS:001286501800014","View Full Record in Web of Science")</f>
        <v>View Full Record in Web of Science</v>
      </c>
    </row>
    <row r="1255" spans="1:72" x14ac:dyDescent="0.35">
      <c r="A1255" t="s">
        <v>72</v>
      </c>
      <c r="B1255" t="s">
        <v>21132</v>
      </c>
      <c r="C1255" t="s">
        <v>74</v>
      </c>
      <c r="D1255" t="s">
        <v>74</v>
      </c>
      <c r="E1255" t="s">
        <v>74</v>
      </c>
      <c r="F1255" t="s">
        <v>21133</v>
      </c>
      <c r="G1255" t="s">
        <v>74</v>
      </c>
      <c r="H1255" t="s">
        <v>74</v>
      </c>
      <c r="I1255" t="s">
        <v>21134</v>
      </c>
      <c r="J1255" t="s">
        <v>12134</v>
      </c>
      <c r="K1255" t="s">
        <v>74</v>
      </c>
      <c r="L1255" t="s">
        <v>74</v>
      </c>
      <c r="M1255" t="s">
        <v>78</v>
      </c>
      <c r="N1255" t="s">
        <v>108</v>
      </c>
      <c r="O1255" t="s">
        <v>74</v>
      </c>
      <c r="P1255" t="s">
        <v>74</v>
      </c>
      <c r="Q1255" t="s">
        <v>74</v>
      </c>
      <c r="R1255" t="s">
        <v>74</v>
      </c>
      <c r="S1255" t="s">
        <v>74</v>
      </c>
      <c r="T1255" t="s">
        <v>21135</v>
      </c>
      <c r="U1255" t="s">
        <v>74</v>
      </c>
      <c r="V1255" t="s">
        <v>21136</v>
      </c>
      <c r="W1255" t="s">
        <v>21137</v>
      </c>
      <c r="X1255" t="s">
        <v>21138</v>
      </c>
      <c r="Y1255" t="s">
        <v>21139</v>
      </c>
      <c r="Z1255" t="s">
        <v>21140</v>
      </c>
      <c r="AA1255" t="s">
        <v>21141</v>
      </c>
      <c r="AB1255" t="s">
        <v>21142</v>
      </c>
      <c r="AC1255" t="s">
        <v>21143</v>
      </c>
      <c r="AD1255" t="s">
        <v>21144</v>
      </c>
      <c r="AE1255" t="s">
        <v>21145</v>
      </c>
      <c r="AF1255" t="s">
        <v>74</v>
      </c>
      <c r="AG1255">
        <v>50</v>
      </c>
      <c r="AH1255">
        <v>11</v>
      </c>
      <c r="AI1255">
        <v>13</v>
      </c>
      <c r="AJ1255">
        <v>1</v>
      </c>
      <c r="AK1255">
        <v>22</v>
      </c>
      <c r="AL1255" t="s">
        <v>171</v>
      </c>
      <c r="AM1255" t="s">
        <v>172</v>
      </c>
      <c r="AN1255" t="s">
        <v>173</v>
      </c>
      <c r="AO1255" t="s">
        <v>12135</v>
      </c>
      <c r="AP1255" t="s">
        <v>12136</v>
      </c>
      <c r="AQ1255" t="s">
        <v>74</v>
      </c>
      <c r="AR1255" t="s">
        <v>12137</v>
      </c>
      <c r="AS1255" t="s">
        <v>12138</v>
      </c>
      <c r="AT1255" t="s">
        <v>523</v>
      </c>
      <c r="AU1255">
        <v>2021</v>
      </c>
      <c r="AV1255">
        <v>35</v>
      </c>
      <c r="AW1255">
        <v>3</v>
      </c>
      <c r="AX1255" t="s">
        <v>74</v>
      </c>
      <c r="AY1255" t="s">
        <v>74</v>
      </c>
      <c r="AZ1255" t="s">
        <v>456</v>
      </c>
      <c r="BA1255" t="s">
        <v>74</v>
      </c>
      <c r="BB1255">
        <v>393</v>
      </c>
      <c r="BC1255">
        <v>419</v>
      </c>
      <c r="BD1255" t="s">
        <v>21146</v>
      </c>
      <c r="BE1255" t="s">
        <v>21147</v>
      </c>
      <c r="BF1255" t="str">
        <f>HYPERLINK("http://dx.doi.org/10.1177/0920203X211049634","http://dx.doi.org/10.1177/0920203X211049634")</f>
        <v>http://dx.doi.org/10.1177/0920203X211049634</v>
      </c>
      <c r="BG1255" t="s">
        <v>74</v>
      </c>
      <c r="BH1255" t="s">
        <v>9169</v>
      </c>
      <c r="BI1255">
        <v>27</v>
      </c>
      <c r="BJ1255" t="s">
        <v>5420</v>
      </c>
      <c r="BK1255" t="s">
        <v>99</v>
      </c>
      <c r="BL1255" t="s">
        <v>5420</v>
      </c>
      <c r="BM1255" t="s">
        <v>21148</v>
      </c>
      <c r="BN1255" t="s">
        <v>74</v>
      </c>
      <c r="BO1255" t="s">
        <v>74</v>
      </c>
      <c r="BP1255" t="s">
        <v>74</v>
      </c>
      <c r="BQ1255" t="s">
        <v>74</v>
      </c>
      <c r="BR1255" t="s">
        <v>102</v>
      </c>
      <c r="BS1255" t="s">
        <v>21149</v>
      </c>
      <c r="BT1255" t="str">
        <f>HYPERLINK("https%3A%2F%2Fwww.webofscience.com%2Fwos%2Fwoscc%2Ffull-record%2FWOS:000713602500001","View Full Record in Web of Science")</f>
        <v>View Full Record in Web of Science</v>
      </c>
    </row>
    <row r="1256" spans="1:72" x14ac:dyDescent="0.35">
      <c r="A1256" t="s">
        <v>72</v>
      </c>
      <c r="B1256" t="s">
        <v>21150</v>
      </c>
      <c r="C1256" t="s">
        <v>74</v>
      </c>
      <c r="D1256" t="s">
        <v>74</v>
      </c>
      <c r="E1256" t="s">
        <v>74</v>
      </c>
      <c r="F1256" t="s">
        <v>21151</v>
      </c>
      <c r="G1256" t="s">
        <v>74</v>
      </c>
      <c r="H1256" t="s">
        <v>74</v>
      </c>
      <c r="I1256" t="s">
        <v>21152</v>
      </c>
      <c r="J1256" t="s">
        <v>21153</v>
      </c>
      <c r="K1256" t="s">
        <v>74</v>
      </c>
      <c r="L1256" t="s">
        <v>74</v>
      </c>
      <c r="M1256" t="s">
        <v>78</v>
      </c>
      <c r="N1256" t="s">
        <v>108</v>
      </c>
      <c r="O1256" t="s">
        <v>74</v>
      </c>
      <c r="P1256" t="s">
        <v>74</v>
      </c>
      <c r="Q1256" t="s">
        <v>74</v>
      </c>
      <c r="R1256" t="s">
        <v>74</v>
      </c>
      <c r="S1256" t="s">
        <v>74</v>
      </c>
      <c r="T1256" t="s">
        <v>21154</v>
      </c>
      <c r="U1256" t="s">
        <v>21155</v>
      </c>
      <c r="V1256" t="s">
        <v>21156</v>
      </c>
      <c r="W1256" t="s">
        <v>21157</v>
      </c>
      <c r="X1256" t="s">
        <v>21158</v>
      </c>
      <c r="Y1256" t="s">
        <v>21159</v>
      </c>
      <c r="Z1256" t="s">
        <v>21160</v>
      </c>
      <c r="AA1256" t="s">
        <v>74</v>
      </c>
      <c r="AB1256" t="s">
        <v>21161</v>
      </c>
      <c r="AC1256" t="s">
        <v>74</v>
      </c>
      <c r="AD1256" t="s">
        <v>74</v>
      </c>
      <c r="AE1256" t="s">
        <v>74</v>
      </c>
      <c r="AF1256" t="s">
        <v>74</v>
      </c>
      <c r="AG1256">
        <v>74</v>
      </c>
      <c r="AH1256">
        <v>17</v>
      </c>
      <c r="AI1256">
        <v>21</v>
      </c>
      <c r="AJ1256">
        <v>8</v>
      </c>
      <c r="AK1256">
        <v>120</v>
      </c>
      <c r="AL1256" t="s">
        <v>21162</v>
      </c>
      <c r="AM1256" t="s">
        <v>15140</v>
      </c>
      <c r="AN1256" t="s">
        <v>21163</v>
      </c>
      <c r="AO1256" t="s">
        <v>21164</v>
      </c>
      <c r="AP1256" t="s">
        <v>21165</v>
      </c>
      <c r="AQ1256" t="s">
        <v>74</v>
      </c>
      <c r="AR1256" t="s">
        <v>21166</v>
      </c>
      <c r="AS1256" t="s">
        <v>21167</v>
      </c>
      <c r="AT1256" t="s">
        <v>523</v>
      </c>
      <c r="AU1256">
        <v>2020</v>
      </c>
      <c r="AV1256">
        <v>17</v>
      </c>
      <c r="AW1256">
        <v>7</v>
      </c>
      <c r="AX1256" t="s">
        <v>74</v>
      </c>
      <c r="AY1256" t="s">
        <v>74</v>
      </c>
      <c r="AZ1256" t="s">
        <v>74</v>
      </c>
      <c r="BA1256" t="s">
        <v>74</v>
      </c>
      <c r="BB1256" t="s">
        <v>74</v>
      </c>
      <c r="BC1256" t="s">
        <v>74</v>
      </c>
      <c r="BD1256">
        <v>2050050</v>
      </c>
      <c r="BE1256" t="s">
        <v>21168</v>
      </c>
      <c r="BF1256" t="str">
        <f>HYPERLINK("http://dx.doi.org/10.1142/S0219877020500509","http://dx.doi.org/10.1142/S0219877020500509")</f>
        <v>http://dx.doi.org/10.1142/S0219877020500509</v>
      </c>
      <c r="BG1256" t="s">
        <v>74</v>
      </c>
      <c r="BH1256" t="s">
        <v>4780</v>
      </c>
      <c r="BI1256">
        <v>25</v>
      </c>
      <c r="BJ1256" t="s">
        <v>1930</v>
      </c>
      <c r="BK1256" t="s">
        <v>125</v>
      </c>
      <c r="BL1256" t="s">
        <v>480</v>
      </c>
      <c r="BM1256" t="s">
        <v>21169</v>
      </c>
      <c r="BN1256" t="s">
        <v>74</v>
      </c>
      <c r="BO1256" t="s">
        <v>74</v>
      </c>
      <c r="BP1256" t="s">
        <v>74</v>
      </c>
      <c r="BQ1256" t="s">
        <v>74</v>
      </c>
      <c r="BR1256" t="s">
        <v>102</v>
      </c>
      <c r="BS1256" t="s">
        <v>21170</v>
      </c>
      <c r="BT1256" t="str">
        <f>HYPERLINK("https%3A%2F%2Fwww.webofscience.com%2Fwos%2Fwoscc%2Ffull-record%2FWOS:000599361100003","View Full Record in Web of Science")</f>
        <v>View Full Record in Web of Science</v>
      </c>
    </row>
    <row r="1257" spans="1:72" x14ac:dyDescent="0.35">
      <c r="A1257" t="s">
        <v>72</v>
      </c>
      <c r="B1257" t="s">
        <v>21171</v>
      </c>
      <c r="C1257" t="s">
        <v>74</v>
      </c>
      <c r="D1257" t="s">
        <v>74</v>
      </c>
      <c r="E1257" t="s">
        <v>74</v>
      </c>
      <c r="F1257" t="s">
        <v>21172</v>
      </c>
      <c r="G1257" t="s">
        <v>74</v>
      </c>
      <c r="H1257" t="s">
        <v>74</v>
      </c>
      <c r="I1257" t="s">
        <v>21173</v>
      </c>
      <c r="J1257" t="s">
        <v>21174</v>
      </c>
      <c r="K1257" t="s">
        <v>74</v>
      </c>
      <c r="L1257" t="s">
        <v>74</v>
      </c>
      <c r="M1257" t="s">
        <v>78</v>
      </c>
      <c r="N1257" t="s">
        <v>79</v>
      </c>
      <c r="O1257" t="s">
        <v>74</v>
      </c>
      <c r="P1257" t="s">
        <v>74</v>
      </c>
      <c r="Q1257" t="s">
        <v>74</v>
      </c>
      <c r="R1257" t="s">
        <v>74</v>
      </c>
      <c r="S1257" t="s">
        <v>74</v>
      </c>
      <c r="T1257" t="s">
        <v>21175</v>
      </c>
      <c r="U1257" t="s">
        <v>21176</v>
      </c>
      <c r="V1257" t="s">
        <v>21177</v>
      </c>
      <c r="W1257" t="s">
        <v>21178</v>
      </c>
      <c r="X1257" t="s">
        <v>21179</v>
      </c>
      <c r="Y1257" t="s">
        <v>21180</v>
      </c>
      <c r="Z1257" t="s">
        <v>21181</v>
      </c>
      <c r="AA1257" t="s">
        <v>21182</v>
      </c>
      <c r="AB1257" t="s">
        <v>21183</v>
      </c>
      <c r="AC1257" t="s">
        <v>21184</v>
      </c>
      <c r="AD1257" t="s">
        <v>21184</v>
      </c>
      <c r="AE1257" t="s">
        <v>21185</v>
      </c>
      <c r="AF1257" t="s">
        <v>74</v>
      </c>
      <c r="AG1257">
        <v>46</v>
      </c>
      <c r="AH1257">
        <v>0</v>
      </c>
      <c r="AI1257">
        <v>0</v>
      </c>
      <c r="AJ1257">
        <v>2</v>
      </c>
      <c r="AK1257">
        <v>2</v>
      </c>
      <c r="AL1257" t="s">
        <v>88</v>
      </c>
      <c r="AM1257" t="s">
        <v>89</v>
      </c>
      <c r="AN1257" t="s">
        <v>90</v>
      </c>
      <c r="AO1257" t="s">
        <v>21186</v>
      </c>
      <c r="AP1257" t="s">
        <v>21187</v>
      </c>
      <c r="AQ1257" t="s">
        <v>74</v>
      </c>
      <c r="AR1257" t="s">
        <v>21188</v>
      </c>
      <c r="AS1257" t="s">
        <v>21189</v>
      </c>
      <c r="AT1257" t="s">
        <v>21190</v>
      </c>
      <c r="AU1257">
        <v>2024</v>
      </c>
      <c r="AV1257" t="s">
        <v>74</v>
      </c>
      <c r="AW1257" t="s">
        <v>74</v>
      </c>
      <c r="AX1257" t="s">
        <v>74</v>
      </c>
      <c r="AY1257" t="s">
        <v>74</v>
      </c>
      <c r="AZ1257" t="s">
        <v>74</v>
      </c>
      <c r="BA1257" t="s">
        <v>74</v>
      </c>
      <c r="BB1257" t="s">
        <v>74</v>
      </c>
      <c r="BC1257" t="s">
        <v>74</v>
      </c>
      <c r="BD1257" t="s">
        <v>74</v>
      </c>
      <c r="BE1257" t="s">
        <v>21191</v>
      </c>
      <c r="BF1257" t="str">
        <f>HYPERLINK("http://dx.doi.org/10.1080/17508487.2024.2365805","http://dx.doi.org/10.1080/17508487.2024.2365805")</f>
        <v>http://dx.doi.org/10.1080/17508487.2024.2365805</v>
      </c>
      <c r="BG1257" t="s">
        <v>74</v>
      </c>
      <c r="BH1257" t="s">
        <v>500</v>
      </c>
      <c r="BI1257">
        <v>19</v>
      </c>
      <c r="BJ1257" t="s">
        <v>787</v>
      </c>
      <c r="BK1257" t="s">
        <v>99</v>
      </c>
      <c r="BL1257" t="s">
        <v>787</v>
      </c>
      <c r="BM1257" t="s">
        <v>21192</v>
      </c>
      <c r="BN1257" t="s">
        <v>74</v>
      </c>
      <c r="BO1257" t="s">
        <v>156</v>
      </c>
      <c r="BP1257" t="s">
        <v>74</v>
      </c>
      <c r="BQ1257" t="s">
        <v>74</v>
      </c>
      <c r="BR1257" t="s">
        <v>102</v>
      </c>
      <c r="BS1257" t="s">
        <v>21193</v>
      </c>
      <c r="BT1257" t="str">
        <f>HYPERLINK("https%3A%2F%2Fwww.webofscience.com%2Fwos%2Fwoscc%2Ffull-record%2FWOS:001257376700001","View Full Record in Web of Science")</f>
        <v>View Full Record in Web of Science</v>
      </c>
    </row>
    <row r="1258" spans="1:72" x14ac:dyDescent="0.35">
      <c r="A1258" t="s">
        <v>72</v>
      </c>
      <c r="B1258" t="s">
        <v>21194</v>
      </c>
      <c r="C1258" t="s">
        <v>74</v>
      </c>
      <c r="D1258" t="s">
        <v>74</v>
      </c>
      <c r="E1258" t="s">
        <v>74</v>
      </c>
      <c r="F1258" t="s">
        <v>21195</v>
      </c>
      <c r="G1258" t="s">
        <v>74</v>
      </c>
      <c r="H1258" t="s">
        <v>74</v>
      </c>
      <c r="I1258" t="s">
        <v>21196</v>
      </c>
      <c r="J1258" t="s">
        <v>216</v>
      </c>
      <c r="K1258" t="s">
        <v>74</v>
      </c>
      <c r="L1258" t="s">
        <v>74</v>
      </c>
      <c r="M1258" t="s">
        <v>78</v>
      </c>
      <c r="N1258" t="s">
        <v>108</v>
      </c>
      <c r="O1258" t="s">
        <v>74</v>
      </c>
      <c r="P1258" t="s">
        <v>74</v>
      </c>
      <c r="Q1258" t="s">
        <v>74</v>
      </c>
      <c r="R1258" t="s">
        <v>74</v>
      </c>
      <c r="S1258" t="s">
        <v>74</v>
      </c>
      <c r="T1258" t="s">
        <v>21197</v>
      </c>
      <c r="U1258" t="s">
        <v>74</v>
      </c>
      <c r="V1258" t="s">
        <v>21198</v>
      </c>
      <c r="W1258" t="s">
        <v>21199</v>
      </c>
      <c r="X1258" t="s">
        <v>21200</v>
      </c>
      <c r="Y1258" t="s">
        <v>21201</v>
      </c>
      <c r="Z1258" t="s">
        <v>21202</v>
      </c>
      <c r="AA1258" t="s">
        <v>21203</v>
      </c>
      <c r="AB1258" t="s">
        <v>21204</v>
      </c>
      <c r="AC1258" t="s">
        <v>74</v>
      </c>
      <c r="AD1258" t="s">
        <v>74</v>
      </c>
      <c r="AE1258" t="s">
        <v>74</v>
      </c>
      <c r="AF1258" t="s">
        <v>74</v>
      </c>
      <c r="AG1258">
        <v>51</v>
      </c>
      <c r="AH1258">
        <v>0</v>
      </c>
      <c r="AI1258">
        <v>0</v>
      </c>
      <c r="AJ1258">
        <v>14</v>
      </c>
      <c r="AK1258">
        <v>14</v>
      </c>
      <c r="AL1258" t="s">
        <v>226</v>
      </c>
      <c r="AM1258" t="s">
        <v>227</v>
      </c>
      <c r="AN1258" t="s">
        <v>228</v>
      </c>
      <c r="AO1258" t="s">
        <v>229</v>
      </c>
      <c r="AP1258" t="s">
        <v>74</v>
      </c>
      <c r="AQ1258" t="s">
        <v>74</v>
      </c>
      <c r="AR1258" t="s">
        <v>230</v>
      </c>
      <c r="AS1258" t="s">
        <v>231</v>
      </c>
      <c r="AT1258" t="s">
        <v>273</v>
      </c>
      <c r="AU1258">
        <v>2024</v>
      </c>
      <c r="AV1258">
        <v>10</v>
      </c>
      <c r="AW1258">
        <v>3</v>
      </c>
      <c r="AX1258" t="s">
        <v>74</v>
      </c>
      <c r="AY1258" t="s">
        <v>74</v>
      </c>
      <c r="AZ1258" t="s">
        <v>74</v>
      </c>
      <c r="BA1258" t="s">
        <v>74</v>
      </c>
      <c r="BB1258" t="s">
        <v>74</v>
      </c>
      <c r="BC1258" t="s">
        <v>74</v>
      </c>
      <c r="BD1258">
        <v>2.0563051241279548E+16</v>
      </c>
      <c r="BE1258" t="s">
        <v>21205</v>
      </c>
      <c r="BF1258" t="str">
        <f>HYPERLINK("http://dx.doi.org/10.1177/20563051241279549","http://dx.doi.org/10.1177/20563051241279549")</f>
        <v>http://dx.doi.org/10.1177/20563051241279549</v>
      </c>
      <c r="BG1258" t="s">
        <v>74</v>
      </c>
      <c r="BH1258" t="s">
        <v>74</v>
      </c>
      <c r="BI1258">
        <v>10</v>
      </c>
      <c r="BJ1258" t="s">
        <v>124</v>
      </c>
      <c r="BK1258" t="s">
        <v>99</v>
      </c>
      <c r="BL1258" t="s">
        <v>124</v>
      </c>
      <c r="BM1258" t="s">
        <v>21206</v>
      </c>
      <c r="BN1258" t="s">
        <v>74</v>
      </c>
      <c r="BO1258" t="s">
        <v>235</v>
      </c>
      <c r="BP1258" t="s">
        <v>74</v>
      </c>
      <c r="BQ1258" t="s">
        <v>74</v>
      </c>
      <c r="BR1258" t="s">
        <v>102</v>
      </c>
      <c r="BS1258" t="s">
        <v>21207</v>
      </c>
      <c r="BT1258" t="str">
        <f>HYPERLINK("https%3A%2F%2Fwww.webofscience.com%2Fwos%2Fwoscc%2Ffull-record%2FWOS:001314473000001","View Full Record in Web of Science")</f>
        <v>View Full Record in Web of Science</v>
      </c>
    </row>
    <row r="1259" spans="1:72" x14ac:dyDescent="0.35">
      <c r="A1259" t="s">
        <v>72</v>
      </c>
      <c r="B1259" t="s">
        <v>21208</v>
      </c>
      <c r="C1259" t="s">
        <v>74</v>
      </c>
      <c r="D1259" t="s">
        <v>74</v>
      </c>
      <c r="E1259" t="s">
        <v>74</v>
      </c>
      <c r="F1259" t="s">
        <v>21209</v>
      </c>
      <c r="G1259" t="s">
        <v>74</v>
      </c>
      <c r="H1259" t="s">
        <v>74</v>
      </c>
      <c r="I1259" t="s">
        <v>21210</v>
      </c>
      <c r="J1259" t="s">
        <v>21211</v>
      </c>
      <c r="K1259" t="s">
        <v>74</v>
      </c>
      <c r="L1259" t="s">
        <v>74</v>
      </c>
      <c r="M1259" t="s">
        <v>78</v>
      </c>
      <c r="N1259" t="s">
        <v>108</v>
      </c>
      <c r="O1259" t="s">
        <v>74</v>
      </c>
      <c r="P1259" t="s">
        <v>74</v>
      </c>
      <c r="Q1259" t="s">
        <v>74</v>
      </c>
      <c r="R1259" t="s">
        <v>74</v>
      </c>
      <c r="S1259" t="s">
        <v>74</v>
      </c>
      <c r="T1259" t="s">
        <v>21212</v>
      </c>
      <c r="U1259" t="s">
        <v>74</v>
      </c>
      <c r="V1259" t="s">
        <v>21213</v>
      </c>
      <c r="W1259" t="s">
        <v>21214</v>
      </c>
      <c r="X1259" t="s">
        <v>21215</v>
      </c>
      <c r="Y1259" t="s">
        <v>21216</v>
      </c>
      <c r="Z1259" t="s">
        <v>21217</v>
      </c>
      <c r="AA1259" t="s">
        <v>21218</v>
      </c>
      <c r="AB1259" t="s">
        <v>21219</v>
      </c>
      <c r="AC1259" t="s">
        <v>21220</v>
      </c>
      <c r="AD1259" t="s">
        <v>21221</v>
      </c>
      <c r="AE1259" t="s">
        <v>21222</v>
      </c>
      <c r="AF1259" t="s">
        <v>74</v>
      </c>
      <c r="AG1259">
        <v>90</v>
      </c>
      <c r="AH1259">
        <v>0</v>
      </c>
      <c r="AI1259">
        <v>0</v>
      </c>
      <c r="AJ1259">
        <v>0</v>
      </c>
      <c r="AK1259">
        <v>0</v>
      </c>
      <c r="AL1259" t="s">
        <v>21223</v>
      </c>
      <c r="AM1259" t="s">
        <v>291</v>
      </c>
      <c r="AN1259" t="s">
        <v>21224</v>
      </c>
      <c r="AO1259" t="s">
        <v>21225</v>
      </c>
      <c r="AP1259" t="s">
        <v>74</v>
      </c>
      <c r="AQ1259" t="s">
        <v>74</v>
      </c>
      <c r="AR1259" t="s">
        <v>21226</v>
      </c>
      <c r="AS1259" t="s">
        <v>21227</v>
      </c>
      <c r="AT1259" t="s">
        <v>930</v>
      </c>
      <c r="AU1259">
        <v>2025</v>
      </c>
      <c r="AV1259">
        <v>56</v>
      </c>
      <c r="AW1259" t="s">
        <v>74</v>
      </c>
      <c r="AX1259" t="s">
        <v>74</v>
      </c>
      <c r="AY1259" t="s">
        <v>74</v>
      </c>
      <c r="AZ1259" t="s">
        <v>74</v>
      </c>
      <c r="BA1259" t="s">
        <v>74</v>
      </c>
      <c r="BB1259" t="s">
        <v>74</v>
      </c>
      <c r="BC1259" t="s">
        <v>74</v>
      </c>
      <c r="BD1259">
        <v>106069</v>
      </c>
      <c r="BE1259" t="s">
        <v>21228</v>
      </c>
      <c r="BF1259" t="str">
        <f>HYPERLINK("http://dx.doi.org/10.1016/j.clsr.2024.106069","http://dx.doi.org/10.1016/j.clsr.2024.106069")</f>
        <v>http://dx.doi.org/10.1016/j.clsr.2024.106069</v>
      </c>
      <c r="BG1259" t="s">
        <v>74</v>
      </c>
      <c r="BH1259" t="s">
        <v>74</v>
      </c>
      <c r="BI1259">
        <v>19</v>
      </c>
      <c r="BJ1259" t="s">
        <v>10320</v>
      </c>
      <c r="BK1259" t="s">
        <v>99</v>
      </c>
      <c r="BL1259" t="s">
        <v>8015</v>
      </c>
      <c r="BM1259" t="s">
        <v>21229</v>
      </c>
      <c r="BN1259" t="s">
        <v>74</v>
      </c>
      <c r="BO1259" t="s">
        <v>1343</v>
      </c>
      <c r="BP1259" t="s">
        <v>74</v>
      </c>
      <c r="BQ1259" t="s">
        <v>74</v>
      </c>
      <c r="BR1259" t="s">
        <v>102</v>
      </c>
      <c r="BS1259" t="s">
        <v>21230</v>
      </c>
      <c r="BT1259" t="str">
        <f>HYPERLINK("https%3A%2F%2Fwww.webofscience.com%2Fwos%2Fwoscc%2Ffull-record%2FWOS:001355374900001","View Full Record in Web of Science")</f>
        <v>View Full Record in Web of Science</v>
      </c>
    </row>
    <row r="1260" spans="1:72" x14ac:dyDescent="0.35">
      <c r="A1260" t="s">
        <v>72</v>
      </c>
      <c r="B1260" t="s">
        <v>21231</v>
      </c>
      <c r="C1260" t="s">
        <v>74</v>
      </c>
      <c r="D1260" t="s">
        <v>74</v>
      </c>
      <c r="E1260" t="s">
        <v>74</v>
      </c>
      <c r="F1260" t="s">
        <v>21232</v>
      </c>
      <c r="G1260" t="s">
        <v>74</v>
      </c>
      <c r="H1260" t="s">
        <v>74</v>
      </c>
      <c r="I1260" t="s">
        <v>21233</v>
      </c>
      <c r="J1260" t="s">
        <v>15861</v>
      </c>
      <c r="K1260" t="s">
        <v>74</v>
      </c>
      <c r="L1260" t="s">
        <v>74</v>
      </c>
      <c r="M1260" t="s">
        <v>78</v>
      </c>
      <c r="N1260" t="s">
        <v>108</v>
      </c>
      <c r="O1260" t="s">
        <v>74</v>
      </c>
      <c r="P1260" t="s">
        <v>74</v>
      </c>
      <c r="Q1260" t="s">
        <v>74</v>
      </c>
      <c r="R1260" t="s">
        <v>74</v>
      </c>
      <c r="S1260" t="s">
        <v>74</v>
      </c>
      <c r="T1260" t="s">
        <v>21234</v>
      </c>
      <c r="U1260" t="s">
        <v>21235</v>
      </c>
      <c r="V1260" t="s">
        <v>21236</v>
      </c>
      <c r="W1260" t="s">
        <v>21237</v>
      </c>
      <c r="X1260" t="s">
        <v>21238</v>
      </c>
      <c r="Y1260" t="s">
        <v>21239</v>
      </c>
      <c r="Z1260" t="s">
        <v>21240</v>
      </c>
      <c r="AA1260" t="s">
        <v>21241</v>
      </c>
      <c r="AB1260" t="s">
        <v>74</v>
      </c>
      <c r="AC1260" t="s">
        <v>74</v>
      </c>
      <c r="AD1260" t="s">
        <v>74</v>
      </c>
      <c r="AE1260" t="s">
        <v>21242</v>
      </c>
      <c r="AF1260" t="s">
        <v>74</v>
      </c>
      <c r="AG1260">
        <v>41</v>
      </c>
      <c r="AH1260">
        <v>1</v>
      </c>
      <c r="AI1260">
        <v>1</v>
      </c>
      <c r="AJ1260">
        <v>2</v>
      </c>
      <c r="AK1260">
        <v>2</v>
      </c>
      <c r="AL1260" t="s">
        <v>21243</v>
      </c>
      <c r="AM1260" t="s">
        <v>21244</v>
      </c>
      <c r="AN1260" t="s">
        <v>21245</v>
      </c>
      <c r="AO1260" t="s">
        <v>15873</v>
      </c>
      <c r="AP1260" t="s">
        <v>15874</v>
      </c>
      <c r="AQ1260" t="s">
        <v>74</v>
      </c>
      <c r="AR1260" t="s">
        <v>15861</v>
      </c>
      <c r="AS1260" t="s">
        <v>15875</v>
      </c>
      <c r="AT1260" t="s">
        <v>1484</v>
      </c>
      <c r="AU1260">
        <v>2024</v>
      </c>
      <c r="AV1260">
        <v>32</v>
      </c>
      <c r="AW1260">
        <v>78</v>
      </c>
      <c r="AX1260" t="s">
        <v>74</v>
      </c>
      <c r="AY1260" t="s">
        <v>74</v>
      </c>
      <c r="AZ1260" t="s">
        <v>74</v>
      </c>
      <c r="BA1260" t="s">
        <v>74</v>
      </c>
      <c r="BB1260">
        <v>82</v>
      </c>
      <c r="BC1260">
        <v>92</v>
      </c>
      <c r="BD1260" t="s">
        <v>74</v>
      </c>
      <c r="BE1260" t="s">
        <v>21246</v>
      </c>
      <c r="BF1260" t="str">
        <f>HYPERLINK("http://dx.doi.org/10.58262/V32I78.7","http://dx.doi.org/10.58262/V32I78.7")</f>
        <v>http://dx.doi.org/10.58262/V32I78.7</v>
      </c>
      <c r="BG1260" t="s">
        <v>74</v>
      </c>
      <c r="BH1260" t="s">
        <v>74</v>
      </c>
      <c r="BI1260">
        <v>11</v>
      </c>
      <c r="BJ1260" t="s">
        <v>15877</v>
      </c>
      <c r="BK1260" t="s">
        <v>99</v>
      </c>
      <c r="BL1260" t="s">
        <v>15877</v>
      </c>
      <c r="BM1260" t="s">
        <v>21247</v>
      </c>
      <c r="BN1260" t="s">
        <v>74</v>
      </c>
      <c r="BO1260" t="s">
        <v>3287</v>
      </c>
      <c r="BP1260" t="s">
        <v>74</v>
      </c>
      <c r="BQ1260" t="s">
        <v>74</v>
      </c>
      <c r="BR1260" t="s">
        <v>102</v>
      </c>
      <c r="BS1260" t="s">
        <v>21248</v>
      </c>
      <c r="BT1260" t="str">
        <f>HYPERLINK("https%3A%2F%2Fwww.webofscience.com%2Fwos%2Fwoscc%2Ffull-record%2FWOS:001309482500007","View Full Record in Web of Science")</f>
        <v>View Full Record in Web of Science</v>
      </c>
    </row>
    <row r="1261" spans="1:72" x14ac:dyDescent="0.35">
      <c r="A1261" t="s">
        <v>72</v>
      </c>
      <c r="B1261" t="s">
        <v>21249</v>
      </c>
      <c r="C1261" t="s">
        <v>74</v>
      </c>
      <c r="D1261" t="s">
        <v>74</v>
      </c>
      <c r="E1261" t="s">
        <v>74</v>
      </c>
      <c r="F1261" t="s">
        <v>21250</v>
      </c>
      <c r="G1261" t="s">
        <v>74</v>
      </c>
      <c r="H1261" t="s">
        <v>74</v>
      </c>
      <c r="I1261" t="s">
        <v>21251</v>
      </c>
      <c r="J1261" t="s">
        <v>2450</v>
      </c>
      <c r="K1261" t="s">
        <v>74</v>
      </c>
      <c r="L1261" t="s">
        <v>74</v>
      </c>
      <c r="M1261" t="s">
        <v>78</v>
      </c>
      <c r="N1261" t="s">
        <v>108</v>
      </c>
      <c r="O1261" t="s">
        <v>74</v>
      </c>
      <c r="P1261" t="s">
        <v>74</v>
      </c>
      <c r="Q1261" t="s">
        <v>74</v>
      </c>
      <c r="R1261" t="s">
        <v>74</v>
      </c>
      <c r="S1261" t="s">
        <v>74</v>
      </c>
      <c r="T1261" t="s">
        <v>74</v>
      </c>
      <c r="U1261" t="s">
        <v>21252</v>
      </c>
      <c r="V1261" t="s">
        <v>21253</v>
      </c>
      <c r="W1261" t="s">
        <v>21254</v>
      </c>
      <c r="X1261" t="s">
        <v>21255</v>
      </c>
      <c r="Y1261" t="s">
        <v>21256</v>
      </c>
      <c r="Z1261" t="s">
        <v>21257</v>
      </c>
      <c r="AA1261" t="s">
        <v>21258</v>
      </c>
      <c r="AB1261" t="s">
        <v>21259</v>
      </c>
      <c r="AC1261" t="s">
        <v>74</v>
      </c>
      <c r="AD1261" t="s">
        <v>74</v>
      </c>
      <c r="AE1261" t="s">
        <v>74</v>
      </c>
      <c r="AF1261" t="s">
        <v>74</v>
      </c>
      <c r="AG1261">
        <v>45</v>
      </c>
      <c r="AH1261">
        <v>85</v>
      </c>
      <c r="AI1261">
        <v>108</v>
      </c>
      <c r="AJ1261">
        <v>13</v>
      </c>
      <c r="AK1261">
        <v>135</v>
      </c>
      <c r="AL1261" t="s">
        <v>2458</v>
      </c>
      <c r="AM1261" t="s">
        <v>2459</v>
      </c>
      <c r="AN1261" t="s">
        <v>2460</v>
      </c>
      <c r="AO1261" t="s">
        <v>2461</v>
      </c>
      <c r="AP1261" t="s">
        <v>74</v>
      </c>
      <c r="AQ1261" t="s">
        <v>74</v>
      </c>
      <c r="AR1261" t="s">
        <v>2450</v>
      </c>
      <c r="AS1261" t="s">
        <v>2462</v>
      </c>
      <c r="AT1261" t="s">
        <v>10982</v>
      </c>
      <c r="AU1261">
        <v>2021</v>
      </c>
      <c r="AV1261">
        <v>16</v>
      </c>
      <c r="AW1261">
        <v>3</v>
      </c>
      <c r="AX1261" t="s">
        <v>74</v>
      </c>
      <c r="AY1261" t="s">
        <v>74</v>
      </c>
      <c r="AZ1261" t="s">
        <v>74</v>
      </c>
      <c r="BA1261" t="s">
        <v>74</v>
      </c>
      <c r="BB1261" t="s">
        <v>74</v>
      </c>
      <c r="BC1261" t="s">
        <v>74</v>
      </c>
      <c r="BD1261" t="s">
        <v>21260</v>
      </c>
      <c r="BE1261" t="s">
        <v>21261</v>
      </c>
      <c r="BF1261" t="str">
        <f>HYPERLINK("http://dx.doi.org/10.1371/journal.pone.0248384","http://dx.doi.org/10.1371/journal.pone.0248384")</f>
        <v>http://dx.doi.org/10.1371/journal.pone.0248384</v>
      </c>
      <c r="BG1261" t="s">
        <v>74</v>
      </c>
      <c r="BH1261" t="s">
        <v>74</v>
      </c>
      <c r="BI1261">
        <v>14</v>
      </c>
      <c r="BJ1261" t="s">
        <v>1301</v>
      </c>
      <c r="BK1261" t="s">
        <v>182</v>
      </c>
      <c r="BL1261" t="s">
        <v>1302</v>
      </c>
      <c r="BM1261" t="s">
        <v>21262</v>
      </c>
      <c r="BN1261">
        <v>33705462</v>
      </c>
      <c r="BO1261" t="s">
        <v>552</v>
      </c>
      <c r="BP1261" t="s">
        <v>74</v>
      </c>
      <c r="BQ1261" t="s">
        <v>74</v>
      </c>
      <c r="BR1261" t="s">
        <v>102</v>
      </c>
      <c r="BS1261" t="s">
        <v>21263</v>
      </c>
      <c r="BT1261" t="str">
        <f>HYPERLINK("https%3A%2F%2Fwww.webofscience.com%2Fwos%2Fwoscc%2Ffull-record%2FWOS:000629590400051","View Full Record in Web of Science")</f>
        <v>View Full Record in Web of Science</v>
      </c>
    </row>
    <row r="1262" spans="1:72" x14ac:dyDescent="0.35">
      <c r="A1262" t="s">
        <v>72</v>
      </c>
      <c r="B1262" t="s">
        <v>21264</v>
      </c>
      <c r="C1262" t="s">
        <v>74</v>
      </c>
      <c r="D1262" t="s">
        <v>74</v>
      </c>
      <c r="E1262" t="s">
        <v>74</v>
      </c>
      <c r="F1262" t="s">
        <v>21265</v>
      </c>
      <c r="G1262" t="s">
        <v>74</v>
      </c>
      <c r="H1262" t="s">
        <v>74</v>
      </c>
      <c r="I1262" t="s">
        <v>21266</v>
      </c>
      <c r="J1262" t="s">
        <v>21267</v>
      </c>
      <c r="K1262" t="s">
        <v>74</v>
      </c>
      <c r="L1262" t="s">
        <v>74</v>
      </c>
      <c r="M1262" t="s">
        <v>78</v>
      </c>
      <c r="N1262" t="s">
        <v>5592</v>
      </c>
      <c r="O1262" t="s">
        <v>21268</v>
      </c>
      <c r="P1262" t="s">
        <v>21269</v>
      </c>
      <c r="Q1262" t="s">
        <v>5386</v>
      </c>
      <c r="R1262" t="s">
        <v>21270</v>
      </c>
      <c r="S1262" t="s">
        <v>74</v>
      </c>
      <c r="T1262" t="s">
        <v>21271</v>
      </c>
      <c r="U1262" t="s">
        <v>21272</v>
      </c>
      <c r="V1262" t="s">
        <v>21273</v>
      </c>
      <c r="W1262" t="s">
        <v>21274</v>
      </c>
      <c r="X1262" t="s">
        <v>21275</v>
      </c>
      <c r="Y1262" t="s">
        <v>21276</v>
      </c>
      <c r="Z1262" t="s">
        <v>19852</v>
      </c>
      <c r="AA1262" t="s">
        <v>74</v>
      </c>
      <c r="AB1262" t="s">
        <v>21277</v>
      </c>
      <c r="AC1262" t="s">
        <v>74</v>
      </c>
      <c r="AD1262" t="s">
        <v>74</v>
      </c>
      <c r="AE1262" t="s">
        <v>74</v>
      </c>
      <c r="AF1262" t="s">
        <v>74</v>
      </c>
      <c r="AG1262">
        <v>34</v>
      </c>
      <c r="AH1262">
        <v>6</v>
      </c>
      <c r="AI1262">
        <v>6</v>
      </c>
      <c r="AJ1262">
        <v>2</v>
      </c>
      <c r="AK1262">
        <v>3</v>
      </c>
      <c r="AL1262" t="s">
        <v>3632</v>
      </c>
      <c r="AM1262" t="s">
        <v>148</v>
      </c>
      <c r="AN1262" t="s">
        <v>5053</v>
      </c>
      <c r="AO1262" t="s">
        <v>21278</v>
      </c>
      <c r="AP1262" t="s">
        <v>21279</v>
      </c>
      <c r="AQ1262" t="s">
        <v>74</v>
      </c>
      <c r="AR1262" t="s">
        <v>21280</v>
      </c>
      <c r="AS1262" t="s">
        <v>21281</v>
      </c>
      <c r="AT1262" t="s">
        <v>455</v>
      </c>
      <c r="AU1262">
        <v>2023</v>
      </c>
      <c r="AV1262">
        <v>84</v>
      </c>
      <c r="AW1262" t="s">
        <v>74</v>
      </c>
      <c r="AX1262" t="s">
        <v>74</v>
      </c>
      <c r="AY1262" t="s">
        <v>74</v>
      </c>
      <c r="AZ1262" t="s">
        <v>74</v>
      </c>
      <c r="BA1262" t="s">
        <v>74</v>
      </c>
      <c r="BB1262">
        <v>214</v>
      </c>
      <c r="BC1262">
        <v>222</v>
      </c>
      <c r="BD1262" t="s">
        <v>74</v>
      </c>
      <c r="BE1262" t="s">
        <v>21282</v>
      </c>
      <c r="BF1262" t="str">
        <f>HYPERLINK("http://dx.doi.org/10.1016/j.bjps.2023.05.038","http://dx.doi.org/10.1016/j.bjps.2023.05.038")</f>
        <v>http://dx.doi.org/10.1016/j.bjps.2023.05.038</v>
      </c>
      <c r="BG1262" t="s">
        <v>74</v>
      </c>
      <c r="BH1262" t="s">
        <v>1954</v>
      </c>
      <c r="BI1262">
        <v>9</v>
      </c>
      <c r="BJ1262" t="s">
        <v>4994</v>
      </c>
      <c r="BK1262" t="s">
        <v>2257</v>
      </c>
      <c r="BL1262" t="s">
        <v>4994</v>
      </c>
      <c r="BM1262" t="s">
        <v>21283</v>
      </c>
      <c r="BN1262">
        <v>37339546</v>
      </c>
      <c r="BO1262" t="s">
        <v>74</v>
      </c>
      <c r="BP1262" t="s">
        <v>74</v>
      </c>
      <c r="BQ1262" t="s">
        <v>74</v>
      </c>
      <c r="BR1262" t="s">
        <v>102</v>
      </c>
      <c r="BS1262" t="s">
        <v>21284</v>
      </c>
      <c r="BT1262" t="str">
        <f>HYPERLINK("https%3A%2F%2Fwww.webofscience.com%2Fwos%2Fwoscc%2Ffull-record%2FWOS:001059823200001","View Full Record in Web of Science")</f>
        <v>View Full Record in Web of Science</v>
      </c>
    </row>
    <row r="1263" spans="1:72" x14ac:dyDescent="0.35">
      <c r="A1263" t="s">
        <v>72</v>
      </c>
      <c r="B1263" t="s">
        <v>21285</v>
      </c>
      <c r="C1263" t="s">
        <v>74</v>
      </c>
      <c r="D1263" t="s">
        <v>74</v>
      </c>
      <c r="E1263" t="s">
        <v>74</v>
      </c>
      <c r="F1263" t="s">
        <v>21286</v>
      </c>
      <c r="G1263" t="s">
        <v>74</v>
      </c>
      <c r="H1263" t="s">
        <v>74</v>
      </c>
      <c r="I1263" t="s">
        <v>21287</v>
      </c>
      <c r="J1263" t="s">
        <v>21288</v>
      </c>
      <c r="K1263" t="s">
        <v>74</v>
      </c>
      <c r="L1263" t="s">
        <v>74</v>
      </c>
      <c r="M1263" t="s">
        <v>78</v>
      </c>
      <c r="N1263" t="s">
        <v>108</v>
      </c>
      <c r="O1263" t="s">
        <v>74</v>
      </c>
      <c r="P1263" t="s">
        <v>74</v>
      </c>
      <c r="Q1263" t="s">
        <v>74</v>
      </c>
      <c r="R1263" t="s">
        <v>74</v>
      </c>
      <c r="S1263" t="s">
        <v>74</v>
      </c>
      <c r="T1263" t="s">
        <v>21289</v>
      </c>
      <c r="U1263" t="s">
        <v>21290</v>
      </c>
      <c r="V1263" t="s">
        <v>21291</v>
      </c>
      <c r="W1263" t="s">
        <v>21292</v>
      </c>
      <c r="X1263" t="s">
        <v>13060</v>
      </c>
      <c r="Y1263" t="s">
        <v>21293</v>
      </c>
      <c r="Z1263" t="s">
        <v>21294</v>
      </c>
      <c r="AA1263" t="s">
        <v>74</v>
      </c>
      <c r="AB1263" t="s">
        <v>21295</v>
      </c>
      <c r="AC1263" t="s">
        <v>74</v>
      </c>
      <c r="AD1263" t="s">
        <v>74</v>
      </c>
      <c r="AE1263" t="s">
        <v>74</v>
      </c>
      <c r="AF1263" t="s">
        <v>74</v>
      </c>
      <c r="AG1263">
        <v>33</v>
      </c>
      <c r="AH1263">
        <v>4</v>
      </c>
      <c r="AI1263">
        <v>4</v>
      </c>
      <c r="AJ1263">
        <v>1</v>
      </c>
      <c r="AK1263">
        <v>10</v>
      </c>
      <c r="AL1263" t="s">
        <v>21296</v>
      </c>
      <c r="AM1263" t="s">
        <v>227</v>
      </c>
      <c r="AN1263" t="s">
        <v>21297</v>
      </c>
      <c r="AO1263" t="s">
        <v>21298</v>
      </c>
      <c r="AP1263" t="s">
        <v>21299</v>
      </c>
      <c r="AQ1263" t="s">
        <v>74</v>
      </c>
      <c r="AR1263" t="s">
        <v>21288</v>
      </c>
      <c r="AS1263" t="s">
        <v>21300</v>
      </c>
      <c r="AT1263" t="s">
        <v>1275</v>
      </c>
      <c r="AU1263">
        <v>2022</v>
      </c>
      <c r="AV1263">
        <v>213</v>
      </c>
      <c r="AW1263" t="s">
        <v>74</v>
      </c>
      <c r="AX1263" t="s">
        <v>74</v>
      </c>
      <c r="AY1263" t="s">
        <v>74</v>
      </c>
      <c r="AZ1263" t="s">
        <v>74</v>
      </c>
      <c r="BA1263" t="s">
        <v>74</v>
      </c>
      <c r="BB1263">
        <v>94</v>
      </c>
      <c r="BC1263">
        <v>99</v>
      </c>
      <c r="BD1263" t="s">
        <v>74</v>
      </c>
      <c r="BE1263" t="s">
        <v>21301</v>
      </c>
      <c r="BF1263" t="str">
        <f>HYPERLINK("http://dx.doi.org/10.1016/j.puhe.2022.10.010","http://dx.doi.org/10.1016/j.puhe.2022.10.010")</f>
        <v>http://dx.doi.org/10.1016/j.puhe.2022.10.010</v>
      </c>
      <c r="BG1263" t="s">
        <v>74</v>
      </c>
      <c r="BH1263" t="s">
        <v>366</v>
      </c>
      <c r="BI1263">
        <v>6</v>
      </c>
      <c r="BJ1263" t="s">
        <v>392</v>
      </c>
      <c r="BK1263" t="s">
        <v>182</v>
      </c>
      <c r="BL1263" t="s">
        <v>392</v>
      </c>
      <c r="BM1263" t="s">
        <v>21302</v>
      </c>
      <c r="BN1263">
        <v>36402089</v>
      </c>
      <c r="BO1263" t="s">
        <v>74</v>
      </c>
      <c r="BP1263" t="s">
        <v>74</v>
      </c>
      <c r="BQ1263" t="s">
        <v>74</v>
      </c>
      <c r="BR1263" t="s">
        <v>102</v>
      </c>
      <c r="BS1263" t="s">
        <v>21303</v>
      </c>
      <c r="BT1263" t="str">
        <f>HYPERLINK("https%3A%2F%2Fwww.webofscience.com%2Fwos%2Fwoscc%2Ffull-record%2FWOS:000918343500007","View Full Record in Web of Science")</f>
        <v>View Full Record in Web of Science</v>
      </c>
    </row>
    <row r="1264" spans="1:72" x14ac:dyDescent="0.35">
      <c r="A1264" t="s">
        <v>72</v>
      </c>
      <c r="B1264" t="s">
        <v>21304</v>
      </c>
      <c r="C1264" t="s">
        <v>74</v>
      </c>
      <c r="D1264" t="s">
        <v>74</v>
      </c>
      <c r="E1264" t="s">
        <v>74</v>
      </c>
      <c r="F1264" t="s">
        <v>21305</v>
      </c>
      <c r="G1264" t="s">
        <v>74</v>
      </c>
      <c r="H1264" t="s">
        <v>74</v>
      </c>
      <c r="I1264" t="s">
        <v>21306</v>
      </c>
      <c r="J1264" t="s">
        <v>19051</v>
      </c>
      <c r="K1264" t="s">
        <v>74</v>
      </c>
      <c r="L1264" t="s">
        <v>74</v>
      </c>
      <c r="M1264" t="s">
        <v>3503</v>
      </c>
      <c r="N1264" t="s">
        <v>108</v>
      </c>
      <c r="O1264" t="s">
        <v>74</v>
      </c>
      <c r="P1264" t="s">
        <v>74</v>
      </c>
      <c r="Q1264" t="s">
        <v>74</v>
      </c>
      <c r="R1264" t="s">
        <v>74</v>
      </c>
      <c r="S1264" t="s">
        <v>74</v>
      </c>
      <c r="T1264" t="s">
        <v>21307</v>
      </c>
      <c r="U1264" t="s">
        <v>21308</v>
      </c>
      <c r="V1264" t="s">
        <v>21309</v>
      </c>
      <c r="W1264" t="s">
        <v>21310</v>
      </c>
      <c r="X1264" t="s">
        <v>21311</v>
      </c>
      <c r="Y1264" t="s">
        <v>21312</v>
      </c>
      <c r="Z1264" t="s">
        <v>21313</v>
      </c>
      <c r="AA1264" t="s">
        <v>21314</v>
      </c>
      <c r="AB1264" t="s">
        <v>74</v>
      </c>
      <c r="AC1264" t="s">
        <v>74</v>
      </c>
      <c r="AD1264" t="s">
        <v>74</v>
      </c>
      <c r="AE1264" t="s">
        <v>74</v>
      </c>
      <c r="AF1264" t="s">
        <v>74</v>
      </c>
      <c r="AG1264">
        <v>59</v>
      </c>
      <c r="AH1264">
        <v>1</v>
      </c>
      <c r="AI1264">
        <v>1</v>
      </c>
      <c r="AJ1264">
        <v>1</v>
      </c>
      <c r="AK1264">
        <v>1</v>
      </c>
      <c r="AL1264" t="s">
        <v>19060</v>
      </c>
      <c r="AM1264" t="s">
        <v>19061</v>
      </c>
      <c r="AN1264" t="s">
        <v>19062</v>
      </c>
      <c r="AO1264" t="s">
        <v>19063</v>
      </c>
      <c r="AP1264" t="s">
        <v>19064</v>
      </c>
      <c r="AQ1264" t="s">
        <v>74</v>
      </c>
      <c r="AR1264" t="s">
        <v>19051</v>
      </c>
      <c r="AS1264" t="s">
        <v>19065</v>
      </c>
      <c r="AT1264" t="s">
        <v>3517</v>
      </c>
      <c r="AU1264">
        <v>2024</v>
      </c>
      <c r="AV1264">
        <v>95</v>
      </c>
      <c r="AW1264">
        <v>141</v>
      </c>
      <c r="AX1264" t="s">
        <v>74</v>
      </c>
      <c r="AY1264" t="s">
        <v>74</v>
      </c>
      <c r="AZ1264" t="s">
        <v>74</v>
      </c>
      <c r="BA1264" t="s">
        <v>74</v>
      </c>
      <c r="BB1264">
        <v>171</v>
      </c>
      <c r="BC1264">
        <v>186</v>
      </c>
      <c r="BD1264" t="s">
        <v>74</v>
      </c>
      <c r="BE1264" t="s">
        <v>21315</v>
      </c>
      <c r="BF1264" t="str">
        <f>HYPERLINK("http://dx.doi.org/10.30920/letras.95.141.11","http://dx.doi.org/10.30920/letras.95.141.11")</f>
        <v>http://dx.doi.org/10.30920/letras.95.141.11</v>
      </c>
      <c r="BG1264" t="s">
        <v>74</v>
      </c>
      <c r="BH1264" t="s">
        <v>74</v>
      </c>
      <c r="BI1264">
        <v>16</v>
      </c>
      <c r="BJ1264" t="s">
        <v>4461</v>
      </c>
      <c r="BK1264" t="s">
        <v>125</v>
      </c>
      <c r="BL1264" t="s">
        <v>4462</v>
      </c>
      <c r="BM1264" t="s">
        <v>19067</v>
      </c>
      <c r="BN1264" t="s">
        <v>74</v>
      </c>
      <c r="BO1264" t="s">
        <v>235</v>
      </c>
      <c r="BP1264" t="s">
        <v>74</v>
      </c>
      <c r="BQ1264" t="s">
        <v>74</v>
      </c>
      <c r="BR1264" t="s">
        <v>102</v>
      </c>
      <c r="BS1264" t="s">
        <v>21316</v>
      </c>
      <c r="BT1264" t="str">
        <f>HYPERLINK("https%3A%2F%2Fwww.webofscience.com%2Fwos%2Fwoscc%2Ffull-record%2FWOS:001297147600011","View Full Record in Web of Science")</f>
        <v>View Full Record in Web of Science</v>
      </c>
    </row>
    <row r="1265" spans="1:72" x14ac:dyDescent="0.35">
      <c r="A1265" t="s">
        <v>72</v>
      </c>
      <c r="B1265" t="s">
        <v>21317</v>
      </c>
      <c r="C1265" t="s">
        <v>74</v>
      </c>
      <c r="D1265" t="s">
        <v>74</v>
      </c>
      <c r="E1265" t="s">
        <v>74</v>
      </c>
      <c r="F1265" t="s">
        <v>21318</v>
      </c>
      <c r="G1265" t="s">
        <v>74</v>
      </c>
      <c r="H1265" t="s">
        <v>74</v>
      </c>
      <c r="I1265" t="s">
        <v>21319</v>
      </c>
      <c r="J1265" t="s">
        <v>5339</v>
      </c>
      <c r="K1265" t="s">
        <v>74</v>
      </c>
      <c r="L1265" t="s">
        <v>74</v>
      </c>
      <c r="M1265" t="s">
        <v>78</v>
      </c>
      <c r="N1265" t="s">
        <v>108</v>
      </c>
      <c r="O1265" t="s">
        <v>74</v>
      </c>
      <c r="P1265" t="s">
        <v>74</v>
      </c>
      <c r="Q1265" t="s">
        <v>74</v>
      </c>
      <c r="R1265" t="s">
        <v>74</v>
      </c>
      <c r="S1265" t="s">
        <v>74</v>
      </c>
      <c r="T1265" t="s">
        <v>21320</v>
      </c>
      <c r="U1265" t="s">
        <v>21321</v>
      </c>
      <c r="V1265" t="s">
        <v>21322</v>
      </c>
      <c r="W1265" t="s">
        <v>21323</v>
      </c>
      <c r="X1265" t="s">
        <v>21324</v>
      </c>
      <c r="Y1265" t="s">
        <v>21325</v>
      </c>
      <c r="Z1265" t="s">
        <v>21326</v>
      </c>
      <c r="AA1265" t="s">
        <v>21327</v>
      </c>
      <c r="AB1265" t="s">
        <v>74</v>
      </c>
      <c r="AC1265" t="s">
        <v>74</v>
      </c>
      <c r="AD1265" t="s">
        <v>74</v>
      </c>
      <c r="AE1265" t="s">
        <v>74</v>
      </c>
      <c r="AF1265" t="s">
        <v>74</v>
      </c>
      <c r="AG1265">
        <v>34</v>
      </c>
      <c r="AH1265">
        <v>1</v>
      </c>
      <c r="AI1265">
        <v>1</v>
      </c>
      <c r="AJ1265">
        <v>2</v>
      </c>
      <c r="AK1265">
        <v>22</v>
      </c>
      <c r="AL1265" t="s">
        <v>5349</v>
      </c>
      <c r="AM1265" t="s">
        <v>5350</v>
      </c>
      <c r="AN1265" t="s">
        <v>5351</v>
      </c>
      <c r="AO1265" t="s">
        <v>74</v>
      </c>
      <c r="AP1265" t="s">
        <v>5352</v>
      </c>
      <c r="AQ1265" t="s">
        <v>74</v>
      </c>
      <c r="AR1265" t="s">
        <v>5353</v>
      </c>
      <c r="AS1265" t="s">
        <v>5354</v>
      </c>
      <c r="AT1265" t="s">
        <v>74</v>
      </c>
      <c r="AU1265">
        <v>2021</v>
      </c>
      <c r="AV1265">
        <v>3</v>
      </c>
      <c r="AW1265">
        <v>3</v>
      </c>
      <c r="AX1265" t="s">
        <v>74</v>
      </c>
      <c r="AY1265" t="s">
        <v>74</v>
      </c>
      <c r="AZ1265" t="s">
        <v>74</v>
      </c>
      <c r="BA1265" t="s">
        <v>74</v>
      </c>
      <c r="BB1265">
        <v>374</v>
      </c>
      <c r="BC1265">
        <v>389</v>
      </c>
      <c r="BD1265" t="s">
        <v>74</v>
      </c>
      <c r="BE1265" t="s">
        <v>21328</v>
      </c>
      <c r="BF1265" t="str">
        <f>HYPERLINK("http://dx.doi.org/10.46539/gmd.v3i3.137","http://dx.doi.org/10.46539/gmd.v3i3.137")</f>
        <v>http://dx.doi.org/10.46539/gmd.v3i3.137</v>
      </c>
      <c r="BG1265" t="s">
        <v>74</v>
      </c>
      <c r="BH1265" t="s">
        <v>74</v>
      </c>
      <c r="BI1265">
        <v>16</v>
      </c>
      <c r="BJ1265" t="s">
        <v>124</v>
      </c>
      <c r="BK1265" t="s">
        <v>125</v>
      </c>
      <c r="BL1265" t="s">
        <v>124</v>
      </c>
      <c r="BM1265" t="s">
        <v>21329</v>
      </c>
      <c r="BN1265" t="s">
        <v>74</v>
      </c>
      <c r="BO1265" t="s">
        <v>235</v>
      </c>
      <c r="BP1265" t="s">
        <v>74</v>
      </c>
      <c r="BQ1265" t="s">
        <v>74</v>
      </c>
      <c r="BR1265" t="s">
        <v>102</v>
      </c>
      <c r="BS1265" t="s">
        <v>21330</v>
      </c>
      <c r="BT1265" t="str">
        <f>HYPERLINK("https%3A%2F%2Fwww.webofscience.com%2Fwos%2Fwoscc%2Ffull-record%2FWOS:000713721200018","View Full Record in Web of Science")</f>
        <v>View Full Record in Web of Science</v>
      </c>
    </row>
    <row r="1266" spans="1:72" x14ac:dyDescent="0.35">
      <c r="A1266" t="s">
        <v>72</v>
      </c>
      <c r="B1266" t="s">
        <v>21331</v>
      </c>
      <c r="C1266" t="s">
        <v>74</v>
      </c>
      <c r="D1266" t="s">
        <v>74</v>
      </c>
      <c r="E1266" t="s">
        <v>74</v>
      </c>
      <c r="F1266" t="s">
        <v>21332</v>
      </c>
      <c r="G1266" t="s">
        <v>74</v>
      </c>
      <c r="H1266" t="s">
        <v>74</v>
      </c>
      <c r="I1266" t="s">
        <v>21333</v>
      </c>
      <c r="J1266" t="s">
        <v>2110</v>
      </c>
      <c r="K1266" t="s">
        <v>74</v>
      </c>
      <c r="L1266" t="s">
        <v>74</v>
      </c>
      <c r="M1266" t="s">
        <v>78</v>
      </c>
      <c r="N1266" t="s">
        <v>79</v>
      </c>
      <c r="O1266" t="s">
        <v>74</v>
      </c>
      <c r="P1266" t="s">
        <v>74</v>
      </c>
      <c r="Q1266" t="s">
        <v>74</v>
      </c>
      <c r="R1266" t="s">
        <v>74</v>
      </c>
      <c r="S1266" t="s">
        <v>74</v>
      </c>
      <c r="T1266" t="s">
        <v>21334</v>
      </c>
      <c r="U1266" t="s">
        <v>21335</v>
      </c>
      <c r="V1266" t="s">
        <v>21336</v>
      </c>
      <c r="W1266" t="s">
        <v>21337</v>
      </c>
      <c r="X1266" t="s">
        <v>21338</v>
      </c>
      <c r="Y1266" t="s">
        <v>21339</v>
      </c>
      <c r="Z1266" t="s">
        <v>21340</v>
      </c>
      <c r="AA1266" t="s">
        <v>74</v>
      </c>
      <c r="AB1266" t="s">
        <v>74</v>
      </c>
      <c r="AC1266" t="s">
        <v>21341</v>
      </c>
      <c r="AD1266" t="s">
        <v>21342</v>
      </c>
      <c r="AE1266" t="s">
        <v>21343</v>
      </c>
      <c r="AF1266" t="s">
        <v>74</v>
      </c>
      <c r="AG1266">
        <v>79</v>
      </c>
      <c r="AH1266">
        <v>0</v>
      </c>
      <c r="AI1266">
        <v>0</v>
      </c>
      <c r="AJ1266">
        <v>9</v>
      </c>
      <c r="AK1266">
        <v>9</v>
      </c>
      <c r="AL1266" t="s">
        <v>226</v>
      </c>
      <c r="AM1266" t="s">
        <v>227</v>
      </c>
      <c r="AN1266" t="s">
        <v>228</v>
      </c>
      <c r="AO1266" t="s">
        <v>2118</v>
      </c>
      <c r="AP1266" t="s">
        <v>2119</v>
      </c>
      <c r="AQ1266" t="s">
        <v>74</v>
      </c>
      <c r="AR1266" t="s">
        <v>2120</v>
      </c>
      <c r="AS1266" t="s">
        <v>2121</v>
      </c>
      <c r="AT1266" t="s">
        <v>7183</v>
      </c>
      <c r="AU1266">
        <v>2024</v>
      </c>
      <c r="AV1266" t="s">
        <v>74</v>
      </c>
      <c r="AW1266" t="s">
        <v>74</v>
      </c>
      <c r="AX1266" t="s">
        <v>74</v>
      </c>
      <c r="AY1266" t="s">
        <v>74</v>
      </c>
      <c r="AZ1266" t="s">
        <v>74</v>
      </c>
      <c r="BA1266" t="s">
        <v>74</v>
      </c>
      <c r="BB1266" t="s">
        <v>74</v>
      </c>
      <c r="BC1266" t="s">
        <v>74</v>
      </c>
      <c r="BD1266" t="s">
        <v>74</v>
      </c>
      <c r="BE1266" t="s">
        <v>21344</v>
      </c>
      <c r="BF1266" t="str">
        <f>HYPERLINK("http://dx.doi.org/10.1177/13675494241285643","http://dx.doi.org/10.1177/13675494241285643")</f>
        <v>http://dx.doi.org/10.1177/13675494241285643</v>
      </c>
      <c r="BG1266" t="s">
        <v>74</v>
      </c>
      <c r="BH1266" t="s">
        <v>1721</v>
      </c>
      <c r="BI1266">
        <v>19</v>
      </c>
      <c r="BJ1266" t="s">
        <v>2124</v>
      </c>
      <c r="BK1266" t="s">
        <v>2125</v>
      </c>
      <c r="BL1266" t="s">
        <v>2124</v>
      </c>
      <c r="BM1266" t="s">
        <v>21345</v>
      </c>
      <c r="BN1266" t="s">
        <v>74</v>
      </c>
      <c r="BO1266" t="s">
        <v>156</v>
      </c>
      <c r="BP1266" t="s">
        <v>74</v>
      </c>
      <c r="BQ1266" t="s">
        <v>74</v>
      </c>
      <c r="BR1266" t="s">
        <v>102</v>
      </c>
      <c r="BS1266" t="s">
        <v>21346</v>
      </c>
      <c r="BT1266" t="str">
        <f>HYPERLINK("https%3A%2F%2Fwww.webofscience.com%2Fwos%2Fwoscc%2Ffull-record%2FWOS:001336485700001","View Full Record in Web of Science")</f>
        <v>View Full Record in Web of Science</v>
      </c>
    </row>
    <row r="1267" spans="1:72" x14ac:dyDescent="0.35">
      <c r="A1267" t="s">
        <v>72</v>
      </c>
      <c r="B1267" t="s">
        <v>21347</v>
      </c>
      <c r="C1267" t="s">
        <v>74</v>
      </c>
      <c r="D1267" t="s">
        <v>74</v>
      </c>
      <c r="E1267" t="s">
        <v>74</v>
      </c>
      <c r="F1267" t="s">
        <v>21348</v>
      </c>
      <c r="G1267" t="s">
        <v>74</v>
      </c>
      <c r="H1267" t="s">
        <v>74</v>
      </c>
      <c r="I1267" t="s">
        <v>21349</v>
      </c>
      <c r="J1267" t="s">
        <v>21350</v>
      </c>
      <c r="K1267" t="s">
        <v>74</v>
      </c>
      <c r="L1267" t="s">
        <v>74</v>
      </c>
      <c r="M1267" t="s">
        <v>78</v>
      </c>
      <c r="N1267" t="s">
        <v>108</v>
      </c>
      <c r="O1267" t="s">
        <v>74</v>
      </c>
      <c r="P1267" t="s">
        <v>74</v>
      </c>
      <c r="Q1267" t="s">
        <v>74</v>
      </c>
      <c r="R1267" t="s">
        <v>74</v>
      </c>
      <c r="S1267" t="s">
        <v>74</v>
      </c>
      <c r="T1267" t="s">
        <v>21351</v>
      </c>
      <c r="U1267" t="s">
        <v>218</v>
      </c>
      <c r="V1267" t="s">
        <v>21352</v>
      </c>
      <c r="W1267" t="s">
        <v>21353</v>
      </c>
      <c r="X1267" t="s">
        <v>21354</v>
      </c>
      <c r="Y1267" t="s">
        <v>21355</v>
      </c>
      <c r="Z1267" t="s">
        <v>21356</v>
      </c>
      <c r="AA1267" t="s">
        <v>74</v>
      </c>
      <c r="AB1267" t="s">
        <v>74</v>
      </c>
      <c r="AC1267" t="s">
        <v>74</v>
      </c>
      <c r="AD1267" t="s">
        <v>74</v>
      </c>
      <c r="AE1267" t="s">
        <v>74</v>
      </c>
      <c r="AF1267" t="s">
        <v>74</v>
      </c>
      <c r="AG1267">
        <v>45</v>
      </c>
      <c r="AH1267">
        <v>0</v>
      </c>
      <c r="AI1267">
        <v>0</v>
      </c>
      <c r="AJ1267">
        <v>1</v>
      </c>
      <c r="AK1267">
        <v>1</v>
      </c>
      <c r="AL1267" t="s">
        <v>21357</v>
      </c>
      <c r="AM1267" t="s">
        <v>21358</v>
      </c>
      <c r="AN1267" t="s">
        <v>21359</v>
      </c>
      <c r="AO1267" t="s">
        <v>21360</v>
      </c>
      <c r="AP1267" t="s">
        <v>21361</v>
      </c>
      <c r="AQ1267" t="s">
        <v>74</v>
      </c>
      <c r="AR1267" t="s">
        <v>21362</v>
      </c>
      <c r="AS1267" t="s">
        <v>21363</v>
      </c>
      <c r="AT1267" t="s">
        <v>273</v>
      </c>
      <c r="AU1267">
        <v>2023</v>
      </c>
      <c r="AV1267">
        <v>25</v>
      </c>
      <c r="AW1267">
        <v>2</v>
      </c>
      <c r="AX1267" t="s">
        <v>74</v>
      </c>
      <c r="AY1267" t="s">
        <v>74</v>
      </c>
      <c r="AZ1267" t="s">
        <v>74</v>
      </c>
      <c r="BA1267" t="s">
        <v>74</v>
      </c>
      <c r="BB1267">
        <v>49</v>
      </c>
      <c r="BC1267">
        <v>65</v>
      </c>
      <c r="BD1267" t="s">
        <v>74</v>
      </c>
      <c r="BE1267" t="s">
        <v>74</v>
      </c>
      <c r="BF1267" t="s">
        <v>74</v>
      </c>
      <c r="BG1267" t="s">
        <v>74</v>
      </c>
      <c r="BH1267" t="s">
        <v>74</v>
      </c>
      <c r="BI1267">
        <v>17</v>
      </c>
      <c r="BJ1267" t="s">
        <v>124</v>
      </c>
      <c r="BK1267" t="s">
        <v>125</v>
      </c>
      <c r="BL1267" t="s">
        <v>124</v>
      </c>
      <c r="BM1267" t="s">
        <v>21364</v>
      </c>
      <c r="BN1267" t="s">
        <v>74</v>
      </c>
      <c r="BO1267" t="s">
        <v>74</v>
      </c>
      <c r="BP1267" t="s">
        <v>74</v>
      </c>
      <c r="BQ1267" t="s">
        <v>74</v>
      </c>
      <c r="BR1267" t="s">
        <v>102</v>
      </c>
      <c r="BS1267" t="s">
        <v>21365</v>
      </c>
      <c r="BT1267" t="str">
        <f>HYPERLINK("https%3A%2F%2Fwww.webofscience.com%2Fwos%2Fwoscc%2Ffull-record%2FWOS:001189767700001","View Full Record in Web of Science")</f>
        <v>View Full Record in Web of Science</v>
      </c>
    </row>
    <row r="1268" spans="1:72" x14ac:dyDescent="0.35">
      <c r="A1268" t="s">
        <v>72</v>
      </c>
      <c r="B1268" t="s">
        <v>21366</v>
      </c>
      <c r="C1268" t="s">
        <v>74</v>
      </c>
      <c r="D1268" t="s">
        <v>74</v>
      </c>
      <c r="E1268" t="s">
        <v>74</v>
      </c>
      <c r="F1268" t="s">
        <v>21367</v>
      </c>
      <c r="G1268" t="s">
        <v>74</v>
      </c>
      <c r="H1268" t="s">
        <v>74</v>
      </c>
      <c r="I1268" t="s">
        <v>21368</v>
      </c>
      <c r="J1268" t="s">
        <v>21369</v>
      </c>
      <c r="K1268" t="s">
        <v>74</v>
      </c>
      <c r="L1268" t="s">
        <v>74</v>
      </c>
      <c r="M1268" t="s">
        <v>78</v>
      </c>
      <c r="N1268" t="s">
        <v>108</v>
      </c>
      <c r="O1268" t="s">
        <v>74</v>
      </c>
      <c r="P1268" t="s">
        <v>74</v>
      </c>
      <c r="Q1268" t="s">
        <v>74</v>
      </c>
      <c r="R1268" t="s">
        <v>74</v>
      </c>
      <c r="S1268" t="s">
        <v>74</v>
      </c>
      <c r="T1268" t="s">
        <v>21370</v>
      </c>
      <c r="U1268" t="s">
        <v>74</v>
      </c>
      <c r="V1268" t="s">
        <v>21371</v>
      </c>
      <c r="W1268" t="s">
        <v>21372</v>
      </c>
      <c r="X1268" t="s">
        <v>16573</v>
      </c>
      <c r="Y1268" t="s">
        <v>21373</v>
      </c>
      <c r="Z1268" t="s">
        <v>21374</v>
      </c>
      <c r="AA1268" t="s">
        <v>21375</v>
      </c>
      <c r="AB1268" t="s">
        <v>74</v>
      </c>
      <c r="AC1268" t="s">
        <v>74</v>
      </c>
      <c r="AD1268" t="s">
        <v>74</v>
      </c>
      <c r="AE1268" t="s">
        <v>74</v>
      </c>
      <c r="AF1268" t="s">
        <v>74</v>
      </c>
      <c r="AG1268">
        <v>30</v>
      </c>
      <c r="AH1268">
        <v>0</v>
      </c>
      <c r="AI1268">
        <v>0</v>
      </c>
      <c r="AJ1268">
        <v>4</v>
      </c>
      <c r="AK1268">
        <v>20</v>
      </c>
      <c r="AL1268" t="s">
        <v>21376</v>
      </c>
      <c r="AM1268" t="s">
        <v>5232</v>
      </c>
      <c r="AN1268" t="s">
        <v>21377</v>
      </c>
      <c r="AO1268" t="s">
        <v>21378</v>
      </c>
      <c r="AP1268" t="s">
        <v>21379</v>
      </c>
      <c r="AQ1268" t="s">
        <v>74</v>
      </c>
      <c r="AR1268" t="s">
        <v>21380</v>
      </c>
      <c r="AS1268" t="s">
        <v>21381</v>
      </c>
      <c r="AT1268" t="s">
        <v>745</v>
      </c>
      <c r="AU1268">
        <v>2023</v>
      </c>
      <c r="AV1268">
        <v>40</v>
      </c>
      <c r="AW1268">
        <v>1</v>
      </c>
      <c r="AX1268" t="s">
        <v>74</v>
      </c>
      <c r="AY1268" t="s">
        <v>74</v>
      </c>
      <c r="AZ1268" t="s">
        <v>74</v>
      </c>
      <c r="BA1268" t="s">
        <v>74</v>
      </c>
      <c r="BB1268">
        <v>9</v>
      </c>
      <c r="BC1268">
        <v>27</v>
      </c>
      <c r="BD1268" t="s">
        <v>74</v>
      </c>
      <c r="BE1268" t="s">
        <v>21382</v>
      </c>
      <c r="BF1268" t="str">
        <f>HYPERLINK("http://dx.doi.org/10.2436/20.3008.01.225","http://dx.doi.org/10.2436/20.3008.01.225")</f>
        <v>http://dx.doi.org/10.2436/20.3008.01.225</v>
      </c>
      <c r="BG1268" t="s">
        <v>74</v>
      </c>
      <c r="BH1268" t="s">
        <v>74</v>
      </c>
      <c r="BI1268">
        <v>19</v>
      </c>
      <c r="BJ1268" t="s">
        <v>124</v>
      </c>
      <c r="BK1268" t="s">
        <v>125</v>
      </c>
      <c r="BL1268" t="s">
        <v>124</v>
      </c>
      <c r="BM1268" t="s">
        <v>21383</v>
      </c>
      <c r="BN1268" t="s">
        <v>74</v>
      </c>
      <c r="BO1268" t="s">
        <v>74</v>
      </c>
      <c r="BP1268" t="s">
        <v>74</v>
      </c>
      <c r="BQ1268" t="s">
        <v>74</v>
      </c>
      <c r="BR1268" t="s">
        <v>102</v>
      </c>
      <c r="BS1268" t="s">
        <v>21384</v>
      </c>
      <c r="BT1268" t="str">
        <f>HYPERLINK("https%3A%2F%2Fwww.webofscience.com%2Fwos%2Fwoscc%2Ffull-record%2FWOS:001023101600001","View Full Record in Web of Science")</f>
        <v>View Full Record in Web of Science</v>
      </c>
    </row>
    <row r="1269" spans="1:72" x14ac:dyDescent="0.35">
      <c r="A1269" t="s">
        <v>72</v>
      </c>
      <c r="B1269" t="s">
        <v>21385</v>
      </c>
      <c r="C1269" t="s">
        <v>74</v>
      </c>
      <c r="D1269" t="s">
        <v>74</v>
      </c>
      <c r="E1269" t="s">
        <v>74</v>
      </c>
      <c r="F1269" t="s">
        <v>21386</v>
      </c>
      <c r="G1269" t="s">
        <v>74</v>
      </c>
      <c r="H1269" t="s">
        <v>74</v>
      </c>
      <c r="I1269" t="s">
        <v>21387</v>
      </c>
      <c r="J1269" t="s">
        <v>21388</v>
      </c>
      <c r="K1269" t="s">
        <v>74</v>
      </c>
      <c r="L1269" t="s">
        <v>74</v>
      </c>
      <c r="M1269" t="s">
        <v>78</v>
      </c>
      <c r="N1269" t="s">
        <v>108</v>
      </c>
      <c r="O1269" t="s">
        <v>74</v>
      </c>
      <c r="P1269" t="s">
        <v>74</v>
      </c>
      <c r="Q1269" t="s">
        <v>74</v>
      </c>
      <c r="R1269" t="s">
        <v>74</v>
      </c>
      <c r="S1269" t="s">
        <v>74</v>
      </c>
      <c r="T1269" t="s">
        <v>21389</v>
      </c>
      <c r="U1269" t="s">
        <v>21390</v>
      </c>
      <c r="V1269" t="s">
        <v>21391</v>
      </c>
      <c r="W1269" t="s">
        <v>21392</v>
      </c>
      <c r="X1269" t="s">
        <v>21393</v>
      </c>
      <c r="Y1269" t="s">
        <v>21394</v>
      </c>
      <c r="Z1269" t="s">
        <v>21395</v>
      </c>
      <c r="AA1269" t="s">
        <v>21396</v>
      </c>
      <c r="AB1269" t="s">
        <v>21397</v>
      </c>
      <c r="AC1269" t="s">
        <v>21398</v>
      </c>
      <c r="AD1269" t="s">
        <v>21399</v>
      </c>
      <c r="AE1269" t="s">
        <v>21400</v>
      </c>
      <c r="AF1269" t="s">
        <v>74</v>
      </c>
      <c r="AG1269">
        <v>70</v>
      </c>
      <c r="AH1269">
        <v>29</v>
      </c>
      <c r="AI1269">
        <v>30</v>
      </c>
      <c r="AJ1269">
        <v>102</v>
      </c>
      <c r="AK1269">
        <v>282</v>
      </c>
      <c r="AL1269" t="s">
        <v>13277</v>
      </c>
      <c r="AM1269" t="s">
        <v>13278</v>
      </c>
      <c r="AN1269" t="s">
        <v>13279</v>
      </c>
      <c r="AO1269" t="s">
        <v>21401</v>
      </c>
      <c r="AP1269" t="s">
        <v>21402</v>
      </c>
      <c r="AQ1269" t="s">
        <v>74</v>
      </c>
      <c r="AR1269" t="s">
        <v>21403</v>
      </c>
      <c r="AS1269" t="s">
        <v>21404</v>
      </c>
      <c r="AT1269" t="s">
        <v>273</v>
      </c>
      <c r="AU1269">
        <v>2023</v>
      </c>
      <c r="AV1269">
        <v>325</v>
      </c>
      <c r="AW1269" t="s">
        <v>74</v>
      </c>
      <c r="AX1269" t="s">
        <v>74</v>
      </c>
      <c r="AY1269" t="s">
        <v>74</v>
      </c>
      <c r="AZ1269" t="s">
        <v>74</v>
      </c>
      <c r="BA1269" t="s">
        <v>74</v>
      </c>
      <c r="BB1269" t="s">
        <v>74</v>
      </c>
      <c r="BC1269" t="s">
        <v>74</v>
      </c>
      <c r="BD1269">
        <v>115247</v>
      </c>
      <c r="BE1269" t="s">
        <v>21405</v>
      </c>
      <c r="BF1269" t="str">
        <f>HYPERLINK("http://dx.doi.org/10.1016/j.psychres.2023.115247","http://dx.doi.org/10.1016/j.psychres.2023.115247")</f>
        <v>http://dx.doi.org/10.1016/j.psychres.2023.115247</v>
      </c>
      <c r="BG1269" t="s">
        <v>74</v>
      </c>
      <c r="BH1269" t="s">
        <v>180</v>
      </c>
      <c r="BI1269">
        <v>10</v>
      </c>
      <c r="BJ1269" t="s">
        <v>1847</v>
      </c>
      <c r="BK1269" t="s">
        <v>182</v>
      </c>
      <c r="BL1269" t="s">
        <v>1847</v>
      </c>
      <c r="BM1269" t="s">
        <v>21406</v>
      </c>
      <c r="BN1269">
        <v>37167877</v>
      </c>
      <c r="BO1269" t="s">
        <v>74</v>
      </c>
      <c r="BP1269" t="s">
        <v>395</v>
      </c>
      <c r="BQ1269" t="s">
        <v>396</v>
      </c>
      <c r="BR1269" t="s">
        <v>102</v>
      </c>
      <c r="BS1269" t="s">
        <v>21407</v>
      </c>
      <c r="BT1269" t="str">
        <f>HYPERLINK("https%3A%2F%2Fwww.webofscience.com%2Fwos%2Fwoscc%2Ffull-record%2FWOS:001001266400001","View Full Record in Web of Science")</f>
        <v>View Full Record in Web of Science</v>
      </c>
    </row>
    <row r="1270" spans="1:72" x14ac:dyDescent="0.35">
      <c r="A1270" t="s">
        <v>72</v>
      </c>
      <c r="B1270" t="s">
        <v>21408</v>
      </c>
      <c r="C1270" t="s">
        <v>74</v>
      </c>
      <c r="D1270" t="s">
        <v>74</v>
      </c>
      <c r="E1270" t="s">
        <v>74</v>
      </c>
      <c r="F1270" t="s">
        <v>21409</v>
      </c>
      <c r="G1270" t="s">
        <v>74</v>
      </c>
      <c r="H1270" t="s">
        <v>74</v>
      </c>
      <c r="I1270" t="s">
        <v>21410</v>
      </c>
      <c r="J1270" t="s">
        <v>216</v>
      </c>
      <c r="K1270" t="s">
        <v>74</v>
      </c>
      <c r="L1270" t="s">
        <v>74</v>
      </c>
      <c r="M1270" t="s">
        <v>78</v>
      </c>
      <c r="N1270" t="s">
        <v>108</v>
      </c>
      <c r="O1270" t="s">
        <v>74</v>
      </c>
      <c r="P1270" t="s">
        <v>74</v>
      </c>
      <c r="Q1270" t="s">
        <v>74</v>
      </c>
      <c r="R1270" t="s">
        <v>74</v>
      </c>
      <c r="S1270" t="s">
        <v>74</v>
      </c>
      <c r="T1270" t="s">
        <v>21411</v>
      </c>
      <c r="U1270" t="s">
        <v>21412</v>
      </c>
      <c r="V1270" t="s">
        <v>21413</v>
      </c>
      <c r="W1270" t="s">
        <v>21414</v>
      </c>
      <c r="X1270" t="s">
        <v>21415</v>
      </c>
      <c r="Y1270" t="s">
        <v>21416</v>
      </c>
      <c r="Z1270" t="s">
        <v>21417</v>
      </c>
      <c r="AA1270" t="s">
        <v>21418</v>
      </c>
      <c r="AB1270" t="s">
        <v>21419</v>
      </c>
      <c r="AC1270" t="s">
        <v>21420</v>
      </c>
      <c r="AD1270" t="s">
        <v>21420</v>
      </c>
      <c r="AE1270" t="s">
        <v>21421</v>
      </c>
      <c r="AF1270" t="s">
        <v>74</v>
      </c>
      <c r="AG1270">
        <v>88</v>
      </c>
      <c r="AH1270">
        <v>13</v>
      </c>
      <c r="AI1270">
        <v>14</v>
      </c>
      <c r="AJ1270">
        <v>47</v>
      </c>
      <c r="AK1270">
        <v>179</v>
      </c>
      <c r="AL1270" t="s">
        <v>226</v>
      </c>
      <c r="AM1270" t="s">
        <v>227</v>
      </c>
      <c r="AN1270" t="s">
        <v>228</v>
      </c>
      <c r="AO1270" t="s">
        <v>229</v>
      </c>
      <c r="AP1270" t="s">
        <v>74</v>
      </c>
      <c r="AQ1270" t="s">
        <v>74</v>
      </c>
      <c r="AR1270" t="s">
        <v>230</v>
      </c>
      <c r="AS1270" t="s">
        <v>231</v>
      </c>
      <c r="AT1270" t="s">
        <v>232</v>
      </c>
      <c r="AU1270">
        <v>2023</v>
      </c>
      <c r="AV1270">
        <v>9</v>
      </c>
      <c r="AW1270">
        <v>1</v>
      </c>
      <c r="AX1270" t="s">
        <v>74</v>
      </c>
      <c r="AY1270" t="s">
        <v>74</v>
      </c>
      <c r="AZ1270" t="s">
        <v>74</v>
      </c>
      <c r="BA1270" t="s">
        <v>74</v>
      </c>
      <c r="BB1270" t="s">
        <v>74</v>
      </c>
      <c r="BC1270" t="s">
        <v>74</v>
      </c>
      <c r="BD1270">
        <v>2.0563051221150408E+16</v>
      </c>
      <c r="BE1270" t="s">
        <v>21422</v>
      </c>
      <c r="BF1270" t="str">
        <f>HYPERLINK("http://dx.doi.org/10.1177/20563051221150406","http://dx.doi.org/10.1177/20563051221150406")</f>
        <v>http://dx.doi.org/10.1177/20563051221150406</v>
      </c>
      <c r="BG1270" t="s">
        <v>74</v>
      </c>
      <c r="BH1270" t="s">
        <v>74</v>
      </c>
      <c r="BI1270">
        <v>16</v>
      </c>
      <c r="BJ1270" t="s">
        <v>124</v>
      </c>
      <c r="BK1270" t="s">
        <v>99</v>
      </c>
      <c r="BL1270" t="s">
        <v>124</v>
      </c>
      <c r="BM1270" t="s">
        <v>21423</v>
      </c>
      <c r="BN1270" t="s">
        <v>74</v>
      </c>
      <c r="BO1270" t="s">
        <v>235</v>
      </c>
      <c r="BP1270" t="s">
        <v>74</v>
      </c>
      <c r="BQ1270" t="s">
        <v>74</v>
      </c>
      <c r="BR1270" t="s">
        <v>102</v>
      </c>
      <c r="BS1270" t="s">
        <v>21424</v>
      </c>
      <c r="BT1270" t="str">
        <f>HYPERLINK("https%3A%2F%2Fwww.webofscience.com%2Fwos%2Fwoscc%2Ffull-record%2FWOS:000937263200001","View Full Record in Web of Science")</f>
        <v>View Full Record in Web of Science</v>
      </c>
    </row>
    <row r="1271" spans="1:72" x14ac:dyDescent="0.35">
      <c r="A1271" t="s">
        <v>72</v>
      </c>
      <c r="B1271" t="s">
        <v>21425</v>
      </c>
      <c r="C1271" t="s">
        <v>74</v>
      </c>
      <c r="D1271" t="s">
        <v>74</v>
      </c>
      <c r="E1271" t="s">
        <v>74</v>
      </c>
      <c r="F1271" t="s">
        <v>21426</v>
      </c>
      <c r="G1271" t="s">
        <v>74</v>
      </c>
      <c r="H1271" t="s">
        <v>74</v>
      </c>
      <c r="I1271" t="s">
        <v>21427</v>
      </c>
      <c r="J1271" t="s">
        <v>2649</v>
      </c>
      <c r="K1271" t="s">
        <v>74</v>
      </c>
      <c r="L1271" t="s">
        <v>74</v>
      </c>
      <c r="M1271" t="s">
        <v>78</v>
      </c>
      <c r="N1271" t="s">
        <v>108</v>
      </c>
      <c r="O1271" t="s">
        <v>74</v>
      </c>
      <c r="P1271" t="s">
        <v>74</v>
      </c>
      <c r="Q1271" t="s">
        <v>74</v>
      </c>
      <c r="R1271" t="s">
        <v>74</v>
      </c>
      <c r="S1271" t="s">
        <v>74</v>
      </c>
      <c r="T1271" t="s">
        <v>21428</v>
      </c>
      <c r="U1271" t="s">
        <v>21429</v>
      </c>
      <c r="V1271" t="s">
        <v>21430</v>
      </c>
      <c r="W1271" t="s">
        <v>21431</v>
      </c>
      <c r="X1271" t="s">
        <v>21432</v>
      </c>
      <c r="Y1271" t="s">
        <v>21433</v>
      </c>
      <c r="Z1271" t="s">
        <v>21434</v>
      </c>
      <c r="AA1271" t="s">
        <v>21435</v>
      </c>
      <c r="AB1271" t="s">
        <v>21436</v>
      </c>
      <c r="AC1271" t="s">
        <v>74</v>
      </c>
      <c r="AD1271" t="s">
        <v>74</v>
      </c>
      <c r="AE1271" t="s">
        <v>74</v>
      </c>
      <c r="AF1271" t="s">
        <v>74</v>
      </c>
      <c r="AG1271">
        <v>60</v>
      </c>
      <c r="AH1271">
        <v>12</v>
      </c>
      <c r="AI1271">
        <v>12</v>
      </c>
      <c r="AJ1271">
        <v>5</v>
      </c>
      <c r="AK1271">
        <v>41</v>
      </c>
      <c r="AL1271" t="s">
        <v>2662</v>
      </c>
      <c r="AM1271" t="s">
        <v>2663</v>
      </c>
      <c r="AN1271" t="s">
        <v>2664</v>
      </c>
      <c r="AO1271" t="s">
        <v>2665</v>
      </c>
      <c r="AP1271" t="s">
        <v>74</v>
      </c>
      <c r="AQ1271" t="s">
        <v>74</v>
      </c>
      <c r="AR1271" t="s">
        <v>2666</v>
      </c>
      <c r="AS1271" t="s">
        <v>2667</v>
      </c>
      <c r="AT1271" t="s">
        <v>74</v>
      </c>
      <c r="AU1271">
        <v>2022</v>
      </c>
      <c r="AV1271">
        <v>10</v>
      </c>
      <c r="AW1271">
        <v>4</v>
      </c>
      <c r="AX1271" t="s">
        <v>74</v>
      </c>
      <c r="AY1271" t="s">
        <v>74</v>
      </c>
      <c r="AZ1271" t="s">
        <v>74</v>
      </c>
      <c r="BA1271" t="s">
        <v>74</v>
      </c>
      <c r="BB1271">
        <v>30</v>
      </c>
      <c r="BC1271">
        <v>41</v>
      </c>
      <c r="BD1271" t="s">
        <v>74</v>
      </c>
      <c r="BE1271" t="s">
        <v>21437</v>
      </c>
      <c r="BF1271" t="str">
        <f>HYPERLINK("http://dx.doi.org/10.17645/mac.v10i4.5667","http://dx.doi.org/10.17645/mac.v10i4.5667")</f>
        <v>http://dx.doi.org/10.17645/mac.v10i4.5667</v>
      </c>
      <c r="BG1271" t="s">
        <v>74</v>
      </c>
      <c r="BH1271" t="s">
        <v>74</v>
      </c>
      <c r="BI1271">
        <v>12</v>
      </c>
      <c r="BJ1271" t="s">
        <v>124</v>
      </c>
      <c r="BK1271" t="s">
        <v>99</v>
      </c>
      <c r="BL1271" t="s">
        <v>124</v>
      </c>
      <c r="BM1271" t="s">
        <v>21438</v>
      </c>
      <c r="BN1271" t="s">
        <v>74</v>
      </c>
      <c r="BO1271" t="s">
        <v>394</v>
      </c>
      <c r="BP1271" t="s">
        <v>74</v>
      </c>
      <c r="BQ1271" t="s">
        <v>74</v>
      </c>
      <c r="BR1271" t="s">
        <v>102</v>
      </c>
      <c r="BS1271" t="s">
        <v>21439</v>
      </c>
      <c r="BT1271" t="str">
        <f>HYPERLINK("https%3A%2F%2Fwww.webofscience.com%2Fwos%2Fwoscc%2Ffull-record%2FWOS:000885979600004","View Full Record in Web of Science")</f>
        <v>View Full Record in Web of Science</v>
      </c>
    </row>
    <row r="1272" spans="1:72" x14ac:dyDescent="0.35">
      <c r="A1272" t="s">
        <v>128</v>
      </c>
      <c r="B1272" t="s">
        <v>21440</v>
      </c>
      <c r="C1272" t="s">
        <v>74</v>
      </c>
      <c r="D1272" t="s">
        <v>74</v>
      </c>
      <c r="E1272" t="s">
        <v>21441</v>
      </c>
      <c r="F1272" t="s">
        <v>21442</v>
      </c>
      <c r="G1272" t="s">
        <v>74</v>
      </c>
      <c r="H1272" t="s">
        <v>74</v>
      </c>
      <c r="I1272" t="s">
        <v>21443</v>
      </c>
      <c r="J1272" t="s">
        <v>21444</v>
      </c>
      <c r="K1272" t="s">
        <v>74</v>
      </c>
      <c r="L1272" t="s">
        <v>74</v>
      </c>
      <c r="M1272" t="s">
        <v>78</v>
      </c>
      <c r="N1272" t="s">
        <v>135</v>
      </c>
      <c r="O1272" t="s">
        <v>21445</v>
      </c>
      <c r="P1272" t="s">
        <v>21446</v>
      </c>
      <c r="Q1272" t="s">
        <v>5386</v>
      </c>
      <c r="R1272" t="s">
        <v>21447</v>
      </c>
      <c r="S1272" t="s">
        <v>74</v>
      </c>
      <c r="T1272" t="s">
        <v>74</v>
      </c>
      <c r="U1272" t="s">
        <v>74</v>
      </c>
      <c r="V1272" t="s">
        <v>21448</v>
      </c>
      <c r="W1272" t="s">
        <v>21449</v>
      </c>
      <c r="X1272" t="s">
        <v>21450</v>
      </c>
      <c r="Y1272" t="s">
        <v>21451</v>
      </c>
      <c r="Z1272" t="s">
        <v>74</v>
      </c>
      <c r="AA1272" t="s">
        <v>74</v>
      </c>
      <c r="AB1272" t="s">
        <v>74</v>
      </c>
      <c r="AC1272" t="s">
        <v>21452</v>
      </c>
      <c r="AD1272" t="s">
        <v>21453</v>
      </c>
      <c r="AE1272" t="s">
        <v>21454</v>
      </c>
      <c r="AF1272" t="s">
        <v>74</v>
      </c>
      <c r="AG1272">
        <v>45</v>
      </c>
      <c r="AH1272">
        <v>8</v>
      </c>
      <c r="AI1272">
        <v>9</v>
      </c>
      <c r="AJ1272">
        <v>0</v>
      </c>
      <c r="AK1272">
        <v>1</v>
      </c>
      <c r="AL1272" t="s">
        <v>5380</v>
      </c>
      <c r="AM1272" t="s">
        <v>5396</v>
      </c>
      <c r="AN1272" t="s">
        <v>5397</v>
      </c>
      <c r="AO1272" t="s">
        <v>74</v>
      </c>
      <c r="AP1272" t="s">
        <v>74</v>
      </c>
      <c r="AQ1272" t="s">
        <v>21455</v>
      </c>
      <c r="AR1272" t="s">
        <v>74</v>
      </c>
      <c r="AS1272" t="s">
        <v>74</v>
      </c>
      <c r="AT1272" t="s">
        <v>74</v>
      </c>
      <c r="AU1272">
        <v>2023</v>
      </c>
      <c r="AV1272" t="s">
        <v>74</v>
      </c>
      <c r="AW1272" t="s">
        <v>74</v>
      </c>
      <c r="AX1272" t="s">
        <v>74</v>
      </c>
      <c r="AY1272" t="s">
        <v>74</v>
      </c>
      <c r="AZ1272" t="s">
        <v>74</v>
      </c>
      <c r="BA1272" t="s">
        <v>74</v>
      </c>
      <c r="BB1272">
        <v>1583</v>
      </c>
      <c r="BC1272">
        <v>1599</v>
      </c>
      <c r="BD1272" t="s">
        <v>74</v>
      </c>
      <c r="BE1272" t="s">
        <v>74</v>
      </c>
      <c r="BF1272" t="s">
        <v>74</v>
      </c>
      <c r="BG1272" t="s">
        <v>74</v>
      </c>
      <c r="BH1272" t="s">
        <v>74</v>
      </c>
      <c r="BI1272">
        <v>17</v>
      </c>
      <c r="BJ1272" t="s">
        <v>6668</v>
      </c>
      <c r="BK1272" t="s">
        <v>723</v>
      </c>
      <c r="BL1272" t="s">
        <v>210</v>
      </c>
      <c r="BM1272" t="s">
        <v>21456</v>
      </c>
      <c r="BN1272" t="s">
        <v>74</v>
      </c>
      <c r="BO1272" t="s">
        <v>74</v>
      </c>
      <c r="BP1272" t="s">
        <v>74</v>
      </c>
      <c r="BQ1272" t="s">
        <v>74</v>
      </c>
      <c r="BR1272" t="s">
        <v>102</v>
      </c>
      <c r="BS1272" t="s">
        <v>21457</v>
      </c>
      <c r="BT1272" t="str">
        <f>HYPERLINK("https%3A%2F%2Fwww.webofscience.com%2Fwos%2Fwoscc%2Ffull-record%2FWOS:001066630000084","View Full Record in Web of Science")</f>
        <v>View Full Record in Web of Science</v>
      </c>
    </row>
    <row r="1273" spans="1:72" x14ac:dyDescent="0.35">
      <c r="A1273" t="s">
        <v>72</v>
      </c>
      <c r="B1273" t="s">
        <v>21458</v>
      </c>
      <c r="C1273" t="s">
        <v>74</v>
      </c>
      <c r="D1273" t="s">
        <v>74</v>
      </c>
      <c r="E1273" t="s">
        <v>74</v>
      </c>
      <c r="F1273" t="s">
        <v>21459</v>
      </c>
      <c r="G1273" t="s">
        <v>74</v>
      </c>
      <c r="H1273" t="s">
        <v>74</v>
      </c>
      <c r="I1273" t="s">
        <v>21460</v>
      </c>
      <c r="J1273" t="s">
        <v>21461</v>
      </c>
      <c r="K1273" t="s">
        <v>74</v>
      </c>
      <c r="L1273" t="s">
        <v>74</v>
      </c>
      <c r="M1273" t="s">
        <v>78</v>
      </c>
      <c r="N1273" t="s">
        <v>108</v>
      </c>
      <c r="O1273" t="s">
        <v>74</v>
      </c>
      <c r="P1273" t="s">
        <v>74</v>
      </c>
      <c r="Q1273" t="s">
        <v>74</v>
      </c>
      <c r="R1273" t="s">
        <v>74</v>
      </c>
      <c r="S1273" t="s">
        <v>74</v>
      </c>
      <c r="T1273" t="s">
        <v>21462</v>
      </c>
      <c r="U1273" t="s">
        <v>74</v>
      </c>
      <c r="V1273" t="s">
        <v>21463</v>
      </c>
      <c r="W1273" t="s">
        <v>21464</v>
      </c>
      <c r="X1273" t="s">
        <v>21465</v>
      </c>
      <c r="Y1273" t="s">
        <v>21466</v>
      </c>
      <c r="Z1273" t="s">
        <v>21467</v>
      </c>
      <c r="AA1273" t="s">
        <v>21468</v>
      </c>
      <c r="AB1273" t="s">
        <v>21469</v>
      </c>
      <c r="AC1273" t="s">
        <v>74</v>
      </c>
      <c r="AD1273" t="s">
        <v>74</v>
      </c>
      <c r="AE1273" t="s">
        <v>74</v>
      </c>
      <c r="AF1273" t="s">
        <v>74</v>
      </c>
      <c r="AG1273">
        <v>32</v>
      </c>
      <c r="AH1273">
        <v>1</v>
      </c>
      <c r="AI1273">
        <v>1</v>
      </c>
      <c r="AJ1273">
        <v>1</v>
      </c>
      <c r="AK1273">
        <v>19</v>
      </c>
      <c r="AL1273" t="s">
        <v>21470</v>
      </c>
      <c r="AM1273" t="s">
        <v>7259</v>
      </c>
      <c r="AN1273" t="s">
        <v>21471</v>
      </c>
      <c r="AO1273" t="s">
        <v>21472</v>
      </c>
      <c r="AP1273" t="s">
        <v>74</v>
      </c>
      <c r="AQ1273" t="s">
        <v>74</v>
      </c>
      <c r="AR1273" t="s">
        <v>21473</v>
      </c>
      <c r="AS1273" t="s">
        <v>21474</v>
      </c>
      <c r="AT1273" t="s">
        <v>21475</v>
      </c>
      <c r="AU1273">
        <v>2022</v>
      </c>
      <c r="AV1273">
        <v>23</v>
      </c>
      <c r="AW1273" t="s">
        <v>74</v>
      </c>
      <c r="AX1273" t="s">
        <v>74</v>
      </c>
      <c r="AY1273" t="s">
        <v>74</v>
      </c>
      <c r="AZ1273" t="s">
        <v>74</v>
      </c>
      <c r="BA1273" t="s">
        <v>74</v>
      </c>
      <c r="BB1273" t="s">
        <v>74</v>
      </c>
      <c r="BC1273" t="s">
        <v>74</v>
      </c>
      <c r="BD1273" t="s">
        <v>21476</v>
      </c>
      <c r="BE1273" t="s">
        <v>21477</v>
      </c>
      <c r="BF1273" t="str">
        <f>HYPERLINK("http://dx.doi.org/10.14201/eks.27569","http://dx.doi.org/10.14201/eks.27569")</f>
        <v>http://dx.doi.org/10.14201/eks.27569</v>
      </c>
      <c r="BG1273" t="s">
        <v>74</v>
      </c>
      <c r="BH1273" t="s">
        <v>74</v>
      </c>
      <c r="BI1273">
        <v>14</v>
      </c>
      <c r="BJ1273" t="s">
        <v>787</v>
      </c>
      <c r="BK1273" t="s">
        <v>125</v>
      </c>
      <c r="BL1273" t="s">
        <v>787</v>
      </c>
      <c r="BM1273" t="s">
        <v>21478</v>
      </c>
      <c r="BN1273" t="s">
        <v>74</v>
      </c>
      <c r="BO1273" t="s">
        <v>552</v>
      </c>
      <c r="BP1273" t="s">
        <v>74</v>
      </c>
      <c r="BQ1273" t="s">
        <v>74</v>
      </c>
      <c r="BR1273" t="s">
        <v>102</v>
      </c>
      <c r="BS1273" t="s">
        <v>21479</v>
      </c>
      <c r="BT1273" t="str">
        <f>HYPERLINK("https%3A%2F%2Fwww.webofscience.com%2Fwos%2Fwoscc%2Ffull-record%2FWOS:000889999600001","View Full Record in Web of Science")</f>
        <v>View Full Record in Web of Science</v>
      </c>
    </row>
    <row r="1274" spans="1:72" x14ac:dyDescent="0.35">
      <c r="A1274" t="s">
        <v>72</v>
      </c>
      <c r="B1274" t="s">
        <v>21480</v>
      </c>
      <c r="C1274" t="s">
        <v>74</v>
      </c>
      <c r="D1274" t="s">
        <v>74</v>
      </c>
      <c r="E1274" t="s">
        <v>74</v>
      </c>
      <c r="F1274" t="s">
        <v>21481</v>
      </c>
      <c r="G1274" t="s">
        <v>74</v>
      </c>
      <c r="H1274" t="s">
        <v>74</v>
      </c>
      <c r="I1274" t="s">
        <v>21482</v>
      </c>
      <c r="J1274" t="s">
        <v>15861</v>
      </c>
      <c r="K1274" t="s">
        <v>74</v>
      </c>
      <c r="L1274" t="s">
        <v>74</v>
      </c>
      <c r="M1274" t="s">
        <v>3503</v>
      </c>
      <c r="N1274" t="s">
        <v>108</v>
      </c>
      <c r="O1274" t="s">
        <v>74</v>
      </c>
      <c r="P1274" t="s">
        <v>74</v>
      </c>
      <c r="Q1274" t="s">
        <v>74</v>
      </c>
      <c r="R1274" t="s">
        <v>74</v>
      </c>
      <c r="S1274" t="s">
        <v>74</v>
      </c>
      <c r="T1274" t="s">
        <v>21483</v>
      </c>
      <c r="U1274" t="s">
        <v>74</v>
      </c>
      <c r="V1274" t="s">
        <v>21484</v>
      </c>
      <c r="W1274" t="s">
        <v>21485</v>
      </c>
      <c r="X1274" t="s">
        <v>21486</v>
      </c>
      <c r="Y1274" t="s">
        <v>21487</v>
      </c>
      <c r="Z1274" t="s">
        <v>21488</v>
      </c>
      <c r="AA1274" t="s">
        <v>21489</v>
      </c>
      <c r="AB1274" t="s">
        <v>21490</v>
      </c>
      <c r="AC1274" t="s">
        <v>74</v>
      </c>
      <c r="AD1274" t="s">
        <v>74</v>
      </c>
      <c r="AE1274" t="s">
        <v>74</v>
      </c>
      <c r="AF1274" t="s">
        <v>74</v>
      </c>
      <c r="AG1274">
        <v>32</v>
      </c>
      <c r="AH1274">
        <v>1</v>
      </c>
      <c r="AI1274">
        <v>1</v>
      </c>
      <c r="AJ1274">
        <v>13</v>
      </c>
      <c r="AK1274">
        <v>44</v>
      </c>
      <c r="AL1274" t="s">
        <v>21243</v>
      </c>
      <c r="AM1274" t="s">
        <v>21244</v>
      </c>
      <c r="AN1274" t="s">
        <v>21245</v>
      </c>
      <c r="AO1274" t="s">
        <v>15873</v>
      </c>
      <c r="AP1274" t="s">
        <v>15874</v>
      </c>
      <c r="AQ1274" t="s">
        <v>74</v>
      </c>
      <c r="AR1274" t="s">
        <v>15861</v>
      </c>
      <c r="AS1274" t="s">
        <v>15875</v>
      </c>
      <c r="AT1274" t="s">
        <v>594</v>
      </c>
      <c r="AU1274">
        <v>2023</v>
      </c>
      <c r="AV1274">
        <v>31</v>
      </c>
      <c r="AW1274">
        <v>77</v>
      </c>
      <c r="AX1274" t="s">
        <v>74</v>
      </c>
      <c r="AY1274" t="s">
        <v>74</v>
      </c>
      <c r="AZ1274" t="s">
        <v>74</v>
      </c>
      <c r="BA1274" t="s">
        <v>74</v>
      </c>
      <c r="BB1274">
        <v>9</v>
      </c>
      <c r="BC1274">
        <v>19</v>
      </c>
      <c r="BD1274" t="s">
        <v>74</v>
      </c>
      <c r="BE1274" t="s">
        <v>21491</v>
      </c>
      <c r="BF1274" t="str">
        <f>HYPERLINK("http://dx.doi.org/10.3916/C77-2023-01","http://dx.doi.org/10.3916/C77-2023-01")</f>
        <v>http://dx.doi.org/10.3916/C77-2023-01</v>
      </c>
      <c r="BG1274" t="s">
        <v>74</v>
      </c>
      <c r="BH1274" t="s">
        <v>74</v>
      </c>
      <c r="BI1274">
        <v>11</v>
      </c>
      <c r="BJ1274" t="s">
        <v>15877</v>
      </c>
      <c r="BK1274" t="s">
        <v>99</v>
      </c>
      <c r="BL1274" t="s">
        <v>15877</v>
      </c>
      <c r="BM1274" t="s">
        <v>21492</v>
      </c>
      <c r="BN1274" t="s">
        <v>74</v>
      </c>
      <c r="BO1274" t="s">
        <v>3287</v>
      </c>
      <c r="BP1274" t="s">
        <v>74</v>
      </c>
      <c r="BQ1274" t="s">
        <v>74</v>
      </c>
      <c r="BR1274" t="s">
        <v>102</v>
      </c>
      <c r="BS1274" t="s">
        <v>21493</v>
      </c>
      <c r="BT1274" t="str">
        <f>HYPERLINK("https%3A%2F%2Fwww.webofscience.com%2Fwos%2Fwoscc%2Ffull-record%2FWOS:001092871200001","View Full Record in Web of Science")</f>
        <v>View Full Record in Web of Science</v>
      </c>
    </row>
    <row r="1275" spans="1:72" x14ac:dyDescent="0.35">
      <c r="A1275" t="s">
        <v>128</v>
      </c>
      <c r="B1275" t="s">
        <v>21494</v>
      </c>
      <c r="C1275" t="s">
        <v>74</v>
      </c>
      <c r="D1275" t="s">
        <v>74</v>
      </c>
      <c r="E1275" t="s">
        <v>1677</v>
      </c>
      <c r="F1275" t="s">
        <v>21495</v>
      </c>
      <c r="G1275" t="s">
        <v>74</v>
      </c>
      <c r="H1275" t="s">
        <v>74</v>
      </c>
      <c r="I1275" t="s">
        <v>21496</v>
      </c>
      <c r="J1275" t="s">
        <v>21497</v>
      </c>
      <c r="K1275" t="s">
        <v>74</v>
      </c>
      <c r="L1275" t="s">
        <v>74</v>
      </c>
      <c r="M1275" t="s">
        <v>78</v>
      </c>
      <c r="N1275" t="s">
        <v>135</v>
      </c>
      <c r="O1275" t="s">
        <v>21498</v>
      </c>
      <c r="P1275" t="s">
        <v>21499</v>
      </c>
      <c r="Q1275" t="s">
        <v>138</v>
      </c>
      <c r="R1275" t="s">
        <v>74</v>
      </c>
      <c r="S1275" t="s">
        <v>74</v>
      </c>
      <c r="T1275" t="s">
        <v>21500</v>
      </c>
      <c r="U1275" t="s">
        <v>21501</v>
      </c>
      <c r="V1275" t="s">
        <v>21502</v>
      </c>
      <c r="W1275" t="s">
        <v>21503</v>
      </c>
      <c r="X1275" t="s">
        <v>74</v>
      </c>
      <c r="Y1275" t="s">
        <v>21504</v>
      </c>
      <c r="Z1275" t="s">
        <v>21505</v>
      </c>
      <c r="AA1275" t="s">
        <v>21506</v>
      </c>
      <c r="AB1275" t="s">
        <v>74</v>
      </c>
      <c r="AC1275" t="s">
        <v>74</v>
      </c>
      <c r="AD1275" t="s">
        <v>74</v>
      </c>
      <c r="AE1275" t="s">
        <v>74</v>
      </c>
      <c r="AF1275" t="s">
        <v>74</v>
      </c>
      <c r="AG1275">
        <v>26</v>
      </c>
      <c r="AH1275">
        <v>2</v>
      </c>
      <c r="AI1275">
        <v>3</v>
      </c>
      <c r="AJ1275">
        <v>5</v>
      </c>
      <c r="AK1275">
        <v>62</v>
      </c>
      <c r="AL1275" t="s">
        <v>758</v>
      </c>
      <c r="AM1275" t="s">
        <v>759</v>
      </c>
      <c r="AN1275" t="s">
        <v>2146</v>
      </c>
      <c r="AO1275" t="s">
        <v>74</v>
      </c>
      <c r="AP1275" t="s">
        <v>74</v>
      </c>
      <c r="AQ1275" t="s">
        <v>21507</v>
      </c>
      <c r="AR1275" t="s">
        <v>74</v>
      </c>
      <c r="AS1275" t="s">
        <v>74</v>
      </c>
      <c r="AT1275" t="s">
        <v>74</v>
      </c>
      <c r="AU1275">
        <v>2021</v>
      </c>
      <c r="AV1275" t="s">
        <v>74</v>
      </c>
      <c r="AW1275" t="s">
        <v>74</v>
      </c>
      <c r="AX1275" t="s">
        <v>74</v>
      </c>
      <c r="AY1275" t="s">
        <v>74</v>
      </c>
      <c r="AZ1275" t="s">
        <v>74</v>
      </c>
      <c r="BA1275" t="s">
        <v>74</v>
      </c>
      <c r="BB1275">
        <v>218</v>
      </c>
      <c r="BC1275">
        <v>223</v>
      </c>
      <c r="BD1275" t="s">
        <v>74</v>
      </c>
      <c r="BE1275" t="s">
        <v>21508</v>
      </c>
      <c r="BF1275" t="str">
        <f>HYPERLINK("http://dx.doi.org/10.1109/ECIT52743.2021.00055","http://dx.doi.org/10.1109/ECIT52743.2021.00055")</f>
        <v>http://dx.doi.org/10.1109/ECIT52743.2021.00055</v>
      </c>
      <c r="BG1275" t="s">
        <v>74</v>
      </c>
      <c r="BH1275" t="s">
        <v>74</v>
      </c>
      <c r="BI1275">
        <v>6</v>
      </c>
      <c r="BJ1275" t="s">
        <v>21509</v>
      </c>
      <c r="BK1275" t="s">
        <v>648</v>
      </c>
      <c r="BL1275" t="s">
        <v>649</v>
      </c>
      <c r="BM1275" t="s">
        <v>21510</v>
      </c>
      <c r="BN1275" t="s">
        <v>74</v>
      </c>
      <c r="BO1275" t="s">
        <v>74</v>
      </c>
      <c r="BP1275" t="s">
        <v>74</v>
      </c>
      <c r="BQ1275" t="s">
        <v>74</v>
      </c>
      <c r="BR1275" t="s">
        <v>102</v>
      </c>
      <c r="BS1275" t="s">
        <v>21511</v>
      </c>
      <c r="BT1275" t="str">
        <f>HYPERLINK("https%3A%2F%2Fwww.webofscience.com%2Fwos%2Fwoscc%2Ffull-record%2FWOS:000672805700048","View Full Record in Web of Science")</f>
        <v>View Full Record in Web of Science</v>
      </c>
    </row>
    <row r="1276" spans="1:72" x14ac:dyDescent="0.35">
      <c r="A1276" t="s">
        <v>72</v>
      </c>
      <c r="B1276" t="s">
        <v>21512</v>
      </c>
      <c r="C1276" t="s">
        <v>74</v>
      </c>
      <c r="D1276" t="s">
        <v>74</v>
      </c>
      <c r="E1276" t="s">
        <v>74</v>
      </c>
      <c r="F1276" t="s">
        <v>21513</v>
      </c>
      <c r="G1276" t="s">
        <v>74</v>
      </c>
      <c r="H1276" t="s">
        <v>74</v>
      </c>
      <c r="I1276" t="s">
        <v>21514</v>
      </c>
      <c r="J1276" t="s">
        <v>21515</v>
      </c>
      <c r="K1276" t="s">
        <v>74</v>
      </c>
      <c r="L1276" t="s">
        <v>74</v>
      </c>
      <c r="M1276" t="s">
        <v>78</v>
      </c>
      <c r="N1276" t="s">
        <v>108</v>
      </c>
      <c r="O1276" t="s">
        <v>74</v>
      </c>
      <c r="P1276" t="s">
        <v>74</v>
      </c>
      <c r="Q1276" t="s">
        <v>74</v>
      </c>
      <c r="R1276" t="s">
        <v>74</v>
      </c>
      <c r="S1276" t="s">
        <v>74</v>
      </c>
      <c r="T1276" t="s">
        <v>21516</v>
      </c>
      <c r="U1276" t="s">
        <v>21517</v>
      </c>
      <c r="V1276" t="s">
        <v>21518</v>
      </c>
      <c r="W1276" t="s">
        <v>21519</v>
      </c>
      <c r="X1276" t="s">
        <v>21520</v>
      </c>
      <c r="Y1276" t="s">
        <v>21521</v>
      </c>
      <c r="Z1276" t="s">
        <v>21522</v>
      </c>
      <c r="AA1276" t="s">
        <v>21523</v>
      </c>
      <c r="AB1276" t="s">
        <v>21524</v>
      </c>
      <c r="AC1276" t="s">
        <v>21525</v>
      </c>
      <c r="AD1276" t="s">
        <v>21525</v>
      </c>
      <c r="AE1276" t="s">
        <v>21526</v>
      </c>
      <c r="AF1276" t="s">
        <v>74</v>
      </c>
      <c r="AG1276">
        <v>60</v>
      </c>
      <c r="AH1276">
        <v>0</v>
      </c>
      <c r="AI1276">
        <v>0</v>
      </c>
      <c r="AJ1276">
        <v>2</v>
      </c>
      <c r="AK1276">
        <v>2</v>
      </c>
      <c r="AL1276" t="s">
        <v>8334</v>
      </c>
      <c r="AM1276" t="s">
        <v>291</v>
      </c>
      <c r="AN1276" t="s">
        <v>8335</v>
      </c>
      <c r="AO1276" t="s">
        <v>21527</v>
      </c>
      <c r="AP1276" t="s">
        <v>21528</v>
      </c>
      <c r="AQ1276" t="s">
        <v>74</v>
      </c>
      <c r="AR1276" t="s">
        <v>21529</v>
      </c>
      <c r="AS1276" t="s">
        <v>21530</v>
      </c>
      <c r="AT1276" t="s">
        <v>390</v>
      </c>
      <c r="AU1276">
        <v>2024</v>
      </c>
      <c r="AV1276">
        <v>59</v>
      </c>
      <c r="AW1276">
        <v>3</v>
      </c>
      <c r="AX1276" t="s">
        <v>74</v>
      </c>
      <c r="AY1276" t="s">
        <v>74</v>
      </c>
      <c r="AZ1276" t="s">
        <v>74</v>
      </c>
      <c r="BA1276" t="s">
        <v>74</v>
      </c>
      <c r="BB1276" t="s">
        <v>74</v>
      </c>
      <c r="BC1276" t="s">
        <v>74</v>
      </c>
      <c r="BD1276" t="s">
        <v>21531</v>
      </c>
      <c r="BE1276" t="s">
        <v>21532</v>
      </c>
      <c r="BF1276" t="str">
        <f>HYPERLINK("http://dx.doi.org/10.1093/alcalc/agae024","http://dx.doi.org/10.1093/alcalc/agae024")</f>
        <v>http://dx.doi.org/10.1093/alcalc/agae024</v>
      </c>
      <c r="BG1276" t="s">
        <v>74</v>
      </c>
      <c r="BH1276" t="s">
        <v>74</v>
      </c>
      <c r="BI1276">
        <v>9</v>
      </c>
      <c r="BJ1276" t="s">
        <v>4614</v>
      </c>
      <c r="BK1276" t="s">
        <v>182</v>
      </c>
      <c r="BL1276" t="s">
        <v>4614</v>
      </c>
      <c r="BM1276" t="s">
        <v>21533</v>
      </c>
      <c r="BN1276">
        <v>38619423</v>
      </c>
      <c r="BO1276" t="s">
        <v>4154</v>
      </c>
      <c r="BP1276" t="s">
        <v>74</v>
      </c>
      <c r="BQ1276" t="s">
        <v>74</v>
      </c>
      <c r="BR1276" t="s">
        <v>102</v>
      </c>
      <c r="BS1276" t="s">
        <v>21534</v>
      </c>
      <c r="BT1276" t="str">
        <f>HYPERLINK("https%3A%2F%2Fwww.webofscience.com%2Fwos%2Fwoscc%2Ffull-record%2FWOS:001202458300001","View Full Record in Web of Science")</f>
        <v>View Full Record in Web of Science</v>
      </c>
    </row>
    <row r="1277" spans="1:72" x14ac:dyDescent="0.35">
      <c r="A1277" t="s">
        <v>72</v>
      </c>
      <c r="B1277" t="s">
        <v>21535</v>
      </c>
      <c r="C1277" t="s">
        <v>74</v>
      </c>
      <c r="D1277" t="s">
        <v>74</v>
      </c>
      <c r="E1277" t="s">
        <v>74</v>
      </c>
      <c r="F1277" t="s">
        <v>21536</v>
      </c>
      <c r="G1277" t="s">
        <v>74</v>
      </c>
      <c r="H1277" t="s">
        <v>74</v>
      </c>
      <c r="I1277" t="s">
        <v>21537</v>
      </c>
      <c r="J1277" t="s">
        <v>753</v>
      </c>
      <c r="K1277" t="s">
        <v>74</v>
      </c>
      <c r="L1277" t="s">
        <v>74</v>
      </c>
      <c r="M1277" t="s">
        <v>78</v>
      </c>
      <c r="N1277" t="s">
        <v>108</v>
      </c>
      <c r="O1277" t="s">
        <v>74</v>
      </c>
      <c r="P1277" t="s">
        <v>74</v>
      </c>
      <c r="Q1277" t="s">
        <v>74</v>
      </c>
      <c r="R1277" t="s">
        <v>74</v>
      </c>
      <c r="S1277" t="s">
        <v>74</v>
      </c>
      <c r="T1277" t="s">
        <v>74</v>
      </c>
      <c r="U1277" t="s">
        <v>74</v>
      </c>
      <c r="V1277" t="s">
        <v>21538</v>
      </c>
      <c r="W1277" t="s">
        <v>21539</v>
      </c>
      <c r="X1277" t="s">
        <v>21540</v>
      </c>
      <c r="Y1277" t="s">
        <v>21541</v>
      </c>
      <c r="Z1277" t="s">
        <v>21542</v>
      </c>
      <c r="AA1277" t="s">
        <v>21543</v>
      </c>
      <c r="AB1277" t="s">
        <v>21544</v>
      </c>
      <c r="AC1277" t="s">
        <v>74</v>
      </c>
      <c r="AD1277" t="s">
        <v>74</v>
      </c>
      <c r="AE1277" t="s">
        <v>74</v>
      </c>
      <c r="AF1277" t="s">
        <v>74</v>
      </c>
      <c r="AG1277">
        <v>5</v>
      </c>
      <c r="AH1277">
        <v>0</v>
      </c>
      <c r="AI1277">
        <v>0</v>
      </c>
      <c r="AJ1277">
        <v>1</v>
      </c>
      <c r="AK1277">
        <v>1</v>
      </c>
      <c r="AL1277" t="s">
        <v>758</v>
      </c>
      <c r="AM1277" t="s">
        <v>759</v>
      </c>
      <c r="AN1277" t="s">
        <v>760</v>
      </c>
      <c r="AO1277" t="s">
        <v>761</v>
      </c>
      <c r="AP1277" t="s">
        <v>762</v>
      </c>
      <c r="AQ1277" t="s">
        <v>74</v>
      </c>
      <c r="AR1277" t="s">
        <v>753</v>
      </c>
      <c r="AS1277" t="s">
        <v>763</v>
      </c>
      <c r="AT1277" t="s">
        <v>257</v>
      </c>
      <c r="AU1277">
        <v>2024</v>
      </c>
      <c r="AV1277">
        <v>57</v>
      </c>
      <c r="AW1277">
        <v>6</v>
      </c>
      <c r="AX1277" t="s">
        <v>74</v>
      </c>
      <c r="AY1277" t="s">
        <v>74</v>
      </c>
      <c r="AZ1277" t="s">
        <v>74</v>
      </c>
      <c r="BA1277" t="s">
        <v>74</v>
      </c>
      <c r="BB1277">
        <v>97</v>
      </c>
      <c r="BC1277">
        <v>101</v>
      </c>
      <c r="BD1277" t="s">
        <v>74</v>
      </c>
      <c r="BE1277" t="s">
        <v>21545</v>
      </c>
      <c r="BF1277" t="str">
        <f>HYPERLINK("http://dx.doi.org/10.1109/MC.2024.3382422","http://dx.doi.org/10.1109/MC.2024.3382422")</f>
        <v>http://dx.doi.org/10.1109/MC.2024.3382422</v>
      </c>
      <c r="BG1277" t="s">
        <v>74</v>
      </c>
      <c r="BH1277" t="s">
        <v>74</v>
      </c>
      <c r="BI1277">
        <v>5</v>
      </c>
      <c r="BJ1277" t="s">
        <v>765</v>
      </c>
      <c r="BK1277" t="s">
        <v>209</v>
      </c>
      <c r="BL1277" t="s">
        <v>210</v>
      </c>
      <c r="BM1277" t="s">
        <v>21546</v>
      </c>
      <c r="BN1277" t="s">
        <v>74</v>
      </c>
      <c r="BO1277" t="s">
        <v>74</v>
      </c>
      <c r="BP1277" t="s">
        <v>74</v>
      </c>
      <c r="BQ1277" t="s">
        <v>74</v>
      </c>
      <c r="BR1277" t="s">
        <v>102</v>
      </c>
      <c r="BS1277" t="s">
        <v>21547</v>
      </c>
      <c r="BT1277" t="str">
        <f>HYPERLINK("https%3A%2F%2Fwww.webofscience.com%2Fwos%2Fwoscc%2Ffull-record%2FWOS:001240114700013","View Full Record in Web of Science")</f>
        <v>View Full Record in Web of Science</v>
      </c>
    </row>
    <row r="1278" spans="1:72" x14ac:dyDescent="0.35">
      <c r="A1278" t="s">
        <v>72</v>
      </c>
      <c r="B1278" t="s">
        <v>21548</v>
      </c>
      <c r="C1278" t="s">
        <v>74</v>
      </c>
      <c r="D1278" t="s">
        <v>74</v>
      </c>
      <c r="E1278" t="s">
        <v>74</v>
      </c>
      <c r="F1278" t="s">
        <v>21549</v>
      </c>
      <c r="G1278" t="s">
        <v>74</v>
      </c>
      <c r="H1278" t="s">
        <v>74</v>
      </c>
      <c r="I1278" t="s">
        <v>21550</v>
      </c>
      <c r="J1278" t="s">
        <v>21551</v>
      </c>
      <c r="K1278" t="s">
        <v>74</v>
      </c>
      <c r="L1278" t="s">
        <v>74</v>
      </c>
      <c r="M1278" t="s">
        <v>78</v>
      </c>
      <c r="N1278" t="s">
        <v>108</v>
      </c>
      <c r="O1278" t="s">
        <v>74</v>
      </c>
      <c r="P1278" t="s">
        <v>74</v>
      </c>
      <c r="Q1278" t="s">
        <v>74</v>
      </c>
      <c r="R1278" t="s">
        <v>74</v>
      </c>
      <c r="S1278" t="s">
        <v>74</v>
      </c>
      <c r="T1278" t="s">
        <v>21552</v>
      </c>
      <c r="U1278" t="s">
        <v>21553</v>
      </c>
      <c r="V1278" t="s">
        <v>21554</v>
      </c>
      <c r="W1278" t="s">
        <v>21555</v>
      </c>
      <c r="X1278" t="s">
        <v>21556</v>
      </c>
      <c r="Y1278" t="s">
        <v>21557</v>
      </c>
      <c r="Z1278" t="s">
        <v>21558</v>
      </c>
      <c r="AA1278" t="s">
        <v>21559</v>
      </c>
      <c r="AB1278" t="s">
        <v>21560</v>
      </c>
      <c r="AC1278" t="s">
        <v>21561</v>
      </c>
      <c r="AD1278" t="s">
        <v>21562</v>
      </c>
      <c r="AE1278" t="s">
        <v>21563</v>
      </c>
      <c r="AF1278" t="s">
        <v>74</v>
      </c>
      <c r="AG1278">
        <v>52</v>
      </c>
      <c r="AH1278">
        <v>11</v>
      </c>
      <c r="AI1278">
        <v>12</v>
      </c>
      <c r="AJ1278">
        <v>6</v>
      </c>
      <c r="AK1278">
        <v>65</v>
      </c>
      <c r="AL1278" t="s">
        <v>21564</v>
      </c>
      <c r="AM1278" t="s">
        <v>3512</v>
      </c>
      <c r="AN1278" t="s">
        <v>21565</v>
      </c>
      <c r="AO1278" t="s">
        <v>21566</v>
      </c>
      <c r="AP1278" t="s">
        <v>74</v>
      </c>
      <c r="AQ1278" t="s">
        <v>74</v>
      </c>
      <c r="AR1278" t="s">
        <v>21567</v>
      </c>
      <c r="AS1278" t="s">
        <v>21568</v>
      </c>
      <c r="AT1278" t="s">
        <v>232</v>
      </c>
      <c r="AU1278">
        <v>2022</v>
      </c>
      <c r="AV1278">
        <v>11</v>
      </c>
      <c r="AW1278">
        <v>1</v>
      </c>
      <c r="AX1278" t="s">
        <v>74</v>
      </c>
      <c r="AY1278" t="s">
        <v>74</v>
      </c>
      <c r="AZ1278" t="s">
        <v>74</v>
      </c>
      <c r="BA1278" t="s">
        <v>74</v>
      </c>
      <c r="BB1278">
        <v>49</v>
      </c>
      <c r="BC1278">
        <v>63</v>
      </c>
      <c r="BD1278" t="s">
        <v>74</v>
      </c>
      <c r="BE1278" t="s">
        <v>21569</v>
      </c>
      <c r="BF1278" t="str">
        <f>HYPERLINK("http://dx.doi.org/10.7821/naer.2022.1.797","http://dx.doi.org/10.7821/naer.2022.1.797")</f>
        <v>http://dx.doi.org/10.7821/naer.2022.1.797</v>
      </c>
      <c r="BG1278" t="s">
        <v>74</v>
      </c>
      <c r="BH1278" t="s">
        <v>74</v>
      </c>
      <c r="BI1278">
        <v>15</v>
      </c>
      <c r="BJ1278" t="s">
        <v>787</v>
      </c>
      <c r="BK1278" t="s">
        <v>125</v>
      </c>
      <c r="BL1278" t="s">
        <v>787</v>
      </c>
      <c r="BM1278" t="s">
        <v>21570</v>
      </c>
      <c r="BN1278" t="s">
        <v>74</v>
      </c>
      <c r="BO1278" t="s">
        <v>235</v>
      </c>
      <c r="BP1278" t="s">
        <v>74</v>
      </c>
      <c r="BQ1278" t="s">
        <v>74</v>
      </c>
      <c r="BR1278" t="s">
        <v>102</v>
      </c>
      <c r="BS1278" t="s">
        <v>21571</v>
      </c>
      <c r="BT1278" t="str">
        <f>HYPERLINK("https%3A%2F%2Fwww.webofscience.com%2Fwos%2Fwoscc%2Ffull-record%2FWOS:000768202600004","View Full Record in Web of Science")</f>
        <v>View Full Record in Web of Science</v>
      </c>
    </row>
    <row r="1279" spans="1:72" x14ac:dyDescent="0.35">
      <c r="A1279" t="s">
        <v>128</v>
      </c>
      <c r="B1279" t="s">
        <v>21572</v>
      </c>
      <c r="C1279" t="s">
        <v>74</v>
      </c>
      <c r="D1279" t="s">
        <v>74</v>
      </c>
      <c r="E1279" t="s">
        <v>702</v>
      </c>
      <c r="F1279" t="s">
        <v>21573</v>
      </c>
      <c r="G1279" t="s">
        <v>74</v>
      </c>
      <c r="H1279" t="s">
        <v>74</v>
      </c>
      <c r="I1279" t="s">
        <v>21574</v>
      </c>
      <c r="J1279" t="s">
        <v>21575</v>
      </c>
      <c r="K1279" t="s">
        <v>74</v>
      </c>
      <c r="L1279" t="s">
        <v>74</v>
      </c>
      <c r="M1279" t="s">
        <v>78</v>
      </c>
      <c r="N1279" t="s">
        <v>135</v>
      </c>
      <c r="O1279" t="s">
        <v>21576</v>
      </c>
      <c r="P1279" t="s">
        <v>21577</v>
      </c>
      <c r="Q1279" t="s">
        <v>10407</v>
      </c>
      <c r="R1279" t="s">
        <v>21578</v>
      </c>
      <c r="S1279" t="s">
        <v>74</v>
      </c>
      <c r="T1279" t="s">
        <v>21579</v>
      </c>
      <c r="U1279" t="s">
        <v>74</v>
      </c>
      <c r="V1279" t="s">
        <v>21580</v>
      </c>
      <c r="W1279" t="s">
        <v>21581</v>
      </c>
      <c r="X1279" t="s">
        <v>21582</v>
      </c>
      <c r="Y1279" t="s">
        <v>21583</v>
      </c>
      <c r="Z1279" t="s">
        <v>21584</v>
      </c>
      <c r="AA1279" t="s">
        <v>21585</v>
      </c>
      <c r="AB1279" t="s">
        <v>21586</v>
      </c>
      <c r="AC1279" t="s">
        <v>21587</v>
      </c>
      <c r="AD1279" t="s">
        <v>21588</v>
      </c>
      <c r="AE1279" t="s">
        <v>21589</v>
      </c>
      <c r="AF1279" t="s">
        <v>74</v>
      </c>
      <c r="AG1279">
        <v>16</v>
      </c>
      <c r="AH1279">
        <v>0</v>
      </c>
      <c r="AI1279">
        <v>0</v>
      </c>
      <c r="AJ1279">
        <v>0</v>
      </c>
      <c r="AK1279">
        <v>1</v>
      </c>
      <c r="AL1279" t="s">
        <v>718</v>
      </c>
      <c r="AM1279" t="s">
        <v>666</v>
      </c>
      <c r="AN1279" t="s">
        <v>719</v>
      </c>
      <c r="AO1279" t="s">
        <v>74</v>
      </c>
      <c r="AP1279" t="s">
        <v>74</v>
      </c>
      <c r="AQ1279" t="s">
        <v>21590</v>
      </c>
      <c r="AR1279" t="s">
        <v>74</v>
      </c>
      <c r="AS1279" t="s">
        <v>74</v>
      </c>
      <c r="AT1279" t="s">
        <v>74</v>
      </c>
      <c r="AU1279">
        <v>2023</v>
      </c>
      <c r="AV1279" t="s">
        <v>74</v>
      </c>
      <c r="AW1279" t="s">
        <v>74</v>
      </c>
      <c r="AX1279" t="s">
        <v>74</v>
      </c>
      <c r="AY1279" t="s">
        <v>74</v>
      </c>
      <c r="AZ1279" t="s">
        <v>74</v>
      </c>
      <c r="BA1279" t="s">
        <v>74</v>
      </c>
      <c r="BB1279" t="s">
        <v>74</v>
      </c>
      <c r="BC1279" t="s">
        <v>74</v>
      </c>
      <c r="BD1279">
        <v>84</v>
      </c>
      <c r="BE1279" t="s">
        <v>21591</v>
      </c>
      <c r="BF1279" t="str">
        <f>HYPERLINK("http://dx.doi.org/10.1145/3586182.3615801","http://dx.doi.org/10.1145/3586182.3615801")</f>
        <v>http://dx.doi.org/10.1145/3586182.3615801</v>
      </c>
      <c r="BG1279" t="s">
        <v>74</v>
      </c>
      <c r="BH1279" t="s">
        <v>74</v>
      </c>
      <c r="BI1279">
        <v>4</v>
      </c>
      <c r="BJ1279" t="s">
        <v>21592</v>
      </c>
      <c r="BK1279" t="s">
        <v>723</v>
      </c>
      <c r="BL1279" t="s">
        <v>210</v>
      </c>
      <c r="BM1279" t="s">
        <v>21593</v>
      </c>
      <c r="BN1279" t="s">
        <v>74</v>
      </c>
      <c r="BO1279" t="s">
        <v>74</v>
      </c>
      <c r="BP1279" t="s">
        <v>74</v>
      </c>
      <c r="BQ1279" t="s">
        <v>74</v>
      </c>
      <c r="BR1279" t="s">
        <v>102</v>
      </c>
      <c r="BS1279" t="s">
        <v>21594</v>
      </c>
      <c r="BT1279" t="str">
        <f>HYPERLINK("https%3A%2F%2Fwww.webofscience.com%2Fwos%2Fwoscc%2Ffull-record%2FWOS:001125107000083","View Full Record in Web of Science")</f>
        <v>View Full Record in Web of Science</v>
      </c>
    </row>
    <row r="1280" spans="1:72" x14ac:dyDescent="0.35">
      <c r="A1280" t="s">
        <v>72</v>
      </c>
      <c r="B1280" t="s">
        <v>21595</v>
      </c>
      <c r="C1280" t="s">
        <v>74</v>
      </c>
      <c r="D1280" t="s">
        <v>74</v>
      </c>
      <c r="E1280" t="s">
        <v>74</v>
      </c>
      <c r="F1280" t="s">
        <v>21596</v>
      </c>
      <c r="G1280" t="s">
        <v>74</v>
      </c>
      <c r="H1280" t="s">
        <v>74</v>
      </c>
      <c r="I1280" t="s">
        <v>21597</v>
      </c>
      <c r="J1280" t="s">
        <v>21598</v>
      </c>
      <c r="K1280" t="s">
        <v>74</v>
      </c>
      <c r="L1280" t="s">
        <v>74</v>
      </c>
      <c r="M1280" t="s">
        <v>78</v>
      </c>
      <c r="N1280" t="s">
        <v>108</v>
      </c>
      <c r="O1280" t="s">
        <v>74</v>
      </c>
      <c r="P1280" t="s">
        <v>74</v>
      </c>
      <c r="Q1280" t="s">
        <v>74</v>
      </c>
      <c r="R1280" t="s">
        <v>74</v>
      </c>
      <c r="S1280" t="s">
        <v>74</v>
      </c>
      <c r="T1280" t="s">
        <v>21599</v>
      </c>
      <c r="U1280" t="s">
        <v>21600</v>
      </c>
      <c r="V1280" t="s">
        <v>21601</v>
      </c>
      <c r="W1280" t="s">
        <v>21602</v>
      </c>
      <c r="X1280" t="s">
        <v>18770</v>
      </c>
      <c r="Y1280" t="s">
        <v>21603</v>
      </c>
      <c r="Z1280" t="s">
        <v>21604</v>
      </c>
      <c r="AA1280" t="s">
        <v>74</v>
      </c>
      <c r="AB1280" t="s">
        <v>21605</v>
      </c>
      <c r="AC1280" t="s">
        <v>74</v>
      </c>
      <c r="AD1280" t="s">
        <v>74</v>
      </c>
      <c r="AE1280" t="s">
        <v>74</v>
      </c>
      <c r="AF1280" t="s">
        <v>74</v>
      </c>
      <c r="AG1280">
        <v>67</v>
      </c>
      <c r="AH1280">
        <v>1</v>
      </c>
      <c r="AI1280">
        <v>1</v>
      </c>
      <c r="AJ1280">
        <v>3</v>
      </c>
      <c r="AK1280">
        <v>6</v>
      </c>
      <c r="AL1280" t="s">
        <v>665</v>
      </c>
      <c r="AM1280" t="s">
        <v>666</v>
      </c>
      <c r="AN1280" t="s">
        <v>667</v>
      </c>
      <c r="AO1280" t="s">
        <v>21606</v>
      </c>
      <c r="AP1280" t="s">
        <v>21607</v>
      </c>
      <c r="AQ1280" t="s">
        <v>74</v>
      </c>
      <c r="AR1280" t="s">
        <v>21608</v>
      </c>
      <c r="AS1280" t="s">
        <v>21609</v>
      </c>
      <c r="AT1280" t="s">
        <v>455</v>
      </c>
      <c r="AU1280">
        <v>2023</v>
      </c>
      <c r="AV1280">
        <v>45</v>
      </c>
      <c r="AW1280">
        <v>3</v>
      </c>
      <c r="AX1280" t="s">
        <v>74</v>
      </c>
      <c r="AY1280" t="s">
        <v>74</v>
      </c>
      <c r="AZ1280" t="s">
        <v>74</v>
      </c>
      <c r="BA1280" t="s">
        <v>74</v>
      </c>
      <c r="BB1280">
        <v>265</v>
      </c>
      <c r="BC1280">
        <v>275</v>
      </c>
      <c r="BD1280" t="s">
        <v>74</v>
      </c>
      <c r="BE1280" t="s">
        <v>21610</v>
      </c>
      <c r="BF1280" t="str">
        <f>HYPERLINK("http://dx.doi.org/10.1007/s10591-022-09660-7","http://dx.doi.org/10.1007/s10591-022-09660-7")</f>
        <v>http://dx.doi.org/10.1007/s10591-022-09660-7</v>
      </c>
      <c r="BG1280" t="s">
        <v>74</v>
      </c>
      <c r="BH1280" t="s">
        <v>3970</v>
      </c>
      <c r="BI1280">
        <v>11</v>
      </c>
      <c r="BJ1280" t="s">
        <v>6370</v>
      </c>
      <c r="BK1280" t="s">
        <v>125</v>
      </c>
      <c r="BL1280" t="s">
        <v>301</v>
      </c>
      <c r="BM1280" t="s">
        <v>21611</v>
      </c>
      <c r="BN1280" t="s">
        <v>74</v>
      </c>
      <c r="BO1280" t="s">
        <v>74</v>
      </c>
      <c r="BP1280" t="s">
        <v>74</v>
      </c>
      <c r="BQ1280" t="s">
        <v>74</v>
      </c>
      <c r="BR1280" t="s">
        <v>102</v>
      </c>
      <c r="BS1280" t="s">
        <v>21612</v>
      </c>
      <c r="BT1280" t="str">
        <f>HYPERLINK("https%3A%2F%2Fwww.webofscience.com%2Fwos%2Fwoscc%2Ffull-record%2FWOS:000906145000001","View Full Record in Web of Science")</f>
        <v>View Full Record in Web of Science</v>
      </c>
    </row>
    <row r="1281" spans="1:72" x14ac:dyDescent="0.35">
      <c r="A1281" t="s">
        <v>72</v>
      </c>
      <c r="B1281" t="s">
        <v>21613</v>
      </c>
      <c r="C1281" t="s">
        <v>74</v>
      </c>
      <c r="D1281" t="s">
        <v>74</v>
      </c>
      <c r="E1281" t="s">
        <v>74</v>
      </c>
      <c r="F1281" t="s">
        <v>21614</v>
      </c>
      <c r="G1281" t="s">
        <v>74</v>
      </c>
      <c r="H1281" t="s">
        <v>74</v>
      </c>
      <c r="I1281" t="s">
        <v>21615</v>
      </c>
      <c r="J1281" t="s">
        <v>21616</v>
      </c>
      <c r="K1281" t="s">
        <v>74</v>
      </c>
      <c r="L1281" t="s">
        <v>74</v>
      </c>
      <c r="M1281" t="s">
        <v>78</v>
      </c>
      <c r="N1281" t="s">
        <v>108</v>
      </c>
      <c r="O1281" t="s">
        <v>74</v>
      </c>
      <c r="P1281" t="s">
        <v>74</v>
      </c>
      <c r="Q1281" t="s">
        <v>74</v>
      </c>
      <c r="R1281" t="s">
        <v>74</v>
      </c>
      <c r="S1281" t="s">
        <v>74</v>
      </c>
      <c r="T1281" t="s">
        <v>21617</v>
      </c>
      <c r="U1281" t="s">
        <v>21618</v>
      </c>
      <c r="V1281" t="s">
        <v>21619</v>
      </c>
      <c r="W1281" t="s">
        <v>21620</v>
      </c>
      <c r="X1281" t="s">
        <v>21621</v>
      </c>
      <c r="Y1281" t="s">
        <v>21622</v>
      </c>
      <c r="Z1281" t="s">
        <v>21623</v>
      </c>
      <c r="AA1281" t="s">
        <v>21624</v>
      </c>
      <c r="AB1281" t="s">
        <v>21625</v>
      </c>
      <c r="AC1281" t="s">
        <v>74</v>
      </c>
      <c r="AD1281" t="s">
        <v>74</v>
      </c>
      <c r="AE1281" t="s">
        <v>74</v>
      </c>
      <c r="AF1281" t="s">
        <v>74</v>
      </c>
      <c r="AG1281">
        <v>66</v>
      </c>
      <c r="AH1281">
        <v>1</v>
      </c>
      <c r="AI1281">
        <v>1</v>
      </c>
      <c r="AJ1281">
        <v>30</v>
      </c>
      <c r="AK1281">
        <v>42</v>
      </c>
      <c r="AL1281" t="s">
        <v>88</v>
      </c>
      <c r="AM1281" t="s">
        <v>89</v>
      </c>
      <c r="AN1281" t="s">
        <v>90</v>
      </c>
      <c r="AO1281" t="s">
        <v>21626</v>
      </c>
      <c r="AP1281" t="s">
        <v>21627</v>
      </c>
      <c r="AQ1281" t="s">
        <v>74</v>
      </c>
      <c r="AR1281" t="s">
        <v>21628</v>
      </c>
      <c r="AS1281" t="s">
        <v>21629</v>
      </c>
      <c r="AT1281" t="s">
        <v>364</v>
      </c>
      <c r="AU1281">
        <v>2024</v>
      </c>
      <c r="AV1281">
        <v>24</v>
      </c>
      <c r="AW1281">
        <v>1</v>
      </c>
      <c r="AX1281" t="s">
        <v>74</v>
      </c>
      <c r="AY1281" t="s">
        <v>74</v>
      </c>
      <c r="AZ1281" t="s">
        <v>456</v>
      </c>
      <c r="BA1281" t="s">
        <v>74</v>
      </c>
      <c r="BB1281">
        <v>106</v>
      </c>
      <c r="BC1281">
        <v>122</v>
      </c>
      <c r="BD1281" t="s">
        <v>74</v>
      </c>
      <c r="BE1281" t="s">
        <v>21630</v>
      </c>
      <c r="BF1281" t="str">
        <f>HYPERLINK("http://dx.doi.org/10.1080/15022250.2024.2343283","http://dx.doi.org/10.1080/15022250.2024.2343283")</f>
        <v>http://dx.doi.org/10.1080/15022250.2024.2343283</v>
      </c>
      <c r="BG1281" t="s">
        <v>74</v>
      </c>
      <c r="BH1281" t="s">
        <v>2410</v>
      </c>
      <c r="BI1281">
        <v>17</v>
      </c>
      <c r="BJ1281" t="s">
        <v>21631</v>
      </c>
      <c r="BK1281" t="s">
        <v>99</v>
      </c>
      <c r="BL1281" t="s">
        <v>21632</v>
      </c>
      <c r="BM1281" t="s">
        <v>21633</v>
      </c>
      <c r="BN1281" t="s">
        <v>74</v>
      </c>
      <c r="BO1281" t="s">
        <v>74</v>
      </c>
      <c r="BP1281" t="s">
        <v>74</v>
      </c>
      <c r="BQ1281" t="s">
        <v>74</v>
      </c>
      <c r="BR1281" t="s">
        <v>102</v>
      </c>
      <c r="BS1281" t="s">
        <v>21634</v>
      </c>
      <c r="BT1281" t="str">
        <f>HYPERLINK("https%3A%2F%2Fwww.webofscience.com%2Fwos%2Fwoscc%2Ffull-record%2FWOS:001204608900001","View Full Record in Web of Science")</f>
        <v>View Full Record in Web of Science</v>
      </c>
    </row>
    <row r="1282" spans="1:72" x14ac:dyDescent="0.35">
      <c r="A1282" t="s">
        <v>72</v>
      </c>
      <c r="B1282" t="s">
        <v>21635</v>
      </c>
      <c r="C1282" t="s">
        <v>74</v>
      </c>
      <c r="D1282" t="s">
        <v>74</v>
      </c>
      <c r="E1282" t="s">
        <v>74</v>
      </c>
      <c r="F1282" t="s">
        <v>21636</v>
      </c>
      <c r="G1282" t="s">
        <v>74</v>
      </c>
      <c r="H1282" t="s">
        <v>74</v>
      </c>
      <c r="I1282" t="s">
        <v>21637</v>
      </c>
      <c r="J1282" t="s">
        <v>2814</v>
      </c>
      <c r="K1282" t="s">
        <v>74</v>
      </c>
      <c r="L1282" t="s">
        <v>74</v>
      </c>
      <c r="M1282" t="s">
        <v>78</v>
      </c>
      <c r="N1282" t="s">
        <v>108</v>
      </c>
      <c r="O1282" t="s">
        <v>74</v>
      </c>
      <c r="P1282" t="s">
        <v>74</v>
      </c>
      <c r="Q1282" t="s">
        <v>74</v>
      </c>
      <c r="R1282" t="s">
        <v>74</v>
      </c>
      <c r="S1282" t="s">
        <v>74</v>
      </c>
      <c r="T1282" t="s">
        <v>21638</v>
      </c>
      <c r="U1282" t="s">
        <v>21639</v>
      </c>
      <c r="V1282" t="s">
        <v>21640</v>
      </c>
      <c r="W1282" t="s">
        <v>21641</v>
      </c>
      <c r="X1282" t="s">
        <v>21642</v>
      </c>
      <c r="Y1282" t="s">
        <v>21643</v>
      </c>
      <c r="Z1282" t="s">
        <v>21644</v>
      </c>
      <c r="AA1282" t="s">
        <v>74</v>
      </c>
      <c r="AB1282" t="s">
        <v>21645</v>
      </c>
      <c r="AC1282" t="s">
        <v>74</v>
      </c>
      <c r="AD1282" t="s">
        <v>74</v>
      </c>
      <c r="AE1282" t="s">
        <v>74</v>
      </c>
      <c r="AF1282" t="s">
        <v>74</v>
      </c>
      <c r="AG1282">
        <v>32</v>
      </c>
      <c r="AH1282">
        <v>0</v>
      </c>
      <c r="AI1282">
        <v>0</v>
      </c>
      <c r="AJ1282">
        <v>1</v>
      </c>
      <c r="AK1282">
        <v>1</v>
      </c>
      <c r="AL1282" t="s">
        <v>543</v>
      </c>
      <c r="AM1282" t="s">
        <v>544</v>
      </c>
      <c r="AN1282" t="s">
        <v>545</v>
      </c>
      <c r="AO1282" t="s">
        <v>2821</v>
      </c>
      <c r="AP1282" t="s">
        <v>74</v>
      </c>
      <c r="AQ1282" t="s">
        <v>74</v>
      </c>
      <c r="AR1282" t="s">
        <v>2822</v>
      </c>
      <c r="AS1282" t="s">
        <v>2823</v>
      </c>
      <c r="AT1282" t="s">
        <v>21646</v>
      </c>
      <c r="AU1282">
        <v>2024</v>
      </c>
      <c r="AV1282">
        <v>26</v>
      </c>
      <c r="AW1282" t="s">
        <v>74</v>
      </c>
      <c r="AX1282" t="s">
        <v>74</v>
      </c>
      <c r="AY1282" t="s">
        <v>74</v>
      </c>
      <c r="AZ1282" t="s">
        <v>74</v>
      </c>
      <c r="BA1282" t="s">
        <v>74</v>
      </c>
      <c r="BB1282" t="s">
        <v>74</v>
      </c>
      <c r="BC1282" t="s">
        <v>74</v>
      </c>
      <c r="BD1282" t="s">
        <v>21647</v>
      </c>
      <c r="BE1282" t="s">
        <v>21648</v>
      </c>
      <c r="BF1282" t="str">
        <f>HYPERLINK("http://dx.doi.org/10.2196/55403","http://dx.doi.org/10.2196/55403")</f>
        <v>http://dx.doi.org/10.2196/55403</v>
      </c>
      <c r="BG1282" t="s">
        <v>74</v>
      </c>
      <c r="BH1282" t="s">
        <v>74</v>
      </c>
      <c r="BI1282">
        <v>15</v>
      </c>
      <c r="BJ1282" t="s">
        <v>550</v>
      </c>
      <c r="BK1282" t="s">
        <v>209</v>
      </c>
      <c r="BL1282" t="s">
        <v>550</v>
      </c>
      <c r="BM1282" t="s">
        <v>21649</v>
      </c>
      <c r="BN1282">
        <v>39163110</v>
      </c>
      <c r="BO1282" t="s">
        <v>552</v>
      </c>
      <c r="BP1282" t="s">
        <v>74</v>
      </c>
      <c r="BQ1282" t="s">
        <v>74</v>
      </c>
      <c r="BR1282" t="s">
        <v>102</v>
      </c>
      <c r="BS1282" t="s">
        <v>21650</v>
      </c>
      <c r="BT1282" t="str">
        <f>HYPERLINK("https%3A%2F%2Fwww.webofscience.com%2Fwos%2Fwoscc%2Ffull-record%2FWOS:001304354000003","View Full Record in Web of Science")</f>
        <v>View Full Record in Web of Science</v>
      </c>
    </row>
    <row r="1283" spans="1:72" x14ac:dyDescent="0.35">
      <c r="A1283" t="s">
        <v>72</v>
      </c>
      <c r="B1283" t="s">
        <v>21651</v>
      </c>
      <c r="C1283" t="s">
        <v>74</v>
      </c>
      <c r="D1283" t="s">
        <v>74</v>
      </c>
      <c r="E1283" t="s">
        <v>74</v>
      </c>
      <c r="F1283" t="s">
        <v>21652</v>
      </c>
      <c r="G1283" t="s">
        <v>74</v>
      </c>
      <c r="H1283" t="s">
        <v>74</v>
      </c>
      <c r="I1283" t="s">
        <v>21653</v>
      </c>
      <c r="J1283" t="s">
        <v>21654</v>
      </c>
      <c r="K1283" t="s">
        <v>74</v>
      </c>
      <c r="L1283" t="s">
        <v>74</v>
      </c>
      <c r="M1283" t="s">
        <v>78</v>
      </c>
      <c r="N1283" t="s">
        <v>108</v>
      </c>
      <c r="O1283" t="s">
        <v>74</v>
      </c>
      <c r="P1283" t="s">
        <v>74</v>
      </c>
      <c r="Q1283" t="s">
        <v>74</v>
      </c>
      <c r="R1283" t="s">
        <v>74</v>
      </c>
      <c r="S1283" t="s">
        <v>74</v>
      </c>
      <c r="T1283" t="s">
        <v>21655</v>
      </c>
      <c r="U1283" t="s">
        <v>74</v>
      </c>
      <c r="V1283" t="s">
        <v>21656</v>
      </c>
      <c r="W1283" t="s">
        <v>21657</v>
      </c>
      <c r="X1283" t="s">
        <v>5567</v>
      </c>
      <c r="Y1283" t="s">
        <v>21658</v>
      </c>
      <c r="Z1283" t="s">
        <v>21659</v>
      </c>
      <c r="AA1283" t="s">
        <v>21660</v>
      </c>
      <c r="AB1283" t="s">
        <v>5571</v>
      </c>
      <c r="AC1283" t="s">
        <v>74</v>
      </c>
      <c r="AD1283" t="s">
        <v>74</v>
      </c>
      <c r="AE1283" t="s">
        <v>74</v>
      </c>
      <c r="AF1283" t="s">
        <v>74</v>
      </c>
      <c r="AG1283">
        <v>36</v>
      </c>
      <c r="AH1283">
        <v>0</v>
      </c>
      <c r="AI1283">
        <v>0</v>
      </c>
      <c r="AJ1283">
        <v>6</v>
      </c>
      <c r="AK1283">
        <v>11</v>
      </c>
      <c r="AL1283" t="s">
        <v>21661</v>
      </c>
      <c r="AM1283" t="s">
        <v>8757</v>
      </c>
      <c r="AN1283" t="s">
        <v>21662</v>
      </c>
      <c r="AO1283" t="s">
        <v>21663</v>
      </c>
      <c r="AP1283" t="s">
        <v>21664</v>
      </c>
      <c r="AQ1283" t="s">
        <v>74</v>
      </c>
      <c r="AR1283" t="s">
        <v>21665</v>
      </c>
      <c r="AS1283" t="s">
        <v>21666</v>
      </c>
      <c r="AT1283" t="s">
        <v>74</v>
      </c>
      <c r="AU1283">
        <v>2023</v>
      </c>
      <c r="AV1283">
        <v>15</v>
      </c>
      <c r="AW1283">
        <v>3</v>
      </c>
      <c r="AX1283" t="s">
        <v>74</v>
      </c>
      <c r="AY1283" t="s">
        <v>74</v>
      </c>
      <c r="AZ1283" t="s">
        <v>74</v>
      </c>
      <c r="BA1283" t="s">
        <v>74</v>
      </c>
      <c r="BB1283">
        <v>57</v>
      </c>
      <c r="BC1283">
        <v>70</v>
      </c>
      <c r="BD1283" t="s">
        <v>74</v>
      </c>
      <c r="BE1283" t="s">
        <v>21667</v>
      </c>
      <c r="BF1283" t="str">
        <f>HYPERLINK("http://dx.doi.org/10.21071/psye.v15i3.16098","http://dx.doi.org/10.21071/psye.v15i3.16098")</f>
        <v>http://dx.doi.org/10.21071/psye.v15i3.16098</v>
      </c>
      <c r="BG1283" t="s">
        <v>74</v>
      </c>
      <c r="BH1283" t="s">
        <v>74</v>
      </c>
      <c r="BI1283">
        <v>14</v>
      </c>
      <c r="BJ1283" t="s">
        <v>698</v>
      </c>
      <c r="BK1283" t="s">
        <v>125</v>
      </c>
      <c r="BL1283" t="s">
        <v>301</v>
      </c>
      <c r="BM1283" t="s">
        <v>21668</v>
      </c>
      <c r="BN1283" t="s">
        <v>74</v>
      </c>
      <c r="BO1283" t="s">
        <v>74</v>
      </c>
      <c r="BP1283" t="s">
        <v>74</v>
      </c>
      <c r="BQ1283" t="s">
        <v>74</v>
      </c>
      <c r="BR1283" t="s">
        <v>102</v>
      </c>
      <c r="BS1283" t="s">
        <v>21669</v>
      </c>
      <c r="BT1283" t="str">
        <f>HYPERLINK("https%3A%2F%2Fwww.webofscience.com%2Fwos%2Fwoscc%2Ffull-record%2FWOS:001115127200013","View Full Record in Web of Science")</f>
        <v>View Full Record in Web of Science</v>
      </c>
    </row>
    <row r="1284" spans="1:72" x14ac:dyDescent="0.35">
      <c r="A1284" t="s">
        <v>72</v>
      </c>
      <c r="B1284" t="s">
        <v>21670</v>
      </c>
      <c r="C1284" t="s">
        <v>74</v>
      </c>
      <c r="D1284" t="s">
        <v>74</v>
      </c>
      <c r="E1284" t="s">
        <v>74</v>
      </c>
      <c r="F1284" t="s">
        <v>21671</v>
      </c>
      <c r="G1284" t="s">
        <v>74</v>
      </c>
      <c r="H1284" t="s">
        <v>74</v>
      </c>
      <c r="I1284" t="s">
        <v>21672</v>
      </c>
      <c r="J1284" t="s">
        <v>21673</v>
      </c>
      <c r="K1284" t="s">
        <v>74</v>
      </c>
      <c r="L1284" t="s">
        <v>74</v>
      </c>
      <c r="M1284" t="s">
        <v>78</v>
      </c>
      <c r="N1284" t="s">
        <v>108</v>
      </c>
      <c r="O1284" t="s">
        <v>74</v>
      </c>
      <c r="P1284" t="s">
        <v>74</v>
      </c>
      <c r="Q1284" t="s">
        <v>74</v>
      </c>
      <c r="R1284" t="s">
        <v>74</v>
      </c>
      <c r="S1284" t="s">
        <v>74</v>
      </c>
      <c r="T1284" t="s">
        <v>21674</v>
      </c>
      <c r="U1284" t="s">
        <v>21675</v>
      </c>
      <c r="V1284" t="s">
        <v>21676</v>
      </c>
      <c r="W1284" t="s">
        <v>21677</v>
      </c>
      <c r="X1284" t="s">
        <v>21678</v>
      </c>
      <c r="Y1284" t="s">
        <v>21679</v>
      </c>
      <c r="Z1284" t="s">
        <v>21680</v>
      </c>
      <c r="AA1284" t="s">
        <v>21681</v>
      </c>
      <c r="AB1284" t="s">
        <v>21682</v>
      </c>
      <c r="AC1284" t="s">
        <v>21683</v>
      </c>
      <c r="AD1284" t="s">
        <v>21684</v>
      </c>
      <c r="AE1284" t="s">
        <v>21685</v>
      </c>
      <c r="AF1284" t="s">
        <v>74</v>
      </c>
      <c r="AG1284">
        <v>75</v>
      </c>
      <c r="AH1284">
        <v>4</v>
      </c>
      <c r="AI1284">
        <v>4</v>
      </c>
      <c r="AJ1284">
        <v>3</v>
      </c>
      <c r="AK1284">
        <v>12</v>
      </c>
      <c r="AL1284" t="s">
        <v>290</v>
      </c>
      <c r="AM1284" t="s">
        <v>291</v>
      </c>
      <c r="AN1284" t="s">
        <v>292</v>
      </c>
      <c r="AO1284" t="s">
        <v>21686</v>
      </c>
      <c r="AP1284" t="s">
        <v>21687</v>
      </c>
      <c r="AQ1284" t="s">
        <v>74</v>
      </c>
      <c r="AR1284" t="s">
        <v>21688</v>
      </c>
      <c r="AS1284" t="s">
        <v>21689</v>
      </c>
      <c r="AT1284" t="s">
        <v>455</v>
      </c>
      <c r="AU1284">
        <v>2023</v>
      </c>
      <c r="AV1284">
        <v>92</v>
      </c>
      <c r="AW1284" t="s">
        <v>74</v>
      </c>
      <c r="AX1284" t="s">
        <v>74</v>
      </c>
      <c r="AY1284" t="s">
        <v>74</v>
      </c>
      <c r="AZ1284" t="s">
        <v>74</v>
      </c>
      <c r="BA1284" t="s">
        <v>74</v>
      </c>
      <c r="BB1284">
        <v>1</v>
      </c>
      <c r="BC1284">
        <v>14</v>
      </c>
      <c r="BD1284" t="s">
        <v>74</v>
      </c>
      <c r="BE1284" t="s">
        <v>21690</v>
      </c>
      <c r="BF1284" t="str">
        <f>HYPERLINK("http://dx.doi.org/10.1016/j.langcom.2023.06.002","http://dx.doi.org/10.1016/j.langcom.2023.06.002")</f>
        <v>http://dx.doi.org/10.1016/j.langcom.2023.06.002</v>
      </c>
      <c r="BG1284" t="s">
        <v>74</v>
      </c>
      <c r="BH1284" t="s">
        <v>1954</v>
      </c>
      <c r="BI1284">
        <v>14</v>
      </c>
      <c r="BJ1284" t="s">
        <v>21691</v>
      </c>
      <c r="BK1284" t="s">
        <v>99</v>
      </c>
      <c r="BL1284" t="s">
        <v>21691</v>
      </c>
      <c r="BM1284" t="s">
        <v>21692</v>
      </c>
      <c r="BN1284" t="s">
        <v>74</v>
      </c>
      <c r="BO1284" t="s">
        <v>156</v>
      </c>
      <c r="BP1284" t="s">
        <v>74</v>
      </c>
      <c r="BQ1284" t="s">
        <v>74</v>
      </c>
      <c r="BR1284" t="s">
        <v>102</v>
      </c>
      <c r="BS1284" t="s">
        <v>21693</v>
      </c>
      <c r="BT1284" t="str">
        <f>HYPERLINK("https%3A%2F%2Fwww.webofscience.com%2Fwos%2Fwoscc%2Ffull-record%2FWOS:001036609600001","View Full Record in Web of Science")</f>
        <v>View Full Record in Web of Science</v>
      </c>
    </row>
    <row r="1285" spans="1:72" x14ac:dyDescent="0.35">
      <c r="A1285" t="s">
        <v>72</v>
      </c>
      <c r="B1285" t="s">
        <v>21694</v>
      </c>
      <c r="C1285" t="s">
        <v>74</v>
      </c>
      <c r="D1285" t="s">
        <v>74</v>
      </c>
      <c r="E1285" t="s">
        <v>74</v>
      </c>
      <c r="F1285" t="s">
        <v>21695</v>
      </c>
      <c r="G1285" t="s">
        <v>74</v>
      </c>
      <c r="H1285" t="s">
        <v>74</v>
      </c>
      <c r="I1285" t="s">
        <v>21696</v>
      </c>
      <c r="J1285" t="s">
        <v>21697</v>
      </c>
      <c r="K1285" t="s">
        <v>74</v>
      </c>
      <c r="L1285" t="s">
        <v>74</v>
      </c>
      <c r="M1285" t="s">
        <v>78</v>
      </c>
      <c r="N1285" t="s">
        <v>108</v>
      </c>
      <c r="O1285" t="s">
        <v>74</v>
      </c>
      <c r="P1285" t="s">
        <v>74</v>
      </c>
      <c r="Q1285" t="s">
        <v>74</v>
      </c>
      <c r="R1285" t="s">
        <v>74</v>
      </c>
      <c r="S1285" t="s">
        <v>74</v>
      </c>
      <c r="T1285" t="s">
        <v>21698</v>
      </c>
      <c r="U1285" t="s">
        <v>21699</v>
      </c>
      <c r="V1285" t="s">
        <v>21700</v>
      </c>
      <c r="W1285" t="s">
        <v>21701</v>
      </c>
      <c r="X1285" t="s">
        <v>21702</v>
      </c>
      <c r="Y1285" t="s">
        <v>21703</v>
      </c>
      <c r="Z1285" t="s">
        <v>21704</v>
      </c>
      <c r="AA1285" t="s">
        <v>21705</v>
      </c>
      <c r="AB1285" t="s">
        <v>21706</v>
      </c>
      <c r="AC1285" t="s">
        <v>74</v>
      </c>
      <c r="AD1285" t="s">
        <v>74</v>
      </c>
      <c r="AE1285" t="s">
        <v>74</v>
      </c>
      <c r="AF1285" t="s">
        <v>74</v>
      </c>
      <c r="AG1285">
        <v>104</v>
      </c>
      <c r="AH1285">
        <v>4</v>
      </c>
      <c r="AI1285">
        <v>4</v>
      </c>
      <c r="AJ1285">
        <v>26</v>
      </c>
      <c r="AK1285">
        <v>99</v>
      </c>
      <c r="AL1285" t="s">
        <v>21707</v>
      </c>
      <c r="AM1285" t="s">
        <v>666</v>
      </c>
      <c r="AN1285" t="s">
        <v>21708</v>
      </c>
      <c r="AO1285" t="s">
        <v>21709</v>
      </c>
      <c r="AP1285" t="s">
        <v>21710</v>
      </c>
      <c r="AQ1285" t="s">
        <v>74</v>
      </c>
      <c r="AR1285" t="s">
        <v>21711</v>
      </c>
      <c r="AS1285" t="s">
        <v>21712</v>
      </c>
      <c r="AT1285" t="s">
        <v>2234</v>
      </c>
      <c r="AU1285">
        <v>2023</v>
      </c>
      <c r="AV1285">
        <v>63</v>
      </c>
      <c r="AW1285">
        <v>2</v>
      </c>
      <c r="AX1285" t="s">
        <v>74</v>
      </c>
      <c r="AY1285" t="s">
        <v>74</v>
      </c>
      <c r="AZ1285" t="s">
        <v>74</v>
      </c>
      <c r="BA1285" t="s">
        <v>74</v>
      </c>
      <c r="BB1285">
        <v>139</v>
      </c>
      <c r="BC1285">
        <v>159</v>
      </c>
      <c r="BD1285" t="s">
        <v>74</v>
      </c>
      <c r="BE1285" t="s">
        <v>21713</v>
      </c>
      <c r="BF1285" t="str">
        <f>HYPERLINK("http://dx.doi.org/10.2501/JAR-2023-008","http://dx.doi.org/10.2501/JAR-2023-008")</f>
        <v>http://dx.doi.org/10.2501/JAR-2023-008</v>
      </c>
      <c r="BG1285" t="s">
        <v>74</v>
      </c>
      <c r="BH1285" t="s">
        <v>74</v>
      </c>
      <c r="BI1285">
        <v>21</v>
      </c>
      <c r="BJ1285" t="s">
        <v>1722</v>
      </c>
      <c r="BK1285" t="s">
        <v>99</v>
      </c>
      <c r="BL1285" t="s">
        <v>1723</v>
      </c>
      <c r="BM1285" t="s">
        <v>21714</v>
      </c>
      <c r="BN1285" t="s">
        <v>74</v>
      </c>
      <c r="BO1285" t="s">
        <v>74</v>
      </c>
      <c r="BP1285" t="s">
        <v>74</v>
      </c>
      <c r="BQ1285" t="s">
        <v>74</v>
      </c>
      <c r="BR1285" t="s">
        <v>102</v>
      </c>
      <c r="BS1285" t="s">
        <v>21715</v>
      </c>
      <c r="BT1285" t="str">
        <f>HYPERLINK("https%3A%2F%2Fwww.webofscience.com%2Fwos%2Fwoscc%2Ffull-record%2FWOS:001027615700004","View Full Record in Web of Science")</f>
        <v>View Full Record in Web of Science</v>
      </c>
    </row>
    <row r="1286" spans="1:72" x14ac:dyDescent="0.35">
      <c r="A1286" t="s">
        <v>72</v>
      </c>
      <c r="B1286" t="s">
        <v>21716</v>
      </c>
      <c r="C1286" t="s">
        <v>74</v>
      </c>
      <c r="D1286" t="s">
        <v>74</v>
      </c>
      <c r="E1286" t="s">
        <v>74</v>
      </c>
      <c r="F1286" t="s">
        <v>21717</v>
      </c>
      <c r="G1286" t="s">
        <v>74</v>
      </c>
      <c r="H1286" t="s">
        <v>74</v>
      </c>
      <c r="I1286" t="s">
        <v>21718</v>
      </c>
      <c r="J1286" t="s">
        <v>21719</v>
      </c>
      <c r="K1286" t="s">
        <v>74</v>
      </c>
      <c r="L1286" t="s">
        <v>74</v>
      </c>
      <c r="M1286" t="s">
        <v>78</v>
      </c>
      <c r="N1286" t="s">
        <v>108</v>
      </c>
      <c r="O1286" t="s">
        <v>74</v>
      </c>
      <c r="P1286" t="s">
        <v>74</v>
      </c>
      <c r="Q1286" t="s">
        <v>74</v>
      </c>
      <c r="R1286" t="s">
        <v>74</v>
      </c>
      <c r="S1286" t="s">
        <v>74</v>
      </c>
      <c r="T1286" t="s">
        <v>21720</v>
      </c>
      <c r="U1286" t="s">
        <v>21721</v>
      </c>
      <c r="V1286" t="s">
        <v>21722</v>
      </c>
      <c r="W1286" t="s">
        <v>21723</v>
      </c>
      <c r="X1286" t="s">
        <v>21724</v>
      </c>
      <c r="Y1286" t="s">
        <v>21725</v>
      </c>
      <c r="Z1286" t="s">
        <v>21726</v>
      </c>
      <c r="AA1286" t="s">
        <v>21727</v>
      </c>
      <c r="AB1286" t="s">
        <v>21728</v>
      </c>
      <c r="AC1286" t="s">
        <v>74</v>
      </c>
      <c r="AD1286" t="s">
        <v>74</v>
      </c>
      <c r="AE1286" t="s">
        <v>74</v>
      </c>
      <c r="AF1286" t="s">
        <v>74</v>
      </c>
      <c r="AG1286">
        <v>49</v>
      </c>
      <c r="AH1286">
        <v>27</v>
      </c>
      <c r="AI1286">
        <v>27</v>
      </c>
      <c r="AJ1286">
        <v>5</v>
      </c>
      <c r="AK1286">
        <v>26</v>
      </c>
      <c r="AL1286" t="s">
        <v>665</v>
      </c>
      <c r="AM1286" t="s">
        <v>666</v>
      </c>
      <c r="AN1286" t="s">
        <v>667</v>
      </c>
      <c r="AO1286" t="s">
        <v>21729</v>
      </c>
      <c r="AP1286" t="s">
        <v>74</v>
      </c>
      <c r="AQ1286" t="s">
        <v>74</v>
      </c>
      <c r="AR1286" t="s">
        <v>21730</v>
      </c>
      <c r="AS1286" t="s">
        <v>21731</v>
      </c>
      <c r="AT1286" t="s">
        <v>1275</v>
      </c>
      <c r="AU1286">
        <v>2021</v>
      </c>
      <c r="AV1286">
        <v>10</v>
      </c>
      <c r="AW1286">
        <v>4</v>
      </c>
      <c r="AX1286" t="s">
        <v>74</v>
      </c>
      <c r="AY1286" t="s">
        <v>74</v>
      </c>
      <c r="AZ1286" t="s">
        <v>74</v>
      </c>
      <c r="BA1286" t="s">
        <v>74</v>
      </c>
      <c r="BB1286">
        <v>97</v>
      </c>
      <c r="BC1286">
        <v>104</v>
      </c>
      <c r="BD1286" t="s">
        <v>74</v>
      </c>
      <c r="BE1286" t="s">
        <v>21732</v>
      </c>
      <c r="BF1286" t="str">
        <f>HYPERLINK("http://dx.doi.org/10.1007/s13671-021-00343-4","http://dx.doi.org/10.1007/s13671-021-00343-4")</f>
        <v>http://dx.doi.org/10.1007/s13671-021-00343-4</v>
      </c>
      <c r="BG1286" t="s">
        <v>74</v>
      </c>
      <c r="BH1286" t="s">
        <v>9169</v>
      </c>
      <c r="BI1286">
        <v>8</v>
      </c>
      <c r="BJ1286" t="s">
        <v>1341</v>
      </c>
      <c r="BK1286" t="s">
        <v>125</v>
      </c>
      <c r="BL1286" t="s">
        <v>1341</v>
      </c>
      <c r="BM1286" t="s">
        <v>21733</v>
      </c>
      <c r="BN1286">
        <v>34692234</v>
      </c>
      <c r="BO1286" t="s">
        <v>3747</v>
      </c>
      <c r="BP1286" t="s">
        <v>74</v>
      </c>
      <c r="BQ1286" t="s">
        <v>74</v>
      </c>
      <c r="BR1286" t="s">
        <v>102</v>
      </c>
      <c r="BS1286" t="s">
        <v>21734</v>
      </c>
      <c r="BT1286" t="str">
        <f>HYPERLINK("https%3A%2F%2Fwww.webofscience.com%2Fwos%2Fwoscc%2Ffull-record%2FWOS:000708776800001","View Full Record in Web of Science")</f>
        <v>View Full Record in Web of Science</v>
      </c>
    </row>
    <row r="1287" spans="1:72" x14ac:dyDescent="0.35">
      <c r="A1287" t="s">
        <v>72</v>
      </c>
      <c r="B1287" t="s">
        <v>21735</v>
      </c>
      <c r="C1287" t="s">
        <v>74</v>
      </c>
      <c r="D1287" t="s">
        <v>74</v>
      </c>
      <c r="E1287" t="s">
        <v>74</v>
      </c>
      <c r="F1287" t="s">
        <v>19794</v>
      </c>
      <c r="G1287" t="s">
        <v>74</v>
      </c>
      <c r="H1287" t="s">
        <v>74</v>
      </c>
      <c r="I1287" t="s">
        <v>21736</v>
      </c>
      <c r="J1287" t="s">
        <v>11744</v>
      </c>
      <c r="K1287" t="s">
        <v>74</v>
      </c>
      <c r="L1287" t="s">
        <v>74</v>
      </c>
      <c r="M1287" t="s">
        <v>78</v>
      </c>
      <c r="N1287" t="s">
        <v>108</v>
      </c>
      <c r="O1287" t="s">
        <v>74</v>
      </c>
      <c r="P1287" t="s">
        <v>74</v>
      </c>
      <c r="Q1287" t="s">
        <v>74</v>
      </c>
      <c r="R1287" t="s">
        <v>74</v>
      </c>
      <c r="S1287" t="s">
        <v>74</v>
      </c>
      <c r="T1287" t="s">
        <v>21737</v>
      </c>
      <c r="U1287" t="s">
        <v>21738</v>
      </c>
      <c r="V1287" t="s">
        <v>21739</v>
      </c>
      <c r="W1287" t="s">
        <v>21740</v>
      </c>
      <c r="X1287" t="s">
        <v>21741</v>
      </c>
      <c r="Y1287" t="s">
        <v>21742</v>
      </c>
      <c r="Z1287" t="s">
        <v>19801</v>
      </c>
      <c r="AA1287" t="s">
        <v>21743</v>
      </c>
      <c r="AB1287" t="s">
        <v>74</v>
      </c>
      <c r="AC1287" t="s">
        <v>74</v>
      </c>
      <c r="AD1287" t="s">
        <v>74</v>
      </c>
      <c r="AE1287" t="s">
        <v>74</v>
      </c>
      <c r="AF1287" t="s">
        <v>74</v>
      </c>
      <c r="AG1287">
        <v>58</v>
      </c>
      <c r="AH1287">
        <v>12</v>
      </c>
      <c r="AI1287">
        <v>12</v>
      </c>
      <c r="AJ1287">
        <v>36</v>
      </c>
      <c r="AK1287">
        <v>150</v>
      </c>
      <c r="AL1287" t="s">
        <v>3632</v>
      </c>
      <c r="AM1287" t="s">
        <v>291</v>
      </c>
      <c r="AN1287" t="s">
        <v>3633</v>
      </c>
      <c r="AO1287" t="s">
        <v>11752</v>
      </c>
      <c r="AP1287" t="s">
        <v>11753</v>
      </c>
      <c r="AQ1287" t="s">
        <v>74</v>
      </c>
      <c r="AR1287" t="s">
        <v>11754</v>
      </c>
      <c r="AS1287" t="s">
        <v>11755</v>
      </c>
      <c r="AT1287" t="s">
        <v>1275</v>
      </c>
      <c r="AU1287">
        <v>2022</v>
      </c>
      <c r="AV1287">
        <v>50</v>
      </c>
      <c r="AW1287" t="s">
        <v>74</v>
      </c>
      <c r="AX1287" t="s">
        <v>74</v>
      </c>
      <c r="AY1287" t="s">
        <v>74</v>
      </c>
      <c r="AZ1287" t="s">
        <v>74</v>
      </c>
      <c r="BA1287" t="s">
        <v>74</v>
      </c>
      <c r="BB1287" t="s">
        <v>74</v>
      </c>
      <c r="BC1287" t="s">
        <v>74</v>
      </c>
      <c r="BD1287">
        <v>100652</v>
      </c>
      <c r="BE1287" t="s">
        <v>21744</v>
      </c>
      <c r="BF1287" t="str">
        <f>HYPERLINK("http://dx.doi.org/10.1016/j.dcm.2022.100652","http://dx.doi.org/10.1016/j.dcm.2022.100652")</f>
        <v>http://dx.doi.org/10.1016/j.dcm.2022.100652</v>
      </c>
      <c r="BG1287" t="s">
        <v>74</v>
      </c>
      <c r="BH1287" t="s">
        <v>2034</v>
      </c>
      <c r="BI1287">
        <v>9</v>
      </c>
      <c r="BJ1287" t="s">
        <v>124</v>
      </c>
      <c r="BK1287" t="s">
        <v>99</v>
      </c>
      <c r="BL1287" t="s">
        <v>124</v>
      </c>
      <c r="BM1287" t="s">
        <v>21745</v>
      </c>
      <c r="BN1287" t="s">
        <v>74</v>
      </c>
      <c r="BO1287" t="s">
        <v>74</v>
      </c>
      <c r="BP1287" t="s">
        <v>74</v>
      </c>
      <c r="BQ1287" t="s">
        <v>74</v>
      </c>
      <c r="BR1287" t="s">
        <v>102</v>
      </c>
      <c r="BS1287" t="s">
        <v>21746</v>
      </c>
      <c r="BT1287" t="str">
        <f>HYPERLINK("https%3A%2F%2Fwww.webofscience.com%2Fwos%2Fwoscc%2Ffull-record%2FWOS:000877580000001","View Full Record in Web of Science")</f>
        <v>View Full Record in Web of Science</v>
      </c>
    </row>
    <row r="1288" spans="1:72" x14ac:dyDescent="0.35">
      <c r="A1288" t="s">
        <v>72</v>
      </c>
      <c r="B1288" t="s">
        <v>21747</v>
      </c>
      <c r="C1288" t="s">
        <v>74</v>
      </c>
      <c r="D1288" t="s">
        <v>74</v>
      </c>
      <c r="E1288" t="s">
        <v>74</v>
      </c>
      <c r="F1288" t="s">
        <v>21748</v>
      </c>
      <c r="G1288" t="s">
        <v>74</v>
      </c>
      <c r="H1288" t="s">
        <v>74</v>
      </c>
      <c r="I1288" t="s">
        <v>21749</v>
      </c>
      <c r="J1288" t="s">
        <v>5140</v>
      </c>
      <c r="K1288" t="s">
        <v>74</v>
      </c>
      <c r="L1288" t="s">
        <v>74</v>
      </c>
      <c r="M1288" t="s">
        <v>3503</v>
      </c>
      <c r="N1288" t="s">
        <v>108</v>
      </c>
      <c r="O1288" t="s">
        <v>74</v>
      </c>
      <c r="P1288" t="s">
        <v>74</v>
      </c>
      <c r="Q1288" t="s">
        <v>74</v>
      </c>
      <c r="R1288" t="s">
        <v>74</v>
      </c>
      <c r="S1288" t="s">
        <v>74</v>
      </c>
      <c r="T1288" t="s">
        <v>21750</v>
      </c>
      <c r="U1288" t="s">
        <v>74</v>
      </c>
      <c r="V1288" t="s">
        <v>21751</v>
      </c>
      <c r="W1288" t="s">
        <v>21752</v>
      </c>
      <c r="X1288" t="s">
        <v>21753</v>
      </c>
      <c r="Y1288" t="s">
        <v>21754</v>
      </c>
      <c r="Z1288" t="s">
        <v>21755</v>
      </c>
      <c r="AA1288" t="s">
        <v>21756</v>
      </c>
      <c r="AB1288" t="s">
        <v>21757</v>
      </c>
      <c r="AC1288" t="s">
        <v>74</v>
      </c>
      <c r="AD1288" t="s">
        <v>74</v>
      </c>
      <c r="AE1288" t="s">
        <v>74</v>
      </c>
      <c r="AF1288" t="s">
        <v>74</v>
      </c>
      <c r="AG1288">
        <v>7</v>
      </c>
      <c r="AH1288">
        <v>0</v>
      </c>
      <c r="AI1288">
        <v>0</v>
      </c>
      <c r="AJ1288">
        <v>5</v>
      </c>
      <c r="AK1288">
        <v>26</v>
      </c>
      <c r="AL1288" t="s">
        <v>5147</v>
      </c>
      <c r="AM1288" t="s">
        <v>5148</v>
      </c>
      <c r="AN1288" t="s">
        <v>5149</v>
      </c>
      <c r="AO1288" t="s">
        <v>5150</v>
      </c>
      <c r="AP1288" t="s">
        <v>5151</v>
      </c>
      <c r="AQ1288" t="s">
        <v>74</v>
      </c>
      <c r="AR1288" t="s">
        <v>5152</v>
      </c>
      <c r="AS1288" t="s">
        <v>5153</v>
      </c>
      <c r="AT1288" t="s">
        <v>21758</v>
      </c>
      <c r="AU1288">
        <v>2022</v>
      </c>
      <c r="AV1288" t="s">
        <v>74</v>
      </c>
      <c r="AW1288">
        <v>37</v>
      </c>
      <c r="AX1288" t="s">
        <v>74</v>
      </c>
      <c r="AY1288" t="s">
        <v>74</v>
      </c>
      <c r="AZ1288" t="s">
        <v>74</v>
      </c>
      <c r="BA1288" t="s">
        <v>74</v>
      </c>
      <c r="BB1288">
        <v>247</v>
      </c>
      <c r="BC1288">
        <v>270</v>
      </c>
      <c r="BD1288" t="s">
        <v>74</v>
      </c>
      <c r="BE1288" t="s">
        <v>21759</v>
      </c>
      <c r="BF1288" t="str">
        <f>HYPERLINK("http://dx.doi.org/10.17163/uni.n37.2022.10","http://dx.doi.org/10.17163/uni.n37.2022.10")</f>
        <v>http://dx.doi.org/10.17163/uni.n37.2022.10</v>
      </c>
      <c r="BG1288" t="s">
        <v>74</v>
      </c>
      <c r="BH1288" t="s">
        <v>74</v>
      </c>
      <c r="BI1288">
        <v>24</v>
      </c>
      <c r="BJ1288" t="s">
        <v>98</v>
      </c>
      <c r="BK1288" t="s">
        <v>125</v>
      </c>
      <c r="BL1288" t="s">
        <v>100</v>
      </c>
      <c r="BM1288" t="s">
        <v>21760</v>
      </c>
      <c r="BN1288" t="s">
        <v>74</v>
      </c>
      <c r="BO1288" t="s">
        <v>5678</v>
      </c>
      <c r="BP1288" t="s">
        <v>74</v>
      </c>
      <c r="BQ1288" t="s">
        <v>74</v>
      </c>
      <c r="BR1288" t="s">
        <v>102</v>
      </c>
      <c r="BS1288" t="s">
        <v>21761</v>
      </c>
      <c r="BT1288" t="str">
        <f>HYPERLINK("https%3A%2F%2Fwww.webofscience.com%2Fwos%2Fwoscc%2Ffull-record%2FWOS:000844996000010","View Full Record in Web of Science")</f>
        <v>View Full Record in Web of Science</v>
      </c>
    </row>
    <row r="1289" spans="1:72" x14ac:dyDescent="0.35">
      <c r="A1289" t="s">
        <v>72</v>
      </c>
      <c r="B1289" t="s">
        <v>21762</v>
      </c>
      <c r="C1289" t="s">
        <v>74</v>
      </c>
      <c r="D1289" t="s">
        <v>74</v>
      </c>
      <c r="E1289" t="s">
        <v>74</v>
      </c>
      <c r="F1289" t="s">
        <v>21763</v>
      </c>
      <c r="G1289" t="s">
        <v>74</v>
      </c>
      <c r="H1289" t="s">
        <v>74</v>
      </c>
      <c r="I1289" t="s">
        <v>21764</v>
      </c>
      <c r="J1289" t="s">
        <v>21765</v>
      </c>
      <c r="K1289" t="s">
        <v>74</v>
      </c>
      <c r="L1289" t="s">
        <v>74</v>
      </c>
      <c r="M1289" t="s">
        <v>78</v>
      </c>
      <c r="N1289" t="s">
        <v>79</v>
      </c>
      <c r="O1289" t="s">
        <v>74</v>
      </c>
      <c r="P1289" t="s">
        <v>74</v>
      </c>
      <c r="Q1289" t="s">
        <v>74</v>
      </c>
      <c r="R1289" t="s">
        <v>74</v>
      </c>
      <c r="S1289" t="s">
        <v>74</v>
      </c>
      <c r="T1289" t="s">
        <v>21766</v>
      </c>
      <c r="U1289" t="s">
        <v>21767</v>
      </c>
      <c r="V1289" t="s">
        <v>21768</v>
      </c>
      <c r="W1289" t="s">
        <v>21769</v>
      </c>
      <c r="X1289" t="s">
        <v>21770</v>
      </c>
      <c r="Y1289" t="s">
        <v>21771</v>
      </c>
      <c r="Z1289" t="s">
        <v>21772</v>
      </c>
      <c r="AA1289" t="s">
        <v>74</v>
      </c>
      <c r="AB1289" t="s">
        <v>21773</v>
      </c>
      <c r="AC1289" t="s">
        <v>21774</v>
      </c>
      <c r="AD1289" t="s">
        <v>21775</v>
      </c>
      <c r="AE1289" t="s">
        <v>21776</v>
      </c>
      <c r="AF1289" t="s">
        <v>74</v>
      </c>
      <c r="AG1289">
        <v>40</v>
      </c>
      <c r="AH1289">
        <v>0</v>
      </c>
      <c r="AI1289">
        <v>0</v>
      </c>
      <c r="AJ1289">
        <v>1</v>
      </c>
      <c r="AK1289">
        <v>3</v>
      </c>
      <c r="AL1289" t="s">
        <v>88</v>
      </c>
      <c r="AM1289" t="s">
        <v>89</v>
      </c>
      <c r="AN1289" t="s">
        <v>90</v>
      </c>
      <c r="AO1289" t="s">
        <v>21777</v>
      </c>
      <c r="AP1289" t="s">
        <v>21778</v>
      </c>
      <c r="AQ1289" t="s">
        <v>74</v>
      </c>
      <c r="AR1289" t="s">
        <v>21779</v>
      </c>
      <c r="AS1289" t="s">
        <v>21780</v>
      </c>
      <c r="AT1289" t="s">
        <v>21781</v>
      </c>
      <c r="AU1289">
        <v>2024</v>
      </c>
      <c r="AV1289" t="s">
        <v>74</v>
      </c>
      <c r="AW1289" t="s">
        <v>74</v>
      </c>
      <c r="AX1289" t="s">
        <v>74</v>
      </c>
      <c r="AY1289" t="s">
        <v>74</v>
      </c>
      <c r="AZ1289" t="s">
        <v>74</v>
      </c>
      <c r="BA1289" t="s">
        <v>74</v>
      </c>
      <c r="BB1289" t="s">
        <v>74</v>
      </c>
      <c r="BC1289" t="s">
        <v>74</v>
      </c>
      <c r="BD1289" t="s">
        <v>74</v>
      </c>
      <c r="BE1289" t="s">
        <v>21782</v>
      </c>
      <c r="BF1289" t="str">
        <f>HYPERLINK("http://dx.doi.org/10.1080/21604851.2024.2306991","http://dx.doi.org/10.1080/21604851.2024.2306991")</f>
        <v>http://dx.doi.org/10.1080/21604851.2024.2306991</v>
      </c>
      <c r="BG1289" t="s">
        <v>74</v>
      </c>
      <c r="BH1289" t="s">
        <v>1377</v>
      </c>
      <c r="BI1289">
        <v>16</v>
      </c>
      <c r="BJ1289" t="s">
        <v>98</v>
      </c>
      <c r="BK1289" t="s">
        <v>125</v>
      </c>
      <c r="BL1289" t="s">
        <v>100</v>
      </c>
      <c r="BM1289" t="s">
        <v>21783</v>
      </c>
      <c r="BN1289" t="s">
        <v>74</v>
      </c>
      <c r="BO1289" t="s">
        <v>156</v>
      </c>
      <c r="BP1289" t="s">
        <v>74</v>
      </c>
      <c r="BQ1289" t="s">
        <v>74</v>
      </c>
      <c r="BR1289" t="s">
        <v>102</v>
      </c>
      <c r="BS1289" t="s">
        <v>21784</v>
      </c>
      <c r="BT1289" t="str">
        <f>HYPERLINK("https%3A%2F%2Fwww.webofscience.com%2Fwos%2Fwoscc%2Ffull-record%2FWOS:001145295600001","View Full Record in Web of Science")</f>
        <v>View Full Record in Web of Science</v>
      </c>
    </row>
    <row r="1290" spans="1:72" x14ac:dyDescent="0.35">
      <c r="A1290" t="s">
        <v>72</v>
      </c>
      <c r="B1290" t="s">
        <v>21785</v>
      </c>
      <c r="C1290" t="s">
        <v>74</v>
      </c>
      <c r="D1290" t="s">
        <v>74</v>
      </c>
      <c r="E1290" t="s">
        <v>74</v>
      </c>
      <c r="F1290" t="s">
        <v>21786</v>
      </c>
      <c r="G1290" t="s">
        <v>74</v>
      </c>
      <c r="H1290" t="s">
        <v>74</v>
      </c>
      <c r="I1290" t="s">
        <v>21787</v>
      </c>
      <c r="J1290" t="s">
        <v>21788</v>
      </c>
      <c r="K1290" t="s">
        <v>74</v>
      </c>
      <c r="L1290" t="s">
        <v>74</v>
      </c>
      <c r="M1290" t="s">
        <v>78</v>
      </c>
      <c r="N1290" t="s">
        <v>108</v>
      </c>
      <c r="O1290" t="s">
        <v>74</v>
      </c>
      <c r="P1290" t="s">
        <v>74</v>
      </c>
      <c r="Q1290" t="s">
        <v>74</v>
      </c>
      <c r="R1290" t="s">
        <v>74</v>
      </c>
      <c r="S1290" t="s">
        <v>74</v>
      </c>
      <c r="T1290" t="s">
        <v>21789</v>
      </c>
      <c r="U1290" t="s">
        <v>74</v>
      </c>
      <c r="V1290" t="s">
        <v>21790</v>
      </c>
      <c r="W1290" t="s">
        <v>21791</v>
      </c>
      <c r="X1290" t="s">
        <v>21792</v>
      </c>
      <c r="Y1290" t="s">
        <v>21793</v>
      </c>
      <c r="Z1290" t="s">
        <v>9498</v>
      </c>
      <c r="AA1290" t="s">
        <v>9499</v>
      </c>
      <c r="AB1290" t="s">
        <v>9500</v>
      </c>
      <c r="AC1290" t="s">
        <v>74</v>
      </c>
      <c r="AD1290" t="s">
        <v>74</v>
      </c>
      <c r="AE1290" t="s">
        <v>74</v>
      </c>
      <c r="AF1290" t="s">
        <v>74</v>
      </c>
      <c r="AG1290">
        <v>105</v>
      </c>
      <c r="AH1290">
        <v>21</v>
      </c>
      <c r="AI1290">
        <v>21</v>
      </c>
      <c r="AJ1290">
        <v>9</v>
      </c>
      <c r="AK1290">
        <v>52</v>
      </c>
      <c r="AL1290" t="s">
        <v>665</v>
      </c>
      <c r="AM1290" t="s">
        <v>666</v>
      </c>
      <c r="AN1290" t="s">
        <v>667</v>
      </c>
      <c r="AO1290" t="s">
        <v>21794</v>
      </c>
      <c r="AP1290" t="s">
        <v>21795</v>
      </c>
      <c r="AQ1290" t="s">
        <v>74</v>
      </c>
      <c r="AR1290" t="s">
        <v>21796</v>
      </c>
      <c r="AS1290" t="s">
        <v>21797</v>
      </c>
      <c r="AT1290" t="s">
        <v>297</v>
      </c>
      <c r="AU1290">
        <v>2023</v>
      </c>
      <c r="AV1290">
        <v>38</v>
      </c>
      <c r="AW1290">
        <v>4</v>
      </c>
      <c r="AX1290" t="s">
        <v>74</v>
      </c>
      <c r="AY1290" t="s">
        <v>74</v>
      </c>
      <c r="AZ1290" t="s">
        <v>456</v>
      </c>
      <c r="BA1290" t="s">
        <v>74</v>
      </c>
      <c r="BB1290">
        <v>1273</v>
      </c>
      <c r="BC1290">
        <v>1286</v>
      </c>
      <c r="BD1290" t="s">
        <v>74</v>
      </c>
      <c r="BE1290" t="s">
        <v>21798</v>
      </c>
      <c r="BF1290" t="str">
        <f>HYPERLINK("http://dx.doi.org/10.1007/s00146-021-01270-5","http://dx.doi.org/10.1007/s00146-021-01270-5")</f>
        <v>http://dx.doi.org/10.1007/s00146-021-01270-5</v>
      </c>
      <c r="BG1290" t="s">
        <v>74</v>
      </c>
      <c r="BH1290" t="s">
        <v>2056</v>
      </c>
      <c r="BI1290">
        <v>14</v>
      </c>
      <c r="BJ1290" t="s">
        <v>4250</v>
      </c>
      <c r="BK1290" t="s">
        <v>125</v>
      </c>
      <c r="BL1290" t="s">
        <v>210</v>
      </c>
      <c r="BM1290" t="s">
        <v>21799</v>
      </c>
      <c r="BN1290">
        <v>34539095</v>
      </c>
      <c r="BO1290" t="s">
        <v>3747</v>
      </c>
      <c r="BP1290" t="s">
        <v>74</v>
      </c>
      <c r="BQ1290" t="s">
        <v>74</v>
      </c>
      <c r="BR1290" t="s">
        <v>102</v>
      </c>
      <c r="BS1290" t="s">
        <v>21800</v>
      </c>
      <c r="BT1290" t="str">
        <f>HYPERLINK("https%3A%2F%2Fwww.webofscience.com%2Fwos%2Fwoscc%2Ffull-record%2FWOS:000695094900001","View Full Record in Web of Science")</f>
        <v>View Full Record in Web of Science</v>
      </c>
    </row>
    <row r="1291" spans="1:72" x14ac:dyDescent="0.35">
      <c r="A1291" t="s">
        <v>128</v>
      </c>
      <c r="B1291" t="s">
        <v>21801</v>
      </c>
      <c r="C1291" t="s">
        <v>74</v>
      </c>
      <c r="D1291" t="s">
        <v>74</v>
      </c>
      <c r="E1291" t="s">
        <v>702</v>
      </c>
      <c r="F1291" t="s">
        <v>21802</v>
      </c>
      <c r="G1291" t="s">
        <v>74</v>
      </c>
      <c r="H1291" t="s">
        <v>74</v>
      </c>
      <c r="I1291" t="s">
        <v>21803</v>
      </c>
      <c r="J1291" t="s">
        <v>5467</v>
      </c>
      <c r="K1291" t="s">
        <v>74</v>
      </c>
      <c r="L1291" t="s">
        <v>74</v>
      </c>
      <c r="M1291" t="s">
        <v>78</v>
      </c>
      <c r="N1291" t="s">
        <v>135</v>
      </c>
      <c r="O1291" t="s">
        <v>5468</v>
      </c>
      <c r="P1291" t="s">
        <v>5469</v>
      </c>
      <c r="Q1291" t="s">
        <v>5470</v>
      </c>
      <c r="R1291" t="s">
        <v>5471</v>
      </c>
      <c r="S1291" t="s">
        <v>74</v>
      </c>
      <c r="T1291" t="s">
        <v>21804</v>
      </c>
      <c r="U1291" t="s">
        <v>74</v>
      </c>
      <c r="V1291" t="s">
        <v>21805</v>
      </c>
      <c r="W1291" t="s">
        <v>21806</v>
      </c>
      <c r="X1291" t="s">
        <v>4452</v>
      </c>
      <c r="Y1291" t="s">
        <v>21807</v>
      </c>
      <c r="Z1291" t="s">
        <v>21808</v>
      </c>
      <c r="AA1291" t="s">
        <v>74</v>
      </c>
      <c r="AB1291" t="s">
        <v>21809</v>
      </c>
      <c r="AC1291" t="s">
        <v>74</v>
      </c>
      <c r="AD1291" t="s">
        <v>74</v>
      </c>
      <c r="AE1291" t="s">
        <v>74</v>
      </c>
      <c r="AF1291" t="s">
        <v>74</v>
      </c>
      <c r="AG1291">
        <v>92</v>
      </c>
      <c r="AH1291">
        <v>4</v>
      </c>
      <c r="AI1291">
        <v>4</v>
      </c>
      <c r="AJ1291">
        <v>0</v>
      </c>
      <c r="AK1291">
        <v>2</v>
      </c>
      <c r="AL1291" t="s">
        <v>718</v>
      </c>
      <c r="AM1291" t="s">
        <v>666</v>
      </c>
      <c r="AN1291" t="s">
        <v>719</v>
      </c>
      <c r="AO1291" t="s">
        <v>74</v>
      </c>
      <c r="AP1291" t="s">
        <v>74</v>
      </c>
      <c r="AQ1291" t="s">
        <v>5480</v>
      </c>
      <c r="AR1291" t="s">
        <v>74</v>
      </c>
      <c r="AS1291" t="s">
        <v>74</v>
      </c>
      <c r="AT1291" t="s">
        <v>74</v>
      </c>
      <c r="AU1291">
        <v>2023</v>
      </c>
      <c r="AV1291" t="s">
        <v>74</v>
      </c>
      <c r="AW1291" t="s">
        <v>74</v>
      </c>
      <c r="AX1291" t="s">
        <v>74</v>
      </c>
      <c r="AY1291" t="s">
        <v>74</v>
      </c>
      <c r="AZ1291" t="s">
        <v>74</v>
      </c>
      <c r="BA1291" t="s">
        <v>74</v>
      </c>
      <c r="BB1291" t="s">
        <v>74</v>
      </c>
      <c r="BC1291" t="s">
        <v>74</v>
      </c>
      <c r="BD1291" t="s">
        <v>74</v>
      </c>
      <c r="BE1291" t="s">
        <v>21810</v>
      </c>
      <c r="BF1291" t="str">
        <f>HYPERLINK("http://dx.doi.org/10.1145/3544548.3581380","http://dx.doi.org/10.1145/3544548.3581380")</f>
        <v>http://dx.doi.org/10.1145/3544548.3581380</v>
      </c>
      <c r="BG1291" t="s">
        <v>74</v>
      </c>
      <c r="BH1291" t="s">
        <v>74</v>
      </c>
      <c r="BI1291">
        <v>16</v>
      </c>
      <c r="BJ1291" t="s">
        <v>5482</v>
      </c>
      <c r="BK1291" t="s">
        <v>723</v>
      </c>
      <c r="BL1291" t="s">
        <v>5483</v>
      </c>
      <c r="BM1291" t="s">
        <v>5484</v>
      </c>
      <c r="BN1291" t="s">
        <v>74</v>
      </c>
      <c r="BO1291" t="s">
        <v>74</v>
      </c>
      <c r="BP1291" t="s">
        <v>74</v>
      </c>
      <c r="BQ1291" t="s">
        <v>74</v>
      </c>
      <c r="BR1291" t="s">
        <v>102</v>
      </c>
      <c r="BS1291" t="s">
        <v>21811</v>
      </c>
      <c r="BT1291" t="str">
        <f>HYPERLINK("https%3A%2F%2Fwww.webofscience.com%2Fwos%2Fwoscc%2Ffull-record%2FWOS:001048393804027","View Full Record in Web of Science")</f>
        <v>View Full Record in Web of Science</v>
      </c>
    </row>
    <row r="1292" spans="1:72" x14ac:dyDescent="0.35">
      <c r="A1292" t="s">
        <v>72</v>
      </c>
      <c r="B1292" t="s">
        <v>21812</v>
      </c>
      <c r="C1292" t="s">
        <v>74</v>
      </c>
      <c r="D1292" t="s">
        <v>74</v>
      </c>
      <c r="E1292" t="s">
        <v>74</v>
      </c>
      <c r="F1292" t="s">
        <v>21813</v>
      </c>
      <c r="G1292" t="s">
        <v>74</v>
      </c>
      <c r="H1292" t="s">
        <v>74</v>
      </c>
      <c r="I1292" t="s">
        <v>21814</v>
      </c>
      <c r="J1292" t="s">
        <v>438</v>
      </c>
      <c r="K1292" t="s">
        <v>74</v>
      </c>
      <c r="L1292" t="s">
        <v>74</v>
      </c>
      <c r="M1292" t="s">
        <v>78</v>
      </c>
      <c r="N1292" t="s">
        <v>108</v>
      </c>
      <c r="O1292" t="s">
        <v>74</v>
      </c>
      <c r="P1292" t="s">
        <v>74</v>
      </c>
      <c r="Q1292" t="s">
        <v>74</v>
      </c>
      <c r="R1292" t="s">
        <v>74</v>
      </c>
      <c r="S1292" t="s">
        <v>74</v>
      </c>
      <c r="T1292" t="s">
        <v>21815</v>
      </c>
      <c r="U1292" t="s">
        <v>21816</v>
      </c>
      <c r="V1292" t="s">
        <v>21817</v>
      </c>
      <c r="W1292" t="s">
        <v>21818</v>
      </c>
      <c r="X1292" t="s">
        <v>6603</v>
      </c>
      <c r="Y1292" t="s">
        <v>21819</v>
      </c>
      <c r="Z1292" t="s">
        <v>9313</v>
      </c>
      <c r="AA1292" t="s">
        <v>74</v>
      </c>
      <c r="AB1292" t="s">
        <v>21820</v>
      </c>
      <c r="AC1292" t="s">
        <v>74</v>
      </c>
      <c r="AD1292" t="s">
        <v>74</v>
      </c>
      <c r="AE1292" t="s">
        <v>74</v>
      </c>
      <c r="AF1292" t="s">
        <v>74</v>
      </c>
      <c r="AG1292">
        <v>70</v>
      </c>
      <c r="AH1292">
        <v>15</v>
      </c>
      <c r="AI1292">
        <v>15</v>
      </c>
      <c r="AJ1292">
        <v>5</v>
      </c>
      <c r="AK1292">
        <v>36</v>
      </c>
      <c r="AL1292" t="s">
        <v>226</v>
      </c>
      <c r="AM1292" t="s">
        <v>227</v>
      </c>
      <c r="AN1292" t="s">
        <v>228</v>
      </c>
      <c r="AO1292" t="s">
        <v>451</v>
      </c>
      <c r="AP1292" t="s">
        <v>452</v>
      </c>
      <c r="AQ1292" t="s">
        <v>74</v>
      </c>
      <c r="AR1292" t="s">
        <v>453</v>
      </c>
      <c r="AS1292" t="s">
        <v>454</v>
      </c>
      <c r="AT1292" t="s">
        <v>523</v>
      </c>
      <c r="AU1292">
        <v>2024</v>
      </c>
      <c r="AV1292">
        <v>26</v>
      </c>
      <c r="AW1292">
        <v>11</v>
      </c>
      <c r="AX1292" t="s">
        <v>74</v>
      </c>
      <c r="AY1292" t="s">
        <v>74</v>
      </c>
      <c r="AZ1292" t="s">
        <v>74</v>
      </c>
      <c r="BA1292" t="s">
        <v>74</v>
      </c>
      <c r="BB1292">
        <v>6658</v>
      </c>
      <c r="BC1292">
        <v>6677</v>
      </c>
      <c r="BD1292" t="s">
        <v>74</v>
      </c>
      <c r="BE1292" t="s">
        <v>21821</v>
      </c>
      <c r="BF1292" t="str">
        <f>HYPERLINK("http://dx.doi.org/10.1177/14614448231156580","http://dx.doi.org/10.1177/14614448231156580")</f>
        <v>http://dx.doi.org/10.1177/14614448231156580</v>
      </c>
      <c r="BG1292" t="s">
        <v>74</v>
      </c>
      <c r="BH1292" t="s">
        <v>1046</v>
      </c>
      <c r="BI1292">
        <v>20</v>
      </c>
      <c r="BJ1292" t="s">
        <v>124</v>
      </c>
      <c r="BK1292" t="s">
        <v>99</v>
      </c>
      <c r="BL1292" t="s">
        <v>124</v>
      </c>
      <c r="BM1292" t="s">
        <v>21822</v>
      </c>
      <c r="BN1292" t="s">
        <v>74</v>
      </c>
      <c r="BO1292" t="s">
        <v>156</v>
      </c>
      <c r="BP1292" t="s">
        <v>74</v>
      </c>
      <c r="BQ1292" t="s">
        <v>74</v>
      </c>
      <c r="BR1292" t="s">
        <v>102</v>
      </c>
      <c r="BS1292" t="s">
        <v>21823</v>
      </c>
      <c r="BT1292" t="str">
        <f>HYPERLINK("https%3A%2F%2Fwww.webofscience.com%2Fwos%2Fwoscc%2Ffull-record%2FWOS:000945465700001","View Full Record in Web of Science")</f>
        <v>View Full Record in Web of Science</v>
      </c>
    </row>
    <row r="1293" spans="1:72" x14ac:dyDescent="0.35">
      <c r="A1293" t="s">
        <v>72</v>
      </c>
      <c r="B1293" t="s">
        <v>21824</v>
      </c>
      <c r="C1293" t="s">
        <v>74</v>
      </c>
      <c r="D1293" t="s">
        <v>74</v>
      </c>
      <c r="E1293" t="s">
        <v>74</v>
      </c>
      <c r="F1293" t="s">
        <v>21825</v>
      </c>
      <c r="G1293" t="s">
        <v>74</v>
      </c>
      <c r="H1293" t="s">
        <v>74</v>
      </c>
      <c r="I1293" t="s">
        <v>21826</v>
      </c>
      <c r="J1293" t="s">
        <v>373</v>
      </c>
      <c r="K1293" t="s">
        <v>74</v>
      </c>
      <c r="L1293" t="s">
        <v>74</v>
      </c>
      <c r="M1293" t="s">
        <v>78</v>
      </c>
      <c r="N1293" t="s">
        <v>108</v>
      </c>
      <c r="O1293" t="s">
        <v>74</v>
      </c>
      <c r="P1293" t="s">
        <v>74</v>
      </c>
      <c r="Q1293" t="s">
        <v>74</v>
      </c>
      <c r="R1293" t="s">
        <v>74</v>
      </c>
      <c r="S1293" t="s">
        <v>74</v>
      </c>
      <c r="T1293" t="s">
        <v>21827</v>
      </c>
      <c r="U1293" t="s">
        <v>21828</v>
      </c>
      <c r="V1293" t="s">
        <v>21829</v>
      </c>
      <c r="W1293" t="s">
        <v>21830</v>
      </c>
      <c r="X1293" t="s">
        <v>21831</v>
      </c>
      <c r="Y1293" t="s">
        <v>21832</v>
      </c>
      <c r="Z1293" t="s">
        <v>21833</v>
      </c>
      <c r="AA1293" t="s">
        <v>21834</v>
      </c>
      <c r="AB1293" t="s">
        <v>21835</v>
      </c>
      <c r="AC1293" t="s">
        <v>21836</v>
      </c>
      <c r="AD1293" t="s">
        <v>21837</v>
      </c>
      <c r="AE1293" t="s">
        <v>21838</v>
      </c>
      <c r="AF1293" t="s">
        <v>74</v>
      </c>
      <c r="AG1293">
        <v>46</v>
      </c>
      <c r="AH1293">
        <v>4</v>
      </c>
      <c r="AI1293">
        <v>4</v>
      </c>
      <c r="AJ1293">
        <v>8</v>
      </c>
      <c r="AK1293">
        <v>16</v>
      </c>
      <c r="AL1293" t="s">
        <v>384</v>
      </c>
      <c r="AM1293" t="s">
        <v>385</v>
      </c>
      <c r="AN1293" t="s">
        <v>386</v>
      </c>
      <c r="AO1293" t="s">
        <v>74</v>
      </c>
      <c r="AP1293" t="s">
        <v>387</v>
      </c>
      <c r="AQ1293" t="s">
        <v>74</v>
      </c>
      <c r="AR1293" t="s">
        <v>388</v>
      </c>
      <c r="AS1293" t="s">
        <v>389</v>
      </c>
      <c r="AT1293" t="s">
        <v>21839</v>
      </c>
      <c r="AU1293">
        <v>2024</v>
      </c>
      <c r="AV1293">
        <v>11</v>
      </c>
      <c r="AW1293" t="s">
        <v>74</v>
      </c>
      <c r="AX1293" t="s">
        <v>74</v>
      </c>
      <c r="AY1293" t="s">
        <v>74</v>
      </c>
      <c r="AZ1293" t="s">
        <v>74</v>
      </c>
      <c r="BA1293" t="s">
        <v>74</v>
      </c>
      <c r="BB1293" t="s">
        <v>74</v>
      </c>
      <c r="BC1293" t="s">
        <v>74</v>
      </c>
      <c r="BD1293">
        <v>1296386</v>
      </c>
      <c r="BE1293" t="s">
        <v>21840</v>
      </c>
      <c r="BF1293" t="str">
        <f>HYPERLINK("http://dx.doi.org/10.3389/fpubh.2023.1296386","http://dx.doi.org/10.3389/fpubh.2023.1296386")</f>
        <v>http://dx.doi.org/10.3389/fpubh.2023.1296386</v>
      </c>
      <c r="BG1293" t="s">
        <v>74</v>
      </c>
      <c r="BH1293" t="s">
        <v>74</v>
      </c>
      <c r="BI1293">
        <v>10</v>
      </c>
      <c r="BJ1293" t="s">
        <v>392</v>
      </c>
      <c r="BK1293" t="s">
        <v>182</v>
      </c>
      <c r="BL1293" t="s">
        <v>392</v>
      </c>
      <c r="BM1293" t="s">
        <v>21841</v>
      </c>
      <c r="BN1293">
        <v>38317686</v>
      </c>
      <c r="BO1293" t="s">
        <v>235</v>
      </c>
      <c r="BP1293" t="s">
        <v>395</v>
      </c>
      <c r="BQ1293" t="s">
        <v>396</v>
      </c>
      <c r="BR1293" t="s">
        <v>102</v>
      </c>
      <c r="BS1293" t="s">
        <v>21842</v>
      </c>
      <c r="BT1293" t="str">
        <f>HYPERLINK("https%3A%2F%2Fwww.webofscience.com%2Fwos%2Fwoscc%2Ffull-record%2FWOS:001157079500001","View Full Record in Web of Science")</f>
        <v>View Full Record in Web of Science</v>
      </c>
    </row>
    <row r="1294" spans="1:72" x14ac:dyDescent="0.35">
      <c r="A1294" t="s">
        <v>72</v>
      </c>
      <c r="B1294" t="s">
        <v>21843</v>
      </c>
      <c r="C1294" t="s">
        <v>74</v>
      </c>
      <c r="D1294" t="s">
        <v>74</v>
      </c>
      <c r="E1294" t="s">
        <v>74</v>
      </c>
      <c r="F1294" t="s">
        <v>21844</v>
      </c>
      <c r="G1294" t="s">
        <v>74</v>
      </c>
      <c r="H1294" t="s">
        <v>74</v>
      </c>
      <c r="I1294" t="s">
        <v>21845</v>
      </c>
      <c r="J1294" t="s">
        <v>21846</v>
      </c>
      <c r="K1294" t="s">
        <v>74</v>
      </c>
      <c r="L1294" t="s">
        <v>74</v>
      </c>
      <c r="M1294" t="s">
        <v>78</v>
      </c>
      <c r="N1294" t="s">
        <v>108</v>
      </c>
      <c r="O1294" t="s">
        <v>74</v>
      </c>
      <c r="P1294" t="s">
        <v>74</v>
      </c>
      <c r="Q1294" t="s">
        <v>74</v>
      </c>
      <c r="R1294" t="s">
        <v>74</v>
      </c>
      <c r="S1294" t="s">
        <v>74</v>
      </c>
      <c r="T1294" t="s">
        <v>21847</v>
      </c>
      <c r="U1294" t="s">
        <v>21848</v>
      </c>
      <c r="V1294" t="s">
        <v>21849</v>
      </c>
      <c r="W1294" t="s">
        <v>21850</v>
      </c>
      <c r="X1294" t="s">
        <v>21851</v>
      </c>
      <c r="Y1294" t="s">
        <v>21852</v>
      </c>
      <c r="Z1294" t="s">
        <v>74</v>
      </c>
      <c r="AA1294" t="s">
        <v>21853</v>
      </c>
      <c r="AB1294" t="s">
        <v>21854</v>
      </c>
      <c r="AC1294" t="s">
        <v>74</v>
      </c>
      <c r="AD1294" t="s">
        <v>74</v>
      </c>
      <c r="AE1294" t="s">
        <v>74</v>
      </c>
      <c r="AF1294" t="s">
        <v>74</v>
      </c>
      <c r="AG1294">
        <v>43</v>
      </c>
      <c r="AH1294">
        <v>13</v>
      </c>
      <c r="AI1294">
        <v>14</v>
      </c>
      <c r="AJ1294">
        <v>10</v>
      </c>
      <c r="AK1294">
        <v>109</v>
      </c>
      <c r="AL1294" t="s">
        <v>21855</v>
      </c>
      <c r="AM1294" t="s">
        <v>8517</v>
      </c>
      <c r="AN1294" t="s">
        <v>21856</v>
      </c>
      <c r="AO1294" t="s">
        <v>21857</v>
      </c>
      <c r="AP1294" t="s">
        <v>74</v>
      </c>
      <c r="AQ1294" t="s">
        <v>74</v>
      </c>
      <c r="AR1294" t="s">
        <v>21846</v>
      </c>
      <c r="AS1294" t="s">
        <v>21858</v>
      </c>
      <c r="AT1294" t="s">
        <v>257</v>
      </c>
      <c r="AU1294">
        <v>2022</v>
      </c>
      <c r="AV1294" t="s">
        <v>74</v>
      </c>
      <c r="AW1294">
        <v>38</v>
      </c>
      <c r="AX1294" t="s">
        <v>74</v>
      </c>
      <c r="AY1294" t="s">
        <v>74</v>
      </c>
      <c r="AZ1294" t="s">
        <v>74</v>
      </c>
      <c r="BA1294" t="s">
        <v>74</v>
      </c>
      <c r="BB1294">
        <v>83</v>
      </c>
      <c r="BC1294">
        <v>98</v>
      </c>
      <c r="BD1294" t="s">
        <v>74</v>
      </c>
      <c r="BE1294" t="s">
        <v>21859</v>
      </c>
      <c r="BF1294" t="str">
        <f>HYPERLINK("http://dx.doi.org/10.30827/portalin.vi38.21684","http://dx.doi.org/10.30827/portalin.vi38.21684")</f>
        <v>http://dx.doi.org/10.30827/portalin.vi38.21684</v>
      </c>
      <c r="BG1294" t="s">
        <v>74</v>
      </c>
      <c r="BH1294" t="s">
        <v>74</v>
      </c>
      <c r="BI1294">
        <v>16</v>
      </c>
      <c r="BJ1294" t="s">
        <v>7934</v>
      </c>
      <c r="BK1294" t="s">
        <v>2125</v>
      </c>
      <c r="BL1294" t="s">
        <v>7935</v>
      </c>
      <c r="BM1294" t="s">
        <v>21860</v>
      </c>
      <c r="BN1294" t="s">
        <v>74</v>
      </c>
      <c r="BO1294" t="s">
        <v>394</v>
      </c>
      <c r="BP1294" t="s">
        <v>74</v>
      </c>
      <c r="BQ1294" t="s">
        <v>74</v>
      </c>
      <c r="BR1294" t="s">
        <v>102</v>
      </c>
      <c r="BS1294" t="s">
        <v>21861</v>
      </c>
      <c r="BT1294" t="str">
        <f>HYPERLINK("https%3A%2F%2Fwww.webofscience.com%2Fwos%2Fwoscc%2Ffull-record%2FWOS:000810499200006","View Full Record in Web of Science")</f>
        <v>View Full Record in Web of Science</v>
      </c>
    </row>
    <row r="1295" spans="1:72" x14ac:dyDescent="0.35">
      <c r="A1295" t="s">
        <v>72</v>
      </c>
      <c r="B1295" t="s">
        <v>21862</v>
      </c>
      <c r="C1295" t="s">
        <v>74</v>
      </c>
      <c r="D1295" t="s">
        <v>74</v>
      </c>
      <c r="E1295" t="s">
        <v>74</v>
      </c>
      <c r="F1295" t="s">
        <v>21863</v>
      </c>
      <c r="G1295" t="s">
        <v>74</v>
      </c>
      <c r="H1295" t="s">
        <v>74</v>
      </c>
      <c r="I1295" t="s">
        <v>21864</v>
      </c>
      <c r="J1295" t="s">
        <v>9971</v>
      </c>
      <c r="K1295" t="s">
        <v>74</v>
      </c>
      <c r="L1295" t="s">
        <v>74</v>
      </c>
      <c r="M1295" t="s">
        <v>78</v>
      </c>
      <c r="N1295" t="s">
        <v>108</v>
      </c>
      <c r="O1295" t="s">
        <v>74</v>
      </c>
      <c r="P1295" t="s">
        <v>74</v>
      </c>
      <c r="Q1295" t="s">
        <v>74</v>
      </c>
      <c r="R1295" t="s">
        <v>74</v>
      </c>
      <c r="S1295" t="s">
        <v>74</v>
      </c>
      <c r="T1295" t="s">
        <v>21865</v>
      </c>
      <c r="U1295" t="s">
        <v>20460</v>
      </c>
      <c r="V1295" t="s">
        <v>21866</v>
      </c>
      <c r="W1295" t="s">
        <v>21867</v>
      </c>
      <c r="X1295" t="s">
        <v>4583</v>
      </c>
      <c r="Y1295" t="s">
        <v>21868</v>
      </c>
      <c r="Z1295" t="s">
        <v>21869</v>
      </c>
      <c r="AA1295" t="s">
        <v>74</v>
      </c>
      <c r="AB1295" t="s">
        <v>74</v>
      </c>
      <c r="AC1295" t="s">
        <v>21870</v>
      </c>
      <c r="AD1295" t="s">
        <v>21871</v>
      </c>
      <c r="AE1295" t="s">
        <v>21872</v>
      </c>
      <c r="AF1295" t="s">
        <v>74</v>
      </c>
      <c r="AG1295">
        <v>38</v>
      </c>
      <c r="AH1295">
        <v>0</v>
      </c>
      <c r="AI1295">
        <v>0</v>
      </c>
      <c r="AJ1295">
        <v>0</v>
      </c>
      <c r="AK1295">
        <v>0</v>
      </c>
      <c r="AL1295" t="s">
        <v>9978</v>
      </c>
      <c r="AM1295" t="s">
        <v>6529</v>
      </c>
      <c r="AN1295" t="s">
        <v>9979</v>
      </c>
      <c r="AO1295" t="s">
        <v>9980</v>
      </c>
      <c r="AP1295" t="s">
        <v>74</v>
      </c>
      <c r="AQ1295" t="s">
        <v>74</v>
      </c>
      <c r="AR1295" t="s">
        <v>9981</v>
      </c>
      <c r="AS1295" t="s">
        <v>9982</v>
      </c>
      <c r="AT1295" t="s">
        <v>8762</v>
      </c>
      <c r="AU1295">
        <v>2024</v>
      </c>
      <c r="AV1295">
        <v>22</v>
      </c>
      <c r="AW1295">
        <v>2</v>
      </c>
      <c r="AX1295" t="s">
        <v>74</v>
      </c>
      <c r="AY1295" t="s">
        <v>74</v>
      </c>
      <c r="AZ1295" t="s">
        <v>74</v>
      </c>
      <c r="BA1295" t="s">
        <v>74</v>
      </c>
      <c r="BB1295" t="s">
        <v>74</v>
      </c>
      <c r="BC1295" t="s">
        <v>74</v>
      </c>
      <c r="BD1295" t="s">
        <v>74</v>
      </c>
      <c r="BE1295" t="s">
        <v>74</v>
      </c>
      <c r="BF1295" t="s">
        <v>74</v>
      </c>
      <c r="BG1295" t="s">
        <v>74</v>
      </c>
      <c r="BH1295" t="s">
        <v>74</v>
      </c>
      <c r="BI1295">
        <v>24</v>
      </c>
      <c r="BJ1295" t="s">
        <v>124</v>
      </c>
      <c r="BK1295" t="s">
        <v>125</v>
      </c>
      <c r="BL1295" t="s">
        <v>124</v>
      </c>
      <c r="BM1295" t="s">
        <v>21873</v>
      </c>
      <c r="BN1295" t="s">
        <v>74</v>
      </c>
      <c r="BO1295" t="s">
        <v>74</v>
      </c>
      <c r="BP1295" t="s">
        <v>74</v>
      </c>
      <c r="BQ1295" t="s">
        <v>74</v>
      </c>
      <c r="BR1295" t="s">
        <v>102</v>
      </c>
      <c r="BS1295" t="s">
        <v>21874</v>
      </c>
      <c r="BT1295" t="str">
        <f>HYPERLINK("https%3A%2F%2Fwww.webofscience.com%2Fwos%2Fwoscc%2Ffull-record%2FWOS:001303516600001","View Full Record in Web of Science")</f>
        <v>View Full Record in Web of Science</v>
      </c>
    </row>
    <row r="1296" spans="1:72" x14ac:dyDescent="0.35">
      <c r="A1296" t="s">
        <v>72</v>
      </c>
      <c r="B1296" t="s">
        <v>21862</v>
      </c>
      <c r="C1296" t="s">
        <v>74</v>
      </c>
      <c r="D1296" t="s">
        <v>74</v>
      </c>
      <c r="E1296" t="s">
        <v>74</v>
      </c>
      <c r="F1296" t="s">
        <v>21863</v>
      </c>
      <c r="G1296" t="s">
        <v>74</v>
      </c>
      <c r="H1296" t="s">
        <v>74</v>
      </c>
      <c r="I1296" t="s">
        <v>21875</v>
      </c>
      <c r="J1296" t="s">
        <v>9971</v>
      </c>
      <c r="K1296" t="s">
        <v>74</v>
      </c>
      <c r="L1296" t="s">
        <v>74</v>
      </c>
      <c r="M1296" t="s">
        <v>78</v>
      </c>
      <c r="N1296" t="s">
        <v>108</v>
      </c>
      <c r="O1296" t="s">
        <v>74</v>
      </c>
      <c r="P1296" t="s">
        <v>74</v>
      </c>
      <c r="Q1296" t="s">
        <v>74</v>
      </c>
      <c r="R1296" t="s">
        <v>74</v>
      </c>
      <c r="S1296" t="s">
        <v>74</v>
      </c>
      <c r="T1296" t="s">
        <v>21865</v>
      </c>
      <c r="U1296" t="s">
        <v>20460</v>
      </c>
      <c r="V1296" t="s">
        <v>21876</v>
      </c>
      <c r="W1296" t="s">
        <v>21877</v>
      </c>
      <c r="X1296" t="s">
        <v>4583</v>
      </c>
      <c r="Y1296" t="s">
        <v>21868</v>
      </c>
      <c r="Z1296" t="s">
        <v>21869</v>
      </c>
      <c r="AA1296" t="s">
        <v>21878</v>
      </c>
      <c r="AB1296" t="s">
        <v>74</v>
      </c>
      <c r="AC1296" t="s">
        <v>74</v>
      </c>
      <c r="AD1296" t="s">
        <v>74</v>
      </c>
      <c r="AE1296" t="s">
        <v>74</v>
      </c>
      <c r="AF1296" t="s">
        <v>74</v>
      </c>
      <c r="AG1296">
        <v>36</v>
      </c>
      <c r="AH1296">
        <v>0</v>
      </c>
      <c r="AI1296">
        <v>0</v>
      </c>
      <c r="AJ1296">
        <v>1</v>
      </c>
      <c r="AK1296">
        <v>1</v>
      </c>
      <c r="AL1296" t="s">
        <v>9978</v>
      </c>
      <c r="AM1296" t="s">
        <v>6529</v>
      </c>
      <c r="AN1296" t="s">
        <v>9979</v>
      </c>
      <c r="AO1296" t="s">
        <v>9980</v>
      </c>
      <c r="AP1296" t="s">
        <v>74</v>
      </c>
      <c r="AQ1296" t="s">
        <v>74</v>
      </c>
      <c r="AR1296" t="s">
        <v>9981</v>
      </c>
      <c r="AS1296" t="s">
        <v>9982</v>
      </c>
      <c r="AT1296" t="s">
        <v>8762</v>
      </c>
      <c r="AU1296">
        <v>2024</v>
      </c>
      <c r="AV1296">
        <v>22</v>
      </c>
      <c r="AW1296">
        <v>2</v>
      </c>
      <c r="AX1296" t="s">
        <v>74</v>
      </c>
      <c r="AY1296" t="s">
        <v>74</v>
      </c>
      <c r="AZ1296" t="s">
        <v>74</v>
      </c>
      <c r="BA1296" t="s">
        <v>74</v>
      </c>
      <c r="BB1296" t="s">
        <v>74</v>
      </c>
      <c r="BC1296" t="s">
        <v>74</v>
      </c>
      <c r="BD1296" t="s">
        <v>21879</v>
      </c>
      <c r="BE1296" t="s">
        <v>21880</v>
      </c>
      <c r="BF1296" t="str">
        <f>HYPERLINK("http://dx.doi.org/10.7195/ri14.v22i2.2155","http://dx.doi.org/10.7195/ri14.v22i2.2155")</f>
        <v>http://dx.doi.org/10.7195/ri14.v22i2.2155</v>
      </c>
      <c r="BG1296" t="s">
        <v>74</v>
      </c>
      <c r="BH1296" t="s">
        <v>74</v>
      </c>
      <c r="BI1296">
        <v>25</v>
      </c>
      <c r="BJ1296" t="s">
        <v>124</v>
      </c>
      <c r="BK1296" t="s">
        <v>125</v>
      </c>
      <c r="BL1296" t="s">
        <v>124</v>
      </c>
      <c r="BM1296" t="s">
        <v>21873</v>
      </c>
      <c r="BN1296" t="s">
        <v>74</v>
      </c>
      <c r="BO1296" t="s">
        <v>235</v>
      </c>
      <c r="BP1296" t="s">
        <v>74</v>
      </c>
      <c r="BQ1296" t="s">
        <v>74</v>
      </c>
      <c r="BR1296" t="s">
        <v>102</v>
      </c>
      <c r="BS1296" t="s">
        <v>21881</v>
      </c>
      <c r="BT1296" t="str">
        <f>HYPERLINK("https%3A%2F%2Fwww.webofscience.com%2Fwos%2Fwoscc%2Ffull-record%2FWOS:001303516600002","View Full Record in Web of Science")</f>
        <v>View Full Record in Web of Science</v>
      </c>
    </row>
    <row r="1297" spans="1:72" x14ac:dyDescent="0.35">
      <c r="A1297" t="s">
        <v>72</v>
      </c>
      <c r="B1297" t="s">
        <v>21882</v>
      </c>
      <c r="C1297" t="s">
        <v>74</v>
      </c>
      <c r="D1297" t="s">
        <v>74</v>
      </c>
      <c r="E1297" t="s">
        <v>74</v>
      </c>
      <c r="F1297" t="s">
        <v>21883</v>
      </c>
      <c r="G1297" t="s">
        <v>74</v>
      </c>
      <c r="H1297" t="s">
        <v>74</v>
      </c>
      <c r="I1297" t="s">
        <v>21884</v>
      </c>
      <c r="J1297" t="s">
        <v>12248</v>
      </c>
      <c r="K1297" t="s">
        <v>74</v>
      </c>
      <c r="L1297" t="s">
        <v>74</v>
      </c>
      <c r="M1297" t="s">
        <v>78</v>
      </c>
      <c r="N1297" t="s">
        <v>108</v>
      </c>
      <c r="O1297" t="s">
        <v>74</v>
      </c>
      <c r="P1297" t="s">
        <v>74</v>
      </c>
      <c r="Q1297" t="s">
        <v>74</v>
      </c>
      <c r="R1297" t="s">
        <v>74</v>
      </c>
      <c r="S1297" t="s">
        <v>74</v>
      </c>
      <c r="T1297" t="s">
        <v>21885</v>
      </c>
      <c r="U1297" t="s">
        <v>21886</v>
      </c>
      <c r="V1297" t="s">
        <v>21887</v>
      </c>
      <c r="W1297" t="s">
        <v>21888</v>
      </c>
      <c r="X1297" t="s">
        <v>21889</v>
      </c>
      <c r="Y1297" t="s">
        <v>21890</v>
      </c>
      <c r="Z1297" t="s">
        <v>21891</v>
      </c>
      <c r="AA1297" t="s">
        <v>21892</v>
      </c>
      <c r="AB1297" t="s">
        <v>21893</v>
      </c>
      <c r="AC1297" t="s">
        <v>74</v>
      </c>
      <c r="AD1297" t="s">
        <v>74</v>
      </c>
      <c r="AE1297" t="s">
        <v>74</v>
      </c>
      <c r="AF1297" t="s">
        <v>74</v>
      </c>
      <c r="AG1297">
        <v>62</v>
      </c>
      <c r="AH1297">
        <v>21</v>
      </c>
      <c r="AI1297">
        <v>21</v>
      </c>
      <c r="AJ1297">
        <v>10</v>
      </c>
      <c r="AK1297">
        <v>38</v>
      </c>
      <c r="AL1297" t="s">
        <v>665</v>
      </c>
      <c r="AM1297" t="s">
        <v>666</v>
      </c>
      <c r="AN1297" t="s">
        <v>667</v>
      </c>
      <c r="AO1297" t="s">
        <v>12261</v>
      </c>
      <c r="AP1297" t="s">
        <v>12262</v>
      </c>
      <c r="AQ1297" t="s">
        <v>74</v>
      </c>
      <c r="AR1297" t="s">
        <v>12263</v>
      </c>
      <c r="AS1297" t="s">
        <v>12264</v>
      </c>
      <c r="AT1297" t="s">
        <v>178</v>
      </c>
      <c r="AU1297">
        <v>2024</v>
      </c>
      <c r="AV1297">
        <v>29</v>
      </c>
      <c r="AW1297">
        <v>2</v>
      </c>
      <c r="AX1297" t="s">
        <v>74</v>
      </c>
      <c r="AY1297" t="s">
        <v>74</v>
      </c>
      <c r="AZ1297" t="s">
        <v>74</v>
      </c>
      <c r="BA1297" t="s">
        <v>74</v>
      </c>
      <c r="BB1297">
        <v>2067</v>
      </c>
      <c r="BC1297">
        <v>2092</v>
      </c>
      <c r="BD1297" t="s">
        <v>74</v>
      </c>
      <c r="BE1297" t="s">
        <v>21894</v>
      </c>
      <c r="BF1297" t="str">
        <f>HYPERLINK("http://dx.doi.org/10.1007/s10639-023-11861-y","http://dx.doi.org/10.1007/s10639-023-11861-y")</f>
        <v>http://dx.doi.org/10.1007/s10639-023-11861-y</v>
      </c>
      <c r="BG1297" t="s">
        <v>74</v>
      </c>
      <c r="BH1297" t="s">
        <v>180</v>
      </c>
      <c r="BI1297">
        <v>26</v>
      </c>
      <c r="BJ1297" t="s">
        <v>787</v>
      </c>
      <c r="BK1297" t="s">
        <v>99</v>
      </c>
      <c r="BL1297" t="s">
        <v>787</v>
      </c>
      <c r="BM1297" t="s">
        <v>21895</v>
      </c>
      <c r="BN1297">
        <v>37361740</v>
      </c>
      <c r="BO1297" t="s">
        <v>3747</v>
      </c>
      <c r="BP1297" t="s">
        <v>74</v>
      </c>
      <c r="BQ1297" t="s">
        <v>74</v>
      </c>
      <c r="BR1297" t="s">
        <v>102</v>
      </c>
      <c r="BS1297" t="s">
        <v>21896</v>
      </c>
      <c r="BT1297" t="str">
        <f>HYPERLINK("https%3A%2F%2Fwww.webofscience.com%2Fwos%2Fwoscc%2Ffull-record%2FWOS:000995051900001","View Full Record in Web of Science")</f>
        <v>View Full Record in Web of Science</v>
      </c>
    </row>
    <row r="1298" spans="1:72" x14ac:dyDescent="0.35">
      <c r="A1298" t="s">
        <v>128</v>
      </c>
      <c r="B1298" t="s">
        <v>21897</v>
      </c>
      <c r="C1298" t="s">
        <v>74</v>
      </c>
      <c r="D1298" t="s">
        <v>16292</v>
      </c>
      <c r="E1298" t="s">
        <v>74</v>
      </c>
      <c r="F1298" t="s">
        <v>21898</v>
      </c>
      <c r="G1298" t="s">
        <v>74</v>
      </c>
      <c r="H1298" t="s">
        <v>74</v>
      </c>
      <c r="I1298" t="s">
        <v>21899</v>
      </c>
      <c r="J1298" t="s">
        <v>21900</v>
      </c>
      <c r="K1298" t="s">
        <v>8364</v>
      </c>
      <c r="L1298" t="s">
        <v>74</v>
      </c>
      <c r="M1298" t="s">
        <v>78</v>
      </c>
      <c r="N1298" t="s">
        <v>135</v>
      </c>
      <c r="O1298" t="s">
        <v>21901</v>
      </c>
      <c r="P1298" t="s">
        <v>21902</v>
      </c>
      <c r="Q1298" t="s">
        <v>138</v>
      </c>
      <c r="R1298" t="s">
        <v>74</v>
      </c>
      <c r="S1298" t="s">
        <v>74</v>
      </c>
      <c r="T1298" t="s">
        <v>21903</v>
      </c>
      <c r="U1298" t="s">
        <v>21904</v>
      </c>
      <c r="V1298" t="s">
        <v>21905</v>
      </c>
      <c r="W1298" t="s">
        <v>21906</v>
      </c>
      <c r="X1298" t="s">
        <v>21907</v>
      </c>
      <c r="Y1298" t="s">
        <v>21908</v>
      </c>
      <c r="Z1298" t="s">
        <v>21909</v>
      </c>
      <c r="AA1298" t="s">
        <v>21910</v>
      </c>
      <c r="AB1298" t="s">
        <v>21911</v>
      </c>
      <c r="AC1298" t="s">
        <v>21912</v>
      </c>
      <c r="AD1298" t="s">
        <v>21913</v>
      </c>
      <c r="AE1298" t="s">
        <v>21914</v>
      </c>
      <c r="AF1298" t="s">
        <v>74</v>
      </c>
      <c r="AG1298">
        <v>35</v>
      </c>
      <c r="AH1298">
        <v>5</v>
      </c>
      <c r="AI1298">
        <v>5</v>
      </c>
      <c r="AJ1298">
        <v>11</v>
      </c>
      <c r="AK1298">
        <v>66</v>
      </c>
      <c r="AL1298" t="s">
        <v>639</v>
      </c>
      <c r="AM1298" t="s">
        <v>640</v>
      </c>
      <c r="AN1298" t="s">
        <v>641</v>
      </c>
      <c r="AO1298" t="s">
        <v>8380</v>
      </c>
      <c r="AP1298" t="s">
        <v>8381</v>
      </c>
      <c r="AQ1298" t="s">
        <v>21915</v>
      </c>
      <c r="AR1298" t="s">
        <v>8383</v>
      </c>
      <c r="AS1298" t="s">
        <v>74</v>
      </c>
      <c r="AT1298" t="s">
        <v>74</v>
      </c>
      <c r="AU1298">
        <v>2022</v>
      </c>
      <c r="AV1298">
        <v>13315</v>
      </c>
      <c r="AW1298" t="s">
        <v>74</v>
      </c>
      <c r="AX1298" t="s">
        <v>74</v>
      </c>
      <c r="AY1298" t="s">
        <v>74</v>
      </c>
      <c r="AZ1298" t="s">
        <v>74</v>
      </c>
      <c r="BA1298" t="s">
        <v>74</v>
      </c>
      <c r="BB1298">
        <v>170</v>
      </c>
      <c r="BC1298">
        <v>184</v>
      </c>
      <c r="BD1298" t="s">
        <v>74</v>
      </c>
      <c r="BE1298" t="s">
        <v>21916</v>
      </c>
      <c r="BF1298" t="str">
        <f>HYPERLINK("http://dx.doi.org/10.1007/978-3-031-05061-9_13","http://dx.doi.org/10.1007/978-3-031-05061-9_13")</f>
        <v>http://dx.doi.org/10.1007/978-3-031-05061-9_13</v>
      </c>
      <c r="BG1298" t="s">
        <v>74</v>
      </c>
      <c r="BH1298" t="s">
        <v>74</v>
      </c>
      <c r="BI1298">
        <v>15</v>
      </c>
      <c r="BJ1298" t="s">
        <v>12037</v>
      </c>
      <c r="BK1298" t="s">
        <v>648</v>
      </c>
      <c r="BL1298" t="s">
        <v>7740</v>
      </c>
      <c r="BM1298" t="s">
        <v>21917</v>
      </c>
      <c r="BN1298" t="s">
        <v>74</v>
      </c>
      <c r="BO1298" t="s">
        <v>74</v>
      </c>
      <c r="BP1298" t="s">
        <v>74</v>
      </c>
      <c r="BQ1298" t="s">
        <v>74</v>
      </c>
      <c r="BR1298" t="s">
        <v>102</v>
      </c>
      <c r="BS1298" t="s">
        <v>21918</v>
      </c>
      <c r="BT1298" t="str">
        <f>HYPERLINK("https%3A%2F%2Fwww.webofscience.com%2Fwos%2Fwoscc%2Ffull-record%2FWOS:000911435700013","View Full Record in Web of Science")</f>
        <v>View Full Record in Web of Science</v>
      </c>
    </row>
    <row r="1299" spans="1:72" x14ac:dyDescent="0.35">
      <c r="A1299" t="s">
        <v>72</v>
      </c>
      <c r="B1299" t="s">
        <v>21919</v>
      </c>
      <c r="C1299" t="s">
        <v>74</v>
      </c>
      <c r="D1299" t="s">
        <v>74</v>
      </c>
      <c r="E1299" t="s">
        <v>74</v>
      </c>
      <c r="F1299" t="s">
        <v>21920</v>
      </c>
      <c r="G1299" t="s">
        <v>74</v>
      </c>
      <c r="H1299" t="s">
        <v>74</v>
      </c>
      <c r="I1299" t="s">
        <v>21921</v>
      </c>
      <c r="J1299" t="s">
        <v>21922</v>
      </c>
      <c r="K1299" t="s">
        <v>74</v>
      </c>
      <c r="L1299" t="s">
        <v>74</v>
      </c>
      <c r="M1299" t="s">
        <v>78</v>
      </c>
      <c r="N1299" t="s">
        <v>79</v>
      </c>
      <c r="O1299" t="s">
        <v>74</v>
      </c>
      <c r="P1299" t="s">
        <v>74</v>
      </c>
      <c r="Q1299" t="s">
        <v>74</v>
      </c>
      <c r="R1299" t="s">
        <v>74</v>
      </c>
      <c r="S1299" t="s">
        <v>74</v>
      </c>
      <c r="T1299" t="s">
        <v>74</v>
      </c>
      <c r="U1299" t="s">
        <v>21923</v>
      </c>
      <c r="V1299" t="s">
        <v>21924</v>
      </c>
      <c r="W1299" t="s">
        <v>21925</v>
      </c>
      <c r="X1299" t="s">
        <v>21926</v>
      </c>
      <c r="Y1299" t="s">
        <v>21927</v>
      </c>
      <c r="Z1299" t="s">
        <v>21928</v>
      </c>
      <c r="AA1299" t="s">
        <v>21929</v>
      </c>
      <c r="AB1299" t="s">
        <v>21930</v>
      </c>
      <c r="AC1299" t="s">
        <v>74</v>
      </c>
      <c r="AD1299" t="s">
        <v>74</v>
      </c>
      <c r="AE1299" t="s">
        <v>74</v>
      </c>
      <c r="AF1299" t="s">
        <v>74</v>
      </c>
      <c r="AG1299">
        <v>43</v>
      </c>
      <c r="AH1299">
        <v>0</v>
      </c>
      <c r="AI1299">
        <v>0</v>
      </c>
      <c r="AJ1299">
        <v>7</v>
      </c>
      <c r="AK1299">
        <v>8</v>
      </c>
      <c r="AL1299" t="s">
        <v>994</v>
      </c>
      <c r="AM1299" t="s">
        <v>995</v>
      </c>
      <c r="AN1299" t="s">
        <v>996</v>
      </c>
      <c r="AO1299" t="s">
        <v>21931</v>
      </c>
      <c r="AP1299" t="s">
        <v>21932</v>
      </c>
      <c r="AQ1299" t="s">
        <v>74</v>
      </c>
      <c r="AR1299" t="s">
        <v>21933</v>
      </c>
      <c r="AS1299" t="s">
        <v>21934</v>
      </c>
      <c r="AT1299" t="s">
        <v>21935</v>
      </c>
      <c r="AU1299">
        <v>2024</v>
      </c>
      <c r="AV1299" t="s">
        <v>74</v>
      </c>
      <c r="AW1299" t="s">
        <v>74</v>
      </c>
      <c r="AX1299" t="s">
        <v>74</v>
      </c>
      <c r="AY1299" t="s">
        <v>74</v>
      </c>
      <c r="AZ1299" t="s">
        <v>74</v>
      </c>
      <c r="BA1299" t="s">
        <v>74</v>
      </c>
      <c r="BB1299" t="s">
        <v>74</v>
      </c>
      <c r="BC1299" t="s">
        <v>74</v>
      </c>
      <c r="BD1299" t="s">
        <v>74</v>
      </c>
      <c r="BE1299" t="s">
        <v>21936</v>
      </c>
      <c r="BF1299" t="str">
        <f>HYPERLINK("http://dx.doi.org/10.1080/01639625.2024.2338273","http://dx.doi.org/10.1080/01639625.2024.2338273")</f>
        <v>http://dx.doi.org/10.1080/01639625.2024.2338273</v>
      </c>
      <c r="BG1299" t="s">
        <v>74</v>
      </c>
      <c r="BH1299" t="s">
        <v>2410</v>
      </c>
      <c r="BI1299">
        <v>16</v>
      </c>
      <c r="BJ1299" t="s">
        <v>21937</v>
      </c>
      <c r="BK1299" t="s">
        <v>99</v>
      </c>
      <c r="BL1299" t="s">
        <v>21938</v>
      </c>
      <c r="BM1299" t="s">
        <v>21939</v>
      </c>
      <c r="BN1299" t="s">
        <v>74</v>
      </c>
      <c r="BO1299" t="s">
        <v>156</v>
      </c>
      <c r="BP1299" t="s">
        <v>74</v>
      </c>
      <c r="BQ1299" t="s">
        <v>74</v>
      </c>
      <c r="BR1299" t="s">
        <v>102</v>
      </c>
      <c r="BS1299" t="s">
        <v>21940</v>
      </c>
      <c r="BT1299" t="str">
        <f>HYPERLINK("https%3A%2F%2Fwww.webofscience.com%2Fwos%2Fwoscc%2Ffull-record%2FWOS:001199267000001","View Full Record in Web of Science")</f>
        <v>View Full Record in Web of Science</v>
      </c>
    </row>
    <row r="1300" spans="1:72" x14ac:dyDescent="0.35">
      <c r="A1300" t="s">
        <v>72</v>
      </c>
      <c r="B1300" t="s">
        <v>21941</v>
      </c>
      <c r="C1300" t="s">
        <v>74</v>
      </c>
      <c r="D1300" t="s">
        <v>74</v>
      </c>
      <c r="E1300" t="s">
        <v>74</v>
      </c>
      <c r="F1300" t="s">
        <v>21348</v>
      </c>
      <c r="G1300" t="s">
        <v>74</v>
      </c>
      <c r="H1300" t="s">
        <v>74</v>
      </c>
      <c r="I1300" t="s">
        <v>21349</v>
      </c>
      <c r="J1300" t="s">
        <v>21350</v>
      </c>
      <c r="K1300" t="s">
        <v>74</v>
      </c>
      <c r="L1300" t="s">
        <v>74</v>
      </c>
      <c r="M1300" t="s">
        <v>78</v>
      </c>
      <c r="N1300" t="s">
        <v>108</v>
      </c>
      <c r="O1300" t="s">
        <v>74</v>
      </c>
      <c r="P1300" t="s">
        <v>74</v>
      </c>
      <c r="Q1300" t="s">
        <v>74</v>
      </c>
      <c r="R1300" t="s">
        <v>74</v>
      </c>
      <c r="S1300" t="s">
        <v>74</v>
      </c>
      <c r="T1300" t="s">
        <v>21351</v>
      </c>
      <c r="U1300" t="s">
        <v>218</v>
      </c>
      <c r="V1300" t="s">
        <v>21352</v>
      </c>
      <c r="W1300" t="s">
        <v>21353</v>
      </c>
      <c r="X1300" t="s">
        <v>21354</v>
      </c>
      <c r="Y1300" t="s">
        <v>21942</v>
      </c>
      <c r="Z1300" t="s">
        <v>21356</v>
      </c>
      <c r="AA1300" t="s">
        <v>74</v>
      </c>
      <c r="AB1300" t="s">
        <v>74</v>
      </c>
      <c r="AC1300" t="s">
        <v>74</v>
      </c>
      <c r="AD1300" t="s">
        <v>74</v>
      </c>
      <c r="AE1300" t="s">
        <v>74</v>
      </c>
      <c r="AF1300" t="s">
        <v>74</v>
      </c>
      <c r="AG1300">
        <v>45</v>
      </c>
      <c r="AH1300">
        <v>0</v>
      </c>
      <c r="AI1300">
        <v>0</v>
      </c>
      <c r="AJ1300">
        <v>1</v>
      </c>
      <c r="AK1300">
        <v>1</v>
      </c>
      <c r="AL1300" t="s">
        <v>21357</v>
      </c>
      <c r="AM1300" t="s">
        <v>21358</v>
      </c>
      <c r="AN1300" t="s">
        <v>21359</v>
      </c>
      <c r="AO1300" t="s">
        <v>21360</v>
      </c>
      <c r="AP1300" t="s">
        <v>21361</v>
      </c>
      <c r="AQ1300" t="s">
        <v>74</v>
      </c>
      <c r="AR1300" t="s">
        <v>21362</v>
      </c>
      <c r="AS1300" t="s">
        <v>21363</v>
      </c>
      <c r="AT1300" t="s">
        <v>273</v>
      </c>
      <c r="AU1300">
        <v>2023</v>
      </c>
      <c r="AV1300">
        <v>25</v>
      </c>
      <c r="AW1300">
        <v>2</v>
      </c>
      <c r="AX1300" t="s">
        <v>74</v>
      </c>
      <c r="AY1300" t="s">
        <v>74</v>
      </c>
      <c r="AZ1300" t="s">
        <v>74</v>
      </c>
      <c r="BA1300" t="s">
        <v>74</v>
      </c>
      <c r="BB1300">
        <v>49</v>
      </c>
      <c r="BC1300">
        <v>65</v>
      </c>
      <c r="BD1300" t="s">
        <v>74</v>
      </c>
      <c r="BE1300" t="s">
        <v>74</v>
      </c>
      <c r="BF1300" t="s">
        <v>74</v>
      </c>
      <c r="BG1300" t="s">
        <v>74</v>
      </c>
      <c r="BH1300" t="s">
        <v>74</v>
      </c>
      <c r="BI1300">
        <v>17</v>
      </c>
      <c r="BJ1300" t="s">
        <v>124</v>
      </c>
      <c r="BK1300" t="s">
        <v>125</v>
      </c>
      <c r="BL1300" t="s">
        <v>124</v>
      </c>
      <c r="BM1300" t="s">
        <v>21943</v>
      </c>
      <c r="BN1300" t="s">
        <v>74</v>
      </c>
      <c r="BO1300" t="s">
        <v>74</v>
      </c>
      <c r="BP1300" t="s">
        <v>74</v>
      </c>
      <c r="BQ1300" t="s">
        <v>74</v>
      </c>
      <c r="BR1300" t="s">
        <v>102</v>
      </c>
      <c r="BS1300" t="s">
        <v>21944</v>
      </c>
      <c r="BT1300" t="str">
        <f>HYPERLINK("https%3A%2F%2Fwww.webofscience.com%2Fwos%2Fwoscc%2Ffull-record%2FWOS:001176776900003","View Full Record in Web of Science")</f>
        <v>View Full Record in Web of Science</v>
      </c>
    </row>
    <row r="1301" spans="1:72" x14ac:dyDescent="0.35">
      <c r="A1301" t="s">
        <v>72</v>
      </c>
      <c r="B1301" t="s">
        <v>21945</v>
      </c>
      <c r="C1301" t="s">
        <v>74</v>
      </c>
      <c r="D1301" t="s">
        <v>74</v>
      </c>
      <c r="E1301" t="s">
        <v>74</v>
      </c>
      <c r="F1301" t="s">
        <v>21946</v>
      </c>
      <c r="G1301" t="s">
        <v>74</v>
      </c>
      <c r="H1301" t="s">
        <v>74</v>
      </c>
      <c r="I1301" t="s">
        <v>21947</v>
      </c>
      <c r="J1301" t="s">
        <v>21948</v>
      </c>
      <c r="K1301" t="s">
        <v>74</v>
      </c>
      <c r="L1301" t="s">
        <v>74</v>
      </c>
      <c r="M1301" t="s">
        <v>78</v>
      </c>
      <c r="N1301" t="s">
        <v>108</v>
      </c>
      <c r="O1301" t="s">
        <v>74</v>
      </c>
      <c r="P1301" t="s">
        <v>74</v>
      </c>
      <c r="Q1301" t="s">
        <v>74</v>
      </c>
      <c r="R1301" t="s">
        <v>74</v>
      </c>
      <c r="S1301" t="s">
        <v>74</v>
      </c>
      <c r="T1301" t="s">
        <v>21949</v>
      </c>
      <c r="U1301" t="s">
        <v>21950</v>
      </c>
      <c r="V1301" t="s">
        <v>21951</v>
      </c>
      <c r="W1301" t="s">
        <v>21952</v>
      </c>
      <c r="X1301" t="s">
        <v>18347</v>
      </c>
      <c r="Y1301" t="s">
        <v>21953</v>
      </c>
      <c r="Z1301" t="s">
        <v>74</v>
      </c>
      <c r="AA1301" t="s">
        <v>21954</v>
      </c>
      <c r="AB1301" t="s">
        <v>21955</v>
      </c>
      <c r="AC1301" t="s">
        <v>74</v>
      </c>
      <c r="AD1301" t="s">
        <v>74</v>
      </c>
      <c r="AE1301" t="s">
        <v>74</v>
      </c>
      <c r="AF1301" t="s">
        <v>74</v>
      </c>
      <c r="AG1301">
        <v>93</v>
      </c>
      <c r="AH1301">
        <v>3</v>
      </c>
      <c r="AI1301">
        <v>3</v>
      </c>
      <c r="AJ1301">
        <v>5</v>
      </c>
      <c r="AK1301">
        <v>17</v>
      </c>
      <c r="AL1301" t="s">
        <v>88</v>
      </c>
      <c r="AM1301" t="s">
        <v>89</v>
      </c>
      <c r="AN1301" t="s">
        <v>90</v>
      </c>
      <c r="AO1301" t="s">
        <v>21956</v>
      </c>
      <c r="AP1301" t="s">
        <v>21957</v>
      </c>
      <c r="AQ1301" t="s">
        <v>74</v>
      </c>
      <c r="AR1301" t="s">
        <v>21958</v>
      </c>
      <c r="AS1301" t="s">
        <v>21959</v>
      </c>
      <c r="AT1301" t="s">
        <v>2323</v>
      </c>
      <c r="AU1301">
        <v>2024</v>
      </c>
      <c r="AV1301">
        <v>56</v>
      </c>
      <c r="AW1301">
        <v>1</v>
      </c>
      <c r="AX1301" t="s">
        <v>74</v>
      </c>
      <c r="AY1301" t="s">
        <v>74</v>
      </c>
      <c r="AZ1301" t="s">
        <v>74</v>
      </c>
      <c r="BA1301" t="s">
        <v>74</v>
      </c>
      <c r="BB1301">
        <v>72</v>
      </c>
      <c r="BC1301">
        <v>93</v>
      </c>
      <c r="BD1301" t="s">
        <v>74</v>
      </c>
      <c r="BE1301" t="s">
        <v>21960</v>
      </c>
      <c r="BF1301" t="str">
        <f>HYPERLINK("http://dx.doi.org/10.1080/15391523.2023.2266518","http://dx.doi.org/10.1080/15391523.2023.2266518")</f>
        <v>http://dx.doi.org/10.1080/15391523.2023.2266518</v>
      </c>
      <c r="BG1301" t="s">
        <v>74</v>
      </c>
      <c r="BH1301" t="s">
        <v>74</v>
      </c>
      <c r="BI1301">
        <v>22</v>
      </c>
      <c r="BJ1301" t="s">
        <v>787</v>
      </c>
      <c r="BK1301" t="s">
        <v>99</v>
      </c>
      <c r="BL1301" t="s">
        <v>787</v>
      </c>
      <c r="BM1301" t="s">
        <v>21961</v>
      </c>
      <c r="BN1301" t="s">
        <v>74</v>
      </c>
      <c r="BO1301" t="s">
        <v>74</v>
      </c>
      <c r="BP1301" t="s">
        <v>74</v>
      </c>
      <c r="BQ1301" t="s">
        <v>74</v>
      </c>
      <c r="BR1301" t="s">
        <v>102</v>
      </c>
      <c r="BS1301" t="s">
        <v>21962</v>
      </c>
      <c r="BT1301" t="str">
        <f>HYPERLINK("https%3A%2F%2Fwww.webofscience.com%2Fwos%2Fwoscc%2Ffull-record%2FWOS:001141221800005","View Full Record in Web of Science")</f>
        <v>View Full Record in Web of Science</v>
      </c>
    </row>
    <row r="1302" spans="1:72" x14ac:dyDescent="0.35">
      <c r="A1302" t="s">
        <v>128</v>
      </c>
      <c r="B1302" t="s">
        <v>21963</v>
      </c>
      <c r="C1302" t="s">
        <v>74</v>
      </c>
      <c r="D1302" t="s">
        <v>74</v>
      </c>
      <c r="E1302" t="s">
        <v>702</v>
      </c>
      <c r="F1302" t="s">
        <v>21964</v>
      </c>
      <c r="G1302" t="s">
        <v>74</v>
      </c>
      <c r="H1302" t="s">
        <v>74</v>
      </c>
      <c r="I1302" t="s">
        <v>21965</v>
      </c>
      <c r="J1302" t="s">
        <v>21966</v>
      </c>
      <c r="K1302" t="s">
        <v>74</v>
      </c>
      <c r="L1302" t="s">
        <v>74</v>
      </c>
      <c r="M1302" t="s">
        <v>78</v>
      </c>
      <c r="N1302" t="s">
        <v>135</v>
      </c>
      <c r="O1302" t="s">
        <v>21967</v>
      </c>
      <c r="P1302" t="s">
        <v>21968</v>
      </c>
      <c r="Q1302" t="s">
        <v>138</v>
      </c>
      <c r="R1302" t="s">
        <v>1098</v>
      </c>
      <c r="S1302" t="s">
        <v>74</v>
      </c>
      <c r="T1302" t="s">
        <v>21969</v>
      </c>
      <c r="U1302" t="s">
        <v>21970</v>
      </c>
      <c r="V1302" t="s">
        <v>21971</v>
      </c>
      <c r="W1302" t="s">
        <v>21972</v>
      </c>
      <c r="X1302" t="s">
        <v>21973</v>
      </c>
      <c r="Y1302" t="s">
        <v>21974</v>
      </c>
      <c r="Z1302" t="s">
        <v>21975</v>
      </c>
      <c r="AA1302" t="s">
        <v>21976</v>
      </c>
      <c r="AB1302" t="s">
        <v>21977</v>
      </c>
      <c r="AC1302" t="s">
        <v>74</v>
      </c>
      <c r="AD1302" t="s">
        <v>74</v>
      </c>
      <c r="AE1302" t="s">
        <v>74</v>
      </c>
      <c r="AF1302" t="s">
        <v>74</v>
      </c>
      <c r="AG1302">
        <v>88</v>
      </c>
      <c r="AH1302">
        <v>1</v>
      </c>
      <c r="AI1302">
        <v>2</v>
      </c>
      <c r="AJ1302">
        <v>4</v>
      </c>
      <c r="AK1302">
        <v>7</v>
      </c>
      <c r="AL1302" t="s">
        <v>718</v>
      </c>
      <c r="AM1302" t="s">
        <v>666</v>
      </c>
      <c r="AN1302" t="s">
        <v>719</v>
      </c>
      <c r="AO1302" t="s">
        <v>74</v>
      </c>
      <c r="AP1302" t="s">
        <v>74</v>
      </c>
      <c r="AQ1302" t="s">
        <v>21978</v>
      </c>
      <c r="AR1302" t="s">
        <v>74</v>
      </c>
      <c r="AS1302" t="s">
        <v>74</v>
      </c>
      <c r="AT1302" t="s">
        <v>74</v>
      </c>
      <c r="AU1302">
        <v>2022</v>
      </c>
      <c r="AV1302" t="s">
        <v>74</v>
      </c>
      <c r="AW1302" t="s">
        <v>74</v>
      </c>
      <c r="AX1302" t="s">
        <v>74</v>
      </c>
      <c r="AY1302" t="s">
        <v>74</v>
      </c>
      <c r="AZ1302" t="s">
        <v>74</v>
      </c>
      <c r="BA1302" t="s">
        <v>74</v>
      </c>
      <c r="BB1302">
        <v>365</v>
      </c>
      <c r="BC1302">
        <v>376</v>
      </c>
      <c r="BD1302" t="s">
        <v>74</v>
      </c>
      <c r="BE1302" t="s">
        <v>21979</v>
      </c>
      <c r="BF1302" t="str">
        <f>HYPERLINK("http://dx.doi.org/10.1145/3532106.3533470","http://dx.doi.org/10.1145/3532106.3533470")</f>
        <v>http://dx.doi.org/10.1145/3532106.3533470</v>
      </c>
      <c r="BG1302" t="s">
        <v>74</v>
      </c>
      <c r="BH1302" t="s">
        <v>74</v>
      </c>
      <c r="BI1302">
        <v>12</v>
      </c>
      <c r="BJ1302" t="s">
        <v>1112</v>
      </c>
      <c r="BK1302" t="s">
        <v>648</v>
      </c>
      <c r="BL1302" t="s">
        <v>1113</v>
      </c>
      <c r="BM1302" t="s">
        <v>21980</v>
      </c>
      <c r="BN1302" t="s">
        <v>74</v>
      </c>
      <c r="BO1302" t="s">
        <v>767</v>
      </c>
      <c r="BP1302" t="s">
        <v>74</v>
      </c>
      <c r="BQ1302" t="s">
        <v>74</v>
      </c>
      <c r="BR1302" t="s">
        <v>102</v>
      </c>
      <c r="BS1302" t="s">
        <v>21981</v>
      </c>
      <c r="BT1302" t="str">
        <f>HYPERLINK("https%3A%2F%2Fwww.webofscience.com%2Fwos%2Fwoscc%2Ffull-record%2FWOS:001036715000025","View Full Record in Web of Science")</f>
        <v>View Full Record in Web of Science</v>
      </c>
    </row>
    <row r="1303" spans="1:72" x14ac:dyDescent="0.35">
      <c r="A1303" t="s">
        <v>72</v>
      </c>
      <c r="B1303" t="s">
        <v>21982</v>
      </c>
      <c r="C1303" t="s">
        <v>74</v>
      </c>
      <c r="D1303" t="s">
        <v>74</v>
      </c>
      <c r="E1303" t="s">
        <v>74</v>
      </c>
      <c r="F1303" t="s">
        <v>21983</v>
      </c>
      <c r="G1303" t="s">
        <v>74</v>
      </c>
      <c r="H1303" t="s">
        <v>74</v>
      </c>
      <c r="I1303" t="s">
        <v>21984</v>
      </c>
      <c r="J1303" t="s">
        <v>11744</v>
      </c>
      <c r="K1303" t="s">
        <v>74</v>
      </c>
      <c r="L1303" t="s">
        <v>74</v>
      </c>
      <c r="M1303" t="s">
        <v>78</v>
      </c>
      <c r="N1303" t="s">
        <v>108</v>
      </c>
      <c r="O1303" t="s">
        <v>74</v>
      </c>
      <c r="P1303" t="s">
        <v>74</v>
      </c>
      <c r="Q1303" t="s">
        <v>74</v>
      </c>
      <c r="R1303" t="s">
        <v>74</v>
      </c>
      <c r="S1303" t="s">
        <v>74</v>
      </c>
      <c r="T1303" t="s">
        <v>21985</v>
      </c>
      <c r="U1303" t="s">
        <v>906</v>
      </c>
      <c r="V1303" t="s">
        <v>21986</v>
      </c>
      <c r="W1303" t="s">
        <v>21987</v>
      </c>
      <c r="X1303" t="s">
        <v>21988</v>
      </c>
      <c r="Y1303" t="s">
        <v>21989</v>
      </c>
      <c r="Z1303" t="s">
        <v>21990</v>
      </c>
      <c r="AA1303" t="s">
        <v>74</v>
      </c>
      <c r="AB1303" t="s">
        <v>21991</v>
      </c>
      <c r="AC1303" t="s">
        <v>74</v>
      </c>
      <c r="AD1303" t="s">
        <v>74</v>
      </c>
      <c r="AE1303" t="s">
        <v>74</v>
      </c>
      <c r="AF1303" t="s">
        <v>74</v>
      </c>
      <c r="AG1303">
        <v>59</v>
      </c>
      <c r="AH1303">
        <v>0</v>
      </c>
      <c r="AI1303">
        <v>0</v>
      </c>
      <c r="AJ1303">
        <v>18</v>
      </c>
      <c r="AK1303">
        <v>18</v>
      </c>
      <c r="AL1303" t="s">
        <v>3632</v>
      </c>
      <c r="AM1303" t="s">
        <v>148</v>
      </c>
      <c r="AN1303" t="s">
        <v>5053</v>
      </c>
      <c r="AO1303" t="s">
        <v>11752</v>
      </c>
      <c r="AP1303" t="s">
        <v>11753</v>
      </c>
      <c r="AQ1303" t="s">
        <v>74</v>
      </c>
      <c r="AR1303" t="s">
        <v>11754</v>
      </c>
      <c r="AS1303" t="s">
        <v>11755</v>
      </c>
      <c r="AT1303" t="s">
        <v>930</v>
      </c>
      <c r="AU1303">
        <v>2024</v>
      </c>
      <c r="AV1303">
        <v>58</v>
      </c>
      <c r="AW1303" t="s">
        <v>74</v>
      </c>
      <c r="AX1303" t="s">
        <v>74</v>
      </c>
      <c r="AY1303" t="s">
        <v>74</v>
      </c>
      <c r="AZ1303" t="s">
        <v>74</v>
      </c>
      <c r="BA1303" t="s">
        <v>74</v>
      </c>
      <c r="BB1303" t="s">
        <v>74</v>
      </c>
      <c r="BC1303" t="s">
        <v>74</v>
      </c>
      <c r="BD1303">
        <v>100760</v>
      </c>
      <c r="BE1303" t="s">
        <v>21992</v>
      </c>
      <c r="BF1303" t="str">
        <f>HYPERLINK("http://dx.doi.org/10.1016/j.dcm.2024.100760","http://dx.doi.org/10.1016/j.dcm.2024.100760")</f>
        <v>http://dx.doi.org/10.1016/j.dcm.2024.100760</v>
      </c>
      <c r="BG1303" t="s">
        <v>74</v>
      </c>
      <c r="BH1303" t="s">
        <v>2410</v>
      </c>
      <c r="BI1303">
        <v>11</v>
      </c>
      <c r="BJ1303" t="s">
        <v>124</v>
      </c>
      <c r="BK1303" t="s">
        <v>99</v>
      </c>
      <c r="BL1303" t="s">
        <v>124</v>
      </c>
      <c r="BM1303" t="s">
        <v>21993</v>
      </c>
      <c r="BN1303" t="s">
        <v>74</v>
      </c>
      <c r="BO1303" t="s">
        <v>4154</v>
      </c>
      <c r="BP1303" t="s">
        <v>74</v>
      </c>
      <c r="BQ1303" t="s">
        <v>74</v>
      </c>
      <c r="BR1303" t="s">
        <v>102</v>
      </c>
      <c r="BS1303" t="s">
        <v>21994</v>
      </c>
      <c r="BT1303" t="str">
        <f>HYPERLINK("https%3A%2F%2Fwww.webofscience.com%2Fwos%2Fwoscc%2Ffull-record%2FWOS:001227129600001","View Full Record in Web of Science")</f>
        <v>View Full Record in Web of Science</v>
      </c>
    </row>
    <row r="1304" spans="1:72" x14ac:dyDescent="0.35">
      <c r="A1304" t="s">
        <v>72</v>
      </c>
      <c r="B1304" t="s">
        <v>17711</v>
      </c>
      <c r="C1304" t="s">
        <v>74</v>
      </c>
      <c r="D1304" t="s">
        <v>74</v>
      </c>
      <c r="E1304" t="s">
        <v>74</v>
      </c>
      <c r="F1304" t="s">
        <v>17712</v>
      </c>
      <c r="G1304" t="s">
        <v>74</v>
      </c>
      <c r="H1304" t="s">
        <v>74</v>
      </c>
      <c r="I1304" t="s">
        <v>21995</v>
      </c>
      <c r="J1304" t="s">
        <v>17714</v>
      </c>
      <c r="K1304" t="s">
        <v>74</v>
      </c>
      <c r="L1304" t="s">
        <v>74</v>
      </c>
      <c r="M1304" t="s">
        <v>3503</v>
      </c>
      <c r="N1304" t="s">
        <v>108</v>
      </c>
      <c r="O1304" t="s">
        <v>74</v>
      </c>
      <c r="P1304" t="s">
        <v>74</v>
      </c>
      <c r="Q1304" t="s">
        <v>74</v>
      </c>
      <c r="R1304" t="s">
        <v>74</v>
      </c>
      <c r="S1304" t="s">
        <v>74</v>
      </c>
      <c r="T1304" t="s">
        <v>21996</v>
      </c>
      <c r="U1304" t="s">
        <v>74</v>
      </c>
      <c r="V1304" t="s">
        <v>21997</v>
      </c>
      <c r="W1304" t="s">
        <v>21998</v>
      </c>
      <c r="X1304" t="s">
        <v>74</v>
      </c>
      <c r="Y1304" t="s">
        <v>21999</v>
      </c>
      <c r="Z1304" t="s">
        <v>17719</v>
      </c>
      <c r="AA1304" t="s">
        <v>74</v>
      </c>
      <c r="AB1304" t="s">
        <v>74</v>
      </c>
      <c r="AC1304" t="s">
        <v>74</v>
      </c>
      <c r="AD1304" t="s">
        <v>74</v>
      </c>
      <c r="AE1304" t="s">
        <v>74</v>
      </c>
      <c r="AF1304" t="s">
        <v>74</v>
      </c>
      <c r="AG1304">
        <v>21</v>
      </c>
      <c r="AH1304">
        <v>2</v>
      </c>
      <c r="AI1304">
        <v>2</v>
      </c>
      <c r="AJ1304">
        <v>9</v>
      </c>
      <c r="AK1304">
        <v>21</v>
      </c>
      <c r="AL1304" t="s">
        <v>17720</v>
      </c>
      <c r="AM1304" t="s">
        <v>17721</v>
      </c>
      <c r="AN1304" t="s">
        <v>17722</v>
      </c>
      <c r="AO1304" t="s">
        <v>17723</v>
      </c>
      <c r="AP1304" t="s">
        <v>17724</v>
      </c>
      <c r="AQ1304" t="s">
        <v>74</v>
      </c>
      <c r="AR1304" t="s">
        <v>17725</v>
      </c>
      <c r="AS1304" t="s">
        <v>17726</v>
      </c>
      <c r="AT1304" t="s">
        <v>297</v>
      </c>
      <c r="AU1304">
        <v>2023</v>
      </c>
      <c r="AV1304">
        <v>121</v>
      </c>
      <c r="AW1304">
        <v>4</v>
      </c>
      <c r="AX1304" t="s">
        <v>74</v>
      </c>
      <c r="AY1304" t="s">
        <v>74</v>
      </c>
      <c r="AZ1304" t="s">
        <v>74</v>
      </c>
      <c r="BA1304" t="s">
        <v>74</v>
      </c>
      <c r="BB1304" t="s">
        <v>74</v>
      </c>
      <c r="BC1304" t="s">
        <v>74</v>
      </c>
      <c r="BD1304" t="s">
        <v>74</v>
      </c>
      <c r="BE1304" t="s">
        <v>22000</v>
      </c>
      <c r="BF1304" t="str">
        <f>HYPERLINK("http://dx.doi.org/10.5546/aap.2022-02674","http://dx.doi.org/10.5546/aap.2022-02674")</f>
        <v>http://dx.doi.org/10.5546/aap.2022-02674</v>
      </c>
      <c r="BG1304" t="s">
        <v>74</v>
      </c>
      <c r="BH1304" t="s">
        <v>74</v>
      </c>
      <c r="BI1304">
        <v>6</v>
      </c>
      <c r="BJ1304" t="s">
        <v>6641</v>
      </c>
      <c r="BK1304" t="s">
        <v>209</v>
      </c>
      <c r="BL1304" t="s">
        <v>6641</v>
      </c>
      <c r="BM1304" t="s">
        <v>22001</v>
      </c>
      <c r="BN1304" t="s">
        <v>74</v>
      </c>
      <c r="BO1304" t="s">
        <v>235</v>
      </c>
      <c r="BP1304" t="s">
        <v>74</v>
      </c>
      <c r="BQ1304" t="s">
        <v>74</v>
      </c>
      <c r="BR1304" t="s">
        <v>102</v>
      </c>
      <c r="BS1304" t="s">
        <v>22002</v>
      </c>
      <c r="BT1304" t="str">
        <f>HYPERLINK("https%3A%2F%2Fwww.webofscience.com%2Fwos%2Fwoscc%2Ffull-record%2FWOS:001081159200002","View Full Record in Web of Science")</f>
        <v>View Full Record in Web of Science</v>
      </c>
    </row>
    <row r="1305" spans="1:72" x14ac:dyDescent="0.35">
      <c r="A1305" t="s">
        <v>72</v>
      </c>
      <c r="B1305" t="s">
        <v>22003</v>
      </c>
      <c r="C1305" t="s">
        <v>74</v>
      </c>
      <c r="D1305" t="s">
        <v>74</v>
      </c>
      <c r="E1305" t="s">
        <v>74</v>
      </c>
      <c r="F1305" t="s">
        <v>22004</v>
      </c>
      <c r="G1305" t="s">
        <v>74</v>
      </c>
      <c r="H1305" t="s">
        <v>74</v>
      </c>
      <c r="I1305" t="s">
        <v>22005</v>
      </c>
      <c r="J1305" t="s">
        <v>8063</v>
      </c>
      <c r="K1305" t="s">
        <v>74</v>
      </c>
      <c r="L1305" t="s">
        <v>74</v>
      </c>
      <c r="M1305" t="s">
        <v>78</v>
      </c>
      <c r="N1305" t="s">
        <v>108</v>
      </c>
      <c r="O1305" t="s">
        <v>74</v>
      </c>
      <c r="P1305" t="s">
        <v>74</v>
      </c>
      <c r="Q1305" t="s">
        <v>74</v>
      </c>
      <c r="R1305" t="s">
        <v>74</v>
      </c>
      <c r="S1305" t="s">
        <v>74</v>
      </c>
      <c r="T1305" t="s">
        <v>22006</v>
      </c>
      <c r="U1305" t="s">
        <v>22007</v>
      </c>
      <c r="V1305" t="s">
        <v>22008</v>
      </c>
      <c r="W1305" t="s">
        <v>22009</v>
      </c>
      <c r="X1305" t="s">
        <v>20818</v>
      </c>
      <c r="Y1305" t="s">
        <v>22010</v>
      </c>
      <c r="Z1305" t="s">
        <v>22011</v>
      </c>
      <c r="AA1305" t="s">
        <v>22012</v>
      </c>
      <c r="AB1305" t="s">
        <v>22013</v>
      </c>
      <c r="AC1305" t="s">
        <v>74</v>
      </c>
      <c r="AD1305" t="s">
        <v>74</v>
      </c>
      <c r="AE1305" t="s">
        <v>74</v>
      </c>
      <c r="AF1305" t="s">
        <v>74</v>
      </c>
      <c r="AG1305">
        <v>91</v>
      </c>
      <c r="AH1305">
        <v>4</v>
      </c>
      <c r="AI1305">
        <v>4</v>
      </c>
      <c r="AJ1305">
        <v>51</v>
      </c>
      <c r="AK1305">
        <v>179</v>
      </c>
      <c r="AL1305" t="s">
        <v>251</v>
      </c>
      <c r="AM1305" t="s">
        <v>252</v>
      </c>
      <c r="AN1305" t="s">
        <v>253</v>
      </c>
      <c r="AO1305" t="s">
        <v>8072</v>
      </c>
      <c r="AP1305" t="s">
        <v>74</v>
      </c>
      <c r="AQ1305" t="s">
        <v>74</v>
      </c>
      <c r="AR1305" t="s">
        <v>8073</v>
      </c>
      <c r="AS1305" t="s">
        <v>8074</v>
      </c>
      <c r="AT1305" t="s">
        <v>257</v>
      </c>
      <c r="AU1305">
        <v>2022</v>
      </c>
      <c r="AV1305">
        <v>14</v>
      </c>
      <c r="AW1305">
        <v>2</v>
      </c>
      <c r="AX1305" t="s">
        <v>74</v>
      </c>
      <c r="AY1305" t="s">
        <v>74</v>
      </c>
      <c r="AZ1305" t="s">
        <v>456</v>
      </c>
      <c r="BA1305" t="s">
        <v>74</v>
      </c>
      <c r="BB1305">
        <v>304</v>
      </c>
      <c r="BC1305">
        <v>323</v>
      </c>
      <c r="BD1305" t="s">
        <v>74</v>
      </c>
      <c r="BE1305" t="s">
        <v>22014</v>
      </c>
      <c r="BF1305" t="str">
        <f>HYPERLINK("http://dx.doi.org/10.1002/poi3.307","http://dx.doi.org/10.1002/poi3.307")</f>
        <v>http://dx.doi.org/10.1002/poi3.307</v>
      </c>
      <c r="BG1305" t="s">
        <v>74</v>
      </c>
      <c r="BH1305" t="s">
        <v>1428</v>
      </c>
      <c r="BI1305">
        <v>20</v>
      </c>
      <c r="BJ1305" t="s">
        <v>1528</v>
      </c>
      <c r="BK1305" t="s">
        <v>99</v>
      </c>
      <c r="BL1305" t="s">
        <v>1529</v>
      </c>
      <c r="BM1305" t="s">
        <v>22015</v>
      </c>
      <c r="BN1305" t="s">
        <v>74</v>
      </c>
      <c r="BO1305" t="s">
        <v>74</v>
      </c>
      <c r="BP1305" t="s">
        <v>74</v>
      </c>
      <c r="BQ1305" t="s">
        <v>74</v>
      </c>
      <c r="BR1305" t="s">
        <v>102</v>
      </c>
      <c r="BS1305" t="s">
        <v>22016</v>
      </c>
      <c r="BT1305" t="str">
        <f>HYPERLINK("https%3A%2F%2Fwww.webofscience.com%2Fwos%2Fwoscc%2Ffull-record%2FWOS:000804574700001","View Full Record in Web of Science")</f>
        <v>View Full Record in Web of Science</v>
      </c>
    </row>
    <row r="1306" spans="1:72" x14ac:dyDescent="0.35">
      <c r="A1306" t="s">
        <v>72</v>
      </c>
      <c r="B1306" t="s">
        <v>22017</v>
      </c>
      <c r="C1306" t="s">
        <v>74</v>
      </c>
      <c r="D1306" t="s">
        <v>74</v>
      </c>
      <c r="E1306" t="s">
        <v>74</v>
      </c>
      <c r="F1306" t="s">
        <v>22018</v>
      </c>
      <c r="G1306" t="s">
        <v>74</v>
      </c>
      <c r="H1306" t="s">
        <v>74</v>
      </c>
      <c r="I1306" t="s">
        <v>22019</v>
      </c>
      <c r="J1306" t="s">
        <v>22020</v>
      </c>
      <c r="K1306" t="s">
        <v>74</v>
      </c>
      <c r="L1306" t="s">
        <v>74</v>
      </c>
      <c r="M1306" t="s">
        <v>78</v>
      </c>
      <c r="N1306" t="s">
        <v>79</v>
      </c>
      <c r="O1306" t="s">
        <v>74</v>
      </c>
      <c r="P1306" t="s">
        <v>74</v>
      </c>
      <c r="Q1306" t="s">
        <v>74</v>
      </c>
      <c r="R1306" t="s">
        <v>74</v>
      </c>
      <c r="S1306" t="s">
        <v>74</v>
      </c>
      <c r="T1306" t="s">
        <v>22021</v>
      </c>
      <c r="U1306" t="s">
        <v>22022</v>
      </c>
      <c r="V1306" t="s">
        <v>22023</v>
      </c>
      <c r="W1306" t="s">
        <v>22024</v>
      </c>
      <c r="X1306" t="s">
        <v>22025</v>
      </c>
      <c r="Y1306" t="s">
        <v>22026</v>
      </c>
      <c r="Z1306" t="s">
        <v>22027</v>
      </c>
      <c r="AA1306" t="s">
        <v>74</v>
      </c>
      <c r="AB1306" t="s">
        <v>22028</v>
      </c>
      <c r="AC1306" t="s">
        <v>74</v>
      </c>
      <c r="AD1306" t="s">
        <v>74</v>
      </c>
      <c r="AE1306" t="s">
        <v>74</v>
      </c>
      <c r="AF1306" t="s">
        <v>74</v>
      </c>
      <c r="AG1306">
        <v>25</v>
      </c>
      <c r="AH1306">
        <v>0</v>
      </c>
      <c r="AI1306">
        <v>0</v>
      </c>
      <c r="AJ1306">
        <v>0</v>
      </c>
      <c r="AK1306">
        <v>0</v>
      </c>
      <c r="AL1306" t="s">
        <v>171</v>
      </c>
      <c r="AM1306" t="s">
        <v>172</v>
      </c>
      <c r="AN1306" t="s">
        <v>173</v>
      </c>
      <c r="AO1306" t="s">
        <v>22029</v>
      </c>
      <c r="AP1306" t="s">
        <v>22030</v>
      </c>
      <c r="AQ1306" t="s">
        <v>74</v>
      </c>
      <c r="AR1306" t="s">
        <v>22031</v>
      </c>
      <c r="AS1306" t="s">
        <v>22032</v>
      </c>
      <c r="AT1306" t="s">
        <v>22033</v>
      </c>
      <c r="AU1306">
        <v>2024</v>
      </c>
      <c r="AV1306" t="s">
        <v>74</v>
      </c>
      <c r="AW1306" t="s">
        <v>74</v>
      </c>
      <c r="AX1306" t="s">
        <v>74</v>
      </c>
      <c r="AY1306" t="s">
        <v>74</v>
      </c>
      <c r="AZ1306" t="s">
        <v>74</v>
      </c>
      <c r="BA1306" t="s">
        <v>74</v>
      </c>
      <c r="BB1306" t="s">
        <v>74</v>
      </c>
      <c r="BC1306" t="s">
        <v>74</v>
      </c>
      <c r="BD1306" t="s">
        <v>74</v>
      </c>
      <c r="BE1306" t="s">
        <v>22034</v>
      </c>
      <c r="BF1306" t="str">
        <f>HYPERLINK("http://dx.doi.org/10.1177/10556656241286835","http://dx.doi.org/10.1177/10556656241286835")</f>
        <v>http://dx.doi.org/10.1177/10556656241286835</v>
      </c>
      <c r="BG1306" t="s">
        <v>74</v>
      </c>
      <c r="BH1306" t="s">
        <v>1721</v>
      </c>
      <c r="BI1306">
        <v>8</v>
      </c>
      <c r="BJ1306" t="s">
        <v>10757</v>
      </c>
      <c r="BK1306" t="s">
        <v>209</v>
      </c>
      <c r="BL1306" t="s">
        <v>10757</v>
      </c>
      <c r="BM1306" t="s">
        <v>22035</v>
      </c>
      <c r="BN1306">
        <v>39428986</v>
      </c>
      <c r="BO1306" t="s">
        <v>74</v>
      </c>
      <c r="BP1306" t="s">
        <v>74</v>
      </c>
      <c r="BQ1306" t="s">
        <v>74</v>
      </c>
      <c r="BR1306" t="s">
        <v>102</v>
      </c>
      <c r="BS1306" t="s">
        <v>22036</v>
      </c>
      <c r="BT1306" t="str">
        <f>HYPERLINK("https%3A%2F%2Fwww.webofscience.com%2Fwos%2Fwoscc%2Ffull-record%2FWOS:001339746200001","View Full Record in Web of Science")</f>
        <v>View Full Record in Web of Science</v>
      </c>
    </row>
    <row r="1307" spans="1:72" x14ac:dyDescent="0.35">
      <c r="A1307" t="s">
        <v>72</v>
      </c>
      <c r="B1307" t="s">
        <v>22037</v>
      </c>
      <c r="C1307" t="s">
        <v>74</v>
      </c>
      <c r="D1307" t="s">
        <v>74</v>
      </c>
      <c r="E1307" t="s">
        <v>74</v>
      </c>
      <c r="F1307" t="s">
        <v>22038</v>
      </c>
      <c r="G1307" t="s">
        <v>74</v>
      </c>
      <c r="H1307" t="s">
        <v>74</v>
      </c>
      <c r="I1307" t="s">
        <v>22039</v>
      </c>
      <c r="J1307" t="s">
        <v>22040</v>
      </c>
      <c r="K1307" t="s">
        <v>74</v>
      </c>
      <c r="L1307" t="s">
        <v>74</v>
      </c>
      <c r="M1307" t="s">
        <v>78</v>
      </c>
      <c r="N1307" t="s">
        <v>108</v>
      </c>
      <c r="O1307" t="s">
        <v>74</v>
      </c>
      <c r="P1307" t="s">
        <v>74</v>
      </c>
      <c r="Q1307" t="s">
        <v>74</v>
      </c>
      <c r="R1307" t="s">
        <v>74</v>
      </c>
      <c r="S1307" t="s">
        <v>74</v>
      </c>
      <c r="T1307" t="s">
        <v>22041</v>
      </c>
      <c r="U1307" t="s">
        <v>22042</v>
      </c>
      <c r="V1307" t="s">
        <v>22043</v>
      </c>
      <c r="W1307" t="s">
        <v>22044</v>
      </c>
      <c r="X1307" t="s">
        <v>22045</v>
      </c>
      <c r="Y1307" t="s">
        <v>22046</v>
      </c>
      <c r="Z1307" t="s">
        <v>22047</v>
      </c>
      <c r="AA1307" t="s">
        <v>22048</v>
      </c>
      <c r="AB1307" t="s">
        <v>22049</v>
      </c>
      <c r="AC1307" t="s">
        <v>74</v>
      </c>
      <c r="AD1307" t="s">
        <v>74</v>
      </c>
      <c r="AE1307" t="s">
        <v>74</v>
      </c>
      <c r="AF1307" t="s">
        <v>74</v>
      </c>
      <c r="AG1307">
        <v>61</v>
      </c>
      <c r="AH1307">
        <v>2</v>
      </c>
      <c r="AI1307">
        <v>2</v>
      </c>
      <c r="AJ1307">
        <v>2</v>
      </c>
      <c r="AK1307">
        <v>33</v>
      </c>
      <c r="AL1307" t="s">
        <v>1195</v>
      </c>
      <c r="AM1307" t="s">
        <v>1196</v>
      </c>
      <c r="AN1307" t="s">
        <v>1197</v>
      </c>
      <c r="AO1307" t="s">
        <v>74</v>
      </c>
      <c r="AP1307" t="s">
        <v>22050</v>
      </c>
      <c r="AQ1307" t="s">
        <v>74</v>
      </c>
      <c r="AR1307" t="s">
        <v>22051</v>
      </c>
      <c r="AS1307" t="s">
        <v>22052</v>
      </c>
      <c r="AT1307" t="s">
        <v>232</v>
      </c>
      <c r="AU1307">
        <v>2023</v>
      </c>
      <c r="AV1307">
        <v>12</v>
      </c>
      <c r="AW1307">
        <v>1</v>
      </c>
      <c r="AX1307" t="s">
        <v>74</v>
      </c>
      <c r="AY1307" t="s">
        <v>74</v>
      </c>
      <c r="AZ1307" t="s">
        <v>74</v>
      </c>
      <c r="BA1307" t="s">
        <v>74</v>
      </c>
      <c r="BB1307" t="s">
        <v>74</v>
      </c>
      <c r="BC1307" t="s">
        <v>74</v>
      </c>
      <c r="BD1307">
        <v>134</v>
      </c>
      <c r="BE1307" t="s">
        <v>22053</v>
      </c>
      <c r="BF1307" t="str">
        <f>HYPERLINK("http://dx.doi.org/10.3390/land12010134","http://dx.doi.org/10.3390/land12010134")</f>
        <v>http://dx.doi.org/10.3390/land12010134</v>
      </c>
      <c r="BG1307" t="s">
        <v>74</v>
      </c>
      <c r="BH1307" t="s">
        <v>74</v>
      </c>
      <c r="BI1307">
        <v>21</v>
      </c>
      <c r="BJ1307" t="s">
        <v>19102</v>
      </c>
      <c r="BK1307" t="s">
        <v>99</v>
      </c>
      <c r="BL1307" t="s">
        <v>19103</v>
      </c>
      <c r="BM1307" t="s">
        <v>22054</v>
      </c>
      <c r="BN1307" t="s">
        <v>74</v>
      </c>
      <c r="BO1307" t="s">
        <v>235</v>
      </c>
      <c r="BP1307" t="s">
        <v>74</v>
      </c>
      <c r="BQ1307" t="s">
        <v>74</v>
      </c>
      <c r="BR1307" t="s">
        <v>102</v>
      </c>
      <c r="BS1307" t="s">
        <v>22055</v>
      </c>
      <c r="BT1307" t="str">
        <f>HYPERLINK("https%3A%2F%2Fwww.webofscience.com%2Fwos%2Fwoscc%2Ffull-record%2FWOS:000915184500001","View Full Record in Web of Science")</f>
        <v>View Full Record in Web of Science</v>
      </c>
    </row>
    <row r="1308" spans="1:72" x14ac:dyDescent="0.35">
      <c r="A1308" t="s">
        <v>128</v>
      </c>
      <c r="B1308" t="s">
        <v>22056</v>
      </c>
      <c r="C1308" t="s">
        <v>74</v>
      </c>
      <c r="D1308" t="s">
        <v>22057</v>
      </c>
      <c r="E1308" t="s">
        <v>74</v>
      </c>
      <c r="F1308" t="s">
        <v>22058</v>
      </c>
      <c r="G1308" t="s">
        <v>74</v>
      </c>
      <c r="H1308" t="s">
        <v>74</v>
      </c>
      <c r="I1308" t="s">
        <v>22059</v>
      </c>
      <c r="J1308" t="s">
        <v>22060</v>
      </c>
      <c r="K1308" t="s">
        <v>22061</v>
      </c>
      <c r="L1308" t="s">
        <v>74</v>
      </c>
      <c r="M1308" t="s">
        <v>78</v>
      </c>
      <c r="N1308" t="s">
        <v>135</v>
      </c>
      <c r="O1308" t="s">
        <v>22062</v>
      </c>
      <c r="P1308" t="s">
        <v>22063</v>
      </c>
      <c r="Q1308" t="s">
        <v>22064</v>
      </c>
      <c r="R1308" t="s">
        <v>22065</v>
      </c>
      <c r="S1308" t="s">
        <v>22066</v>
      </c>
      <c r="T1308" t="s">
        <v>22067</v>
      </c>
      <c r="U1308" t="s">
        <v>74</v>
      </c>
      <c r="V1308" t="s">
        <v>22068</v>
      </c>
      <c r="W1308" t="s">
        <v>22069</v>
      </c>
      <c r="X1308" t="s">
        <v>22070</v>
      </c>
      <c r="Y1308" t="s">
        <v>22071</v>
      </c>
      <c r="Z1308" t="s">
        <v>22072</v>
      </c>
      <c r="AA1308" t="s">
        <v>74</v>
      </c>
      <c r="AB1308" t="s">
        <v>74</v>
      </c>
      <c r="AC1308" t="s">
        <v>22073</v>
      </c>
      <c r="AD1308" t="s">
        <v>22074</v>
      </c>
      <c r="AE1308" t="s">
        <v>22075</v>
      </c>
      <c r="AF1308" t="s">
        <v>74</v>
      </c>
      <c r="AG1308">
        <v>17</v>
      </c>
      <c r="AH1308">
        <v>0</v>
      </c>
      <c r="AI1308">
        <v>0</v>
      </c>
      <c r="AJ1308">
        <v>0</v>
      </c>
      <c r="AK1308">
        <v>0</v>
      </c>
      <c r="AL1308" t="s">
        <v>639</v>
      </c>
      <c r="AM1308" t="s">
        <v>640</v>
      </c>
      <c r="AN1308" t="s">
        <v>641</v>
      </c>
      <c r="AO1308" t="s">
        <v>22076</v>
      </c>
      <c r="AP1308" t="s">
        <v>22077</v>
      </c>
      <c r="AQ1308" t="s">
        <v>22078</v>
      </c>
      <c r="AR1308" t="s">
        <v>22079</v>
      </c>
      <c r="AS1308" t="s">
        <v>74</v>
      </c>
      <c r="AT1308" t="s">
        <v>74</v>
      </c>
      <c r="AU1308">
        <v>2024</v>
      </c>
      <c r="AV1308">
        <v>516</v>
      </c>
      <c r="AW1308" t="s">
        <v>74</v>
      </c>
      <c r="AX1308" t="s">
        <v>74</v>
      </c>
      <c r="AY1308" t="s">
        <v>74</v>
      </c>
      <c r="AZ1308" t="s">
        <v>74</v>
      </c>
      <c r="BA1308" t="s">
        <v>74</v>
      </c>
      <c r="BB1308">
        <v>237</v>
      </c>
      <c r="BC1308">
        <v>249</v>
      </c>
      <c r="BD1308" t="s">
        <v>74</v>
      </c>
      <c r="BE1308" t="s">
        <v>22080</v>
      </c>
      <c r="BF1308" t="str">
        <f>HYPERLINK("http://dx.doi.org/10.1007/978-3-031-60260-3_20","http://dx.doi.org/10.1007/978-3-031-60260-3_20")</f>
        <v>http://dx.doi.org/10.1007/978-3-031-60260-3_20</v>
      </c>
      <c r="BG1308" t="s">
        <v>74</v>
      </c>
      <c r="BH1308" t="s">
        <v>74</v>
      </c>
      <c r="BI1308">
        <v>13</v>
      </c>
      <c r="BJ1308" t="s">
        <v>647</v>
      </c>
      <c r="BK1308" t="s">
        <v>648</v>
      </c>
      <c r="BL1308" t="s">
        <v>649</v>
      </c>
      <c r="BM1308" t="s">
        <v>22081</v>
      </c>
      <c r="BN1308" t="s">
        <v>74</v>
      </c>
      <c r="BO1308" t="s">
        <v>74</v>
      </c>
      <c r="BP1308" t="s">
        <v>74</v>
      </c>
      <c r="BQ1308" t="s">
        <v>74</v>
      </c>
      <c r="BR1308" t="s">
        <v>102</v>
      </c>
      <c r="BS1308" t="s">
        <v>22082</v>
      </c>
      <c r="BT1308" t="str">
        <f>HYPERLINK("https%3A%2F%2Fwww.webofscience.com%2Fwos%2Fwoscc%2Ffull-record%2FWOS:001329868800020","View Full Record in Web of Science")</f>
        <v>View Full Record in Web of Science</v>
      </c>
    </row>
    <row r="1309" spans="1:72" x14ac:dyDescent="0.35">
      <c r="A1309" t="s">
        <v>72</v>
      </c>
      <c r="B1309" t="s">
        <v>22083</v>
      </c>
      <c r="C1309" t="s">
        <v>74</v>
      </c>
      <c r="D1309" t="s">
        <v>74</v>
      </c>
      <c r="E1309" t="s">
        <v>74</v>
      </c>
      <c r="F1309" t="s">
        <v>22084</v>
      </c>
      <c r="G1309" t="s">
        <v>74</v>
      </c>
      <c r="H1309" t="s">
        <v>74</v>
      </c>
      <c r="I1309" t="s">
        <v>22085</v>
      </c>
      <c r="J1309" t="s">
        <v>22086</v>
      </c>
      <c r="K1309" t="s">
        <v>74</v>
      </c>
      <c r="L1309" t="s">
        <v>74</v>
      </c>
      <c r="M1309" t="s">
        <v>7332</v>
      </c>
      <c r="N1309" t="s">
        <v>108</v>
      </c>
      <c r="O1309" t="s">
        <v>74</v>
      </c>
      <c r="P1309" t="s">
        <v>74</v>
      </c>
      <c r="Q1309" t="s">
        <v>74</v>
      </c>
      <c r="R1309" t="s">
        <v>74</v>
      </c>
      <c r="S1309" t="s">
        <v>74</v>
      </c>
      <c r="T1309" t="s">
        <v>22087</v>
      </c>
      <c r="U1309" t="s">
        <v>74</v>
      </c>
      <c r="V1309" t="s">
        <v>22088</v>
      </c>
      <c r="W1309" t="s">
        <v>22089</v>
      </c>
      <c r="X1309" t="s">
        <v>22090</v>
      </c>
      <c r="Y1309" t="s">
        <v>22091</v>
      </c>
      <c r="Z1309" t="s">
        <v>22092</v>
      </c>
      <c r="AA1309" t="s">
        <v>74</v>
      </c>
      <c r="AB1309" t="s">
        <v>74</v>
      </c>
      <c r="AC1309" t="s">
        <v>74</v>
      </c>
      <c r="AD1309" t="s">
        <v>74</v>
      </c>
      <c r="AE1309" t="s">
        <v>74</v>
      </c>
      <c r="AF1309" t="s">
        <v>74</v>
      </c>
      <c r="AG1309">
        <v>18</v>
      </c>
      <c r="AH1309">
        <v>1</v>
      </c>
      <c r="AI1309">
        <v>1</v>
      </c>
      <c r="AJ1309">
        <v>3</v>
      </c>
      <c r="AK1309">
        <v>16</v>
      </c>
      <c r="AL1309" t="s">
        <v>22093</v>
      </c>
      <c r="AM1309" t="s">
        <v>22094</v>
      </c>
      <c r="AN1309" t="s">
        <v>22095</v>
      </c>
      <c r="AO1309" t="s">
        <v>22096</v>
      </c>
      <c r="AP1309" t="s">
        <v>74</v>
      </c>
      <c r="AQ1309" t="s">
        <v>74</v>
      </c>
      <c r="AR1309" t="s">
        <v>22097</v>
      </c>
      <c r="AS1309" t="s">
        <v>22098</v>
      </c>
      <c r="AT1309" t="s">
        <v>74</v>
      </c>
      <c r="AU1309">
        <v>2022</v>
      </c>
      <c r="AV1309">
        <v>15</v>
      </c>
      <c r="AW1309">
        <v>2</v>
      </c>
      <c r="AX1309" t="s">
        <v>74</v>
      </c>
      <c r="AY1309" t="s">
        <v>74</v>
      </c>
      <c r="AZ1309" t="s">
        <v>74</v>
      </c>
      <c r="BA1309" t="s">
        <v>74</v>
      </c>
      <c r="BB1309">
        <v>217</v>
      </c>
      <c r="BC1309">
        <v>226</v>
      </c>
      <c r="BD1309" t="s">
        <v>74</v>
      </c>
      <c r="BE1309" t="s">
        <v>22099</v>
      </c>
      <c r="BF1309" t="str">
        <f>HYPERLINK("http://dx.doi.org/10.14571/brajets.v15.n2.217-226","http://dx.doi.org/10.14571/brajets.v15.n2.217-226")</f>
        <v>http://dx.doi.org/10.14571/brajets.v15.n2.217-226</v>
      </c>
      <c r="BG1309" t="s">
        <v>74</v>
      </c>
      <c r="BH1309" t="s">
        <v>74</v>
      </c>
      <c r="BI1309">
        <v>10</v>
      </c>
      <c r="BJ1309" t="s">
        <v>787</v>
      </c>
      <c r="BK1309" t="s">
        <v>125</v>
      </c>
      <c r="BL1309" t="s">
        <v>787</v>
      </c>
      <c r="BM1309" t="s">
        <v>22100</v>
      </c>
      <c r="BN1309" t="s">
        <v>74</v>
      </c>
      <c r="BO1309" t="s">
        <v>235</v>
      </c>
      <c r="BP1309" t="s">
        <v>74</v>
      </c>
      <c r="BQ1309" t="s">
        <v>74</v>
      </c>
      <c r="BR1309" t="s">
        <v>102</v>
      </c>
      <c r="BS1309" t="s">
        <v>22101</v>
      </c>
      <c r="BT1309" t="str">
        <f>HYPERLINK("https%3A%2F%2Fwww.webofscience.com%2Fwos%2Fwoscc%2Ffull-record%2FWOS:000982335700005","View Full Record in Web of Science")</f>
        <v>View Full Record in Web of Science</v>
      </c>
    </row>
    <row r="1310" spans="1:72" x14ac:dyDescent="0.35">
      <c r="A1310" t="s">
        <v>72</v>
      </c>
      <c r="B1310" t="s">
        <v>22102</v>
      </c>
      <c r="C1310" t="s">
        <v>74</v>
      </c>
      <c r="D1310" t="s">
        <v>74</v>
      </c>
      <c r="E1310" t="s">
        <v>74</v>
      </c>
      <c r="F1310" t="s">
        <v>22103</v>
      </c>
      <c r="G1310" t="s">
        <v>74</v>
      </c>
      <c r="H1310" t="s">
        <v>74</v>
      </c>
      <c r="I1310" t="s">
        <v>22104</v>
      </c>
      <c r="J1310" t="s">
        <v>22105</v>
      </c>
      <c r="K1310" t="s">
        <v>74</v>
      </c>
      <c r="L1310" t="s">
        <v>74</v>
      </c>
      <c r="M1310" t="s">
        <v>78</v>
      </c>
      <c r="N1310" t="s">
        <v>108</v>
      </c>
      <c r="O1310" t="s">
        <v>74</v>
      </c>
      <c r="P1310" t="s">
        <v>74</v>
      </c>
      <c r="Q1310" t="s">
        <v>74</v>
      </c>
      <c r="R1310" t="s">
        <v>74</v>
      </c>
      <c r="S1310" t="s">
        <v>74</v>
      </c>
      <c r="T1310" t="s">
        <v>22106</v>
      </c>
      <c r="U1310" t="s">
        <v>22107</v>
      </c>
      <c r="V1310" t="s">
        <v>22108</v>
      </c>
      <c r="W1310" t="s">
        <v>22109</v>
      </c>
      <c r="X1310" t="s">
        <v>22110</v>
      </c>
      <c r="Y1310" t="s">
        <v>22111</v>
      </c>
      <c r="Z1310" t="s">
        <v>22112</v>
      </c>
      <c r="AA1310" t="s">
        <v>22113</v>
      </c>
      <c r="AB1310" t="s">
        <v>22114</v>
      </c>
      <c r="AC1310" t="s">
        <v>22115</v>
      </c>
      <c r="AD1310" t="s">
        <v>22115</v>
      </c>
      <c r="AE1310" t="s">
        <v>22116</v>
      </c>
      <c r="AF1310" t="s">
        <v>74</v>
      </c>
      <c r="AG1310">
        <v>71</v>
      </c>
      <c r="AH1310">
        <v>2</v>
      </c>
      <c r="AI1310">
        <v>2</v>
      </c>
      <c r="AJ1310">
        <v>19</v>
      </c>
      <c r="AK1310">
        <v>38</v>
      </c>
      <c r="AL1310" t="s">
        <v>199</v>
      </c>
      <c r="AM1310" t="s">
        <v>200</v>
      </c>
      <c r="AN1310" t="s">
        <v>471</v>
      </c>
      <c r="AO1310" t="s">
        <v>22117</v>
      </c>
      <c r="AP1310" t="s">
        <v>22118</v>
      </c>
      <c r="AQ1310" t="s">
        <v>74</v>
      </c>
      <c r="AR1310" t="s">
        <v>22119</v>
      </c>
      <c r="AS1310" t="s">
        <v>22120</v>
      </c>
      <c r="AT1310" t="s">
        <v>22121</v>
      </c>
      <c r="AU1310">
        <v>2024</v>
      </c>
      <c r="AV1310">
        <v>18</v>
      </c>
      <c r="AW1310">
        <v>6</v>
      </c>
      <c r="AX1310" t="s">
        <v>74</v>
      </c>
      <c r="AY1310" t="s">
        <v>74</v>
      </c>
      <c r="AZ1310" t="s">
        <v>74</v>
      </c>
      <c r="BA1310" t="s">
        <v>74</v>
      </c>
      <c r="BB1310">
        <v>1155</v>
      </c>
      <c r="BC1310">
        <v>1177</v>
      </c>
      <c r="BD1310" t="s">
        <v>74</v>
      </c>
      <c r="BE1310" t="s">
        <v>22122</v>
      </c>
      <c r="BF1310" t="str">
        <f>HYPERLINK("http://dx.doi.org/10.1108/JRIM-08-2023-0265","http://dx.doi.org/10.1108/JRIM-08-2023-0265")</f>
        <v>http://dx.doi.org/10.1108/JRIM-08-2023-0265</v>
      </c>
      <c r="BG1310" t="s">
        <v>74</v>
      </c>
      <c r="BH1310" t="s">
        <v>786</v>
      </c>
      <c r="BI1310">
        <v>23</v>
      </c>
      <c r="BJ1310" t="s">
        <v>1597</v>
      </c>
      <c r="BK1310" t="s">
        <v>99</v>
      </c>
      <c r="BL1310" t="s">
        <v>480</v>
      </c>
      <c r="BM1310" t="s">
        <v>22123</v>
      </c>
      <c r="BN1310" t="s">
        <v>74</v>
      </c>
      <c r="BO1310" t="s">
        <v>74</v>
      </c>
      <c r="BP1310" t="s">
        <v>74</v>
      </c>
      <c r="BQ1310" t="s">
        <v>74</v>
      </c>
      <c r="BR1310" t="s">
        <v>102</v>
      </c>
      <c r="BS1310" t="s">
        <v>22124</v>
      </c>
      <c r="BT1310" t="str">
        <f>HYPERLINK("https%3A%2F%2Fwww.webofscience.com%2Fwos%2Fwoscc%2Ffull-record%2FWOS:001156636600001","View Full Record in Web of Science")</f>
        <v>View Full Record in Web of Science</v>
      </c>
    </row>
    <row r="1311" spans="1:72" x14ac:dyDescent="0.35">
      <c r="A1311" t="s">
        <v>128</v>
      </c>
      <c r="B1311" t="s">
        <v>22125</v>
      </c>
      <c r="C1311" t="s">
        <v>74</v>
      </c>
      <c r="D1311" t="s">
        <v>74</v>
      </c>
      <c r="E1311" t="s">
        <v>1677</v>
      </c>
      <c r="F1311" t="s">
        <v>22126</v>
      </c>
      <c r="G1311" t="s">
        <v>74</v>
      </c>
      <c r="H1311" t="s">
        <v>74</v>
      </c>
      <c r="I1311" t="s">
        <v>22127</v>
      </c>
      <c r="J1311" t="s">
        <v>22128</v>
      </c>
      <c r="K1311" t="s">
        <v>74</v>
      </c>
      <c r="L1311" t="s">
        <v>74</v>
      </c>
      <c r="M1311" t="s">
        <v>78</v>
      </c>
      <c r="N1311" t="s">
        <v>135</v>
      </c>
      <c r="O1311" t="s">
        <v>22129</v>
      </c>
      <c r="P1311" t="s">
        <v>10406</v>
      </c>
      <c r="Q1311" t="s">
        <v>22130</v>
      </c>
      <c r="R1311" t="s">
        <v>1677</v>
      </c>
      <c r="S1311" t="s">
        <v>74</v>
      </c>
      <c r="T1311" t="s">
        <v>22131</v>
      </c>
      <c r="U1311" t="s">
        <v>74</v>
      </c>
      <c r="V1311" t="s">
        <v>22132</v>
      </c>
      <c r="W1311" t="s">
        <v>22133</v>
      </c>
      <c r="X1311" t="s">
        <v>74</v>
      </c>
      <c r="Y1311" t="s">
        <v>22134</v>
      </c>
      <c r="Z1311" t="s">
        <v>22135</v>
      </c>
      <c r="AA1311" t="s">
        <v>74</v>
      </c>
      <c r="AB1311" t="s">
        <v>74</v>
      </c>
      <c r="AC1311" t="s">
        <v>74</v>
      </c>
      <c r="AD1311" t="s">
        <v>74</v>
      </c>
      <c r="AE1311" t="s">
        <v>74</v>
      </c>
      <c r="AF1311" t="s">
        <v>74</v>
      </c>
      <c r="AG1311">
        <v>9</v>
      </c>
      <c r="AH1311">
        <v>0</v>
      </c>
      <c r="AI1311">
        <v>0</v>
      </c>
      <c r="AJ1311">
        <v>1</v>
      </c>
      <c r="AK1311">
        <v>1</v>
      </c>
      <c r="AL1311" t="s">
        <v>1677</v>
      </c>
      <c r="AM1311" t="s">
        <v>666</v>
      </c>
      <c r="AN1311" t="s">
        <v>1692</v>
      </c>
      <c r="AO1311" t="s">
        <v>74</v>
      </c>
      <c r="AP1311" t="s">
        <v>74</v>
      </c>
      <c r="AQ1311" t="s">
        <v>22136</v>
      </c>
      <c r="AR1311" t="s">
        <v>74</v>
      </c>
      <c r="AS1311" t="s">
        <v>74</v>
      </c>
      <c r="AT1311" t="s">
        <v>74</v>
      </c>
      <c r="AU1311">
        <v>2024</v>
      </c>
      <c r="AV1311" t="s">
        <v>74</v>
      </c>
      <c r="AW1311" t="s">
        <v>74</v>
      </c>
      <c r="AX1311" t="s">
        <v>74</v>
      </c>
      <c r="AY1311" t="s">
        <v>74</v>
      </c>
      <c r="AZ1311" t="s">
        <v>74</v>
      </c>
      <c r="BA1311" t="s">
        <v>74</v>
      </c>
      <c r="BB1311">
        <v>756</v>
      </c>
      <c r="BC1311">
        <v>760</v>
      </c>
      <c r="BD1311" t="s">
        <v>74</v>
      </c>
      <c r="BE1311" t="s">
        <v>22137</v>
      </c>
      <c r="BF1311" t="str">
        <f>HYPERLINK("http://dx.doi.org/10.1109/ICETIS61828.2024.10593792","http://dx.doi.org/10.1109/ICETIS61828.2024.10593792")</f>
        <v>http://dx.doi.org/10.1109/ICETIS61828.2024.10593792</v>
      </c>
      <c r="BG1311" t="s">
        <v>74</v>
      </c>
      <c r="BH1311" t="s">
        <v>74</v>
      </c>
      <c r="BI1311">
        <v>5</v>
      </c>
      <c r="BJ1311" t="s">
        <v>22138</v>
      </c>
      <c r="BK1311" t="s">
        <v>723</v>
      </c>
      <c r="BL1311" t="s">
        <v>1113</v>
      </c>
      <c r="BM1311" t="s">
        <v>22139</v>
      </c>
      <c r="BN1311" t="s">
        <v>74</v>
      </c>
      <c r="BO1311" t="s">
        <v>74</v>
      </c>
      <c r="BP1311" t="s">
        <v>74</v>
      </c>
      <c r="BQ1311" t="s">
        <v>74</v>
      </c>
      <c r="BR1311" t="s">
        <v>102</v>
      </c>
      <c r="BS1311" t="s">
        <v>22140</v>
      </c>
      <c r="BT1311" t="str">
        <f>HYPERLINK("https%3A%2F%2Fwww.webofscience.com%2Fwos%2Fwoscc%2Ffull-record%2FWOS:001298131100140","View Full Record in Web of Science")</f>
        <v>View Full Record in Web of Science</v>
      </c>
    </row>
    <row r="1312" spans="1:72" x14ac:dyDescent="0.35">
      <c r="A1312" t="s">
        <v>72</v>
      </c>
      <c r="B1312" t="s">
        <v>22141</v>
      </c>
      <c r="C1312" t="s">
        <v>74</v>
      </c>
      <c r="D1312" t="s">
        <v>74</v>
      </c>
      <c r="E1312" t="s">
        <v>74</v>
      </c>
      <c r="F1312" t="s">
        <v>22142</v>
      </c>
      <c r="G1312" t="s">
        <v>74</v>
      </c>
      <c r="H1312" t="s">
        <v>74</v>
      </c>
      <c r="I1312" t="s">
        <v>22143</v>
      </c>
      <c r="J1312" t="s">
        <v>22144</v>
      </c>
      <c r="K1312" t="s">
        <v>74</v>
      </c>
      <c r="L1312" t="s">
        <v>74</v>
      </c>
      <c r="M1312" t="s">
        <v>78</v>
      </c>
      <c r="N1312" t="s">
        <v>79</v>
      </c>
      <c r="O1312" t="s">
        <v>74</v>
      </c>
      <c r="P1312" t="s">
        <v>74</v>
      </c>
      <c r="Q1312" t="s">
        <v>74</v>
      </c>
      <c r="R1312" t="s">
        <v>74</v>
      </c>
      <c r="S1312" t="s">
        <v>74</v>
      </c>
      <c r="T1312" t="s">
        <v>22145</v>
      </c>
      <c r="U1312" t="s">
        <v>22146</v>
      </c>
      <c r="V1312" t="s">
        <v>22147</v>
      </c>
      <c r="W1312" t="s">
        <v>22148</v>
      </c>
      <c r="X1312" t="s">
        <v>9518</v>
      </c>
      <c r="Y1312" t="s">
        <v>22149</v>
      </c>
      <c r="Z1312" t="s">
        <v>22150</v>
      </c>
      <c r="AA1312" t="s">
        <v>22151</v>
      </c>
      <c r="AB1312" t="s">
        <v>22152</v>
      </c>
      <c r="AC1312" t="s">
        <v>74</v>
      </c>
      <c r="AD1312" t="s">
        <v>74</v>
      </c>
      <c r="AE1312" t="s">
        <v>74</v>
      </c>
      <c r="AF1312" t="s">
        <v>74</v>
      </c>
      <c r="AG1312">
        <v>41</v>
      </c>
      <c r="AH1312">
        <v>1</v>
      </c>
      <c r="AI1312">
        <v>1</v>
      </c>
      <c r="AJ1312">
        <v>1</v>
      </c>
      <c r="AK1312">
        <v>1</v>
      </c>
      <c r="AL1312" t="s">
        <v>171</v>
      </c>
      <c r="AM1312" t="s">
        <v>172</v>
      </c>
      <c r="AN1312" t="s">
        <v>173</v>
      </c>
      <c r="AO1312" t="s">
        <v>22153</v>
      </c>
      <c r="AP1312" t="s">
        <v>22154</v>
      </c>
      <c r="AQ1312" t="s">
        <v>74</v>
      </c>
      <c r="AR1312" t="s">
        <v>22155</v>
      </c>
      <c r="AS1312" t="s">
        <v>22156</v>
      </c>
      <c r="AT1312" t="s">
        <v>22157</v>
      </c>
      <c r="AU1312">
        <v>2024</v>
      </c>
      <c r="AV1312" t="s">
        <v>74</v>
      </c>
      <c r="AW1312" t="s">
        <v>74</v>
      </c>
      <c r="AX1312" t="s">
        <v>74</v>
      </c>
      <c r="AY1312" t="s">
        <v>74</v>
      </c>
      <c r="AZ1312" t="s">
        <v>74</v>
      </c>
      <c r="BA1312" t="s">
        <v>74</v>
      </c>
      <c r="BB1312" t="s">
        <v>74</v>
      </c>
      <c r="BC1312" t="s">
        <v>74</v>
      </c>
      <c r="BD1312" t="s">
        <v>74</v>
      </c>
      <c r="BE1312" t="s">
        <v>22158</v>
      </c>
      <c r="BF1312" t="str">
        <f>HYPERLINK("http://dx.doi.org/10.1177/13691481241259384","http://dx.doi.org/10.1177/13691481241259384")</f>
        <v>http://dx.doi.org/10.1177/13691481241259384</v>
      </c>
      <c r="BG1312" t="s">
        <v>74</v>
      </c>
      <c r="BH1312" t="s">
        <v>500</v>
      </c>
      <c r="BI1312">
        <v>9</v>
      </c>
      <c r="BJ1312" t="s">
        <v>1004</v>
      </c>
      <c r="BK1312" t="s">
        <v>99</v>
      </c>
      <c r="BL1312" t="s">
        <v>1005</v>
      </c>
      <c r="BM1312" t="s">
        <v>22159</v>
      </c>
      <c r="BN1312" t="s">
        <v>74</v>
      </c>
      <c r="BO1312" t="s">
        <v>156</v>
      </c>
      <c r="BP1312" t="s">
        <v>74</v>
      </c>
      <c r="BQ1312" t="s">
        <v>74</v>
      </c>
      <c r="BR1312" t="s">
        <v>102</v>
      </c>
      <c r="BS1312" t="s">
        <v>22160</v>
      </c>
      <c r="BT1312" t="str">
        <f>HYPERLINK("https%3A%2F%2Fwww.webofscience.com%2Fwos%2Fwoscc%2Ffull-record%2FWOS:001246384900001","View Full Record in Web of Science")</f>
        <v>View Full Record in Web of Science</v>
      </c>
    </row>
    <row r="1313" spans="1:72" x14ac:dyDescent="0.35">
      <c r="A1313" t="s">
        <v>72</v>
      </c>
      <c r="B1313" t="s">
        <v>22161</v>
      </c>
      <c r="C1313" t="s">
        <v>74</v>
      </c>
      <c r="D1313" t="s">
        <v>74</v>
      </c>
      <c r="E1313" t="s">
        <v>74</v>
      </c>
      <c r="F1313" t="s">
        <v>22162</v>
      </c>
      <c r="G1313" t="s">
        <v>74</v>
      </c>
      <c r="H1313" t="s">
        <v>74</v>
      </c>
      <c r="I1313" t="s">
        <v>22163</v>
      </c>
      <c r="J1313" t="s">
        <v>401</v>
      </c>
      <c r="K1313" t="s">
        <v>74</v>
      </c>
      <c r="L1313" t="s">
        <v>74</v>
      </c>
      <c r="M1313" t="s">
        <v>78</v>
      </c>
      <c r="N1313" t="s">
        <v>108</v>
      </c>
      <c r="O1313" t="s">
        <v>74</v>
      </c>
      <c r="P1313" t="s">
        <v>74</v>
      </c>
      <c r="Q1313" t="s">
        <v>74</v>
      </c>
      <c r="R1313" t="s">
        <v>74</v>
      </c>
      <c r="S1313" t="s">
        <v>74</v>
      </c>
      <c r="T1313" t="s">
        <v>22164</v>
      </c>
      <c r="U1313" t="s">
        <v>22165</v>
      </c>
      <c r="V1313" t="s">
        <v>22166</v>
      </c>
      <c r="W1313" t="s">
        <v>22167</v>
      </c>
      <c r="X1313" t="s">
        <v>12416</v>
      </c>
      <c r="Y1313" t="s">
        <v>22168</v>
      </c>
      <c r="Z1313" t="s">
        <v>22169</v>
      </c>
      <c r="AA1313" t="s">
        <v>22170</v>
      </c>
      <c r="AB1313" t="s">
        <v>74</v>
      </c>
      <c r="AC1313" t="s">
        <v>22171</v>
      </c>
      <c r="AD1313" t="s">
        <v>22171</v>
      </c>
      <c r="AE1313" t="s">
        <v>22172</v>
      </c>
      <c r="AF1313" t="s">
        <v>74</v>
      </c>
      <c r="AG1313">
        <v>61</v>
      </c>
      <c r="AH1313">
        <v>2</v>
      </c>
      <c r="AI1313">
        <v>4</v>
      </c>
      <c r="AJ1313">
        <v>7</v>
      </c>
      <c r="AK1313">
        <v>33</v>
      </c>
      <c r="AL1313" t="s">
        <v>409</v>
      </c>
      <c r="AM1313" t="s">
        <v>410</v>
      </c>
      <c r="AN1313" t="s">
        <v>411</v>
      </c>
      <c r="AO1313" t="s">
        <v>412</v>
      </c>
      <c r="AP1313" t="s">
        <v>74</v>
      </c>
      <c r="AQ1313" t="s">
        <v>74</v>
      </c>
      <c r="AR1313" t="s">
        <v>413</v>
      </c>
      <c r="AS1313" t="s">
        <v>414</v>
      </c>
      <c r="AT1313" t="s">
        <v>74</v>
      </c>
      <c r="AU1313">
        <v>2023</v>
      </c>
      <c r="AV1313">
        <v>17</v>
      </c>
      <c r="AW1313" t="s">
        <v>74</v>
      </c>
      <c r="AX1313" t="s">
        <v>74</v>
      </c>
      <c r="AY1313" t="s">
        <v>74</v>
      </c>
      <c r="AZ1313" t="s">
        <v>74</v>
      </c>
      <c r="BA1313" t="s">
        <v>74</v>
      </c>
      <c r="BB1313">
        <v>1613</v>
      </c>
      <c r="BC1313">
        <v>1633</v>
      </c>
      <c r="BD1313" t="s">
        <v>74</v>
      </c>
      <c r="BE1313" t="s">
        <v>74</v>
      </c>
      <c r="BF1313" t="s">
        <v>74</v>
      </c>
      <c r="BG1313" t="s">
        <v>74</v>
      </c>
      <c r="BH1313" t="s">
        <v>74</v>
      </c>
      <c r="BI1313">
        <v>21</v>
      </c>
      <c r="BJ1313" t="s">
        <v>124</v>
      </c>
      <c r="BK1313" t="s">
        <v>99</v>
      </c>
      <c r="BL1313" t="s">
        <v>124</v>
      </c>
      <c r="BM1313" t="s">
        <v>8274</v>
      </c>
      <c r="BN1313" t="s">
        <v>74</v>
      </c>
      <c r="BO1313" t="s">
        <v>74</v>
      </c>
      <c r="BP1313" t="s">
        <v>74</v>
      </c>
      <c r="BQ1313" t="s">
        <v>74</v>
      </c>
      <c r="BR1313" t="s">
        <v>102</v>
      </c>
      <c r="BS1313" t="s">
        <v>22173</v>
      </c>
      <c r="BT1313" t="str">
        <f>HYPERLINK("https%3A%2F%2Fwww.webofscience.com%2Fwos%2Fwoscc%2Ffull-record%2FWOS:000989946400088","View Full Record in Web of Science")</f>
        <v>View Full Record in Web of Science</v>
      </c>
    </row>
    <row r="1314" spans="1:72" x14ac:dyDescent="0.35">
      <c r="A1314" t="s">
        <v>72</v>
      </c>
      <c r="B1314" t="s">
        <v>22174</v>
      </c>
      <c r="C1314" t="s">
        <v>74</v>
      </c>
      <c r="D1314" t="s">
        <v>74</v>
      </c>
      <c r="E1314" t="s">
        <v>74</v>
      </c>
      <c r="F1314" t="s">
        <v>22175</v>
      </c>
      <c r="G1314" t="s">
        <v>74</v>
      </c>
      <c r="H1314" t="s">
        <v>74</v>
      </c>
      <c r="I1314" t="s">
        <v>22176</v>
      </c>
      <c r="J1314" t="s">
        <v>22177</v>
      </c>
      <c r="K1314" t="s">
        <v>74</v>
      </c>
      <c r="L1314" t="s">
        <v>74</v>
      </c>
      <c r="M1314" t="s">
        <v>78</v>
      </c>
      <c r="N1314" t="s">
        <v>108</v>
      </c>
      <c r="O1314" t="s">
        <v>74</v>
      </c>
      <c r="P1314" t="s">
        <v>74</v>
      </c>
      <c r="Q1314" t="s">
        <v>74</v>
      </c>
      <c r="R1314" t="s">
        <v>74</v>
      </c>
      <c r="S1314" t="s">
        <v>74</v>
      </c>
      <c r="T1314" t="s">
        <v>22178</v>
      </c>
      <c r="U1314" t="s">
        <v>22179</v>
      </c>
      <c r="V1314" t="s">
        <v>22180</v>
      </c>
      <c r="W1314" t="s">
        <v>22181</v>
      </c>
      <c r="X1314" t="s">
        <v>22182</v>
      </c>
      <c r="Y1314" t="s">
        <v>22183</v>
      </c>
      <c r="Z1314" t="s">
        <v>22184</v>
      </c>
      <c r="AA1314" t="s">
        <v>22185</v>
      </c>
      <c r="AB1314" t="s">
        <v>74</v>
      </c>
      <c r="AC1314" t="s">
        <v>74</v>
      </c>
      <c r="AD1314" t="s">
        <v>74</v>
      </c>
      <c r="AE1314" t="s">
        <v>74</v>
      </c>
      <c r="AF1314" t="s">
        <v>74</v>
      </c>
      <c r="AG1314">
        <v>65</v>
      </c>
      <c r="AH1314">
        <v>9</v>
      </c>
      <c r="AI1314">
        <v>9</v>
      </c>
      <c r="AJ1314">
        <v>2</v>
      </c>
      <c r="AK1314">
        <v>29</v>
      </c>
      <c r="AL1314" t="s">
        <v>12528</v>
      </c>
      <c r="AM1314" t="s">
        <v>995</v>
      </c>
      <c r="AN1314" t="s">
        <v>12529</v>
      </c>
      <c r="AO1314" t="s">
        <v>22186</v>
      </c>
      <c r="AP1314" t="s">
        <v>22187</v>
      </c>
      <c r="AQ1314" t="s">
        <v>74</v>
      </c>
      <c r="AR1314" t="s">
        <v>22188</v>
      </c>
      <c r="AS1314" t="s">
        <v>22189</v>
      </c>
      <c r="AT1314" t="s">
        <v>594</v>
      </c>
      <c r="AU1314">
        <v>2022</v>
      </c>
      <c r="AV1314">
        <v>40</v>
      </c>
      <c r="AW1314" t="s">
        <v>74</v>
      </c>
      <c r="AX1314" t="s">
        <v>74</v>
      </c>
      <c r="AY1314" t="s">
        <v>74</v>
      </c>
      <c r="AZ1314" t="s">
        <v>74</v>
      </c>
      <c r="BA1314" t="s">
        <v>74</v>
      </c>
      <c r="BB1314">
        <v>97</v>
      </c>
      <c r="BC1314">
        <v>105</v>
      </c>
      <c r="BD1314" t="s">
        <v>74</v>
      </c>
      <c r="BE1314" t="s">
        <v>22190</v>
      </c>
      <c r="BF1314" t="str">
        <f>HYPERLINK("http://dx.doi.org/10.1016/j.apnu.2022.06.003","http://dx.doi.org/10.1016/j.apnu.2022.06.003")</f>
        <v>http://dx.doi.org/10.1016/j.apnu.2022.06.003</v>
      </c>
      <c r="BG1314" t="s">
        <v>74</v>
      </c>
      <c r="BH1314" t="s">
        <v>1428</v>
      </c>
      <c r="BI1314">
        <v>9</v>
      </c>
      <c r="BJ1314" t="s">
        <v>22191</v>
      </c>
      <c r="BK1314" t="s">
        <v>182</v>
      </c>
      <c r="BL1314" t="s">
        <v>22191</v>
      </c>
      <c r="BM1314" t="s">
        <v>22192</v>
      </c>
      <c r="BN1314">
        <v>36064253</v>
      </c>
      <c r="BO1314" t="s">
        <v>767</v>
      </c>
      <c r="BP1314" t="s">
        <v>74</v>
      </c>
      <c r="BQ1314" t="s">
        <v>74</v>
      </c>
      <c r="BR1314" t="s">
        <v>102</v>
      </c>
      <c r="BS1314" t="s">
        <v>22193</v>
      </c>
      <c r="BT1314" t="str">
        <f>HYPERLINK("https%3A%2F%2Fwww.webofscience.com%2Fwos%2Fwoscc%2Ffull-record%2FWOS:000813009400001","View Full Record in Web of Science")</f>
        <v>View Full Record in Web of Science</v>
      </c>
    </row>
    <row r="1315" spans="1:72" x14ac:dyDescent="0.35">
      <c r="A1315" t="s">
        <v>72</v>
      </c>
      <c r="B1315" t="s">
        <v>20551</v>
      </c>
      <c r="C1315" t="s">
        <v>74</v>
      </c>
      <c r="D1315" t="s">
        <v>74</v>
      </c>
      <c r="E1315" t="s">
        <v>74</v>
      </c>
      <c r="F1315" t="s">
        <v>20552</v>
      </c>
      <c r="G1315" t="s">
        <v>74</v>
      </c>
      <c r="H1315" t="s">
        <v>74</v>
      </c>
      <c r="I1315" t="s">
        <v>22194</v>
      </c>
      <c r="J1315" t="s">
        <v>22195</v>
      </c>
      <c r="K1315" t="s">
        <v>74</v>
      </c>
      <c r="L1315" t="s">
        <v>74</v>
      </c>
      <c r="M1315" t="s">
        <v>78</v>
      </c>
      <c r="N1315" t="s">
        <v>108</v>
      </c>
      <c r="O1315" t="s">
        <v>74</v>
      </c>
      <c r="P1315" t="s">
        <v>74</v>
      </c>
      <c r="Q1315" t="s">
        <v>74</v>
      </c>
      <c r="R1315" t="s">
        <v>74</v>
      </c>
      <c r="S1315" t="s">
        <v>74</v>
      </c>
      <c r="T1315" t="s">
        <v>22196</v>
      </c>
      <c r="U1315" t="s">
        <v>22197</v>
      </c>
      <c r="V1315" t="s">
        <v>22198</v>
      </c>
      <c r="W1315" t="s">
        <v>22199</v>
      </c>
      <c r="X1315" t="s">
        <v>16394</v>
      </c>
      <c r="Y1315" t="s">
        <v>14184</v>
      </c>
      <c r="Z1315" t="s">
        <v>13062</v>
      </c>
      <c r="AA1315" t="s">
        <v>74</v>
      </c>
      <c r="AB1315" t="s">
        <v>74</v>
      </c>
      <c r="AC1315" t="s">
        <v>74</v>
      </c>
      <c r="AD1315" t="s">
        <v>74</v>
      </c>
      <c r="AE1315" t="s">
        <v>74</v>
      </c>
      <c r="AF1315" t="s">
        <v>74</v>
      </c>
      <c r="AG1315">
        <v>46</v>
      </c>
      <c r="AH1315">
        <v>9</v>
      </c>
      <c r="AI1315">
        <v>9</v>
      </c>
      <c r="AJ1315">
        <v>2</v>
      </c>
      <c r="AK1315">
        <v>19</v>
      </c>
      <c r="AL1315" t="s">
        <v>22200</v>
      </c>
      <c r="AM1315" t="s">
        <v>12437</v>
      </c>
      <c r="AN1315" t="s">
        <v>22201</v>
      </c>
      <c r="AO1315" t="s">
        <v>22202</v>
      </c>
      <c r="AP1315" t="s">
        <v>74</v>
      </c>
      <c r="AQ1315" t="s">
        <v>74</v>
      </c>
      <c r="AR1315" t="s">
        <v>22203</v>
      </c>
      <c r="AS1315" t="s">
        <v>22204</v>
      </c>
      <c r="AT1315" t="s">
        <v>178</v>
      </c>
      <c r="AU1315">
        <v>2022</v>
      </c>
      <c r="AV1315">
        <v>27</v>
      </c>
      <c r="AW1315">
        <v>1</v>
      </c>
      <c r="AX1315" t="s">
        <v>74</v>
      </c>
      <c r="AY1315" t="s">
        <v>74</v>
      </c>
      <c r="AZ1315" t="s">
        <v>74</v>
      </c>
      <c r="BA1315" t="s">
        <v>74</v>
      </c>
      <c r="BB1315">
        <v>31</v>
      </c>
      <c r="BC1315">
        <v>37</v>
      </c>
      <c r="BD1315" t="s">
        <v>74</v>
      </c>
      <c r="BE1315" t="s">
        <v>22205</v>
      </c>
      <c r="BF1315" t="str">
        <f>HYPERLINK("http://dx.doi.org/10.1016/j.idh.2021.09.039","http://dx.doi.org/10.1016/j.idh.2021.09.039")</f>
        <v>http://dx.doi.org/10.1016/j.idh.2021.09.039</v>
      </c>
      <c r="BG1315" t="s">
        <v>74</v>
      </c>
      <c r="BH1315" t="s">
        <v>2076</v>
      </c>
      <c r="BI1315">
        <v>7</v>
      </c>
      <c r="BJ1315" t="s">
        <v>392</v>
      </c>
      <c r="BK1315" t="s">
        <v>125</v>
      </c>
      <c r="BL1315" t="s">
        <v>392</v>
      </c>
      <c r="BM1315" t="s">
        <v>22206</v>
      </c>
      <c r="BN1315">
        <v>34690108</v>
      </c>
      <c r="BO1315" t="s">
        <v>1343</v>
      </c>
      <c r="BP1315" t="s">
        <v>74</v>
      </c>
      <c r="BQ1315" t="s">
        <v>74</v>
      </c>
      <c r="BR1315" t="s">
        <v>102</v>
      </c>
      <c r="BS1315" t="s">
        <v>22207</v>
      </c>
      <c r="BT1315" t="str">
        <f>HYPERLINK("https%3A%2F%2Fwww.webofscience.com%2Fwos%2Fwoscc%2Ffull-record%2FWOS:000744124900006","View Full Record in Web of Science")</f>
        <v>View Full Record in Web of Science</v>
      </c>
    </row>
    <row r="1316" spans="1:72" x14ac:dyDescent="0.35">
      <c r="A1316" t="s">
        <v>72</v>
      </c>
      <c r="B1316" t="s">
        <v>22208</v>
      </c>
      <c r="C1316" t="s">
        <v>74</v>
      </c>
      <c r="D1316" t="s">
        <v>74</v>
      </c>
      <c r="E1316" t="s">
        <v>74</v>
      </c>
      <c r="F1316" t="s">
        <v>22209</v>
      </c>
      <c r="G1316" t="s">
        <v>74</v>
      </c>
      <c r="H1316" t="s">
        <v>74</v>
      </c>
      <c r="I1316" t="s">
        <v>22210</v>
      </c>
      <c r="J1316" t="s">
        <v>22211</v>
      </c>
      <c r="K1316" t="s">
        <v>74</v>
      </c>
      <c r="L1316" t="s">
        <v>74</v>
      </c>
      <c r="M1316" t="s">
        <v>78</v>
      </c>
      <c r="N1316" t="s">
        <v>108</v>
      </c>
      <c r="O1316" t="s">
        <v>74</v>
      </c>
      <c r="P1316" t="s">
        <v>74</v>
      </c>
      <c r="Q1316" t="s">
        <v>74</v>
      </c>
      <c r="R1316" t="s">
        <v>74</v>
      </c>
      <c r="S1316" t="s">
        <v>74</v>
      </c>
      <c r="T1316" t="s">
        <v>22212</v>
      </c>
      <c r="U1316" t="s">
        <v>22213</v>
      </c>
      <c r="V1316" t="s">
        <v>22214</v>
      </c>
      <c r="W1316" t="s">
        <v>22215</v>
      </c>
      <c r="X1316" t="s">
        <v>74</v>
      </c>
      <c r="Y1316" t="s">
        <v>22216</v>
      </c>
      <c r="Z1316" t="s">
        <v>22217</v>
      </c>
      <c r="AA1316" t="s">
        <v>22218</v>
      </c>
      <c r="AB1316" t="s">
        <v>22219</v>
      </c>
      <c r="AC1316" t="s">
        <v>74</v>
      </c>
      <c r="AD1316" t="s">
        <v>74</v>
      </c>
      <c r="AE1316" t="s">
        <v>74</v>
      </c>
      <c r="AF1316" t="s">
        <v>74</v>
      </c>
      <c r="AG1316">
        <v>42</v>
      </c>
      <c r="AH1316">
        <v>0</v>
      </c>
      <c r="AI1316">
        <v>0</v>
      </c>
      <c r="AJ1316">
        <v>0</v>
      </c>
      <c r="AK1316">
        <v>2</v>
      </c>
      <c r="AL1316" t="s">
        <v>870</v>
      </c>
      <c r="AM1316" t="s">
        <v>871</v>
      </c>
      <c r="AN1316" t="s">
        <v>872</v>
      </c>
      <c r="AO1316" t="s">
        <v>22220</v>
      </c>
      <c r="AP1316" t="s">
        <v>22221</v>
      </c>
      <c r="AQ1316" t="s">
        <v>74</v>
      </c>
      <c r="AR1316" t="s">
        <v>22222</v>
      </c>
      <c r="AS1316" t="s">
        <v>22223</v>
      </c>
      <c r="AT1316" t="s">
        <v>22224</v>
      </c>
      <c r="AU1316">
        <v>2024</v>
      </c>
      <c r="AV1316">
        <v>16</v>
      </c>
      <c r="AW1316">
        <v>1</v>
      </c>
      <c r="AX1316" t="s">
        <v>74</v>
      </c>
      <c r="AY1316" t="s">
        <v>74</v>
      </c>
      <c r="AZ1316" t="s">
        <v>74</v>
      </c>
      <c r="BA1316" t="s">
        <v>74</v>
      </c>
      <c r="BB1316">
        <v>117</v>
      </c>
      <c r="BC1316">
        <v>127</v>
      </c>
      <c r="BD1316" t="s">
        <v>74</v>
      </c>
      <c r="BE1316" t="s">
        <v>22225</v>
      </c>
      <c r="BF1316" t="str">
        <f>HYPERLINK("http://dx.doi.org/10.1386/cjcs_00100_1","http://dx.doi.org/10.1386/cjcs_00100_1")</f>
        <v>http://dx.doi.org/10.1386/cjcs_00100_1</v>
      </c>
      <c r="BG1316" t="s">
        <v>74</v>
      </c>
      <c r="BH1316" t="s">
        <v>74</v>
      </c>
      <c r="BI1316">
        <v>11</v>
      </c>
      <c r="BJ1316" t="s">
        <v>124</v>
      </c>
      <c r="BK1316" t="s">
        <v>125</v>
      </c>
      <c r="BL1316" t="s">
        <v>124</v>
      </c>
      <c r="BM1316" t="s">
        <v>22226</v>
      </c>
      <c r="BN1316" t="s">
        <v>74</v>
      </c>
      <c r="BO1316" t="s">
        <v>74</v>
      </c>
      <c r="BP1316" t="s">
        <v>74</v>
      </c>
      <c r="BQ1316" t="s">
        <v>74</v>
      </c>
      <c r="BR1316" t="s">
        <v>102</v>
      </c>
      <c r="BS1316" t="s">
        <v>22227</v>
      </c>
      <c r="BT1316" t="str">
        <f>HYPERLINK("https%3A%2F%2Fwww.webofscience.com%2Fwos%2Fwoscc%2Ffull-record%2FWOS:001202303700001","View Full Record in Web of Science")</f>
        <v>View Full Record in Web of Science</v>
      </c>
    </row>
    <row r="1317" spans="1:72" x14ac:dyDescent="0.35">
      <c r="A1317" t="s">
        <v>72</v>
      </c>
      <c r="B1317" t="s">
        <v>22228</v>
      </c>
      <c r="C1317" t="s">
        <v>74</v>
      </c>
      <c r="D1317" t="s">
        <v>74</v>
      </c>
      <c r="E1317" t="s">
        <v>74</v>
      </c>
      <c r="F1317" t="s">
        <v>22229</v>
      </c>
      <c r="G1317" t="s">
        <v>74</v>
      </c>
      <c r="H1317" t="s">
        <v>74</v>
      </c>
      <c r="I1317" t="s">
        <v>22230</v>
      </c>
      <c r="J1317" t="s">
        <v>22231</v>
      </c>
      <c r="K1317" t="s">
        <v>74</v>
      </c>
      <c r="L1317" t="s">
        <v>74</v>
      </c>
      <c r="M1317" t="s">
        <v>78</v>
      </c>
      <c r="N1317" t="s">
        <v>108</v>
      </c>
      <c r="O1317" t="s">
        <v>74</v>
      </c>
      <c r="P1317" t="s">
        <v>74</v>
      </c>
      <c r="Q1317" t="s">
        <v>74</v>
      </c>
      <c r="R1317" t="s">
        <v>74</v>
      </c>
      <c r="S1317" t="s">
        <v>74</v>
      </c>
      <c r="T1317" t="s">
        <v>22232</v>
      </c>
      <c r="U1317" t="s">
        <v>22233</v>
      </c>
      <c r="V1317" t="s">
        <v>22234</v>
      </c>
      <c r="W1317" t="s">
        <v>22235</v>
      </c>
      <c r="X1317" t="s">
        <v>74</v>
      </c>
      <c r="Y1317" t="s">
        <v>22236</v>
      </c>
      <c r="Z1317" t="s">
        <v>22237</v>
      </c>
      <c r="AA1317" t="s">
        <v>74</v>
      </c>
      <c r="AB1317" t="s">
        <v>22238</v>
      </c>
      <c r="AC1317" t="s">
        <v>74</v>
      </c>
      <c r="AD1317" t="s">
        <v>74</v>
      </c>
      <c r="AE1317" t="s">
        <v>74</v>
      </c>
      <c r="AF1317" t="s">
        <v>74</v>
      </c>
      <c r="AG1317">
        <v>58</v>
      </c>
      <c r="AH1317">
        <v>2</v>
      </c>
      <c r="AI1317">
        <v>2</v>
      </c>
      <c r="AJ1317">
        <v>4</v>
      </c>
      <c r="AK1317">
        <v>8</v>
      </c>
      <c r="AL1317" t="s">
        <v>88</v>
      </c>
      <c r="AM1317" t="s">
        <v>89</v>
      </c>
      <c r="AN1317" t="s">
        <v>90</v>
      </c>
      <c r="AO1317" t="s">
        <v>22239</v>
      </c>
      <c r="AP1317" t="s">
        <v>22240</v>
      </c>
      <c r="AQ1317" t="s">
        <v>74</v>
      </c>
      <c r="AR1317" t="s">
        <v>22241</v>
      </c>
      <c r="AS1317" t="s">
        <v>22242</v>
      </c>
      <c r="AT1317" t="s">
        <v>364</v>
      </c>
      <c r="AU1317">
        <v>2024</v>
      </c>
      <c r="AV1317">
        <v>54</v>
      </c>
      <c r="AW1317">
        <v>1</v>
      </c>
      <c r="AX1317" t="s">
        <v>74</v>
      </c>
      <c r="AY1317" t="s">
        <v>74</v>
      </c>
      <c r="AZ1317" t="s">
        <v>74</v>
      </c>
      <c r="BA1317" t="s">
        <v>74</v>
      </c>
      <c r="BB1317">
        <v>74</v>
      </c>
      <c r="BC1317">
        <v>88</v>
      </c>
      <c r="BD1317" t="s">
        <v>74</v>
      </c>
      <c r="BE1317" t="s">
        <v>22243</v>
      </c>
      <c r="BF1317" t="str">
        <f>HYPERLINK("http://dx.doi.org/10.1080/02773945.2023.2251454","http://dx.doi.org/10.1080/02773945.2023.2251454")</f>
        <v>http://dx.doi.org/10.1080/02773945.2023.2251454</v>
      </c>
      <c r="BG1317" t="s">
        <v>74</v>
      </c>
      <c r="BH1317" t="s">
        <v>207</v>
      </c>
      <c r="BI1317">
        <v>15</v>
      </c>
      <c r="BJ1317" t="s">
        <v>22244</v>
      </c>
      <c r="BK1317" t="s">
        <v>2125</v>
      </c>
      <c r="BL1317" t="s">
        <v>22244</v>
      </c>
      <c r="BM1317" t="s">
        <v>22245</v>
      </c>
      <c r="BN1317" t="s">
        <v>74</v>
      </c>
      <c r="BO1317" t="s">
        <v>156</v>
      </c>
      <c r="BP1317" t="s">
        <v>74</v>
      </c>
      <c r="BQ1317" t="s">
        <v>74</v>
      </c>
      <c r="BR1317" t="s">
        <v>102</v>
      </c>
      <c r="BS1317" t="s">
        <v>22246</v>
      </c>
      <c r="BT1317" t="str">
        <f>HYPERLINK("https%3A%2F%2Fwww.webofscience.com%2Fwos%2Fwoscc%2Ffull-record%2FWOS:001082793600001","View Full Record in Web of Science")</f>
        <v>View Full Record in Web of Science</v>
      </c>
    </row>
    <row r="1318" spans="1:72" x14ac:dyDescent="0.35">
      <c r="A1318" t="s">
        <v>72</v>
      </c>
      <c r="B1318" t="s">
        <v>22247</v>
      </c>
      <c r="C1318" t="s">
        <v>74</v>
      </c>
      <c r="D1318" t="s">
        <v>74</v>
      </c>
      <c r="E1318" t="s">
        <v>74</v>
      </c>
      <c r="F1318" t="s">
        <v>22248</v>
      </c>
      <c r="G1318" t="s">
        <v>74</v>
      </c>
      <c r="H1318" t="s">
        <v>74</v>
      </c>
      <c r="I1318" t="s">
        <v>22249</v>
      </c>
      <c r="J1318" t="s">
        <v>19370</v>
      </c>
      <c r="K1318" t="s">
        <v>74</v>
      </c>
      <c r="L1318" t="s">
        <v>74</v>
      </c>
      <c r="M1318" t="s">
        <v>78</v>
      </c>
      <c r="N1318" t="s">
        <v>79</v>
      </c>
      <c r="O1318" t="s">
        <v>74</v>
      </c>
      <c r="P1318" t="s">
        <v>74</v>
      </c>
      <c r="Q1318" t="s">
        <v>74</v>
      </c>
      <c r="R1318" t="s">
        <v>74</v>
      </c>
      <c r="S1318" t="s">
        <v>74</v>
      </c>
      <c r="T1318" t="s">
        <v>22250</v>
      </c>
      <c r="U1318" t="s">
        <v>22251</v>
      </c>
      <c r="V1318" t="s">
        <v>22252</v>
      </c>
      <c r="W1318" t="s">
        <v>22253</v>
      </c>
      <c r="X1318" t="s">
        <v>22254</v>
      </c>
      <c r="Y1318" t="s">
        <v>22255</v>
      </c>
      <c r="Z1318" t="s">
        <v>22256</v>
      </c>
      <c r="AA1318" t="s">
        <v>22257</v>
      </c>
      <c r="AB1318" t="s">
        <v>22258</v>
      </c>
      <c r="AC1318" t="s">
        <v>74</v>
      </c>
      <c r="AD1318" t="s">
        <v>74</v>
      </c>
      <c r="AE1318" t="s">
        <v>74</v>
      </c>
      <c r="AF1318" t="s">
        <v>74</v>
      </c>
      <c r="AG1318">
        <v>89</v>
      </c>
      <c r="AH1318">
        <v>8</v>
      </c>
      <c r="AI1318">
        <v>8</v>
      </c>
      <c r="AJ1318">
        <v>11</v>
      </c>
      <c r="AK1318">
        <v>40</v>
      </c>
      <c r="AL1318" t="s">
        <v>199</v>
      </c>
      <c r="AM1318" t="s">
        <v>200</v>
      </c>
      <c r="AN1318" t="s">
        <v>201</v>
      </c>
      <c r="AO1318" t="s">
        <v>19378</v>
      </c>
      <c r="AP1318" t="s">
        <v>19379</v>
      </c>
      <c r="AQ1318" t="s">
        <v>74</v>
      </c>
      <c r="AR1318" t="s">
        <v>19380</v>
      </c>
      <c r="AS1318" t="s">
        <v>19381</v>
      </c>
      <c r="AT1318" t="s">
        <v>22259</v>
      </c>
      <c r="AU1318">
        <v>2022</v>
      </c>
      <c r="AV1318" t="s">
        <v>74</v>
      </c>
      <c r="AW1318" t="s">
        <v>74</v>
      </c>
      <c r="AX1318" t="s">
        <v>74</v>
      </c>
      <c r="AY1318" t="s">
        <v>74</v>
      </c>
      <c r="AZ1318" t="s">
        <v>74</v>
      </c>
      <c r="BA1318" t="s">
        <v>74</v>
      </c>
      <c r="BB1318" t="s">
        <v>74</v>
      </c>
      <c r="BC1318" t="s">
        <v>74</v>
      </c>
      <c r="BD1318" t="s">
        <v>74</v>
      </c>
      <c r="BE1318" t="s">
        <v>22260</v>
      </c>
      <c r="BF1318" t="str">
        <f>HYPERLINK("http://dx.doi.org/10.1108/ILS-07-2022-0086","http://dx.doi.org/10.1108/ILS-07-2022-0086")</f>
        <v>http://dx.doi.org/10.1108/ILS-07-2022-0086</v>
      </c>
      <c r="BG1318" t="s">
        <v>74</v>
      </c>
      <c r="BH1318" t="s">
        <v>366</v>
      </c>
      <c r="BI1318">
        <v>18</v>
      </c>
      <c r="BJ1318" t="s">
        <v>1162</v>
      </c>
      <c r="BK1318" t="s">
        <v>125</v>
      </c>
      <c r="BL1318" t="s">
        <v>1162</v>
      </c>
      <c r="BM1318" t="s">
        <v>22261</v>
      </c>
      <c r="BN1318" t="s">
        <v>74</v>
      </c>
      <c r="BO1318" t="s">
        <v>74</v>
      </c>
      <c r="BP1318" t="s">
        <v>74</v>
      </c>
      <c r="BQ1318" t="s">
        <v>74</v>
      </c>
      <c r="BR1318" t="s">
        <v>102</v>
      </c>
      <c r="BS1318" t="s">
        <v>22262</v>
      </c>
      <c r="BT1318" t="str">
        <f>HYPERLINK("https%3A%2F%2Fwww.webofscience.com%2Fwos%2Fwoscc%2Ffull-record%2FWOS:000892594500001","View Full Record in Web of Science")</f>
        <v>View Full Record in Web of Science</v>
      </c>
    </row>
    <row r="1319" spans="1:72" x14ac:dyDescent="0.35">
      <c r="A1319" t="s">
        <v>72</v>
      </c>
      <c r="B1319" t="s">
        <v>22263</v>
      </c>
      <c r="C1319" t="s">
        <v>74</v>
      </c>
      <c r="D1319" t="s">
        <v>74</v>
      </c>
      <c r="E1319" t="s">
        <v>74</v>
      </c>
      <c r="F1319" t="s">
        <v>22264</v>
      </c>
      <c r="G1319" t="s">
        <v>74</v>
      </c>
      <c r="H1319" t="s">
        <v>74</v>
      </c>
      <c r="I1319" t="s">
        <v>22265</v>
      </c>
      <c r="J1319" t="s">
        <v>22266</v>
      </c>
      <c r="K1319" t="s">
        <v>74</v>
      </c>
      <c r="L1319" t="s">
        <v>74</v>
      </c>
      <c r="M1319" t="s">
        <v>78</v>
      </c>
      <c r="N1319" t="s">
        <v>108</v>
      </c>
      <c r="O1319" t="s">
        <v>74</v>
      </c>
      <c r="P1319" t="s">
        <v>74</v>
      </c>
      <c r="Q1319" t="s">
        <v>74</v>
      </c>
      <c r="R1319" t="s">
        <v>74</v>
      </c>
      <c r="S1319" t="s">
        <v>74</v>
      </c>
      <c r="T1319" t="s">
        <v>22267</v>
      </c>
      <c r="U1319" t="s">
        <v>74</v>
      </c>
      <c r="V1319" t="s">
        <v>22268</v>
      </c>
      <c r="W1319" t="s">
        <v>22269</v>
      </c>
      <c r="X1319" t="s">
        <v>74</v>
      </c>
      <c r="Y1319" t="s">
        <v>22270</v>
      </c>
      <c r="Z1319" t="s">
        <v>22271</v>
      </c>
      <c r="AA1319" t="s">
        <v>22272</v>
      </c>
      <c r="AB1319" t="s">
        <v>74</v>
      </c>
      <c r="AC1319" t="s">
        <v>74</v>
      </c>
      <c r="AD1319" t="s">
        <v>74</v>
      </c>
      <c r="AE1319" t="s">
        <v>74</v>
      </c>
      <c r="AF1319" t="s">
        <v>74</v>
      </c>
      <c r="AG1319">
        <v>5</v>
      </c>
      <c r="AH1319">
        <v>1</v>
      </c>
      <c r="AI1319">
        <v>1</v>
      </c>
      <c r="AJ1319">
        <v>0</v>
      </c>
      <c r="AK1319">
        <v>2</v>
      </c>
      <c r="AL1319" t="s">
        <v>11669</v>
      </c>
      <c r="AM1319" t="s">
        <v>1196</v>
      </c>
      <c r="AN1319" t="s">
        <v>11670</v>
      </c>
      <c r="AO1319" t="s">
        <v>22273</v>
      </c>
      <c r="AP1319" t="s">
        <v>22274</v>
      </c>
      <c r="AQ1319" t="s">
        <v>74</v>
      </c>
      <c r="AR1319" t="s">
        <v>22266</v>
      </c>
      <c r="AS1319" t="s">
        <v>1341</v>
      </c>
      <c r="AT1319" t="s">
        <v>594</v>
      </c>
      <c r="AU1319">
        <v>2023</v>
      </c>
      <c r="AV1319">
        <v>239</v>
      </c>
      <c r="AW1319">
        <v>5</v>
      </c>
      <c r="AX1319" t="s">
        <v>74</v>
      </c>
      <c r="AY1319" t="s">
        <v>74</v>
      </c>
      <c r="AZ1319" t="s">
        <v>74</v>
      </c>
      <c r="BA1319" t="s">
        <v>74</v>
      </c>
      <c r="BB1319">
        <v>840</v>
      </c>
      <c r="BC1319">
        <v>842</v>
      </c>
      <c r="BD1319" t="s">
        <v>74</v>
      </c>
      <c r="BE1319" t="s">
        <v>22275</v>
      </c>
      <c r="BF1319" t="str">
        <f>HYPERLINK("http://dx.doi.org/10.1159/000531041","http://dx.doi.org/10.1159/000531041")</f>
        <v>http://dx.doi.org/10.1159/000531041</v>
      </c>
      <c r="BG1319" t="s">
        <v>74</v>
      </c>
      <c r="BH1319" t="s">
        <v>180</v>
      </c>
      <c r="BI1319">
        <v>3</v>
      </c>
      <c r="BJ1319" t="s">
        <v>1341</v>
      </c>
      <c r="BK1319" t="s">
        <v>209</v>
      </c>
      <c r="BL1319" t="s">
        <v>1341</v>
      </c>
      <c r="BM1319" t="s">
        <v>22276</v>
      </c>
      <c r="BN1319">
        <v>37231820</v>
      </c>
      <c r="BO1319" t="s">
        <v>74</v>
      </c>
      <c r="BP1319" t="s">
        <v>74</v>
      </c>
      <c r="BQ1319" t="s">
        <v>74</v>
      </c>
      <c r="BR1319" t="s">
        <v>102</v>
      </c>
      <c r="BS1319" t="s">
        <v>22277</v>
      </c>
      <c r="BT1319" t="str">
        <f>HYPERLINK("https%3A%2F%2Fwww.webofscience.com%2Fwos%2Fwoscc%2Ffull-record%2FWOS:001008098100001","View Full Record in Web of Science")</f>
        <v>View Full Record in Web of Science</v>
      </c>
    </row>
    <row r="1320" spans="1:72" x14ac:dyDescent="0.35">
      <c r="A1320" t="s">
        <v>72</v>
      </c>
      <c r="B1320" t="s">
        <v>22278</v>
      </c>
      <c r="C1320" t="s">
        <v>74</v>
      </c>
      <c r="D1320" t="s">
        <v>74</v>
      </c>
      <c r="E1320" t="s">
        <v>74</v>
      </c>
      <c r="F1320" t="s">
        <v>22279</v>
      </c>
      <c r="G1320" t="s">
        <v>74</v>
      </c>
      <c r="H1320" t="s">
        <v>74</v>
      </c>
      <c r="I1320" t="s">
        <v>22280</v>
      </c>
      <c r="J1320" t="s">
        <v>20634</v>
      </c>
      <c r="K1320" t="s">
        <v>74</v>
      </c>
      <c r="L1320" t="s">
        <v>74</v>
      </c>
      <c r="M1320" t="s">
        <v>78</v>
      </c>
      <c r="N1320" t="s">
        <v>108</v>
      </c>
      <c r="O1320" t="s">
        <v>74</v>
      </c>
      <c r="P1320" t="s">
        <v>74</v>
      </c>
      <c r="Q1320" t="s">
        <v>74</v>
      </c>
      <c r="R1320" t="s">
        <v>74</v>
      </c>
      <c r="S1320" t="s">
        <v>74</v>
      </c>
      <c r="T1320" t="s">
        <v>22281</v>
      </c>
      <c r="U1320" t="s">
        <v>22282</v>
      </c>
      <c r="V1320" t="s">
        <v>22283</v>
      </c>
      <c r="W1320" t="s">
        <v>22284</v>
      </c>
      <c r="X1320" t="s">
        <v>22285</v>
      </c>
      <c r="Y1320" t="s">
        <v>22286</v>
      </c>
      <c r="Z1320" t="s">
        <v>22287</v>
      </c>
      <c r="AA1320" t="s">
        <v>22288</v>
      </c>
      <c r="AB1320" t="s">
        <v>74</v>
      </c>
      <c r="AC1320" t="s">
        <v>74</v>
      </c>
      <c r="AD1320" t="s">
        <v>74</v>
      </c>
      <c r="AE1320" t="s">
        <v>74</v>
      </c>
      <c r="AF1320" t="s">
        <v>74</v>
      </c>
      <c r="AG1320">
        <v>24</v>
      </c>
      <c r="AH1320">
        <v>6</v>
      </c>
      <c r="AI1320">
        <v>6</v>
      </c>
      <c r="AJ1320">
        <v>2</v>
      </c>
      <c r="AK1320">
        <v>8</v>
      </c>
      <c r="AL1320" t="s">
        <v>384</v>
      </c>
      <c r="AM1320" t="s">
        <v>385</v>
      </c>
      <c r="AN1320" t="s">
        <v>386</v>
      </c>
      <c r="AO1320" t="s">
        <v>20643</v>
      </c>
      <c r="AP1320" t="s">
        <v>74</v>
      </c>
      <c r="AQ1320" t="s">
        <v>74</v>
      </c>
      <c r="AR1320" t="s">
        <v>20644</v>
      </c>
      <c r="AS1320" t="s">
        <v>20645</v>
      </c>
      <c r="AT1320" t="s">
        <v>22289</v>
      </c>
      <c r="AU1320">
        <v>2022</v>
      </c>
      <c r="AV1320">
        <v>9</v>
      </c>
      <c r="AW1320" t="s">
        <v>74</v>
      </c>
      <c r="AX1320" t="s">
        <v>74</v>
      </c>
      <c r="AY1320" t="s">
        <v>74</v>
      </c>
      <c r="AZ1320" t="s">
        <v>74</v>
      </c>
      <c r="BA1320" t="s">
        <v>74</v>
      </c>
      <c r="BB1320" t="s">
        <v>74</v>
      </c>
      <c r="BC1320" t="s">
        <v>74</v>
      </c>
      <c r="BD1320">
        <v>1019212</v>
      </c>
      <c r="BE1320" t="s">
        <v>22290</v>
      </c>
      <c r="BF1320" t="str">
        <f>HYPERLINK("http://dx.doi.org/10.3389/fsurg.2022.1019212","http://dx.doi.org/10.3389/fsurg.2022.1019212")</f>
        <v>http://dx.doi.org/10.3389/fsurg.2022.1019212</v>
      </c>
      <c r="BG1320" t="s">
        <v>74</v>
      </c>
      <c r="BH1320" t="s">
        <v>74</v>
      </c>
      <c r="BI1320">
        <v>7</v>
      </c>
      <c r="BJ1320" t="s">
        <v>4994</v>
      </c>
      <c r="BK1320" t="s">
        <v>209</v>
      </c>
      <c r="BL1320" t="s">
        <v>4994</v>
      </c>
      <c r="BM1320" t="s">
        <v>22291</v>
      </c>
      <c r="BN1320">
        <v>36299567</v>
      </c>
      <c r="BO1320" t="s">
        <v>394</v>
      </c>
      <c r="BP1320" t="s">
        <v>74</v>
      </c>
      <c r="BQ1320" t="s">
        <v>74</v>
      </c>
      <c r="BR1320" t="s">
        <v>102</v>
      </c>
      <c r="BS1320" t="s">
        <v>22292</v>
      </c>
      <c r="BT1320" t="str">
        <f>HYPERLINK("https%3A%2F%2Fwww.webofscience.com%2Fwos%2Fwoscc%2Ffull-record%2FWOS:000876440000001","View Full Record in Web of Science")</f>
        <v>View Full Record in Web of Science</v>
      </c>
    </row>
    <row r="1321" spans="1:72" x14ac:dyDescent="0.35">
      <c r="A1321" t="s">
        <v>72</v>
      </c>
      <c r="B1321" t="s">
        <v>22293</v>
      </c>
      <c r="C1321" t="s">
        <v>74</v>
      </c>
      <c r="D1321" t="s">
        <v>74</v>
      </c>
      <c r="E1321" t="s">
        <v>74</v>
      </c>
      <c r="F1321" t="s">
        <v>22294</v>
      </c>
      <c r="G1321" t="s">
        <v>74</v>
      </c>
      <c r="H1321" t="s">
        <v>74</v>
      </c>
      <c r="I1321" t="s">
        <v>22295</v>
      </c>
      <c r="J1321" t="s">
        <v>22296</v>
      </c>
      <c r="K1321" t="s">
        <v>74</v>
      </c>
      <c r="L1321" t="s">
        <v>74</v>
      </c>
      <c r="M1321" t="s">
        <v>78</v>
      </c>
      <c r="N1321" t="s">
        <v>108</v>
      </c>
      <c r="O1321" t="s">
        <v>74</v>
      </c>
      <c r="P1321" t="s">
        <v>74</v>
      </c>
      <c r="Q1321" t="s">
        <v>74</v>
      </c>
      <c r="R1321" t="s">
        <v>74</v>
      </c>
      <c r="S1321" t="s">
        <v>74</v>
      </c>
      <c r="T1321" t="s">
        <v>22297</v>
      </c>
      <c r="U1321" t="s">
        <v>22298</v>
      </c>
      <c r="V1321" t="s">
        <v>22299</v>
      </c>
      <c r="W1321" t="s">
        <v>22300</v>
      </c>
      <c r="X1321" t="s">
        <v>7233</v>
      </c>
      <c r="Y1321" t="s">
        <v>22301</v>
      </c>
      <c r="Z1321" t="s">
        <v>7235</v>
      </c>
      <c r="AA1321" t="s">
        <v>74</v>
      </c>
      <c r="AB1321" t="s">
        <v>74</v>
      </c>
      <c r="AC1321" t="s">
        <v>74</v>
      </c>
      <c r="AD1321" t="s">
        <v>74</v>
      </c>
      <c r="AE1321" t="s">
        <v>74</v>
      </c>
      <c r="AF1321" t="s">
        <v>74</v>
      </c>
      <c r="AG1321">
        <v>58</v>
      </c>
      <c r="AH1321">
        <v>0</v>
      </c>
      <c r="AI1321">
        <v>0</v>
      </c>
      <c r="AJ1321">
        <v>1</v>
      </c>
      <c r="AK1321">
        <v>1</v>
      </c>
      <c r="AL1321" t="s">
        <v>22302</v>
      </c>
      <c r="AM1321" t="s">
        <v>5232</v>
      </c>
      <c r="AN1321" t="s">
        <v>22303</v>
      </c>
      <c r="AO1321" t="s">
        <v>22304</v>
      </c>
      <c r="AP1321" t="s">
        <v>74</v>
      </c>
      <c r="AQ1321" t="s">
        <v>74</v>
      </c>
      <c r="AR1321" t="s">
        <v>22305</v>
      </c>
      <c r="AS1321" t="s">
        <v>22306</v>
      </c>
      <c r="AT1321" t="s">
        <v>178</v>
      </c>
      <c r="AU1321">
        <v>2024</v>
      </c>
      <c r="AV1321">
        <v>13</v>
      </c>
      <c r="AW1321">
        <v>1</v>
      </c>
      <c r="AX1321" t="s">
        <v>74</v>
      </c>
      <c r="AY1321" t="s">
        <v>74</v>
      </c>
      <c r="AZ1321" t="s">
        <v>74</v>
      </c>
      <c r="BA1321" t="s">
        <v>74</v>
      </c>
      <c r="BB1321">
        <v>42</v>
      </c>
      <c r="BC1321">
        <v>62</v>
      </c>
      <c r="BD1321" t="s">
        <v>74</v>
      </c>
      <c r="BE1321" t="s">
        <v>22307</v>
      </c>
      <c r="BF1321" t="str">
        <f>HYPERLINK("http://dx.doi.org/10.17583/msc.12004","http://dx.doi.org/10.17583/msc.12004")</f>
        <v>http://dx.doi.org/10.17583/msc.12004</v>
      </c>
      <c r="BG1321" t="s">
        <v>74</v>
      </c>
      <c r="BH1321" t="s">
        <v>74</v>
      </c>
      <c r="BI1321">
        <v>21</v>
      </c>
      <c r="BJ1321" t="s">
        <v>4573</v>
      </c>
      <c r="BK1321" t="s">
        <v>125</v>
      </c>
      <c r="BL1321" t="s">
        <v>4573</v>
      </c>
      <c r="BM1321" t="s">
        <v>22308</v>
      </c>
      <c r="BN1321" t="s">
        <v>74</v>
      </c>
      <c r="BO1321" t="s">
        <v>74</v>
      </c>
      <c r="BP1321" t="s">
        <v>74</v>
      </c>
      <c r="BQ1321" t="s">
        <v>74</v>
      </c>
      <c r="BR1321" t="s">
        <v>102</v>
      </c>
      <c r="BS1321" t="s">
        <v>22309</v>
      </c>
      <c r="BT1321" t="str">
        <f>HYPERLINK("https%3A%2F%2Fwww.webofscience.com%2Fwos%2Fwoscc%2Ffull-record%2FWOS:001171395000004","View Full Record in Web of Science")</f>
        <v>View Full Record in Web of Science</v>
      </c>
    </row>
    <row r="1322" spans="1:72" x14ac:dyDescent="0.35">
      <c r="A1322" t="s">
        <v>72</v>
      </c>
      <c r="B1322" t="s">
        <v>22310</v>
      </c>
      <c r="C1322" t="s">
        <v>74</v>
      </c>
      <c r="D1322" t="s">
        <v>74</v>
      </c>
      <c r="E1322" t="s">
        <v>74</v>
      </c>
      <c r="F1322" t="s">
        <v>22311</v>
      </c>
      <c r="G1322" t="s">
        <v>74</v>
      </c>
      <c r="H1322" t="s">
        <v>74</v>
      </c>
      <c r="I1322" t="s">
        <v>22312</v>
      </c>
      <c r="J1322" t="s">
        <v>8768</v>
      </c>
      <c r="K1322" t="s">
        <v>74</v>
      </c>
      <c r="L1322" t="s">
        <v>74</v>
      </c>
      <c r="M1322" t="s">
        <v>8769</v>
      </c>
      <c r="N1322" t="s">
        <v>108</v>
      </c>
      <c r="O1322" t="s">
        <v>74</v>
      </c>
      <c r="P1322" t="s">
        <v>74</v>
      </c>
      <c r="Q1322" t="s">
        <v>74</v>
      </c>
      <c r="R1322" t="s">
        <v>74</v>
      </c>
      <c r="S1322" t="s">
        <v>74</v>
      </c>
      <c r="T1322" t="s">
        <v>22313</v>
      </c>
      <c r="U1322" t="s">
        <v>74</v>
      </c>
      <c r="V1322" t="s">
        <v>22314</v>
      </c>
      <c r="W1322" t="s">
        <v>22315</v>
      </c>
      <c r="X1322" t="s">
        <v>2803</v>
      </c>
      <c r="Y1322" t="s">
        <v>22316</v>
      </c>
      <c r="Z1322" t="s">
        <v>22317</v>
      </c>
      <c r="AA1322" t="s">
        <v>12779</v>
      </c>
      <c r="AB1322" t="s">
        <v>74</v>
      </c>
      <c r="AC1322" t="s">
        <v>74</v>
      </c>
      <c r="AD1322" t="s">
        <v>74</v>
      </c>
      <c r="AE1322" t="s">
        <v>74</v>
      </c>
      <c r="AF1322" t="s">
        <v>74</v>
      </c>
      <c r="AG1322">
        <v>20</v>
      </c>
      <c r="AH1322">
        <v>0</v>
      </c>
      <c r="AI1322">
        <v>0</v>
      </c>
      <c r="AJ1322">
        <v>0</v>
      </c>
      <c r="AK1322">
        <v>0</v>
      </c>
      <c r="AL1322" t="s">
        <v>8773</v>
      </c>
      <c r="AM1322" t="s">
        <v>8774</v>
      </c>
      <c r="AN1322" t="s">
        <v>8775</v>
      </c>
      <c r="AO1322" t="s">
        <v>8776</v>
      </c>
      <c r="AP1322" t="s">
        <v>74</v>
      </c>
      <c r="AQ1322" t="s">
        <v>74</v>
      </c>
      <c r="AR1322" t="s">
        <v>8777</v>
      </c>
      <c r="AS1322" t="s">
        <v>8778</v>
      </c>
      <c r="AT1322" t="s">
        <v>74</v>
      </c>
      <c r="AU1322">
        <v>2024</v>
      </c>
      <c r="AV1322" t="s">
        <v>74</v>
      </c>
      <c r="AW1322" t="s">
        <v>74</v>
      </c>
      <c r="AX1322" t="s">
        <v>74</v>
      </c>
      <c r="AY1322" t="s">
        <v>74</v>
      </c>
      <c r="AZ1322" t="s">
        <v>456</v>
      </c>
      <c r="BA1322" t="s">
        <v>74</v>
      </c>
      <c r="BB1322">
        <v>23</v>
      </c>
      <c r="BC1322">
        <v>37</v>
      </c>
      <c r="BD1322" t="s">
        <v>74</v>
      </c>
      <c r="BE1322" t="s">
        <v>74</v>
      </c>
      <c r="BF1322" t="s">
        <v>74</v>
      </c>
      <c r="BG1322" t="s">
        <v>74</v>
      </c>
      <c r="BH1322" t="s">
        <v>74</v>
      </c>
      <c r="BI1322">
        <v>15</v>
      </c>
      <c r="BJ1322" t="s">
        <v>2124</v>
      </c>
      <c r="BK1322" t="s">
        <v>125</v>
      </c>
      <c r="BL1322" t="s">
        <v>2124</v>
      </c>
      <c r="BM1322" t="s">
        <v>8779</v>
      </c>
      <c r="BN1322" t="s">
        <v>74</v>
      </c>
      <c r="BO1322" t="s">
        <v>74</v>
      </c>
      <c r="BP1322" t="s">
        <v>74</v>
      </c>
      <c r="BQ1322" t="s">
        <v>74</v>
      </c>
      <c r="BR1322" t="s">
        <v>102</v>
      </c>
      <c r="BS1322" t="s">
        <v>22318</v>
      </c>
      <c r="BT1322" t="str">
        <f>HYPERLINK("https%3A%2F%2Fwww.webofscience.com%2Fwos%2Fwoscc%2Ffull-record%2FWOS:001336390400004","View Full Record in Web of Science")</f>
        <v>View Full Record in Web of Science</v>
      </c>
    </row>
    <row r="1323" spans="1:72" x14ac:dyDescent="0.35">
      <c r="A1323" t="s">
        <v>72</v>
      </c>
      <c r="B1323" t="s">
        <v>22319</v>
      </c>
      <c r="C1323" t="s">
        <v>74</v>
      </c>
      <c r="D1323" t="s">
        <v>74</v>
      </c>
      <c r="E1323" t="s">
        <v>74</v>
      </c>
      <c r="F1323" t="s">
        <v>22320</v>
      </c>
      <c r="G1323" t="s">
        <v>74</v>
      </c>
      <c r="H1323" t="s">
        <v>74</v>
      </c>
      <c r="I1323" t="s">
        <v>22321</v>
      </c>
      <c r="J1323" t="s">
        <v>216</v>
      </c>
      <c r="K1323" t="s">
        <v>74</v>
      </c>
      <c r="L1323" t="s">
        <v>74</v>
      </c>
      <c r="M1323" t="s">
        <v>78</v>
      </c>
      <c r="N1323" t="s">
        <v>108</v>
      </c>
      <c r="O1323" t="s">
        <v>74</v>
      </c>
      <c r="P1323" t="s">
        <v>74</v>
      </c>
      <c r="Q1323" t="s">
        <v>74</v>
      </c>
      <c r="R1323" t="s">
        <v>74</v>
      </c>
      <c r="S1323" t="s">
        <v>74</v>
      </c>
      <c r="T1323" t="s">
        <v>22322</v>
      </c>
      <c r="U1323" t="s">
        <v>218</v>
      </c>
      <c r="V1323" t="s">
        <v>22323</v>
      </c>
      <c r="W1323" t="s">
        <v>22324</v>
      </c>
      <c r="X1323" t="s">
        <v>22325</v>
      </c>
      <c r="Y1323" t="s">
        <v>22326</v>
      </c>
      <c r="Z1323" t="s">
        <v>22327</v>
      </c>
      <c r="AA1323" t="s">
        <v>22328</v>
      </c>
      <c r="AB1323" t="s">
        <v>22329</v>
      </c>
      <c r="AC1323" t="s">
        <v>74</v>
      </c>
      <c r="AD1323" t="s">
        <v>74</v>
      </c>
      <c r="AE1323" t="s">
        <v>74</v>
      </c>
      <c r="AF1323" t="s">
        <v>74</v>
      </c>
      <c r="AG1323">
        <v>60</v>
      </c>
      <c r="AH1323">
        <v>5</v>
      </c>
      <c r="AI1323">
        <v>5</v>
      </c>
      <c r="AJ1323">
        <v>14</v>
      </c>
      <c r="AK1323">
        <v>75</v>
      </c>
      <c r="AL1323" t="s">
        <v>226</v>
      </c>
      <c r="AM1323" t="s">
        <v>227</v>
      </c>
      <c r="AN1323" t="s">
        <v>228</v>
      </c>
      <c r="AO1323" t="s">
        <v>229</v>
      </c>
      <c r="AP1323" t="s">
        <v>74</v>
      </c>
      <c r="AQ1323" t="s">
        <v>74</v>
      </c>
      <c r="AR1323" t="s">
        <v>230</v>
      </c>
      <c r="AS1323" t="s">
        <v>231</v>
      </c>
      <c r="AT1323" t="s">
        <v>232</v>
      </c>
      <c r="AU1323">
        <v>2023</v>
      </c>
      <c r="AV1323">
        <v>9</v>
      </c>
      <c r="AW1323">
        <v>1</v>
      </c>
      <c r="AX1323" t="s">
        <v>74</v>
      </c>
      <c r="AY1323" t="s">
        <v>74</v>
      </c>
      <c r="AZ1323" t="s">
        <v>74</v>
      </c>
      <c r="BA1323" t="s">
        <v>74</v>
      </c>
      <c r="BB1323" t="s">
        <v>74</v>
      </c>
      <c r="BC1323" t="s">
        <v>74</v>
      </c>
      <c r="BD1323">
        <v>2.0563051231157604E+16</v>
      </c>
      <c r="BE1323" t="s">
        <v>22330</v>
      </c>
      <c r="BF1323" t="str">
        <f>HYPERLINK("http://dx.doi.org/10.1177/20563051231157603","http://dx.doi.org/10.1177/20563051231157603")</f>
        <v>http://dx.doi.org/10.1177/20563051231157603</v>
      </c>
      <c r="BG1323" t="s">
        <v>74</v>
      </c>
      <c r="BH1323" t="s">
        <v>74</v>
      </c>
      <c r="BI1323">
        <v>12</v>
      </c>
      <c r="BJ1323" t="s">
        <v>124</v>
      </c>
      <c r="BK1323" t="s">
        <v>99</v>
      </c>
      <c r="BL1323" t="s">
        <v>124</v>
      </c>
      <c r="BM1323" t="s">
        <v>22331</v>
      </c>
      <c r="BN1323" t="s">
        <v>74</v>
      </c>
      <c r="BO1323" t="s">
        <v>19365</v>
      </c>
      <c r="BP1323" t="s">
        <v>74</v>
      </c>
      <c r="BQ1323" t="s">
        <v>74</v>
      </c>
      <c r="BR1323" t="s">
        <v>102</v>
      </c>
      <c r="BS1323" t="s">
        <v>22332</v>
      </c>
      <c r="BT1323" t="str">
        <f>HYPERLINK("https%3A%2F%2Fwww.webofscience.com%2Fwos%2Fwoscc%2Ffull-record%2FWOS:000944779800001","View Full Record in Web of Science")</f>
        <v>View Full Record in Web of Science</v>
      </c>
    </row>
    <row r="1324" spans="1:72" x14ac:dyDescent="0.35">
      <c r="A1324" t="s">
        <v>72</v>
      </c>
      <c r="B1324" t="s">
        <v>22333</v>
      </c>
      <c r="C1324" t="s">
        <v>74</v>
      </c>
      <c r="D1324" t="s">
        <v>74</v>
      </c>
      <c r="E1324" t="s">
        <v>74</v>
      </c>
      <c r="F1324" t="s">
        <v>22334</v>
      </c>
      <c r="G1324" t="s">
        <v>74</v>
      </c>
      <c r="H1324" t="s">
        <v>74</v>
      </c>
      <c r="I1324" t="s">
        <v>22335</v>
      </c>
      <c r="J1324" t="s">
        <v>22336</v>
      </c>
      <c r="K1324" t="s">
        <v>74</v>
      </c>
      <c r="L1324" t="s">
        <v>74</v>
      </c>
      <c r="M1324" t="s">
        <v>78</v>
      </c>
      <c r="N1324" t="s">
        <v>108</v>
      </c>
      <c r="O1324" t="s">
        <v>74</v>
      </c>
      <c r="P1324" t="s">
        <v>74</v>
      </c>
      <c r="Q1324" t="s">
        <v>74</v>
      </c>
      <c r="R1324" t="s">
        <v>74</v>
      </c>
      <c r="S1324" t="s">
        <v>74</v>
      </c>
      <c r="T1324" t="s">
        <v>74</v>
      </c>
      <c r="U1324" t="s">
        <v>218</v>
      </c>
      <c r="V1324" t="s">
        <v>22337</v>
      </c>
      <c r="W1324" t="s">
        <v>22338</v>
      </c>
      <c r="X1324" t="s">
        <v>22339</v>
      </c>
      <c r="Y1324" t="s">
        <v>22340</v>
      </c>
      <c r="Z1324" t="s">
        <v>22341</v>
      </c>
      <c r="AA1324" t="s">
        <v>74</v>
      </c>
      <c r="AB1324" t="s">
        <v>74</v>
      </c>
      <c r="AC1324" t="s">
        <v>74</v>
      </c>
      <c r="AD1324" t="s">
        <v>74</v>
      </c>
      <c r="AE1324" t="s">
        <v>74</v>
      </c>
      <c r="AF1324" t="s">
        <v>74</v>
      </c>
      <c r="AG1324">
        <v>23</v>
      </c>
      <c r="AH1324">
        <v>6</v>
      </c>
      <c r="AI1324">
        <v>6</v>
      </c>
      <c r="AJ1324">
        <v>0</v>
      </c>
      <c r="AK1324">
        <v>0</v>
      </c>
      <c r="AL1324" t="s">
        <v>1901</v>
      </c>
      <c r="AM1324" t="s">
        <v>995</v>
      </c>
      <c r="AN1324" t="s">
        <v>1902</v>
      </c>
      <c r="AO1324" t="s">
        <v>22342</v>
      </c>
      <c r="AP1324" t="s">
        <v>22343</v>
      </c>
      <c r="AQ1324" t="s">
        <v>74</v>
      </c>
      <c r="AR1324" t="s">
        <v>22344</v>
      </c>
      <c r="AS1324" t="s">
        <v>22345</v>
      </c>
      <c r="AT1324" t="s">
        <v>8108</v>
      </c>
      <c r="AU1324">
        <v>2022</v>
      </c>
      <c r="AV1324">
        <v>38</v>
      </c>
      <c r="AW1324">
        <v>5</v>
      </c>
      <c r="AX1324" t="s">
        <v>74</v>
      </c>
      <c r="AY1324" t="s">
        <v>74</v>
      </c>
      <c r="AZ1324" t="s">
        <v>74</v>
      </c>
      <c r="BA1324" t="s">
        <v>74</v>
      </c>
      <c r="BB1324">
        <v>452</v>
      </c>
      <c r="BC1324">
        <v>457</v>
      </c>
      <c r="BD1324" t="s">
        <v>74</v>
      </c>
      <c r="BE1324" t="s">
        <v>22346</v>
      </c>
      <c r="BF1324" t="str">
        <f>HYPERLINK("http://dx.doi.org/10.1097/IOP.0000000000002158","http://dx.doi.org/10.1097/IOP.0000000000002158")</f>
        <v>http://dx.doi.org/10.1097/IOP.0000000000002158</v>
      </c>
      <c r="BG1324" t="s">
        <v>74</v>
      </c>
      <c r="BH1324" t="s">
        <v>74</v>
      </c>
      <c r="BI1324">
        <v>6</v>
      </c>
      <c r="BJ1324" t="s">
        <v>22347</v>
      </c>
      <c r="BK1324" t="s">
        <v>209</v>
      </c>
      <c r="BL1324" t="s">
        <v>22347</v>
      </c>
      <c r="BM1324" t="s">
        <v>22348</v>
      </c>
      <c r="BN1324">
        <v>35323143</v>
      </c>
      <c r="BO1324" t="s">
        <v>74</v>
      </c>
      <c r="BP1324" t="s">
        <v>74</v>
      </c>
      <c r="BQ1324" t="s">
        <v>74</v>
      </c>
      <c r="BR1324" t="s">
        <v>102</v>
      </c>
      <c r="BS1324" t="s">
        <v>22349</v>
      </c>
      <c r="BT1324" t="str">
        <f>HYPERLINK("https%3A%2F%2Fwww.webofscience.com%2Fwos%2Fwoscc%2Ffull-record%2FWOS:000851957100019","View Full Record in Web of Science")</f>
        <v>View Full Record in Web of Science</v>
      </c>
    </row>
    <row r="1325" spans="1:72" x14ac:dyDescent="0.35">
      <c r="A1325" t="s">
        <v>72</v>
      </c>
      <c r="B1325" t="s">
        <v>16495</v>
      </c>
      <c r="C1325" t="s">
        <v>74</v>
      </c>
      <c r="D1325" t="s">
        <v>74</v>
      </c>
      <c r="E1325" t="s">
        <v>74</v>
      </c>
      <c r="F1325" t="s">
        <v>16496</v>
      </c>
      <c r="G1325" t="s">
        <v>74</v>
      </c>
      <c r="H1325" t="s">
        <v>74</v>
      </c>
      <c r="I1325" t="s">
        <v>22350</v>
      </c>
      <c r="J1325" t="s">
        <v>1774</v>
      </c>
      <c r="K1325" t="s">
        <v>74</v>
      </c>
      <c r="L1325" t="s">
        <v>74</v>
      </c>
      <c r="M1325" t="s">
        <v>78</v>
      </c>
      <c r="N1325" t="s">
        <v>79</v>
      </c>
      <c r="O1325" t="s">
        <v>74</v>
      </c>
      <c r="P1325" t="s">
        <v>74</v>
      </c>
      <c r="Q1325" t="s">
        <v>74</v>
      </c>
      <c r="R1325" t="s">
        <v>74</v>
      </c>
      <c r="S1325" t="s">
        <v>74</v>
      </c>
      <c r="T1325" t="s">
        <v>22351</v>
      </c>
      <c r="U1325" t="s">
        <v>22352</v>
      </c>
      <c r="V1325" t="s">
        <v>22353</v>
      </c>
      <c r="W1325" t="s">
        <v>22354</v>
      </c>
      <c r="X1325" t="s">
        <v>7446</v>
      </c>
      <c r="Y1325" t="s">
        <v>22355</v>
      </c>
      <c r="Z1325" t="s">
        <v>16502</v>
      </c>
      <c r="AA1325" t="s">
        <v>16503</v>
      </c>
      <c r="AB1325" t="s">
        <v>16504</v>
      </c>
      <c r="AC1325" t="s">
        <v>22356</v>
      </c>
      <c r="AD1325" t="s">
        <v>22357</v>
      </c>
      <c r="AE1325" t="s">
        <v>22358</v>
      </c>
      <c r="AF1325" t="s">
        <v>74</v>
      </c>
      <c r="AG1325">
        <v>48</v>
      </c>
      <c r="AH1325">
        <v>0</v>
      </c>
      <c r="AI1325">
        <v>0</v>
      </c>
      <c r="AJ1325">
        <v>5</v>
      </c>
      <c r="AK1325">
        <v>5</v>
      </c>
      <c r="AL1325" t="s">
        <v>88</v>
      </c>
      <c r="AM1325" t="s">
        <v>89</v>
      </c>
      <c r="AN1325" t="s">
        <v>90</v>
      </c>
      <c r="AO1325" t="s">
        <v>1783</v>
      </c>
      <c r="AP1325" t="s">
        <v>1784</v>
      </c>
      <c r="AQ1325" t="s">
        <v>74</v>
      </c>
      <c r="AR1325" t="s">
        <v>1785</v>
      </c>
      <c r="AS1325" t="s">
        <v>1786</v>
      </c>
      <c r="AT1325" t="s">
        <v>22359</v>
      </c>
      <c r="AU1325">
        <v>2024</v>
      </c>
      <c r="AV1325" t="s">
        <v>74</v>
      </c>
      <c r="AW1325" t="s">
        <v>74</v>
      </c>
      <c r="AX1325" t="s">
        <v>74</v>
      </c>
      <c r="AY1325" t="s">
        <v>74</v>
      </c>
      <c r="AZ1325" t="s">
        <v>74</v>
      </c>
      <c r="BA1325" t="s">
        <v>74</v>
      </c>
      <c r="BB1325" t="s">
        <v>74</v>
      </c>
      <c r="BC1325" t="s">
        <v>74</v>
      </c>
      <c r="BD1325" t="s">
        <v>74</v>
      </c>
      <c r="BE1325" t="s">
        <v>22360</v>
      </c>
      <c r="BF1325" t="str">
        <f>HYPERLINK("http://dx.doi.org/10.1080/1369118X.2024.2396621","http://dx.doi.org/10.1080/1369118X.2024.2396621")</f>
        <v>http://dx.doi.org/10.1080/1369118X.2024.2396621</v>
      </c>
      <c r="BG1325" t="s">
        <v>74</v>
      </c>
      <c r="BH1325" t="s">
        <v>2444</v>
      </c>
      <c r="BI1325">
        <v>18</v>
      </c>
      <c r="BJ1325" t="s">
        <v>1047</v>
      </c>
      <c r="BK1325" t="s">
        <v>99</v>
      </c>
      <c r="BL1325" t="s">
        <v>1047</v>
      </c>
      <c r="BM1325" t="s">
        <v>22361</v>
      </c>
      <c r="BN1325" t="s">
        <v>74</v>
      </c>
      <c r="BO1325" t="s">
        <v>156</v>
      </c>
      <c r="BP1325" t="s">
        <v>74</v>
      </c>
      <c r="BQ1325" t="s">
        <v>74</v>
      </c>
      <c r="BR1325" t="s">
        <v>102</v>
      </c>
      <c r="BS1325" t="s">
        <v>22362</v>
      </c>
      <c r="BT1325" t="str">
        <f>HYPERLINK("https%3A%2F%2Fwww.webofscience.com%2Fwos%2Fwoscc%2Ffull-record%2FWOS:001307229600001","View Full Record in Web of Science")</f>
        <v>View Full Record in Web of Science</v>
      </c>
    </row>
    <row r="1326" spans="1:72" x14ac:dyDescent="0.35">
      <c r="A1326" t="s">
        <v>72</v>
      </c>
      <c r="B1326" t="s">
        <v>22363</v>
      </c>
      <c r="C1326" t="s">
        <v>74</v>
      </c>
      <c r="D1326" t="s">
        <v>74</v>
      </c>
      <c r="E1326" t="s">
        <v>74</v>
      </c>
      <c r="F1326" t="s">
        <v>22364</v>
      </c>
      <c r="G1326" t="s">
        <v>74</v>
      </c>
      <c r="H1326" t="s">
        <v>74</v>
      </c>
      <c r="I1326" t="s">
        <v>22365</v>
      </c>
      <c r="J1326" t="s">
        <v>3329</v>
      </c>
      <c r="K1326" t="s">
        <v>74</v>
      </c>
      <c r="L1326" t="s">
        <v>74</v>
      </c>
      <c r="M1326" t="s">
        <v>78</v>
      </c>
      <c r="N1326" t="s">
        <v>108</v>
      </c>
      <c r="O1326" t="s">
        <v>74</v>
      </c>
      <c r="P1326" t="s">
        <v>74</v>
      </c>
      <c r="Q1326" t="s">
        <v>74</v>
      </c>
      <c r="R1326" t="s">
        <v>74</v>
      </c>
      <c r="S1326" t="s">
        <v>74</v>
      </c>
      <c r="T1326" t="s">
        <v>22366</v>
      </c>
      <c r="U1326" t="s">
        <v>74</v>
      </c>
      <c r="V1326" t="s">
        <v>22367</v>
      </c>
      <c r="W1326" t="s">
        <v>22368</v>
      </c>
      <c r="X1326" t="s">
        <v>22369</v>
      </c>
      <c r="Y1326" t="s">
        <v>22370</v>
      </c>
      <c r="Z1326" t="s">
        <v>22371</v>
      </c>
      <c r="AA1326" t="s">
        <v>2423</v>
      </c>
      <c r="AB1326" t="s">
        <v>22372</v>
      </c>
      <c r="AC1326" t="s">
        <v>74</v>
      </c>
      <c r="AD1326" t="s">
        <v>74</v>
      </c>
      <c r="AE1326" t="s">
        <v>74</v>
      </c>
      <c r="AF1326" t="s">
        <v>74</v>
      </c>
      <c r="AG1326">
        <v>47</v>
      </c>
      <c r="AH1326">
        <v>0</v>
      </c>
      <c r="AI1326">
        <v>0</v>
      </c>
      <c r="AJ1326">
        <v>9</v>
      </c>
      <c r="AK1326">
        <v>10</v>
      </c>
      <c r="AL1326" t="s">
        <v>171</v>
      </c>
      <c r="AM1326" t="s">
        <v>172</v>
      </c>
      <c r="AN1326" t="s">
        <v>173</v>
      </c>
      <c r="AO1326" t="s">
        <v>3336</v>
      </c>
      <c r="AP1326" t="s">
        <v>3337</v>
      </c>
      <c r="AQ1326" t="s">
        <v>74</v>
      </c>
      <c r="AR1326" t="s">
        <v>3338</v>
      </c>
      <c r="AS1326" t="s">
        <v>3339</v>
      </c>
      <c r="AT1326" t="s">
        <v>455</v>
      </c>
      <c r="AU1326">
        <v>2024</v>
      </c>
      <c r="AV1326">
        <v>27</v>
      </c>
      <c r="AW1326">
        <v>5</v>
      </c>
      <c r="AX1326" t="s">
        <v>74</v>
      </c>
      <c r="AY1326" t="s">
        <v>74</v>
      </c>
      <c r="AZ1326" t="s">
        <v>74</v>
      </c>
      <c r="BA1326" t="s">
        <v>74</v>
      </c>
      <c r="BB1326">
        <v>585</v>
      </c>
      <c r="BC1326">
        <v>604</v>
      </c>
      <c r="BD1326" t="s">
        <v>74</v>
      </c>
      <c r="BE1326" t="s">
        <v>22373</v>
      </c>
      <c r="BF1326" t="str">
        <f>HYPERLINK("http://dx.doi.org/10.1177/13678779241239681","http://dx.doi.org/10.1177/13678779241239681")</f>
        <v>http://dx.doi.org/10.1177/13678779241239681</v>
      </c>
      <c r="BG1326" t="s">
        <v>74</v>
      </c>
      <c r="BH1326" t="s">
        <v>123</v>
      </c>
      <c r="BI1326">
        <v>20</v>
      </c>
      <c r="BJ1326" t="s">
        <v>2124</v>
      </c>
      <c r="BK1326" t="s">
        <v>2125</v>
      </c>
      <c r="BL1326" t="s">
        <v>2124</v>
      </c>
      <c r="BM1326" t="s">
        <v>22374</v>
      </c>
      <c r="BN1326" t="s">
        <v>74</v>
      </c>
      <c r="BO1326" t="s">
        <v>74</v>
      </c>
      <c r="BP1326" t="s">
        <v>74</v>
      </c>
      <c r="BQ1326" t="s">
        <v>74</v>
      </c>
      <c r="BR1326" t="s">
        <v>102</v>
      </c>
      <c r="BS1326" t="s">
        <v>22375</v>
      </c>
      <c r="BT1326" t="str">
        <f>HYPERLINK("https%3A%2F%2Fwww.webofscience.com%2Fwos%2Fwoscc%2Ffull-record%2FWOS:001193080800001","View Full Record in Web of Science")</f>
        <v>View Full Record in Web of Science</v>
      </c>
    </row>
    <row r="1327" spans="1:72" x14ac:dyDescent="0.35">
      <c r="A1327" t="s">
        <v>72</v>
      </c>
      <c r="B1327" t="s">
        <v>22376</v>
      </c>
      <c r="C1327" t="s">
        <v>74</v>
      </c>
      <c r="D1327" t="s">
        <v>74</v>
      </c>
      <c r="E1327" t="s">
        <v>74</v>
      </c>
      <c r="F1327" t="s">
        <v>22377</v>
      </c>
      <c r="G1327" t="s">
        <v>74</v>
      </c>
      <c r="H1327" t="s">
        <v>74</v>
      </c>
      <c r="I1327" t="s">
        <v>22378</v>
      </c>
      <c r="J1327" t="s">
        <v>21719</v>
      </c>
      <c r="K1327" t="s">
        <v>74</v>
      </c>
      <c r="L1327" t="s">
        <v>74</v>
      </c>
      <c r="M1327" t="s">
        <v>78</v>
      </c>
      <c r="N1327" t="s">
        <v>108</v>
      </c>
      <c r="O1327" t="s">
        <v>74</v>
      </c>
      <c r="P1327" t="s">
        <v>74</v>
      </c>
      <c r="Q1327" t="s">
        <v>74</v>
      </c>
      <c r="R1327" t="s">
        <v>74</v>
      </c>
      <c r="S1327" t="s">
        <v>74</v>
      </c>
      <c r="T1327" t="s">
        <v>22379</v>
      </c>
      <c r="U1327" t="s">
        <v>22380</v>
      </c>
      <c r="V1327" t="s">
        <v>22381</v>
      </c>
      <c r="W1327" t="s">
        <v>22382</v>
      </c>
      <c r="X1327" t="s">
        <v>22383</v>
      </c>
      <c r="Y1327" t="s">
        <v>22384</v>
      </c>
      <c r="Z1327" t="s">
        <v>22385</v>
      </c>
      <c r="AA1327" t="s">
        <v>74</v>
      </c>
      <c r="AB1327" t="s">
        <v>22386</v>
      </c>
      <c r="AC1327" t="s">
        <v>74</v>
      </c>
      <c r="AD1327" t="s">
        <v>74</v>
      </c>
      <c r="AE1327" t="s">
        <v>74</v>
      </c>
      <c r="AF1327" t="s">
        <v>74</v>
      </c>
      <c r="AG1327">
        <v>60</v>
      </c>
      <c r="AH1327">
        <v>10</v>
      </c>
      <c r="AI1327">
        <v>10</v>
      </c>
      <c r="AJ1327">
        <v>2</v>
      </c>
      <c r="AK1327">
        <v>14</v>
      </c>
      <c r="AL1327" t="s">
        <v>665</v>
      </c>
      <c r="AM1327" t="s">
        <v>666</v>
      </c>
      <c r="AN1327" t="s">
        <v>667</v>
      </c>
      <c r="AO1327" t="s">
        <v>21729</v>
      </c>
      <c r="AP1327" t="s">
        <v>74</v>
      </c>
      <c r="AQ1327" t="s">
        <v>74</v>
      </c>
      <c r="AR1327" t="s">
        <v>21730</v>
      </c>
      <c r="AS1327" t="s">
        <v>21731</v>
      </c>
      <c r="AT1327" t="s">
        <v>257</v>
      </c>
      <c r="AU1327">
        <v>2022</v>
      </c>
      <c r="AV1327">
        <v>11</v>
      </c>
      <c r="AW1327">
        <v>2</v>
      </c>
      <c r="AX1327" t="s">
        <v>74</v>
      </c>
      <c r="AY1327" t="s">
        <v>74</v>
      </c>
      <c r="AZ1327" t="s">
        <v>74</v>
      </c>
      <c r="BA1327" t="s">
        <v>74</v>
      </c>
      <c r="BB1327">
        <v>103</v>
      </c>
      <c r="BC1327">
        <v>109</v>
      </c>
      <c r="BD1327" t="s">
        <v>74</v>
      </c>
      <c r="BE1327" t="s">
        <v>22387</v>
      </c>
      <c r="BF1327" t="str">
        <f>HYPERLINK("http://dx.doi.org/10.1007/s13671-022-00359-4","http://dx.doi.org/10.1007/s13671-022-00359-4")</f>
        <v>http://dx.doi.org/10.1007/s13671-022-00359-4</v>
      </c>
      <c r="BG1327" t="s">
        <v>74</v>
      </c>
      <c r="BH1327" t="s">
        <v>4941</v>
      </c>
      <c r="BI1327">
        <v>7</v>
      </c>
      <c r="BJ1327" t="s">
        <v>1341</v>
      </c>
      <c r="BK1327" t="s">
        <v>125</v>
      </c>
      <c r="BL1327" t="s">
        <v>1341</v>
      </c>
      <c r="BM1327" t="s">
        <v>22388</v>
      </c>
      <c r="BN1327">
        <v>35493063</v>
      </c>
      <c r="BO1327" t="s">
        <v>3747</v>
      </c>
      <c r="BP1327" t="s">
        <v>74</v>
      </c>
      <c r="BQ1327" t="s">
        <v>74</v>
      </c>
      <c r="BR1327" t="s">
        <v>102</v>
      </c>
      <c r="BS1327" t="s">
        <v>22389</v>
      </c>
      <c r="BT1327" t="str">
        <f>HYPERLINK("https%3A%2F%2Fwww.webofscience.com%2Fwos%2Fwoscc%2Ffull-record%2FWOS:000788033400001","View Full Record in Web of Science")</f>
        <v>View Full Record in Web of Science</v>
      </c>
    </row>
    <row r="1328" spans="1:72" x14ac:dyDescent="0.35">
      <c r="A1328" t="s">
        <v>72</v>
      </c>
      <c r="B1328" t="s">
        <v>22390</v>
      </c>
      <c r="C1328" t="s">
        <v>74</v>
      </c>
      <c r="D1328" t="s">
        <v>74</v>
      </c>
      <c r="E1328" t="s">
        <v>74</v>
      </c>
      <c r="F1328" t="s">
        <v>22391</v>
      </c>
      <c r="G1328" t="s">
        <v>74</v>
      </c>
      <c r="H1328" t="s">
        <v>74</v>
      </c>
      <c r="I1328" t="s">
        <v>22392</v>
      </c>
      <c r="J1328" t="s">
        <v>1186</v>
      </c>
      <c r="K1328" t="s">
        <v>74</v>
      </c>
      <c r="L1328" t="s">
        <v>74</v>
      </c>
      <c r="M1328" t="s">
        <v>78</v>
      </c>
      <c r="N1328" t="s">
        <v>108</v>
      </c>
      <c r="O1328" t="s">
        <v>74</v>
      </c>
      <c r="P1328" t="s">
        <v>74</v>
      </c>
      <c r="Q1328" t="s">
        <v>74</v>
      </c>
      <c r="R1328" t="s">
        <v>74</v>
      </c>
      <c r="S1328" t="s">
        <v>74</v>
      </c>
      <c r="T1328" t="s">
        <v>22393</v>
      </c>
      <c r="U1328" t="s">
        <v>22394</v>
      </c>
      <c r="V1328" t="s">
        <v>22395</v>
      </c>
      <c r="W1328" t="s">
        <v>22396</v>
      </c>
      <c r="X1328" t="s">
        <v>22397</v>
      </c>
      <c r="Y1328" t="s">
        <v>22398</v>
      </c>
      <c r="Z1328" t="s">
        <v>22399</v>
      </c>
      <c r="AA1328" t="s">
        <v>74</v>
      </c>
      <c r="AB1328" t="s">
        <v>22400</v>
      </c>
      <c r="AC1328" t="s">
        <v>74</v>
      </c>
      <c r="AD1328" t="s">
        <v>74</v>
      </c>
      <c r="AE1328" t="s">
        <v>74</v>
      </c>
      <c r="AF1328" t="s">
        <v>74</v>
      </c>
      <c r="AG1328">
        <v>59</v>
      </c>
      <c r="AH1328">
        <v>14</v>
      </c>
      <c r="AI1328">
        <v>16</v>
      </c>
      <c r="AJ1328">
        <v>54</v>
      </c>
      <c r="AK1328">
        <v>384</v>
      </c>
      <c r="AL1328" t="s">
        <v>1195</v>
      </c>
      <c r="AM1328" t="s">
        <v>1196</v>
      </c>
      <c r="AN1328" t="s">
        <v>1197</v>
      </c>
      <c r="AO1328" t="s">
        <v>74</v>
      </c>
      <c r="AP1328" t="s">
        <v>1198</v>
      </c>
      <c r="AQ1328" t="s">
        <v>74</v>
      </c>
      <c r="AR1328" t="s">
        <v>1199</v>
      </c>
      <c r="AS1328" t="s">
        <v>1200</v>
      </c>
      <c r="AT1328" t="s">
        <v>297</v>
      </c>
      <c r="AU1328">
        <v>2022</v>
      </c>
      <c r="AV1328">
        <v>19</v>
      </c>
      <c r="AW1328">
        <v>16</v>
      </c>
      <c r="AX1328" t="s">
        <v>74</v>
      </c>
      <c r="AY1328" t="s">
        <v>74</v>
      </c>
      <c r="AZ1328" t="s">
        <v>74</v>
      </c>
      <c r="BA1328" t="s">
        <v>74</v>
      </c>
      <c r="BB1328" t="s">
        <v>74</v>
      </c>
      <c r="BC1328" t="s">
        <v>74</v>
      </c>
      <c r="BD1328">
        <v>10115</v>
      </c>
      <c r="BE1328" t="s">
        <v>22401</v>
      </c>
      <c r="BF1328" t="str">
        <f>HYPERLINK("http://dx.doi.org/10.3390/ijerph191610115","http://dx.doi.org/10.3390/ijerph191610115")</f>
        <v>http://dx.doi.org/10.3390/ijerph191610115</v>
      </c>
      <c r="BG1328" t="s">
        <v>74</v>
      </c>
      <c r="BH1328" t="s">
        <v>74</v>
      </c>
      <c r="BI1328">
        <v>13</v>
      </c>
      <c r="BJ1328" t="s">
        <v>1202</v>
      </c>
      <c r="BK1328" t="s">
        <v>182</v>
      </c>
      <c r="BL1328" t="s">
        <v>1203</v>
      </c>
      <c r="BM1328" t="s">
        <v>22402</v>
      </c>
      <c r="BN1328">
        <v>36011750</v>
      </c>
      <c r="BO1328" t="s">
        <v>394</v>
      </c>
      <c r="BP1328" t="s">
        <v>74</v>
      </c>
      <c r="BQ1328" t="s">
        <v>74</v>
      </c>
      <c r="BR1328" t="s">
        <v>102</v>
      </c>
      <c r="BS1328" t="s">
        <v>22403</v>
      </c>
      <c r="BT1328" t="str">
        <f>HYPERLINK("https%3A%2F%2Fwww.webofscience.com%2Fwos%2Fwoscc%2Ffull-record%2FWOS:000845636000001","View Full Record in Web of Science")</f>
        <v>View Full Record in Web of Science</v>
      </c>
    </row>
    <row r="1329" spans="1:72" x14ac:dyDescent="0.35">
      <c r="A1329" t="s">
        <v>72</v>
      </c>
      <c r="B1329" t="s">
        <v>22404</v>
      </c>
      <c r="C1329" t="s">
        <v>74</v>
      </c>
      <c r="D1329" t="s">
        <v>74</v>
      </c>
      <c r="E1329" t="s">
        <v>74</v>
      </c>
      <c r="F1329" t="s">
        <v>22405</v>
      </c>
      <c r="G1329" t="s">
        <v>74</v>
      </c>
      <c r="H1329" t="s">
        <v>74</v>
      </c>
      <c r="I1329" t="s">
        <v>22406</v>
      </c>
      <c r="J1329" t="s">
        <v>12248</v>
      </c>
      <c r="K1329" t="s">
        <v>74</v>
      </c>
      <c r="L1329" t="s">
        <v>74</v>
      </c>
      <c r="M1329" t="s">
        <v>78</v>
      </c>
      <c r="N1329" t="s">
        <v>108</v>
      </c>
      <c r="O1329" t="s">
        <v>74</v>
      </c>
      <c r="P1329" t="s">
        <v>74</v>
      </c>
      <c r="Q1329" t="s">
        <v>74</v>
      </c>
      <c r="R1329" t="s">
        <v>74</v>
      </c>
      <c r="S1329" t="s">
        <v>74</v>
      </c>
      <c r="T1329" t="s">
        <v>22407</v>
      </c>
      <c r="U1329" t="s">
        <v>22408</v>
      </c>
      <c r="V1329" t="s">
        <v>22409</v>
      </c>
      <c r="W1329" t="s">
        <v>22410</v>
      </c>
      <c r="X1329" t="s">
        <v>22411</v>
      </c>
      <c r="Y1329" t="s">
        <v>22412</v>
      </c>
      <c r="Z1329" t="s">
        <v>22413</v>
      </c>
      <c r="AA1329" t="s">
        <v>22414</v>
      </c>
      <c r="AB1329" t="s">
        <v>22415</v>
      </c>
      <c r="AC1329" t="s">
        <v>74</v>
      </c>
      <c r="AD1329" t="s">
        <v>74</v>
      </c>
      <c r="AE1329" t="s">
        <v>74</v>
      </c>
      <c r="AF1329" t="s">
        <v>74</v>
      </c>
      <c r="AG1329">
        <v>52</v>
      </c>
      <c r="AH1329">
        <v>11</v>
      </c>
      <c r="AI1329">
        <v>11</v>
      </c>
      <c r="AJ1329">
        <v>22</v>
      </c>
      <c r="AK1329">
        <v>47</v>
      </c>
      <c r="AL1329" t="s">
        <v>665</v>
      </c>
      <c r="AM1329" t="s">
        <v>666</v>
      </c>
      <c r="AN1329" t="s">
        <v>667</v>
      </c>
      <c r="AO1329" t="s">
        <v>12261</v>
      </c>
      <c r="AP1329" t="s">
        <v>12262</v>
      </c>
      <c r="AQ1329" t="s">
        <v>74</v>
      </c>
      <c r="AR1329" t="s">
        <v>12263</v>
      </c>
      <c r="AS1329" t="s">
        <v>12264</v>
      </c>
      <c r="AT1329" t="s">
        <v>178</v>
      </c>
      <c r="AU1329">
        <v>2024</v>
      </c>
      <c r="AV1329">
        <v>29</v>
      </c>
      <c r="AW1329">
        <v>2</v>
      </c>
      <c r="AX1329" t="s">
        <v>74</v>
      </c>
      <c r="AY1329" t="s">
        <v>74</v>
      </c>
      <c r="AZ1329" t="s">
        <v>74</v>
      </c>
      <c r="BA1329" t="s">
        <v>74</v>
      </c>
      <c r="BB1329">
        <v>2365</v>
      </c>
      <c r="BC1329">
        <v>2385</v>
      </c>
      <c r="BD1329" t="s">
        <v>74</v>
      </c>
      <c r="BE1329" t="s">
        <v>22416</v>
      </c>
      <c r="BF1329" t="str">
        <f>HYPERLINK("http://dx.doi.org/10.1007/s10639-023-11904-4","http://dx.doi.org/10.1007/s10639-023-11904-4")</f>
        <v>http://dx.doi.org/10.1007/s10639-023-11904-4</v>
      </c>
      <c r="BG1329" t="s">
        <v>74</v>
      </c>
      <c r="BH1329" t="s">
        <v>1954</v>
      </c>
      <c r="BI1329">
        <v>21</v>
      </c>
      <c r="BJ1329" t="s">
        <v>787</v>
      </c>
      <c r="BK1329" t="s">
        <v>99</v>
      </c>
      <c r="BL1329" t="s">
        <v>787</v>
      </c>
      <c r="BM1329" t="s">
        <v>21895</v>
      </c>
      <c r="BN1329">
        <v>37361804</v>
      </c>
      <c r="BO1329" t="s">
        <v>4154</v>
      </c>
      <c r="BP1329" t="s">
        <v>74</v>
      </c>
      <c r="BQ1329" t="s">
        <v>74</v>
      </c>
      <c r="BR1329" t="s">
        <v>102</v>
      </c>
      <c r="BS1329" t="s">
        <v>22417</v>
      </c>
      <c r="BT1329" t="str">
        <f>HYPERLINK("https%3A%2F%2Fwww.webofscience.com%2Fwos%2Fwoscc%2Ffull-record%2FWOS:001000494700001","View Full Record in Web of Science")</f>
        <v>View Full Record in Web of Science</v>
      </c>
    </row>
    <row r="1330" spans="1:72" x14ac:dyDescent="0.35">
      <c r="A1330" t="s">
        <v>72</v>
      </c>
      <c r="B1330" t="s">
        <v>22418</v>
      </c>
      <c r="C1330" t="s">
        <v>74</v>
      </c>
      <c r="D1330" t="s">
        <v>74</v>
      </c>
      <c r="E1330" t="s">
        <v>74</v>
      </c>
      <c r="F1330" t="s">
        <v>22419</v>
      </c>
      <c r="G1330" t="s">
        <v>74</v>
      </c>
      <c r="H1330" t="s">
        <v>74</v>
      </c>
      <c r="I1330" t="s">
        <v>22420</v>
      </c>
      <c r="J1330" t="s">
        <v>22421</v>
      </c>
      <c r="K1330" t="s">
        <v>74</v>
      </c>
      <c r="L1330" t="s">
        <v>74</v>
      </c>
      <c r="M1330" t="s">
        <v>78</v>
      </c>
      <c r="N1330" t="s">
        <v>108</v>
      </c>
      <c r="O1330" t="s">
        <v>74</v>
      </c>
      <c r="P1330" t="s">
        <v>74</v>
      </c>
      <c r="Q1330" t="s">
        <v>74</v>
      </c>
      <c r="R1330" t="s">
        <v>74</v>
      </c>
      <c r="S1330" t="s">
        <v>74</v>
      </c>
      <c r="T1330" t="s">
        <v>22422</v>
      </c>
      <c r="U1330" t="s">
        <v>74</v>
      </c>
      <c r="V1330" t="s">
        <v>22423</v>
      </c>
      <c r="W1330" t="s">
        <v>22424</v>
      </c>
      <c r="X1330" t="s">
        <v>22425</v>
      </c>
      <c r="Y1330" t="s">
        <v>22426</v>
      </c>
      <c r="Z1330" t="s">
        <v>22427</v>
      </c>
      <c r="AA1330" t="s">
        <v>22428</v>
      </c>
      <c r="AB1330" t="s">
        <v>22429</v>
      </c>
      <c r="AC1330" t="s">
        <v>74</v>
      </c>
      <c r="AD1330" t="s">
        <v>74</v>
      </c>
      <c r="AE1330" t="s">
        <v>74</v>
      </c>
      <c r="AF1330" t="s">
        <v>74</v>
      </c>
      <c r="AG1330">
        <v>39</v>
      </c>
      <c r="AH1330">
        <v>1</v>
      </c>
      <c r="AI1330">
        <v>1</v>
      </c>
      <c r="AJ1330">
        <v>4</v>
      </c>
      <c r="AK1330">
        <v>13</v>
      </c>
      <c r="AL1330" t="s">
        <v>3489</v>
      </c>
      <c r="AM1330" t="s">
        <v>3490</v>
      </c>
      <c r="AN1330" t="s">
        <v>3491</v>
      </c>
      <c r="AO1330" t="s">
        <v>22430</v>
      </c>
      <c r="AP1330" t="s">
        <v>22431</v>
      </c>
      <c r="AQ1330" t="s">
        <v>74</v>
      </c>
      <c r="AR1330" t="s">
        <v>22432</v>
      </c>
      <c r="AS1330" t="s">
        <v>22433</v>
      </c>
      <c r="AT1330" t="s">
        <v>297</v>
      </c>
      <c r="AU1330">
        <v>2023</v>
      </c>
      <c r="AV1330">
        <v>270</v>
      </c>
      <c r="AW1330">
        <v>8</v>
      </c>
      <c r="AX1330" t="s">
        <v>74</v>
      </c>
      <c r="AY1330" t="s">
        <v>74</v>
      </c>
      <c r="AZ1330" t="s">
        <v>74</v>
      </c>
      <c r="BA1330" t="s">
        <v>74</v>
      </c>
      <c r="BB1330">
        <v>4096</v>
      </c>
      <c r="BC1330">
        <v>4102</v>
      </c>
      <c r="BD1330" t="s">
        <v>74</v>
      </c>
      <c r="BE1330" t="s">
        <v>22434</v>
      </c>
      <c r="BF1330" t="str">
        <f>HYPERLINK("http://dx.doi.org/10.1007/s00415-023-11743-w","http://dx.doi.org/10.1007/s00415-023-11743-w")</f>
        <v>http://dx.doi.org/10.1007/s00415-023-11743-w</v>
      </c>
      <c r="BG1330" t="s">
        <v>74</v>
      </c>
      <c r="BH1330" t="s">
        <v>180</v>
      </c>
      <c r="BI1330">
        <v>7</v>
      </c>
      <c r="BJ1330" t="s">
        <v>8652</v>
      </c>
      <c r="BK1330" t="s">
        <v>209</v>
      </c>
      <c r="BL1330" t="s">
        <v>2258</v>
      </c>
      <c r="BM1330" t="s">
        <v>22435</v>
      </c>
      <c r="BN1330">
        <v>37202604</v>
      </c>
      <c r="BO1330" t="s">
        <v>74</v>
      </c>
      <c r="BP1330" t="s">
        <v>74</v>
      </c>
      <c r="BQ1330" t="s">
        <v>74</v>
      </c>
      <c r="BR1330" t="s">
        <v>102</v>
      </c>
      <c r="BS1330" t="s">
        <v>22436</v>
      </c>
      <c r="BT1330" t="str">
        <f>HYPERLINK("https%3A%2F%2Fwww.webofscience.com%2Fwos%2Fwoscc%2Ffull-record%2FWOS:000992109300003","View Full Record in Web of Science")</f>
        <v>View Full Record in Web of Science</v>
      </c>
    </row>
    <row r="1331" spans="1:72" x14ac:dyDescent="0.35">
      <c r="A1331" t="s">
        <v>72</v>
      </c>
      <c r="B1331" t="s">
        <v>22437</v>
      </c>
      <c r="C1331" t="s">
        <v>74</v>
      </c>
      <c r="D1331" t="s">
        <v>74</v>
      </c>
      <c r="E1331" t="s">
        <v>74</v>
      </c>
      <c r="F1331" t="s">
        <v>22438</v>
      </c>
      <c r="G1331" t="s">
        <v>74</v>
      </c>
      <c r="H1331" t="s">
        <v>74</v>
      </c>
      <c r="I1331" t="s">
        <v>22439</v>
      </c>
      <c r="J1331" t="s">
        <v>13233</v>
      </c>
      <c r="K1331" t="s">
        <v>74</v>
      </c>
      <c r="L1331" t="s">
        <v>74</v>
      </c>
      <c r="M1331" t="s">
        <v>78</v>
      </c>
      <c r="N1331" t="s">
        <v>108</v>
      </c>
      <c r="O1331" t="s">
        <v>74</v>
      </c>
      <c r="P1331" t="s">
        <v>74</v>
      </c>
      <c r="Q1331" t="s">
        <v>74</v>
      </c>
      <c r="R1331" t="s">
        <v>74</v>
      </c>
      <c r="S1331" t="s">
        <v>74</v>
      </c>
      <c r="T1331" t="s">
        <v>22440</v>
      </c>
      <c r="U1331" t="s">
        <v>22441</v>
      </c>
      <c r="V1331" t="s">
        <v>22442</v>
      </c>
      <c r="W1331" t="s">
        <v>22443</v>
      </c>
      <c r="X1331" t="s">
        <v>22444</v>
      </c>
      <c r="Y1331" t="s">
        <v>22445</v>
      </c>
      <c r="Z1331" t="s">
        <v>22446</v>
      </c>
      <c r="AA1331" t="s">
        <v>74</v>
      </c>
      <c r="AB1331" t="s">
        <v>22447</v>
      </c>
      <c r="AC1331" t="s">
        <v>22448</v>
      </c>
      <c r="AD1331" t="s">
        <v>22449</v>
      </c>
      <c r="AE1331" t="s">
        <v>22450</v>
      </c>
      <c r="AF1331" t="s">
        <v>74</v>
      </c>
      <c r="AG1331">
        <v>90</v>
      </c>
      <c r="AH1331">
        <v>3</v>
      </c>
      <c r="AI1331">
        <v>3</v>
      </c>
      <c r="AJ1331">
        <v>6</v>
      </c>
      <c r="AK1331">
        <v>43</v>
      </c>
      <c r="AL1331" t="s">
        <v>171</v>
      </c>
      <c r="AM1331" t="s">
        <v>172</v>
      </c>
      <c r="AN1331" t="s">
        <v>173</v>
      </c>
      <c r="AO1331" t="s">
        <v>13246</v>
      </c>
      <c r="AP1331" t="s">
        <v>74</v>
      </c>
      <c r="AQ1331" t="s">
        <v>74</v>
      </c>
      <c r="AR1331" t="s">
        <v>13233</v>
      </c>
      <c r="AS1331" t="s">
        <v>13247</v>
      </c>
      <c r="AT1331" t="s">
        <v>232</v>
      </c>
      <c r="AU1331">
        <v>2023</v>
      </c>
      <c r="AV1331">
        <v>13</v>
      </c>
      <c r="AW1331">
        <v>1</v>
      </c>
      <c r="AX1331" t="s">
        <v>74</v>
      </c>
      <c r="AY1331" t="s">
        <v>74</v>
      </c>
      <c r="AZ1331" t="s">
        <v>74</v>
      </c>
      <c r="BA1331" t="s">
        <v>74</v>
      </c>
      <c r="BB1331" t="s">
        <v>74</v>
      </c>
      <c r="BC1331" t="s">
        <v>74</v>
      </c>
      <c r="BD1331">
        <v>2.1582440221145152E+16</v>
      </c>
      <c r="BE1331" t="s">
        <v>22451</v>
      </c>
      <c r="BF1331" t="str">
        <f>HYPERLINK("http://dx.doi.org/10.1177/21582440221145154","http://dx.doi.org/10.1177/21582440221145154")</f>
        <v>http://dx.doi.org/10.1177/21582440221145154</v>
      </c>
      <c r="BG1331" t="s">
        <v>74</v>
      </c>
      <c r="BH1331" t="s">
        <v>74</v>
      </c>
      <c r="BI1331">
        <v>16</v>
      </c>
      <c r="BJ1331" t="s">
        <v>98</v>
      </c>
      <c r="BK1331" t="s">
        <v>99</v>
      </c>
      <c r="BL1331" t="s">
        <v>100</v>
      </c>
      <c r="BM1331" t="s">
        <v>22452</v>
      </c>
      <c r="BN1331" t="s">
        <v>74</v>
      </c>
      <c r="BO1331" t="s">
        <v>235</v>
      </c>
      <c r="BP1331" t="s">
        <v>74</v>
      </c>
      <c r="BQ1331" t="s">
        <v>74</v>
      </c>
      <c r="BR1331" t="s">
        <v>102</v>
      </c>
      <c r="BS1331" t="s">
        <v>22453</v>
      </c>
      <c r="BT1331" t="str">
        <f>HYPERLINK("https%3A%2F%2Fwww.webofscience.com%2Fwos%2Fwoscc%2Ffull-record%2FWOS:000998831300001","View Full Record in Web of Science")</f>
        <v>View Full Record in Web of Science</v>
      </c>
    </row>
    <row r="1332" spans="1:72" x14ac:dyDescent="0.35">
      <c r="A1332" t="s">
        <v>72</v>
      </c>
      <c r="B1332" t="s">
        <v>22454</v>
      </c>
      <c r="C1332" t="s">
        <v>74</v>
      </c>
      <c r="D1332" t="s">
        <v>74</v>
      </c>
      <c r="E1332" t="s">
        <v>74</v>
      </c>
      <c r="F1332" t="s">
        <v>22455</v>
      </c>
      <c r="G1332" t="s">
        <v>74</v>
      </c>
      <c r="H1332" t="s">
        <v>74</v>
      </c>
      <c r="I1332" t="s">
        <v>22456</v>
      </c>
      <c r="J1332" t="s">
        <v>4305</v>
      </c>
      <c r="K1332" t="s">
        <v>74</v>
      </c>
      <c r="L1332" t="s">
        <v>74</v>
      </c>
      <c r="M1332" t="s">
        <v>78</v>
      </c>
      <c r="N1332" t="s">
        <v>79</v>
      </c>
      <c r="O1332" t="s">
        <v>74</v>
      </c>
      <c r="P1332" t="s">
        <v>74</v>
      </c>
      <c r="Q1332" t="s">
        <v>74</v>
      </c>
      <c r="R1332" t="s">
        <v>74</v>
      </c>
      <c r="S1332" t="s">
        <v>74</v>
      </c>
      <c r="T1332" t="s">
        <v>22457</v>
      </c>
      <c r="U1332" t="s">
        <v>22458</v>
      </c>
      <c r="V1332" t="s">
        <v>22459</v>
      </c>
      <c r="W1332" t="s">
        <v>22460</v>
      </c>
      <c r="X1332" t="s">
        <v>22461</v>
      </c>
      <c r="Y1332" t="s">
        <v>22462</v>
      </c>
      <c r="Z1332" t="s">
        <v>22463</v>
      </c>
      <c r="AA1332" t="s">
        <v>74</v>
      </c>
      <c r="AB1332" t="s">
        <v>22464</v>
      </c>
      <c r="AC1332" t="s">
        <v>74</v>
      </c>
      <c r="AD1332" t="s">
        <v>74</v>
      </c>
      <c r="AE1332" t="s">
        <v>74</v>
      </c>
      <c r="AF1332" t="s">
        <v>74</v>
      </c>
      <c r="AG1332">
        <v>47</v>
      </c>
      <c r="AH1332">
        <v>1</v>
      </c>
      <c r="AI1332">
        <v>1</v>
      </c>
      <c r="AJ1332">
        <v>0</v>
      </c>
      <c r="AK1332">
        <v>5</v>
      </c>
      <c r="AL1332" t="s">
        <v>199</v>
      </c>
      <c r="AM1332" t="s">
        <v>200</v>
      </c>
      <c r="AN1332" t="s">
        <v>471</v>
      </c>
      <c r="AO1332" t="s">
        <v>4316</v>
      </c>
      <c r="AP1332" t="s">
        <v>4317</v>
      </c>
      <c r="AQ1332" t="s">
        <v>74</v>
      </c>
      <c r="AR1332" t="s">
        <v>4318</v>
      </c>
      <c r="AS1332" t="s">
        <v>4319</v>
      </c>
      <c r="AT1332" t="s">
        <v>22465</v>
      </c>
      <c r="AU1332">
        <v>2023</v>
      </c>
      <c r="AV1332" t="s">
        <v>74</v>
      </c>
      <c r="AW1332" t="s">
        <v>74</v>
      </c>
      <c r="AX1332" t="s">
        <v>74</v>
      </c>
      <c r="AY1332" t="s">
        <v>74</v>
      </c>
      <c r="AZ1332" t="s">
        <v>74</v>
      </c>
      <c r="BA1332" t="s">
        <v>74</v>
      </c>
      <c r="BB1332" t="s">
        <v>74</v>
      </c>
      <c r="BC1332" t="s">
        <v>74</v>
      </c>
      <c r="BD1332" t="s">
        <v>74</v>
      </c>
      <c r="BE1332" t="s">
        <v>22466</v>
      </c>
      <c r="BF1332" t="str">
        <f>HYPERLINK("http://dx.doi.org/10.1108/JICES-06-2022-0059","http://dx.doi.org/10.1108/JICES-06-2022-0059")</f>
        <v>http://dx.doi.org/10.1108/JICES-06-2022-0059</v>
      </c>
      <c r="BG1332" t="s">
        <v>74</v>
      </c>
      <c r="BH1332" t="s">
        <v>3638</v>
      </c>
      <c r="BI1332">
        <v>14</v>
      </c>
      <c r="BJ1332" t="s">
        <v>4322</v>
      </c>
      <c r="BK1332" t="s">
        <v>125</v>
      </c>
      <c r="BL1332" t="s">
        <v>100</v>
      </c>
      <c r="BM1332" t="s">
        <v>22467</v>
      </c>
      <c r="BN1332" t="s">
        <v>74</v>
      </c>
      <c r="BO1332" t="s">
        <v>74</v>
      </c>
      <c r="BP1332" t="s">
        <v>74</v>
      </c>
      <c r="BQ1332" t="s">
        <v>74</v>
      </c>
      <c r="BR1332" t="s">
        <v>102</v>
      </c>
      <c r="BS1332" t="s">
        <v>22468</v>
      </c>
      <c r="BT1332" t="str">
        <f>HYPERLINK("https%3A%2F%2Fwww.webofscience.com%2Fwos%2Fwoscc%2Ffull-record%2FWOS:000919220800001","View Full Record in Web of Science")</f>
        <v>View Full Record in Web of Science</v>
      </c>
    </row>
    <row r="1333" spans="1:72" x14ac:dyDescent="0.35">
      <c r="A1333" t="s">
        <v>72</v>
      </c>
      <c r="B1333" t="s">
        <v>22469</v>
      </c>
      <c r="C1333" t="s">
        <v>74</v>
      </c>
      <c r="D1333" t="s">
        <v>74</v>
      </c>
      <c r="E1333" t="s">
        <v>74</v>
      </c>
      <c r="F1333" t="s">
        <v>22470</v>
      </c>
      <c r="G1333" t="s">
        <v>74</v>
      </c>
      <c r="H1333" t="s">
        <v>74</v>
      </c>
      <c r="I1333" t="s">
        <v>22471</v>
      </c>
      <c r="J1333" t="s">
        <v>1186</v>
      </c>
      <c r="K1333" t="s">
        <v>74</v>
      </c>
      <c r="L1333" t="s">
        <v>74</v>
      </c>
      <c r="M1333" t="s">
        <v>78</v>
      </c>
      <c r="N1333" t="s">
        <v>108</v>
      </c>
      <c r="O1333" t="s">
        <v>74</v>
      </c>
      <c r="P1333" t="s">
        <v>74</v>
      </c>
      <c r="Q1333" t="s">
        <v>74</v>
      </c>
      <c r="R1333" t="s">
        <v>74</v>
      </c>
      <c r="S1333" t="s">
        <v>74</v>
      </c>
      <c r="T1333" t="s">
        <v>22472</v>
      </c>
      <c r="U1333" t="s">
        <v>22473</v>
      </c>
      <c r="V1333" t="s">
        <v>22474</v>
      </c>
      <c r="W1333" t="s">
        <v>22475</v>
      </c>
      <c r="X1333" t="s">
        <v>22476</v>
      </c>
      <c r="Y1333" t="s">
        <v>22477</v>
      </c>
      <c r="Z1333" t="s">
        <v>22478</v>
      </c>
      <c r="AA1333" t="s">
        <v>22479</v>
      </c>
      <c r="AB1333" t="s">
        <v>22480</v>
      </c>
      <c r="AC1333" t="s">
        <v>22481</v>
      </c>
      <c r="AD1333" t="s">
        <v>22482</v>
      </c>
      <c r="AE1333" t="s">
        <v>22483</v>
      </c>
      <c r="AF1333" t="s">
        <v>74</v>
      </c>
      <c r="AG1333">
        <v>56</v>
      </c>
      <c r="AH1333">
        <v>1</v>
      </c>
      <c r="AI1333">
        <v>1</v>
      </c>
      <c r="AJ1333">
        <v>17</v>
      </c>
      <c r="AK1333">
        <v>66</v>
      </c>
      <c r="AL1333" t="s">
        <v>1195</v>
      </c>
      <c r="AM1333" t="s">
        <v>1196</v>
      </c>
      <c r="AN1333" t="s">
        <v>1197</v>
      </c>
      <c r="AO1333" t="s">
        <v>74</v>
      </c>
      <c r="AP1333" t="s">
        <v>1198</v>
      </c>
      <c r="AQ1333" t="s">
        <v>74</v>
      </c>
      <c r="AR1333" t="s">
        <v>1199</v>
      </c>
      <c r="AS1333" t="s">
        <v>1200</v>
      </c>
      <c r="AT1333" t="s">
        <v>523</v>
      </c>
      <c r="AU1333">
        <v>2022</v>
      </c>
      <c r="AV1333">
        <v>19</v>
      </c>
      <c r="AW1333">
        <v>21</v>
      </c>
      <c r="AX1333" t="s">
        <v>74</v>
      </c>
      <c r="AY1333" t="s">
        <v>74</v>
      </c>
      <c r="AZ1333" t="s">
        <v>74</v>
      </c>
      <c r="BA1333" t="s">
        <v>74</v>
      </c>
      <c r="BB1333" t="s">
        <v>74</v>
      </c>
      <c r="BC1333" t="s">
        <v>74</v>
      </c>
      <c r="BD1333">
        <v>13815</v>
      </c>
      <c r="BE1333" t="s">
        <v>22484</v>
      </c>
      <c r="BF1333" t="str">
        <f>HYPERLINK("http://dx.doi.org/10.3390/ijerph192113815","http://dx.doi.org/10.3390/ijerph192113815")</f>
        <v>http://dx.doi.org/10.3390/ijerph192113815</v>
      </c>
      <c r="BG1333" t="s">
        <v>74</v>
      </c>
      <c r="BH1333" t="s">
        <v>74</v>
      </c>
      <c r="BI1333">
        <v>11</v>
      </c>
      <c r="BJ1333" t="s">
        <v>1202</v>
      </c>
      <c r="BK1333" t="s">
        <v>182</v>
      </c>
      <c r="BL1333" t="s">
        <v>1203</v>
      </c>
      <c r="BM1333" t="s">
        <v>22485</v>
      </c>
      <c r="BN1333">
        <v>36360695</v>
      </c>
      <c r="BO1333" t="s">
        <v>394</v>
      </c>
      <c r="BP1333" t="s">
        <v>74</v>
      </c>
      <c r="BQ1333" t="s">
        <v>74</v>
      </c>
      <c r="BR1333" t="s">
        <v>102</v>
      </c>
      <c r="BS1333" t="s">
        <v>22486</v>
      </c>
      <c r="BT1333" t="str">
        <f>HYPERLINK("https%3A%2F%2Fwww.webofscience.com%2Fwos%2Fwoscc%2Ffull-record%2FWOS:000882229700001","View Full Record in Web of Science")</f>
        <v>View Full Record in Web of Science</v>
      </c>
    </row>
    <row r="1334" spans="1:72" x14ac:dyDescent="0.35">
      <c r="A1334" t="s">
        <v>72</v>
      </c>
      <c r="B1334" t="s">
        <v>22487</v>
      </c>
      <c r="C1334" t="s">
        <v>74</v>
      </c>
      <c r="D1334" t="s">
        <v>74</v>
      </c>
      <c r="E1334" t="s">
        <v>74</v>
      </c>
      <c r="F1334" t="s">
        <v>22488</v>
      </c>
      <c r="G1334" t="s">
        <v>74</v>
      </c>
      <c r="H1334" t="s">
        <v>74</v>
      </c>
      <c r="I1334" t="s">
        <v>22489</v>
      </c>
      <c r="J1334" t="s">
        <v>22490</v>
      </c>
      <c r="K1334" t="s">
        <v>74</v>
      </c>
      <c r="L1334" t="s">
        <v>74</v>
      </c>
      <c r="M1334" t="s">
        <v>78</v>
      </c>
      <c r="N1334" t="s">
        <v>108</v>
      </c>
      <c r="O1334" t="s">
        <v>74</v>
      </c>
      <c r="P1334" t="s">
        <v>74</v>
      </c>
      <c r="Q1334" t="s">
        <v>74</v>
      </c>
      <c r="R1334" t="s">
        <v>74</v>
      </c>
      <c r="S1334" t="s">
        <v>74</v>
      </c>
      <c r="T1334" t="s">
        <v>22491</v>
      </c>
      <c r="U1334" t="s">
        <v>74</v>
      </c>
      <c r="V1334" t="s">
        <v>22492</v>
      </c>
      <c r="W1334" t="s">
        <v>22493</v>
      </c>
      <c r="X1334" t="s">
        <v>22494</v>
      </c>
      <c r="Y1334" t="s">
        <v>22495</v>
      </c>
      <c r="Z1334" t="s">
        <v>22496</v>
      </c>
      <c r="AA1334" t="s">
        <v>22497</v>
      </c>
      <c r="AB1334" t="s">
        <v>22498</v>
      </c>
      <c r="AC1334" t="s">
        <v>74</v>
      </c>
      <c r="AD1334" t="s">
        <v>74</v>
      </c>
      <c r="AE1334" t="s">
        <v>74</v>
      </c>
      <c r="AF1334" t="s">
        <v>74</v>
      </c>
      <c r="AG1334">
        <v>9</v>
      </c>
      <c r="AH1334">
        <v>2</v>
      </c>
      <c r="AI1334">
        <v>2</v>
      </c>
      <c r="AJ1334">
        <v>1</v>
      </c>
      <c r="AK1334">
        <v>11</v>
      </c>
      <c r="AL1334" t="s">
        <v>88</v>
      </c>
      <c r="AM1334" t="s">
        <v>89</v>
      </c>
      <c r="AN1334" t="s">
        <v>90</v>
      </c>
      <c r="AO1334" t="s">
        <v>22499</v>
      </c>
      <c r="AP1334" t="s">
        <v>22500</v>
      </c>
      <c r="AQ1334" t="s">
        <v>74</v>
      </c>
      <c r="AR1334" t="s">
        <v>22501</v>
      </c>
      <c r="AS1334" t="s">
        <v>22502</v>
      </c>
      <c r="AT1334" t="s">
        <v>22121</v>
      </c>
      <c r="AU1334">
        <v>2023</v>
      </c>
      <c r="AV1334">
        <v>30</v>
      </c>
      <c r="AW1334">
        <v>19</v>
      </c>
      <c r="AX1334" t="s">
        <v>74</v>
      </c>
      <c r="AY1334" t="s">
        <v>74</v>
      </c>
      <c r="AZ1334" t="s">
        <v>74</v>
      </c>
      <c r="BA1334" t="s">
        <v>74</v>
      </c>
      <c r="BB1334">
        <v>2841</v>
      </c>
      <c r="BC1334">
        <v>2847</v>
      </c>
      <c r="BD1334" t="s">
        <v>74</v>
      </c>
      <c r="BE1334" t="s">
        <v>22503</v>
      </c>
      <c r="BF1334" t="str">
        <f>HYPERLINK("http://dx.doi.org/10.1080/13504851.2022.2110209","http://dx.doi.org/10.1080/13504851.2022.2110209")</f>
        <v>http://dx.doi.org/10.1080/13504851.2022.2110209</v>
      </c>
      <c r="BG1334" t="s">
        <v>74</v>
      </c>
      <c r="BH1334" t="s">
        <v>1527</v>
      </c>
      <c r="BI1334">
        <v>7</v>
      </c>
      <c r="BJ1334" t="s">
        <v>675</v>
      </c>
      <c r="BK1334" t="s">
        <v>99</v>
      </c>
      <c r="BL1334" t="s">
        <v>480</v>
      </c>
      <c r="BM1334" t="s">
        <v>22504</v>
      </c>
      <c r="BN1334" t="s">
        <v>74</v>
      </c>
      <c r="BO1334" t="s">
        <v>22505</v>
      </c>
      <c r="BP1334" t="s">
        <v>74</v>
      </c>
      <c r="BQ1334" t="s">
        <v>74</v>
      </c>
      <c r="BR1334" t="s">
        <v>102</v>
      </c>
      <c r="BS1334" t="s">
        <v>22506</v>
      </c>
      <c r="BT1334" t="str">
        <f>HYPERLINK("https%3A%2F%2Fwww.webofscience.com%2Fwos%2Fwoscc%2Ffull-record%2FWOS:000839462100001","View Full Record in Web of Science")</f>
        <v>View Full Record in Web of Science</v>
      </c>
    </row>
    <row r="1335" spans="1:72" x14ac:dyDescent="0.35">
      <c r="A1335" t="s">
        <v>72</v>
      </c>
      <c r="B1335" t="s">
        <v>22507</v>
      </c>
      <c r="C1335" t="s">
        <v>74</v>
      </c>
      <c r="D1335" t="s">
        <v>74</v>
      </c>
      <c r="E1335" t="s">
        <v>74</v>
      </c>
      <c r="F1335" t="s">
        <v>22508</v>
      </c>
      <c r="G1335" t="s">
        <v>74</v>
      </c>
      <c r="H1335" t="s">
        <v>74</v>
      </c>
      <c r="I1335" t="s">
        <v>22509</v>
      </c>
      <c r="J1335" t="s">
        <v>18202</v>
      </c>
      <c r="K1335" t="s">
        <v>74</v>
      </c>
      <c r="L1335" t="s">
        <v>74</v>
      </c>
      <c r="M1335" t="s">
        <v>78</v>
      </c>
      <c r="N1335" t="s">
        <v>108</v>
      </c>
      <c r="O1335" t="s">
        <v>74</v>
      </c>
      <c r="P1335" t="s">
        <v>74</v>
      </c>
      <c r="Q1335" t="s">
        <v>74</v>
      </c>
      <c r="R1335" t="s">
        <v>74</v>
      </c>
      <c r="S1335" t="s">
        <v>74</v>
      </c>
      <c r="T1335" t="s">
        <v>22510</v>
      </c>
      <c r="U1335" t="s">
        <v>22511</v>
      </c>
      <c r="V1335" t="s">
        <v>22512</v>
      </c>
      <c r="W1335" t="s">
        <v>22513</v>
      </c>
      <c r="X1335" t="s">
        <v>22514</v>
      </c>
      <c r="Y1335" t="s">
        <v>22515</v>
      </c>
      <c r="Z1335" t="s">
        <v>22516</v>
      </c>
      <c r="AA1335" t="s">
        <v>74</v>
      </c>
      <c r="AB1335" t="s">
        <v>74</v>
      </c>
      <c r="AC1335" t="s">
        <v>74</v>
      </c>
      <c r="AD1335" t="s">
        <v>74</v>
      </c>
      <c r="AE1335" t="s">
        <v>74</v>
      </c>
      <c r="AF1335" t="s">
        <v>74</v>
      </c>
      <c r="AG1335">
        <v>82</v>
      </c>
      <c r="AH1335">
        <v>0</v>
      </c>
      <c r="AI1335">
        <v>0</v>
      </c>
      <c r="AJ1335">
        <v>16</v>
      </c>
      <c r="AK1335">
        <v>65</v>
      </c>
      <c r="AL1335" t="s">
        <v>2382</v>
      </c>
      <c r="AM1335" t="s">
        <v>227</v>
      </c>
      <c r="AN1335" t="s">
        <v>2383</v>
      </c>
      <c r="AO1335" t="s">
        <v>18211</v>
      </c>
      <c r="AP1335" t="s">
        <v>74</v>
      </c>
      <c r="AQ1335" t="s">
        <v>74</v>
      </c>
      <c r="AR1335" t="s">
        <v>18212</v>
      </c>
      <c r="AS1335" t="s">
        <v>18213</v>
      </c>
      <c r="AT1335" t="s">
        <v>1447</v>
      </c>
      <c r="AU1335">
        <v>2023</v>
      </c>
      <c r="AV1335">
        <v>11</v>
      </c>
      <c r="AW1335">
        <v>1</v>
      </c>
      <c r="AX1335" t="s">
        <v>74</v>
      </c>
      <c r="AY1335" t="s">
        <v>74</v>
      </c>
      <c r="AZ1335" t="s">
        <v>74</v>
      </c>
      <c r="BA1335" t="s">
        <v>74</v>
      </c>
      <c r="BB1335" t="s">
        <v>74</v>
      </c>
      <c r="BC1335" t="s">
        <v>74</v>
      </c>
      <c r="BD1335">
        <v>108</v>
      </c>
      <c r="BE1335" t="s">
        <v>22517</v>
      </c>
      <c r="BF1335" t="str">
        <f>HYPERLINK("http://dx.doi.org/10.1186/s40337-023-00829-5","http://dx.doi.org/10.1186/s40337-023-00829-5")</f>
        <v>http://dx.doi.org/10.1186/s40337-023-00829-5</v>
      </c>
      <c r="BG1335" t="s">
        <v>74</v>
      </c>
      <c r="BH1335" t="s">
        <v>74</v>
      </c>
      <c r="BI1335">
        <v>21</v>
      </c>
      <c r="BJ1335" t="s">
        <v>18215</v>
      </c>
      <c r="BK1335" t="s">
        <v>182</v>
      </c>
      <c r="BL1335" t="s">
        <v>5973</v>
      </c>
      <c r="BM1335" t="s">
        <v>18216</v>
      </c>
      <c r="BN1335">
        <v>37400914</v>
      </c>
      <c r="BO1335" t="s">
        <v>13707</v>
      </c>
      <c r="BP1335" t="s">
        <v>74</v>
      </c>
      <c r="BQ1335" t="s">
        <v>74</v>
      </c>
      <c r="BR1335" t="s">
        <v>102</v>
      </c>
      <c r="BS1335" t="s">
        <v>22518</v>
      </c>
      <c r="BT1335" t="str">
        <f>HYPERLINK("https%3A%2F%2Fwww.webofscience.com%2Fwos%2Fwoscc%2Ffull-record%2FWOS:001022863600002","View Full Record in Web of Science")</f>
        <v>View Full Record in Web of Science</v>
      </c>
    </row>
    <row r="1336" spans="1:72" x14ac:dyDescent="0.35">
      <c r="A1336" t="s">
        <v>72</v>
      </c>
      <c r="B1336" t="s">
        <v>22519</v>
      </c>
      <c r="C1336" t="s">
        <v>74</v>
      </c>
      <c r="D1336" t="s">
        <v>74</v>
      </c>
      <c r="E1336" t="s">
        <v>74</v>
      </c>
      <c r="F1336" t="s">
        <v>22520</v>
      </c>
      <c r="G1336" t="s">
        <v>74</v>
      </c>
      <c r="H1336" t="s">
        <v>74</v>
      </c>
      <c r="I1336" t="s">
        <v>22521</v>
      </c>
      <c r="J1336" t="s">
        <v>19370</v>
      </c>
      <c r="K1336" t="s">
        <v>74</v>
      </c>
      <c r="L1336" t="s">
        <v>74</v>
      </c>
      <c r="M1336" t="s">
        <v>78</v>
      </c>
      <c r="N1336" t="s">
        <v>108</v>
      </c>
      <c r="O1336" t="s">
        <v>74</v>
      </c>
      <c r="P1336" t="s">
        <v>74</v>
      </c>
      <c r="Q1336" t="s">
        <v>74</v>
      </c>
      <c r="R1336" t="s">
        <v>74</v>
      </c>
      <c r="S1336" t="s">
        <v>74</v>
      </c>
      <c r="T1336" t="s">
        <v>22522</v>
      </c>
      <c r="U1336" t="s">
        <v>22523</v>
      </c>
      <c r="V1336" t="s">
        <v>22524</v>
      </c>
      <c r="W1336" t="s">
        <v>22525</v>
      </c>
      <c r="X1336" t="s">
        <v>6275</v>
      </c>
      <c r="Y1336" t="s">
        <v>22526</v>
      </c>
      <c r="Z1336" t="s">
        <v>22527</v>
      </c>
      <c r="AA1336" t="s">
        <v>6278</v>
      </c>
      <c r="AB1336" t="s">
        <v>74</v>
      </c>
      <c r="AC1336" t="s">
        <v>74</v>
      </c>
      <c r="AD1336" t="s">
        <v>74</v>
      </c>
      <c r="AE1336" t="s">
        <v>74</v>
      </c>
      <c r="AF1336" t="s">
        <v>74</v>
      </c>
      <c r="AG1336">
        <v>78</v>
      </c>
      <c r="AH1336">
        <v>0</v>
      </c>
      <c r="AI1336">
        <v>0</v>
      </c>
      <c r="AJ1336">
        <v>2</v>
      </c>
      <c r="AK1336">
        <v>9</v>
      </c>
      <c r="AL1336" t="s">
        <v>199</v>
      </c>
      <c r="AM1336" t="s">
        <v>200</v>
      </c>
      <c r="AN1336" t="s">
        <v>201</v>
      </c>
      <c r="AO1336" t="s">
        <v>19378</v>
      </c>
      <c r="AP1336" t="s">
        <v>19379</v>
      </c>
      <c r="AQ1336" t="s">
        <v>74</v>
      </c>
      <c r="AR1336" t="s">
        <v>19380</v>
      </c>
      <c r="AS1336" t="s">
        <v>19381</v>
      </c>
      <c r="AT1336" t="s">
        <v>15659</v>
      </c>
      <c r="AU1336">
        <v>2023</v>
      </c>
      <c r="AV1336">
        <v>124</v>
      </c>
      <c r="AW1336" t="s">
        <v>22528</v>
      </c>
      <c r="AX1336" t="s">
        <v>74</v>
      </c>
      <c r="AY1336" t="s">
        <v>74</v>
      </c>
      <c r="AZ1336" t="s">
        <v>74</v>
      </c>
      <c r="BA1336" t="s">
        <v>74</v>
      </c>
      <c r="BB1336">
        <v>149</v>
      </c>
      <c r="BC1336">
        <v>167</v>
      </c>
      <c r="BD1336" t="s">
        <v>74</v>
      </c>
      <c r="BE1336" t="s">
        <v>22529</v>
      </c>
      <c r="BF1336" t="str">
        <f>HYPERLINK("http://dx.doi.org/10.1108/ILS-02-2023-0016","http://dx.doi.org/10.1108/ILS-02-2023-0016")</f>
        <v>http://dx.doi.org/10.1108/ILS-02-2023-0016</v>
      </c>
      <c r="BG1336" t="s">
        <v>74</v>
      </c>
      <c r="BH1336" t="s">
        <v>1954</v>
      </c>
      <c r="BI1336">
        <v>19</v>
      </c>
      <c r="BJ1336" t="s">
        <v>1162</v>
      </c>
      <c r="BK1336" t="s">
        <v>125</v>
      </c>
      <c r="BL1336" t="s">
        <v>1162</v>
      </c>
      <c r="BM1336" t="s">
        <v>22530</v>
      </c>
      <c r="BN1336" t="s">
        <v>74</v>
      </c>
      <c r="BO1336" t="s">
        <v>74</v>
      </c>
      <c r="BP1336" t="s">
        <v>74</v>
      </c>
      <c r="BQ1336" t="s">
        <v>74</v>
      </c>
      <c r="BR1336" t="s">
        <v>102</v>
      </c>
      <c r="BS1336" t="s">
        <v>22531</v>
      </c>
      <c r="BT1336" t="str">
        <f>HYPERLINK("https%3A%2F%2Fwww.webofscience.com%2Fwos%2Fwoscc%2Ffull-record%2FWOS:000998606000001","View Full Record in Web of Science")</f>
        <v>View Full Record in Web of Science</v>
      </c>
    </row>
    <row r="1337" spans="1:72" x14ac:dyDescent="0.35">
      <c r="A1337" t="s">
        <v>72</v>
      </c>
      <c r="B1337" t="s">
        <v>22532</v>
      </c>
      <c r="C1337" t="s">
        <v>74</v>
      </c>
      <c r="D1337" t="s">
        <v>74</v>
      </c>
      <c r="E1337" t="s">
        <v>74</v>
      </c>
      <c r="F1337" t="s">
        <v>22533</v>
      </c>
      <c r="G1337" t="s">
        <v>74</v>
      </c>
      <c r="H1337" t="s">
        <v>74</v>
      </c>
      <c r="I1337" t="s">
        <v>22534</v>
      </c>
      <c r="J1337" t="s">
        <v>16936</v>
      </c>
      <c r="K1337" t="s">
        <v>74</v>
      </c>
      <c r="L1337" t="s">
        <v>74</v>
      </c>
      <c r="M1337" t="s">
        <v>78</v>
      </c>
      <c r="N1337" t="s">
        <v>108</v>
      </c>
      <c r="O1337" t="s">
        <v>74</v>
      </c>
      <c r="P1337" t="s">
        <v>74</v>
      </c>
      <c r="Q1337" t="s">
        <v>74</v>
      </c>
      <c r="R1337" t="s">
        <v>74</v>
      </c>
      <c r="S1337" t="s">
        <v>74</v>
      </c>
      <c r="T1337" t="s">
        <v>22535</v>
      </c>
      <c r="U1337" t="s">
        <v>22536</v>
      </c>
      <c r="V1337" t="s">
        <v>22537</v>
      </c>
      <c r="W1337" t="s">
        <v>22538</v>
      </c>
      <c r="X1337" t="s">
        <v>22539</v>
      </c>
      <c r="Y1337" t="s">
        <v>22540</v>
      </c>
      <c r="Z1337" t="s">
        <v>22541</v>
      </c>
      <c r="AA1337" t="s">
        <v>22542</v>
      </c>
      <c r="AB1337" t="s">
        <v>22543</v>
      </c>
      <c r="AC1337" t="s">
        <v>74</v>
      </c>
      <c r="AD1337" t="s">
        <v>74</v>
      </c>
      <c r="AE1337" t="s">
        <v>74</v>
      </c>
      <c r="AF1337" t="s">
        <v>74</v>
      </c>
      <c r="AG1337">
        <v>25</v>
      </c>
      <c r="AH1337">
        <v>0</v>
      </c>
      <c r="AI1337">
        <v>0</v>
      </c>
      <c r="AJ1337">
        <v>2</v>
      </c>
      <c r="AK1337">
        <v>3</v>
      </c>
      <c r="AL1337" t="s">
        <v>1965</v>
      </c>
      <c r="AM1337" t="s">
        <v>666</v>
      </c>
      <c r="AN1337" t="s">
        <v>1966</v>
      </c>
      <c r="AO1337" t="s">
        <v>16945</v>
      </c>
      <c r="AP1337" t="s">
        <v>16946</v>
      </c>
      <c r="AQ1337" t="s">
        <v>74</v>
      </c>
      <c r="AR1337" t="s">
        <v>16947</v>
      </c>
      <c r="AS1337" t="s">
        <v>16948</v>
      </c>
      <c r="AT1337" t="s">
        <v>178</v>
      </c>
      <c r="AU1337">
        <v>2024</v>
      </c>
      <c r="AV1337">
        <v>37</v>
      </c>
      <c r="AW1337">
        <v>1</v>
      </c>
      <c r="AX1337" t="s">
        <v>74</v>
      </c>
      <c r="AY1337" t="s">
        <v>74</v>
      </c>
      <c r="AZ1337" t="s">
        <v>74</v>
      </c>
      <c r="BA1337" t="s">
        <v>74</v>
      </c>
      <c r="BB1337">
        <v>39</v>
      </c>
      <c r="BC1337">
        <v>44</v>
      </c>
      <c r="BD1337" t="s">
        <v>74</v>
      </c>
      <c r="BE1337" t="s">
        <v>22544</v>
      </c>
      <c r="BF1337" t="str">
        <f>HYPERLINK("http://dx.doi.org/10.1016/j.jpag.2023.08.004","http://dx.doi.org/10.1016/j.jpag.2023.08.004")</f>
        <v>http://dx.doi.org/10.1016/j.jpag.2023.08.004</v>
      </c>
      <c r="BG1337" t="s">
        <v>74</v>
      </c>
      <c r="BH1337" t="s">
        <v>1377</v>
      </c>
      <c r="BI1337">
        <v>6</v>
      </c>
      <c r="BJ1337" t="s">
        <v>16950</v>
      </c>
      <c r="BK1337" t="s">
        <v>209</v>
      </c>
      <c r="BL1337" t="s">
        <v>16950</v>
      </c>
      <c r="BM1337" t="s">
        <v>22545</v>
      </c>
      <c r="BN1337">
        <v>37634871</v>
      </c>
      <c r="BO1337" t="s">
        <v>74</v>
      </c>
      <c r="BP1337" t="s">
        <v>74</v>
      </c>
      <c r="BQ1337" t="s">
        <v>74</v>
      </c>
      <c r="BR1337" t="s">
        <v>102</v>
      </c>
      <c r="BS1337" t="s">
        <v>22546</v>
      </c>
      <c r="BT1337" t="str">
        <f>HYPERLINK("https%3A%2F%2Fwww.webofscience.com%2Fwos%2Fwoscc%2Ffull-record%2FWOS:001170498600001","View Full Record in Web of Science")</f>
        <v>View Full Record in Web of Science</v>
      </c>
    </row>
    <row r="1338" spans="1:72" x14ac:dyDescent="0.35">
      <c r="A1338" t="s">
        <v>72</v>
      </c>
      <c r="B1338" t="s">
        <v>22547</v>
      </c>
      <c r="C1338" t="s">
        <v>74</v>
      </c>
      <c r="D1338" t="s">
        <v>74</v>
      </c>
      <c r="E1338" t="s">
        <v>74</v>
      </c>
      <c r="F1338" t="s">
        <v>22548</v>
      </c>
      <c r="G1338" t="s">
        <v>74</v>
      </c>
      <c r="H1338" t="s">
        <v>74</v>
      </c>
      <c r="I1338" t="s">
        <v>22549</v>
      </c>
      <c r="J1338" t="s">
        <v>22550</v>
      </c>
      <c r="K1338" t="s">
        <v>74</v>
      </c>
      <c r="L1338" t="s">
        <v>74</v>
      </c>
      <c r="M1338" t="s">
        <v>78</v>
      </c>
      <c r="N1338" t="s">
        <v>108</v>
      </c>
      <c r="O1338" t="s">
        <v>74</v>
      </c>
      <c r="P1338" t="s">
        <v>74</v>
      </c>
      <c r="Q1338" t="s">
        <v>74</v>
      </c>
      <c r="R1338" t="s">
        <v>74</v>
      </c>
      <c r="S1338" t="s">
        <v>74</v>
      </c>
      <c r="T1338" t="s">
        <v>22551</v>
      </c>
      <c r="U1338" t="s">
        <v>74</v>
      </c>
      <c r="V1338" t="s">
        <v>22552</v>
      </c>
      <c r="W1338" t="s">
        <v>22553</v>
      </c>
      <c r="X1338" t="s">
        <v>22554</v>
      </c>
      <c r="Y1338" t="s">
        <v>22555</v>
      </c>
      <c r="Z1338" t="s">
        <v>22556</v>
      </c>
      <c r="AA1338" t="s">
        <v>22557</v>
      </c>
      <c r="AB1338" t="s">
        <v>74</v>
      </c>
      <c r="AC1338" t="s">
        <v>22558</v>
      </c>
      <c r="AD1338" t="s">
        <v>22558</v>
      </c>
      <c r="AE1338" t="s">
        <v>6454</v>
      </c>
      <c r="AF1338" t="s">
        <v>74</v>
      </c>
      <c r="AG1338">
        <v>51</v>
      </c>
      <c r="AH1338">
        <v>0</v>
      </c>
      <c r="AI1338">
        <v>0</v>
      </c>
      <c r="AJ1338">
        <v>20</v>
      </c>
      <c r="AK1338">
        <v>31</v>
      </c>
      <c r="AL1338" t="s">
        <v>2382</v>
      </c>
      <c r="AM1338" t="s">
        <v>227</v>
      </c>
      <c r="AN1338" t="s">
        <v>2383</v>
      </c>
      <c r="AO1338" t="s">
        <v>74</v>
      </c>
      <c r="AP1338" t="s">
        <v>22559</v>
      </c>
      <c r="AQ1338" t="s">
        <v>74</v>
      </c>
      <c r="AR1338" t="s">
        <v>22560</v>
      </c>
      <c r="AS1338" t="s">
        <v>22561</v>
      </c>
      <c r="AT1338" t="s">
        <v>22562</v>
      </c>
      <c r="AU1338">
        <v>2024</v>
      </c>
      <c r="AV1338">
        <v>21</v>
      </c>
      <c r="AW1338">
        <v>1</v>
      </c>
      <c r="AX1338" t="s">
        <v>74</v>
      </c>
      <c r="AY1338" t="s">
        <v>74</v>
      </c>
      <c r="AZ1338" t="s">
        <v>74</v>
      </c>
      <c r="BA1338" t="s">
        <v>74</v>
      </c>
      <c r="BB1338" t="s">
        <v>74</v>
      </c>
      <c r="BC1338" t="s">
        <v>74</v>
      </c>
      <c r="BD1338">
        <v>37</v>
      </c>
      <c r="BE1338" t="s">
        <v>22563</v>
      </c>
      <c r="BF1338" t="str">
        <f>HYPERLINK("http://dx.doi.org/10.1186/s12966-024-01589-4","http://dx.doi.org/10.1186/s12966-024-01589-4")</f>
        <v>http://dx.doi.org/10.1186/s12966-024-01589-4</v>
      </c>
      <c r="BG1338" t="s">
        <v>74</v>
      </c>
      <c r="BH1338" t="s">
        <v>74</v>
      </c>
      <c r="BI1338">
        <v>10</v>
      </c>
      <c r="BJ1338" t="s">
        <v>22564</v>
      </c>
      <c r="BK1338" t="s">
        <v>209</v>
      </c>
      <c r="BL1338" t="s">
        <v>22564</v>
      </c>
      <c r="BM1338" t="s">
        <v>22565</v>
      </c>
      <c r="BN1338">
        <v>38605322</v>
      </c>
      <c r="BO1338" t="s">
        <v>235</v>
      </c>
      <c r="BP1338" t="s">
        <v>74</v>
      </c>
      <c r="BQ1338" t="s">
        <v>74</v>
      </c>
      <c r="BR1338" t="s">
        <v>102</v>
      </c>
      <c r="BS1338" t="s">
        <v>22566</v>
      </c>
      <c r="BT1338" t="str">
        <f>HYPERLINK("https%3A%2F%2Fwww.webofscience.com%2Fwos%2Fwoscc%2Ffull-record%2FWOS:001200436800001","View Full Record in Web of Science")</f>
        <v>View Full Record in Web of Science</v>
      </c>
    </row>
    <row r="1339" spans="1:72" x14ac:dyDescent="0.35">
      <c r="A1339" t="s">
        <v>72</v>
      </c>
      <c r="B1339" t="s">
        <v>22567</v>
      </c>
      <c r="C1339" t="s">
        <v>74</v>
      </c>
      <c r="D1339" t="s">
        <v>74</v>
      </c>
      <c r="E1339" t="s">
        <v>74</v>
      </c>
      <c r="F1339" t="s">
        <v>22568</v>
      </c>
      <c r="G1339" t="s">
        <v>74</v>
      </c>
      <c r="H1339" t="s">
        <v>74</v>
      </c>
      <c r="I1339" t="s">
        <v>22569</v>
      </c>
      <c r="J1339" t="s">
        <v>3687</v>
      </c>
      <c r="K1339" t="s">
        <v>74</v>
      </c>
      <c r="L1339" t="s">
        <v>74</v>
      </c>
      <c r="M1339" t="s">
        <v>78</v>
      </c>
      <c r="N1339" t="s">
        <v>79</v>
      </c>
      <c r="O1339" t="s">
        <v>74</v>
      </c>
      <c r="P1339" t="s">
        <v>74</v>
      </c>
      <c r="Q1339" t="s">
        <v>74</v>
      </c>
      <c r="R1339" t="s">
        <v>74</v>
      </c>
      <c r="S1339" t="s">
        <v>74</v>
      </c>
      <c r="T1339" t="s">
        <v>74</v>
      </c>
      <c r="U1339" t="s">
        <v>22570</v>
      </c>
      <c r="V1339" t="s">
        <v>22571</v>
      </c>
      <c r="W1339" t="s">
        <v>22572</v>
      </c>
      <c r="X1339" t="s">
        <v>22573</v>
      </c>
      <c r="Y1339" t="s">
        <v>22574</v>
      </c>
      <c r="Z1339" t="s">
        <v>22575</v>
      </c>
      <c r="AA1339" t="s">
        <v>8204</v>
      </c>
      <c r="AB1339" t="s">
        <v>22576</v>
      </c>
      <c r="AC1339" t="s">
        <v>8206</v>
      </c>
      <c r="AD1339" t="s">
        <v>8207</v>
      </c>
      <c r="AE1339" t="s">
        <v>22577</v>
      </c>
      <c r="AF1339" t="s">
        <v>74</v>
      </c>
      <c r="AG1339">
        <v>75</v>
      </c>
      <c r="AH1339">
        <v>0</v>
      </c>
      <c r="AI1339">
        <v>0</v>
      </c>
      <c r="AJ1339">
        <v>29</v>
      </c>
      <c r="AK1339">
        <v>36</v>
      </c>
      <c r="AL1339" t="s">
        <v>88</v>
      </c>
      <c r="AM1339" t="s">
        <v>89</v>
      </c>
      <c r="AN1339" t="s">
        <v>90</v>
      </c>
      <c r="AO1339" t="s">
        <v>3695</v>
      </c>
      <c r="AP1339" t="s">
        <v>3696</v>
      </c>
      <c r="AQ1339" t="s">
        <v>74</v>
      </c>
      <c r="AR1339" t="s">
        <v>3697</v>
      </c>
      <c r="AS1339" t="s">
        <v>3698</v>
      </c>
      <c r="AT1339" t="s">
        <v>22578</v>
      </c>
      <c r="AU1339">
        <v>2024</v>
      </c>
      <c r="AV1339" t="s">
        <v>74</v>
      </c>
      <c r="AW1339" t="s">
        <v>74</v>
      </c>
      <c r="AX1339" t="s">
        <v>74</v>
      </c>
      <c r="AY1339" t="s">
        <v>74</v>
      </c>
      <c r="AZ1339" t="s">
        <v>74</v>
      </c>
      <c r="BA1339" t="s">
        <v>74</v>
      </c>
      <c r="BB1339" t="s">
        <v>74</v>
      </c>
      <c r="BC1339" t="s">
        <v>74</v>
      </c>
      <c r="BD1339" t="s">
        <v>74</v>
      </c>
      <c r="BE1339" t="s">
        <v>22579</v>
      </c>
      <c r="BF1339" t="str">
        <f>HYPERLINK("http://dx.doi.org/10.1080/10410236.2024.2346680","http://dx.doi.org/10.1080/10410236.2024.2346680")</f>
        <v>http://dx.doi.org/10.1080/10410236.2024.2346680</v>
      </c>
      <c r="BG1339" t="s">
        <v>74</v>
      </c>
      <c r="BH1339" t="s">
        <v>1467</v>
      </c>
      <c r="BI1339">
        <v>12</v>
      </c>
      <c r="BJ1339" t="s">
        <v>3701</v>
      </c>
      <c r="BK1339" t="s">
        <v>99</v>
      </c>
      <c r="BL1339" t="s">
        <v>3702</v>
      </c>
      <c r="BM1339" t="s">
        <v>22580</v>
      </c>
      <c r="BN1339">
        <v>38699819</v>
      </c>
      <c r="BO1339" t="s">
        <v>74</v>
      </c>
      <c r="BP1339" t="s">
        <v>74</v>
      </c>
      <c r="BQ1339" t="s">
        <v>74</v>
      </c>
      <c r="BR1339" t="s">
        <v>102</v>
      </c>
      <c r="BS1339" t="s">
        <v>22581</v>
      </c>
      <c r="BT1339" t="str">
        <f>HYPERLINK("https%3A%2F%2Fwww.webofscience.com%2Fwos%2Fwoscc%2Ffull-record%2FWOS:001217328500001","View Full Record in Web of Science")</f>
        <v>View Full Record in Web of Science</v>
      </c>
    </row>
    <row r="1340" spans="1:72" x14ac:dyDescent="0.35">
      <c r="A1340" t="s">
        <v>72</v>
      </c>
      <c r="B1340" t="s">
        <v>22582</v>
      </c>
      <c r="C1340" t="s">
        <v>74</v>
      </c>
      <c r="D1340" t="s">
        <v>74</v>
      </c>
      <c r="E1340" t="s">
        <v>74</v>
      </c>
      <c r="F1340" t="s">
        <v>22583</v>
      </c>
      <c r="G1340" t="s">
        <v>74</v>
      </c>
      <c r="H1340" t="s">
        <v>74</v>
      </c>
      <c r="I1340" t="s">
        <v>22584</v>
      </c>
      <c r="J1340" t="s">
        <v>22585</v>
      </c>
      <c r="K1340" t="s">
        <v>74</v>
      </c>
      <c r="L1340" t="s">
        <v>74</v>
      </c>
      <c r="M1340" t="s">
        <v>78</v>
      </c>
      <c r="N1340" t="s">
        <v>9221</v>
      </c>
      <c r="O1340" t="s">
        <v>74</v>
      </c>
      <c r="P1340" t="s">
        <v>74</v>
      </c>
      <c r="Q1340" t="s">
        <v>74</v>
      </c>
      <c r="R1340" t="s">
        <v>74</v>
      </c>
      <c r="S1340" t="s">
        <v>74</v>
      </c>
      <c r="T1340" t="s">
        <v>74</v>
      </c>
      <c r="U1340" t="s">
        <v>22586</v>
      </c>
      <c r="V1340" t="s">
        <v>22587</v>
      </c>
      <c r="W1340" t="s">
        <v>22588</v>
      </c>
      <c r="X1340" t="s">
        <v>22589</v>
      </c>
      <c r="Y1340" t="s">
        <v>22590</v>
      </c>
      <c r="Z1340" t="s">
        <v>22591</v>
      </c>
      <c r="AA1340" t="s">
        <v>74</v>
      </c>
      <c r="AB1340" t="s">
        <v>74</v>
      </c>
      <c r="AC1340" t="s">
        <v>74</v>
      </c>
      <c r="AD1340" t="s">
        <v>74</v>
      </c>
      <c r="AE1340" t="s">
        <v>74</v>
      </c>
      <c r="AF1340" t="s">
        <v>74</v>
      </c>
      <c r="AG1340">
        <v>31</v>
      </c>
      <c r="AH1340">
        <v>0</v>
      </c>
      <c r="AI1340">
        <v>0</v>
      </c>
      <c r="AJ1340">
        <v>1</v>
      </c>
      <c r="AK1340">
        <v>1</v>
      </c>
      <c r="AL1340" t="s">
        <v>1061</v>
      </c>
      <c r="AM1340" t="s">
        <v>1062</v>
      </c>
      <c r="AN1340" t="s">
        <v>1063</v>
      </c>
      <c r="AO1340" t="s">
        <v>22592</v>
      </c>
      <c r="AP1340" t="s">
        <v>22593</v>
      </c>
      <c r="AQ1340" t="s">
        <v>74</v>
      </c>
      <c r="AR1340" t="s">
        <v>22594</v>
      </c>
      <c r="AS1340" t="s">
        <v>22595</v>
      </c>
      <c r="AT1340" t="s">
        <v>257</v>
      </c>
      <c r="AU1340">
        <v>2024</v>
      </c>
      <c r="AV1340">
        <v>27</v>
      </c>
      <c r="AW1340">
        <v>3</v>
      </c>
      <c r="AX1340" t="s">
        <v>74</v>
      </c>
      <c r="AY1340" t="s">
        <v>74</v>
      </c>
      <c r="AZ1340" t="s">
        <v>74</v>
      </c>
      <c r="BA1340" t="s">
        <v>74</v>
      </c>
      <c r="BB1340">
        <v>187</v>
      </c>
      <c r="BC1340">
        <v>191</v>
      </c>
      <c r="BD1340" t="s">
        <v>74</v>
      </c>
      <c r="BE1340" t="s">
        <v>22596</v>
      </c>
      <c r="BF1340" t="str">
        <f>HYPERLINK("http://dx.doi.org/10.1017/thg.2024.22","http://dx.doi.org/10.1017/thg.2024.22")</f>
        <v>http://dx.doi.org/10.1017/thg.2024.22</v>
      </c>
      <c r="BG1340" t="s">
        <v>74</v>
      </c>
      <c r="BH1340" t="s">
        <v>1467</v>
      </c>
      <c r="BI1340">
        <v>5</v>
      </c>
      <c r="BJ1340" t="s">
        <v>22597</v>
      </c>
      <c r="BK1340" t="s">
        <v>209</v>
      </c>
      <c r="BL1340" t="s">
        <v>22597</v>
      </c>
      <c r="BM1340" t="s">
        <v>22598</v>
      </c>
      <c r="BN1340">
        <v>38738462</v>
      </c>
      <c r="BO1340" t="s">
        <v>767</v>
      </c>
      <c r="BP1340" t="s">
        <v>74</v>
      </c>
      <c r="BQ1340" t="s">
        <v>74</v>
      </c>
      <c r="BR1340" t="s">
        <v>102</v>
      </c>
      <c r="BS1340" t="s">
        <v>22599</v>
      </c>
      <c r="BT1340" t="str">
        <f>HYPERLINK("https%3A%2F%2Fwww.webofscience.com%2Fwos%2Fwoscc%2Ffull-record%2FWOS:001221243300001","View Full Record in Web of Science")</f>
        <v>View Full Record in Web of Science</v>
      </c>
    </row>
    <row r="1341" spans="1:72" x14ac:dyDescent="0.35">
      <c r="A1341" t="s">
        <v>72</v>
      </c>
      <c r="B1341" t="s">
        <v>22600</v>
      </c>
      <c r="C1341" t="s">
        <v>74</v>
      </c>
      <c r="D1341" t="s">
        <v>74</v>
      </c>
      <c r="E1341" t="s">
        <v>74</v>
      </c>
      <c r="F1341" t="s">
        <v>22601</v>
      </c>
      <c r="G1341" t="s">
        <v>74</v>
      </c>
      <c r="H1341" t="s">
        <v>74</v>
      </c>
      <c r="I1341" t="s">
        <v>22602</v>
      </c>
      <c r="J1341" t="s">
        <v>22603</v>
      </c>
      <c r="K1341" t="s">
        <v>74</v>
      </c>
      <c r="L1341" t="s">
        <v>74</v>
      </c>
      <c r="M1341" t="s">
        <v>78</v>
      </c>
      <c r="N1341" t="s">
        <v>108</v>
      </c>
      <c r="O1341" t="s">
        <v>74</v>
      </c>
      <c r="P1341" t="s">
        <v>74</v>
      </c>
      <c r="Q1341" t="s">
        <v>74</v>
      </c>
      <c r="R1341" t="s">
        <v>74</v>
      </c>
      <c r="S1341" t="s">
        <v>74</v>
      </c>
      <c r="T1341" t="s">
        <v>22604</v>
      </c>
      <c r="U1341" t="s">
        <v>22605</v>
      </c>
      <c r="V1341" t="s">
        <v>22606</v>
      </c>
      <c r="W1341" t="s">
        <v>22607</v>
      </c>
      <c r="X1341" t="s">
        <v>22608</v>
      </c>
      <c r="Y1341" t="s">
        <v>22609</v>
      </c>
      <c r="Z1341" t="s">
        <v>22610</v>
      </c>
      <c r="AA1341" t="s">
        <v>74</v>
      </c>
      <c r="AB1341" t="s">
        <v>22611</v>
      </c>
      <c r="AC1341" t="s">
        <v>22612</v>
      </c>
      <c r="AD1341" t="s">
        <v>22613</v>
      </c>
      <c r="AE1341" t="s">
        <v>22614</v>
      </c>
      <c r="AF1341" t="s">
        <v>74</v>
      </c>
      <c r="AG1341">
        <v>39</v>
      </c>
      <c r="AH1341">
        <v>0</v>
      </c>
      <c r="AI1341">
        <v>0</v>
      </c>
      <c r="AJ1341">
        <v>18</v>
      </c>
      <c r="AK1341">
        <v>99</v>
      </c>
      <c r="AL1341" t="s">
        <v>9792</v>
      </c>
      <c r="AM1341" t="s">
        <v>517</v>
      </c>
      <c r="AN1341" t="s">
        <v>9793</v>
      </c>
      <c r="AO1341" t="s">
        <v>22615</v>
      </c>
      <c r="AP1341" t="s">
        <v>22616</v>
      </c>
      <c r="AQ1341" t="s">
        <v>74</v>
      </c>
      <c r="AR1341" t="s">
        <v>22617</v>
      </c>
      <c r="AS1341" t="s">
        <v>22618</v>
      </c>
      <c r="AT1341" t="s">
        <v>1319</v>
      </c>
      <c r="AU1341">
        <v>2022</v>
      </c>
      <c r="AV1341">
        <v>21</v>
      </c>
      <c r="AW1341">
        <v>6</v>
      </c>
      <c r="AX1341" t="s">
        <v>74</v>
      </c>
      <c r="AY1341" t="s">
        <v>74</v>
      </c>
      <c r="AZ1341" t="s">
        <v>74</v>
      </c>
      <c r="BA1341" t="s">
        <v>74</v>
      </c>
      <c r="BB1341">
        <v>890</v>
      </c>
      <c r="BC1341">
        <v>918</v>
      </c>
      <c r="BD1341" t="s">
        <v>74</v>
      </c>
      <c r="BE1341" t="s">
        <v>22619</v>
      </c>
      <c r="BF1341" t="str">
        <f>HYPERLINK("http://dx.doi.org/10.1075/jlp.22024.zha","http://dx.doi.org/10.1075/jlp.22024.zha")</f>
        <v>http://dx.doi.org/10.1075/jlp.22024.zha</v>
      </c>
      <c r="BG1341" t="s">
        <v>74</v>
      </c>
      <c r="BH1341" t="s">
        <v>74</v>
      </c>
      <c r="BI1341">
        <v>29</v>
      </c>
      <c r="BJ1341" t="s">
        <v>22620</v>
      </c>
      <c r="BK1341" t="s">
        <v>2125</v>
      </c>
      <c r="BL1341" t="s">
        <v>3285</v>
      </c>
      <c r="BM1341" t="s">
        <v>22621</v>
      </c>
      <c r="BN1341" t="s">
        <v>74</v>
      </c>
      <c r="BO1341" t="s">
        <v>74</v>
      </c>
      <c r="BP1341" t="s">
        <v>74</v>
      </c>
      <c r="BQ1341" t="s">
        <v>74</v>
      </c>
      <c r="BR1341" t="s">
        <v>102</v>
      </c>
      <c r="BS1341" t="s">
        <v>22622</v>
      </c>
      <c r="BT1341" t="str">
        <f>HYPERLINK("https%3A%2F%2Fwww.webofscience.com%2Fwos%2Fwoscc%2Ffull-record%2FWOS:000874480800005","View Full Record in Web of Science")</f>
        <v>View Full Record in Web of Science</v>
      </c>
    </row>
    <row r="1342" spans="1:72" x14ac:dyDescent="0.35">
      <c r="A1342" t="s">
        <v>72</v>
      </c>
      <c r="B1342" t="s">
        <v>22623</v>
      </c>
      <c r="C1342" t="s">
        <v>74</v>
      </c>
      <c r="D1342" t="s">
        <v>74</v>
      </c>
      <c r="E1342" t="s">
        <v>74</v>
      </c>
      <c r="F1342" t="s">
        <v>22624</v>
      </c>
      <c r="G1342" t="s">
        <v>74</v>
      </c>
      <c r="H1342" t="s">
        <v>74</v>
      </c>
      <c r="I1342" t="s">
        <v>22625</v>
      </c>
      <c r="J1342" t="s">
        <v>22626</v>
      </c>
      <c r="K1342" t="s">
        <v>74</v>
      </c>
      <c r="L1342" t="s">
        <v>74</v>
      </c>
      <c r="M1342" t="s">
        <v>78</v>
      </c>
      <c r="N1342" t="s">
        <v>108</v>
      </c>
      <c r="O1342" t="s">
        <v>74</v>
      </c>
      <c r="P1342" t="s">
        <v>74</v>
      </c>
      <c r="Q1342" t="s">
        <v>74</v>
      </c>
      <c r="R1342" t="s">
        <v>74</v>
      </c>
      <c r="S1342" t="s">
        <v>74</v>
      </c>
      <c r="T1342" t="s">
        <v>22627</v>
      </c>
      <c r="U1342" t="s">
        <v>22628</v>
      </c>
      <c r="V1342" t="s">
        <v>22629</v>
      </c>
      <c r="W1342" t="s">
        <v>22630</v>
      </c>
      <c r="X1342" t="s">
        <v>22631</v>
      </c>
      <c r="Y1342" t="s">
        <v>22632</v>
      </c>
      <c r="Z1342" t="s">
        <v>22633</v>
      </c>
      <c r="AA1342" t="s">
        <v>22634</v>
      </c>
      <c r="AB1342" t="s">
        <v>22635</v>
      </c>
      <c r="AC1342" t="s">
        <v>22636</v>
      </c>
      <c r="AD1342" t="s">
        <v>22636</v>
      </c>
      <c r="AE1342" t="s">
        <v>22637</v>
      </c>
      <c r="AF1342" t="s">
        <v>74</v>
      </c>
      <c r="AG1342">
        <v>73</v>
      </c>
      <c r="AH1342">
        <v>0</v>
      </c>
      <c r="AI1342">
        <v>0</v>
      </c>
      <c r="AJ1342">
        <v>3</v>
      </c>
      <c r="AK1342">
        <v>3</v>
      </c>
      <c r="AL1342" t="s">
        <v>88</v>
      </c>
      <c r="AM1342" t="s">
        <v>89</v>
      </c>
      <c r="AN1342" t="s">
        <v>90</v>
      </c>
      <c r="AO1342" t="s">
        <v>22638</v>
      </c>
      <c r="AP1342" t="s">
        <v>22639</v>
      </c>
      <c r="AQ1342" t="s">
        <v>74</v>
      </c>
      <c r="AR1342" t="s">
        <v>22640</v>
      </c>
      <c r="AS1342" t="s">
        <v>22641</v>
      </c>
      <c r="AT1342" t="s">
        <v>13174</v>
      </c>
      <c r="AU1342">
        <v>2024</v>
      </c>
      <c r="AV1342">
        <v>46</v>
      </c>
      <c r="AW1342">
        <v>7</v>
      </c>
      <c r="AX1342" t="s">
        <v>74</v>
      </c>
      <c r="AY1342" t="s">
        <v>74</v>
      </c>
      <c r="AZ1342" t="s">
        <v>456</v>
      </c>
      <c r="BA1342" t="s">
        <v>74</v>
      </c>
      <c r="BB1342">
        <v>1089</v>
      </c>
      <c r="BC1342">
        <v>1110</v>
      </c>
      <c r="BD1342" t="s">
        <v>74</v>
      </c>
      <c r="BE1342" t="s">
        <v>22642</v>
      </c>
      <c r="BF1342" t="str">
        <f>HYPERLINK("http://dx.doi.org/10.1080/07036337.2024.2402752","http://dx.doi.org/10.1080/07036337.2024.2402752")</f>
        <v>http://dx.doi.org/10.1080/07036337.2024.2402752</v>
      </c>
      <c r="BG1342" t="s">
        <v>74</v>
      </c>
      <c r="BH1342" t="s">
        <v>74</v>
      </c>
      <c r="BI1342">
        <v>22</v>
      </c>
      <c r="BJ1342" t="s">
        <v>1004</v>
      </c>
      <c r="BK1342" t="s">
        <v>99</v>
      </c>
      <c r="BL1342" t="s">
        <v>1005</v>
      </c>
      <c r="BM1342" t="s">
        <v>22643</v>
      </c>
      <c r="BN1342" t="s">
        <v>74</v>
      </c>
      <c r="BO1342" t="s">
        <v>156</v>
      </c>
      <c r="BP1342" t="s">
        <v>74</v>
      </c>
      <c r="BQ1342" t="s">
        <v>74</v>
      </c>
      <c r="BR1342" t="s">
        <v>102</v>
      </c>
      <c r="BS1342" t="s">
        <v>22644</v>
      </c>
      <c r="BT1342" t="str">
        <f>HYPERLINK("https%3A%2F%2Fwww.webofscience.com%2Fwos%2Fwoscc%2Ffull-record%2FWOS:001337588900007","View Full Record in Web of Science")</f>
        <v>View Full Record in Web of Science</v>
      </c>
    </row>
    <row r="1343" spans="1:72" x14ac:dyDescent="0.35">
      <c r="A1343" t="s">
        <v>72</v>
      </c>
      <c r="B1343" t="s">
        <v>20757</v>
      </c>
      <c r="C1343" t="s">
        <v>74</v>
      </c>
      <c r="D1343" t="s">
        <v>74</v>
      </c>
      <c r="E1343" t="s">
        <v>74</v>
      </c>
      <c r="F1343" t="s">
        <v>20758</v>
      </c>
      <c r="G1343" t="s">
        <v>74</v>
      </c>
      <c r="H1343" t="s">
        <v>74</v>
      </c>
      <c r="I1343" t="s">
        <v>22645</v>
      </c>
      <c r="J1343" t="s">
        <v>22646</v>
      </c>
      <c r="K1343" t="s">
        <v>74</v>
      </c>
      <c r="L1343" t="s">
        <v>74</v>
      </c>
      <c r="M1343" t="s">
        <v>78</v>
      </c>
      <c r="N1343" t="s">
        <v>108</v>
      </c>
      <c r="O1343" t="s">
        <v>74</v>
      </c>
      <c r="P1343" t="s">
        <v>74</v>
      </c>
      <c r="Q1343" t="s">
        <v>74</v>
      </c>
      <c r="R1343" t="s">
        <v>74</v>
      </c>
      <c r="S1343" t="s">
        <v>74</v>
      </c>
      <c r="T1343" t="s">
        <v>22647</v>
      </c>
      <c r="U1343" t="s">
        <v>74</v>
      </c>
      <c r="V1343" t="s">
        <v>22648</v>
      </c>
      <c r="W1343" t="s">
        <v>22649</v>
      </c>
      <c r="X1343" t="s">
        <v>20763</v>
      </c>
      <c r="Y1343" t="s">
        <v>22650</v>
      </c>
      <c r="Z1343" t="s">
        <v>22651</v>
      </c>
      <c r="AA1343" t="s">
        <v>20766</v>
      </c>
      <c r="AB1343" t="s">
        <v>20767</v>
      </c>
      <c r="AC1343" t="s">
        <v>74</v>
      </c>
      <c r="AD1343" t="s">
        <v>74</v>
      </c>
      <c r="AE1343" t="s">
        <v>74</v>
      </c>
      <c r="AF1343" t="s">
        <v>74</v>
      </c>
      <c r="AG1343">
        <v>51</v>
      </c>
      <c r="AH1343">
        <v>0</v>
      </c>
      <c r="AI1343">
        <v>0</v>
      </c>
      <c r="AJ1343">
        <v>17</v>
      </c>
      <c r="AK1343">
        <v>24</v>
      </c>
      <c r="AL1343" t="s">
        <v>22652</v>
      </c>
      <c r="AM1343" t="s">
        <v>22653</v>
      </c>
      <c r="AN1343" t="s">
        <v>22654</v>
      </c>
      <c r="AO1343" t="s">
        <v>22655</v>
      </c>
      <c r="AP1343" t="s">
        <v>22656</v>
      </c>
      <c r="AQ1343" t="s">
        <v>74</v>
      </c>
      <c r="AR1343" t="s">
        <v>22657</v>
      </c>
      <c r="AS1343" t="s">
        <v>22658</v>
      </c>
      <c r="AT1343" t="s">
        <v>930</v>
      </c>
      <c r="AU1343">
        <v>2024</v>
      </c>
      <c r="AV1343">
        <v>52</v>
      </c>
      <c r="AW1343">
        <v>4</v>
      </c>
      <c r="AX1343" t="s">
        <v>74</v>
      </c>
      <c r="AY1343" t="s">
        <v>74</v>
      </c>
      <c r="AZ1343" t="s">
        <v>74</v>
      </c>
      <c r="BA1343" t="s">
        <v>74</v>
      </c>
      <c r="BB1343" t="s">
        <v>74</v>
      </c>
      <c r="BC1343" t="s">
        <v>74</v>
      </c>
      <c r="BD1343" t="s">
        <v>74</v>
      </c>
      <c r="BE1343" t="s">
        <v>22659</v>
      </c>
      <c r="BF1343" t="str">
        <f>HYPERLINK("http://dx.doi.org/10.2224/sbp.13076","http://dx.doi.org/10.2224/sbp.13076")</f>
        <v>http://dx.doi.org/10.2224/sbp.13076</v>
      </c>
      <c r="BG1343" t="s">
        <v>74</v>
      </c>
      <c r="BH1343" t="s">
        <v>74</v>
      </c>
      <c r="BI1343">
        <v>12</v>
      </c>
      <c r="BJ1343" t="s">
        <v>367</v>
      </c>
      <c r="BK1343" t="s">
        <v>99</v>
      </c>
      <c r="BL1343" t="s">
        <v>301</v>
      </c>
      <c r="BM1343" t="s">
        <v>22660</v>
      </c>
      <c r="BN1343" t="s">
        <v>74</v>
      </c>
      <c r="BO1343" t="s">
        <v>74</v>
      </c>
      <c r="BP1343" t="s">
        <v>74</v>
      </c>
      <c r="BQ1343" t="s">
        <v>74</v>
      </c>
      <c r="BR1343" t="s">
        <v>102</v>
      </c>
      <c r="BS1343" t="s">
        <v>22661</v>
      </c>
      <c r="BT1343" t="str">
        <f>HYPERLINK("https%3A%2F%2Fwww.webofscience.com%2Fwos%2Fwoscc%2Ffull-record%2FWOS:001199842600014","View Full Record in Web of Science")</f>
        <v>View Full Record in Web of Science</v>
      </c>
    </row>
    <row r="1344" spans="1:72" x14ac:dyDescent="0.35">
      <c r="A1344" t="s">
        <v>72</v>
      </c>
      <c r="B1344" t="s">
        <v>22662</v>
      </c>
      <c r="C1344" t="s">
        <v>74</v>
      </c>
      <c r="D1344" t="s">
        <v>74</v>
      </c>
      <c r="E1344" t="s">
        <v>74</v>
      </c>
      <c r="F1344" t="s">
        <v>22663</v>
      </c>
      <c r="G1344" t="s">
        <v>74</v>
      </c>
      <c r="H1344" t="s">
        <v>74</v>
      </c>
      <c r="I1344" t="s">
        <v>22664</v>
      </c>
      <c r="J1344" t="s">
        <v>438</v>
      </c>
      <c r="K1344" t="s">
        <v>74</v>
      </c>
      <c r="L1344" t="s">
        <v>74</v>
      </c>
      <c r="M1344" t="s">
        <v>78</v>
      </c>
      <c r="N1344" t="s">
        <v>79</v>
      </c>
      <c r="O1344" t="s">
        <v>74</v>
      </c>
      <c r="P1344" t="s">
        <v>74</v>
      </c>
      <c r="Q1344" t="s">
        <v>74</v>
      </c>
      <c r="R1344" t="s">
        <v>74</v>
      </c>
      <c r="S1344" t="s">
        <v>74</v>
      </c>
      <c r="T1344" t="s">
        <v>22665</v>
      </c>
      <c r="U1344" t="s">
        <v>74</v>
      </c>
      <c r="V1344" t="s">
        <v>22666</v>
      </c>
      <c r="W1344" t="s">
        <v>22667</v>
      </c>
      <c r="X1344" t="s">
        <v>22668</v>
      </c>
      <c r="Y1344" t="s">
        <v>22669</v>
      </c>
      <c r="Z1344" t="s">
        <v>22670</v>
      </c>
      <c r="AA1344" t="s">
        <v>74</v>
      </c>
      <c r="AB1344" t="s">
        <v>22671</v>
      </c>
      <c r="AC1344" t="s">
        <v>74</v>
      </c>
      <c r="AD1344" t="s">
        <v>74</v>
      </c>
      <c r="AE1344" t="s">
        <v>74</v>
      </c>
      <c r="AF1344" t="s">
        <v>74</v>
      </c>
      <c r="AG1344">
        <v>50</v>
      </c>
      <c r="AH1344">
        <v>4</v>
      </c>
      <c r="AI1344">
        <v>4</v>
      </c>
      <c r="AJ1344">
        <v>27</v>
      </c>
      <c r="AK1344">
        <v>84</v>
      </c>
      <c r="AL1344" t="s">
        <v>226</v>
      </c>
      <c r="AM1344" t="s">
        <v>227</v>
      </c>
      <c r="AN1344" t="s">
        <v>228</v>
      </c>
      <c r="AO1344" t="s">
        <v>451</v>
      </c>
      <c r="AP1344" t="s">
        <v>452</v>
      </c>
      <c r="AQ1344" t="s">
        <v>74</v>
      </c>
      <c r="AR1344" t="s">
        <v>453</v>
      </c>
      <c r="AS1344" t="s">
        <v>454</v>
      </c>
      <c r="AT1344" t="s">
        <v>22672</v>
      </c>
      <c r="AU1344">
        <v>2023</v>
      </c>
      <c r="AV1344" t="s">
        <v>74</v>
      </c>
      <c r="AW1344" t="s">
        <v>74</v>
      </c>
      <c r="AX1344" t="s">
        <v>74</v>
      </c>
      <c r="AY1344" t="s">
        <v>74</v>
      </c>
      <c r="AZ1344" t="s">
        <v>74</v>
      </c>
      <c r="BA1344" t="s">
        <v>74</v>
      </c>
      <c r="BB1344" t="s">
        <v>74</v>
      </c>
      <c r="BC1344" t="s">
        <v>74</v>
      </c>
      <c r="BD1344" t="s">
        <v>74</v>
      </c>
      <c r="BE1344" t="s">
        <v>22673</v>
      </c>
      <c r="BF1344" t="str">
        <f>HYPERLINK("http://dx.doi.org/10.1177/14614448231206466","http://dx.doi.org/10.1177/14614448231206466")</f>
        <v>http://dx.doi.org/10.1177/14614448231206466</v>
      </c>
      <c r="BG1344" t="s">
        <v>74</v>
      </c>
      <c r="BH1344" t="s">
        <v>207</v>
      </c>
      <c r="BI1344">
        <v>18</v>
      </c>
      <c r="BJ1344" t="s">
        <v>124</v>
      </c>
      <c r="BK1344" t="s">
        <v>99</v>
      </c>
      <c r="BL1344" t="s">
        <v>124</v>
      </c>
      <c r="BM1344" t="s">
        <v>22674</v>
      </c>
      <c r="BN1344" t="s">
        <v>74</v>
      </c>
      <c r="BO1344" t="s">
        <v>74</v>
      </c>
      <c r="BP1344" t="s">
        <v>74</v>
      </c>
      <c r="BQ1344" t="s">
        <v>74</v>
      </c>
      <c r="BR1344" t="s">
        <v>102</v>
      </c>
      <c r="BS1344" t="s">
        <v>22675</v>
      </c>
      <c r="BT1344" t="str">
        <f>HYPERLINK("https%3A%2F%2Fwww.webofscience.com%2Fwos%2Fwoscc%2Ffull-record%2FWOS:001091278300001","View Full Record in Web of Science")</f>
        <v>View Full Record in Web of Science</v>
      </c>
    </row>
    <row r="1345" spans="1:72" x14ac:dyDescent="0.35">
      <c r="A1345" t="s">
        <v>72</v>
      </c>
      <c r="B1345" t="s">
        <v>22582</v>
      </c>
      <c r="C1345" t="s">
        <v>74</v>
      </c>
      <c r="D1345" t="s">
        <v>74</v>
      </c>
      <c r="E1345" t="s">
        <v>74</v>
      </c>
      <c r="F1345" t="s">
        <v>22583</v>
      </c>
      <c r="G1345" t="s">
        <v>74</v>
      </c>
      <c r="H1345" t="s">
        <v>74</v>
      </c>
      <c r="I1345" t="s">
        <v>22676</v>
      </c>
      <c r="J1345" t="s">
        <v>22585</v>
      </c>
      <c r="K1345" t="s">
        <v>74</v>
      </c>
      <c r="L1345" t="s">
        <v>74</v>
      </c>
      <c r="M1345" t="s">
        <v>78</v>
      </c>
      <c r="N1345" t="s">
        <v>2042</v>
      </c>
      <c r="O1345" t="s">
        <v>74</v>
      </c>
      <c r="P1345" t="s">
        <v>74</v>
      </c>
      <c r="Q1345" t="s">
        <v>74</v>
      </c>
      <c r="R1345" t="s">
        <v>74</v>
      </c>
      <c r="S1345" t="s">
        <v>74</v>
      </c>
      <c r="T1345" t="s">
        <v>74</v>
      </c>
      <c r="U1345" t="s">
        <v>74</v>
      </c>
      <c r="V1345" t="s">
        <v>22677</v>
      </c>
      <c r="W1345" t="s">
        <v>22678</v>
      </c>
      <c r="X1345" t="s">
        <v>22589</v>
      </c>
      <c r="Y1345" t="s">
        <v>22679</v>
      </c>
      <c r="Z1345" t="s">
        <v>22591</v>
      </c>
      <c r="AA1345" t="s">
        <v>74</v>
      </c>
      <c r="AB1345" t="s">
        <v>74</v>
      </c>
      <c r="AC1345" t="s">
        <v>74</v>
      </c>
      <c r="AD1345" t="s">
        <v>74</v>
      </c>
      <c r="AE1345" t="s">
        <v>74</v>
      </c>
      <c r="AF1345" t="s">
        <v>74</v>
      </c>
      <c r="AG1345">
        <v>23</v>
      </c>
      <c r="AH1345">
        <v>0</v>
      </c>
      <c r="AI1345">
        <v>0</v>
      </c>
      <c r="AJ1345">
        <v>0</v>
      </c>
      <c r="AK1345">
        <v>3</v>
      </c>
      <c r="AL1345" t="s">
        <v>1061</v>
      </c>
      <c r="AM1345" t="s">
        <v>1062</v>
      </c>
      <c r="AN1345" t="s">
        <v>1063</v>
      </c>
      <c r="AO1345" t="s">
        <v>22592</v>
      </c>
      <c r="AP1345" t="s">
        <v>22593</v>
      </c>
      <c r="AQ1345" t="s">
        <v>74</v>
      </c>
      <c r="AR1345" t="s">
        <v>22594</v>
      </c>
      <c r="AS1345" t="s">
        <v>22595</v>
      </c>
      <c r="AT1345" t="s">
        <v>1275</v>
      </c>
      <c r="AU1345">
        <v>2020</v>
      </c>
      <c r="AV1345">
        <v>23</v>
      </c>
      <c r="AW1345">
        <v>6</v>
      </c>
      <c r="AX1345" t="s">
        <v>74</v>
      </c>
      <c r="AY1345" t="s">
        <v>74</v>
      </c>
      <c r="AZ1345" t="s">
        <v>74</v>
      </c>
      <c r="BA1345" t="s">
        <v>74</v>
      </c>
      <c r="BB1345">
        <v>359</v>
      </c>
      <c r="BC1345">
        <v>362</v>
      </c>
      <c r="BD1345" t="s">
        <v>22680</v>
      </c>
      <c r="BE1345" t="s">
        <v>22681</v>
      </c>
      <c r="BF1345" t="str">
        <f>HYPERLINK("http://dx.doi.org/10.1017/thg.2020.79","http://dx.doi.org/10.1017/thg.2020.79")</f>
        <v>http://dx.doi.org/10.1017/thg.2020.79</v>
      </c>
      <c r="BG1345" t="s">
        <v>74</v>
      </c>
      <c r="BH1345" t="s">
        <v>74</v>
      </c>
      <c r="BI1345">
        <v>4</v>
      </c>
      <c r="BJ1345" t="s">
        <v>22597</v>
      </c>
      <c r="BK1345" t="s">
        <v>182</v>
      </c>
      <c r="BL1345" t="s">
        <v>22597</v>
      </c>
      <c r="BM1345" t="s">
        <v>22682</v>
      </c>
      <c r="BN1345">
        <v>33267937</v>
      </c>
      <c r="BO1345" t="s">
        <v>767</v>
      </c>
      <c r="BP1345" t="s">
        <v>74</v>
      </c>
      <c r="BQ1345" t="s">
        <v>74</v>
      </c>
      <c r="BR1345" t="s">
        <v>102</v>
      </c>
      <c r="BS1345" t="s">
        <v>22683</v>
      </c>
      <c r="BT1345" t="str">
        <f>HYPERLINK("https%3A%2F%2Fwww.webofscience.com%2Fwos%2Fwoscc%2Ffull-record%2FWOS:000620669600008","View Full Record in Web of Science")</f>
        <v>View Full Record in Web of Science</v>
      </c>
    </row>
    <row r="1346" spans="1:72" x14ac:dyDescent="0.35">
      <c r="A1346" t="s">
        <v>72</v>
      </c>
      <c r="B1346" t="s">
        <v>22684</v>
      </c>
      <c r="C1346" t="s">
        <v>74</v>
      </c>
      <c r="D1346" t="s">
        <v>74</v>
      </c>
      <c r="E1346" t="s">
        <v>74</v>
      </c>
      <c r="F1346" t="s">
        <v>22685</v>
      </c>
      <c r="G1346" t="s">
        <v>74</v>
      </c>
      <c r="H1346" t="s">
        <v>74</v>
      </c>
      <c r="I1346" t="s">
        <v>22686</v>
      </c>
      <c r="J1346" t="s">
        <v>968</v>
      </c>
      <c r="K1346" t="s">
        <v>74</v>
      </c>
      <c r="L1346" t="s">
        <v>74</v>
      </c>
      <c r="M1346" t="s">
        <v>78</v>
      </c>
      <c r="N1346" t="s">
        <v>108</v>
      </c>
      <c r="O1346" t="s">
        <v>74</v>
      </c>
      <c r="P1346" t="s">
        <v>74</v>
      </c>
      <c r="Q1346" t="s">
        <v>74</v>
      </c>
      <c r="R1346" t="s">
        <v>74</v>
      </c>
      <c r="S1346" t="s">
        <v>74</v>
      </c>
      <c r="T1346" t="s">
        <v>22687</v>
      </c>
      <c r="U1346" t="s">
        <v>218</v>
      </c>
      <c r="V1346" t="s">
        <v>22688</v>
      </c>
      <c r="W1346" t="s">
        <v>22689</v>
      </c>
      <c r="X1346" t="s">
        <v>22690</v>
      </c>
      <c r="Y1346" t="s">
        <v>22691</v>
      </c>
      <c r="Z1346" t="s">
        <v>22692</v>
      </c>
      <c r="AA1346" t="s">
        <v>74</v>
      </c>
      <c r="AB1346" t="s">
        <v>22693</v>
      </c>
      <c r="AC1346" t="s">
        <v>22694</v>
      </c>
      <c r="AD1346" t="s">
        <v>20885</v>
      </c>
      <c r="AE1346" t="s">
        <v>22695</v>
      </c>
      <c r="AF1346" t="s">
        <v>74</v>
      </c>
      <c r="AG1346">
        <v>75</v>
      </c>
      <c r="AH1346">
        <v>3</v>
      </c>
      <c r="AI1346">
        <v>3</v>
      </c>
      <c r="AJ1346">
        <v>6</v>
      </c>
      <c r="AK1346">
        <v>56</v>
      </c>
      <c r="AL1346" t="s">
        <v>226</v>
      </c>
      <c r="AM1346" t="s">
        <v>227</v>
      </c>
      <c r="AN1346" t="s">
        <v>228</v>
      </c>
      <c r="AO1346" t="s">
        <v>978</v>
      </c>
      <c r="AP1346" t="s">
        <v>979</v>
      </c>
      <c r="AQ1346" t="s">
        <v>74</v>
      </c>
      <c r="AR1346" t="s">
        <v>980</v>
      </c>
      <c r="AS1346" t="s">
        <v>981</v>
      </c>
      <c r="AT1346" t="s">
        <v>523</v>
      </c>
      <c r="AU1346">
        <v>2022</v>
      </c>
      <c r="AV1346">
        <v>185</v>
      </c>
      <c r="AW1346">
        <v>1</v>
      </c>
      <c r="AX1346" t="s">
        <v>74</v>
      </c>
      <c r="AY1346" t="s">
        <v>74</v>
      </c>
      <c r="AZ1346" t="s">
        <v>456</v>
      </c>
      <c r="BA1346" t="s">
        <v>74</v>
      </c>
      <c r="BB1346">
        <v>93</v>
      </c>
      <c r="BC1346">
        <v>109</v>
      </c>
      <c r="BD1346" t="s">
        <v>22696</v>
      </c>
      <c r="BE1346" t="s">
        <v>22697</v>
      </c>
      <c r="BF1346" t="str">
        <f>HYPERLINK("http://dx.doi.org/10.1177/1329878X221095594","http://dx.doi.org/10.1177/1329878X221095594")</f>
        <v>http://dx.doi.org/10.1177/1329878X221095594</v>
      </c>
      <c r="BG1346" t="s">
        <v>74</v>
      </c>
      <c r="BH1346" t="s">
        <v>4941</v>
      </c>
      <c r="BI1346">
        <v>17</v>
      </c>
      <c r="BJ1346" t="s">
        <v>124</v>
      </c>
      <c r="BK1346" t="s">
        <v>99</v>
      </c>
      <c r="BL1346" t="s">
        <v>124</v>
      </c>
      <c r="BM1346" t="s">
        <v>22698</v>
      </c>
      <c r="BN1346" t="s">
        <v>74</v>
      </c>
      <c r="BO1346" t="s">
        <v>74</v>
      </c>
      <c r="BP1346" t="s">
        <v>74</v>
      </c>
      <c r="BQ1346" t="s">
        <v>74</v>
      </c>
      <c r="BR1346" t="s">
        <v>102</v>
      </c>
      <c r="BS1346" t="s">
        <v>22699</v>
      </c>
      <c r="BT1346" t="str">
        <f>HYPERLINK("https%3A%2F%2Fwww.webofscience.com%2Fwos%2Fwoscc%2Ffull-record%2FWOS:000787260900001","View Full Record in Web of Science")</f>
        <v>View Full Record in Web of Science</v>
      </c>
    </row>
    <row r="1347" spans="1:72" x14ac:dyDescent="0.35">
      <c r="A1347" t="s">
        <v>72</v>
      </c>
      <c r="B1347" t="s">
        <v>22700</v>
      </c>
      <c r="C1347" t="s">
        <v>74</v>
      </c>
      <c r="D1347" t="s">
        <v>74</v>
      </c>
      <c r="E1347" t="s">
        <v>74</v>
      </c>
      <c r="F1347" t="s">
        <v>22701</v>
      </c>
      <c r="G1347" t="s">
        <v>74</v>
      </c>
      <c r="H1347" t="s">
        <v>74</v>
      </c>
      <c r="I1347" t="s">
        <v>22702</v>
      </c>
      <c r="J1347" t="s">
        <v>22703</v>
      </c>
      <c r="K1347" t="s">
        <v>74</v>
      </c>
      <c r="L1347" t="s">
        <v>74</v>
      </c>
      <c r="M1347" t="s">
        <v>3503</v>
      </c>
      <c r="N1347" t="s">
        <v>108</v>
      </c>
      <c r="O1347" t="s">
        <v>74</v>
      </c>
      <c r="P1347" t="s">
        <v>74</v>
      </c>
      <c r="Q1347" t="s">
        <v>74</v>
      </c>
      <c r="R1347" t="s">
        <v>74</v>
      </c>
      <c r="S1347" t="s">
        <v>74</v>
      </c>
      <c r="T1347" t="s">
        <v>22704</v>
      </c>
      <c r="U1347" t="s">
        <v>74</v>
      </c>
      <c r="V1347" t="s">
        <v>22705</v>
      </c>
      <c r="W1347" t="s">
        <v>22706</v>
      </c>
      <c r="X1347" t="s">
        <v>7254</v>
      </c>
      <c r="Y1347" t="s">
        <v>22707</v>
      </c>
      <c r="Z1347" t="s">
        <v>22708</v>
      </c>
      <c r="AA1347" t="s">
        <v>22709</v>
      </c>
      <c r="AB1347" t="s">
        <v>74</v>
      </c>
      <c r="AC1347" t="s">
        <v>74</v>
      </c>
      <c r="AD1347" t="s">
        <v>74</v>
      </c>
      <c r="AE1347" t="s">
        <v>22710</v>
      </c>
      <c r="AF1347" t="s">
        <v>74</v>
      </c>
      <c r="AG1347">
        <v>61</v>
      </c>
      <c r="AH1347">
        <v>0</v>
      </c>
      <c r="AI1347">
        <v>0</v>
      </c>
      <c r="AJ1347">
        <v>7</v>
      </c>
      <c r="AK1347">
        <v>7</v>
      </c>
      <c r="AL1347" t="s">
        <v>22711</v>
      </c>
      <c r="AM1347" t="s">
        <v>22712</v>
      </c>
      <c r="AN1347" t="s">
        <v>22713</v>
      </c>
      <c r="AO1347" t="s">
        <v>22714</v>
      </c>
      <c r="AP1347" t="s">
        <v>74</v>
      </c>
      <c r="AQ1347" t="s">
        <v>74</v>
      </c>
      <c r="AR1347" t="s">
        <v>22715</v>
      </c>
      <c r="AS1347" t="s">
        <v>22716</v>
      </c>
      <c r="AT1347" t="s">
        <v>74</v>
      </c>
      <c r="AU1347">
        <v>2024</v>
      </c>
      <c r="AV1347">
        <v>17</v>
      </c>
      <c r="AW1347" t="s">
        <v>74</v>
      </c>
      <c r="AX1347" t="s">
        <v>74</v>
      </c>
      <c r="AY1347" t="s">
        <v>74</v>
      </c>
      <c r="AZ1347" t="s">
        <v>74</v>
      </c>
      <c r="BA1347" t="s">
        <v>74</v>
      </c>
      <c r="BB1347" t="s">
        <v>74</v>
      </c>
      <c r="BC1347" t="s">
        <v>74</v>
      </c>
      <c r="BD1347" t="s">
        <v>22717</v>
      </c>
      <c r="BE1347" t="s">
        <v>22718</v>
      </c>
      <c r="BF1347" t="str">
        <f>HYPERLINK("http://dx.doi.org/10.1590/1983-3652.2024.51641","http://dx.doi.org/10.1590/1983-3652.2024.51641")</f>
        <v>http://dx.doi.org/10.1590/1983-3652.2024.51641</v>
      </c>
      <c r="BG1347" t="s">
        <v>74</v>
      </c>
      <c r="BH1347" t="s">
        <v>74</v>
      </c>
      <c r="BI1347">
        <v>16</v>
      </c>
      <c r="BJ1347" t="s">
        <v>3284</v>
      </c>
      <c r="BK1347" t="s">
        <v>125</v>
      </c>
      <c r="BL1347" t="s">
        <v>3285</v>
      </c>
      <c r="BM1347" t="s">
        <v>22719</v>
      </c>
      <c r="BN1347" t="s">
        <v>74</v>
      </c>
      <c r="BO1347" t="s">
        <v>74</v>
      </c>
      <c r="BP1347" t="s">
        <v>74</v>
      </c>
      <c r="BQ1347" t="s">
        <v>74</v>
      </c>
      <c r="BR1347" t="s">
        <v>102</v>
      </c>
      <c r="BS1347" t="s">
        <v>22720</v>
      </c>
      <c r="BT1347" t="str">
        <f>HYPERLINK("https%3A%2F%2Fwww.webofscience.com%2Fwos%2Fwoscc%2Ffull-record%2FWOS:001328303800001","View Full Record in Web of Science")</f>
        <v>View Full Record in Web of Science</v>
      </c>
    </row>
    <row r="1348" spans="1:72" x14ac:dyDescent="0.35">
      <c r="A1348" t="s">
        <v>72</v>
      </c>
      <c r="B1348" t="s">
        <v>22721</v>
      </c>
      <c r="C1348" t="s">
        <v>74</v>
      </c>
      <c r="D1348" t="s">
        <v>74</v>
      </c>
      <c r="E1348" t="s">
        <v>74</v>
      </c>
      <c r="F1348" t="s">
        <v>22722</v>
      </c>
      <c r="G1348" t="s">
        <v>74</v>
      </c>
      <c r="H1348" t="s">
        <v>74</v>
      </c>
      <c r="I1348" t="s">
        <v>22723</v>
      </c>
      <c r="J1348" t="s">
        <v>22724</v>
      </c>
      <c r="K1348" t="s">
        <v>74</v>
      </c>
      <c r="L1348" t="s">
        <v>74</v>
      </c>
      <c r="M1348" t="s">
        <v>78</v>
      </c>
      <c r="N1348" t="s">
        <v>108</v>
      </c>
      <c r="O1348" t="s">
        <v>74</v>
      </c>
      <c r="P1348" t="s">
        <v>74</v>
      </c>
      <c r="Q1348" t="s">
        <v>74</v>
      </c>
      <c r="R1348" t="s">
        <v>74</v>
      </c>
      <c r="S1348" t="s">
        <v>74</v>
      </c>
      <c r="T1348" t="s">
        <v>22725</v>
      </c>
      <c r="U1348" t="s">
        <v>22726</v>
      </c>
      <c r="V1348" t="s">
        <v>22727</v>
      </c>
      <c r="W1348" t="s">
        <v>22728</v>
      </c>
      <c r="X1348" t="s">
        <v>22729</v>
      </c>
      <c r="Y1348" t="s">
        <v>22730</v>
      </c>
      <c r="Z1348" t="s">
        <v>22731</v>
      </c>
      <c r="AA1348" t="s">
        <v>22732</v>
      </c>
      <c r="AB1348" t="s">
        <v>22733</v>
      </c>
      <c r="AC1348" t="s">
        <v>74</v>
      </c>
      <c r="AD1348" t="s">
        <v>74</v>
      </c>
      <c r="AE1348" t="s">
        <v>74</v>
      </c>
      <c r="AF1348" t="s">
        <v>74</v>
      </c>
      <c r="AG1348">
        <v>51</v>
      </c>
      <c r="AH1348">
        <v>2</v>
      </c>
      <c r="AI1348">
        <v>2</v>
      </c>
      <c r="AJ1348">
        <v>1</v>
      </c>
      <c r="AK1348">
        <v>4</v>
      </c>
      <c r="AL1348" t="s">
        <v>384</v>
      </c>
      <c r="AM1348" t="s">
        <v>385</v>
      </c>
      <c r="AN1348" t="s">
        <v>386</v>
      </c>
      <c r="AO1348" t="s">
        <v>74</v>
      </c>
      <c r="AP1348" t="s">
        <v>22734</v>
      </c>
      <c r="AQ1348" t="s">
        <v>74</v>
      </c>
      <c r="AR1348" t="s">
        <v>22735</v>
      </c>
      <c r="AS1348" t="s">
        <v>22736</v>
      </c>
      <c r="AT1348" t="s">
        <v>22737</v>
      </c>
      <c r="AU1348">
        <v>2023</v>
      </c>
      <c r="AV1348">
        <v>4</v>
      </c>
      <c r="AW1348" t="s">
        <v>74</v>
      </c>
      <c r="AX1348" t="s">
        <v>74</v>
      </c>
      <c r="AY1348" t="s">
        <v>74</v>
      </c>
      <c r="AZ1348" t="s">
        <v>74</v>
      </c>
      <c r="BA1348" t="s">
        <v>74</v>
      </c>
      <c r="BB1348" t="s">
        <v>74</v>
      </c>
      <c r="BC1348" t="s">
        <v>74</v>
      </c>
      <c r="BD1348">
        <v>1067355</v>
      </c>
      <c r="BE1348" t="s">
        <v>22738</v>
      </c>
      <c r="BF1348" t="str">
        <f>HYPERLINK("http://dx.doi.org/10.3389/fcosc.2023.1067355","http://dx.doi.org/10.3389/fcosc.2023.1067355")</f>
        <v>http://dx.doi.org/10.3389/fcosc.2023.1067355</v>
      </c>
      <c r="BG1348" t="s">
        <v>74</v>
      </c>
      <c r="BH1348" t="s">
        <v>74</v>
      </c>
      <c r="BI1348">
        <v>10</v>
      </c>
      <c r="BJ1348" t="s">
        <v>22739</v>
      </c>
      <c r="BK1348" t="s">
        <v>125</v>
      </c>
      <c r="BL1348" t="s">
        <v>10689</v>
      </c>
      <c r="BM1348" t="s">
        <v>22740</v>
      </c>
      <c r="BN1348" t="s">
        <v>74</v>
      </c>
      <c r="BO1348" t="s">
        <v>235</v>
      </c>
      <c r="BP1348" t="s">
        <v>74</v>
      </c>
      <c r="BQ1348" t="s">
        <v>74</v>
      </c>
      <c r="BR1348" t="s">
        <v>102</v>
      </c>
      <c r="BS1348" t="s">
        <v>22741</v>
      </c>
      <c r="BT1348" t="str">
        <f>HYPERLINK("https%3A%2F%2Fwww.webofscience.com%2Fwos%2Fwoscc%2Ffull-record%2FWOS:001003078700001","View Full Record in Web of Science")</f>
        <v>View Full Record in Web of Science</v>
      </c>
    </row>
    <row r="1349" spans="1:72" x14ac:dyDescent="0.35">
      <c r="A1349" t="s">
        <v>72</v>
      </c>
      <c r="B1349" t="s">
        <v>22742</v>
      </c>
      <c r="C1349" t="s">
        <v>74</v>
      </c>
      <c r="D1349" t="s">
        <v>74</v>
      </c>
      <c r="E1349" t="s">
        <v>74</v>
      </c>
      <c r="F1349" t="s">
        <v>22743</v>
      </c>
      <c r="G1349" t="s">
        <v>74</v>
      </c>
      <c r="H1349" t="s">
        <v>74</v>
      </c>
      <c r="I1349" t="s">
        <v>22744</v>
      </c>
      <c r="J1349" t="s">
        <v>22745</v>
      </c>
      <c r="K1349" t="s">
        <v>74</v>
      </c>
      <c r="L1349" t="s">
        <v>74</v>
      </c>
      <c r="M1349" t="s">
        <v>78</v>
      </c>
      <c r="N1349" t="s">
        <v>108</v>
      </c>
      <c r="O1349" t="s">
        <v>74</v>
      </c>
      <c r="P1349" t="s">
        <v>74</v>
      </c>
      <c r="Q1349" t="s">
        <v>74</v>
      </c>
      <c r="R1349" t="s">
        <v>74</v>
      </c>
      <c r="S1349" t="s">
        <v>74</v>
      </c>
      <c r="T1349" t="s">
        <v>74</v>
      </c>
      <c r="U1349" t="s">
        <v>22746</v>
      </c>
      <c r="V1349" t="s">
        <v>22747</v>
      </c>
      <c r="W1349" t="s">
        <v>22748</v>
      </c>
      <c r="X1349" t="s">
        <v>22749</v>
      </c>
      <c r="Y1349" t="s">
        <v>22750</v>
      </c>
      <c r="Z1349" t="s">
        <v>22751</v>
      </c>
      <c r="AA1349" t="s">
        <v>74</v>
      </c>
      <c r="AB1349" t="s">
        <v>22752</v>
      </c>
      <c r="AC1349" t="s">
        <v>22753</v>
      </c>
      <c r="AD1349" t="s">
        <v>22754</v>
      </c>
      <c r="AE1349" t="s">
        <v>22755</v>
      </c>
      <c r="AF1349" t="s">
        <v>74</v>
      </c>
      <c r="AG1349">
        <v>110</v>
      </c>
      <c r="AH1349">
        <v>0</v>
      </c>
      <c r="AI1349">
        <v>0</v>
      </c>
      <c r="AJ1349">
        <v>23</v>
      </c>
      <c r="AK1349">
        <v>52</v>
      </c>
      <c r="AL1349" t="s">
        <v>251</v>
      </c>
      <c r="AM1349" t="s">
        <v>252</v>
      </c>
      <c r="AN1349" t="s">
        <v>253</v>
      </c>
      <c r="AO1349" t="s">
        <v>22756</v>
      </c>
      <c r="AP1349" t="s">
        <v>22757</v>
      </c>
      <c r="AQ1349" t="s">
        <v>74</v>
      </c>
      <c r="AR1349" t="s">
        <v>22758</v>
      </c>
      <c r="AS1349" t="s">
        <v>22759</v>
      </c>
      <c r="AT1349" t="s">
        <v>745</v>
      </c>
      <c r="AU1349">
        <v>2024</v>
      </c>
      <c r="AV1349">
        <v>23</v>
      </c>
      <c r="AW1349">
        <v>3</v>
      </c>
      <c r="AX1349" t="s">
        <v>74</v>
      </c>
      <c r="AY1349" t="s">
        <v>74</v>
      </c>
      <c r="AZ1349" t="s">
        <v>74</v>
      </c>
      <c r="BA1349" t="s">
        <v>74</v>
      </c>
      <c r="BB1349">
        <v>1158</v>
      </c>
      <c r="BC1349">
        <v>1174</v>
      </c>
      <c r="BD1349" t="s">
        <v>74</v>
      </c>
      <c r="BE1349" t="s">
        <v>22760</v>
      </c>
      <c r="BF1349" t="str">
        <f>HYPERLINK("http://dx.doi.org/10.1002/cb.2268","http://dx.doi.org/10.1002/cb.2268")</f>
        <v>http://dx.doi.org/10.1002/cb.2268</v>
      </c>
      <c r="BG1349" t="s">
        <v>74</v>
      </c>
      <c r="BH1349" t="s">
        <v>207</v>
      </c>
      <c r="BI1349">
        <v>17</v>
      </c>
      <c r="BJ1349" t="s">
        <v>1597</v>
      </c>
      <c r="BK1349" t="s">
        <v>99</v>
      </c>
      <c r="BL1349" t="s">
        <v>480</v>
      </c>
      <c r="BM1349" t="s">
        <v>22761</v>
      </c>
      <c r="BN1349" t="s">
        <v>74</v>
      </c>
      <c r="BO1349" t="s">
        <v>74</v>
      </c>
      <c r="BP1349" t="s">
        <v>74</v>
      </c>
      <c r="BQ1349" t="s">
        <v>74</v>
      </c>
      <c r="BR1349" t="s">
        <v>102</v>
      </c>
      <c r="BS1349" t="s">
        <v>22762</v>
      </c>
      <c r="BT1349" t="str">
        <f>HYPERLINK("https%3A%2F%2Fwww.webofscience.com%2Fwos%2Fwoscc%2Ffull-record%2FWOS:001085325700001","View Full Record in Web of Science")</f>
        <v>View Full Record in Web of Science</v>
      </c>
    </row>
    <row r="1350" spans="1:72" x14ac:dyDescent="0.35">
      <c r="A1350" t="s">
        <v>72</v>
      </c>
      <c r="B1350" t="s">
        <v>22763</v>
      </c>
      <c r="C1350" t="s">
        <v>74</v>
      </c>
      <c r="D1350" t="s">
        <v>74</v>
      </c>
      <c r="E1350" t="s">
        <v>74</v>
      </c>
      <c r="F1350" t="s">
        <v>22764</v>
      </c>
      <c r="G1350" t="s">
        <v>74</v>
      </c>
      <c r="H1350" t="s">
        <v>74</v>
      </c>
      <c r="I1350" t="s">
        <v>22765</v>
      </c>
      <c r="J1350" t="s">
        <v>22766</v>
      </c>
      <c r="K1350" t="s">
        <v>74</v>
      </c>
      <c r="L1350" t="s">
        <v>74</v>
      </c>
      <c r="M1350" t="s">
        <v>78</v>
      </c>
      <c r="N1350" t="s">
        <v>108</v>
      </c>
      <c r="O1350" t="s">
        <v>74</v>
      </c>
      <c r="P1350" t="s">
        <v>74</v>
      </c>
      <c r="Q1350" t="s">
        <v>74</v>
      </c>
      <c r="R1350" t="s">
        <v>74</v>
      </c>
      <c r="S1350" t="s">
        <v>74</v>
      </c>
      <c r="T1350" t="s">
        <v>22767</v>
      </c>
      <c r="U1350" t="s">
        <v>74</v>
      </c>
      <c r="V1350" t="s">
        <v>22768</v>
      </c>
      <c r="W1350" t="s">
        <v>22769</v>
      </c>
      <c r="X1350" t="s">
        <v>9937</v>
      </c>
      <c r="Y1350" t="s">
        <v>22770</v>
      </c>
      <c r="Z1350" t="s">
        <v>22771</v>
      </c>
      <c r="AA1350" t="s">
        <v>22772</v>
      </c>
      <c r="AB1350" t="s">
        <v>22773</v>
      </c>
      <c r="AC1350" t="s">
        <v>22774</v>
      </c>
      <c r="AD1350" t="s">
        <v>22775</v>
      </c>
      <c r="AE1350" t="s">
        <v>22776</v>
      </c>
      <c r="AF1350" t="s">
        <v>74</v>
      </c>
      <c r="AG1350">
        <v>52</v>
      </c>
      <c r="AH1350">
        <v>0</v>
      </c>
      <c r="AI1350">
        <v>0</v>
      </c>
      <c r="AJ1350">
        <v>0</v>
      </c>
      <c r="AK1350">
        <v>0</v>
      </c>
      <c r="AL1350" t="s">
        <v>88</v>
      </c>
      <c r="AM1350" t="s">
        <v>89</v>
      </c>
      <c r="AN1350" t="s">
        <v>90</v>
      </c>
      <c r="AO1350" t="s">
        <v>22777</v>
      </c>
      <c r="AP1350" t="s">
        <v>22778</v>
      </c>
      <c r="AQ1350" t="s">
        <v>74</v>
      </c>
      <c r="AR1350" t="s">
        <v>22779</v>
      </c>
      <c r="AS1350" t="s">
        <v>22780</v>
      </c>
      <c r="AT1350" t="s">
        <v>2323</v>
      </c>
      <c r="AU1350">
        <v>2024</v>
      </c>
      <c r="AV1350">
        <v>79</v>
      </c>
      <c r="AW1350">
        <v>1</v>
      </c>
      <c r="AX1350" t="s">
        <v>74</v>
      </c>
      <c r="AY1350" t="s">
        <v>74</v>
      </c>
      <c r="AZ1350" t="s">
        <v>456</v>
      </c>
      <c r="BA1350" t="s">
        <v>74</v>
      </c>
      <c r="BB1350">
        <v>79</v>
      </c>
      <c r="BC1350">
        <v>99</v>
      </c>
      <c r="BD1350" t="s">
        <v>74</v>
      </c>
      <c r="BE1350" t="s">
        <v>22781</v>
      </c>
      <c r="BF1350" t="str">
        <f>HYPERLINK("http://dx.doi.org/10.1080/00751634.2024.2322314","http://dx.doi.org/10.1080/00751634.2024.2322314")</f>
        <v>http://dx.doi.org/10.1080/00751634.2024.2322314</v>
      </c>
      <c r="BG1350" t="s">
        <v>74</v>
      </c>
      <c r="BH1350" t="s">
        <v>123</v>
      </c>
      <c r="BI1350">
        <v>21</v>
      </c>
      <c r="BJ1350" t="s">
        <v>22782</v>
      </c>
      <c r="BK1350" t="s">
        <v>316</v>
      </c>
      <c r="BL1350" t="s">
        <v>22783</v>
      </c>
      <c r="BM1350" t="s">
        <v>22784</v>
      </c>
      <c r="BN1350" t="s">
        <v>74</v>
      </c>
      <c r="BO1350" t="s">
        <v>156</v>
      </c>
      <c r="BP1350" t="s">
        <v>74</v>
      </c>
      <c r="BQ1350" t="s">
        <v>74</v>
      </c>
      <c r="BR1350" t="s">
        <v>102</v>
      </c>
      <c r="BS1350" t="s">
        <v>22785</v>
      </c>
      <c r="BT1350" t="str">
        <f>HYPERLINK("https%3A%2F%2Fwww.webofscience.com%2Fwos%2Fwoscc%2Ffull-record%2FWOS:001194347600001","View Full Record in Web of Science")</f>
        <v>View Full Record in Web of Science</v>
      </c>
    </row>
    <row r="1351" spans="1:72" x14ac:dyDescent="0.35">
      <c r="A1351" t="s">
        <v>72</v>
      </c>
      <c r="B1351" t="s">
        <v>22786</v>
      </c>
      <c r="C1351" t="s">
        <v>74</v>
      </c>
      <c r="D1351" t="s">
        <v>74</v>
      </c>
      <c r="E1351" t="s">
        <v>74</v>
      </c>
      <c r="F1351" t="s">
        <v>22787</v>
      </c>
      <c r="G1351" t="s">
        <v>74</v>
      </c>
      <c r="H1351" t="s">
        <v>74</v>
      </c>
      <c r="I1351" t="s">
        <v>22788</v>
      </c>
      <c r="J1351" t="s">
        <v>21765</v>
      </c>
      <c r="K1351" t="s">
        <v>74</v>
      </c>
      <c r="L1351" t="s">
        <v>74</v>
      </c>
      <c r="M1351" t="s">
        <v>78</v>
      </c>
      <c r="N1351" t="s">
        <v>108</v>
      </c>
      <c r="O1351" t="s">
        <v>74</v>
      </c>
      <c r="P1351" t="s">
        <v>74</v>
      </c>
      <c r="Q1351" t="s">
        <v>74</v>
      </c>
      <c r="R1351" t="s">
        <v>74</v>
      </c>
      <c r="S1351" t="s">
        <v>74</v>
      </c>
      <c r="T1351" t="s">
        <v>22789</v>
      </c>
      <c r="U1351" t="s">
        <v>22790</v>
      </c>
      <c r="V1351" t="s">
        <v>22791</v>
      </c>
      <c r="W1351" t="s">
        <v>22792</v>
      </c>
      <c r="X1351" t="s">
        <v>10918</v>
      </c>
      <c r="Y1351" t="s">
        <v>22793</v>
      </c>
      <c r="Z1351" t="s">
        <v>22794</v>
      </c>
      <c r="AA1351" t="s">
        <v>74</v>
      </c>
      <c r="AB1351" t="s">
        <v>22795</v>
      </c>
      <c r="AC1351" t="s">
        <v>22796</v>
      </c>
      <c r="AD1351" t="s">
        <v>22796</v>
      </c>
      <c r="AE1351" t="s">
        <v>22797</v>
      </c>
      <c r="AF1351" t="s">
        <v>74</v>
      </c>
      <c r="AG1351">
        <v>46</v>
      </c>
      <c r="AH1351">
        <v>0</v>
      </c>
      <c r="AI1351">
        <v>0</v>
      </c>
      <c r="AJ1351">
        <v>4</v>
      </c>
      <c r="AK1351">
        <v>6</v>
      </c>
      <c r="AL1351" t="s">
        <v>88</v>
      </c>
      <c r="AM1351" t="s">
        <v>89</v>
      </c>
      <c r="AN1351" t="s">
        <v>90</v>
      </c>
      <c r="AO1351" t="s">
        <v>21777</v>
      </c>
      <c r="AP1351" t="s">
        <v>21778</v>
      </c>
      <c r="AQ1351" t="s">
        <v>74</v>
      </c>
      <c r="AR1351" t="s">
        <v>21779</v>
      </c>
      <c r="AS1351" t="s">
        <v>21780</v>
      </c>
      <c r="AT1351" t="s">
        <v>11459</v>
      </c>
      <c r="AU1351">
        <v>2024</v>
      </c>
      <c r="AV1351">
        <v>13</v>
      </c>
      <c r="AW1351">
        <v>2</v>
      </c>
      <c r="AX1351" t="s">
        <v>74</v>
      </c>
      <c r="AY1351" t="s">
        <v>74</v>
      </c>
      <c r="AZ1351" t="s">
        <v>456</v>
      </c>
      <c r="BA1351" t="s">
        <v>74</v>
      </c>
      <c r="BB1351">
        <v>239</v>
      </c>
      <c r="BC1351">
        <v>259</v>
      </c>
      <c r="BD1351" t="s">
        <v>74</v>
      </c>
      <c r="BE1351" t="s">
        <v>22798</v>
      </c>
      <c r="BF1351" t="str">
        <f>HYPERLINK("http://dx.doi.org/10.1080/21604851.2024.2328405","http://dx.doi.org/10.1080/21604851.2024.2328405")</f>
        <v>http://dx.doi.org/10.1080/21604851.2024.2328405</v>
      </c>
      <c r="BG1351" t="s">
        <v>74</v>
      </c>
      <c r="BH1351" t="s">
        <v>123</v>
      </c>
      <c r="BI1351">
        <v>21</v>
      </c>
      <c r="BJ1351" t="s">
        <v>98</v>
      </c>
      <c r="BK1351" t="s">
        <v>125</v>
      </c>
      <c r="BL1351" t="s">
        <v>100</v>
      </c>
      <c r="BM1351" t="s">
        <v>22799</v>
      </c>
      <c r="BN1351" t="s">
        <v>74</v>
      </c>
      <c r="BO1351" t="s">
        <v>74</v>
      </c>
      <c r="BP1351" t="s">
        <v>74</v>
      </c>
      <c r="BQ1351" t="s">
        <v>74</v>
      </c>
      <c r="BR1351" t="s">
        <v>102</v>
      </c>
      <c r="BS1351" t="s">
        <v>22800</v>
      </c>
      <c r="BT1351" t="str">
        <f>HYPERLINK("https%3A%2F%2Fwww.webofscience.com%2Fwos%2Fwoscc%2Ffull-record%2FWOS:001195027000001","View Full Record in Web of Science")</f>
        <v>View Full Record in Web of Science</v>
      </c>
    </row>
    <row r="1352" spans="1:72" x14ac:dyDescent="0.35">
      <c r="A1352" t="s">
        <v>72</v>
      </c>
      <c r="B1352" t="s">
        <v>22801</v>
      </c>
      <c r="C1352" t="s">
        <v>74</v>
      </c>
      <c r="D1352" t="s">
        <v>74</v>
      </c>
      <c r="E1352" t="s">
        <v>74</v>
      </c>
      <c r="F1352" t="s">
        <v>22802</v>
      </c>
      <c r="G1352" t="s">
        <v>74</v>
      </c>
      <c r="H1352" t="s">
        <v>74</v>
      </c>
      <c r="I1352" t="s">
        <v>22803</v>
      </c>
      <c r="J1352" t="s">
        <v>22804</v>
      </c>
      <c r="K1352" t="s">
        <v>74</v>
      </c>
      <c r="L1352" t="s">
        <v>74</v>
      </c>
      <c r="M1352" t="s">
        <v>78</v>
      </c>
      <c r="N1352" t="s">
        <v>108</v>
      </c>
      <c r="O1352" t="s">
        <v>74</v>
      </c>
      <c r="P1352" t="s">
        <v>74</v>
      </c>
      <c r="Q1352" t="s">
        <v>74</v>
      </c>
      <c r="R1352" t="s">
        <v>74</v>
      </c>
      <c r="S1352" t="s">
        <v>74</v>
      </c>
      <c r="T1352" t="s">
        <v>22805</v>
      </c>
      <c r="U1352" t="s">
        <v>22806</v>
      </c>
      <c r="V1352" t="s">
        <v>22807</v>
      </c>
      <c r="W1352" t="s">
        <v>22808</v>
      </c>
      <c r="X1352" t="s">
        <v>22809</v>
      </c>
      <c r="Y1352" t="s">
        <v>22810</v>
      </c>
      <c r="Z1352" t="s">
        <v>22811</v>
      </c>
      <c r="AA1352" t="s">
        <v>22812</v>
      </c>
      <c r="AB1352" t="s">
        <v>22813</v>
      </c>
      <c r="AC1352" t="s">
        <v>22814</v>
      </c>
      <c r="AD1352" t="s">
        <v>22815</v>
      </c>
      <c r="AE1352" t="s">
        <v>22816</v>
      </c>
      <c r="AF1352" t="s">
        <v>74</v>
      </c>
      <c r="AG1352">
        <v>70</v>
      </c>
      <c r="AH1352">
        <v>22</v>
      </c>
      <c r="AI1352">
        <v>22</v>
      </c>
      <c r="AJ1352">
        <v>93</v>
      </c>
      <c r="AK1352">
        <v>247</v>
      </c>
      <c r="AL1352" t="s">
        <v>3632</v>
      </c>
      <c r="AM1352" t="s">
        <v>148</v>
      </c>
      <c r="AN1352" t="s">
        <v>5053</v>
      </c>
      <c r="AO1352" t="s">
        <v>22817</v>
      </c>
      <c r="AP1352" t="s">
        <v>22818</v>
      </c>
      <c r="AQ1352" t="s">
        <v>74</v>
      </c>
      <c r="AR1352" t="s">
        <v>22819</v>
      </c>
      <c r="AS1352" t="s">
        <v>22820</v>
      </c>
      <c r="AT1352" t="s">
        <v>297</v>
      </c>
      <c r="AU1352">
        <v>2023</v>
      </c>
      <c r="AV1352">
        <v>74</v>
      </c>
      <c r="AW1352" t="s">
        <v>74</v>
      </c>
      <c r="AX1352" t="s">
        <v>74</v>
      </c>
      <c r="AY1352" t="s">
        <v>74</v>
      </c>
      <c r="AZ1352" t="s">
        <v>74</v>
      </c>
      <c r="BA1352" t="s">
        <v>74</v>
      </c>
      <c r="BB1352" t="s">
        <v>74</v>
      </c>
      <c r="BC1352" t="s">
        <v>74</v>
      </c>
      <c r="BD1352">
        <v>102289</v>
      </c>
      <c r="BE1352" t="s">
        <v>22821</v>
      </c>
      <c r="BF1352" t="str">
        <f>HYPERLINK("http://dx.doi.org/10.1016/j.techsoc.2023.102289","http://dx.doi.org/10.1016/j.techsoc.2023.102289")</f>
        <v>http://dx.doi.org/10.1016/j.techsoc.2023.102289</v>
      </c>
      <c r="BG1352" t="s">
        <v>74</v>
      </c>
      <c r="BH1352" t="s">
        <v>1954</v>
      </c>
      <c r="BI1352">
        <v>9</v>
      </c>
      <c r="BJ1352" t="s">
        <v>22822</v>
      </c>
      <c r="BK1352" t="s">
        <v>99</v>
      </c>
      <c r="BL1352" t="s">
        <v>22823</v>
      </c>
      <c r="BM1352" t="s">
        <v>22824</v>
      </c>
      <c r="BN1352" t="s">
        <v>74</v>
      </c>
      <c r="BO1352" t="s">
        <v>74</v>
      </c>
      <c r="BP1352" t="s">
        <v>395</v>
      </c>
      <c r="BQ1352" t="s">
        <v>396</v>
      </c>
      <c r="BR1352" t="s">
        <v>102</v>
      </c>
      <c r="BS1352" t="s">
        <v>22825</v>
      </c>
      <c r="BT1352" t="str">
        <f>HYPERLINK("https%3A%2F%2Fwww.webofscience.com%2Fwos%2Fwoscc%2Ffull-record%2FWOS:001039485800001","View Full Record in Web of Science")</f>
        <v>View Full Record in Web of Science</v>
      </c>
    </row>
    <row r="1353" spans="1:72" x14ac:dyDescent="0.35">
      <c r="A1353" t="s">
        <v>72</v>
      </c>
      <c r="B1353" t="s">
        <v>22826</v>
      </c>
      <c r="C1353" t="s">
        <v>74</v>
      </c>
      <c r="D1353" t="s">
        <v>74</v>
      </c>
      <c r="E1353" t="s">
        <v>74</v>
      </c>
      <c r="F1353" t="s">
        <v>22827</v>
      </c>
      <c r="G1353" t="s">
        <v>74</v>
      </c>
      <c r="H1353" t="s">
        <v>74</v>
      </c>
      <c r="I1353" t="s">
        <v>22828</v>
      </c>
      <c r="J1353" t="s">
        <v>22231</v>
      </c>
      <c r="K1353" t="s">
        <v>74</v>
      </c>
      <c r="L1353" t="s">
        <v>74</v>
      </c>
      <c r="M1353" t="s">
        <v>78</v>
      </c>
      <c r="N1353" t="s">
        <v>79</v>
      </c>
      <c r="O1353" t="s">
        <v>74</v>
      </c>
      <c r="P1353" t="s">
        <v>74</v>
      </c>
      <c r="Q1353" t="s">
        <v>74</v>
      </c>
      <c r="R1353" t="s">
        <v>74</v>
      </c>
      <c r="S1353" t="s">
        <v>74</v>
      </c>
      <c r="T1353" t="s">
        <v>22829</v>
      </c>
      <c r="U1353" t="s">
        <v>22830</v>
      </c>
      <c r="V1353" t="s">
        <v>22831</v>
      </c>
      <c r="W1353" t="s">
        <v>22832</v>
      </c>
      <c r="X1353" t="s">
        <v>22833</v>
      </c>
      <c r="Y1353" t="s">
        <v>22834</v>
      </c>
      <c r="Z1353" t="s">
        <v>22835</v>
      </c>
      <c r="AA1353" t="s">
        <v>74</v>
      </c>
      <c r="AB1353" t="s">
        <v>74</v>
      </c>
      <c r="AC1353" t="s">
        <v>74</v>
      </c>
      <c r="AD1353" t="s">
        <v>74</v>
      </c>
      <c r="AE1353" t="s">
        <v>74</v>
      </c>
      <c r="AF1353" t="s">
        <v>74</v>
      </c>
      <c r="AG1353">
        <v>61</v>
      </c>
      <c r="AH1353">
        <v>0</v>
      </c>
      <c r="AI1353">
        <v>0</v>
      </c>
      <c r="AJ1353">
        <v>0</v>
      </c>
      <c r="AK1353">
        <v>0</v>
      </c>
      <c r="AL1353" t="s">
        <v>88</v>
      </c>
      <c r="AM1353" t="s">
        <v>89</v>
      </c>
      <c r="AN1353" t="s">
        <v>90</v>
      </c>
      <c r="AO1353" t="s">
        <v>22239</v>
      </c>
      <c r="AP1353" t="s">
        <v>22240</v>
      </c>
      <c r="AQ1353" t="s">
        <v>74</v>
      </c>
      <c r="AR1353" t="s">
        <v>22241</v>
      </c>
      <c r="AS1353" t="s">
        <v>22242</v>
      </c>
      <c r="AT1353" t="s">
        <v>22836</v>
      </c>
      <c r="AU1353">
        <v>2024</v>
      </c>
      <c r="AV1353" t="s">
        <v>74</v>
      </c>
      <c r="AW1353" t="s">
        <v>74</v>
      </c>
      <c r="AX1353" t="s">
        <v>74</v>
      </c>
      <c r="AY1353" t="s">
        <v>74</v>
      </c>
      <c r="AZ1353" t="s">
        <v>74</v>
      </c>
      <c r="BA1353" t="s">
        <v>74</v>
      </c>
      <c r="BB1353" t="s">
        <v>74</v>
      </c>
      <c r="BC1353" t="s">
        <v>74</v>
      </c>
      <c r="BD1353" t="s">
        <v>74</v>
      </c>
      <c r="BE1353" t="s">
        <v>22837</v>
      </c>
      <c r="BF1353" t="str">
        <f>HYPERLINK("http://dx.doi.org/10.1080/02773945.2024.2403356","http://dx.doi.org/10.1080/02773945.2024.2403356")</f>
        <v>http://dx.doi.org/10.1080/02773945.2024.2403356</v>
      </c>
      <c r="BG1353" t="s">
        <v>74</v>
      </c>
      <c r="BH1353" t="s">
        <v>4092</v>
      </c>
      <c r="BI1353">
        <v>22</v>
      </c>
      <c r="BJ1353" t="s">
        <v>22244</v>
      </c>
      <c r="BK1353" t="s">
        <v>2125</v>
      </c>
      <c r="BL1353" t="s">
        <v>22244</v>
      </c>
      <c r="BM1353" t="s">
        <v>22838</v>
      </c>
      <c r="BN1353" t="s">
        <v>74</v>
      </c>
      <c r="BO1353" t="s">
        <v>74</v>
      </c>
      <c r="BP1353" t="s">
        <v>74</v>
      </c>
      <c r="BQ1353" t="s">
        <v>74</v>
      </c>
      <c r="BR1353" t="s">
        <v>102</v>
      </c>
      <c r="BS1353" t="s">
        <v>22839</v>
      </c>
      <c r="BT1353" t="str">
        <f>HYPERLINK("https%3A%2F%2Fwww.webofscience.com%2Fwos%2Fwoscc%2Ffull-record%2FWOS:001353233800001","View Full Record in Web of Science")</f>
        <v>View Full Record in Web of Science</v>
      </c>
    </row>
    <row r="1354" spans="1:72" x14ac:dyDescent="0.35">
      <c r="A1354" t="s">
        <v>72</v>
      </c>
      <c r="B1354" t="s">
        <v>22840</v>
      </c>
      <c r="C1354" t="s">
        <v>74</v>
      </c>
      <c r="D1354" t="s">
        <v>74</v>
      </c>
      <c r="E1354" t="s">
        <v>74</v>
      </c>
      <c r="F1354" t="s">
        <v>22841</v>
      </c>
      <c r="G1354" t="s">
        <v>74</v>
      </c>
      <c r="H1354" t="s">
        <v>74</v>
      </c>
      <c r="I1354" t="s">
        <v>22842</v>
      </c>
      <c r="J1354" t="s">
        <v>216</v>
      </c>
      <c r="K1354" t="s">
        <v>74</v>
      </c>
      <c r="L1354" t="s">
        <v>74</v>
      </c>
      <c r="M1354" t="s">
        <v>78</v>
      </c>
      <c r="N1354" t="s">
        <v>108</v>
      </c>
      <c r="O1354" t="s">
        <v>74</v>
      </c>
      <c r="P1354" t="s">
        <v>74</v>
      </c>
      <c r="Q1354" t="s">
        <v>74</v>
      </c>
      <c r="R1354" t="s">
        <v>74</v>
      </c>
      <c r="S1354" t="s">
        <v>74</v>
      </c>
      <c r="T1354" t="s">
        <v>22843</v>
      </c>
      <c r="U1354" t="s">
        <v>74</v>
      </c>
      <c r="V1354" t="s">
        <v>22844</v>
      </c>
      <c r="W1354" t="s">
        <v>22845</v>
      </c>
      <c r="X1354" t="s">
        <v>22846</v>
      </c>
      <c r="Y1354" t="s">
        <v>22847</v>
      </c>
      <c r="Z1354" t="s">
        <v>22848</v>
      </c>
      <c r="AA1354" t="s">
        <v>446</v>
      </c>
      <c r="AB1354" t="s">
        <v>74</v>
      </c>
      <c r="AC1354" t="s">
        <v>74</v>
      </c>
      <c r="AD1354" t="s">
        <v>74</v>
      </c>
      <c r="AE1354" t="s">
        <v>74</v>
      </c>
      <c r="AF1354" t="s">
        <v>74</v>
      </c>
      <c r="AG1354">
        <v>60</v>
      </c>
      <c r="AH1354">
        <v>1</v>
      </c>
      <c r="AI1354">
        <v>1</v>
      </c>
      <c r="AJ1354">
        <v>10</v>
      </c>
      <c r="AK1354">
        <v>19</v>
      </c>
      <c r="AL1354" t="s">
        <v>226</v>
      </c>
      <c r="AM1354" t="s">
        <v>227</v>
      </c>
      <c r="AN1354" t="s">
        <v>228</v>
      </c>
      <c r="AO1354" t="s">
        <v>229</v>
      </c>
      <c r="AP1354" t="s">
        <v>74</v>
      </c>
      <c r="AQ1354" t="s">
        <v>74</v>
      </c>
      <c r="AR1354" t="s">
        <v>230</v>
      </c>
      <c r="AS1354" t="s">
        <v>231</v>
      </c>
      <c r="AT1354" t="s">
        <v>232</v>
      </c>
      <c r="AU1354">
        <v>2024</v>
      </c>
      <c r="AV1354">
        <v>10</v>
      </c>
      <c r="AW1354">
        <v>1</v>
      </c>
      <c r="AX1354" t="s">
        <v>74</v>
      </c>
      <c r="AY1354" t="s">
        <v>74</v>
      </c>
      <c r="AZ1354" t="s">
        <v>74</v>
      </c>
      <c r="BA1354" t="s">
        <v>74</v>
      </c>
      <c r="BB1354" t="s">
        <v>74</v>
      </c>
      <c r="BC1354" t="s">
        <v>74</v>
      </c>
      <c r="BD1354">
        <v>2.05630512312244E+16</v>
      </c>
      <c r="BE1354" t="s">
        <v>22849</v>
      </c>
      <c r="BF1354" t="str">
        <f>HYPERLINK("http://dx.doi.org/10.1177/20563051231224401","http://dx.doi.org/10.1177/20563051231224401")</f>
        <v>http://dx.doi.org/10.1177/20563051231224401</v>
      </c>
      <c r="BG1354" t="s">
        <v>74</v>
      </c>
      <c r="BH1354" t="s">
        <v>74</v>
      </c>
      <c r="BI1354">
        <v>10</v>
      </c>
      <c r="BJ1354" t="s">
        <v>124</v>
      </c>
      <c r="BK1354" t="s">
        <v>99</v>
      </c>
      <c r="BL1354" t="s">
        <v>124</v>
      </c>
      <c r="BM1354" t="s">
        <v>22850</v>
      </c>
      <c r="BN1354" t="s">
        <v>74</v>
      </c>
      <c r="BO1354" t="s">
        <v>235</v>
      </c>
      <c r="BP1354" t="s">
        <v>74</v>
      </c>
      <c r="BQ1354" t="s">
        <v>74</v>
      </c>
      <c r="BR1354" t="s">
        <v>102</v>
      </c>
      <c r="BS1354" t="s">
        <v>22851</v>
      </c>
      <c r="BT1354" t="str">
        <f>HYPERLINK("https%3A%2F%2Fwww.webofscience.com%2Fwos%2Fwoscc%2Ffull-record%2FWOS:001140687400001","View Full Record in Web of Science")</f>
        <v>View Full Record in Web of Science</v>
      </c>
    </row>
    <row r="1355" spans="1:72" x14ac:dyDescent="0.35">
      <c r="A1355" t="s">
        <v>72</v>
      </c>
      <c r="B1355" t="s">
        <v>22852</v>
      </c>
      <c r="C1355" t="s">
        <v>74</v>
      </c>
      <c r="D1355" t="s">
        <v>74</v>
      </c>
      <c r="E1355" t="s">
        <v>74</v>
      </c>
      <c r="F1355" t="s">
        <v>22853</v>
      </c>
      <c r="G1355" t="s">
        <v>74</v>
      </c>
      <c r="H1355" t="s">
        <v>74</v>
      </c>
      <c r="I1355" t="s">
        <v>22854</v>
      </c>
      <c r="J1355" t="s">
        <v>22855</v>
      </c>
      <c r="K1355" t="s">
        <v>74</v>
      </c>
      <c r="L1355" t="s">
        <v>74</v>
      </c>
      <c r="M1355" t="s">
        <v>78</v>
      </c>
      <c r="N1355" t="s">
        <v>108</v>
      </c>
      <c r="O1355" t="s">
        <v>74</v>
      </c>
      <c r="P1355" t="s">
        <v>74</v>
      </c>
      <c r="Q1355" t="s">
        <v>74</v>
      </c>
      <c r="R1355" t="s">
        <v>74</v>
      </c>
      <c r="S1355" t="s">
        <v>74</v>
      </c>
      <c r="T1355" t="s">
        <v>22856</v>
      </c>
      <c r="U1355" t="s">
        <v>13378</v>
      </c>
      <c r="V1355" t="s">
        <v>22857</v>
      </c>
      <c r="W1355" t="s">
        <v>22858</v>
      </c>
      <c r="X1355" t="s">
        <v>7254</v>
      </c>
      <c r="Y1355" t="s">
        <v>22859</v>
      </c>
      <c r="Z1355" t="s">
        <v>22860</v>
      </c>
      <c r="AA1355" t="s">
        <v>74</v>
      </c>
      <c r="AB1355" t="s">
        <v>74</v>
      </c>
      <c r="AC1355" t="s">
        <v>22861</v>
      </c>
      <c r="AD1355" t="s">
        <v>22861</v>
      </c>
      <c r="AE1355" t="s">
        <v>22862</v>
      </c>
      <c r="AF1355" t="s">
        <v>74</v>
      </c>
      <c r="AG1355">
        <v>53</v>
      </c>
      <c r="AH1355">
        <v>0</v>
      </c>
      <c r="AI1355">
        <v>0</v>
      </c>
      <c r="AJ1355">
        <v>16</v>
      </c>
      <c r="AK1355">
        <v>16</v>
      </c>
      <c r="AL1355" t="s">
        <v>22863</v>
      </c>
      <c r="AM1355" t="s">
        <v>5148</v>
      </c>
      <c r="AN1355" t="s">
        <v>22864</v>
      </c>
      <c r="AO1355" t="s">
        <v>22865</v>
      </c>
      <c r="AP1355" t="s">
        <v>22866</v>
      </c>
      <c r="AQ1355" t="s">
        <v>74</v>
      </c>
      <c r="AR1355" t="s">
        <v>22867</v>
      </c>
      <c r="AS1355" t="s">
        <v>22868</v>
      </c>
      <c r="AT1355" t="s">
        <v>74</v>
      </c>
      <c r="AU1355">
        <v>2024</v>
      </c>
      <c r="AV1355">
        <v>23</v>
      </c>
      <c r="AW1355">
        <v>2</v>
      </c>
      <c r="AX1355" t="s">
        <v>74</v>
      </c>
      <c r="AY1355" t="s">
        <v>74</v>
      </c>
      <c r="AZ1355" t="s">
        <v>74</v>
      </c>
      <c r="BA1355" t="s">
        <v>74</v>
      </c>
      <c r="BB1355" t="s">
        <v>74</v>
      </c>
      <c r="BC1355" t="s">
        <v>74</v>
      </c>
      <c r="BD1355" t="s">
        <v>74</v>
      </c>
      <c r="BE1355" t="s">
        <v>22869</v>
      </c>
      <c r="BF1355" t="str">
        <f>HYPERLINK("http://dx.doi.org/10.18239/ocnos_2024.23.2.479","http://dx.doi.org/10.18239/ocnos_2024.23.2.479")</f>
        <v>http://dx.doi.org/10.18239/ocnos_2024.23.2.479</v>
      </c>
      <c r="BG1355" t="s">
        <v>74</v>
      </c>
      <c r="BH1355" t="s">
        <v>74</v>
      </c>
      <c r="BI1355">
        <v>18</v>
      </c>
      <c r="BJ1355" t="s">
        <v>787</v>
      </c>
      <c r="BK1355" t="s">
        <v>125</v>
      </c>
      <c r="BL1355" t="s">
        <v>787</v>
      </c>
      <c r="BM1355" t="s">
        <v>22870</v>
      </c>
      <c r="BN1355" t="s">
        <v>74</v>
      </c>
      <c r="BO1355" t="s">
        <v>235</v>
      </c>
      <c r="BP1355" t="s">
        <v>74</v>
      </c>
      <c r="BQ1355" t="s">
        <v>74</v>
      </c>
      <c r="BR1355" t="s">
        <v>102</v>
      </c>
      <c r="BS1355" t="s">
        <v>22871</v>
      </c>
      <c r="BT1355" t="str">
        <f>HYPERLINK("https%3A%2F%2Fwww.webofscience.com%2Fwos%2Fwoscc%2Ffull-record%2FWOS:001283714500008","View Full Record in Web of Science")</f>
        <v>View Full Record in Web of Science</v>
      </c>
    </row>
    <row r="1356" spans="1:72" x14ac:dyDescent="0.35">
      <c r="A1356" t="s">
        <v>72</v>
      </c>
      <c r="B1356" t="s">
        <v>22872</v>
      </c>
      <c r="C1356" t="s">
        <v>74</v>
      </c>
      <c r="D1356" t="s">
        <v>74</v>
      </c>
      <c r="E1356" t="s">
        <v>74</v>
      </c>
      <c r="F1356" t="s">
        <v>22873</v>
      </c>
      <c r="G1356" t="s">
        <v>74</v>
      </c>
      <c r="H1356" t="s">
        <v>74</v>
      </c>
      <c r="I1356" t="s">
        <v>22874</v>
      </c>
      <c r="J1356" t="s">
        <v>22875</v>
      </c>
      <c r="K1356" t="s">
        <v>74</v>
      </c>
      <c r="L1356" t="s">
        <v>74</v>
      </c>
      <c r="M1356" t="s">
        <v>78</v>
      </c>
      <c r="N1356" t="s">
        <v>108</v>
      </c>
      <c r="O1356" t="s">
        <v>74</v>
      </c>
      <c r="P1356" t="s">
        <v>74</v>
      </c>
      <c r="Q1356" t="s">
        <v>74</v>
      </c>
      <c r="R1356" t="s">
        <v>74</v>
      </c>
      <c r="S1356" t="s">
        <v>74</v>
      </c>
      <c r="T1356" t="s">
        <v>74</v>
      </c>
      <c r="U1356" t="s">
        <v>22876</v>
      </c>
      <c r="V1356" t="s">
        <v>22877</v>
      </c>
      <c r="W1356" t="s">
        <v>22878</v>
      </c>
      <c r="X1356" t="s">
        <v>22879</v>
      </c>
      <c r="Y1356" t="s">
        <v>22880</v>
      </c>
      <c r="Z1356" t="s">
        <v>22881</v>
      </c>
      <c r="AA1356" t="s">
        <v>74</v>
      </c>
      <c r="AB1356" t="s">
        <v>22882</v>
      </c>
      <c r="AC1356" t="s">
        <v>74</v>
      </c>
      <c r="AD1356" t="s">
        <v>74</v>
      </c>
      <c r="AE1356" t="s">
        <v>74</v>
      </c>
      <c r="AF1356" t="s">
        <v>74</v>
      </c>
      <c r="AG1356">
        <v>58</v>
      </c>
      <c r="AH1356">
        <v>4</v>
      </c>
      <c r="AI1356">
        <v>4</v>
      </c>
      <c r="AJ1356">
        <v>3</v>
      </c>
      <c r="AK1356">
        <v>6</v>
      </c>
      <c r="AL1356" t="s">
        <v>1061</v>
      </c>
      <c r="AM1356" t="s">
        <v>1062</v>
      </c>
      <c r="AN1356" t="s">
        <v>1063</v>
      </c>
      <c r="AO1356" t="s">
        <v>22883</v>
      </c>
      <c r="AP1356" t="s">
        <v>22884</v>
      </c>
      <c r="AQ1356" t="s">
        <v>74</v>
      </c>
      <c r="AR1356" t="s">
        <v>22885</v>
      </c>
      <c r="AS1356" t="s">
        <v>22886</v>
      </c>
      <c r="AT1356" t="s">
        <v>257</v>
      </c>
      <c r="AU1356">
        <v>2024</v>
      </c>
      <c r="AV1356">
        <v>53</v>
      </c>
      <c r="AW1356">
        <v>3</v>
      </c>
      <c r="AX1356" t="s">
        <v>74</v>
      </c>
      <c r="AY1356" t="s">
        <v>74</v>
      </c>
      <c r="AZ1356" t="s">
        <v>74</v>
      </c>
      <c r="BA1356" t="s">
        <v>74</v>
      </c>
      <c r="BB1356">
        <v>395</v>
      </c>
      <c r="BC1356">
        <v>419</v>
      </c>
      <c r="BD1356" t="s">
        <v>74</v>
      </c>
      <c r="BE1356" t="s">
        <v>22887</v>
      </c>
      <c r="BF1356" t="str">
        <f>HYPERLINK("http://dx.doi.org/10.1017/S0047404523000143","http://dx.doi.org/10.1017/S0047404523000143")</f>
        <v>http://dx.doi.org/10.1017/S0047404523000143</v>
      </c>
      <c r="BG1356" t="s">
        <v>74</v>
      </c>
      <c r="BH1356" t="s">
        <v>299</v>
      </c>
      <c r="BI1356">
        <v>25</v>
      </c>
      <c r="BJ1356" t="s">
        <v>22888</v>
      </c>
      <c r="BK1356" t="s">
        <v>99</v>
      </c>
      <c r="BL1356" t="s">
        <v>22888</v>
      </c>
      <c r="BM1356" t="s">
        <v>22889</v>
      </c>
      <c r="BN1356" t="s">
        <v>74</v>
      </c>
      <c r="BO1356" t="s">
        <v>4154</v>
      </c>
      <c r="BP1356" t="s">
        <v>74</v>
      </c>
      <c r="BQ1356" t="s">
        <v>74</v>
      </c>
      <c r="BR1356" t="s">
        <v>102</v>
      </c>
      <c r="BS1356" t="s">
        <v>22890</v>
      </c>
      <c r="BT1356" t="str">
        <f>HYPERLINK("https%3A%2F%2Fwww.webofscience.com%2Fwos%2Fwoscc%2Ffull-record%2FWOS:000969100000001","View Full Record in Web of Science")</f>
        <v>View Full Record in Web of Science</v>
      </c>
    </row>
    <row r="1357" spans="1:72" x14ac:dyDescent="0.35">
      <c r="A1357" t="s">
        <v>72</v>
      </c>
      <c r="B1357" t="s">
        <v>22891</v>
      </c>
      <c r="C1357" t="s">
        <v>74</v>
      </c>
      <c r="D1357" t="s">
        <v>74</v>
      </c>
      <c r="E1357" t="s">
        <v>74</v>
      </c>
      <c r="F1357" t="s">
        <v>22892</v>
      </c>
      <c r="G1357" t="s">
        <v>74</v>
      </c>
      <c r="H1357" t="s">
        <v>74</v>
      </c>
      <c r="I1357" t="s">
        <v>22893</v>
      </c>
      <c r="J1357" t="s">
        <v>216</v>
      </c>
      <c r="K1357" t="s">
        <v>74</v>
      </c>
      <c r="L1357" t="s">
        <v>74</v>
      </c>
      <c r="M1357" t="s">
        <v>78</v>
      </c>
      <c r="N1357" t="s">
        <v>108</v>
      </c>
      <c r="O1357" t="s">
        <v>74</v>
      </c>
      <c r="P1357" t="s">
        <v>74</v>
      </c>
      <c r="Q1357" t="s">
        <v>74</v>
      </c>
      <c r="R1357" t="s">
        <v>74</v>
      </c>
      <c r="S1357" t="s">
        <v>74</v>
      </c>
      <c r="T1357" t="s">
        <v>22894</v>
      </c>
      <c r="U1357" t="s">
        <v>22895</v>
      </c>
      <c r="V1357" t="s">
        <v>22896</v>
      </c>
      <c r="W1357" t="s">
        <v>22897</v>
      </c>
      <c r="X1357" t="s">
        <v>4519</v>
      </c>
      <c r="Y1357" t="s">
        <v>4520</v>
      </c>
      <c r="Z1357" t="s">
        <v>4521</v>
      </c>
      <c r="AA1357" t="s">
        <v>4522</v>
      </c>
      <c r="AB1357" t="s">
        <v>74</v>
      </c>
      <c r="AC1357" t="s">
        <v>74</v>
      </c>
      <c r="AD1357" t="s">
        <v>74</v>
      </c>
      <c r="AE1357" t="s">
        <v>74</v>
      </c>
      <c r="AF1357" t="s">
        <v>74</v>
      </c>
      <c r="AG1357">
        <v>63</v>
      </c>
      <c r="AH1357">
        <v>3</v>
      </c>
      <c r="AI1357">
        <v>3</v>
      </c>
      <c r="AJ1357">
        <v>9</v>
      </c>
      <c r="AK1357">
        <v>36</v>
      </c>
      <c r="AL1357" t="s">
        <v>226</v>
      </c>
      <c r="AM1357" t="s">
        <v>227</v>
      </c>
      <c r="AN1357" t="s">
        <v>228</v>
      </c>
      <c r="AO1357" t="s">
        <v>229</v>
      </c>
      <c r="AP1357" t="s">
        <v>74</v>
      </c>
      <c r="AQ1357" t="s">
        <v>74</v>
      </c>
      <c r="AR1357" t="s">
        <v>230</v>
      </c>
      <c r="AS1357" t="s">
        <v>231</v>
      </c>
      <c r="AT1357" t="s">
        <v>232</v>
      </c>
      <c r="AU1357">
        <v>2023</v>
      </c>
      <c r="AV1357">
        <v>9</v>
      </c>
      <c r="AW1357">
        <v>1</v>
      </c>
      <c r="AX1357" t="s">
        <v>74</v>
      </c>
      <c r="AY1357" t="s">
        <v>74</v>
      </c>
      <c r="AZ1357" t="s">
        <v>74</v>
      </c>
      <c r="BA1357" t="s">
        <v>74</v>
      </c>
      <c r="BB1357" t="s">
        <v>74</v>
      </c>
      <c r="BC1357" t="s">
        <v>74</v>
      </c>
      <c r="BD1357">
        <v>2.0563051231158824E+16</v>
      </c>
      <c r="BE1357" t="s">
        <v>22898</v>
      </c>
      <c r="BF1357" t="str">
        <f>HYPERLINK("http://dx.doi.org/10.1177/20563051231158822","http://dx.doi.org/10.1177/20563051231158822")</f>
        <v>http://dx.doi.org/10.1177/20563051231158822</v>
      </c>
      <c r="BG1357" t="s">
        <v>74</v>
      </c>
      <c r="BH1357" t="s">
        <v>74</v>
      </c>
      <c r="BI1357">
        <v>10</v>
      </c>
      <c r="BJ1357" t="s">
        <v>124</v>
      </c>
      <c r="BK1357" t="s">
        <v>99</v>
      </c>
      <c r="BL1357" t="s">
        <v>124</v>
      </c>
      <c r="BM1357" t="s">
        <v>22899</v>
      </c>
      <c r="BN1357" t="s">
        <v>74</v>
      </c>
      <c r="BO1357" t="s">
        <v>235</v>
      </c>
      <c r="BP1357" t="s">
        <v>74</v>
      </c>
      <c r="BQ1357" t="s">
        <v>74</v>
      </c>
      <c r="BR1357" t="s">
        <v>102</v>
      </c>
      <c r="BS1357" t="s">
        <v>22900</v>
      </c>
      <c r="BT1357" t="str">
        <f>HYPERLINK("https%3A%2F%2Fwww.webofscience.com%2Fwos%2Fwoscc%2Ffull-record%2FWOS:000946404000001","View Full Record in Web of Science")</f>
        <v>View Full Record in Web of Science</v>
      </c>
    </row>
    <row r="1358" spans="1:72" x14ac:dyDescent="0.35">
      <c r="A1358" t="s">
        <v>72</v>
      </c>
      <c r="B1358" t="s">
        <v>22901</v>
      </c>
      <c r="C1358" t="s">
        <v>74</v>
      </c>
      <c r="D1358" t="s">
        <v>74</v>
      </c>
      <c r="E1358" t="s">
        <v>74</v>
      </c>
      <c r="F1358" t="s">
        <v>22902</v>
      </c>
      <c r="G1358" t="s">
        <v>74</v>
      </c>
      <c r="H1358" t="s">
        <v>74</v>
      </c>
      <c r="I1358" t="s">
        <v>22903</v>
      </c>
      <c r="J1358" t="s">
        <v>22904</v>
      </c>
      <c r="K1358" t="s">
        <v>74</v>
      </c>
      <c r="L1358" t="s">
        <v>74</v>
      </c>
      <c r="M1358" t="s">
        <v>78</v>
      </c>
      <c r="N1358" t="s">
        <v>108</v>
      </c>
      <c r="O1358" t="s">
        <v>74</v>
      </c>
      <c r="P1358" t="s">
        <v>74</v>
      </c>
      <c r="Q1358" t="s">
        <v>74</v>
      </c>
      <c r="R1358" t="s">
        <v>74</v>
      </c>
      <c r="S1358" t="s">
        <v>74</v>
      </c>
      <c r="T1358" t="s">
        <v>22905</v>
      </c>
      <c r="U1358" t="s">
        <v>22906</v>
      </c>
      <c r="V1358" t="s">
        <v>22907</v>
      </c>
      <c r="W1358" t="s">
        <v>22908</v>
      </c>
      <c r="X1358" t="s">
        <v>22909</v>
      </c>
      <c r="Y1358" t="s">
        <v>22910</v>
      </c>
      <c r="Z1358" t="s">
        <v>22911</v>
      </c>
      <c r="AA1358" t="s">
        <v>74</v>
      </c>
      <c r="AB1358" t="s">
        <v>22912</v>
      </c>
      <c r="AC1358" t="s">
        <v>74</v>
      </c>
      <c r="AD1358" t="s">
        <v>74</v>
      </c>
      <c r="AE1358" t="s">
        <v>74</v>
      </c>
      <c r="AF1358" t="s">
        <v>74</v>
      </c>
      <c r="AG1358">
        <v>133</v>
      </c>
      <c r="AH1358">
        <v>0</v>
      </c>
      <c r="AI1358">
        <v>0</v>
      </c>
      <c r="AJ1358">
        <v>10</v>
      </c>
      <c r="AK1358">
        <v>14</v>
      </c>
      <c r="AL1358" t="s">
        <v>22913</v>
      </c>
      <c r="AM1358" t="s">
        <v>22914</v>
      </c>
      <c r="AN1358" t="s">
        <v>22915</v>
      </c>
      <c r="AO1358" t="s">
        <v>22916</v>
      </c>
      <c r="AP1358" t="s">
        <v>74</v>
      </c>
      <c r="AQ1358" t="s">
        <v>74</v>
      </c>
      <c r="AR1358" t="s">
        <v>22917</v>
      </c>
      <c r="AS1358" t="s">
        <v>22918</v>
      </c>
      <c r="AT1358" t="s">
        <v>74</v>
      </c>
      <c r="AU1358">
        <v>2024</v>
      </c>
      <c r="AV1358">
        <v>23</v>
      </c>
      <c r="AW1358">
        <v>1</v>
      </c>
      <c r="AX1358" t="s">
        <v>74</v>
      </c>
      <c r="AY1358" t="s">
        <v>74</v>
      </c>
      <c r="AZ1358" t="s">
        <v>74</v>
      </c>
      <c r="BA1358" t="s">
        <v>74</v>
      </c>
      <c r="BB1358">
        <v>131</v>
      </c>
      <c r="BC1358">
        <v>150</v>
      </c>
      <c r="BD1358" t="s">
        <v>74</v>
      </c>
      <c r="BE1358" t="s">
        <v>22919</v>
      </c>
      <c r="BF1358" t="str">
        <f>HYPERLINK("http://dx.doi.org/10.33225/jbse/24.23.131","http://dx.doi.org/10.33225/jbse/24.23.131")</f>
        <v>http://dx.doi.org/10.33225/jbse/24.23.131</v>
      </c>
      <c r="BG1358" t="s">
        <v>74</v>
      </c>
      <c r="BH1358" t="s">
        <v>74</v>
      </c>
      <c r="BI1358">
        <v>20</v>
      </c>
      <c r="BJ1358" t="s">
        <v>787</v>
      </c>
      <c r="BK1358" t="s">
        <v>99</v>
      </c>
      <c r="BL1358" t="s">
        <v>787</v>
      </c>
      <c r="BM1358" t="s">
        <v>22920</v>
      </c>
      <c r="BN1358" t="s">
        <v>74</v>
      </c>
      <c r="BO1358" t="s">
        <v>235</v>
      </c>
      <c r="BP1358" t="s">
        <v>74</v>
      </c>
      <c r="BQ1358" t="s">
        <v>74</v>
      </c>
      <c r="BR1358" t="s">
        <v>102</v>
      </c>
      <c r="BS1358" t="s">
        <v>22921</v>
      </c>
      <c r="BT1358" t="str">
        <f>HYPERLINK("https%3A%2F%2Fwww.webofscience.com%2Fwos%2Fwoscc%2Ffull-record%2FWOS:001183674900001","View Full Record in Web of Science")</f>
        <v>View Full Record in Web of Science</v>
      </c>
    </row>
    <row r="1359" spans="1:72" x14ac:dyDescent="0.35">
      <c r="A1359" t="s">
        <v>72</v>
      </c>
      <c r="B1359" t="s">
        <v>22922</v>
      </c>
      <c r="C1359" t="s">
        <v>74</v>
      </c>
      <c r="D1359" t="s">
        <v>74</v>
      </c>
      <c r="E1359" t="s">
        <v>74</v>
      </c>
      <c r="F1359" t="s">
        <v>22923</v>
      </c>
      <c r="G1359" t="s">
        <v>74</v>
      </c>
      <c r="H1359" t="s">
        <v>74</v>
      </c>
      <c r="I1359" t="s">
        <v>22924</v>
      </c>
      <c r="J1359" t="s">
        <v>20961</v>
      </c>
      <c r="K1359" t="s">
        <v>74</v>
      </c>
      <c r="L1359" t="s">
        <v>74</v>
      </c>
      <c r="M1359" t="s">
        <v>78</v>
      </c>
      <c r="N1359" t="s">
        <v>108</v>
      </c>
      <c r="O1359" t="s">
        <v>74</v>
      </c>
      <c r="P1359" t="s">
        <v>74</v>
      </c>
      <c r="Q1359" t="s">
        <v>74</v>
      </c>
      <c r="R1359" t="s">
        <v>74</v>
      </c>
      <c r="S1359" t="s">
        <v>74</v>
      </c>
      <c r="T1359" t="s">
        <v>22925</v>
      </c>
      <c r="U1359" t="s">
        <v>22926</v>
      </c>
      <c r="V1359" t="s">
        <v>22927</v>
      </c>
      <c r="W1359" t="s">
        <v>22928</v>
      </c>
      <c r="X1359" t="s">
        <v>14433</v>
      </c>
      <c r="Y1359" t="s">
        <v>22929</v>
      </c>
      <c r="Z1359" t="s">
        <v>22930</v>
      </c>
      <c r="AA1359" t="s">
        <v>22931</v>
      </c>
      <c r="AB1359" t="s">
        <v>22932</v>
      </c>
      <c r="AC1359" t="s">
        <v>74</v>
      </c>
      <c r="AD1359" t="s">
        <v>74</v>
      </c>
      <c r="AE1359" t="s">
        <v>74</v>
      </c>
      <c r="AF1359" t="s">
        <v>74</v>
      </c>
      <c r="AG1359">
        <v>80</v>
      </c>
      <c r="AH1359">
        <v>1</v>
      </c>
      <c r="AI1359">
        <v>1</v>
      </c>
      <c r="AJ1359">
        <v>2</v>
      </c>
      <c r="AK1359">
        <v>2</v>
      </c>
      <c r="AL1359" t="s">
        <v>1195</v>
      </c>
      <c r="AM1359" t="s">
        <v>1196</v>
      </c>
      <c r="AN1359" t="s">
        <v>1197</v>
      </c>
      <c r="AO1359" t="s">
        <v>74</v>
      </c>
      <c r="AP1359" t="s">
        <v>20969</v>
      </c>
      <c r="AQ1359" t="s">
        <v>74</v>
      </c>
      <c r="AR1359" t="s">
        <v>20961</v>
      </c>
      <c r="AS1359" t="s">
        <v>20970</v>
      </c>
      <c r="AT1359" t="s">
        <v>745</v>
      </c>
      <c r="AU1359">
        <v>2024</v>
      </c>
      <c r="AV1359">
        <v>14</v>
      </c>
      <c r="AW1359">
        <v>5</v>
      </c>
      <c r="AX1359" t="s">
        <v>74</v>
      </c>
      <c r="AY1359" t="s">
        <v>74</v>
      </c>
      <c r="AZ1359" t="s">
        <v>74</v>
      </c>
      <c r="BA1359" t="s">
        <v>74</v>
      </c>
      <c r="BB1359" t="s">
        <v>74</v>
      </c>
      <c r="BC1359" t="s">
        <v>74</v>
      </c>
      <c r="BD1359">
        <v>59</v>
      </c>
      <c r="BE1359" t="s">
        <v>22933</v>
      </c>
      <c r="BF1359" t="str">
        <f>HYPERLINK("http://dx.doi.org/10.3390/soc14050059","http://dx.doi.org/10.3390/soc14050059")</f>
        <v>http://dx.doi.org/10.3390/soc14050059</v>
      </c>
      <c r="BG1359" t="s">
        <v>74</v>
      </c>
      <c r="BH1359" t="s">
        <v>74</v>
      </c>
      <c r="BI1359">
        <v>17</v>
      </c>
      <c r="BJ1359" t="s">
        <v>4573</v>
      </c>
      <c r="BK1359" t="s">
        <v>125</v>
      </c>
      <c r="BL1359" t="s">
        <v>4573</v>
      </c>
      <c r="BM1359" t="s">
        <v>22934</v>
      </c>
      <c r="BN1359" t="s">
        <v>74</v>
      </c>
      <c r="BO1359" t="s">
        <v>235</v>
      </c>
      <c r="BP1359" t="s">
        <v>74</v>
      </c>
      <c r="BQ1359" t="s">
        <v>74</v>
      </c>
      <c r="BR1359" t="s">
        <v>102</v>
      </c>
      <c r="BS1359" t="s">
        <v>22935</v>
      </c>
      <c r="BT1359" t="str">
        <f>HYPERLINK("https%3A%2F%2Fwww.webofscience.com%2Fwos%2Fwoscc%2Ffull-record%2FWOS:001231596400001","View Full Record in Web of Science")</f>
        <v>View Full Record in Web of Science</v>
      </c>
    </row>
    <row r="1360" spans="1:72" x14ac:dyDescent="0.35">
      <c r="A1360" t="s">
        <v>72</v>
      </c>
      <c r="B1360" t="s">
        <v>22936</v>
      </c>
      <c r="C1360" t="s">
        <v>74</v>
      </c>
      <c r="D1360" t="s">
        <v>74</v>
      </c>
      <c r="E1360" t="s">
        <v>74</v>
      </c>
      <c r="F1360" t="s">
        <v>22937</v>
      </c>
      <c r="G1360" t="s">
        <v>74</v>
      </c>
      <c r="H1360" t="s">
        <v>74</v>
      </c>
      <c r="I1360" t="s">
        <v>22938</v>
      </c>
      <c r="J1360" t="s">
        <v>22939</v>
      </c>
      <c r="K1360" t="s">
        <v>74</v>
      </c>
      <c r="L1360" t="s">
        <v>74</v>
      </c>
      <c r="M1360" t="s">
        <v>78</v>
      </c>
      <c r="N1360" t="s">
        <v>108</v>
      </c>
      <c r="O1360" t="s">
        <v>74</v>
      </c>
      <c r="P1360" t="s">
        <v>74</v>
      </c>
      <c r="Q1360" t="s">
        <v>74</v>
      </c>
      <c r="R1360" t="s">
        <v>74</v>
      </c>
      <c r="S1360" t="s">
        <v>74</v>
      </c>
      <c r="T1360" t="s">
        <v>22940</v>
      </c>
      <c r="U1360" t="s">
        <v>6717</v>
      </c>
      <c r="V1360" t="s">
        <v>22941</v>
      </c>
      <c r="W1360" t="s">
        <v>22942</v>
      </c>
      <c r="X1360" t="s">
        <v>22943</v>
      </c>
      <c r="Y1360" t="s">
        <v>22944</v>
      </c>
      <c r="Z1360" t="s">
        <v>22945</v>
      </c>
      <c r="AA1360" t="s">
        <v>74</v>
      </c>
      <c r="AB1360" t="s">
        <v>22946</v>
      </c>
      <c r="AC1360" t="s">
        <v>74</v>
      </c>
      <c r="AD1360" t="s">
        <v>74</v>
      </c>
      <c r="AE1360" t="s">
        <v>74</v>
      </c>
      <c r="AF1360" t="s">
        <v>74</v>
      </c>
      <c r="AG1360">
        <v>19</v>
      </c>
      <c r="AH1360">
        <v>4</v>
      </c>
      <c r="AI1360">
        <v>4</v>
      </c>
      <c r="AJ1360">
        <v>0</v>
      </c>
      <c r="AK1360">
        <v>2</v>
      </c>
      <c r="AL1360" t="s">
        <v>171</v>
      </c>
      <c r="AM1360" t="s">
        <v>172</v>
      </c>
      <c r="AN1360" t="s">
        <v>173</v>
      </c>
      <c r="AO1360" t="s">
        <v>22947</v>
      </c>
      <c r="AP1360" t="s">
        <v>22948</v>
      </c>
      <c r="AQ1360" t="s">
        <v>74</v>
      </c>
      <c r="AR1360" t="s">
        <v>22949</v>
      </c>
      <c r="AS1360" t="s">
        <v>22950</v>
      </c>
      <c r="AT1360" t="s">
        <v>1484</v>
      </c>
      <c r="AU1360">
        <v>2023</v>
      </c>
      <c r="AV1360">
        <v>29</v>
      </c>
      <c r="AW1360">
        <v>1</v>
      </c>
      <c r="AX1360" t="s">
        <v>74</v>
      </c>
      <c r="AY1360" t="s">
        <v>74</v>
      </c>
      <c r="AZ1360" t="s">
        <v>74</v>
      </c>
      <c r="BA1360" t="s">
        <v>74</v>
      </c>
      <c r="BB1360">
        <v>37</v>
      </c>
      <c r="BC1360">
        <v>41</v>
      </c>
      <c r="BD1360" t="s">
        <v>74</v>
      </c>
      <c r="BE1360" t="s">
        <v>22951</v>
      </c>
      <c r="BF1360" t="str">
        <f>HYPERLINK("http://dx.doi.org/10.1177/02601060221127505","http://dx.doi.org/10.1177/02601060221127505")</f>
        <v>http://dx.doi.org/10.1177/02601060221127505</v>
      </c>
      <c r="BG1360" t="s">
        <v>74</v>
      </c>
      <c r="BH1360" t="s">
        <v>74</v>
      </c>
      <c r="BI1360">
        <v>5</v>
      </c>
      <c r="BJ1360" t="s">
        <v>1071</v>
      </c>
      <c r="BK1360" t="s">
        <v>125</v>
      </c>
      <c r="BL1360" t="s">
        <v>1071</v>
      </c>
      <c r="BM1360" t="s">
        <v>22952</v>
      </c>
      <c r="BN1360">
        <v>36148909</v>
      </c>
      <c r="BO1360" t="s">
        <v>74</v>
      </c>
      <c r="BP1360" t="s">
        <v>74</v>
      </c>
      <c r="BQ1360" t="s">
        <v>74</v>
      </c>
      <c r="BR1360" t="s">
        <v>102</v>
      </c>
      <c r="BS1360" t="s">
        <v>22953</v>
      </c>
      <c r="BT1360" t="str">
        <f>HYPERLINK("https%3A%2F%2Fwww.webofscience.com%2Fwos%2Fwoscc%2Ffull-record%2FWOS:001125487900007","View Full Record in Web of Science")</f>
        <v>View Full Record in Web of Science</v>
      </c>
    </row>
    <row r="1361" spans="1:72" x14ac:dyDescent="0.35">
      <c r="A1361" t="s">
        <v>128</v>
      </c>
      <c r="B1361" t="s">
        <v>22954</v>
      </c>
      <c r="C1361" t="s">
        <v>74</v>
      </c>
      <c r="D1361" t="s">
        <v>74</v>
      </c>
      <c r="E1361" t="s">
        <v>702</v>
      </c>
      <c r="F1361" t="s">
        <v>22955</v>
      </c>
      <c r="G1361" t="s">
        <v>74</v>
      </c>
      <c r="H1361" t="s">
        <v>74</v>
      </c>
      <c r="I1361" t="s">
        <v>22956</v>
      </c>
      <c r="J1361" t="s">
        <v>22957</v>
      </c>
      <c r="K1361" t="s">
        <v>74</v>
      </c>
      <c r="L1361" t="s">
        <v>74</v>
      </c>
      <c r="M1361" t="s">
        <v>78</v>
      </c>
      <c r="N1361" t="s">
        <v>135</v>
      </c>
      <c r="O1361" t="s">
        <v>22958</v>
      </c>
      <c r="P1361" t="s">
        <v>22959</v>
      </c>
      <c r="Q1361" t="s">
        <v>22960</v>
      </c>
      <c r="R1361" t="s">
        <v>22961</v>
      </c>
      <c r="S1361" t="s">
        <v>74</v>
      </c>
      <c r="T1361" t="s">
        <v>22962</v>
      </c>
      <c r="U1361" t="s">
        <v>74</v>
      </c>
      <c r="V1361" t="s">
        <v>22963</v>
      </c>
      <c r="W1361" t="s">
        <v>22964</v>
      </c>
      <c r="X1361" t="s">
        <v>21450</v>
      </c>
      <c r="Y1361" t="s">
        <v>22965</v>
      </c>
      <c r="Z1361" t="s">
        <v>22966</v>
      </c>
      <c r="AA1361" t="s">
        <v>74</v>
      </c>
      <c r="AB1361" t="s">
        <v>74</v>
      </c>
      <c r="AC1361" t="s">
        <v>22967</v>
      </c>
      <c r="AD1361" t="s">
        <v>22967</v>
      </c>
      <c r="AE1361" t="s">
        <v>22968</v>
      </c>
      <c r="AF1361" t="s">
        <v>74</v>
      </c>
      <c r="AG1361">
        <v>60</v>
      </c>
      <c r="AH1361">
        <v>5</v>
      </c>
      <c r="AI1361">
        <v>6</v>
      </c>
      <c r="AJ1361">
        <v>8</v>
      </c>
      <c r="AK1361">
        <v>16</v>
      </c>
      <c r="AL1361" t="s">
        <v>718</v>
      </c>
      <c r="AM1361" t="s">
        <v>666</v>
      </c>
      <c r="AN1361" t="s">
        <v>719</v>
      </c>
      <c r="AO1361" t="s">
        <v>74</v>
      </c>
      <c r="AP1361" t="s">
        <v>74</v>
      </c>
      <c r="AQ1361" t="s">
        <v>22969</v>
      </c>
      <c r="AR1361" t="s">
        <v>74</v>
      </c>
      <c r="AS1361" t="s">
        <v>74</v>
      </c>
      <c r="AT1361" t="s">
        <v>74</v>
      </c>
      <c r="AU1361">
        <v>2022</v>
      </c>
      <c r="AV1361" t="s">
        <v>74</v>
      </c>
      <c r="AW1361" t="s">
        <v>74</v>
      </c>
      <c r="AX1361" t="s">
        <v>74</v>
      </c>
      <c r="AY1361" t="s">
        <v>74</v>
      </c>
      <c r="AZ1361" t="s">
        <v>74</v>
      </c>
      <c r="BA1361" t="s">
        <v>74</v>
      </c>
      <c r="BB1361">
        <v>532</v>
      </c>
      <c r="BC1361">
        <v>546</v>
      </c>
      <c r="BD1361" t="s">
        <v>74</v>
      </c>
      <c r="BE1361" t="s">
        <v>22970</v>
      </c>
      <c r="BF1361" t="str">
        <f>HYPERLINK("http://dx.doi.org/10.1145/3514094.3534166","http://dx.doi.org/10.1145/3514094.3534166")</f>
        <v>http://dx.doi.org/10.1145/3514094.3534166</v>
      </c>
      <c r="BG1361" t="s">
        <v>74</v>
      </c>
      <c r="BH1361" t="s">
        <v>74</v>
      </c>
      <c r="BI1361">
        <v>15</v>
      </c>
      <c r="BJ1361" t="s">
        <v>22971</v>
      </c>
      <c r="BK1361" t="s">
        <v>648</v>
      </c>
      <c r="BL1361" t="s">
        <v>22972</v>
      </c>
      <c r="BM1361" t="s">
        <v>22973</v>
      </c>
      <c r="BN1361" t="s">
        <v>74</v>
      </c>
      <c r="BO1361" t="s">
        <v>5037</v>
      </c>
      <c r="BP1361" t="s">
        <v>74</v>
      </c>
      <c r="BQ1361" t="s">
        <v>74</v>
      </c>
      <c r="BR1361" t="s">
        <v>102</v>
      </c>
      <c r="BS1361" t="s">
        <v>22974</v>
      </c>
      <c r="BT1361" t="str">
        <f>HYPERLINK("https%3A%2F%2Fwww.webofscience.com%2Fwos%2Fwoscc%2Ffull-record%2FWOS:001118017500054","View Full Record in Web of Science")</f>
        <v>View Full Record in Web of Science</v>
      </c>
    </row>
    <row r="1362" spans="1:72" x14ac:dyDescent="0.35">
      <c r="A1362" t="s">
        <v>72</v>
      </c>
      <c r="B1362" t="s">
        <v>22975</v>
      </c>
      <c r="C1362" t="s">
        <v>74</v>
      </c>
      <c r="D1362" t="s">
        <v>74</v>
      </c>
      <c r="E1362" t="s">
        <v>74</v>
      </c>
      <c r="F1362" t="s">
        <v>22976</v>
      </c>
      <c r="G1362" t="s">
        <v>74</v>
      </c>
      <c r="H1362" t="s">
        <v>74</v>
      </c>
      <c r="I1362" t="s">
        <v>22977</v>
      </c>
      <c r="J1362" t="s">
        <v>937</v>
      </c>
      <c r="K1362" t="s">
        <v>74</v>
      </c>
      <c r="L1362" t="s">
        <v>74</v>
      </c>
      <c r="M1362" t="s">
        <v>78</v>
      </c>
      <c r="N1362" t="s">
        <v>108</v>
      </c>
      <c r="O1362" t="s">
        <v>74</v>
      </c>
      <c r="P1362" t="s">
        <v>74</v>
      </c>
      <c r="Q1362" t="s">
        <v>74</v>
      </c>
      <c r="R1362" t="s">
        <v>74</v>
      </c>
      <c r="S1362" t="s">
        <v>74</v>
      </c>
      <c r="T1362" t="s">
        <v>74</v>
      </c>
      <c r="U1362" t="s">
        <v>22978</v>
      </c>
      <c r="V1362" t="s">
        <v>22979</v>
      </c>
      <c r="W1362" t="s">
        <v>22980</v>
      </c>
      <c r="X1362" t="s">
        <v>22981</v>
      </c>
      <c r="Y1362" t="s">
        <v>22982</v>
      </c>
      <c r="Z1362" t="s">
        <v>22983</v>
      </c>
      <c r="AA1362" t="s">
        <v>22984</v>
      </c>
      <c r="AB1362" t="s">
        <v>22985</v>
      </c>
      <c r="AC1362" t="s">
        <v>74</v>
      </c>
      <c r="AD1362" t="s">
        <v>74</v>
      </c>
      <c r="AE1362" t="s">
        <v>74</v>
      </c>
      <c r="AF1362" t="s">
        <v>74</v>
      </c>
      <c r="AG1362">
        <v>141</v>
      </c>
      <c r="AH1362">
        <v>3</v>
      </c>
      <c r="AI1362">
        <v>3</v>
      </c>
      <c r="AJ1362">
        <v>15</v>
      </c>
      <c r="AK1362">
        <v>26</v>
      </c>
      <c r="AL1362" t="s">
        <v>22986</v>
      </c>
      <c r="AM1362" t="s">
        <v>227</v>
      </c>
      <c r="AN1362" t="s">
        <v>22987</v>
      </c>
      <c r="AO1362" t="s">
        <v>74</v>
      </c>
      <c r="AP1362" t="s">
        <v>945</v>
      </c>
      <c r="AQ1362" t="s">
        <v>74</v>
      </c>
      <c r="AR1362" t="s">
        <v>946</v>
      </c>
      <c r="AS1362" t="s">
        <v>947</v>
      </c>
      <c r="AT1362" t="s">
        <v>22988</v>
      </c>
      <c r="AU1362">
        <v>2024</v>
      </c>
      <c r="AV1362">
        <v>2024</v>
      </c>
      <c r="AW1362" t="s">
        <v>74</v>
      </c>
      <c r="AX1362" t="s">
        <v>74</v>
      </c>
      <c r="AY1362" t="s">
        <v>74</v>
      </c>
      <c r="AZ1362" t="s">
        <v>74</v>
      </c>
      <c r="BA1362" t="s">
        <v>74</v>
      </c>
      <c r="BB1362" t="s">
        <v>74</v>
      </c>
      <c r="BC1362" t="s">
        <v>74</v>
      </c>
      <c r="BD1362">
        <v>2764759</v>
      </c>
      <c r="BE1362" t="s">
        <v>22989</v>
      </c>
      <c r="BF1362" t="str">
        <f>HYPERLINK("http://dx.doi.org/10.1155/2024/2764759","http://dx.doi.org/10.1155/2024/2764759")</f>
        <v>http://dx.doi.org/10.1155/2024/2764759</v>
      </c>
      <c r="BG1362" t="s">
        <v>74</v>
      </c>
      <c r="BH1362" t="s">
        <v>74</v>
      </c>
      <c r="BI1362">
        <v>29</v>
      </c>
      <c r="BJ1362" t="s">
        <v>698</v>
      </c>
      <c r="BK1362" t="s">
        <v>125</v>
      </c>
      <c r="BL1362" t="s">
        <v>301</v>
      </c>
      <c r="BM1362" t="s">
        <v>22990</v>
      </c>
      <c r="BN1362" t="s">
        <v>74</v>
      </c>
      <c r="BO1362" t="s">
        <v>235</v>
      </c>
      <c r="BP1362" t="s">
        <v>74</v>
      </c>
      <c r="BQ1362" t="s">
        <v>74</v>
      </c>
      <c r="BR1362" t="s">
        <v>102</v>
      </c>
      <c r="BS1362" t="s">
        <v>22991</v>
      </c>
      <c r="BT1362" t="str">
        <f>HYPERLINK("https%3A%2F%2Fwww.webofscience.com%2Fwos%2Fwoscc%2Ffull-record%2FWOS:001158445400001","View Full Record in Web of Science")</f>
        <v>View Full Record in Web of Science</v>
      </c>
    </row>
    <row r="1363" spans="1:72" x14ac:dyDescent="0.35">
      <c r="A1363" t="s">
        <v>72</v>
      </c>
      <c r="B1363" t="s">
        <v>22992</v>
      </c>
      <c r="C1363" t="s">
        <v>74</v>
      </c>
      <c r="D1363" t="s">
        <v>74</v>
      </c>
      <c r="E1363" t="s">
        <v>74</v>
      </c>
      <c r="F1363" t="s">
        <v>22993</v>
      </c>
      <c r="G1363" t="s">
        <v>74</v>
      </c>
      <c r="H1363" t="s">
        <v>74</v>
      </c>
      <c r="I1363" t="s">
        <v>22994</v>
      </c>
      <c r="J1363" t="s">
        <v>793</v>
      </c>
      <c r="K1363" t="s">
        <v>74</v>
      </c>
      <c r="L1363" t="s">
        <v>74</v>
      </c>
      <c r="M1363" t="s">
        <v>78</v>
      </c>
      <c r="N1363" t="s">
        <v>108</v>
      </c>
      <c r="O1363" t="s">
        <v>74</v>
      </c>
      <c r="P1363" t="s">
        <v>74</v>
      </c>
      <c r="Q1363" t="s">
        <v>74</v>
      </c>
      <c r="R1363" t="s">
        <v>74</v>
      </c>
      <c r="S1363" t="s">
        <v>74</v>
      </c>
      <c r="T1363" t="s">
        <v>22995</v>
      </c>
      <c r="U1363" t="s">
        <v>4975</v>
      </c>
      <c r="V1363" t="s">
        <v>22996</v>
      </c>
      <c r="W1363" t="s">
        <v>22997</v>
      </c>
      <c r="X1363" t="s">
        <v>22998</v>
      </c>
      <c r="Y1363" t="s">
        <v>22999</v>
      </c>
      <c r="Z1363" t="s">
        <v>23000</v>
      </c>
      <c r="AA1363" t="s">
        <v>74</v>
      </c>
      <c r="AB1363" t="s">
        <v>74</v>
      </c>
      <c r="AC1363" t="s">
        <v>74</v>
      </c>
      <c r="AD1363" t="s">
        <v>74</v>
      </c>
      <c r="AE1363" t="s">
        <v>74</v>
      </c>
      <c r="AF1363" t="s">
        <v>74</v>
      </c>
      <c r="AG1363">
        <v>16</v>
      </c>
      <c r="AH1363">
        <v>1</v>
      </c>
      <c r="AI1363">
        <v>1</v>
      </c>
      <c r="AJ1363">
        <v>0</v>
      </c>
      <c r="AK1363">
        <v>0</v>
      </c>
      <c r="AL1363" t="s">
        <v>803</v>
      </c>
      <c r="AM1363" t="s">
        <v>227</v>
      </c>
      <c r="AN1363" t="s">
        <v>804</v>
      </c>
      <c r="AO1363" t="s">
        <v>74</v>
      </c>
      <c r="AP1363" t="s">
        <v>805</v>
      </c>
      <c r="AQ1363" t="s">
        <v>74</v>
      </c>
      <c r="AR1363" t="s">
        <v>806</v>
      </c>
      <c r="AS1363" t="s">
        <v>807</v>
      </c>
      <c r="AT1363" t="s">
        <v>23001</v>
      </c>
      <c r="AU1363">
        <v>2023</v>
      </c>
      <c r="AV1363">
        <v>15</v>
      </c>
      <c r="AW1363">
        <v>9</v>
      </c>
      <c r="AX1363" t="s">
        <v>74</v>
      </c>
      <c r="AY1363" t="s">
        <v>74</v>
      </c>
      <c r="AZ1363" t="s">
        <v>74</v>
      </c>
      <c r="BA1363" t="s">
        <v>74</v>
      </c>
      <c r="BB1363" t="s">
        <v>74</v>
      </c>
      <c r="BC1363" t="s">
        <v>74</v>
      </c>
      <c r="BD1363" t="s">
        <v>23002</v>
      </c>
      <c r="BE1363" t="s">
        <v>23003</v>
      </c>
      <c r="BF1363" t="str">
        <f>HYPERLINK("http://dx.doi.org/10.7759/cureus.45801","http://dx.doi.org/10.7759/cureus.45801")</f>
        <v>http://dx.doi.org/10.7759/cureus.45801</v>
      </c>
      <c r="BG1363" t="s">
        <v>74</v>
      </c>
      <c r="BH1363" t="s">
        <v>74</v>
      </c>
      <c r="BI1363">
        <v>8</v>
      </c>
      <c r="BJ1363" t="s">
        <v>811</v>
      </c>
      <c r="BK1363" t="s">
        <v>125</v>
      </c>
      <c r="BL1363" t="s">
        <v>812</v>
      </c>
      <c r="BM1363" t="s">
        <v>23004</v>
      </c>
      <c r="BN1363">
        <v>37876408</v>
      </c>
      <c r="BO1363" t="s">
        <v>394</v>
      </c>
      <c r="BP1363" t="s">
        <v>74</v>
      </c>
      <c r="BQ1363" t="s">
        <v>74</v>
      </c>
      <c r="BR1363" t="s">
        <v>102</v>
      </c>
      <c r="BS1363" t="s">
        <v>23005</v>
      </c>
      <c r="BT1363" t="str">
        <f>HYPERLINK("https%3A%2F%2Fwww.webofscience.com%2Fwos%2Fwoscc%2Ffull-record%2FWOS:001092855400019","View Full Record in Web of Science")</f>
        <v>View Full Record in Web of Science</v>
      </c>
    </row>
    <row r="1364" spans="1:72" x14ac:dyDescent="0.35">
      <c r="A1364" t="s">
        <v>72</v>
      </c>
      <c r="B1364" t="s">
        <v>23006</v>
      </c>
      <c r="C1364" t="s">
        <v>74</v>
      </c>
      <c r="D1364" t="s">
        <v>74</v>
      </c>
      <c r="E1364" t="s">
        <v>74</v>
      </c>
      <c r="F1364" t="s">
        <v>23007</v>
      </c>
      <c r="G1364" t="s">
        <v>74</v>
      </c>
      <c r="H1364" t="s">
        <v>74</v>
      </c>
      <c r="I1364" t="s">
        <v>23008</v>
      </c>
      <c r="J1364" t="s">
        <v>5221</v>
      </c>
      <c r="K1364" t="s">
        <v>74</v>
      </c>
      <c r="L1364" t="s">
        <v>74</v>
      </c>
      <c r="M1364" t="s">
        <v>78</v>
      </c>
      <c r="N1364" t="s">
        <v>108</v>
      </c>
      <c r="O1364" t="s">
        <v>74</v>
      </c>
      <c r="P1364" t="s">
        <v>74</v>
      </c>
      <c r="Q1364" t="s">
        <v>74</v>
      </c>
      <c r="R1364" t="s">
        <v>74</v>
      </c>
      <c r="S1364" t="s">
        <v>74</v>
      </c>
      <c r="T1364" t="s">
        <v>23009</v>
      </c>
      <c r="U1364" t="s">
        <v>23010</v>
      </c>
      <c r="V1364" t="s">
        <v>23011</v>
      </c>
      <c r="W1364" t="s">
        <v>23012</v>
      </c>
      <c r="X1364" t="s">
        <v>4583</v>
      </c>
      <c r="Y1364" t="s">
        <v>23013</v>
      </c>
      <c r="Z1364" t="s">
        <v>23014</v>
      </c>
      <c r="AA1364" t="s">
        <v>23015</v>
      </c>
      <c r="AB1364" t="s">
        <v>23016</v>
      </c>
      <c r="AC1364" t="s">
        <v>23017</v>
      </c>
      <c r="AD1364" t="s">
        <v>23018</v>
      </c>
      <c r="AE1364" t="s">
        <v>23019</v>
      </c>
      <c r="AF1364" t="s">
        <v>74</v>
      </c>
      <c r="AG1364">
        <v>71</v>
      </c>
      <c r="AH1364">
        <v>3</v>
      </c>
      <c r="AI1364">
        <v>3</v>
      </c>
      <c r="AJ1364">
        <v>11</v>
      </c>
      <c r="AK1364">
        <v>41</v>
      </c>
      <c r="AL1364" t="s">
        <v>5231</v>
      </c>
      <c r="AM1364" t="s">
        <v>5232</v>
      </c>
      <c r="AN1364" t="s">
        <v>5233</v>
      </c>
      <c r="AO1364" t="s">
        <v>5234</v>
      </c>
      <c r="AP1364" t="s">
        <v>5235</v>
      </c>
      <c r="AQ1364" t="s">
        <v>74</v>
      </c>
      <c r="AR1364" t="s">
        <v>5236</v>
      </c>
      <c r="AS1364" t="s">
        <v>5237</v>
      </c>
      <c r="AT1364" t="s">
        <v>74</v>
      </c>
      <c r="AU1364">
        <v>2023</v>
      </c>
      <c r="AV1364">
        <v>32</v>
      </c>
      <c r="AW1364">
        <v>2</v>
      </c>
      <c r="AX1364" t="s">
        <v>74</v>
      </c>
      <c r="AY1364" t="s">
        <v>74</v>
      </c>
      <c r="AZ1364" t="s">
        <v>74</v>
      </c>
      <c r="BA1364" t="s">
        <v>74</v>
      </c>
      <c r="BB1364" t="s">
        <v>74</v>
      </c>
      <c r="BC1364" t="s">
        <v>74</v>
      </c>
      <c r="BD1364" t="s">
        <v>23020</v>
      </c>
      <c r="BE1364" t="s">
        <v>23021</v>
      </c>
      <c r="BF1364" t="str">
        <f>HYPERLINK("http://dx.doi.org/10.3145/epi.2023.mar.22","http://dx.doi.org/10.3145/epi.2023.mar.22")</f>
        <v>http://dx.doi.org/10.3145/epi.2023.mar.22</v>
      </c>
      <c r="BG1364" t="s">
        <v>74</v>
      </c>
      <c r="BH1364" t="s">
        <v>74</v>
      </c>
      <c r="BI1364">
        <v>17</v>
      </c>
      <c r="BJ1364" t="s">
        <v>5240</v>
      </c>
      <c r="BK1364" t="s">
        <v>99</v>
      </c>
      <c r="BL1364" t="s">
        <v>5240</v>
      </c>
      <c r="BM1364" t="s">
        <v>20256</v>
      </c>
      <c r="BN1364" t="s">
        <v>74</v>
      </c>
      <c r="BO1364" t="s">
        <v>156</v>
      </c>
      <c r="BP1364" t="s">
        <v>74</v>
      </c>
      <c r="BQ1364" t="s">
        <v>74</v>
      </c>
      <c r="BR1364" t="s">
        <v>102</v>
      </c>
      <c r="BS1364" t="s">
        <v>23022</v>
      </c>
      <c r="BT1364" t="str">
        <f>HYPERLINK("https%3A%2F%2Fwww.webofscience.com%2Fwos%2Fwoscc%2Ffull-record%2FWOS:001041238800015","View Full Record in Web of Science")</f>
        <v>View Full Record in Web of Science</v>
      </c>
    </row>
    <row r="1365" spans="1:72" x14ac:dyDescent="0.35">
      <c r="A1365" t="s">
        <v>128</v>
      </c>
      <c r="B1365" t="s">
        <v>23023</v>
      </c>
      <c r="C1365" t="s">
        <v>74</v>
      </c>
      <c r="D1365" t="s">
        <v>23024</v>
      </c>
      <c r="E1365" t="s">
        <v>74</v>
      </c>
      <c r="F1365" t="s">
        <v>23025</v>
      </c>
      <c r="G1365" t="s">
        <v>74</v>
      </c>
      <c r="H1365" t="s">
        <v>74</v>
      </c>
      <c r="I1365" t="s">
        <v>23026</v>
      </c>
      <c r="J1365" t="s">
        <v>23027</v>
      </c>
      <c r="K1365" t="s">
        <v>23028</v>
      </c>
      <c r="L1365" t="s">
        <v>74</v>
      </c>
      <c r="M1365" t="s">
        <v>78</v>
      </c>
      <c r="N1365" t="s">
        <v>135</v>
      </c>
      <c r="O1365" t="s">
        <v>23029</v>
      </c>
      <c r="P1365" t="s">
        <v>23030</v>
      </c>
      <c r="Q1365" t="s">
        <v>138</v>
      </c>
      <c r="R1365" t="s">
        <v>23031</v>
      </c>
      <c r="S1365" t="s">
        <v>74</v>
      </c>
      <c r="T1365" t="s">
        <v>23032</v>
      </c>
      <c r="U1365" t="s">
        <v>74</v>
      </c>
      <c r="V1365" t="s">
        <v>23033</v>
      </c>
      <c r="W1365" t="s">
        <v>23034</v>
      </c>
      <c r="X1365" t="s">
        <v>23035</v>
      </c>
      <c r="Y1365" t="s">
        <v>23036</v>
      </c>
      <c r="Z1365" t="s">
        <v>23037</v>
      </c>
      <c r="AA1365" t="s">
        <v>23038</v>
      </c>
      <c r="AB1365" t="s">
        <v>23039</v>
      </c>
      <c r="AC1365" t="s">
        <v>74</v>
      </c>
      <c r="AD1365" t="s">
        <v>74</v>
      </c>
      <c r="AE1365" t="s">
        <v>74</v>
      </c>
      <c r="AF1365" t="s">
        <v>74</v>
      </c>
      <c r="AG1365">
        <v>7</v>
      </c>
      <c r="AH1365">
        <v>0</v>
      </c>
      <c r="AI1365">
        <v>0</v>
      </c>
      <c r="AJ1365">
        <v>0</v>
      </c>
      <c r="AK1365">
        <v>9</v>
      </c>
      <c r="AL1365" t="s">
        <v>639</v>
      </c>
      <c r="AM1365" t="s">
        <v>640</v>
      </c>
      <c r="AN1365" t="s">
        <v>641</v>
      </c>
      <c r="AO1365" t="s">
        <v>23040</v>
      </c>
      <c r="AP1365" t="s">
        <v>23041</v>
      </c>
      <c r="AQ1365" t="s">
        <v>23042</v>
      </c>
      <c r="AR1365" t="s">
        <v>23043</v>
      </c>
      <c r="AS1365" t="s">
        <v>74</v>
      </c>
      <c r="AT1365" t="s">
        <v>74</v>
      </c>
      <c r="AU1365">
        <v>2021</v>
      </c>
      <c r="AV1365">
        <v>12</v>
      </c>
      <c r="AW1365" t="s">
        <v>74</v>
      </c>
      <c r="AX1365" t="s">
        <v>74</v>
      </c>
      <c r="AY1365" t="s">
        <v>74</v>
      </c>
      <c r="AZ1365" t="s">
        <v>74</v>
      </c>
      <c r="BA1365" t="s">
        <v>74</v>
      </c>
      <c r="BB1365">
        <v>498</v>
      </c>
      <c r="BC1365">
        <v>509</v>
      </c>
      <c r="BD1365" t="s">
        <v>74</v>
      </c>
      <c r="BE1365" t="s">
        <v>23044</v>
      </c>
      <c r="BF1365" t="str">
        <f>HYPERLINK("http://dx.doi.org/10.1007/978-3-030-61671-7_46","http://dx.doi.org/10.1007/978-3-030-61671-7_46")</f>
        <v>http://dx.doi.org/10.1007/978-3-030-61671-7_46</v>
      </c>
      <c r="BG1365" t="s">
        <v>74</v>
      </c>
      <c r="BH1365" t="s">
        <v>74</v>
      </c>
      <c r="BI1365">
        <v>12</v>
      </c>
      <c r="BJ1365" t="s">
        <v>23045</v>
      </c>
      <c r="BK1365" t="s">
        <v>648</v>
      </c>
      <c r="BL1365" t="s">
        <v>23046</v>
      </c>
      <c r="BM1365" t="s">
        <v>23047</v>
      </c>
      <c r="BN1365" t="s">
        <v>74</v>
      </c>
      <c r="BO1365" t="s">
        <v>74</v>
      </c>
      <c r="BP1365" t="s">
        <v>74</v>
      </c>
      <c r="BQ1365" t="s">
        <v>74</v>
      </c>
      <c r="BR1365" t="s">
        <v>102</v>
      </c>
      <c r="BS1365" t="s">
        <v>23048</v>
      </c>
      <c r="BT1365" t="str">
        <f>HYPERLINK("https%3A%2F%2Fwww.webofscience.com%2Fwos%2Fwoscc%2Ffull-record%2FWOS:000758801000046","View Full Record in Web of Science")</f>
        <v>View Full Record in Web of Science</v>
      </c>
    </row>
    <row r="1366" spans="1:72" x14ac:dyDescent="0.35">
      <c r="A1366" t="s">
        <v>72</v>
      </c>
      <c r="B1366" t="s">
        <v>23049</v>
      </c>
      <c r="C1366" t="s">
        <v>74</v>
      </c>
      <c r="D1366" t="s">
        <v>74</v>
      </c>
      <c r="E1366" t="s">
        <v>74</v>
      </c>
      <c r="F1366" t="s">
        <v>23050</v>
      </c>
      <c r="G1366" t="s">
        <v>74</v>
      </c>
      <c r="H1366" t="s">
        <v>74</v>
      </c>
      <c r="I1366" t="s">
        <v>23051</v>
      </c>
      <c r="J1366" t="s">
        <v>373</v>
      </c>
      <c r="K1366" t="s">
        <v>74</v>
      </c>
      <c r="L1366" t="s">
        <v>74</v>
      </c>
      <c r="M1366" t="s">
        <v>78</v>
      </c>
      <c r="N1366" t="s">
        <v>108</v>
      </c>
      <c r="O1366" t="s">
        <v>74</v>
      </c>
      <c r="P1366" t="s">
        <v>74</v>
      </c>
      <c r="Q1366" t="s">
        <v>74</v>
      </c>
      <c r="R1366" t="s">
        <v>74</v>
      </c>
      <c r="S1366" t="s">
        <v>74</v>
      </c>
      <c r="T1366" t="s">
        <v>23052</v>
      </c>
      <c r="U1366" t="s">
        <v>23053</v>
      </c>
      <c r="V1366" t="s">
        <v>23054</v>
      </c>
      <c r="W1366" t="s">
        <v>23055</v>
      </c>
      <c r="X1366" t="s">
        <v>23056</v>
      </c>
      <c r="Y1366" t="s">
        <v>23057</v>
      </c>
      <c r="Z1366" t="s">
        <v>23058</v>
      </c>
      <c r="AA1366" t="s">
        <v>23059</v>
      </c>
      <c r="AB1366" t="s">
        <v>74</v>
      </c>
      <c r="AC1366" t="s">
        <v>74</v>
      </c>
      <c r="AD1366" t="s">
        <v>74</v>
      </c>
      <c r="AE1366" t="s">
        <v>74</v>
      </c>
      <c r="AF1366" t="s">
        <v>74</v>
      </c>
      <c r="AG1366">
        <v>30</v>
      </c>
      <c r="AH1366">
        <v>0</v>
      </c>
      <c r="AI1366">
        <v>0</v>
      </c>
      <c r="AJ1366">
        <v>4</v>
      </c>
      <c r="AK1366">
        <v>4</v>
      </c>
      <c r="AL1366" t="s">
        <v>384</v>
      </c>
      <c r="AM1366" t="s">
        <v>385</v>
      </c>
      <c r="AN1366" t="s">
        <v>386</v>
      </c>
      <c r="AO1366" t="s">
        <v>74</v>
      </c>
      <c r="AP1366" t="s">
        <v>387</v>
      </c>
      <c r="AQ1366" t="s">
        <v>74</v>
      </c>
      <c r="AR1366" t="s">
        <v>388</v>
      </c>
      <c r="AS1366" t="s">
        <v>389</v>
      </c>
      <c r="AT1366" t="s">
        <v>23060</v>
      </c>
      <c r="AU1366">
        <v>2024</v>
      </c>
      <c r="AV1366">
        <v>12</v>
      </c>
      <c r="AW1366" t="s">
        <v>74</v>
      </c>
      <c r="AX1366" t="s">
        <v>74</v>
      </c>
      <c r="AY1366" t="s">
        <v>74</v>
      </c>
      <c r="AZ1366" t="s">
        <v>74</v>
      </c>
      <c r="BA1366" t="s">
        <v>74</v>
      </c>
      <c r="BB1366" t="s">
        <v>74</v>
      </c>
      <c r="BC1366" t="s">
        <v>74</v>
      </c>
      <c r="BD1366">
        <v>1400749</v>
      </c>
      <c r="BE1366" t="s">
        <v>23061</v>
      </c>
      <c r="BF1366" t="str">
        <f>HYPERLINK("http://dx.doi.org/10.3389/fpubh.2024.1400749","http://dx.doi.org/10.3389/fpubh.2024.1400749")</f>
        <v>http://dx.doi.org/10.3389/fpubh.2024.1400749</v>
      </c>
      <c r="BG1366" t="s">
        <v>74</v>
      </c>
      <c r="BH1366" t="s">
        <v>74</v>
      </c>
      <c r="BI1366">
        <v>8</v>
      </c>
      <c r="BJ1366" t="s">
        <v>392</v>
      </c>
      <c r="BK1366" t="s">
        <v>182</v>
      </c>
      <c r="BL1366" t="s">
        <v>392</v>
      </c>
      <c r="BM1366" t="s">
        <v>23062</v>
      </c>
      <c r="BN1366">
        <v>38864023</v>
      </c>
      <c r="BO1366" t="s">
        <v>394</v>
      </c>
      <c r="BP1366" t="s">
        <v>74</v>
      </c>
      <c r="BQ1366" t="s">
        <v>74</v>
      </c>
      <c r="BR1366" t="s">
        <v>102</v>
      </c>
      <c r="BS1366" t="s">
        <v>23063</v>
      </c>
      <c r="BT1366" t="str">
        <f>HYPERLINK("https%3A%2F%2Fwww.webofscience.com%2Fwos%2Fwoscc%2Ffull-record%2FWOS:001242884100001","View Full Record in Web of Science")</f>
        <v>View Full Record in Web of Science</v>
      </c>
    </row>
    <row r="1367" spans="1:72" x14ac:dyDescent="0.35">
      <c r="A1367" t="s">
        <v>72</v>
      </c>
      <c r="B1367" t="s">
        <v>23064</v>
      </c>
      <c r="C1367" t="s">
        <v>74</v>
      </c>
      <c r="D1367" t="s">
        <v>74</v>
      </c>
      <c r="E1367" t="s">
        <v>74</v>
      </c>
      <c r="F1367" t="s">
        <v>23065</v>
      </c>
      <c r="G1367" t="s">
        <v>74</v>
      </c>
      <c r="H1367" t="s">
        <v>74</v>
      </c>
      <c r="I1367" t="s">
        <v>23066</v>
      </c>
      <c r="J1367" t="s">
        <v>4856</v>
      </c>
      <c r="K1367" t="s">
        <v>74</v>
      </c>
      <c r="L1367" t="s">
        <v>74</v>
      </c>
      <c r="M1367" t="s">
        <v>78</v>
      </c>
      <c r="N1367" t="s">
        <v>108</v>
      </c>
      <c r="O1367" t="s">
        <v>74</v>
      </c>
      <c r="P1367" t="s">
        <v>74</v>
      </c>
      <c r="Q1367" t="s">
        <v>74</v>
      </c>
      <c r="R1367" t="s">
        <v>74</v>
      </c>
      <c r="S1367" t="s">
        <v>74</v>
      </c>
      <c r="T1367" t="s">
        <v>23067</v>
      </c>
      <c r="U1367" t="s">
        <v>23068</v>
      </c>
      <c r="V1367" t="s">
        <v>23069</v>
      </c>
      <c r="W1367" t="s">
        <v>23070</v>
      </c>
      <c r="X1367" t="s">
        <v>23071</v>
      </c>
      <c r="Y1367" t="s">
        <v>23072</v>
      </c>
      <c r="Z1367" t="s">
        <v>23073</v>
      </c>
      <c r="AA1367" t="s">
        <v>74</v>
      </c>
      <c r="AB1367" t="s">
        <v>74</v>
      </c>
      <c r="AC1367" t="s">
        <v>74</v>
      </c>
      <c r="AD1367" t="s">
        <v>74</v>
      </c>
      <c r="AE1367" t="s">
        <v>74</v>
      </c>
      <c r="AF1367" t="s">
        <v>74</v>
      </c>
      <c r="AG1367">
        <v>92</v>
      </c>
      <c r="AH1367">
        <v>0</v>
      </c>
      <c r="AI1367">
        <v>0</v>
      </c>
      <c r="AJ1367">
        <v>14</v>
      </c>
      <c r="AK1367">
        <v>14</v>
      </c>
      <c r="AL1367" t="s">
        <v>1965</v>
      </c>
      <c r="AM1367" t="s">
        <v>666</v>
      </c>
      <c r="AN1367" t="s">
        <v>1966</v>
      </c>
      <c r="AO1367" t="s">
        <v>4867</v>
      </c>
      <c r="AP1367" t="s">
        <v>4868</v>
      </c>
      <c r="AQ1367" t="s">
        <v>74</v>
      </c>
      <c r="AR1367" t="s">
        <v>4869</v>
      </c>
      <c r="AS1367" t="s">
        <v>4870</v>
      </c>
      <c r="AT1367" t="s">
        <v>257</v>
      </c>
      <c r="AU1367">
        <v>2024</v>
      </c>
      <c r="AV1367">
        <v>50</v>
      </c>
      <c r="AW1367">
        <v>2</v>
      </c>
      <c r="AX1367" t="s">
        <v>74</v>
      </c>
      <c r="AY1367" t="s">
        <v>74</v>
      </c>
      <c r="AZ1367" t="s">
        <v>74</v>
      </c>
      <c r="BA1367" t="s">
        <v>74</v>
      </c>
      <c r="BB1367" t="s">
        <v>74</v>
      </c>
      <c r="BC1367" t="s">
        <v>74</v>
      </c>
      <c r="BD1367">
        <v>102457</v>
      </c>
      <c r="BE1367" t="s">
        <v>23074</v>
      </c>
      <c r="BF1367" t="str">
        <f>HYPERLINK("http://dx.doi.org/10.1016/j.pubrev.2024.102457","http://dx.doi.org/10.1016/j.pubrev.2024.102457")</f>
        <v>http://dx.doi.org/10.1016/j.pubrev.2024.102457</v>
      </c>
      <c r="BG1367" t="s">
        <v>74</v>
      </c>
      <c r="BH1367" t="s">
        <v>2410</v>
      </c>
      <c r="BI1367">
        <v>13</v>
      </c>
      <c r="BJ1367" t="s">
        <v>1722</v>
      </c>
      <c r="BK1367" t="s">
        <v>99</v>
      </c>
      <c r="BL1367" t="s">
        <v>1723</v>
      </c>
      <c r="BM1367" t="s">
        <v>23075</v>
      </c>
      <c r="BN1367" t="s">
        <v>74</v>
      </c>
      <c r="BO1367" t="s">
        <v>74</v>
      </c>
      <c r="BP1367" t="s">
        <v>74</v>
      </c>
      <c r="BQ1367" t="s">
        <v>74</v>
      </c>
      <c r="BR1367" t="s">
        <v>102</v>
      </c>
      <c r="BS1367" t="s">
        <v>23076</v>
      </c>
      <c r="BT1367" t="str">
        <f>HYPERLINK("https%3A%2F%2Fwww.webofscience.com%2Fwos%2Fwoscc%2Ffull-record%2FWOS:001224246000001","View Full Record in Web of Science")</f>
        <v>View Full Record in Web of Science</v>
      </c>
    </row>
    <row r="1368" spans="1:72" x14ac:dyDescent="0.35">
      <c r="A1368" t="s">
        <v>72</v>
      </c>
      <c r="B1368" t="s">
        <v>23077</v>
      </c>
      <c r="C1368" t="s">
        <v>74</v>
      </c>
      <c r="D1368" t="s">
        <v>74</v>
      </c>
      <c r="E1368" t="s">
        <v>74</v>
      </c>
      <c r="F1368" t="s">
        <v>23078</v>
      </c>
      <c r="G1368" t="s">
        <v>74</v>
      </c>
      <c r="H1368" t="s">
        <v>74</v>
      </c>
      <c r="I1368" t="s">
        <v>23079</v>
      </c>
      <c r="J1368" t="s">
        <v>7401</v>
      </c>
      <c r="K1368" t="s">
        <v>74</v>
      </c>
      <c r="L1368" t="s">
        <v>74</v>
      </c>
      <c r="M1368" t="s">
        <v>78</v>
      </c>
      <c r="N1368" t="s">
        <v>108</v>
      </c>
      <c r="O1368" t="s">
        <v>74</v>
      </c>
      <c r="P1368" t="s">
        <v>74</v>
      </c>
      <c r="Q1368" t="s">
        <v>74</v>
      </c>
      <c r="R1368" t="s">
        <v>74</v>
      </c>
      <c r="S1368" t="s">
        <v>74</v>
      </c>
      <c r="T1368" t="s">
        <v>23080</v>
      </c>
      <c r="U1368" t="s">
        <v>23081</v>
      </c>
      <c r="V1368" t="s">
        <v>23082</v>
      </c>
      <c r="W1368" t="s">
        <v>23083</v>
      </c>
      <c r="X1368" t="s">
        <v>23084</v>
      </c>
      <c r="Y1368" t="s">
        <v>23085</v>
      </c>
      <c r="Z1368" t="s">
        <v>23086</v>
      </c>
      <c r="AA1368" t="s">
        <v>23087</v>
      </c>
      <c r="AB1368" t="s">
        <v>23088</v>
      </c>
      <c r="AC1368" t="s">
        <v>74</v>
      </c>
      <c r="AD1368" t="s">
        <v>74</v>
      </c>
      <c r="AE1368" t="s">
        <v>74</v>
      </c>
      <c r="AF1368" t="s">
        <v>74</v>
      </c>
      <c r="AG1368">
        <v>56</v>
      </c>
      <c r="AH1368">
        <v>0</v>
      </c>
      <c r="AI1368">
        <v>0</v>
      </c>
      <c r="AJ1368">
        <v>2</v>
      </c>
      <c r="AK1368">
        <v>9</v>
      </c>
      <c r="AL1368" t="s">
        <v>2290</v>
      </c>
      <c r="AM1368" t="s">
        <v>2291</v>
      </c>
      <c r="AN1368" t="s">
        <v>2292</v>
      </c>
      <c r="AO1368" t="s">
        <v>7412</v>
      </c>
      <c r="AP1368" t="s">
        <v>74</v>
      </c>
      <c r="AQ1368" t="s">
        <v>74</v>
      </c>
      <c r="AR1368" t="s">
        <v>7413</v>
      </c>
      <c r="AS1368" t="s">
        <v>7414</v>
      </c>
      <c r="AT1368" t="s">
        <v>2296</v>
      </c>
      <c r="AU1368">
        <v>2023</v>
      </c>
      <c r="AV1368">
        <v>9</v>
      </c>
      <c r="AW1368">
        <v>1</v>
      </c>
      <c r="AX1368" t="s">
        <v>74</v>
      </c>
      <c r="AY1368" t="s">
        <v>74</v>
      </c>
      <c r="AZ1368" t="s">
        <v>74</v>
      </c>
      <c r="BA1368" t="s">
        <v>74</v>
      </c>
      <c r="BB1368" t="s">
        <v>74</v>
      </c>
      <c r="BC1368" t="s">
        <v>74</v>
      </c>
      <c r="BD1368">
        <v>2193440</v>
      </c>
      <c r="BE1368" t="s">
        <v>23089</v>
      </c>
      <c r="BF1368" t="str">
        <f>HYPERLINK("http://dx.doi.org/10.1080/23311886.2023.2193440","http://dx.doi.org/10.1080/23311886.2023.2193440")</f>
        <v>http://dx.doi.org/10.1080/23311886.2023.2193440</v>
      </c>
      <c r="BG1368" t="s">
        <v>74</v>
      </c>
      <c r="BH1368" t="s">
        <v>74</v>
      </c>
      <c r="BI1368">
        <v>15</v>
      </c>
      <c r="BJ1368" t="s">
        <v>98</v>
      </c>
      <c r="BK1368" t="s">
        <v>125</v>
      </c>
      <c r="BL1368" t="s">
        <v>100</v>
      </c>
      <c r="BM1368" t="s">
        <v>23090</v>
      </c>
      <c r="BN1368" t="s">
        <v>74</v>
      </c>
      <c r="BO1368" t="s">
        <v>235</v>
      </c>
      <c r="BP1368" t="s">
        <v>74</v>
      </c>
      <c r="BQ1368" t="s">
        <v>74</v>
      </c>
      <c r="BR1368" t="s">
        <v>102</v>
      </c>
      <c r="BS1368" t="s">
        <v>23091</v>
      </c>
      <c r="BT1368" t="str">
        <f>HYPERLINK("https%3A%2F%2Fwww.webofscience.com%2Fwos%2Fwoscc%2Ffull-record%2FWOS:000966621300001","View Full Record in Web of Science")</f>
        <v>View Full Record in Web of Science</v>
      </c>
    </row>
    <row r="1369" spans="1:72" x14ac:dyDescent="0.35">
      <c r="A1369" t="s">
        <v>72</v>
      </c>
      <c r="B1369" t="s">
        <v>23092</v>
      </c>
      <c r="C1369" t="s">
        <v>74</v>
      </c>
      <c r="D1369" t="s">
        <v>74</v>
      </c>
      <c r="E1369" t="s">
        <v>74</v>
      </c>
      <c r="F1369" t="s">
        <v>23093</v>
      </c>
      <c r="G1369" t="s">
        <v>74</v>
      </c>
      <c r="H1369" t="s">
        <v>74</v>
      </c>
      <c r="I1369" t="s">
        <v>23094</v>
      </c>
      <c r="J1369" t="s">
        <v>23095</v>
      </c>
      <c r="K1369" t="s">
        <v>74</v>
      </c>
      <c r="L1369" t="s">
        <v>74</v>
      </c>
      <c r="M1369" t="s">
        <v>78</v>
      </c>
      <c r="N1369" t="s">
        <v>108</v>
      </c>
      <c r="O1369" t="s">
        <v>74</v>
      </c>
      <c r="P1369" t="s">
        <v>74</v>
      </c>
      <c r="Q1369" t="s">
        <v>74</v>
      </c>
      <c r="R1369" t="s">
        <v>74</v>
      </c>
      <c r="S1369" t="s">
        <v>74</v>
      </c>
      <c r="T1369" t="s">
        <v>23096</v>
      </c>
      <c r="U1369" t="s">
        <v>23097</v>
      </c>
      <c r="V1369" t="s">
        <v>23098</v>
      </c>
      <c r="W1369" t="s">
        <v>23099</v>
      </c>
      <c r="X1369" t="s">
        <v>23100</v>
      </c>
      <c r="Y1369" t="s">
        <v>23101</v>
      </c>
      <c r="Z1369" t="s">
        <v>23102</v>
      </c>
      <c r="AA1369" t="s">
        <v>23103</v>
      </c>
      <c r="AB1369" t="s">
        <v>23104</v>
      </c>
      <c r="AC1369" t="s">
        <v>74</v>
      </c>
      <c r="AD1369" t="s">
        <v>74</v>
      </c>
      <c r="AE1369" t="s">
        <v>74</v>
      </c>
      <c r="AF1369" t="s">
        <v>74</v>
      </c>
      <c r="AG1369">
        <v>48</v>
      </c>
      <c r="AH1369">
        <v>10</v>
      </c>
      <c r="AI1369">
        <v>10</v>
      </c>
      <c r="AJ1369">
        <v>1</v>
      </c>
      <c r="AK1369">
        <v>20</v>
      </c>
      <c r="AL1369" t="s">
        <v>1965</v>
      </c>
      <c r="AM1369" t="s">
        <v>666</v>
      </c>
      <c r="AN1369" t="s">
        <v>1966</v>
      </c>
      <c r="AO1369" t="s">
        <v>23105</v>
      </c>
      <c r="AP1369" t="s">
        <v>74</v>
      </c>
      <c r="AQ1369" t="s">
        <v>74</v>
      </c>
      <c r="AR1369" t="s">
        <v>23106</v>
      </c>
      <c r="AS1369" t="s">
        <v>23107</v>
      </c>
      <c r="AT1369" t="s">
        <v>8108</v>
      </c>
      <c r="AU1369">
        <v>2023</v>
      </c>
      <c r="AV1369">
        <v>72</v>
      </c>
      <c r="AW1369" t="s">
        <v>74</v>
      </c>
      <c r="AX1369" t="s">
        <v>74</v>
      </c>
      <c r="AY1369" t="s">
        <v>74</v>
      </c>
      <c r="AZ1369" t="s">
        <v>74</v>
      </c>
      <c r="BA1369" t="s">
        <v>74</v>
      </c>
      <c r="BB1369">
        <v>16</v>
      </c>
      <c r="BC1369">
        <v>25</v>
      </c>
      <c r="BD1369" t="s">
        <v>74</v>
      </c>
      <c r="BE1369" t="s">
        <v>23108</v>
      </c>
      <c r="BF1369" t="str">
        <f>HYPERLINK("http://dx.doi.org/10.1016/j.pedn.2023.03.017","http://dx.doi.org/10.1016/j.pedn.2023.03.017")</f>
        <v>http://dx.doi.org/10.1016/j.pedn.2023.03.017</v>
      </c>
      <c r="BG1369" t="s">
        <v>74</v>
      </c>
      <c r="BH1369" t="s">
        <v>299</v>
      </c>
      <c r="BI1369">
        <v>10</v>
      </c>
      <c r="BJ1369" t="s">
        <v>23109</v>
      </c>
      <c r="BK1369" t="s">
        <v>182</v>
      </c>
      <c r="BL1369" t="s">
        <v>23109</v>
      </c>
      <c r="BM1369" t="s">
        <v>23110</v>
      </c>
      <c r="BN1369">
        <v>37030042</v>
      </c>
      <c r="BO1369" t="s">
        <v>74</v>
      </c>
      <c r="BP1369" t="s">
        <v>74</v>
      </c>
      <c r="BQ1369" t="s">
        <v>74</v>
      </c>
      <c r="BR1369" t="s">
        <v>102</v>
      </c>
      <c r="BS1369" t="s">
        <v>23111</v>
      </c>
      <c r="BT1369" t="str">
        <f>HYPERLINK("https%3A%2F%2Fwww.webofscience.com%2Fwos%2Fwoscc%2Ffull-record%2FWOS:001020723700001","View Full Record in Web of Science")</f>
        <v>View Full Record in Web of Science</v>
      </c>
    </row>
    <row r="1370" spans="1:72" x14ac:dyDescent="0.35">
      <c r="A1370" t="s">
        <v>72</v>
      </c>
      <c r="B1370" t="s">
        <v>23112</v>
      </c>
      <c r="C1370" t="s">
        <v>74</v>
      </c>
      <c r="D1370" t="s">
        <v>74</v>
      </c>
      <c r="E1370" t="s">
        <v>74</v>
      </c>
      <c r="F1370" t="s">
        <v>23113</v>
      </c>
      <c r="G1370" t="s">
        <v>74</v>
      </c>
      <c r="H1370" t="s">
        <v>74</v>
      </c>
      <c r="I1370" t="s">
        <v>23114</v>
      </c>
      <c r="J1370" t="s">
        <v>373</v>
      </c>
      <c r="K1370" t="s">
        <v>74</v>
      </c>
      <c r="L1370" t="s">
        <v>74</v>
      </c>
      <c r="M1370" t="s">
        <v>78</v>
      </c>
      <c r="N1370" t="s">
        <v>108</v>
      </c>
      <c r="O1370" t="s">
        <v>74</v>
      </c>
      <c r="P1370" t="s">
        <v>74</v>
      </c>
      <c r="Q1370" t="s">
        <v>74</v>
      </c>
      <c r="R1370" t="s">
        <v>74</v>
      </c>
      <c r="S1370" t="s">
        <v>74</v>
      </c>
      <c r="T1370" t="s">
        <v>23115</v>
      </c>
      <c r="U1370" t="s">
        <v>795</v>
      </c>
      <c r="V1370" t="s">
        <v>23116</v>
      </c>
      <c r="W1370" t="s">
        <v>23117</v>
      </c>
      <c r="X1370" t="s">
        <v>23118</v>
      </c>
      <c r="Y1370" t="s">
        <v>23119</v>
      </c>
      <c r="Z1370" t="s">
        <v>19609</v>
      </c>
      <c r="AA1370" t="s">
        <v>23120</v>
      </c>
      <c r="AB1370" t="s">
        <v>23121</v>
      </c>
      <c r="AC1370" t="s">
        <v>23122</v>
      </c>
      <c r="AD1370" t="s">
        <v>23123</v>
      </c>
      <c r="AE1370" t="s">
        <v>23124</v>
      </c>
      <c r="AF1370" t="s">
        <v>74</v>
      </c>
      <c r="AG1370">
        <v>21</v>
      </c>
      <c r="AH1370">
        <v>10</v>
      </c>
      <c r="AI1370">
        <v>10</v>
      </c>
      <c r="AJ1370">
        <v>3</v>
      </c>
      <c r="AK1370">
        <v>51</v>
      </c>
      <c r="AL1370" t="s">
        <v>384</v>
      </c>
      <c r="AM1370" t="s">
        <v>385</v>
      </c>
      <c r="AN1370" t="s">
        <v>386</v>
      </c>
      <c r="AO1370" t="s">
        <v>74</v>
      </c>
      <c r="AP1370" t="s">
        <v>387</v>
      </c>
      <c r="AQ1370" t="s">
        <v>74</v>
      </c>
      <c r="AR1370" t="s">
        <v>388</v>
      </c>
      <c r="AS1370" t="s">
        <v>389</v>
      </c>
      <c r="AT1370" t="s">
        <v>23125</v>
      </c>
      <c r="AU1370">
        <v>2022</v>
      </c>
      <c r="AV1370">
        <v>10</v>
      </c>
      <c r="AW1370" t="s">
        <v>74</v>
      </c>
      <c r="AX1370" t="s">
        <v>74</v>
      </c>
      <c r="AY1370" t="s">
        <v>74</v>
      </c>
      <c r="AZ1370" t="s">
        <v>74</v>
      </c>
      <c r="BA1370" t="s">
        <v>74</v>
      </c>
      <c r="BB1370" t="s">
        <v>74</v>
      </c>
      <c r="BC1370" t="s">
        <v>74</v>
      </c>
      <c r="BD1370">
        <v>1039405</v>
      </c>
      <c r="BE1370" t="s">
        <v>23126</v>
      </c>
      <c r="BF1370" t="str">
        <f>HYPERLINK("http://dx.doi.org/10.3389/fpubh.2022.1039405","http://dx.doi.org/10.3389/fpubh.2022.1039405")</f>
        <v>http://dx.doi.org/10.3389/fpubh.2022.1039405</v>
      </c>
      <c r="BG1370" t="s">
        <v>74</v>
      </c>
      <c r="BH1370" t="s">
        <v>74</v>
      </c>
      <c r="BI1370">
        <v>15</v>
      </c>
      <c r="BJ1370" t="s">
        <v>392</v>
      </c>
      <c r="BK1370" t="s">
        <v>182</v>
      </c>
      <c r="BL1370" t="s">
        <v>392</v>
      </c>
      <c r="BM1370" t="s">
        <v>23127</v>
      </c>
      <c r="BN1370">
        <v>36505000</v>
      </c>
      <c r="BO1370" t="s">
        <v>552</v>
      </c>
      <c r="BP1370" t="s">
        <v>74</v>
      </c>
      <c r="BQ1370" t="s">
        <v>74</v>
      </c>
      <c r="BR1370" t="s">
        <v>102</v>
      </c>
      <c r="BS1370" t="s">
        <v>23128</v>
      </c>
      <c r="BT1370" t="str">
        <f>HYPERLINK("https%3A%2F%2Fwww.webofscience.com%2Fwos%2Fwoscc%2Ffull-record%2FWOS:000893788300001","View Full Record in Web of Science")</f>
        <v>View Full Record in Web of Science</v>
      </c>
    </row>
    <row r="1371" spans="1:72" x14ac:dyDescent="0.35">
      <c r="A1371" t="s">
        <v>72</v>
      </c>
      <c r="B1371" t="s">
        <v>23129</v>
      </c>
      <c r="C1371" t="s">
        <v>74</v>
      </c>
      <c r="D1371" t="s">
        <v>74</v>
      </c>
      <c r="E1371" t="s">
        <v>74</v>
      </c>
      <c r="F1371" t="s">
        <v>23130</v>
      </c>
      <c r="G1371" t="s">
        <v>74</v>
      </c>
      <c r="H1371" t="s">
        <v>74</v>
      </c>
      <c r="I1371" t="s">
        <v>23131</v>
      </c>
      <c r="J1371" t="s">
        <v>5221</v>
      </c>
      <c r="K1371" t="s">
        <v>74</v>
      </c>
      <c r="L1371" t="s">
        <v>74</v>
      </c>
      <c r="M1371" t="s">
        <v>78</v>
      </c>
      <c r="N1371" t="s">
        <v>108</v>
      </c>
      <c r="O1371" t="s">
        <v>74</v>
      </c>
      <c r="P1371" t="s">
        <v>74</v>
      </c>
      <c r="Q1371" t="s">
        <v>74</v>
      </c>
      <c r="R1371" t="s">
        <v>74</v>
      </c>
      <c r="S1371" t="s">
        <v>74</v>
      </c>
      <c r="T1371" t="s">
        <v>23132</v>
      </c>
      <c r="U1371" t="s">
        <v>23133</v>
      </c>
      <c r="V1371" t="s">
        <v>23134</v>
      </c>
      <c r="W1371" t="s">
        <v>23135</v>
      </c>
      <c r="X1371" t="s">
        <v>23136</v>
      </c>
      <c r="Y1371" t="s">
        <v>23137</v>
      </c>
      <c r="Z1371" t="s">
        <v>23138</v>
      </c>
      <c r="AA1371" t="s">
        <v>74</v>
      </c>
      <c r="AB1371" t="s">
        <v>23139</v>
      </c>
      <c r="AC1371" t="s">
        <v>74</v>
      </c>
      <c r="AD1371" t="s">
        <v>74</v>
      </c>
      <c r="AE1371" t="s">
        <v>74</v>
      </c>
      <c r="AF1371" t="s">
        <v>74</v>
      </c>
      <c r="AG1371">
        <v>51</v>
      </c>
      <c r="AH1371">
        <v>5</v>
      </c>
      <c r="AI1371">
        <v>6</v>
      </c>
      <c r="AJ1371">
        <v>6</v>
      </c>
      <c r="AK1371">
        <v>32</v>
      </c>
      <c r="AL1371" t="s">
        <v>5231</v>
      </c>
      <c r="AM1371" t="s">
        <v>5232</v>
      </c>
      <c r="AN1371" t="s">
        <v>5233</v>
      </c>
      <c r="AO1371" t="s">
        <v>5234</v>
      </c>
      <c r="AP1371" t="s">
        <v>5235</v>
      </c>
      <c r="AQ1371" t="s">
        <v>74</v>
      </c>
      <c r="AR1371" t="s">
        <v>5236</v>
      </c>
      <c r="AS1371" t="s">
        <v>5237</v>
      </c>
      <c r="AT1371" t="s">
        <v>74</v>
      </c>
      <c r="AU1371">
        <v>2023</v>
      </c>
      <c r="AV1371">
        <v>32</v>
      </c>
      <c r="AW1371">
        <v>2</v>
      </c>
      <c r="AX1371" t="s">
        <v>74</v>
      </c>
      <c r="AY1371" t="s">
        <v>74</v>
      </c>
      <c r="AZ1371" t="s">
        <v>74</v>
      </c>
      <c r="BA1371" t="s">
        <v>74</v>
      </c>
      <c r="BB1371" t="s">
        <v>74</v>
      </c>
      <c r="BC1371" t="s">
        <v>74</v>
      </c>
      <c r="BD1371" t="s">
        <v>23140</v>
      </c>
      <c r="BE1371" t="s">
        <v>23141</v>
      </c>
      <c r="BF1371" t="str">
        <f>HYPERLINK("http://dx.doi.org/10.3145/epi.2023.mar.18","http://dx.doi.org/10.3145/epi.2023.mar.18")</f>
        <v>http://dx.doi.org/10.3145/epi.2023.mar.18</v>
      </c>
      <c r="BG1371" t="s">
        <v>74</v>
      </c>
      <c r="BH1371" t="s">
        <v>74</v>
      </c>
      <c r="BI1371">
        <v>15</v>
      </c>
      <c r="BJ1371" t="s">
        <v>5240</v>
      </c>
      <c r="BK1371" t="s">
        <v>99</v>
      </c>
      <c r="BL1371" t="s">
        <v>5240</v>
      </c>
      <c r="BM1371" t="s">
        <v>20256</v>
      </c>
      <c r="BN1371" t="s">
        <v>74</v>
      </c>
      <c r="BO1371" t="s">
        <v>156</v>
      </c>
      <c r="BP1371" t="s">
        <v>74</v>
      </c>
      <c r="BQ1371" t="s">
        <v>74</v>
      </c>
      <c r="BR1371" t="s">
        <v>102</v>
      </c>
      <c r="BS1371" t="s">
        <v>23142</v>
      </c>
      <c r="BT1371" t="str">
        <f>HYPERLINK("https%3A%2F%2Fwww.webofscience.com%2Fwos%2Fwoscc%2Ffull-record%2FWOS:001041238800021","View Full Record in Web of Science")</f>
        <v>View Full Record in Web of Science</v>
      </c>
    </row>
    <row r="1372" spans="1:72" x14ac:dyDescent="0.35">
      <c r="A1372" t="s">
        <v>72</v>
      </c>
      <c r="B1372" t="s">
        <v>23143</v>
      </c>
      <c r="C1372" t="s">
        <v>74</v>
      </c>
      <c r="D1372" t="s">
        <v>74</v>
      </c>
      <c r="E1372" t="s">
        <v>74</v>
      </c>
      <c r="F1372" t="s">
        <v>23144</v>
      </c>
      <c r="G1372" t="s">
        <v>74</v>
      </c>
      <c r="H1372" t="s">
        <v>74</v>
      </c>
      <c r="I1372" t="s">
        <v>23145</v>
      </c>
      <c r="J1372" t="s">
        <v>23146</v>
      </c>
      <c r="K1372" t="s">
        <v>74</v>
      </c>
      <c r="L1372" t="s">
        <v>74</v>
      </c>
      <c r="M1372" t="s">
        <v>78</v>
      </c>
      <c r="N1372" t="s">
        <v>108</v>
      </c>
      <c r="O1372" t="s">
        <v>74</v>
      </c>
      <c r="P1372" t="s">
        <v>74</v>
      </c>
      <c r="Q1372" t="s">
        <v>74</v>
      </c>
      <c r="R1372" t="s">
        <v>74</v>
      </c>
      <c r="S1372" t="s">
        <v>74</v>
      </c>
      <c r="T1372" t="s">
        <v>23147</v>
      </c>
      <c r="U1372" t="s">
        <v>23148</v>
      </c>
      <c r="V1372" t="s">
        <v>23149</v>
      </c>
      <c r="W1372" t="s">
        <v>23150</v>
      </c>
      <c r="X1372" t="s">
        <v>23151</v>
      </c>
      <c r="Y1372" t="s">
        <v>23152</v>
      </c>
      <c r="Z1372" t="s">
        <v>23153</v>
      </c>
      <c r="AA1372" t="s">
        <v>23154</v>
      </c>
      <c r="AB1372" t="s">
        <v>74</v>
      </c>
      <c r="AC1372" t="s">
        <v>74</v>
      </c>
      <c r="AD1372" t="s">
        <v>74</v>
      </c>
      <c r="AE1372" t="s">
        <v>74</v>
      </c>
      <c r="AF1372" t="s">
        <v>74</v>
      </c>
      <c r="AG1372">
        <v>28</v>
      </c>
      <c r="AH1372">
        <v>2</v>
      </c>
      <c r="AI1372">
        <v>2</v>
      </c>
      <c r="AJ1372">
        <v>1</v>
      </c>
      <c r="AK1372">
        <v>19</v>
      </c>
      <c r="AL1372" t="s">
        <v>384</v>
      </c>
      <c r="AM1372" t="s">
        <v>385</v>
      </c>
      <c r="AN1372" t="s">
        <v>386</v>
      </c>
      <c r="AO1372" t="s">
        <v>23155</v>
      </c>
      <c r="AP1372" t="s">
        <v>74</v>
      </c>
      <c r="AQ1372" t="s">
        <v>74</v>
      </c>
      <c r="AR1372" t="s">
        <v>23156</v>
      </c>
      <c r="AS1372" t="s">
        <v>23157</v>
      </c>
      <c r="AT1372" t="s">
        <v>9080</v>
      </c>
      <c r="AU1372">
        <v>2022</v>
      </c>
      <c r="AV1372">
        <v>10</v>
      </c>
      <c r="AW1372" t="s">
        <v>74</v>
      </c>
      <c r="AX1372" t="s">
        <v>74</v>
      </c>
      <c r="AY1372" t="s">
        <v>74</v>
      </c>
      <c r="AZ1372" t="s">
        <v>74</v>
      </c>
      <c r="BA1372" t="s">
        <v>74</v>
      </c>
      <c r="BB1372" t="s">
        <v>74</v>
      </c>
      <c r="BC1372" t="s">
        <v>74</v>
      </c>
      <c r="BD1372">
        <v>990752</v>
      </c>
      <c r="BE1372" t="s">
        <v>23158</v>
      </c>
      <c r="BF1372" t="str">
        <f>HYPERLINK("http://dx.doi.org/10.3389/fped.2022.990752","http://dx.doi.org/10.3389/fped.2022.990752")</f>
        <v>http://dx.doi.org/10.3389/fped.2022.990752</v>
      </c>
      <c r="BG1372" t="s">
        <v>74</v>
      </c>
      <c r="BH1372" t="s">
        <v>74</v>
      </c>
      <c r="BI1372">
        <v>7</v>
      </c>
      <c r="BJ1372" t="s">
        <v>6641</v>
      </c>
      <c r="BK1372" t="s">
        <v>209</v>
      </c>
      <c r="BL1372" t="s">
        <v>6641</v>
      </c>
      <c r="BM1372" t="s">
        <v>23159</v>
      </c>
      <c r="BN1372">
        <v>36160769</v>
      </c>
      <c r="BO1372" t="s">
        <v>552</v>
      </c>
      <c r="BP1372" t="s">
        <v>74</v>
      </c>
      <c r="BQ1372" t="s">
        <v>74</v>
      </c>
      <c r="BR1372" t="s">
        <v>102</v>
      </c>
      <c r="BS1372" t="s">
        <v>23160</v>
      </c>
      <c r="BT1372" t="str">
        <f>HYPERLINK("https%3A%2F%2Fwww.webofscience.com%2Fwos%2Fwoscc%2Ffull-record%2FWOS:000871677400001","View Full Record in Web of Science")</f>
        <v>View Full Record in Web of Science</v>
      </c>
    </row>
    <row r="1373" spans="1:72" x14ac:dyDescent="0.35">
      <c r="A1373" t="s">
        <v>72</v>
      </c>
      <c r="B1373" t="s">
        <v>23161</v>
      </c>
      <c r="C1373" t="s">
        <v>74</v>
      </c>
      <c r="D1373" t="s">
        <v>74</v>
      </c>
      <c r="E1373" t="s">
        <v>74</v>
      </c>
      <c r="F1373" t="s">
        <v>23162</v>
      </c>
      <c r="G1373" t="s">
        <v>74</v>
      </c>
      <c r="H1373" t="s">
        <v>74</v>
      </c>
      <c r="I1373" t="s">
        <v>23163</v>
      </c>
      <c r="J1373" t="s">
        <v>23164</v>
      </c>
      <c r="K1373" t="s">
        <v>74</v>
      </c>
      <c r="L1373" t="s">
        <v>74</v>
      </c>
      <c r="M1373" t="s">
        <v>78</v>
      </c>
      <c r="N1373" t="s">
        <v>108</v>
      </c>
      <c r="O1373" t="s">
        <v>74</v>
      </c>
      <c r="P1373" t="s">
        <v>74</v>
      </c>
      <c r="Q1373" t="s">
        <v>74</v>
      </c>
      <c r="R1373" t="s">
        <v>74</v>
      </c>
      <c r="S1373" t="s">
        <v>74</v>
      </c>
      <c r="T1373" t="s">
        <v>23165</v>
      </c>
      <c r="U1373" t="s">
        <v>23166</v>
      </c>
      <c r="V1373" t="s">
        <v>23167</v>
      </c>
      <c r="W1373" t="s">
        <v>23168</v>
      </c>
      <c r="X1373" t="s">
        <v>12464</v>
      </c>
      <c r="Y1373" t="s">
        <v>23169</v>
      </c>
      <c r="Z1373" t="s">
        <v>23170</v>
      </c>
      <c r="AA1373" t="s">
        <v>74</v>
      </c>
      <c r="AB1373" t="s">
        <v>74</v>
      </c>
      <c r="AC1373" t="s">
        <v>12464</v>
      </c>
      <c r="AD1373" t="s">
        <v>23171</v>
      </c>
      <c r="AE1373" t="s">
        <v>23172</v>
      </c>
      <c r="AF1373" t="s">
        <v>74</v>
      </c>
      <c r="AG1373">
        <v>70</v>
      </c>
      <c r="AH1373">
        <v>4</v>
      </c>
      <c r="AI1373">
        <v>4</v>
      </c>
      <c r="AJ1373">
        <v>2</v>
      </c>
      <c r="AK1373">
        <v>7</v>
      </c>
      <c r="AL1373" t="s">
        <v>171</v>
      </c>
      <c r="AM1373" t="s">
        <v>172</v>
      </c>
      <c r="AN1373" t="s">
        <v>173</v>
      </c>
      <c r="AO1373" t="s">
        <v>23173</v>
      </c>
      <c r="AP1373" t="s">
        <v>74</v>
      </c>
      <c r="AQ1373" t="s">
        <v>74</v>
      </c>
      <c r="AR1373" t="s">
        <v>23174</v>
      </c>
      <c r="AS1373" t="s">
        <v>23175</v>
      </c>
      <c r="AT1373" t="s">
        <v>232</v>
      </c>
      <c r="AU1373">
        <v>2024</v>
      </c>
      <c r="AV1373">
        <v>23</v>
      </c>
      <c r="AW1373" t="s">
        <v>74</v>
      </c>
      <c r="AX1373" t="s">
        <v>74</v>
      </c>
      <c r="AY1373" t="s">
        <v>74</v>
      </c>
      <c r="AZ1373" t="s">
        <v>74</v>
      </c>
      <c r="BA1373" t="s">
        <v>74</v>
      </c>
      <c r="BB1373" t="s">
        <v>74</v>
      </c>
      <c r="BC1373" t="s">
        <v>74</v>
      </c>
      <c r="BD1373">
        <v>1.6094069231221374E+16</v>
      </c>
      <c r="BE1373" t="s">
        <v>23176</v>
      </c>
      <c r="BF1373" t="str">
        <f>HYPERLINK("http://dx.doi.org/10.1177/16094069231221374","http://dx.doi.org/10.1177/16094069231221374")</f>
        <v>http://dx.doi.org/10.1177/16094069231221374</v>
      </c>
      <c r="BG1373" t="s">
        <v>74</v>
      </c>
      <c r="BH1373" t="s">
        <v>74</v>
      </c>
      <c r="BI1373">
        <v>11</v>
      </c>
      <c r="BJ1373" t="s">
        <v>98</v>
      </c>
      <c r="BK1373" t="s">
        <v>99</v>
      </c>
      <c r="BL1373" t="s">
        <v>100</v>
      </c>
      <c r="BM1373" t="s">
        <v>23177</v>
      </c>
      <c r="BN1373" t="s">
        <v>74</v>
      </c>
      <c r="BO1373" t="s">
        <v>1888</v>
      </c>
      <c r="BP1373" t="s">
        <v>74</v>
      </c>
      <c r="BQ1373" t="s">
        <v>74</v>
      </c>
      <c r="BR1373" t="s">
        <v>102</v>
      </c>
      <c r="BS1373" t="s">
        <v>23178</v>
      </c>
      <c r="BT1373" t="str">
        <f>HYPERLINK("https%3A%2F%2Fwww.webofscience.com%2Fwos%2Fwoscc%2Ffull-record%2FWOS:001147639400001","View Full Record in Web of Science")</f>
        <v>View Full Record in Web of Science</v>
      </c>
    </row>
    <row r="1374" spans="1:72" x14ac:dyDescent="0.35">
      <c r="A1374" t="s">
        <v>72</v>
      </c>
      <c r="B1374" t="s">
        <v>23179</v>
      </c>
      <c r="C1374" t="s">
        <v>74</v>
      </c>
      <c r="D1374" t="s">
        <v>74</v>
      </c>
      <c r="E1374" t="s">
        <v>74</v>
      </c>
      <c r="F1374" t="s">
        <v>23180</v>
      </c>
      <c r="G1374" t="s">
        <v>74</v>
      </c>
      <c r="H1374" t="s">
        <v>74</v>
      </c>
      <c r="I1374" t="s">
        <v>23181</v>
      </c>
      <c r="J1374" t="s">
        <v>12618</v>
      </c>
      <c r="K1374" t="s">
        <v>74</v>
      </c>
      <c r="L1374" t="s">
        <v>74</v>
      </c>
      <c r="M1374" t="s">
        <v>78</v>
      </c>
      <c r="N1374" t="s">
        <v>108</v>
      </c>
      <c r="O1374" t="s">
        <v>74</v>
      </c>
      <c r="P1374" t="s">
        <v>74</v>
      </c>
      <c r="Q1374" t="s">
        <v>74</v>
      </c>
      <c r="R1374" t="s">
        <v>74</v>
      </c>
      <c r="S1374" t="s">
        <v>74</v>
      </c>
      <c r="T1374" t="s">
        <v>23182</v>
      </c>
      <c r="U1374" t="s">
        <v>23183</v>
      </c>
      <c r="V1374" t="s">
        <v>23184</v>
      </c>
      <c r="W1374" t="s">
        <v>23185</v>
      </c>
      <c r="X1374" t="s">
        <v>15670</v>
      </c>
      <c r="Y1374" t="s">
        <v>23186</v>
      </c>
      <c r="Z1374" t="s">
        <v>23187</v>
      </c>
      <c r="AA1374" t="s">
        <v>74</v>
      </c>
      <c r="AB1374" t="s">
        <v>23188</v>
      </c>
      <c r="AC1374" t="s">
        <v>23189</v>
      </c>
      <c r="AD1374" t="s">
        <v>23190</v>
      </c>
      <c r="AE1374" t="s">
        <v>23191</v>
      </c>
      <c r="AF1374" t="s">
        <v>74</v>
      </c>
      <c r="AG1374">
        <v>20</v>
      </c>
      <c r="AH1374">
        <v>0</v>
      </c>
      <c r="AI1374">
        <v>0</v>
      </c>
      <c r="AJ1374">
        <v>0</v>
      </c>
      <c r="AK1374">
        <v>1</v>
      </c>
      <c r="AL1374" t="s">
        <v>8334</v>
      </c>
      <c r="AM1374" t="s">
        <v>291</v>
      </c>
      <c r="AN1374" t="s">
        <v>8335</v>
      </c>
      <c r="AO1374" t="s">
        <v>12621</v>
      </c>
      <c r="AP1374" t="s">
        <v>12622</v>
      </c>
      <c r="AQ1374" t="s">
        <v>74</v>
      </c>
      <c r="AR1374" t="s">
        <v>12623</v>
      </c>
      <c r="AS1374" t="s">
        <v>12624</v>
      </c>
      <c r="AT1374" t="s">
        <v>23192</v>
      </c>
      <c r="AU1374">
        <v>2024</v>
      </c>
      <c r="AV1374">
        <v>45</v>
      </c>
      <c r="AW1374">
        <v>6</v>
      </c>
      <c r="AX1374" t="s">
        <v>74</v>
      </c>
      <c r="AY1374" t="s">
        <v>74</v>
      </c>
      <c r="AZ1374" t="s">
        <v>74</v>
      </c>
      <c r="BA1374" t="s">
        <v>74</v>
      </c>
      <c r="BB1374">
        <v>1592</v>
      </c>
      <c r="BC1374">
        <v>1597</v>
      </c>
      <c r="BD1374" t="s">
        <v>74</v>
      </c>
      <c r="BE1374" t="s">
        <v>23193</v>
      </c>
      <c r="BF1374" t="str">
        <f>HYPERLINK("http://dx.doi.org/10.1093/jbcr/irae068","http://dx.doi.org/10.1093/jbcr/irae068")</f>
        <v>http://dx.doi.org/10.1093/jbcr/irae068</v>
      </c>
      <c r="BG1374" t="s">
        <v>74</v>
      </c>
      <c r="BH1374" t="s">
        <v>1467</v>
      </c>
      <c r="BI1374">
        <v>6</v>
      </c>
      <c r="BJ1374" t="s">
        <v>12629</v>
      </c>
      <c r="BK1374" t="s">
        <v>209</v>
      </c>
      <c r="BL1374" t="s">
        <v>12630</v>
      </c>
      <c r="BM1374" t="s">
        <v>23194</v>
      </c>
      <c r="BN1374">
        <v>38655705</v>
      </c>
      <c r="BO1374" t="s">
        <v>74</v>
      </c>
      <c r="BP1374" t="s">
        <v>74</v>
      </c>
      <c r="BQ1374" t="s">
        <v>74</v>
      </c>
      <c r="BR1374" t="s">
        <v>102</v>
      </c>
      <c r="BS1374" t="s">
        <v>23195</v>
      </c>
      <c r="BT1374" t="str">
        <f>HYPERLINK("https%3A%2F%2Fwww.webofscience.com%2Fwos%2Fwoscc%2Ffull-record%2FWOS:001215490400001","View Full Record in Web of Science")</f>
        <v>View Full Record in Web of Science</v>
      </c>
    </row>
    <row r="1375" spans="1:72" x14ac:dyDescent="0.35">
      <c r="A1375" t="s">
        <v>72</v>
      </c>
      <c r="B1375" t="s">
        <v>23196</v>
      </c>
      <c r="C1375" t="s">
        <v>74</v>
      </c>
      <c r="D1375" t="s">
        <v>74</v>
      </c>
      <c r="E1375" t="s">
        <v>74</v>
      </c>
      <c r="F1375" t="s">
        <v>23197</v>
      </c>
      <c r="G1375" t="s">
        <v>74</v>
      </c>
      <c r="H1375" t="s">
        <v>74</v>
      </c>
      <c r="I1375" t="s">
        <v>23198</v>
      </c>
      <c r="J1375" t="s">
        <v>15692</v>
      </c>
      <c r="K1375" t="s">
        <v>74</v>
      </c>
      <c r="L1375" t="s">
        <v>74</v>
      </c>
      <c r="M1375" t="s">
        <v>78</v>
      </c>
      <c r="N1375" t="s">
        <v>108</v>
      </c>
      <c r="O1375" t="s">
        <v>74</v>
      </c>
      <c r="P1375" t="s">
        <v>74</v>
      </c>
      <c r="Q1375" t="s">
        <v>74</v>
      </c>
      <c r="R1375" t="s">
        <v>74</v>
      </c>
      <c r="S1375" t="s">
        <v>74</v>
      </c>
      <c r="T1375" t="s">
        <v>23199</v>
      </c>
      <c r="U1375" t="s">
        <v>74</v>
      </c>
      <c r="V1375" t="s">
        <v>23200</v>
      </c>
      <c r="W1375" t="s">
        <v>23201</v>
      </c>
      <c r="X1375" t="s">
        <v>8300</v>
      </c>
      <c r="Y1375" t="s">
        <v>23202</v>
      </c>
      <c r="Z1375" t="s">
        <v>12985</v>
      </c>
      <c r="AA1375" t="s">
        <v>12986</v>
      </c>
      <c r="AB1375" t="s">
        <v>23203</v>
      </c>
      <c r="AC1375" t="s">
        <v>74</v>
      </c>
      <c r="AD1375" t="s">
        <v>74</v>
      </c>
      <c r="AE1375" t="s">
        <v>74</v>
      </c>
      <c r="AF1375" t="s">
        <v>74</v>
      </c>
      <c r="AG1375">
        <v>52</v>
      </c>
      <c r="AH1375">
        <v>3</v>
      </c>
      <c r="AI1375">
        <v>3</v>
      </c>
      <c r="AJ1375">
        <v>26</v>
      </c>
      <c r="AK1375">
        <v>81</v>
      </c>
      <c r="AL1375" t="s">
        <v>994</v>
      </c>
      <c r="AM1375" t="s">
        <v>995</v>
      </c>
      <c r="AN1375" t="s">
        <v>996</v>
      </c>
      <c r="AO1375" t="s">
        <v>23204</v>
      </c>
      <c r="AP1375" t="s">
        <v>23205</v>
      </c>
      <c r="AQ1375" t="s">
        <v>74</v>
      </c>
      <c r="AR1375" t="s">
        <v>23206</v>
      </c>
      <c r="AS1375" t="s">
        <v>23207</v>
      </c>
      <c r="AT1375" t="s">
        <v>1447</v>
      </c>
      <c r="AU1375">
        <v>2024</v>
      </c>
      <c r="AV1375">
        <v>41</v>
      </c>
      <c r="AW1375">
        <v>4</v>
      </c>
      <c r="AX1375" t="s">
        <v>74</v>
      </c>
      <c r="AY1375" t="s">
        <v>74</v>
      </c>
      <c r="AZ1375" t="s">
        <v>456</v>
      </c>
      <c r="BA1375" t="s">
        <v>74</v>
      </c>
      <c r="BB1375">
        <v>588</v>
      </c>
      <c r="BC1375">
        <v>607</v>
      </c>
      <c r="BD1375" t="s">
        <v>74</v>
      </c>
      <c r="BE1375" t="s">
        <v>23208</v>
      </c>
      <c r="BF1375" t="str">
        <f>HYPERLINK("http://dx.doi.org/10.1080/10584609.2023.2243852","http://dx.doi.org/10.1080/10584609.2023.2243852")</f>
        <v>http://dx.doi.org/10.1080/10584609.2023.2243852</v>
      </c>
      <c r="BG1375" t="s">
        <v>74</v>
      </c>
      <c r="BH1375" t="s">
        <v>3138</v>
      </c>
      <c r="BI1375">
        <v>20</v>
      </c>
      <c r="BJ1375" t="s">
        <v>1528</v>
      </c>
      <c r="BK1375" t="s">
        <v>99</v>
      </c>
      <c r="BL1375" t="s">
        <v>1529</v>
      </c>
      <c r="BM1375" t="s">
        <v>23209</v>
      </c>
      <c r="BN1375" t="s">
        <v>74</v>
      </c>
      <c r="BO1375" t="s">
        <v>74</v>
      </c>
      <c r="BP1375" t="s">
        <v>74</v>
      </c>
      <c r="BQ1375" t="s">
        <v>74</v>
      </c>
      <c r="BR1375" t="s">
        <v>102</v>
      </c>
      <c r="BS1375" t="s">
        <v>23210</v>
      </c>
      <c r="BT1375" t="str">
        <f>HYPERLINK("https%3A%2F%2Fwww.webofscience.com%2Fwos%2Fwoscc%2Ffull-record%2FWOS:001044756500001","View Full Record in Web of Science")</f>
        <v>View Full Record in Web of Science</v>
      </c>
    </row>
    <row r="1376" spans="1:72" x14ac:dyDescent="0.35">
      <c r="A1376" t="s">
        <v>72</v>
      </c>
      <c r="B1376" t="s">
        <v>23211</v>
      </c>
      <c r="C1376" t="s">
        <v>74</v>
      </c>
      <c r="D1376" t="s">
        <v>74</v>
      </c>
      <c r="E1376" t="s">
        <v>74</v>
      </c>
      <c r="F1376" t="s">
        <v>23212</v>
      </c>
      <c r="G1376" t="s">
        <v>74</v>
      </c>
      <c r="H1376" t="s">
        <v>74</v>
      </c>
      <c r="I1376" t="s">
        <v>23213</v>
      </c>
      <c r="J1376" t="s">
        <v>23214</v>
      </c>
      <c r="K1376" t="s">
        <v>74</v>
      </c>
      <c r="L1376" t="s">
        <v>74</v>
      </c>
      <c r="M1376" t="s">
        <v>78</v>
      </c>
      <c r="N1376" t="s">
        <v>108</v>
      </c>
      <c r="O1376" t="s">
        <v>74</v>
      </c>
      <c r="P1376" t="s">
        <v>74</v>
      </c>
      <c r="Q1376" t="s">
        <v>74</v>
      </c>
      <c r="R1376" t="s">
        <v>74</v>
      </c>
      <c r="S1376" t="s">
        <v>74</v>
      </c>
      <c r="T1376" t="s">
        <v>23215</v>
      </c>
      <c r="U1376" t="s">
        <v>23216</v>
      </c>
      <c r="V1376" t="s">
        <v>23217</v>
      </c>
      <c r="W1376" t="s">
        <v>23218</v>
      </c>
      <c r="X1376" t="s">
        <v>23219</v>
      </c>
      <c r="Y1376" t="s">
        <v>23220</v>
      </c>
      <c r="Z1376" t="s">
        <v>23221</v>
      </c>
      <c r="AA1376" t="s">
        <v>23222</v>
      </c>
      <c r="AB1376" t="s">
        <v>23223</v>
      </c>
      <c r="AC1376" t="s">
        <v>74</v>
      </c>
      <c r="AD1376" t="s">
        <v>74</v>
      </c>
      <c r="AE1376" t="s">
        <v>74</v>
      </c>
      <c r="AF1376" t="s">
        <v>74</v>
      </c>
      <c r="AG1376">
        <v>107</v>
      </c>
      <c r="AH1376">
        <v>18</v>
      </c>
      <c r="AI1376">
        <v>18</v>
      </c>
      <c r="AJ1376">
        <v>26</v>
      </c>
      <c r="AK1376">
        <v>417</v>
      </c>
      <c r="AL1376" t="s">
        <v>88</v>
      </c>
      <c r="AM1376" t="s">
        <v>89</v>
      </c>
      <c r="AN1376" t="s">
        <v>90</v>
      </c>
      <c r="AO1376" t="s">
        <v>23224</v>
      </c>
      <c r="AP1376" t="s">
        <v>23225</v>
      </c>
      <c r="AQ1376" t="s">
        <v>74</v>
      </c>
      <c r="AR1376" t="s">
        <v>23226</v>
      </c>
      <c r="AS1376" t="s">
        <v>23227</v>
      </c>
      <c r="AT1376" t="s">
        <v>13174</v>
      </c>
      <c r="AU1376">
        <v>2021</v>
      </c>
      <c r="AV1376">
        <v>27</v>
      </c>
      <c r="AW1376">
        <v>4</v>
      </c>
      <c r="AX1376" t="s">
        <v>74</v>
      </c>
      <c r="AY1376" t="s">
        <v>74</v>
      </c>
      <c r="AZ1376" t="s">
        <v>456</v>
      </c>
      <c r="BA1376" t="s">
        <v>74</v>
      </c>
      <c r="BB1376">
        <v>697</v>
      </c>
      <c r="BC1376">
        <v>717</v>
      </c>
      <c r="BD1376" t="s">
        <v>74</v>
      </c>
      <c r="BE1376" t="s">
        <v>23228</v>
      </c>
      <c r="BF1376" t="str">
        <f>HYPERLINK("http://dx.doi.org/10.1080/02681102.2021.1933882","http://dx.doi.org/10.1080/02681102.2021.1933882")</f>
        <v>http://dx.doi.org/10.1080/02681102.2021.1933882</v>
      </c>
      <c r="BG1376" t="s">
        <v>74</v>
      </c>
      <c r="BH1376" t="s">
        <v>2090</v>
      </c>
      <c r="BI1376">
        <v>21</v>
      </c>
      <c r="BJ1376" t="s">
        <v>23229</v>
      </c>
      <c r="BK1376" t="s">
        <v>99</v>
      </c>
      <c r="BL1376" t="s">
        <v>23229</v>
      </c>
      <c r="BM1376" t="s">
        <v>23230</v>
      </c>
      <c r="BN1376" t="s">
        <v>74</v>
      </c>
      <c r="BO1376" t="s">
        <v>767</v>
      </c>
      <c r="BP1376" t="s">
        <v>74</v>
      </c>
      <c r="BQ1376" t="s">
        <v>74</v>
      </c>
      <c r="BR1376" t="s">
        <v>102</v>
      </c>
      <c r="BS1376" t="s">
        <v>23231</v>
      </c>
      <c r="BT1376" t="str">
        <f>HYPERLINK("https%3A%2F%2Fwww.webofscience.com%2Fwos%2Fwoscc%2Ffull-record%2FWOS:000657173000001","View Full Record in Web of Science")</f>
        <v>View Full Record in Web of Science</v>
      </c>
    </row>
    <row r="1377" spans="1:72" x14ac:dyDescent="0.35">
      <c r="A1377" t="s">
        <v>72</v>
      </c>
      <c r="B1377" t="s">
        <v>23232</v>
      </c>
      <c r="C1377" t="s">
        <v>74</v>
      </c>
      <c r="D1377" t="s">
        <v>74</v>
      </c>
      <c r="E1377" t="s">
        <v>74</v>
      </c>
      <c r="F1377" t="s">
        <v>23233</v>
      </c>
      <c r="G1377" t="s">
        <v>74</v>
      </c>
      <c r="H1377" t="s">
        <v>74</v>
      </c>
      <c r="I1377" t="s">
        <v>23234</v>
      </c>
      <c r="J1377" t="s">
        <v>1740</v>
      </c>
      <c r="K1377" t="s">
        <v>74</v>
      </c>
      <c r="L1377" t="s">
        <v>74</v>
      </c>
      <c r="M1377" t="s">
        <v>78</v>
      </c>
      <c r="N1377" t="s">
        <v>108</v>
      </c>
      <c r="O1377" t="s">
        <v>74</v>
      </c>
      <c r="P1377" t="s">
        <v>74</v>
      </c>
      <c r="Q1377" t="s">
        <v>74</v>
      </c>
      <c r="R1377" t="s">
        <v>74</v>
      </c>
      <c r="S1377" t="s">
        <v>74</v>
      </c>
      <c r="T1377" t="s">
        <v>23235</v>
      </c>
      <c r="U1377" t="s">
        <v>74</v>
      </c>
      <c r="V1377" t="s">
        <v>23236</v>
      </c>
      <c r="W1377" t="s">
        <v>23237</v>
      </c>
      <c r="X1377" t="s">
        <v>23238</v>
      </c>
      <c r="Y1377" t="s">
        <v>23239</v>
      </c>
      <c r="Z1377" t="s">
        <v>74</v>
      </c>
      <c r="AA1377" t="s">
        <v>23240</v>
      </c>
      <c r="AB1377" t="s">
        <v>23241</v>
      </c>
      <c r="AC1377" t="s">
        <v>74</v>
      </c>
      <c r="AD1377" t="s">
        <v>74</v>
      </c>
      <c r="AE1377" t="s">
        <v>74</v>
      </c>
      <c r="AF1377" t="s">
        <v>74</v>
      </c>
      <c r="AG1377">
        <v>62</v>
      </c>
      <c r="AH1377">
        <v>1</v>
      </c>
      <c r="AI1377">
        <v>1</v>
      </c>
      <c r="AJ1377">
        <v>2</v>
      </c>
      <c r="AK1377">
        <v>10</v>
      </c>
      <c r="AL1377" t="s">
        <v>1195</v>
      </c>
      <c r="AM1377" t="s">
        <v>1196</v>
      </c>
      <c r="AN1377" t="s">
        <v>1197</v>
      </c>
      <c r="AO1377" t="s">
        <v>74</v>
      </c>
      <c r="AP1377" t="s">
        <v>1748</v>
      </c>
      <c r="AQ1377" t="s">
        <v>74</v>
      </c>
      <c r="AR1377" t="s">
        <v>1749</v>
      </c>
      <c r="AS1377" t="s">
        <v>1750</v>
      </c>
      <c r="AT1377" t="s">
        <v>257</v>
      </c>
      <c r="AU1377">
        <v>2023</v>
      </c>
      <c r="AV1377">
        <v>4</v>
      </c>
      <c r="AW1377">
        <v>2</v>
      </c>
      <c r="AX1377" t="s">
        <v>74</v>
      </c>
      <c r="AY1377" t="s">
        <v>74</v>
      </c>
      <c r="AZ1377" t="s">
        <v>74</v>
      </c>
      <c r="BA1377" t="s">
        <v>74</v>
      </c>
      <c r="BB1377">
        <v>578</v>
      </c>
      <c r="BC1377">
        <v>598</v>
      </c>
      <c r="BD1377" t="s">
        <v>74</v>
      </c>
      <c r="BE1377" t="s">
        <v>23242</v>
      </c>
      <c r="BF1377" t="str">
        <f>HYPERLINK("http://dx.doi.org/10.3390/journalmedia4020037","http://dx.doi.org/10.3390/journalmedia4020037")</f>
        <v>http://dx.doi.org/10.3390/journalmedia4020037</v>
      </c>
      <c r="BG1377" t="s">
        <v>74</v>
      </c>
      <c r="BH1377" t="s">
        <v>74</v>
      </c>
      <c r="BI1377">
        <v>21</v>
      </c>
      <c r="BJ1377" t="s">
        <v>124</v>
      </c>
      <c r="BK1377" t="s">
        <v>125</v>
      </c>
      <c r="BL1377" t="s">
        <v>124</v>
      </c>
      <c r="BM1377" t="s">
        <v>23243</v>
      </c>
      <c r="BN1377" t="s">
        <v>74</v>
      </c>
      <c r="BO1377" t="s">
        <v>552</v>
      </c>
      <c r="BP1377" t="s">
        <v>74</v>
      </c>
      <c r="BQ1377" t="s">
        <v>74</v>
      </c>
      <c r="BR1377" t="s">
        <v>102</v>
      </c>
      <c r="BS1377" t="s">
        <v>23244</v>
      </c>
      <c r="BT1377" t="str">
        <f>HYPERLINK("https%3A%2F%2Fwww.webofscience.com%2Fwos%2Fwoscc%2Ffull-record%2FWOS:001118852100001","View Full Record in Web of Science")</f>
        <v>View Full Record in Web of Science</v>
      </c>
    </row>
    <row r="1378" spans="1:72" x14ac:dyDescent="0.35">
      <c r="A1378" t="s">
        <v>72</v>
      </c>
      <c r="B1378" t="s">
        <v>23245</v>
      </c>
      <c r="C1378" t="s">
        <v>74</v>
      </c>
      <c r="D1378" t="s">
        <v>74</v>
      </c>
      <c r="E1378" t="s">
        <v>74</v>
      </c>
      <c r="F1378" t="s">
        <v>23246</v>
      </c>
      <c r="G1378" t="s">
        <v>74</v>
      </c>
      <c r="H1378" t="s">
        <v>74</v>
      </c>
      <c r="I1378" t="s">
        <v>23247</v>
      </c>
      <c r="J1378" t="s">
        <v>23248</v>
      </c>
      <c r="K1378" t="s">
        <v>74</v>
      </c>
      <c r="L1378" t="s">
        <v>74</v>
      </c>
      <c r="M1378" t="s">
        <v>78</v>
      </c>
      <c r="N1378" t="s">
        <v>108</v>
      </c>
      <c r="O1378" t="s">
        <v>74</v>
      </c>
      <c r="P1378" t="s">
        <v>74</v>
      </c>
      <c r="Q1378" t="s">
        <v>74</v>
      </c>
      <c r="R1378" t="s">
        <v>74</v>
      </c>
      <c r="S1378" t="s">
        <v>74</v>
      </c>
      <c r="T1378" t="s">
        <v>23249</v>
      </c>
      <c r="U1378" t="s">
        <v>23250</v>
      </c>
      <c r="V1378" t="s">
        <v>23251</v>
      </c>
      <c r="W1378" t="s">
        <v>23252</v>
      </c>
      <c r="X1378" t="s">
        <v>23253</v>
      </c>
      <c r="Y1378" t="s">
        <v>23254</v>
      </c>
      <c r="Z1378" t="s">
        <v>23255</v>
      </c>
      <c r="AA1378" t="s">
        <v>23256</v>
      </c>
      <c r="AB1378" t="s">
        <v>74</v>
      </c>
      <c r="AC1378" t="s">
        <v>74</v>
      </c>
      <c r="AD1378" t="s">
        <v>74</v>
      </c>
      <c r="AE1378" t="s">
        <v>74</v>
      </c>
      <c r="AF1378" t="s">
        <v>74</v>
      </c>
      <c r="AG1378">
        <v>64</v>
      </c>
      <c r="AH1378">
        <v>7</v>
      </c>
      <c r="AI1378">
        <v>7</v>
      </c>
      <c r="AJ1378">
        <v>13</v>
      </c>
      <c r="AK1378">
        <v>147</v>
      </c>
      <c r="AL1378" t="s">
        <v>199</v>
      </c>
      <c r="AM1378" t="s">
        <v>15416</v>
      </c>
      <c r="AN1378" t="s">
        <v>15417</v>
      </c>
      <c r="AO1378" t="s">
        <v>23257</v>
      </c>
      <c r="AP1378" t="s">
        <v>23258</v>
      </c>
      <c r="AQ1378" t="s">
        <v>74</v>
      </c>
      <c r="AR1378" t="s">
        <v>23259</v>
      </c>
      <c r="AS1378" t="s">
        <v>23260</v>
      </c>
      <c r="AT1378" t="s">
        <v>15356</v>
      </c>
      <c r="AU1378">
        <v>2022</v>
      </c>
      <c r="AV1378">
        <v>26</v>
      </c>
      <c r="AW1378">
        <v>9</v>
      </c>
      <c r="AX1378" t="s">
        <v>74</v>
      </c>
      <c r="AY1378" t="s">
        <v>74</v>
      </c>
      <c r="AZ1378" t="s">
        <v>74</v>
      </c>
      <c r="BA1378" t="s">
        <v>74</v>
      </c>
      <c r="BB1378">
        <v>2354</v>
      </c>
      <c r="BC1378">
        <v>2369</v>
      </c>
      <c r="BD1378" t="s">
        <v>74</v>
      </c>
      <c r="BE1378" t="s">
        <v>23261</v>
      </c>
      <c r="BF1378" t="str">
        <f>HYPERLINK("http://dx.doi.org/10.1108/JKM-06-2021-0450","http://dx.doi.org/10.1108/JKM-06-2021-0450")</f>
        <v>http://dx.doi.org/10.1108/JKM-06-2021-0450</v>
      </c>
      <c r="BG1378" t="s">
        <v>74</v>
      </c>
      <c r="BH1378" t="s">
        <v>747</v>
      </c>
      <c r="BI1378">
        <v>16</v>
      </c>
      <c r="BJ1378" t="s">
        <v>23262</v>
      </c>
      <c r="BK1378" t="s">
        <v>99</v>
      </c>
      <c r="BL1378" t="s">
        <v>23263</v>
      </c>
      <c r="BM1378" t="s">
        <v>23264</v>
      </c>
      <c r="BN1378" t="s">
        <v>74</v>
      </c>
      <c r="BO1378" t="s">
        <v>74</v>
      </c>
      <c r="BP1378" t="s">
        <v>74</v>
      </c>
      <c r="BQ1378" t="s">
        <v>74</v>
      </c>
      <c r="BR1378" t="s">
        <v>102</v>
      </c>
      <c r="BS1378" t="s">
        <v>23265</v>
      </c>
      <c r="BT1378" t="str">
        <f>HYPERLINK("https%3A%2F%2Fwww.webofscience.com%2Fwos%2Fwoscc%2Ffull-record%2FWOS:000723030200001","View Full Record in Web of Science")</f>
        <v>View Full Record in Web of Science</v>
      </c>
    </row>
    <row r="1379" spans="1:72" x14ac:dyDescent="0.35">
      <c r="A1379" t="s">
        <v>72</v>
      </c>
      <c r="B1379" t="s">
        <v>23266</v>
      </c>
      <c r="C1379" t="s">
        <v>74</v>
      </c>
      <c r="D1379" t="s">
        <v>74</v>
      </c>
      <c r="E1379" t="s">
        <v>74</v>
      </c>
      <c r="F1379" t="s">
        <v>14853</v>
      </c>
      <c r="G1379" t="s">
        <v>74</v>
      </c>
      <c r="H1379" t="s">
        <v>74</v>
      </c>
      <c r="I1379" t="s">
        <v>23267</v>
      </c>
      <c r="J1379" t="s">
        <v>1936</v>
      </c>
      <c r="K1379" t="s">
        <v>74</v>
      </c>
      <c r="L1379" t="s">
        <v>74</v>
      </c>
      <c r="M1379" t="s">
        <v>78</v>
      </c>
      <c r="N1379" t="s">
        <v>108</v>
      </c>
      <c r="O1379" t="s">
        <v>74</v>
      </c>
      <c r="P1379" t="s">
        <v>74</v>
      </c>
      <c r="Q1379" t="s">
        <v>74</v>
      </c>
      <c r="R1379" t="s">
        <v>74</v>
      </c>
      <c r="S1379" t="s">
        <v>74</v>
      </c>
      <c r="T1379" t="s">
        <v>23268</v>
      </c>
      <c r="U1379" t="s">
        <v>23269</v>
      </c>
      <c r="V1379" t="s">
        <v>23270</v>
      </c>
      <c r="W1379" t="s">
        <v>23271</v>
      </c>
      <c r="X1379" t="s">
        <v>23272</v>
      </c>
      <c r="Y1379" t="s">
        <v>23273</v>
      </c>
      <c r="Z1379" t="s">
        <v>23274</v>
      </c>
      <c r="AA1379" t="s">
        <v>74</v>
      </c>
      <c r="AB1379" t="s">
        <v>74</v>
      </c>
      <c r="AC1379" t="s">
        <v>23275</v>
      </c>
      <c r="AD1379" t="s">
        <v>23276</v>
      </c>
      <c r="AE1379" t="s">
        <v>23277</v>
      </c>
      <c r="AF1379" t="s">
        <v>74</v>
      </c>
      <c r="AG1379">
        <v>56</v>
      </c>
      <c r="AH1379">
        <v>0</v>
      </c>
      <c r="AI1379">
        <v>0</v>
      </c>
      <c r="AJ1379">
        <v>4</v>
      </c>
      <c r="AK1379">
        <v>4</v>
      </c>
      <c r="AL1379" t="s">
        <v>516</v>
      </c>
      <c r="AM1379" t="s">
        <v>517</v>
      </c>
      <c r="AN1379" t="s">
        <v>518</v>
      </c>
      <c r="AO1379" t="s">
        <v>1949</v>
      </c>
      <c r="AP1379" t="s">
        <v>1950</v>
      </c>
      <c r="AQ1379" t="s">
        <v>74</v>
      </c>
      <c r="AR1379" t="s">
        <v>1951</v>
      </c>
      <c r="AS1379" t="s">
        <v>1952</v>
      </c>
      <c r="AT1379" t="s">
        <v>1275</v>
      </c>
      <c r="AU1379">
        <v>2024</v>
      </c>
      <c r="AV1379">
        <v>55</v>
      </c>
      <c r="AW1379" t="s">
        <v>74</v>
      </c>
      <c r="AX1379" t="s">
        <v>74</v>
      </c>
      <c r="AY1379" t="s">
        <v>74</v>
      </c>
      <c r="AZ1379" t="s">
        <v>74</v>
      </c>
      <c r="BA1379" t="s">
        <v>74</v>
      </c>
      <c r="BB1379" t="s">
        <v>74</v>
      </c>
      <c r="BC1379" t="s">
        <v>74</v>
      </c>
      <c r="BD1379">
        <v>101911</v>
      </c>
      <c r="BE1379" t="s">
        <v>23278</v>
      </c>
      <c r="BF1379" t="str">
        <f>HYPERLINK("http://dx.doi.org/10.1016/j.eatbeh.2024.101911","http://dx.doi.org/10.1016/j.eatbeh.2024.101911")</f>
        <v>http://dx.doi.org/10.1016/j.eatbeh.2024.101911</v>
      </c>
      <c r="BG1379" t="s">
        <v>74</v>
      </c>
      <c r="BH1379" t="s">
        <v>2444</v>
      </c>
      <c r="BI1379">
        <v>7</v>
      </c>
      <c r="BJ1379" t="s">
        <v>1955</v>
      </c>
      <c r="BK1379" t="s">
        <v>99</v>
      </c>
      <c r="BL1379" t="s">
        <v>1617</v>
      </c>
      <c r="BM1379" t="s">
        <v>23279</v>
      </c>
      <c r="BN1379">
        <v>39182366</v>
      </c>
      <c r="BO1379" t="s">
        <v>156</v>
      </c>
      <c r="BP1379" t="s">
        <v>74</v>
      </c>
      <c r="BQ1379" t="s">
        <v>74</v>
      </c>
      <c r="BR1379" t="s">
        <v>102</v>
      </c>
      <c r="BS1379" t="s">
        <v>23280</v>
      </c>
      <c r="BT1379" t="str">
        <f>HYPERLINK("https%3A%2F%2Fwww.webofscience.com%2Fwos%2Fwoscc%2Ffull-record%2FWOS:001301614500001","View Full Record in Web of Science")</f>
        <v>View Full Record in Web of Science</v>
      </c>
    </row>
    <row r="1380" spans="1:72" x14ac:dyDescent="0.35">
      <c r="A1380" t="s">
        <v>72</v>
      </c>
      <c r="B1380" t="s">
        <v>23281</v>
      </c>
      <c r="C1380" t="s">
        <v>74</v>
      </c>
      <c r="D1380" t="s">
        <v>74</v>
      </c>
      <c r="E1380" t="s">
        <v>74</v>
      </c>
      <c r="F1380" t="s">
        <v>23282</v>
      </c>
      <c r="G1380" t="s">
        <v>74</v>
      </c>
      <c r="H1380" t="s">
        <v>74</v>
      </c>
      <c r="I1380" t="s">
        <v>23283</v>
      </c>
      <c r="J1380" t="s">
        <v>23284</v>
      </c>
      <c r="K1380" t="s">
        <v>74</v>
      </c>
      <c r="L1380" t="s">
        <v>74</v>
      </c>
      <c r="M1380" t="s">
        <v>78</v>
      </c>
      <c r="N1380" t="s">
        <v>108</v>
      </c>
      <c r="O1380" t="s">
        <v>74</v>
      </c>
      <c r="P1380" t="s">
        <v>74</v>
      </c>
      <c r="Q1380" t="s">
        <v>74</v>
      </c>
      <c r="R1380" t="s">
        <v>74</v>
      </c>
      <c r="S1380" t="s">
        <v>74</v>
      </c>
      <c r="T1380" t="s">
        <v>23285</v>
      </c>
      <c r="U1380" t="s">
        <v>23286</v>
      </c>
      <c r="V1380" t="s">
        <v>23287</v>
      </c>
      <c r="W1380" t="s">
        <v>23288</v>
      </c>
      <c r="X1380" t="s">
        <v>23289</v>
      </c>
      <c r="Y1380" t="s">
        <v>23290</v>
      </c>
      <c r="Z1380" t="s">
        <v>74</v>
      </c>
      <c r="AA1380" t="s">
        <v>74</v>
      </c>
      <c r="AB1380" t="s">
        <v>74</v>
      </c>
      <c r="AC1380" t="s">
        <v>74</v>
      </c>
      <c r="AD1380" t="s">
        <v>74</v>
      </c>
      <c r="AE1380" t="s">
        <v>74</v>
      </c>
      <c r="AF1380" t="s">
        <v>74</v>
      </c>
      <c r="AG1380">
        <v>54</v>
      </c>
      <c r="AH1380">
        <v>0</v>
      </c>
      <c r="AI1380">
        <v>0</v>
      </c>
      <c r="AJ1380">
        <v>1</v>
      </c>
      <c r="AK1380">
        <v>1</v>
      </c>
      <c r="AL1380" t="s">
        <v>2963</v>
      </c>
      <c r="AM1380" t="s">
        <v>2964</v>
      </c>
      <c r="AN1380" t="s">
        <v>23291</v>
      </c>
      <c r="AO1380" t="s">
        <v>23292</v>
      </c>
      <c r="AP1380" t="s">
        <v>74</v>
      </c>
      <c r="AQ1380" t="s">
        <v>74</v>
      </c>
      <c r="AR1380" t="s">
        <v>23293</v>
      </c>
      <c r="AS1380" t="s">
        <v>23294</v>
      </c>
      <c r="AT1380" t="s">
        <v>74</v>
      </c>
      <c r="AU1380">
        <v>2023</v>
      </c>
      <c r="AV1380" t="s">
        <v>74</v>
      </c>
      <c r="AW1380">
        <v>44</v>
      </c>
      <c r="AX1380" t="s">
        <v>74</v>
      </c>
      <c r="AY1380" t="s">
        <v>74</v>
      </c>
      <c r="AZ1380" t="s">
        <v>74</v>
      </c>
      <c r="BA1380" t="s">
        <v>74</v>
      </c>
      <c r="BB1380">
        <v>107</v>
      </c>
      <c r="BC1380">
        <v>125</v>
      </c>
      <c r="BD1380" t="s">
        <v>74</v>
      </c>
      <c r="BE1380" t="s">
        <v>74</v>
      </c>
      <c r="BF1380" t="s">
        <v>74</v>
      </c>
      <c r="BG1380" t="s">
        <v>74</v>
      </c>
      <c r="BH1380" t="s">
        <v>74</v>
      </c>
      <c r="BI1380">
        <v>19</v>
      </c>
      <c r="BJ1380" t="s">
        <v>3176</v>
      </c>
      <c r="BK1380" t="s">
        <v>125</v>
      </c>
      <c r="BL1380" t="s">
        <v>3176</v>
      </c>
      <c r="BM1380" t="s">
        <v>23295</v>
      </c>
      <c r="BN1380" t="s">
        <v>74</v>
      </c>
      <c r="BO1380" t="s">
        <v>74</v>
      </c>
      <c r="BP1380" t="s">
        <v>74</v>
      </c>
      <c r="BQ1380" t="s">
        <v>74</v>
      </c>
      <c r="BR1380" t="s">
        <v>102</v>
      </c>
      <c r="BS1380" t="s">
        <v>23296</v>
      </c>
      <c r="BT1380" t="str">
        <f>HYPERLINK("https%3A%2F%2Fwww.webofscience.com%2Fwos%2Fwoscc%2Ffull-record%2FWOS:001138873600005","View Full Record in Web of Science")</f>
        <v>View Full Record in Web of Science</v>
      </c>
    </row>
    <row r="1381" spans="1:72" x14ac:dyDescent="0.35">
      <c r="A1381" t="s">
        <v>72</v>
      </c>
      <c r="B1381" t="s">
        <v>23297</v>
      </c>
      <c r="C1381" t="s">
        <v>74</v>
      </c>
      <c r="D1381" t="s">
        <v>74</v>
      </c>
      <c r="E1381" t="s">
        <v>74</v>
      </c>
      <c r="F1381" t="s">
        <v>23298</v>
      </c>
      <c r="G1381" t="s">
        <v>74</v>
      </c>
      <c r="H1381" t="s">
        <v>74</v>
      </c>
      <c r="I1381" t="s">
        <v>23299</v>
      </c>
      <c r="J1381" t="s">
        <v>23300</v>
      </c>
      <c r="K1381" t="s">
        <v>74</v>
      </c>
      <c r="L1381" t="s">
        <v>74</v>
      </c>
      <c r="M1381" t="s">
        <v>78</v>
      </c>
      <c r="N1381" t="s">
        <v>108</v>
      </c>
      <c r="O1381" t="s">
        <v>74</v>
      </c>
      <c r="P1381" t="s">
        <v>74</v>
      </c>
      <c r="Q1381" t="s">
        <v>74</v>
      </c>
      <c r="R1381" t="s">
        <v>74</v>
      </c>
      <c r="S1381" t="s">
        <v>74</v>
      </c>
      <c r="T1381" t="s">
        <v>23301</v>
      </c>
      <c r="U1381" t="s">
        <v>23302</v>
      </c>
      <c r="V1381" t="s">
        <v>23303</v>
      </c>
      <c r="W1381" t="s">
        <v>23304</v>
      </c>
      <c r="X1381" t="s">
        <v>23305</v>
      </c>
      <c r="Y1381" t="s">
        <v>23306</v>
      </c>
      <c r="Z1381" t="s">
        <v>23307</v>
      </c>
      <c r="AA1381" t="s">
        <v>23308</v>
      </c>
      <c r="AB1381" t="s">
        <v>23309</v>
      </c>
      <c r="AC1381" t="s">
        <v>74</v>
      </c>
      <c r="AD1381" t="s">
        <v>74</v>
      </c>
      <c r="AE1381" t="s">
        <v>74</v>
      </c>
      <c r="AF1381" t="s">
        <v>74</v>
      </c>
      <c r="AG1381">
        <v>22</v>
      </c>
      <c r="AH1381">
        <v>173</v>
      </c>
      <c r="AI1381">
        <v>216</v>
      </c>
      <c r="AJ1381">
        <v>45</v>
      </c>
      <c r="AK1381">
        <v>461</v>
      </c>
      <c r="AL1381" t="s">
        <v>171</v>
      </c>
      <c r="AM1381" t="s">
        <v>172</v>
      </c>
      <c r="AN1381" t="s">
        <v>173</v>
      </c>
      <c r="AO1381" t="s">
        <v>23310</v>
      </c>
      <c r="AP1381" t="s">
        <v>23311</v>
      </c>
      <c r="AQ1381" t="s">
        <v>74</v>
      </c>
      <c r="AR1381" t="s">
        <v>23312</v>
      </c>
      <c r="AS1381" t="s">
        <v>23313</v>
      </c>
      <c r="AT1381" t="s">
        <v>523</v>
      </c>
      <c r="AU1381">
        <v>2020</v>
      </c>
      <c r="AV1381">
        <v>63</v>
      </c>
      <c r="AW1381">
        <v>1</v>
      </c>
      <c r="AX1381" t="s">
        <v>74</v>
      </c>
      <c r="AY1381" t="s">
        <v>74</v>
      </c>
      <c r="AZ1381" t="s">
        <v>74</v>
      </c>
      <c r="BA1381" t="s">
        <v>74</v>
      </c>
      <c r="BB1381">
        <v>5</v>
      </c>
      <c r="BC1381">
        <v>25</v>
      </c>
      <c r="BD1381" t="s">
        <v>74</v>
      </c>
      <c r="BE1381" t="s">
        <v>23314</v>
      </c>
      <c r="BF1381" t="str">
        <f>HYPERLINK("http://dx.doi.org/10.1177/0008125620958166","http://dx.doi.org/10.1177/0008125620958166")</f>
        <v>http://dx.doi.org/10.1177/0008125620958166</v>
      </c>
      <c r="BG1381" t="s">
        <v>74</v>
      </c>
      <c r="BH1381" t="s">
        <v>74</v>
      </c>
      <c r="BI1381">
        <v>21</v>
      </c>
      <c r="BJ1381" t="s">
        <v>479</v>
      </c>
      <c r="BK1381" t="s">
        <v>99</v>
      </c>
      <c r="BL1381" t="s">
        <v>480</v>
      </c>
      <c r="BM1381" t="s">
        <v>23315</v>
      </c>
      <c r="BN1381" t="s">
        <v>74</v>
      </c>
      <c r="BO1381" t="s">
        <v>767</v>
      </c>
      <c r="BP1381" t="s">
        <v>74</v>
      </c>
      <c r="BQ1381" t="s">
        <v>74</v>
      </c>
      <c r="BR1381" t="s">
        <v>102</v>
      </c>
      <c r="BS1381" t="s">
        <v>23316</v>
      </c>
      <c r="BT1381" t="str">
        <f>HYPERLINK("https%3A%2F%2Fwww.webofscience.com%2Fwos%2Fwoscc%2Ffull-record%2FWOS:000583352000001","View Full Record in Web of Science")</f>
        <v>View Full Record in Web of Science</v>
      </c>
    </row>
    <row r="1382" spans="1:72" x14ac:dyDescent="0.35">
      <c r="A1382" t="s">
        <v>128</v>
      </c>
      <c r="B1382" t="s">
        <v>23317</v>
      </c>
      <c r="C1382" t="s">
        <v>74</v>
      </c>
      <c r="D1382" t="s">
        <v>23318</v>
      </c>
      <c r="E1382" t="s">
        <v>74</v>
      </c>
      <c r="F1382" t="s">
        <v>23319</v>
      </c>
      <c r="G1382" t="s">
        <v>74</v>
      </c>
      <c r="H1382" t="s">
        <v>74</v>
      </c>
      <c r="I1382" t="s">
        <v>23320</v>
      </c>
      <c r="J1382" t="s">
        <v>23321</v>
      </c>
      <c r="K1382" t="s">
        <v>8364</v>
      </c>
      <c r="L1382" t="s">
        <v>74</v>
      </c>
      <c r="M1382" t="s">
        <v>78</v>
      </c>
      <c r="N1382" t="s">
        <v>135</v>
      </c>
      <c r="O1382" t="s">
        <v>23322</v>
      </c>
      <c r="P1382" t="s">
        <v>21902</v>
      </c>
      <c r="Q1382" t="s">
        <v>23323</v>
      </c>
      <c r="R1382" t="s">
        <v>74</v>
      </c>
      <c r="S1382" t="s">
        <v>74</v>
      </c>
      <c r="T1382" t="s">
        <v>23324</v>
      </c>
      <c r="U1382" t="s">
        <v>74</v>
      </c>
      <c r="V1382" t="s">
        <v>23325</v>
      </c>
      <c r="W1382" t="s">
        <v>23326</v>
      </c>
      <c r="X1382" t="s">
        <v>23238</v>
      </c>
      <c r="Y1382" t="s">
        <v>23327</v>
      </c>
      <c r="Z1382" t="s">
        <v>23328</v>
      </c>
      <c r="AA1382" t="s">
        <v>23329</v>
      </c>
      <c r="AB1382" t="s">
        <v>23330</v>
      </c>
      <c r="AC1382" t="s">
        <v>23331</v>
      </c>
      <c r="AD1382" t="s">
        <v>23332</v>
      </c>
      <c r="AE1382" t="s">
        <v>23333</v>
      </c>
      <c r="AF1382" t="s">
        <v>74</v>
      </c>
      <c r="AG1382">
        <v>9</v>
      </c>
      <c r="AH1382">
        <v>0</v>
      </c>
      <c r="AI1382">
        <v>0</v>
      </c>
      <c r="AJ1382">
        <v>1</v>
      </c>
      <c r="AK1382">
        <v>3</v>
      </c>
      <c r="AL1382" t="s">
        <v>639</v>
      </c>
      <c r="AM1382" t="s">
        <v>640</v>
      </c>
      <c r="AN1382" t="s">
        <v>641</v>
      </c>
      <c r="AO1382" t="s">
        <v>8380</v>
      </c>
      <c r="AP1382" t="s">
        <v>8381</v>
      </c>
      <c r="AQ1382" t="s">
        <v>23334</v>
      </c>
      <c r="AR1382" t="s">
        <v>8383</v>
      </c>
      <c r="AS1382" t="s">
        <v>74</v>
      </c>
      <c r="AT1382" t="s">
        <v>74</v>
      </c>
      <c r="AU1382">
        <v>2022</v>
      </c>
      <c r="AV1382">
        <v>13522</v>
      </c>
      <c r="AW1382" t="s">
        <v>74</v>
      </c>
      <c r="AX1382" t="s">
        <v>74</v>
      </c>
      <c r="AY1382" t="s">
        <v>74</v>
      </c>
      <c r="AZ1382" t="s">
        <v>74</v>
      </c>
      <c r="BA1382" t="s">
        <v>74</v>
      </c>
      <c r="BB1382">
        <v>296</v>
      </c>
      <c r="BC1382">
        <v>307</v>
      </c>
      <c r="BD1382" t="s">
        <v>74</v>
      </c>
      <c r="BE1382" t="s">
        <v>23335</v>
      </c>
      <c r="BF1382" t="str">
        <f>HYPERLINK("http://dx.doi.org/10.1007/978-3-031-21704-3_19","http://dx.doi.org/10.1007/978-3-031-21704-3_19")</f>
        <v>http://dx.doi.org/10.1007/978-3-031-21704-3_19</v>
      </c>
      <c r="BG1382" t="s">
        <v>74</v>
      </c>
      <c r="BH1382" t="s">
        <v>74</v>
      </c>
      <c r="BI1382">
        <v>12</v>
      </c>
      <c r="BJ1382" t="s">
        <v>23336</v>
      </c>
      <c r="BK1382" t="s">
        <v>723</v>
      </c>
      <c r="BL1382" t="s">
        <v>1113</v>
      </c>
      <c r="BM1382" t="s">
        <v>23337</v>
      </c>
      <c r="BN1382" t="s">
        <v>74</v>
      </c>
      <c r="BO1382" t="s">
        <v>74</v>
      </c>
      <c r="BP1382" t="s">
        <v>74</v>
      </c>
      <c r="BQ1382" t="s">
        <v>74</v>
      </c>
      <c r="BR1382" t="s">
        <v>102</v>
      </c>
      <c r="BS1382" t="s">
        <v>23338</v>
      </c>
      <c r="BT1382" t="str">
        <f>HYPERLINK("https%3A%2F%2Fwww.webofscience.com%2Fwos%2Fwoscc%2Ffull-record%2FWOS:000937041100019","View Full Record in Web of Science")</f>
        <v>View Full Record in Web of Science</v>
      </c>
    </row>
    <row r="1383" spans="1:72" x14ac:dyDescent="0.35">
      <c r="A1383" t="s">
        <v>128</v>
      </c>
      <c r="B1383" t="s">
        <v>23339</v>
      </c>
      <c r="C1383" t="s">
        <v>74</v>
      </c>
      <c r="D1383" t="s">
        <v>74</v>
      </c>
      <c r="E1383" t="s">
        <v>702</v>
      </c>
      <c r="F1383" t="s">
        <v>23340</v>
      </c>
      <c r="G1383" t="s">
        <v>74</v>
      </c>
      <c r="H1383" t="s">
        <v>74</v>
      </c>
      <c r="I1383" t="s">
        <v>23341</v>
      </c>
      <c r="J1383" t="s">
        <v>12946</v>
      </c>
      <c r="K1383" t="s">
        <v>74</v>
      </c>
      <c r="L1383" t="s">
        <v>74</v>
      </c>
      <c r="M1383" t="s">
        <v>78</v>
      </c>
      <c r="N1383" t="s">
        <v>135</v>
      </c>
      <c r="O1383" t="s">
        <v>5468</v>
      </c>
      <c r="P1383" t="s">
        <v>5469</v>
      </c>
      <c r="Q1383" t="s">
        <v>5470</v>
      </c>
      <c r="R1383" t="s">
        <v>5471</v>
      </c>
      <c r="S1383" t="s">
        <v>74</v>
      </c>
      <c r="T1383" t="s">
        <v>23342</v>
      </c>
      <c r="U1383" t="s">
        <v>23343</v>
      </c>
      <c r="V1383" t="s">
        <v>23344</v>
      </c>
      <c r="W1383" t="s">
        <v>23345</v>
      </c>
      <c r="X1383" t="s">
        <v>23346</v>
      </c>
      <c r="Y1383" t="s">
        <v>23347</v>
      </c>
      <c r="Z1383" t="s">
        <v>23348</v>
      </c>
      <c r="AA1383" t="s">
        <v>23349</v>
      </c>
      <c r="AB1383" t="s">
        <v>23350</v>
      </c>
      <c r="AC1383" t="s">
        <v>74</v>
      </c>
      <c r="AD1383" t="s">
        <v>74</v>
      </c>
      <c r="AE1383" t="s">
        <v>74</v>
      </c>
      <c r="AF1383" t="s">
        <v>74</v>
      </c>
      <c r="AG1383">
        <v>215</v>
      </c>
      <c r="AH1383">
        <v>11</v>
      </c>
      <c r="AI1383">
        <v>11</v>
      </c>
      <c r="AJ1383">
        <v>9</v>
      </c>
      <c r="AK1383">
        <v>13</v>
      </c>
      <c r="AL1383" t="s">
        <v>718</v>
      </c>
      <c r="AM1383" t="s">
        <v>666</v>
      </c>
      <c r="AN1383" t="s">
        <v>719</v>
      </c>
      <c r="AO1383" t="s">
        <v>74</v>
      </c>
      <c r="AP1383" t="s">
        <v>74</v>
      </c>
      <c r="AQ1383" t="s">
        <v>5480</v>
      </c>
      <c r="AR1383" t="s">
        <v>74</v>
      </c>
      <c r="AS1383" t="s">
        <v>74</v>
      </c>
      <c r="AT1383" t="s">
        <v>74</v>
      </c>
      <c r="AU1383">
        <v>2023</v>
      </c>
      <c r="AV1383" t="s">
        <v>74</v>
      </c>
      <c r="AW1383" t="s">
        <v>74</v>
      </c>
      <c r="AX1383" t="s">
        <v>74</v>
      </c>
      <c r="AY1383" t="s">
        <v>74</v>
      </c>
      <c r="AZ1383" t="s">
        <v>74</v>
      </c>
      <c r="BA1383" t="s">
        <v>74</v>
      </c>
      <c r="BB1383" t="s">
        <v>74</v>
      </c>
      <c r="BC1383" t="s">
        <v>74</v>
      </c>
      <c r="BD1383" t="s">
        <v>74</v>
      </c>
      <c r="BE1383" t="s">
        <v>23351</v>
      </c>
      <c r="BF1383" t="str">
        <f>HYPERLINK("http://dx.doi.org/10.1145/3544548.3581107","http://dx.doi.org/10.1145/3544548.3581107")</f>
        <v>http://dx.doi.org/10.1145/3544548.3581107</v>
      </c>
      <c r="BG1383" t="s">
        <v>74</v>
      </c>
      <c r="BH1383" t="s">
        <v>74</v>
      </c>
      <c r="BI1383">
        <v>20</v>
      </c>
      <c r="BJ1383" t="s">
        <v>5482</v>
      </c>
      <c r="BK1383" t="s">
        <v>723</v>
      </c>
      <c r="BL1383" t="s">
        <v>5483</v>
      </c>
      <c r="BM1383" t="s">
        <v>12959</v>
      </c>
      <c r="BN1383" t="s">
        <v>74</v>
      </c>
      <c r="BO1383" t="s">
        <v>74</v>
      </c>
      <c r="BP1383" t="s">
        <v>74</v>
      </c>
      <c r="BQ1383" t="s">
        <v>74</v>
      </c>
      <c r="BR1383" t="s">
        <v>102</v>
      </c>
      <c r="BS1383" t="s">
        <v>23352</v>
      </c>
      <c r="BT1383" t="str">
        <f>HYPERLINK("https%3A%2F%2Fwww.webofscience.com%2Fwos%2Fwoscc%2Ffull-record%2FWOS:001037809507028","View Full Record in Web of Science")</f>
        <v>View Full Record in Web of Science</v>
      </c>
    </row>
    <row r="1384" spans="1:72" x14ac:dyDescent="0.35">
      <c r="A1384" t="s">
        <v>72</v>
      </c>
      <c r="B1384" t="s">
        <v>23353</v>
      </c>
      <c r="C1384" t="s">
        <v>74</v>
      </c>
      <c r="D1384" t="s">
        <v>74</v>
      </c>
      <c r="E1384" t="s">
        <v>74</v>
      </c>
      <c r="F1384" t="s">
        <v>23354</v>
      </c>
      <c r="G1384" t="s">
        <v>74</v>
      </c>
      <c r="H1384" t="s">
        <v>74</v>
      </c>
      <c r="I1384" t="s">
        <v>23355</v>
      </c>
      <c r="J1384" t="s">
        <v>1034</v>
      </c>
      <c r="K1384" t="s">
        <v>74</v>
      </c>
      <c r="L1384" t="s">
        <v>74</v>
      </c>
      <c r="M1384" t="s">
        <v>78</v>
      </c>
      <c r="N1384" t="s">
        <v>108</v>
      </c>
      <c r="O1384" t="s">
        <v>74</v>
      </c>
      <c r="P1384" t="s">
        <v>74</v>
      </c>
      <c r="Q1384" t="s">
        <v>74</v>
      </c>
      <c r="R1384" t="s">
        <v>74</v>
      </c>
      <c r="S1384" t="s">
        <v>74</v>
      </c>
      <c r="T1384" t="s">
        <v>23356</v>
      </c>
      <c r="U1384" t="s">
        <v>74</v>
      </c>
      <c r="V1384" t="s">
        <v>23357</v>
      </c>
      <c r="W1384" t="s">
        <v>23358</v>
      </c>
      <c r="X1384" t="s">
        <v>9518</v>
      </c>
      <c r="Y1384" t="s">
        <v>23359</v>
      </c>
      <c r="Z1384" t="s">
        <v>23360</v>
      </c>
      <c r="AA1384" t="s">
        <v>74</v>
      </c>
      <c r="AB1384" t="s">
        <v>23361</v>
      </c>
      <c r="AC1384" t="s">
        <v>74</v>
      </c>
      <c r="AD1384" t="s">
        <v>74</v>
      </c>
      <c r="AE1384" t="s">
        <v>74</v>
      </c>
      <c r="AF1384" t="s">
        <v>74</v>
      </c>
      <c r="AG1384">
        <v>55</v>
      </c>
      <c r="AH1384">
        <v>14</v>
      </c>
      <c r="AI1384">
        <v>17</v>
      </c>
      <c r="AJ1384">
        <v>20</v>
      </c>
      <c r="AK1384">
        <v>136</v>
      </c>
      <c r="AL1384" t="s">
        <v>226</v>
      </c>
      <c r="AM1384" t="s">
        <v>227</v>
      </c>
      <c r="AN1384" t="s">
        <v>228</v>
      </c>
      <c r="AO1384" t="s">
        <v>1041</v>
      </c>
      <c r="AP1384" t="s">
        <v>1042</v>
      </c>
      <c r="AQ1384" t="s">
        <v>74</v>
      </c>
      <c r="AR1384" t="s">
        <v>1043</v>
      </c>
      <c r="AS1384" t="s">
        <v>1044</v>
      </c>
      <c r="AT1384" t="s">
        <v>455</v>
      </c>
      <c r="AU1384">
        <v>2022</v>
      </c>
      <c r="AV1384">
        <v>44</v>
      </c>
      <c r="AW1384">
        <v>6</v>
      </c>
      <c r="AX1384" t="s">
        <v>74</v>
      </c>
      <c r="AY1384" t="s">
        <v>74</v>
      </c>
      <c r="AZ1384" t="s">
        <v>74</v>
      </c>
      <c r="BA1384" t="s">
        <v>74</v>
      </c>
      <c r="BB1384">
        <v>1110</v>
      </c>
      <c r="BC1384">
        <v>1131</v>
      </c>
      <c r="BD1384">
        <v>1634437221077168</v>
      </c>
      <c r="BE1384" t="s">
        <v>23362</v>
      </c>
      <c r="BF1384" t="str">
        <f>HYPERLINK("http://dx.doi.org/10.1177/01634437221077168","http://dx.doi.org/10.1177/01634437221077168")</f>
        <v>http://dx.doi.org/10.1177/01634437221077168</v>
      </c>
      <c r="BG1384" t="s">
        <v>74</v>
      </c>
      <c r="BH1384" t="s">
        <v>4460</v>
      </c>
      <c r="BI1384">
        <v>22</v>
      </c>
      <c r="BJ1384" t="s">
        <v>1047</v>
      </c>
      <c r="BK1384" t="s">
        <v>99</v>
      </c>
      <c r="BL1384" t="s">
        <v>1047</v>
      </c>
      <c r="BM1384" t="s">
        <v>23363</v>
      </c>
      <c r="BN1384" t="s">
        <v>74</v>
      </c>
      <c r="BO1384" t="s">
        <v>156</v>
      </c>
      <c r="BP1384" t="s">
        <v>74</v>
      </c>
      <c r="BQ1384" t="s">
        <v>74</v>
      </c>
      <c r="BR1384" t="s">
        <v>102</v>
      </c>
      <c r="BS1384" t="s">
        <v>23364</v>
      </c>
      <c r="BT1384" t="str">
        <f>HYPERLINK("https%3A%2F%2Fwww.webofscience.com%2Fwos%2Fwoscc%2Ffull-record%2FWOS:000771989700001","View Full Record in Web of Science")</f>
        <v>View Full Record in Web of Science</v>
      </c>
    </row>
    <row r="1385" spans="1:72" x14ac:dyDescent="0.35">
      <c r="A1385" t="s">
        <v>128</v>
      </c>
      <c r="B1385" t="s">
        <v>20612</v>
      </c>
      <c r="C1385" t="s">
        <v>74</v>
      </c>
      <c r="D1385" t="s">
        <v>23365</v>
      </c>
      <c r="E1385" t="s">
        <v>74</v>
      </c>
      <c r="F1385" t="s">
        <v>20614</v>
      </c>
      <c r="G1385" t="s">
        <v>74</v>
      </c>
      <c r="H1385" t="s">
        <v>74</v>
      </c>
      <c r="I1385" t="s">
        <v>23366</v>
      </c>
      <c r="J1385" t="s">
        <v>23367</v>
      </c>
      <c r="K1385" t="s">
        <v>74</v>
      </c>
      <c r="L1385" t="s">
        <v>74</v>
      </c>
      <c r="M1385" t="s">
        <v>78</v>
      </c>
      <c r="N1385" t="s">
        <v>135</v>
      </c>
      <c r="O1385" t="s">
        <v>23368</v>
      </c>
      <c r="P1385" t="s">
        <v>23369</v>
      </c>
      <c r="Q1385" t="s">
        <v>138</v>
      </c>
      <c r="R1385" t="s">
        <v>23370</v>
      </c>
      <c r="S1385" t="s">
        <v>74</v>
      </c>
      <c r="T1385" t="s">
        <v>23371</v>
      </c>
      <c r="U1385" t="s">
        <v>240</v>
      </c>
      <c r="V1385" t="s">
        <v>23372</v>
      </c>
      <c r="W1385" t="s">
        <v>23373</v>
      </c>
      <c r="X1385" t="s">
        <v>17158</v>
      </c>
      <c r="Y1385" t="s">
        <v>23374</v>
      </c>
      <c r="Z1385" t="s">
        <v>74</v>
      </c>
      <c r="AA1385" t="s">
        <v>74</v>
      </c>
      <c r="AB1385" t="s">
        <v>74</v>
      </c>
      <c r="AC1385" t="s">
        <v>74</v>
      </c>
      <c r="AD1385" t="s">
        <v>74</v>
      </c>
      <c r="AE1385" t="s">
        <v>74</v>
      </c>
      <c r="AF1385" t="s">
        <v>74</v>
      </c>
      <c r="AG1385">
        <v>39</v>
      </c>
      <c r="AH1385">
        <v>3</v>
      </c>
      <c r="AI1385">
        <v>3</v>
      </c>
      <c r="AJ1385">
        <v>10</v>
      </c>
      <c r="AK1385">
        <v>41</v>
      </c>
      <c r="AL1385" t="s">
        <v>23375</v>
      </c>
      <c r="AM1385" t="s">
        <v>23376</v>
      </c>
      <c r="AN1385" t="s">
        <v>23377</v>
      </c>
      <c r="AO1385" t="s">
        <v>74</v>
      </c>
      <c r="AP1385" t="s">
        <v>74</v>
      </c>
      <c r="AQ1385" t="s">
        <v>23378</v>
      </c>
      <c r="AR1385" t="s">
        <v>74</v>
      </c>
      <c r="AS1385" t="s">
        <v>74</v>
      </c>
      <c r="AT1385" t="s">
        <v>74</v>
      </c>
      <c r="AU1385">
        <v>2021</v>
      </c>
      <c r="AV1385" t="s">
        <v>74</v>
      </c>
      <c r="AW1385" t="s">
        <v>74</v>
      </c>
      <c r="AX1385" t="s">
        <v>74</v>
      </c>
      <c r="AY1385" t="s">
        <v>74</v>
      </c>
      <c r="AZ1385" t="s">
        <v>74</v>
      </c>
      <c r="BA1385" t="s">
        <v>74</v>
      </c>
      <c r="BB1385">
        <v>37</v>
      </c>
      <c r="BC1385">
        <v>46</v>
      </c>
      <c r="BD1385" t="s">
        <v>74</v>
      </c>
      <c r="BE1385" t="s">
        <v>23379</v>
      </c>
      <c r="BF1385" t="str">
        <f>HYPERLINK("http://dx.doi.org/10.5220/0010610900370046","http://dx.doi.org/10.5220/0010610900370046")</f>
        <v>http://dx.doi.org/10.5220/0010610900370046</v>
      </c>
      <c r="BG1385" t="s">
        <v>74</v>
      </c>
      <c r="BH1385" t="s">
        <v>74</v>
      </c>
      <c r="BI1385">
        <v>10</v>
      </c>
      <c r="BJ1385" t="s">
        <v>647</v>
      </c>
      <c r="BK1385" t="s">
        <v>648</v>
      </c>
      <c r="BL1385" t="s">
        <v>649</v>
      </c>
      <c r="BM1385" t="s">
        <v>23380</v>
      </c>
      <c r="BN1385" t="s">
        <v>74</v>
      </c>
      <c r="BO1385" t="s">
        <v>23381</v>
      </c>
      <c r="BP1385" t="s">
        <v>74</v>
      </c>
      <c r="BQ1385" t="s">
        <v>74</v>
      </c>
      <c r="BR1385" t="s">
        <v>102</v>
      </c>
      <c r="BS1385" t="s">
        <v>23382</v>
      </c>
      <c r="BT1385" t="str">
        <f>HYPERLINK("https%3A%2F%2Fwww.webofscience.com%2Fwos%2Fwoscc%2Ffull-record%2FWOS:000818924900003","View Full Record in Web of Science")</f>
        <v>View Full Record in Web of Science</v>
      </c>
    </row>
    <row r="1386" spans="1:72" x14ac:dyDescent="0.35">
      <c r="A1386" t="s">
        <v>72</v>
      </c>
      <c r="B1386" t="s">
        <v>23383</v>
      </c>
      <c r="C1386" t="s">
        <v>74</v>
      </c>
      <c r="D1386" t="s">
        <v>74</v>
      </c>
      <c r="E1386" t="s">
        <v>74</v>
      </c>
      <c r="F1386" t="s">
        <v>23384</v>
      </c>
      <c r="G1386" t="s">
        <v>74</v>
      </c>
      <c r="H1386" t="s">
        <v>74</v>
      </c>
      <c r="I1386" t="s">
        <v>23385</v>
      </c>
      <c r="J1386" t="s">
        <v>23386</v>
      </c>
      <c r="K1386" t="s">
        <v>74</v>
      </c>
      <c r="L1386" t="s">
        <v>74</v>
      </c>
      <c r="M1386" t="s">
        <v>78</v>
      </c>
      <c r="N1386" t="s">
        <v>108</v>
      </c>
      <c r="O1386" t="s">
        <v>74</v>
      </c>
      <c r="P1386" t="s">
        <v>74</v>
      </c>
      <c r="Q1386" t="s">
        <v>74</v>
      </c>
      <c r="R1386" t="s">
        <v>74</v>
      </c>
      <c r="S1386" t="s">
        <v>74</v>
      </c>
      <c r="T1386" t="s">
        <v>23387</v>
      </c>
      <c r="U1386" t="s">
        <v>23388</v>
      </c>
      <c r="V1386" t="s">
        <v>23389</v>
      </c>
      <c r="W1386" t="s">
        <v>23390</v>
      </c>
      <c r="X1386" t="s">
        <v>23391</v>
      </c>
      <c r="Y1386" t="s">
        <v>23392</v>
      </c>
      <c r="Z1386" t="s">
        <v>23393</v>
      </c>
      <c r="AA1386" t="s">
        <v>74</v>
      </c>
      <c r="AB1386" t="s">
        <v>74</v>
      </c>
      <c r="AC1386" t="s">
        <v>74</v>
      </c>
      <c r="AD1386" t="s">
        <v>74</v>
      </c>
      <c r="AE1386" t="s">
        <v>23394</v>
      </c>
      <c r="AF1386" t="s">
        <v>74</v>
      </c>
      <c r="AG1386">
        <v>77</v>
      </c>
      <c r="AH1386">
        <v>0</v>
      </c>
      <c r="AI1386">
        <v>0</v>
      </c>
      <c r="AJ1386">
        <v>20</v>
      </c>
      <c r="AK1386">
        <v>20</v>
      </c>
      <c r="AL1386" t="s">
        <v>3632</v>
      </c>
      <c r="AM1386" t="s">
        <v>148</v>
      </c>
      <c r="AN1386" t="s">
        <v>5053</v>
      </c>
      <c r="AO1386" t="s">
        <v>23395</v>
      </c>
      <c r="AP1386" t="s">
        <v>23396</v>
      </c>
      <c r="AQ1386" t="s">
        <v>74</v>
      </c>
      <c r="AR1386" t="s">
        <v>23397</v>
      </c>
      <c r="AS1386" t="s">
        <v>23398</v>
      </c>
      <c r="AT1386" t="s">
        <v>1275</v>
      </c>
      <c r="AU1386">
        <v>2024</v>
      </c>
      <c r="AV1386">
        <v>34</v>
      </c>
      <c r="AW1386">
        <v>4</v>
      </c>
      <c r="AX1386" t="s">
        <v>74</v>
      </c>
      <c r="AY1386" t="s">
        <v>74</v>
      </c>
      <c r="AZ1386" t="s">
        <v>74</v>
      </c>
      <c r="BA1386" t="s">
        <v>74</v>
      </c>
      <c r="BB1386" t="s">
        <v>74</v>
      </c>
      <c r="BC1386" t="s">
        <v>74</v>
      </c>
      <c r="BD1386">
        <v>100538</v>
      </c>
      <c r="BE1386" t="s">
        <v>23399</v>
      </c>
      <c r="BF1386" t="str">
        <f>HYPERLINK("http://dx.doi.org/10.1016/j.infoandorg.2024.100538","http://dx.doi.org/10.1016/j.infoandorg.2024.100538")</f>
        <v>http://dx.doi.org/10.1016/j.infoandorg.2024.100538</v>
      </c>
      <c r="BG1386" t="s">
        <v>74</v>
      </c>
      <c r="BH1386" t="s">
        <v>1721</v>
      </c>
      <c r="BI1386">
        <v>13</v>
      </c>
      <c r="BJ1386" t="s">
        <v>23262</v>
      </c>
      <c r="BK1386" t="s">
        <v>99</v>
      </c>
      <c r="BL1386" t="s">
        <v>23263</v>
      </c>
      <c r="BM1386" t="s">
        <v>23400</v>
      </c>
      <c r="BN1386" t="s">
        <v>74</v>
      </c>
      <c r="BO1386" t="s">
        <v>156</v>
      </c>
      <c r="BP1386" t="s">
        <v>74</v>
      </c>
      <c r="BQ1386" t="s">
        <v>74</v>
      </c>
      <c r="BR1386" t="s">
        <v>102</v>
      </c>
      <c r="BS1386" t="s">
        <v>23401</v>
      </c>
      <c r="BT1386" t="str">
        <f>HYPERLINK("https%3A%2F%2Fwww.webofscience.com%2Fwos%2Fwoscc%2Ffull-record%2FWOS:001330778600001","View Full Record in Web of Science")</f>
        <v>View Full Record in Web of Science</v>
      </c>
    </row>
    <row r="1387" spans="1:72" x14ac:dyDescent="0.35">
      <c r="A1387" t="s">
        <v>72</v>
      </c>
      <c r="B1387" t="s">
        <v>23402</v>
      </c>
      <c r="C1387" t="s">
        <v>74</v>
      </c>
      <c r="D1387" t="s">
        <v>74</v>
      </c>
      <c r="E1387" t="s">
        <v>74</v>
      </c>
      <c r="F1387" t="s">
        <v>23403</v>
      </c>
      <c r="G1387" t="s">
        <v>74</v>
      </c>
      <c r="H1387" t="s">
        <v>74</v>
      </c>
      <c r="I1387" t="s">
        <v>23404</v>
      </c>
      <c r="J1387" t="s">
        <v>6541</v>
      </c>
      <c r="K1387" t="s">
        <v>74</v>
      </c>
      <c r="L1387" t="s">
        <v>74</v>
      </c>
      <c r="M1387" t="s">
        <v>23405</v>
      </c>
      <c r="N1387" t="s">
        <v>108</v>
      </c>
      <c r="O1387" t="s">
        <v>74</v>
      </c>
      <c r="P1387" t="s">
        <v>74</v>
      </c>
      <c r="Q1387" t="s">
        <v>74</v>
      </c>
      <c r="R1387" t="s">
        <v>74</v>
      </c>
      <c r="S1387" t="s">
        <v>74</v>
      </c>
      <c r="T1387" t="s">
        <v>74</v>
      </c>
      <c r="U1387" t="s">
        <v>74</v>
      </c>
      <c r="V1387" t="s">
        <v>23406</v>
      </c>
      <c r="W1387" t="s">
        <v>23407</v>
      </c>
      <c r="X1387" t="s">
        <v>23408</v>
      </c>
      <c r="Y1387" t="s">
        <v>23409</v>
      </c>
      <c r="Z1387" t="s">
        <v>23410</v>
      </c>
      <c r="AA1387" t="s">
        <v>23411</v>
      </c>
      <c r="AB1387" t="s">
        <v>74</v>
      </c>
      <c r="AC1387" t="s">
        <v>74</v>
      </c>
      <c r="AD1387" t="s">
        <v>74</v>
      </c>
      <c r="AE1387" t="s">
        <v>74</v>
      </c>
      <c r="AF1387" t="s">
        <v>74</v>
      </c>
      <c r="AG1387">
        <v>33</v>
      </c>
      <c r="AH1387">
        <v>0</v>
      </c>
      <c r="AI1387">
        <v>0</v>
      </c>
      <c r="AJ1387">
        <v>1</v>
      </c>
      <c r="AK1387">
        <v>11</v>
      </c>
      <c r="AL1387" t="s">
        <v>6550</v>
      </c>
      <c r="AM1387" t="s">
        <v>5232</v>
      </c>
      <c r="AN1387" t="s">
        <v>6551</v>
      </c>
      <c r="AO1387" t="s">
        <v>6552</v>
      </c>
      <c r="AP1387" t="s">
        <v>74</v>
      </c>
      <c r="AQ1387" t="s">
        <v>74</v>
      </c>
      <c r="AR1387" t="s">
        <v>6553</v>
      </c>
      <c r="AS1387" t="s">
        <v>6554</v>
      </c>
      <c r="AT1387" t="s">
        <v>257</v>
      </c>
      <c r="AU1387">
        <v>2022</v>
      </c>
      <c r="AV1387" t="s">
        <v>74</v>
      </c>
      <c r="AW1387">
        <v>48</v>
      </c>
      <c r="AX1387" t="s">
        <v>74</v>
      </c>
      <c r="AY1387" t="s">
        <v>74</v>
      </c>
      <c r="AZ1387" t="s">
        <v>74</v>
      </c>
      <c r="BA1387" t="s">
        <v>74</v>
      </c>
      <c r="BB1387" t="s">
        <v>74</v>
      </c>
      <c r="BC1387" t="s">
        <v>74</v>
      </c>
      <c r="BD1387" t="s">
        <v>74</v>
      </c>
      <c r="BE1387" t="s">
        <v>23412</v>
      </c>
      <c r="BF1387" t="str">
        <f>HYPERLINK("http://dx.doi.org/10.1344/bid2022.48.10","http://dx.doi.org/10.1344/bid2022.48.10")</f>
        <v>http://dx.doi.org/10.1344/bid2022.48.10</v>
      </c>
      <c r="BG1387" t="s">
        <v>74</v>
      </c>
      <c r="BH1387" t="s">
        <v>74</v>
      </c>
      <c r="BI1387">
        <v>14</v>
      </c>
      <c r="BJ1387" t="s">
        <v>1162</v>
      </c>
      <c r="BK1387" t="s">
        <v>125</v>
      </c>
      <c r="BL1387" t="s">
        <v>1162</v>
      </c>
      <c r="BM1387" t="s">
        <v>8399</v>
      </c>
      <c r="BN1387" t="s">
        <v>74</v>
      </c>
      <c r="BO1387" t="s">
        <v>394</v>
      </c>
      <c r="BP1387" t="s">
        <v>74</v>
      </c>
      <c r="BQ1387" t="s">
        <v>74</v>
      </c>
      <c r="BR1387" t="s">
        <v>102</v>
      </c>
      <c r="BS1387" t="s">
        <v>23413</v>
      </c>
      <c r="BT1387" t="str">
        <f>HYPERLINK("https%3A%2F%2Fwww.webofscience.com%2Fwos%2Fwoscc%2Ffull-record%2FWOS:000814043300003","View Full Record in Web of Science")</f>
        <v>View Full Record in Web of Science</v>
      </c>
    </row>
    <row r="1388" spans="1:72" x14ac:dyDescent="0.35">
      <c r="A1388" t="s">
        <v>72</v>
      </c>
      <c r="B1388" t="s">
        <v>23414</v>
      </c>
      <c r="C1388" t="s">
        <v>74</v>
      </c>
      <c r="D1388" t="s">
        <v>74</v>
      </c>
      <c r="E1388" t="s">
        <v>74</v>
      </c>
      <c r="F1388" t="s">
        <v>23415</v>
      </c>
      <c r="G1388" t="s">
        <v>74</v>
      </c>
      <c r="H1388" t="s">
        <v>74</v>
      </c>
      <c r="I1388" t="s">
        <v>23416</v>
      </c>
      <c r="J1388" t="s">
        <v>23417</v>
      </c>
      <c r="K1388" t="s">
        <v>74</v>
      </c>
      <c r="L1388" t="s">
        <v>74</v>
      </c>
      <c r="M1388" t="s">
        <v>78</v>
      </c>
      <c r="N1388" t="s">
        <v>108</v>
      </c>
      <c r="O1388" t="s">
        <v>74</v>
      </c>
      <c r="P1388" t="s">
        <v>74</v>
      </c>
      <c r="Q1388" t="s">
        <v>74</v>
      </c>
      <c r="R1388" t="s">
        <v>74</v>
      </c>
      <c r="S1388" t="s">
        <v>74</v>
      </c>
      <c r="T1388" t="s">
        <v>23418</v>
      </c>
      <c r="U1388" t="s">
        <v>74</v>
      </c>
      <c r="V1388" t="s">
        <v>23419</v>
      </c>
      <c r="W1388" t="s">
        <v>23420</v>
      </c>
      <c r="X1388" t="s">
        <v>23421</v>
      </c>
      <c r="Y1388" t="s">
        <v>23422</v>
      </c>
      <c r="Z1388" t="s">
        <v>23423</v>
      </c>
      <c r="AA1388" t="s">
        <v>74</v>
      </c>
      <c r="AB1388" t="s">
        <v>23424</v>
      </c>
      <c r="AC1388" t="s">
        <v>74</v>
      </c>
      <c r="AD1388" t="s">
        <v>74</v>
      </c>
      <c r="AE1388" t="s">
        <v>74</v>
      </c>
      <c r="AF1388" t="s">
        <v>74</v>
      </c>
      <c r="AG1388">
        <v>27</v>
      </c>
      <c r="AH1388">
        <v>9</v>
      </c>
      <c r="AI1388">
        <v>9</v>
      </c>
      <c r="AJ1388">
        <v>0</v>
      </c>
      <c r="AK1388">
        <v>10</v>
      </c>
      <c r="AL1388" t="s">
        <v>1195</v>
      </c>
      <c r="AM1388" t="s">
        <v>1196</v>
      </c>
      <c r="AN1388" t="s">
        <v>1197</v>
      </c>
      <c r="AO1388" t="s">
        <v>74</v>
      </c>
      <c r="AP1388" t="s">
        <v>23425</v>
      </c>
      <c r="AQ1388" t="s">
        <v>74</v>
      </c>
      <c r="AR1388" t="s">
        <v>23417</v>
      </c>
      <c r="AS1388" t="s">
        <v>23426</v>
      </c>
      <c r="AT1388" t="s">
        <v>257</v>
      </c>
      <c r="AU1388">
        <v>2020</v>
      </c>
      <c r="AV1388">
        <v>7</v>
      </c>
      <c r="AW1388">
        <v>2</v>
      </c>
      <c r="AX1388" t="s">
        <v>74</v>
      </c>
      <c r="AY1388" t="s">
        <v>74</v>
      </c>
      <c r="AZ1388" t="s">
        <v>74</v>
      </c>
      <c r="BA1388" t="s">
        <v>74</v>
      </c>
      <c r="BB1388" t="s">
        <v>74</v>
      </c>
      <c r="BC1388" t="s">
        <v>74</v>
      </c>
      <c r="BD1388">
        <v>10</v>
      </c>
      <c r="BE1388" t="s">
        <v>23427</v>
      </c>
      <c r="BF1388" t="str">
        <f>HYPERLINK("http://dx.doi.org/10.3390/informatics7020010","http://dx.doi.org/10.3390/informatics7020010")</f>
        <v>http://dx.doi.org/10.3390/informatics7020010</v>
      </c>
      <c r="BG1388" t="s">
        <v>74</v>
      </c>
      <c r="BH1388" t="s">
        <v>74</v>
      </c>
      <c r="BI1388">
        <v>15</v>
      </c>
      <c r="BJ1388" t="s">
        <v>23428</v>
      </c>
      <c r="BK1388" t="s">
        <v>125</v>
      </c>
      <c r="BL1388" t="s">
        <v>210</v>
      </c>
      <c r="BM1388" t="s">
        <v>23429</v>
      </c>
      <c r="BN1388" t="s">
        <v>74</v>
      </c>
      <c r="BO1388" t="s">
        <v>394</v>
      </c>
      <c r="BP1388" t="s">
        <v>74</v>
      </c>
      <c r="BQ1388" t="s">
        <v>74</v>
      </c>
      <c r="BR1388" t="s">
        <v>102</v>
      </c>
      <c r="BS1388" t="s">
        <v>23430</v>
      </c>
      <c r="BT1388" t="str">
        <f>HYPERLINK("https%3A%2F%2Fwww.webofscience.com%2Fwos%2Fwoscc%2Ffull-record%2FWOS:000551252300011","View Full Record in Web of Science")</f>
        <v>View Full Record in Web of Science</v>
      </c>
    </row>
    <row r="1389" spans="1:72" x14ac:dyDescent="0.35">
      <c r="A1389" t="s">
        <v>72</v>
      </c>
      <c r="B1389" t="s">
        <v>23431</v>
      </c>
      <c r="C1389" t="s">
        <v>74</v>
      </c>
      <c r="D1389" t="s">
        <v>74</v>
      </c>
      <c r="E1389" t="s">
        <v>74</v>
      </c>
      <c r="F1389" t="s">
        <v>23432</v>
      </c>
      <c r="G1389" t="s">
        <v>74</v>
      </c>
      <c r="H1389" t="s">
        <v>74</v>
      </c>
      <c r="I1389" t="s">
        <v>23433</v>
      </c>
      <c r="J1389" t="s">
        <v>23434</v>
      </c>
      <c r="K1389" t="s">
        <v>74</v>
      </c>
      <c r="L1389" t="s">
        <v>74</v>
      </c>
      <c r="M1389" t="s">
        <v>7332</v>
      </c>
      <c r="N1389" t="s">
        <v>108</v>
      </c>
      <c r="O1389" t="s">
        <v>74</v>
      </c>
      <c r="P1389" t="s">
        <v>74</v>
      </c>
      <c r="Q1389" t="s">
        <v>74</v>
      </c>
      <c r="R1389" t="s">
        <v>74</v>
      </c>
      <c r="S1389" t="s">
        <v>74</v>
      </c>
      <c r="T1389" t="s">
        <v>23435</v>
      </c>
      <c r="U1389" t="s">
        <v>74</v>
      </c>
      <c r="V1389" t="s">
        <v>23436</v>
      </c>
      <c r="W1389" t="s">
        <v>23437</v>
      </c>
      <c r="X1389" t="s">
        <v>74</v>
      </c>
      <c r="Y1389" t="s">
        <v>23438</v>
      </c>
      <c r="Z1389" t="s">
        <v>23439</v>
      </c>
      <c r="AA1389" t="s">
        <v>74</v>
      </c>
      <c r="AB1389" t="s">
        <v>74</v>
      </c>
      <c r="AC1389" t="s">
        <v>74</v>
      </c>
      <c r="AD1389" t="s">
        <v>74</v>
      </c>
      <c r="AE1389" t="s">
        <v>74</v>
      </c>
      <c r="AF1389" t="s">
        <v>74</v>
      </c>
      <c r="AG1389">
        <v>5</v>
      </c>
      <c r="AH1389">
        <v>0</v>
      </c>
      <c r="AI1389">
        <v>0</v>
      </c>
      <c r="AJ1389">
        <v>0</v>
      </c>
      <c r="AK1389">
        <v>0</v>
      </c>
      <c r="AL1389" t="s">
        <v>23440</v>
      </c>
      <c r="AM1389" t="s">
        <v>23441</v>
      </c>
      <c r="AN1389" t="s">
        <v>23442</v>
      </c>
      <c r="AO1389" t="s">
        <v>23443</v>
      </c>
      <c r="AP1389" t="s">
        <v>74</v>
      </c>
      <c r="AQ1389" t="s">
        <v>74</v>
      </c>
      <c r="AR1389" t="s">
        <v>23444</v>
      </c>
      <c r="AS1389" t="s">
        <v>23445</v>
      </c>
      <c r="AT1389" t="s">
        <v>273</v>
      </c>
      <c r="AU1389">
        <v>2023</v>
      </c>
      <c r="AV1389">
        <v>10</v>
      </c>
      <c r="AW1389">
        <v>13</v>
      </c>
      <c r="AX1389" t="s">
        <v>74</v>
      </c>
      <c r="AY1389" t="s">
        <v>74</v>
      </c>
      <c r="AZ1389" t="s">
        <v>74</v>
      </c>
      <c r="BA1389" t="s">
        <v>74</v>
      </c>
      <c r="BB1389">
        <v>285</v>
      </c>
      <c r="BC1389">
        <v>291</v>
      </c>
      <c r="BD1389" t="s">
        <v>74</v>
      </c>
      <c r="BE1389" t="s">
        <v>74</v>
      </c>
      <c r="BF1389" t="s">
        <v>74</v>
      </c>
      <c r="BG1389" t="s">
        <v>74</v>
      </c>
      <c r="BH1389" t="s">
        <v>74</v>
      </c>
      <c r="BI1389">
        <v>7</v>
      </c>
      <c r="BJ1389" t="s">
        <v>4461</v>
      </c>
      <c r="BK1389" t="s">
        <v>125</v>
      </c>
      <c r="BL1389" t="s">
        <v>4462</v>
      </c>
      <c r="BM1389" t="s">
        <v>23446</v>
      </c>
      <c r="BN1389" t="s">
        <v>74</v>
      </c>
      <c r="BO1389" t="s">
        <v>74</v>
      </c>
      <c r="BP1389" t="s">
        <v>74</v>
      </c>
      <c r="BQ1389" t="s">
        <v>74</v>
      </c>
      <c r="BR1389" t="s">
        <v>102</v>
      </c>
      <c r="BS1389" t="s">
        <v>23447</v>
      </c>
      <c r="BT1389" t="str">
        <f>HYPERLINK("https%3A%2F%2Fwww.webofscience.com%2Fwos%2Fwoscc%2Ffull-record%2FWOS:001171848900018","View Full Record in Web of Science")</f>
        <v>View Full Record in Web of Science</v>
      </c>
    </row>
    <row r="1390" spans="1:72" x14ac:dyDescent="0.35">
      <c r="A1390" t="s">
        <v>72</v>
      </c>
      <c r="B1390" t="s">
        <v>16495</v>
      </c>
      <c r="C1390" t="s">
        <v>74</v>
      </c>
      <c r="D1390" t="s">
        <v>74</v>
      </c>
      <c r="E1390" t="s">
        <v>74</v>
      </c>
      <c r="F1390" t="s">
        <v>16496</v>
      </c>
      <c r="G1390" t="s">
        <v>74</v>
      </c>
      <c r="H1390" t="s">
        <v>74</v>
      </c>
      <c r="I1390" t="s">
        <v>23448</v>
      </c>
      <c r="J1390" t="s">
        <v>1034</v>
      </c>
      <c r="K1390" t="s">
        <v>74</v>
      </c>
      <c r="L1390" t="s">
        <v>74</v>
      </c>
      <c r="M1390" t="s">
        <v>78</v>
      </c>
      <c r="N1390" t="s">
        <v>108</v>
      </c>
      <c r="O1390" t="s">
        <v>74</v>
      </c>
      <c r="P1390" t="s">
        <v>74</v>
      </c>
      <c r="Q1390" t="s">
        <v>74</v>
      </c>
      <c r="R1390" t="s">
        <v>74</v>
      </c>
      <c r="S1390" t="s">
        <v>74</v>
      </c>
      <c r="T1390" t="s">
        <v>23449</v>
      </c>
      <c r="U1390" t="s">
        <v>23450</v>
      </c>
      <c r="V1390" t="s">
        <v>23451</v>
      </c>
      <c r="W1390" t="s">
        <v>23452</v>
      </c>
      <c r="X1390" t="s">
        <v>19360</v>
      </c>
      <c r="Y1390" t="s">
        <v>23453</v>
      </c>
      <c r="Z1390" t="s">
        <v>16502</v>
      </c>
      <c r="AA1390" t="s">
        <v>16503</v>
      </c>
      <c r="AB1390" t="s">
        <v>16504</v>
      </c>
      <c r="AC1390" t="s">
        <v>74</v>
      </c>
      <c r="AD1390" t="s">
        <v>74</v>
      </c>
      <c r="AE1390" t="s">
        <v>74</v>
      </c>
      <c r="AF1390" t="s">
        <v>74</v>
      </c>
      <c r="AG1390">
        <v>65</v>
      </c>
      <c r="AH1390">
        <v>11</v>
      </c>
      <c r="AI1390">
        <v>11</v>
      </c>
      <c r="AJ1390">
        <v>5</v>
      </c>
      <c r="AK1390">
        <v>30</v>
      </c>
      <c r="AL1390" t="s">
        <v>226</v>
      </c>
      <c r="AM1390" t="s">
        <v>227</v>
      </c>
      <c r="AN1390" t="s">
        <v>228</v>
      </c>
      <c r="AO1390" t="s">
        <v>1041</v>
      </c>
      <c r="AP1390" t="s">
        <v>1042</v>
      </c>
      <c r="AQ1390" t="s">
        <v>74</v>
      </c>
      <c r="AR1390" t="s">
        <v>1043</v>
      </c>
      <c r="AS1390" t="s">
        <v>1044</v>
      </c>
      <c r="AT1390" t="s">
        <v>745</v>
      </c>
      <c r="AU1390">
        <v>2023</v>
      </c>
      <c r="AV1390">
        <v>45</v>
      </c>
      <c r="AW1390">
        <v>4</v>
      </c>
      <c r="AX1390" t="s">
        <v>74</v>
      </c>
      <c r="AY1390" t="s">
        <v>74</v>
      </c>
      <c r="AZ1390" t="s">
        <v>74</v>
      </c>
      <c r="BA1390" t="s">
        <v>74</v>
      </c>
      <c r="BB1390">
        <v>822</v>
      </c>
      <c r="BC1390">
        <v>840</v>
      </c>
      <c r="BD1390" t="s">
        <v>74</v>
      </c>
      <c r="BE1390" t="s">
        <v>23454</v>
      </c>
      <c r="BF1390" t="str">
        <f>HYPERLINK("http://dx.doi.org/10.1177/01634437221140531","http://dx.doi.org/10.1177/01634437221140531")</f>
        <v>http://dx.doi.org/10.1177/01634437221140531</v>
      </c>
      <c r="BG1390" t="s">
        <v>74</v>
      </c>
      <c r="BH1390" t="s">
        <v>3970</v>
      </c>
      <c r="BI1390">
        <v>19</v>
      </c>
      <c r="BJ1390" t="s">
        <v>1047</v>
      </c>
      <c r="BK1390" t="s">
        <v>99</v>
      </c>
      <c r="BL1390" t="s">
        <v>1047</v>
      </c>
      <c r="BM1390" t="s">
        <v>23455</v>
      </c>
      <c r="BN1390" t="s">
        <v>74</v>
      </c>
      <c r="BO1390" t="s">
        <v>1049</v>
      </c>
      <c r="BP1390" t="s">
        <v>74</v>
      </c>
      <c r="BQ1390" t="s">
        <v>74</v>
      </c>
      <c r="BR1390" t="s">
        <v>102</v>
      </c>
      <c r="BS1390" t="s">
        <v>23456</v>
      </c>
      <c r="BT1390" t="str">
        <f>HYPERLINK("https%3A%2F%2Fwww.webofscience.com%2Fwos%2Fwoscc%2Ffull-record%2FWOS:000898217200001","View Full Record in Web of Science")</f>
        <v>View Full Record in Web of Science</v>
      </c>
    </row>
    <row r="1391" spans="1:72" x14ac:dyDescent="0.35">
      <c r="A1391" t="s">
        <v>72</v>
      </c>
      <c r="B1391" t="s">
        <v>23457</v>
      </c>
      <c r="C1391" t="s">
        <v>74</v>
      </c>
      <c r="D1391" t="s">
        <v>74</v>
      </c>
      <c r="E1391" t="s">
        <v>74</v>
      </c>
      <c r="F1391" t="s">
        <v>23458</v>
      </c>
      <c r="G1391" t="s">
        <v>74</v>
      </c>
      <c r="H1391" t="s">
        <v>74</v>
      </c>
      <c r="I1391" t="s">
        <v>23459</v>
      </c>
      <c r="J1391" t="s">
        <v>21598</v>
      </c>
      <c r="K1391" t="s">
        <v>74</v>
      </c>
      <c r="L1391" t="s">
        <v>74</v>
      </c>
      <c r="M1391" t="s">
        <v>78</v>
      </c>
      <c r="N1391" t="s">
        <v>108</v>
      </c>
      <c r="O1391" t="s">
        <v>74</v>
      </c>
      <c r="P1391" t="s">
        <v>74</v>
      </c>
      <c r="Q1391" t="s">
        <v>74</v>
      </c>
      <c r="R1391" t="s">
        <v>74</v>
      </c>
      <c r="S1391" t="s">
        <v>74</v>
      </c>
      <c r="T1391" t="s">
        <v>23460</v>
      </c>
      <c r="U1391" t="s">
        <v>23461</v>
      </c>
      <c r="V1391" t="s">
        <v>23462</v>
      </c>
      <c r="W1391" t="s">
        <v>23463</v>
      </c>
      <c r="X1391" t="s">
        <v>23464</v>
      </c>
      <c r="Y1391" t="s">
        <v>23465</v>
      </c>
      <c r="Z1391" t="s">
        <v>23466</v>
      </c>
      <c r="AA1391" t="s">
        <v>74</v>
      </c>
      <c r="AB1391" t="s">
        <v>23467</v>
      </c>
      <c r="AC1391" t="s">
        <v>74</v>
      </c>
      <c r="AD1391" t="s">
        <v>74</v>
      </c>
      <c r="AE1391" t="s">
        <v>74</v>
      </c>
      <c r="AF1391" t="s">
        <v>74</v>
      </c>
      <c r="AG1391">
        <v>56</v>
      </c>
      <c r="AH1391">
        <v>3</v>
      </c>
      <c r="AI1391">
        <v>5</v>
      </c>
      <c r="AJ1391">
        <v>1</v>
      </c>
      <c r="AK1391">
        <v>7</v>
      </c>
      <c r="AL1391" t="s">
        <v>665</v>
      </c>
      <c r="AM1391" t="s">
        <v>666</v>
      </c>
      <c r="AN1391" t="s">
        <v>667</v>
      </c>
      <c r="AO1391" t="s">
        <v>21606</v>
      </c>
      <c r="AP1391" t="s">
        <v>21607</v>
      </c>
      <c r="AQ1391" t="s">
        <v>74</v>
      </c>
      <c r="AR1391" t="s">
        <v>21608</v>
      </c>
      <c r="AS1391" t="s">
        <v>21609</v>
      </c>
      <c r="AT1391" t="s">
        <v>455</v>
      </c>
      <c r="AU1391">
        <v>2023</v>
      </c>
      <c r="AV1391">
        <v>45</v>
      </c>
      <c r="AW1391">
        <v>3</v>
      </c>
      <c r="AX1391" t="s">
        <v>74</v>
      </c>
      <c r="AY1391" t="s">
        <v>74</v>
      </c>
      <c r="AZ1391" t="s">
        <v>74</v>
      </c>
      <c r="BA1391" t="s">
        <v>74</v>
      </c>
      <c r="BB1391">
        <v>298</v>
      </c>
      <c r="BC1391">
        <v>308</v>
      </c>
      <c r="BD1391" t="s">
        <v>74</v>
      </c>
      <c r="BE1391" t="s">
        <v>23468</v>
      </c>
      <c r="BF1391" t="str">
        <f>HYPERLINK("http://dx.doi.org/10.1007/s10591-023-09669-6","http://dx.doi.org/10.1007/s10591-023-09669-6")</f>
        <v>http://dx.doi.org/10.1007/s10591-023-09669-6</v>
      </c>
      <c r="BG1391" t="s">
        <v>74</v>
      </c>
      <c r="BH1391" t="s">
        <v>180</v>
      </c>
      <c r="BI1391">
        <v>11</v>
      </c>
      <c r="BJ1391" t="s">
        <v>6370</v>
      </c>
      <c r="BK1391" t="s">
        <v>125</v>
      </c>
      <c r="BL1391" t="s">
        <v>301</v>
      </c>
      <c r="BM1391" t="s">
        <v>21611</v>
      </c>
      <c r="BN1391">
        <v>37361259</v>
      </c>
      <c r="BO1391" t="s">
        <v>12267</v>
      </c>
      <c r="BP1391" t="s">
        <v>74</v>
      </c>
      <c r="BQ1391" t="s">
        <v>74</v>
      </c>
      <c r="BR1391" t="s">
        <v>102</v>
      </c>
      <c r="BS1391" t="s">
        <v>23469</v>
      </c>
      <c r="BT1391" t="str">
        <f>HYPERLINK("https%3A%2F%2Fwww.webofscience.com%2Fwos%2Fwoscc%2Ffull-record%2FWOS:000985428700001","View Full Record in Web of Science")</f>
        <v>View Full Record in Web of Science</v>
      </c>
    </row>
    <row r="1392" spans="1:72" x14ac:dyDescent="0.35">
      <c r="A1392" t="s">
        <v>72</v>
      </c>
      <c r="B1392" t="s">
        <v>23470</v>
      </c>
      <c r="C1392" t="s">
        <v>74</v>
      </c>
      <c r="D1392" t="s">
        <v>74</v>
      </c>
      <c r="E1392" t="s">
        <v>74</v>
      </c>
      <c r="F1392" t="s">
        <v>23471</v>
      </c>
      <c r="G1392" t="s">
        <v>74</v>
      </c>
      <c r="H1392" t="s">
        <v>74</v>
      </c>
      <c r="I1392" t="s">
        <v>23472</v>
      </c>
      <c r="J1392" t="s">
        <v>7653</v>
      </c>
      <c r="K1392" t="s">
        <v>74</v>
      </c>
      <c r="L1392" t="s">
        <v>74</v>
      </c>
      <c r="M1392" t="s">
        <v>3503</v>
      </c>
      <c r="N1392" t="s">
        <v>108</v>
      </c>
      <c r="O1392" t="s">
        <v>74</v>
      </c>
      <c r="P1392" t="s">
        <v>74</v>
      </c>
      <c r="Q1392" t="s">
        <v>74</v>
      </c>
      <c r="R1392" t="s">
        <v>74</v>
      </c>
      <c r="S1392" t="s">
        <v>74</v>
      </c>
      <c r="T1392" t="s">
        <v>23473</v>
      </c>
      <c r="U1392" t="s">
        <v>74</v>
      </c>
      <c r="V1392" t="s">
        <v>23474</v>
      </c>
      <c r="W1392" t="s">
        <v>23475</v>
      </c>
      <c r="X1392" t="s">
        <v>23476</v>
      </c>
      <c r="Y1392" t="s">
        <v>23477</v>
      </c>
      <c r="Z1392" t="s">
        <v>23478</v>
      </c>
      <c r="AA1392" t="s">
        <v>74</v>
      </c>
      <c r="AB1392" t="s">
        <v>74</v>
      </c>
      <c r="AC1392" t="s">
        <v>74</v>
      </c>
      <c r="AD1392" t="s">
        <v>74</v>
      </c>
      <c r="AE1392" t="s">
        <v>74</v>
      </c>
      <c r="AF1392" t="s">
        <v>74</v>
      </c>
      <c r="AG1392">
        <v>57</v>
      </c>
      <c r="AH1392">
        <v>0</v>
      </c>
      <c r="AI1392">
        <v>0</v>
      </c>
      <c r="AJ1392">
        <v>13</v>
      </c>
      <c r="AK1392">
        <v>101</v>
      </c>
      <c r="AL1392" t="s">
        <v>7660</v>
      </c>
      <c r="AM1392" t="s">
        <v>7661</v>
      </c>
      <c r="AN1392" t="s">
        <v>7662</v>
      </c>
      <c r="AO1392" t="s">
        <v>7663</v>
      </c>
      <c r="AP1392" t="s">
        <v>7664</v>
      </c>
      <c r="AQ1392" t="s">
        <v>74</v>
      </c>
      <c r="AR1392" t="s">
        <v>7665</v>
      </c>
      <c r="AS1392" t="s">
        <v>7666</v>
      </c>
      <c r="AT1392" t="s">
        <v>257</v>
      </c>
      <c r="AU1392">
        <v>2022</v>
      </c>
      <c r="AV1392">
        <v>11</v>
      </c>
      <c r="AW1392">
        <v>1</v>
      </c>
      <c r="AX1392" t="s">
        <v>74</v>
      </c>
      <c r="AY1392" t="s">
        <v>74</v>
      </c>
      <c r="AZ1392" t="s">
        <v>74</v>
      </c>
      <c r="BA1392" t="s">
        <v>74</v>
      </c>
      <c r="BB1392" t="s">
        <v>74</v>
      </c>
      <c r="BC1392" t="s">
        <v>74</v>
      </c>
      <c r="BD1392" t="s">
        <v>74</v>
      </c>
      <c r="BE1392" t="s">
        <v>23479</v>
      </c>
      <c r="BF1392" t="str">
        <f>HYPERLINK("http://dx.doi.org/10.26422/aucom.2022.1101.pat","http://dx.doi.org/10.26422/aucom.2022.1101.pat")</f>
        <v>http://dx.doi.org/10.26422/aucom.2022.1101.pat</v>
      </c>
      <c r="BG1392" t="s">
        <v>74</v>
      </c>
      <c r="BH1392" t="s">
        <v>74</v>
      </c>
      <c r="BI1392">
        <v>31</v>
      </c>
      <c r="BJ1392" t="s">
        <v>124</v>
      </c>
      <c r="BK1392" t="s">
        <v>125</v>
      </c>
      <c r="BL1392" t="s">
        <v>124</v>
      </c>
      <c r="BM1392" t="s">
        <v>7668</v>
      </c>
      <c r="BN1392" t="s">
        <v>74</v>
      </c>
      <c r="BO1392" t="s">
        <v>6319</v>
      </c>
      <c r="BP1392" t="s">
        <v>74</v>
      </c>
      <c r="BQ1392" t="s">
        <v>74</v>
      </c>
      <c r="BR1392" t="s">
        <v>102</v>
      </c>
      <c r="BS1392" t="s">
        <v>23480</v>
      </c>
      <c r="BT1392" t="str">
        <f>HYPERLINK("https%3A%2F%2Fwww.webofscience.com%2Fwos%2Fwoscc%2Ffull-record%2FWOS:000822796300003","View Full Record in Web of Science")</f>
        <v>View Full Record in Web of Science</v>
      </c>
    </row>
    <row r="1393" spans="1:72" x14ac:dyDescent="0.35">
      <c r="A1393" t="s">
        <v>72</v>
      </c>
      <c r="B1393" t="s">
        <v>23481</v>
      </c>
      <c r="C1393" t="s">
        <v>74</v>
      </c>
      <c r="D1393" t="s">
        <v>74</v>
      </c>
      <c r="E1393" t="s">
        <v>74</v>
      </c>
      <c r="F1393" t="s">
        <v>23482</v>
      </c>
      <c r="G1393" t="s">
        <v>74</v>
      </c>
      <c r="H1393" t="s">
        <v>74</v>
      </c>
      <c r="I1393" t="s">
        <v>23483</v>
      </c>
      <c r="J1393" t="s">
        <v>12093</v>
      </c>
      <c r="K1393" t="s">
        <v>74</v>
      </c>
      <c r="L1393" t="s">
        <v>74</v>
      </c>
      <c r="M1393" t="s">
        <v>78</v>
      </c>
      <c r="N1393" t="s">
        <v>108</v>
      </c>
      <c r="O1393" t="s">
        <v>74</v>
      </c>
      <c r="P1393" t="s">
        <v>74</v>
      </c>
      <c r="Q1393" t="s">
        <v>74</v>
      </c>
      <c r="R1393" t="s">
        <v>74</v>
      </c>
      <c r="S1393" t="s">
        <v>74</v>
      </c>
      <c r="T1393" t="s">
        <v>23484</v>
      </c>
      <c r="U1393" t="s">
        <v>74</v>
      </c>
      <c r="V1393" t="s">
        <v>23485</v>
      </c>
      <c r="W1393" t="s">
        <v>23486</v>
      </c>
      <c r="X1393" t="s">
        <v>13399</v>
      </c>
      <c r="Y1393" t="s">
        <v>23487</v>
      </c>
      <c r="Z1393" t="s">
        <v>23488</v>
      </c>
      <c r="AA1393" t="s">
        <v>23489</v>
      </c>
      <c r="AB1393" t="s">
        <v>74</v>
      </c>
      <c r="AC1393" t="s">
        <v>74</v>
      </c>
      <c r="AD1393" t="s">
        <v>74</v>
      </c>
      <c r="AE1393" t="s">
        <v>74</v>
      </c>
      <c r="AF1393" t="s">
        <v>74</v>
      </c>
      <c r="AG1393">
        <v>25</v>
      </c>
      <c r="AH1393">
        <v>0</v>
      </c>
      <c r="AI1393">
        <v>0</v>
      </c>
      <c r="AJ1393">
        <v>0</v>
      </c>
      <c r="AK1393">
        <v>0</v>
      </c>
      <c r="AL1393" t="s">
        <v>12102</v>
      </c>
      <c r="AM1393" t="s">
        <v>12103</v>
      </c>
      <c r="AN1393" t="s">
        <v>12104</v>
      </c>
      <c r="AO1393" t="s">
        <v>12105</v>
      </c>
      <c r="AP1393" t="s">
        <v>12106</v>
      </c>
      <c r="AQ1393" t="s">
        <v>74</v>
      </c>
      <c r="AR1393" t="s">
        <v>12107</v>
      </c>
      <c r="AS1393" t="s">
        <v>12108</v>
      </c>
      <c r="AT1393" t="s">
        <v>455</v>
      </c>
      <c r="AU1393">
        <v>2024</v>
      </c>
      <c r="AV1393">
        <v>32</v>
      </c>
      <c r="AW1393">
        <v>3</v>
      </c>
      <c r="AX1393" t="s">
        <v>74</v>
      </c>
      <c r="AY1393" t="s">
        <v>74</v>
      </c>
      <c r="AZ1393" t="s">
        <v>74</v>
      </c>
      <c r="BA1393" t="s">
        <v>74</v>
      </c>
      <c r="BB1393">
        <v>1051</v>
      </c>
      <c r="BC1393">
        <v>1071</v>
      </c>
      <c r="BD1393" t="s">
        <v>74</v>
      </c>
      <c r="BE1393" t="s">
        <v>23490</v>
      </c>
      <c r="BF1393" t="str">
        <f>HYPERLINK("http://dx.doi.org/10.47836/pjssh.32.3.12","http://dx.doi.org/10.47836/pjssh.32.3.12")</f>
        <v>http://dx.doi.org/10.47836/pjssh.32.3.12</v>
      </c>
      <c r="BG1393" t="s">
        <v>74</v>
      </c>
      <c r="BH1393" t="s">
        <v>74</v>
      </c>
      <c r="BI1393">
        <v>21</v>
      </c>
      <c r="BJ1393" t="s">
        <v>98</v>
      </c>
      <c r="BK1393" t="s">
        <v>125</v>
      </c>
      <c r="BL1393" t="s">
        <v>100</v>
      </c>
      <c r="BM1393" t="s">
        <v>23491</v>
      </c>
      <c r="BN1393" t="s">
        <v>74</v>
      </c>
      <c r="BO1393" t="s">
        <v>74</v>
      </c>
      <c r="BP1393" t="s">
        <v>74</v>
      </c>
      <c r="BQ1393" t="s">
        <v>74</v>
      </c>
      <c r="BR1393" t="s">
        <v>102</v>
      </c>
      <c r="BS1393" t="s">
        <v>23492</v>
      </c>
      <c r="BT1393" t="str">
        <f>HYPERLINK("https%3A%2F%2Fwww.webofscience.com%2Fwos%2Fwoscc%2Ffull-record%2FWOS:001342191500012","View Full Record in Web of Science")</f>
        <v>View Full Record in Web of Science</v>
      </c>
    </row>
    <row r="1394" spans="1:72" x14ac:dyDescent="0.35">
      <c r="A1394" t="s">
        <v>128</v>
      </c>
      <c r="B1394" t="s">
        <v>23493</v>
      </c>
      <c r="C1394" t="s">
        <v>74</v>
      </c>
      <c r="D1394" t="s">
        <v>23494</v>
      </c>
      <c r="E1394" t="s">
        <v>74</v>
      </c>
      <c r="F1394" t="s">
        <v>23495</v>
      </c>
      <c r="G1394" t="s">
        <v>74</v>
      </c>
      <c r="H1394" t="s">
        <v>74</v>
      </c>
      <c r="I1394" t="s">
        <v>23496</v>
      </c>
      <c r="J1394" t="s">
        <v>23497</v>
      </c>
      <c r="K1394" t="s">
        <v>23498</v>
      </c>
      <c r="L1394" t="s">
        <v>74</v>
      </c>
      <c r="M1394" t="s">
        <v>78</v>
      </c>
      <c r="N1394" t="s">
        <v>135</v>
      </c>
      <c r="O1394" t="s">
        <v>23499</v>
      </c>
      <c r="P1394" t="s">
        <v>23500</v>
      </c>
      <c r="Q1394" t="s">
        <v>23501</v>
      </c>
      <c r="R1394" t="s">
        <v>23502</v>
      </c>
      <c r="S1394" t="s">
        <v>23503</v>
      </c>
      <c r="T1394" t="s">
        <v>23504</v>
      </c>
      <c r="U1394" t="s">
        <v>13378</v>
      </c>
      <c r="V1394" t="s">
        <v>23505</v>
      </c>
      <c r="W1394" t="s">
        <v>23506</v>
      </c>
      <c r="X1394" t="s">
        <v>3187</v>
      </c>
      <c r="Y1394" t="s">
        <v>23507</v>
      </c>
      <c r="Z1394" t="s">
        <v>23508</v>
      </c>
      <c r="AA1394" t="s">
        <v>74</v>
      </c>
      <c r="AB1394" t="s">
        <v>74</v>
      </c>
      <c r="AC1394" t="s">
        <v>74</v>
      </c>
      <c r="AD1394" t="s">
        <v>74</v>
      </c>
      <c r="AE1394" t="s">
        <v>74</v>
      </c>
      <c r="AF1394" t="s">
        <v>74</v>
      </c>
      <c r="AG1394">
        <v>29</v>
      </c>
      <c r="AH1394">
        <v>1</v>
      </c>
      <c r="AI1394">
        <v>2</v>
      </c>
      <c r="AJ1394">
        <v>3</v>
      </c>
      <c r="AK1394">
        <v>21</v>
      </c>
      <c r="AL1394" t="s">
        <v>1677</v>
      </c>
      <c r="AM1394" t="s">
        <v>666</v>
      </c>
      <c r="AN1394" t="s">
        <v>1692</v>
      </c>
      <c r="AO1394" t="s">
        <v>23509</v>
      </c>
      <c r="AP1394" t="s">
        <v>74</v>
      </c>
      <c r="AQ1394" t="s">
        <v>23510</v>
      </c>
      <c r="AR1394" t="s">
        <v>23511</v>
      </c>
      <c r="AS1394" t="s">
        <v>74</v>
      </c>
      <c r="AT1394" t="s">
        <v>74</v>
      </c>
      <c r="AU1394">
        <v>2022</v>
      </c>
      <c r="AV1394" t="s">
        <v>74</v>
      </c>
      <c r="AW1394" t="s">
        <v>74</v>
      </c>
      <c r="AX1394" t="s">
        <v>74</v>
      </c>
      <c r="AY1394" t="s">
        <v>74</v>
      </c>
      <c r="AZ1394" t="s">
        <v>74</v>
      </c>
      <c r="BA1394" t="s">
        <v>74</v>
      </c>
      <c r="BB1394" t="s">
        <v>74</v>
      </c>
      <c r="BC1394" t="s">
        <v>74</v>
      </c>
      <c r="BD1394" t="s">
        <v>74</v>
      </c>
      <c r="BE1394" t="s">
        <v>23512</v>
      </c>
      <c r="BF1394" t="str">
        <f>HYPERLINK("http://dx.doi.org/10.1109/IMCOM53663.2022.9721784","http://dx.doi.org/10.1109/IMCOM53663.2022.9721784")</f>
        <v>http://dx.doi.org/10.1109/IMCOM53663.2022.9721784</v>
      </c>
      <c r="BG1394" t="s">
        <v>74</v>
      </c>
      <c r="BH1394" t="s">
        <v>74</v>
      </c>
      <c r="BI1394">
        <v>6</v>
      </c>
      <c r="BJ1394" t="s">
        <v>1698</v>
      </c>
      <c r="BK1394" t="s">
        <v>723</v>
      </c>
      <c r="BL1394" t="s">
        <v>1699</v>
      </c>
      <c r="BM1394" t="s">
        <v>23513</v>
      </c>
      <c r="BN1394" t="s">
        <v>74</v>
      </c>
      <c r="BO1394" t="s">
        <v>6798</v>
      </c>
      <c r="BP1394" t="s">
        <v>74</v>
      </c>
      <c r="BQ1394" t="s">
        <v>74</v>
      </c>
      <c r="BR1394" t="s">
        <v>102</v>
      </c>
      <c r="BS1394" t="s">
        <v>23514</v>
      </c>
      <c r="BT1394" t="str">
        <f>HYPERLINK("https%3A%2F%2Fwww.webofscience.com%2Fwos%2Fwoscc%2Ffull-record%2FWOS:000800249400075","View Full Record in Web of Science")</f>
        <v>View Full Record in Web of Science</v>
      </c>
    </row>
    <row r="1395" spans="1:72" x14ac:dyDescent="0.35">
      <c r="A1395" t="s">
        <v>72</v>
      </c>
      <c r="B1395" t="s">
        <v>23515</v>
      </c>
      <c r="C1395" t="s">
        <v>74</v>
      </c>
      <c r="D1395" t="s">
        <v>74</v>
      </c>
      <c r="E1395" t="s">
        <v>74</v>
      </c>
      <c r="F1395" t="s">
        <v>23516</v>
      </c>
      <c r="G1395" t="s">
        <v>74</v>
      </c>
      <c r="H1395" t="s">
        <v>74</v>
      </c>
      <c r="I1395" t="s">
        <v>23517</v>
      </c>
      <c r="J1395" t="s">
        <v>23518</v>
      </c>
      <c r="K1395" t="s">
        <v>74</v>
      </c>
      <c r="L1395" t="s">
        <v>74</v>
      </c>
      <c r="M1395" t="s">
        <v>1012</v>
      </c>
      <c r="N1395" t="s">
        <v>108</v>
      </c>
      <c r="O1395" t="s">
        <v>74</v>
      </c>
      <c r="P1395" t="s">
        <v>74</v>
      </c>
      <c r="Q1395" t="s">
        <v>74</v>
      </c>
      <c r="R1395" t="s">
        <v>74</v>
      </c>
      <c r="S1395" t="s">
        <v>74</v>
      </c>
      <c r="T1395" t="s">
        <v>74</v>
      </c>
      <c r="U1395" t="s">
        <v>74</v>
      </c>
      <c r="V1395" t="s">
        <v>23519</v>
      </c>
      <c r="W1395" t="s">
        <v>74</v>
      </c>
      <c r="X1395" t="s">
        <v>74</v>
      </c>
      <c r="Y1395" t="s">
        <v>74</v>
      </c>
      <c r="Z1395" t="s">
        <v>74</v>
      </c>
      <c r="AA1395" t="s">
        <v>74</v>
      </c>
      <c r="AB1395" t="s">
        <v>74</v>
      </c>
      <c r="AC1395" t="s">
        <v>74</v>
      </c>
      <c r="AD1395" t="s">
        <v>74</v>
      </c>
      <c r="AE1395" t="s">
        <v>74</v>
      </c>
      <c r="AF1395" t="s">
        <v>74</v>
      </c>
      <c r="AG1395">
        <v>1</v>
      </c>
      <c r="AH1395">
        <v>0</v>
      </c>
      <c r="AI1395">
        <v>0</v>
      </c>
      <c r="AJ1395">
        <v>0</v>
      </c>
      <c r="AK1395">
        <v>0</v>
      </c>
      <c r="AL1395" t="s">
        <v>1021</v>
      </c>
      <c r="AM1395" t="s">
        <v>1022</v>
      </c>
      <c r="AN1395" t="s">
        <v>1023</v>
      </c>
      <c r="AO1395" t="s">
        <v>23520</v>
      </c>
      <c r="AP1395" t="s">
        <v>23521</v>
      </c>
      <c r="AQ1395" t="s">
        <v>74</v>
      </c>
      <c r="AR1395" t="s">
        <v>23522</v>
      </c>
      <c r="AS1395" t="s">
        <v>23523</v>
      </c>
      <c r="AT1395" t="s">
        <v>745</v>
      </c>
      <c r="AU1395">
        <v>2024</v>
      </c>
      <c r="AV1395">
        <v>50</v>
      </c>
      <c r="AW1395">
        <v>5</v>
      </c>
      <c r="AX1395" t="s">
        <v>74</v>
      </c>
      <c r="AY1395" t="s">
        <v>74</v>
      </c>
      <c r="AZ1395" t="s">
        <v>74</v>
      </c>
      <c r="BA1395" t="s">
        <v>74</v>
      </c>
      <c r="BB1395">
        <v>206</v>
      </c>
      <c r="BC1395">
        <v>206</v>
      </c>
      <c r="BD1395" t="s">
        <v>74</v>
      </c>
      <c r="BE1395" t="s">
        <v>23524</v>
      </c>
      <c r="BF1395" t="str">
        <f>HYPERLINK("http://dx.doi.org/10.1055/a-2248-1763","http://dx.doi.org/10.1055/a-2248-1763")</f>
        <v>http://dx.doi.org/10.1055/a-2248-1763</v>
      </c>
      <c r="BG1395" t="s">
        <v>74</v>
      </c>
      <c r="BH1395" t="s">
        <v>74</v>
      </c>
      <c r="BI1395">
        <v>1</v>
      </c>
      <c r="BJ1395" t="s">
        <v>1341</v>
      </c>
      <c r="BK1395" t="s">
        <v>125</v>
      </c>
      <c r="BL1395" t="s">
        <v>1341</v>
      </c>
      <c r="BM1395" t="s">
        <v>23525</v>
      </c>
      <c r="BN1395" t="s">
        <v>74</v>
      </c>
      <c r="BO1395" t="s">
        <v>74</v>
      </c>
      <c r="BP1395" t="s">
        <v>74</v>
      </c>
      <c r="BQ1395" t="s">
        <v>74</v>
      </c>
      <c r="BR1395" t="s">
        <v>102</v>
      </c>
      <c r="BS1395" t="s">
        <v>23526</v>
      </c>
      <c r="BT1395" t="str">
        <f>HYPERLINK("https%3A%2F%2Fwww.webofscience.com%2Fwos%2Fwoscc%2Ffull-record%2FWOS:001216103200002","View Full Record in Web of Science")</f>
        <v>View Full Record in Web of Science</v>
      </c>
    </row>
    <row r="1396" spans="1:72" x14ac:dyDescent="0.35">
      <c r="A1396" t="s">
        <v>72</v>
      </c>
      <c r="B1396" t="s">
        <v>23527</v>
      </c>
      <c r="C1396" t="s">
        <v>74</v>
      </c>
      <c r="D1396" t="s">
        <v>74</v>
      </c>
      <c r="E1396" t="s">
        <v>74</v>
      </c>
      <c r="F1396" t="s">
        <v>23528</v>
      </c>
      <c r="G1396" t="s">
        <v>74</v>
      </c>
      <c r="H1396" t="s">
        <v>74</v>
      </c>
      <c r="I1396" t="s">
        <v>23529</v>
      </c>
      <c r="J1396" t="s">
        <v>2450</v>
      </c>
      <c r="K1396" t="s">
        <v>74</v>
      </c>
      <c r="L1396" t="s">
        <v>74</v>
      </c>
      <c r="M1396" t="s">
        <v>78</v>
      </c>
      <c r="N1396" t="s">
        <v>108</v>
      </c>
      <c r="O1396" t="s">
        <v>74</v>
      </c>
      <c r="P1396" t="s">
        <v>74</v>
      </c>
      <c r="Q1396" t="s">
        <v>74</v>
      </c>
      <c r="R1396" t="s">
        <v>74</v>
      </c>
      <c r="S1396" t="s">
        <v>74</v>
      </c>
      <c r="T1396" t="s">
        <v>74</v>
      </c>
      <c r="U1396" t="s">
        <v>23530</v>
      </c>
      <c r="V1396" t="s">
        <v>23531</v>
      </c>
      <c r="W1396" t="s">
        <v>23532</v>
      </c>
      <c r="X1396" t="s">
        <v>23533</v>
      </c>
      <c r="Y1396" t="s">
        <v>23534</v>
      </c>
      <c r="Z1396" t="s">
        <v>23535</v>
      </c>
      <c r="AA1396" t="s">
        <v>23536</v>
      </c>
      <c r="AB1396" t="s">
        <v>23537</v>
      </c>
      <c r="AC1396" t="s">
        <v>74</v>
      </c>
      <c r="AD1396" t="s">
        <v>74</v>
      </c>
      <c r="AE1396" t="s">
        <v>74</v>
      </c>
      <c r="AF1396" t="s">
        <v>74</v>
      </c>
      <c r="AG1396">
        <v>56</v>
      </c>
      <c r="AH1396">
        <v>0</v>
      </c>
      <c r="AI1396">
        <v>0</v>
      </c>
      <c r="AJ1396">
        <v>22</v>
      </c>
      <c r="AK1396">
        <v>48</v>
      </c>
      <c r="AL1396" t="s">
        <v>2458</v>
      </c>
      <c r="AM1396" t="s">
        <v>2459</v>
      </c>
      <c r="AN1396" t="s">
        <v>2460</v>
      </c>
      <c r="AO1396" t="s">
        <v>2461</v>
      </c>
      <c r="AP1396" t="s">
        <v>74</v>
      </c>
      <c r="AQ1396" t="s">
        <v>74</v>
      </c>
      <c r="AR1396" t="s">
        <v>2450</v>
      </c>
      <c r="AS1396" t="s">
        <v>2462</v>
      </c>
      <c r="AT1396" t="s">
        <v>23538</v>
      </c>
      <c r="AU1396">
        <v>2023</v>
      </c>
      <c r="AV1396">
        <v>18</v>
      </c>
      <c r="AW1396">
        <v>11</v>
      </c>
      <c r="AX1396" t="s">
        <v>74</v>
      </c>
      <c r="AY1396" t="s">
        <v>74</v>
      </c>
      <c r="AZ1396" t="s">
        <v>74</v>
      </c>
      <c r="BA1396" t="s">
        <v>74</v>
      </c>
      <c r="BB1396" t="s">
        <v>74</v>
      </c>
      <c r="BC1396" t="s">
        <v>74</v>
      </c>
      <c r="BD1396" t="s">
        <v>23539</v>
      </c>
      <c r="BE1396" t="s">
        <v>23540</v>
      </c>
      <c r="BF1396" t="str">
        <f>HYPERLINK("http://dx.doi.org/10.1371/journal.pone.0294186","http://dx.doi.org/10.1371/journal.pone.0294186")</f>
        <v>http://dx.doi.org/10.1371/journal.pone.0294186</v>
      </c>
      <c r="BG1396" t="s">
        <v>74</v>
      </c>
      <c r="BH1396" t="s">
        <v>74</v>
      </c>
      <c r="BI1396">
        <v>19</v>
      </c>
      <c r="BJ1396" t="s">
        <v>1301</v>
      </c>
      <c r="BK1396" t="s">
        <v>209</v>
      </c>
      <c r="BL1396" t="s">
        <v>1302</v>
      </c>
      <c r="BM1396" t="s">
        <v>23541</v>
      </c>
      <c r="BN1396">
        <v>37956159</v>
      </c>
      <c r="BO1396" t="s">
        <v>394</v>
      </c>
      <c r="BP1396" t="s">
        <v>74</v>
      </c>
      <c r="BQ1396" t="s">
        <v>74</v>
      </c>
      <c r="BR1396" t="s">
        <v>102</v>
      </c>
      <c r="BS1396" t="s">
        <v>23542</v>
      </c>
      <c r="BT1396" t="str">
        <f>HYPERLINK("https%3A%2F%2Fwww.webofscience.com%2Fwos%2Fwoscc%2Ffull-record%2FWOS:001125277400016","View Full Record in Web of Science")</f>
        <v>View Full Record in Web of Science</v>
      </c>
    </row>
    <row r="1397" spans="1:72" x14ac:dyDescent="0.35">
      <c r="A1397" t="s">
        <v>72</v>
      </c>
      <c r="B1397" t="s">
        <v>23543</v>
      </c>
      <c r="C1397" t="s">
        <v>74</v>
      </c>
      <c r="D1397" t="s">
        <v>74</v>
      </c>
      <c r="E1397" t="s">
        <v>74</v>
      </c>
      <c r="F1397" t="s">
        <v>23544</v>
      </c>
      <c r="G1397" t="s">
        <v>74</v>
      </c>
      <c r="H1397" t="s">
        <v>74</v>
      </c>
      <c r="I1397" t="s">
        <v>23545</v>
      </c>
      <c r="J1397" t="s">
        <v>1936</v>
      </c>
      <c r="K1397" t="s">
        <v>74</v>
      </c>
      <c r="L1397" t="s">
        <v>74</v>
      </c>
      <c r="M1397" t="s">
        <v>78</v>
      </c>
      <c r="N1397" t="s">
        <v>108</v>
      </c>
      <c r="O1397" t="s">
        <v>74</v>
      </c>
      <c r="P1397" t="s">
        <v>74</v>
      </c>
      <c r="Q1397" t="s">
        <v>74</v>
      </c>
      <c r="R1397" t="s">
        <v>74</v>
      </c>
      <c r="S1397" t="s">
        <v>74</v>
      </c>
      <c r="T1397" t="s">
        <v>23546</v>
      </c>
      <c r="U1397" t="s">
        <v>23547</v>
      </c>
      <c r="V1397" t="s">
        <v>23548</v>
      </c>
      <c r="W1397" t="s">
        <v>23549</v>
      </c>
      <c r="X1397" t="s">
        <v>23550</v>
      </c>
      <c r="Y1397" t="s">
        <v>23551</v>
      </c>
      <c r="Z1397" t="s">
        <v>23552</v>
      </c>
      <c r="AA1397" t="s">
        <v>74</v>
      </c>
      <c r="AB1397" t="s">
        <v>74</v>
      </c>
      <c r="AC1397" t="s">
        <v>23553</v>
      </c>
      <c r="AD1397" t="s">
        <v>23553</v>
      </c>
      <c r="AE1397" t="s">
        <v>23554</v>
      </c>
      <c r="AF1397" t="s">
        <v>74</v>
      </c>
      <c r="AG1397">
        <v>39</v>
      </c>
      <c r="AH1397">
        <v>6</v>
      </c>
      <c r="AI1397">
        <v>6</v>
      </c>
      <c r="AJ1397">
        <v>6</v>
      </c>
      <c r="AK1397">
        <v>15</v>
      </c>
      <c r="AL1397" t="s">
        <v>516</v>
      </c>
      <c r="AM1397" t="s">
        <v>517</v>
      </c>
      <c r="AN1397" t="s">
        <v>518</v>
      </c>
      <c r="AO1397" t="s">
        <v>1949</v>
      </c>
      <c r="AP1397" t="s">
        <v>1950</v>
      </c>
      <c r="AQ1397" t="s">
        <v>74</v>
      </c>
      <c r="AR1397" t="s">
        <v>1951</v>
      </c>
      <c r="AS1397" t="s">
        <v>1952</v>
      </c>
      <c r="AT1397" t="s">
        <v>1275</v>
      </c>
      <c r="AU1397">
        <v>2023</v>
      </c>
      <c r="AV1397">
        <v>51</v>
      </c>
      <c r="AW1397" t="s">
        <v>74</v>
      </c>
      <c r="AX1397" t="s">
        <v>74</v>
      </c>
      <c r="AY1397" t="s">
        <v>74</v>
      </c>
      <c r="AZ1397" t="s">
        <v>74</v>
      </c>
      <c r="BA1397" t="s">
        <v>74</v>
      </c>
      <c r="BB1397" t="s">
        <v>74</v>
      </c>
      <c r="BC1397" t="s">
        <v>74</v>
      </c>
      <c r="BD1397">
        <v>101811</v>
      </c>
      <c r="BE1397" t="s">
        <v>23555</v>
      </c>
      <c r="BF1397" t="str">
        <f>HYPERLINK("http://dx.doi.org/10.1016/j.eatbeh.2023.101811","http://dx.doi.org/10.1016/j.eatbeh.2023.101811")</f>
        <v>http://dx.doi.org/10.1016/j.eatbeh.2023.101811</v>
      </c>
      <c r="BG1397" t="s">
        <v>74</v>
      </c>
      <c r="BH1397" t="s">
        <v>2929</v>
      </c>
      <c r="BI1397">
        <v>9</v>
      </c>
      <c r="BJ1397" t="s">
        <v>1955</v>
      </c>
      <c r="BK1397" t="s">
        <v>99</v>
      </c>
      <c r="BL1397" t="s">
        <v>1617</v>
      </c>
      <c r="BM1397" t="s">
        <v>23556</v>
      </c>
      <c r="BN1397">
        <v>37708720</v>
      </c>
      <c r="BO1397" t="s">
        <v>74</v>
      </c>
      <c r="BP1397" t="s">
        <v>74</v>
      </c>
      <c r="BQ1397" t="s">
        <v>74</v>
      </c>
      <c r="BR1397" t="s">
        <v>102</v>
      </c>
      <c r="BS1397" t="s">
        <v>23557</v>
      </c>
      <c r="BT1397" t="str">
        <f>HYPERLINK("https%3A%2F%2Fwww.webofscience.com%2Fwos%2Fwoscc%2Ffull-record%2FWOS:001076085500001","View Full Record in Web of Science")</f>
        <v>View Full Record in Web of Science</v>
      </c>
    </row>
    <row r="1398" spans="1:72" x14ac:dyDescent="0.35">
      <c r="A1398" t="s">
        <v>72</v>
      </c>
      <c r="B1398" t="s">
        <v>23558</v>
      </c>
      <c r="C1398" t="s">
        <v>74</v>
      </c>
      <c r="D1398" t="s">
        <v>74</v>
      </c>
      <c r="E1398" t="s">
        <v>74</v>
      </c>
      <c r="F1398" t="s">
        <v>23559</v>
      </c>
      <c r="G1398" t="s">
        <v>74</v>
      </c>
      <c r="H1398" t="s">
        <v>74</v>
      </c>
      <c r="I1398" t="s">
        <v>23560</v>
      </c>
      <c r="J1398" t="s">
        <v>4703</v>
      </c>
      <c r="K1398" t="s">
        <v>74</v>
      </c>
      <c r="L1398" t="s">
        <v>74</v>
      </c>
      <c r="M1398" t="s">
        <v>78</v>
      </c>
      <c r="N1398" t="s">
        <v>108</v>
      </c>
      <c r="O1398" t="s">
        <v>74</v>
      </c>
      <c r="P1398" t="s">
        <v>74</v>
      </c>
      <c r="Q1398" t="s">
        <v>74</v>
      </c>
      <c r="R1398" t="s">
        <v>74</v>
      </c>
      <c r="S1398" t="s">
        <v>74</v>
      </c>
      <c r="T1398" t="s">
        <v>23561</v>
      </c>
      <c r="U1398" t="s">
        <v>23562</v>
      </c>
      <c r="V1398" t="s">
        <v>23563</v>
      </c>
      <c r="W1398" t="s">
        <v>23564</v>
      </c>
      <c r="X1398" t="s">
        <v>23565</v>
      </c>
      <c r="Y1398" t="s">
        <v>23566</v>
      </c>
      <c r="Z1398" t="s">
        <v>23567</v>
      </c>
      <c r="AA1398" t="s">
        <v>74</v>
      </c>
      <c r="AB1398" t="s">
        <v>74</v>
      </c>
      <c r="AC1398" t="s">
        <v>74</v>
      </c>
      <c r="AD1398" t="s">
        <v>74</v>
      </c>
      <c r="AE1398" t="s">
        <v>74</v>
      </c>
      <c r="AF1398" t="s">
        <v>74</v>
      </c>
      <c r="AG1398">
        <v>53</v>
      </c>
      <c r="AH1398">
        <v>0</v>
      </c>
      <c r="AI1398">
        <v>0</v>
      </c>
      <c r="AJ1398">
        <v>1</v>
      </c>
      <c r="AK1398">
        <v>2</v>
      </c>
      <c r="AL1398" t="s">
        <v>4713</v>
      </c>
      <c r="AM1398" t="s">
        <v>4714</v>
      </c>
      <c r="AN1398" t="s">
        <v>4715</v>
      </c>
      <c r="AO1398" t="s">
        <v>4716</v>
      </c>
      <c r="AP1398" t="s">
        <v>4717</v>
      </c>
      <c r="AQ1398" t="s">
        <v>74</v>
      </c>
      <c r="AR1398" t="s">
        <v>4718</v>
      </c>
      <c r="AS1398" t="s">
        <v>4719</v>
      </c>
      <c r="AT1398" t="s">
        <v>1275</v>
      </c>
      <c r="AU1398">
        <v>2023</v>
      </c>
      <c r="AV1398">
        <v>14</v>
      </c>
      <c r="AW1398">
        <v>2</v>
      </c>
      <c r="AX1398" t="s">
        <v>74</v>
      </c>
      <c r="AY1398" t="s">
        <v>74</v>
      </c>
      <c r="AZ1398" t="s">
        <v>74</v>
      </c>
      <c r="BA1398" t="s">
        <v>74</v>
      </c>
      <c r="BB1398">
        <v>186</v>
      </c>
      <c r="BC1398">
        <v>209</v>
      </c>
      <c r="BD1398" t="s">
        <v>74</v>
      </c>
      <c r="BE1398" t="s">
        <v>23568</v>
      </c>
      <c r="BF1398" t="str">
        <f>HYPERLINK("http://dx.doi.org/10.1177/09749276231198043","http://dx.doi.org/10.1177/09749276231198043")</f>
        <v>http://dx.doi.org/10.1177/09749276231198043</v>
      </c>
      <c r="BG1398" t="s">
        <v>74</v>
      </c>
      <c r="BH1398" t="s">
        <v>674</v>
      </c>
      <c r="BI1398">
        <v>24</v>
      </c>
      <c r="BJ1398" t="s">
        <v>4721</v>
      </c>
      <c r="BK1398" t="s">
        <v>316</v>
      </c>
      <c r="BL1398" t="s">
        <v>4722</v>
      </c>
      <c r="BM1398" t="s">
        <v>23569</v>
      </c>
      <c r="BN1398" t="s">
        <v>74</v>
      </c>
      <c r="BO1398" t="s">
        <v>767</v>
      </c>
      <c r="BP1398" t="s">
        <v>74</v>
      </c>
      <c r="BQ1398" t="s">
        <v>74</v>
      </c>
      <c r="BR1398" t="s">
        <v>102</v>
      </c>
      <c r="BS1398" t="s">
        <v>23570</v>
      </c>
      <c r="BT1398" t="str">
        <f>HYPERLINK("https%3A%2F%2Fwww.webofscience.com%2Fwos%2Fwoscc%2Ffull-record%2FWOS:001101891000001","View Full Record in Web of Science")</f>
        <v>View Full Record in Web of Science</v>
      </c>
    </row>
    <row r="1399" spans="1:72" x14ac:dyDescent="0.35">
      <c r="A1399" t="s">
        <v>72</v>
      </c>
      <c r="B1399" t="s">
        <v>23571</v>
      </c>
      <c r="C1399" t="s">
        <v>74</v>
      </c>
      <c r="D1399" t="s">
        <v>74</v>
      </c>
      <c r="E1399" t="s">
        <v>74</v>
      </c>
      <c r="F1399" t="s">
        <v>23572</v>
      </c>
      <c r="G1399" t="s">
        <v>74</v>
      </c>
      <c r="H1399" t="s">
        <v>74</v>
      </c>
      <c r="I1399" t="s">
        <v>23573</v>
      </c>
      <c r="J1399" t="s">
        <v>4286</v>
      </c>
      <c r="K1399" t="s">
        <v>74</v>
      </c>
      <c r="L1399" t="s">
        <v>74</v>
      </c>
      <c r="M1399" t="s">
        <v>78</v>
      </c>
      <c r="N1399" t="s">
        <v>2042</v>
      </c>
      <c r="O1399" t="s">
        <v>74</v>
      </c>
      <c r="P1399" t="s">
        <v>74</v>
      </c>
      <c r="Q1399" t="s">
        <v>74</v>
      </c>
      <c r="R1399" t="s">
        <v>74</v>
      </c>
      <c r="S1399" t="s">
        <v>74</v>
      </c>
      <c r="T1399" t="s">
        <v>23574</v>
      </c>
      <c r="U1399" t="s">
        <v>74</v>
      </c>
      <c r="V1399" t="s">
        <v>23575</v>
      </c>
      <c r="W1399" t="s">
        <v>23576</v>
      </c>
      <c r="X1399" t="s">
        <v>23577</v>
      </c>
      <c r="Y1399" t="s">
        <v>23578</v>
      </c>
      <c r="Z1399" t="s">
        <v>23579</v>
      </c>
      <c r="AA1399" t="s">
        <v>23580</v>
      </c>
      <c r="AB1399" t="s">
        <v>23581</v>
      </c>
      <c r="AC1399" t="s">
        <v>23582</v>
      </c>
      <c r="AD1399" t="s">
        <v>23583</v>
      </c>
      <c r="AE1399" t="s">
        <v>23584</v>
      </c>
      <c r="AF1399" t="s">
        <v>74</v>
      </c>
      <c r="AG1399">
        <v>9</v>
      </c>
      <c r="AH1399">
        <v>0</v>
      </c>
      <c r="AI1399">
        <v>0</v>
      </c>
      <c r="AJ1399">
        <v>14</v>
      </c>
      <c r="AK1399">
        <v>14</v>
      </c>
      <c r="AL1399" t="s">
        <v>171</v>
      </c>
      <c r="AM1399" t="s">
        <v>172</v>
      </c>
      <c r="AN1399" t="s">
        <v>173</v>
      </c>
      <c r="AO1399" t="s">
        <v>4295</v>
      </c>
      <c r="AP1399" t="s">
        <v>4296</v>
      </c>
      <c r="AQ1399" t="s">
        <v>74</v>
      </c>
      <c r="AR1399" t="s">
        <v>4297</v>
      </c>
      <c r="AS1399" t="s">
        <v>4298</v>
      </c>
      <c r="AT1399" t="s">
        <v>1275</v>
      </c>
      <c r="AU1399">
        <v>2024</v>
      </c>
      <c r="AV1399">
        <v>46</v>
      </c>
      <c r="AW1399">
        <v>6</v>
      </c>
      <c r="AX1399" t="s">
        <v>74</v>
      </c>
      <c r="AY1399" t="s">
        <v>74</v>
      </c>
      <c r="AZ1399" t="s">
        <v>74</v>
      </c>
      <c r="BA1399" t="s">
        <v>74</v>
      </c>
      <c r="BB1399">
        <v>816</v>
      </c>
      <c r="BC1399">
        <v>822</v>
      </c>
      <c r="BD1399" t="s">
        <v>74</v>
      </c>
      <c r="BE1399" t="s">
        <v>23585</v>
      </c>
      <c r="BF1399" t="str">
        <f>HYPERLINK("http://dx.doi.org/10.1177/10755470241254833","http://dx.doi.org/10.1177/10755470241254833")</f>
        <v>http://dx.doi.org/10.1177/10755470241254833</v>
      </c>
      <c r="BG1399" t="s">
        <v>74</v>
      </c>
      <c r="BH1399" t="s">
        <v>1467</v>
      </c>
      <c r="BI1399">
        <v>7</v>
      </c>
      <c r="BJ1399" t="s">
        <v>124</v>
      </c>
      <c r="BK1399" t="s">
        <v>99</v>
      </c>
      <c r="BL1399" t="s">
        <v>124</v>
      </c>
      <c r="BM1399" t="s">
        <v>23586</v>
      </c>
      <c r="BN1399" t="s">
        <v>74</v>
      </c>
      <c r="BO1399" t="s">
        <v>74</v>
      </c>
      <c r="BP1399" t="s">
        <v>74</v>
      </c>
      <c r="BQ1399" t="s">
        <v>74</v>
      </c>
      <c r="BR1399" t="s">
        <v>102</v>
      </c>
      <c r="BS1399" t="s">
        <v>23587</v>
      </c>
      <c r="BT1399" t="str">
        <f>HYPERLINK("https%3A%2F%2Fwww.webofscience.com%2Fwos%2Fwoscc%2Ffull-record%2FWOS:001226512100001","View Full Record in Web of Science")</f>
        <v>View Full Record in Web of Science</v>
      </c>
    </row>
    <row r="1400" spans="1:72" x14ac:dyDescent="0.35">
      <c r="A1400" t="s">
        <v>72</v>
      </c>
      <c r="B1400" t="s">
        <v>23588</v>
      </c>
      <c r="C1400" t="s">
        <v>74</v>
      </c>
      <c r="D1400" t="s">
        <v>74</v>
      </c>
      <c r="E1400" t="s">
        <v>74</v>
      </c>
      <c r="F1400" t="s">
        <v>23589</v>
      </c>
      <c r="G1400" t="s">
        <v>74</v>
      </c>
      <c r="H1400" t="s">
        <v>74</v>
      </c>
      <c r="I1400" t="s">
        <v>23590</v>
      </c>
      <c r="J1400" t="s">
        <v>23591</v>
      </c>
      <c r="K1400" t="s">
        <v>74</v>
      </c>
      <c r="L1400" t="s">
        <v>74</v>
      </c>
      <c r="M1400" t="s">
        <v>78</v>
      </c>
      <c r="N1400" t="s">
        <v>108</v>
      </c>
      <c r="O1400" t="s">
        <v>74</v>
      </c>
      <c r="P1400" t="s">
        <v>74</v>
      </c>
      <c r="Q1400" t="s">
        <v>74</v>
      </c>
      <c r="R1400" t="s">
        <v>74</v>
      </c>
      <c r="S1400" t="s">
        <v>74</v>
      </c>
      <c r="T1400" t="s">
        <v>23592</v>
      </c>
      <c r="U1400" t="s">
        <v>23593</v>
      </c>
      <c r="V1400" t="s">
        <v>23594</v>
      </c>
      <c r="W1400" t="s">
        <v>23595</v>
      </c>
      <c r="X1400" t="s">
        <v>23596</v>
      </c>
      <c r="Y1400" t="s">
        <v>23597</v>
      </c>
      <c r="Z1400" t="s">
        <v>23598</v>
      </c>
      <c r="AA1400" t="s">
        <v>23599</v>
      </c>
      <c r="AB1400" t="s">
        <v>74</v>
      </c>
      <c r="AC1400" t="s">
        <v>74</v>
      </c>
      <c r="AD1400" t="s">
        <v>74</v>
      </c>
      <c r="AE1400" t="s">
        <v>74</v>
      </c>
      <c r="AF1400" t="s">
        <v>74</v>
      </c>
      <c r="AG1400">
        <v>60</v>
      </c>
      <c r="AH1400">
        <v>2</v>
      </c>
      <c r="AI1400">
        <v>2</v>
      </c>
      <c r="AJ1400">
        <v>3</v>
      </c>
      <c r="AK1400">
        <v>11</v>
      </c>
      <c r="AL1400" t="s">
        <v>665</v>
      </c>
      <c r="AM1400" t="s">
        <v>2922</v>
      </c>
      <c r="AN1400" t="s">
        <v>2923</v>
      </c>
      <c r="AO1400" t="s">
        <v>23600</v>
      </c>
      <c r="AP1400" t="s">
        <v>23601</v>
      </c>
      <c r="AQ1400" t="s">
        <v>74</v>
      </c>
      <c r="AR1400" t="s">
        <v>23602</v>
      </c>
      <c r="AS1400" t="s">
        <v>23603</v>
      </c>
      <c r="AT1400" t="s">
        <v>232</v>
      </c>
      <c r="AU1400">
        <v>2024</v>
      </c>
      <c r="AV1400">
        <v>52</v>
      </c>
      <c r="AW1400">
        <v>1</v>
      </c>
      <c r="AX1400" t="s">
        <v>74</v>
      </c>
      <c r="AY1400" t="s">
        <v>74</v>
      </c>
      <c r="AZ1400" t="s">
        <v>74</v>
      </c>
      <c r="BA1400" t="s">
        <v>74</v>
      </c>
      <c r="BB1400">
        <v>191</v>
      </c>
      <c r="BC1400">
        <v>206</v>
      </c>
      <c r="BD1400" t="s">
        <v>74</v>
      </c>
      <c r="BE1400" t="s">
        <v>23604</v>
      </c>
      <c r="BF1400" t="str">
        <f>HYPERLINK("http://dx.doi.org/10.1007/s10643-022-01426-y","http://dx.doi.org/10.1007/s10643-022-01426-y")</f>
        <v>http://dx.doi.org/10.1007/s10643-022-01426-y</v>
      </c>
      <c r="BG1400" t="s">
        <v>74</v>
      </c>
      <c r="BH1400" t="s">
        <v>366</v>
      </c>
      <c r="BI1400">
        <v>16</v>
      </c>
      <c r="BJ1400" t="s">
        <v>787</v>
      </c>
      <c r="BK1400" t="s">
        <v>99</v>
      </c>
      <c r="BL1400" t="s">
        <v>787</v>
      </c>
      <c r="BM1400" t="s">
        <v>23605</v>
      </c>
      <c r="BN1400">
        <v>36439905</v>
      </c>
      <c r="BO1400" t="s">
        <v>12267</v>
      </c>
      <c r="BP1400" t="s">
        <v>74</v>
      </c>
      <c r="BQ1400" t="s">
        <v>74</v>
      </c>
      <c r="BR1400" t="s">
        <v>102</v>
      </c>
      <c r="BS1400" t="s">
        <v>23606</v>
      </c>
      <c r="BT1400" t="str">
        <f>HYPERLINK("https%3A%2F%2Fwww.webofscience.com%2Fwos%2Fwoscc%2Ffull-record%2FWOS:000886187700001","View Full Record in Web of Science")</f>
        <v>View Full Record in Web of Science</v>
      </c>
    </row>
    <row r="1401" spans="1:72" x14ac:dyDescent="0.35">
      <c r="A1401" t="s">
        <v>72</v>
      </c>
      <c r="B1401" t="s">
        <v>23607</v>
      </c>
      <c r="C1401" t="s">
        <v>74</v>
      </c>
      <c r="D1401" t="s">
        <v>74</v>
      </c>
      <c r="E1401" t="s">
        <v>74</v>
      </c>
      <c r="F1401" t="s">
        <v>23608</v>
      </c>
      <c r="G1401" t="s">
        <v>74</v>
      </c>
      <c r="H1401" t="s">
        <v>74</v>
      </c>
      <c r="I1401" t="s">
        <v>23609</v>
      </c>
      <c r="J1401" t="s">
        <v>16332</v>
      </c>
      <c r="K1401" t="s">
        <v>74</v>
      </c>
      <c r="L1401" t="s">
        <v>74</v>
      </c>
      <c r="M1401" t="s">
        <v>78</v>
      </c>
      <c r="N1401" t="s">
        <v>108</v>
      </c>
      <c r="O1401" t="s">
        <v>74</v>
      </c>
      <c r="P1401" t="s">
        <v>74</v>
      </c>
      <c r="Q1401" t="s">
        <v>74</v>
      </c>
      <c r="R1401" t="s">
        <v>74</v>
      </c>
      <c r="S1401" t="s">
        <v>74</v>
      </c>
      <c r="T1401" t="s">
        <v>74</v>
      </c>
      <c r="U1401" t="s">
        <v>74</v>
      </c>
      <c r="V1401" t="s">
        <v>23610</v>
      </c>
      <c r="W1401" t="s">
        <v>23611</v>
      </c>
      <c r="X1401" t="s">
        <v>23612</v>
      </c>
      <c r="Y1401" t="s">
        <v>23613</v>
      </c>
      <c r="Z1401" t="s">
        <v>23614</v>
      </c>
      <c r="AA1401" t="s">
        <v>74</v>
      </c>
      <c r="AB1401" t="s">
        <v>74</v>
      </c>
      <c r="AC1401" t="s">
        <v>23615</v>
      </c>
      <c r="AD1401" t="s">
        <v>23616</v>
      </c>
      <c r="AE1401" t="s">
        <v>23617</v>
      </c>
      <c r="AF1401" t="s">
        <v>74</v>
      </c>
      <c r="AG1401">
        <v>11</v>
      </c>
      <c r="AH1401">
        <v>0</v>
      </c>
      <c r="AI1401">
        <v>0</v>
      </c>
      <c r="AJ1401">
        <v>3</v>
      </c>
      <c r="AK1401">
        <v>4</v>
      </c>
      <c r="AL1401" t="s">
        <v>8334</v>
      </c>
      <c r="AM1401" t="s">
        <v>291</v>
      </c>
      <c r="AN1401" t="s">
        <v>8335</v>
      </c>
      <c r="AO1401" t="s">
        <v>16336</v>
      </c>
      <c r="AP1401" t="s">
        <v>16337</v>
      </c>
      <c r="AQ1401" t="s">
        <v>74</v>
      </c>
      <c r="AR1401" t="s">
        <v>16338</v>
      </c>
      <c r="AS1401" t="s">
        <v>16339</v>
      </c>
      <c r="AT1401" t="s">
        <v>23618</v>
      </c>
      <c r="AU1401">
        <v>2024</v>
      </c>
      <c r="AV1401">
        <v>19</v>
      </c>
      <c r="AW1401">
        <v>6</v>
      </c>
      <c r="AX1401" t="s">
        <v>74</v>
      </c>
      <c r="AY1401" t="s">
        <v>74</v>
      </c>
      <c r="AZ1401" t="s">
        <v>74</v>
      </c>
      <c r="BA1401" t="s">
        <v>74</v>
      </c>
      <c r="BB1401">
        <v>541</v>
      </c>
      <c r="BC1401">
        <v>546</v>
      </c>
      <c r="BD1401" t="s">
        <v>74</v>
      </c>
      <c r="BE1401" t="s">
        <v>23619</v>
      </c>
      <c r="BF1401" t="str">
        <f>HYPERLINK("http://dx.doi.org/10.1093/jiplp/jpae038","http://dx.doi.org/10.1093/jiplp/jpae038")</f>
        <v>http://dx.doi.org/10.1093/jiplp/jpae038</v>
      </c>
      <c r="BG1401" t="s">
        <v>74</v>
      </c>
      <c r="BH1401" t="s">
        <v>123</v>
      </c>
      <c r="BI1401">
        <v>6</v>
      </c>
      <c r="BJ1401" t="s">
        <v>10320</v>
      </c>
      <c r="BK1401" t="s">
        <v>125</v>
      </c>
      <c r="BL1401" t="s">
        <v>8015</v>
      </c>
      <c r="BM1401" t="s">
        <v>23620</v>
      </c>
      <c r="BN1401" t="s">
        <v>74</v>
      </c>
      <c r="BO1401" t="s">
        <v>156</v>
      </c>
      <c r="BP1401" t="s">
        <v>74</v>
      </c>
      <c r="BQ1401" t="s">
        <v>74</v>
      </c>
      <c r="BR1401" t="s">
        <v>102</v>
      </c>
      <c r="BS1401" t="s">
        <v>23621</v>
      </c>
      <c r="BT1401" t="str">
        <f>HYPERLINK("https%3A%2F%2Fwww.webofscience.com%2Fwos%2Fwoscc%2Ffull-record%2FWOS:001189261700001","View Full Record in Web of Science")</f>
        <v>View Full Record in Web of Science</v>
      </c>
    </row>
    <row r="1402" spans="1:72" x14ac:dyDescent="0.35">
      <c r="A1402" t="s">
        <v>72</v>
      </c>
      <c r="B1402" t="s">
        <v>23622</v>
      </c>
      <c r="C1402" t="s">
        <v>74</v>
      </c>
      <c r="D1402" t="s">
        <v>74</v>
      </c>
      <c r="E1402" t="s">
        <v>74</v>
      </c>
      <c r="F1402" t="s">
        <v>23623</v>
      </c>
      <c r="G1402" t="s">
        <v>74</v>
      </c>
      <c r="H1402" t="s">
        <v>74</v>
      </c>
      <c r="I1402" t="s">
        <v>23624</v>
      </c>
      <c r="J1402" t="s">
        <v>12248</v>
      </c>
      <c r="K1402" t="s">
        <v>74</v>
      </c>
      <c r="L1402" t="s">
        <v>74</v>
      </c>
      <c r="M1402" t="s">
        <v>78</v>
      </c>
      <c r="N1402" t="s">
        <v>79</v>
      </c>
      <c r="O1402" t="s">
        <v>74</v>
      </c>
      <c r="P1402" t="s">
        <v>74</v>
      </c>
      <c r="Q1402" t="s">
        <v>74</v>
      </c>
      <c r="R1402" t="s">
        <v>74</v>
      </c>
      <c r="S1402" t="s">
        <v>74</v>
      </c>
      <c r="T1402" t="s">
        <v>23625</v>
      </c>
      <c r="U1402" t="s">
        <v>74</v>
      </c>
      <c r="V1402" t="s">
        <v>23626</v>
      </c>
      <c r="W1402" t="s">
        <v>23627</v>
      </c>
      <c r="X1402" t="s">
        <v>23628</v>
      </c>
      <c r="Y1402" t="s">
        <v>23629</v>
      </c>
      <c r="Z1402" t="s">
        <v>23630</v>
      </c>
      <c r="AA1402" t="s">
        <v>23631</v>
      </c>
      <c r="AB1402" t="s">
        <v>23632</v>
      </c>
      <c r="AC1402" t="s">
        <v>23633</v>
      </c>
      <c r="AD1402" t="s">
        <v>23634</v>
      </c>
      <c r="AE1402" t="s">
        <v>2921</v>
      </c>
      <c r="AF1402" t="s">
        <v>74</v>
      </c>
      <c r="AG1402">
        <v>54</v>
      </c>
      <c r="AH1402">
        <v>0</v>
      </c>
      <c r="AI1402">
        <v>0</v>
      </c>
      <c r="AJ1402">
        <v>22</v>
      </c>
      <c r="AK1402">
        <v>45</v>
      </c>
      <c r="AL1402" t="s">
        <v>665</v>
      </c>
      <c r="AM1402" t="s">
        <v>666</v>
      </c>
      <c r="AN1402" t="s">
        <v>667</v>
      </c>
      <c r="AO1402" t="s">
        <v>12261</v>
      </c>
      <c r="AP1402" t="s">
        <v>12262</v>
      </c>
      <c r="AQ1402" t="s">
        <v>74</v>
      </c>
      <c r="AR1402" t="s">
        <v>12263</v>
      </c>
      <c r="AS1402" t="s">
        <v>12264</v>
      </c>
      <c r="AT1402" t="s">
        <v>7512</v>
      </c>
      <c r="AU1402">
        <v>2023</v>
      </c>
      <c r="AV1402" t="s">
        <v>74</v>
      </c>
      <c r="AW1402" t="s">
        <v>74</v>
      </c>
      <c r="AX1402" t="s">
        <v>74</v>
      </c>
      <c r="AY1402" t="s">
        <v>74</v>
      </c>
      <c r="AZ1402" t="s">
        <v>74</v>
      </c>
      <c r="BA1402" t="s">
        <v>74</v>
      </c>
      <c r="BB1402" t="s">
        <v>74</v>
      </c>
      <c r="BC1402" t="s">
        <v>74</v>
      </c>
      <c r="BD1402" t="s">
        <v>74</v>
      </c>
      <c r="BE1402" t="s">
        <v>23635</v>
      </c>
      <c r="BF1402" t="str">
        <f>HYPERLINK("http://dx.doi.org/10.1007/s10639-023-12396-y","http://dx.doi.org/10.1007/s10639-023-12396-y")</f>
        <v>http://dx.doi.org/10.1007/s10639-023-12396-y</v>
      </c>
      <c r="BG1402" t="s">
        <v>74</v>
      </c>
      <c r="BH1402" t="s">
        <v>1449</v>
      </c>
      <c r="BI1402">
        <v>28</v>
      </c>
      <c r="BJ1402" t="s">
        <v>787</v>
      </c>
      <c r="BK1402" t="s">
        <v>99</v>
      </c>
      <c r="BL1402" t="s">
        <v>787</v>
      </c>
      <c r="BM1402" t="s">
        <v>23636</v>
      </c>
      <c r="BN1402" t="s">
        <v>74</v>
      </c>
      <c r="BO1402" t="s">
        <v>74</v>
      </c>
      <c r="BP1402" t="s">
        <v>74</v>
      </c>
      <c r="BQ1402" t="s">
        <v>74</v>
      </c>
      <c r="BR1402" t="s">
        <v>102</v>
      </c>
      <c r="BS1402" t="s">
        <v>23637</v>
      </c>
      <c r="BT1402" t="str">
        <f>HYPERLINK("https%3A%2F%2Fwww.webofscience.com%2Fwos%2Fwoscc%2Ffull-record%2FWOS:001127147500002","View Full Record in Web of Science")</f>
        <v>View Full Record in Web of Science</v>
      </c>
    </row>
    <row r="1403" spans="1:72" x14ac:dyDescent="0.35">
      <c r="A1403" t="s">
        <v>72</v>
      </c>
      <c r="B1403" t="s">
        <v>4061</v>
      </c>
      <c r="C1403" t="s">
        <v>74</v>
      </c>
      <c r="D1403" t="s">
        <v>74</v>
      </c>
      <c r="E1403" t="s">
        <v>74</v>
      </c>
      <c r="F1403" t="s">
        <v>4062</v>
      </c>
      <c r="G1403" t="s">
        <v>74</v>
      </c>
      <c r="H1403" t="s">
        <v>74</v>
      </c>
      <c r="I1403" t="s">
        <v>23638</v>
      </c>
      <c r="J1403" t="s">
        <v>216</v>
      </c>
      <c r="K1403" t="s">
        <v>74</v>
      </c>
      <c r="L1403" t="s">
        <v>74</v>
      </c>
      <c r="M1403" t="s">
        <v>78</v>
      </c>
      <c r="N1403" t="s">
        <v>108</v>
      </c>
      <c r="O1403" t="s">
        <v>74</v>
      </c>
      <c r="P1403" t="s">
        <v>74</v>
      </c>
      <c r="Q1403" t="s">
        <v>74</v>
      </c>
      <c r="R1403" t="s">
        <v>74</v>
      </c>
      <c r="S1403" t="s">
        <v>74</v>
      </c>
      <c r="T1403" t="s">
        <v>23639</v>
      </c>
      <c r="U1403" t="s">
        <v>23640</v>
      </c>
      <c r="V1403" t="s">
        <v>23641</v>
      </c>
      <c r="W1403" t="s">
        <v>23642</v>
      </c>
      <c r="X1403" t="s">
        <v>23643</v>
      </c>
      <c r="Y1403" t="s">
        <v>18910</v>
      </c>
      <c r="Z1403" t="s">
        <v>1519</v>
      </c>
      <c r="AA1403" t="s">
        <v>1520</v>
      </c>
      <c r="AB1403" t="s">
        <v>4069</v>
      </c>
      <c r="AC1403" t="s">
        <v>23644</v>
      </c>
      <c r="AD1403" t="s">
        <v>23645</v>
      </c>
      <c r="AE1403" t="s">
        <v>23646</v>
      </c>
      <c r="AF1403" t="s">
        <v>74</v>
      </c>
      <c r="AG1403">
        <v>50</v>
      </c>
      <c r="AH1403">
        <v>40</v>
      </c>
      <c r="AI1403">
        <v>47</v>
      </c>
      <c r="AJ1403">
        <v>19</v>
      </c>
      <c r="AK1403">
        <v>129</v>
      </c>
      <c r="AL1403" t="s">
        <v>226</v>
      </c>
      <c r="AM1403" t="s">
        <v>227</v>
      </c>
      <c r="AN1403" t="s">
        <v>228</v>
      </c>
      <c r="AO1403" t="s">
        <v>229</v>
      </c>
      <c r="AP1403" t="s">
        <v>74</v>
      </c>
      <c r="AQ1403" t="s">
        <v>74</v>
      </c>
      <c r="AR1403" t="s">
        <v>230</v>
      </c>
      <c r="AS1403" t="s">
        <v>231</v>
      </c>
      <c r="AT1403" t="s">
        <v>930</v>
      </c>
      <c r="AU1403">
        <v>2021</v>
      </c>
      <c r="AV1403">
        <v>7</v>
      </c>
      <c r="AW1403">
        <v>2</v>
      </c>
      <c r="AX1403" t="s">
        <v>74</v>
      </c>
      <c r="AY1403" t="s">
        <v>74</v>
      </c>
      <c r="AZ1403" t="s">
        <v>74</v>
      </c>
      <c r="BA1403" t="s">
        <v>74</v>
      </c>
      <c r="BB1403" t="s">
        <v>74</v>
      </c>
      <c r="BC1403" t="s">
        <v>74</v>
      </c>
      <c r="BD1403">
        <v>2.056305121100882E+16</v>
      </c>
      <c r="BE1403" t="s">
        <v>23647</v>
      </c>
      <c r="BF1403" t="str">
        <f>HYPERLINK("http://dx.doi.org/10.1177/20563051211008821","http://dx.doi.org/10.1177/20563051211008821")</f>
        <v>http://dx.doi.org/10.1177/20563051211008821</v>
      </c>
      <c r="BG1403" t="s">
        <v>74</v>
      </c>
      <c r="BH1403" t="s">
        <v>74</v>
      </c>
      <c r="BI1403">
        <v>14</v>
      </c>
      <c r="BJ1403" t="s">
        <v>124</v>
      </c>
      <c r="BK1403" t="s">
        <v>99</v>
      </c>
      <c r="BL1403" t="s">
        <v>124</v>
      </c>
      <c r="BM1403" t="s">
        <v>23648</v>
      </c>
      <c r="BN1403" t="s">
        <v>74</v>
      </c>
      <c r="BO1403" t="s">
        <v>235</v>
      </c>
      <c r="BP1403" t="s">
        <v>74</v>
      </c>
      <c r="BQ1403" t="s">
        <v>74</v>
      </c>
      <c r="BR1403" t="s">
        <v>102</v>
      </c>
      <c r="BS1403" t="s">
        <v>23649</v>
      </c>
      <c r="BT1403" t="str">
        <f>HYPERLINK("https%3A%2F%2Fwww.webofscience.com%2Fwos%2Fwoscc%2Ffull-record%2FWOS:000639957000001","View Full Record in Web of Science")</f>
        <v>View Full Record in Web of Science</v>
      </c>
    </row>
    <row r="1404" spans="1:72" x14ac:dyDescent="0.35">
      <c r="A1404" t="s">
        <v>72</v>
      </c>
      <c r="B1404" t="s">
        <v>23650</v>
      </c>
      <c r="C1404" t="s">
        <v>74</v>
      </c>
      <c r="D1404" t="s">
        <v>74</v>
      </c>
      <c r="E1404" t="s">
        <v>74</v>
      </c>
      <c r="F1404" t="s">
        <v>23651</v>
      </c>
      <c r="G1404" t="s">
        <v>74</v>
      </c>
      <c r="H1404" t="s">
        <v>74</v>
      </c>
      <c r="I1404" t="s">
        <v>23652</v>
      </c>
      <c r="J1404" t="s">
        <v>13206</v>
      </c>
      <c r="K1404" t="s">
        <v>74</v>
      </c>
      <c r="L1404" t="s">
        <v>74</v>
      </c>
      <c r="M1404" t="s">
        <v>78</v>
      </c>
      <c r="N1404" t="s">
        <v>108</v>
      </c>
      <c r="O1404" t="s">
        <v>74</v>
      </c>
      <c r="P1404" t="s">
        <v>74</v>
      </c>
      <c r="Q1404" t="s">
        <v>74</v>
      </c>
      <c r="R1404" t="s">
        <v>74</v>
      </c>
      <c r="S1404" t="s">
        <v>74</v>
      </c>
      <c r="T1404" t="s">
        <v>23653</v>
      </c>
      <c r="U1404" t="s">
        <v>74</v>
      </c>
      <c r="V1404" t="s">
        <v>23654</v>
      </c>
      <c r="W1404" t="s">
        <v>23655</v>
      </c>
      <c r="X1404" t="s">
        <v>23656</v>
      </c>
      <c r="Y1404" t="s">
        <v>23657</v>
      </c>
      <c r="Z1404" t="s">
        <v>23658</v>
      </c>
      <c r="AA1404" t="s">
        <v>74</v>
      </c>
      <c r="AB1404" t="s">
        <v>74</v>
      </c>
      <c r="AC1404" t="s">
        <v>23659</v>
      </c>
      <c r="AD1404" t="s">
        <v>23660</v>
      </c>
      <c r="AE1404" t="s">
        <v>23661</v>
      </c>
      <c r="AF1404" t="s">
        <v>74</v>
      </c>
      <c r="AG1404">
        <v>73</v>
      </c>
      <c r="AH1404">
        <v>0</v>
      </c>
      <c r="AI1404">
        <v>0</v>
      </c>
      <c r="AJ1404">
        <v>0</v>
      </c>
      <c r="AK1404">
        <v>0</v>
      </c>
      <c r="AL1404" t="s">
        <v>171</v>
      </c>
      <c r="AM1404" t="s">
        <v>172</v>
      </c>
      <c r="AN1404" t="s">
        <v>173</v>
      </c>
      <c r="AO1404" t="s">
        <v>13213</v>
      </c>
      <c r="AP1404" t="s">
        <v>13214</v>
      </c>
      <c r="AQ1404" t="s">
        <v>74</v>
      </c>
      <c r="AR1404" t="s">
        <v>13215</v>
      </c>
      <c r="AS1404" t="s">
        <v>13216</v>
      </c>
      <c r="AT1404" t="s">
        <v>178</v>
      </c>
      <c r="AU1404">
        <v>2024</v>
      </c>
      <c r="AV1404">
        <v>30</v>
      </c>
      <c r="AW1404">
        <v>1</v>
      </c>
      <c r="AX1404" t="s">
        <v>74</v>
      </c>
      <c r="AY1404" t="s">
        <v>74</v>
      </c>
      <c r="AZ1404" t="s">
        <v>74</v>
      </c>
      <c r="BA1404" t="s">
        <v>74</v>
      </c>
      <c r="BB1404">
        <v>605</v>
      </c>
      <c r="BC1404">
        <v>624</v>
      </c>
      <c r="BD1404" t="s">
        <v>74</v>
      </c>
      <c r="BE1404" t="s">
        <v>23662</v>
      </c>
      <c r="BF1404" t="str">
        <f>HYPERLINK("http://dx.doi.org/10.1177/13548565231179963","http://dx.doi.org/10.1177/13548565231179963")</f>
        <v>http://dx.doi.org/10.1177/13548565231179963</v>
      </c>
      <c r="BG1404" t="s">
        <v>74</v>
      </c>
      <c r="BH1404" t="s">
        <v>74</v>
      </c>
      <c r="BI1404">
        <v>20</v>
      </c>
      <c r="BJ1404" t="s">
        <v>124</v>
      </c>
      <c r="BK1404" t="s">
        <v>99</v>
      </c>
      <c r="BL1404" t="s">
        <v>124</v>
      </c>
      <c r="BM1404" t="s">
        <v>23663</v>
      </c>
      <c r="BN1404" t="s">
        <v>74</v>
      </c>
      <c r="BO1404" t="s">
        <v>156</v>
      </c>
      <c r="BP1404" t="s">
        <v>74</v>
      </c>
      <c r="BQ1404" t="s">
        <v>74</v>
      </c>
      <c r="BR1404" t="s">
        <v>102</v>
      </c>
      <c r="BS1404" t="s">
        <v>23664</v>
      </c>
      <c r="BT1404" t="str">
        <f>HYPERLINK("https%3A%2F%2Fwww.webofscience.com%2Fwos%2Fwoscc%2Ffull-record%2FWOS:001343579100033","View Full Record in Web of Science")</f>
        <v>View Full Record in Web of Science</v>
      </c>
    </row>
    <row r="1405" spans="1:72" x14ac:dyDescent="0.35">
      <c r="A1405" t="s">
        <v>72</v>
      </c>
      <c r="B1405" t="s">
        <v>23665</v>
      </c>
      <c r="C1405" t="s">
        <v>74</v>
      </c>
      <c r="D1405" t="s">
        <v>74</v>
      </c>
      <c r="E1405" t="s">
        <v>74</v>
      </c>
      <c r="F1405" t="s">
        <v>23666</v>
      </c>
      <c r="G1405" t="s">
        <v>74</v>
      </c>
      <c r="H1405" t="s">
        <v>74</v>
      </c>
      <c r="I1405" t="s">
        <v>23667</v>
      </c>
      <c r="J1405" t="s">
        <v>795</v>
      </c>
      <c r="K1405" t="s">
        <v>74</v>
      </c>
      <c r="L1405" t="s">
        <v>74</v>
      </c>
      <c r="M1405" t="s">
        <v>78</v>
      </c>
      <c r="N1405" t="s">
        <v>108</v>
      </c>
      <c r="O1405" t="s">
        <v>74</v>
      </c>
      <c r="P1405" t="s">
        <v>74</v>
      </c>
      <c r="Q1405" t="s">
        <v>74</v>
      </c>
      <c r="R1405" t="s">
        <v>74</v>
      </c>
      <c r="S1405" t="s">
        <v>74</v>
      </c>
      <c r="T1405" t="s">
        <v>23668</v>
      </c>
      <c r="U1405" t="s">
        <v>23669</v>
      </c>
      <c r="V1405" t="s">
        <v>23670</v>
      </c>
      <c r="W1405" t="s">
        <v>23671</v>
      </c>
      <c r="X1405" t="s">
        <v>23672</v>
      </c>
      <c r="Y1405" t="s">
        <v>23673</v>
      </c>
      <c r="Z1405" t="s">
        <v>23674</v>
      </c>
      <c r="AA1405" t="s">
        <v>23675</v>
      </c>
      <c r="AB1405" t="s">
        <v>23676</v>
      </c>
      <c r="AC1405" t="s">
        <v>23677</v>
      </c>
      <c r="AD1405" t="s">
        <v>4847</v>
      </c>
      <c r="AE1405" t="s">
        <v>23678</v>
      </c>
      <c r="AF1405" t="s">
        <v>74</v>
      </c>
      <c r="AG1405">
        <v>78</v>
      </c>
      <c r="AH1405">
        <v>4</v>
      </c>
      <c r="AI1405">
        <v>4</v>
      </c>
      <c r="AJ1405">
        <v>20</v>
      </c>
      <c r="AK1405">
        <v>98</v>
      </c>
      <c r="AL1405" t="s">
        <v>1195</v>
      </c>
      <c r="AM1405" t="s">
        <v>1196</v>
      </c>
      <c r="AN1405" t="s">
        <v>1197</v>
      </c>
      <c r="AO1405" t="s">
        <v>74</v>
      </c>
      <c r="AP1405" t="s">
        <v>23679</v>
      </c>
      <c r="AQ1405" t="s">
        <v>74</v>
      </c>
      <c r="AR1405" t="s">
        <v>795</v>
      </c>
      <c r="AS1405" t="s">
        <v>23680</v>
      </c>
      <c r="AT1405" t="s">
        <v>594</v>
      </c>
      <c r="AU1405">
        <v>2022</v>
      </c>
      <c r="AV1405">
        <v>13</v>
      </c>
      <c r="AW1405">
        <v>10</v>
      </c>
      <c r="AX1405" t="s">
        <v>74</v>
      </c>
      <c r="AY1405" t="s">
        <v>74</v>
      </c>
      <c r="AZ1405" t="s">
        <v>74</v>
      </c>
      <c r="BA1405" t="s">
        <v>74</v>
      </c>
      <c r="BB1405" t="s">
        <v>74</v>
      </c>
      <c r="BC1405" t="s">
        <v>74</v>
      </c>
      <c r="BD1405">
        <v>461</v>
      </c>
      <c r="BE1405" t="s">
        <v>23681</v>
      </c>
      <c r="BF1405" t="str">
        <f>HYPERLINK("http://dx.doi.org/10.3390/info13100461","http://dx.doi.org/10.3390/info13100461")</f>
        <v>http://dx.doi.org/10.3390/info13100461</v>
      </c>
      <c r="BG1405" t="s">
        <v>74</v>
      </c>
      <c r="BH1405" t="s">
        <v>74</v>
      </c>
      <c r="BI1405">
        <v>19</v>
      </c>
      <c r="BJ1405" t="s">
        <v>5789</v>
      </c>
      <c r="BK1405" t="s">
        <v>125</v>
      </c>
      <c r="BL1405" t="s">
        <v>210</v>
      </c>
      <c r="BM1405" t="s">
        <v>23682</v>
      </c>
      <c r="BN1405" t="s">
        <v>74</v>
      </c>
      <c r="BO1405" t="s">
        <v>235</v>
      </c>
      <c r="BP1405" t="s">
        <v>74</v>
      </c>
      <c r="BQ1405" t="s">
        <v>74</v>
      </c>
      <c r="BR1405" t="s">
        <v>102</v>
      </c>
      <c r="BS1405" t="s">
        <v>23683</v>
      </c>
      <c r="BT1405" t="str">
        <f>HYPERLINK("https%3A%2F%2Fwww.webofscience.com%2Fwos%2Fwoscc%2Ffull-record%2FWOS:000872852600001","View Full Record in Web of Science")</f>
        <v>View Full Record in Web of Science</v>
      </c>
    </row>
    <row r="1406" spans="1:72" x14ac:dyDescent="0.35">
      <c r="A1406" t="s">
        <v>72</v>
      </c>
      <c r="B1406" t="s">
        <v>23684</v>
      </c>
      <c r="C1406" t="s">
        <v>74</v>
      </c>
      <c r="D1406" t="s">
        <v>74</v>
      </c>
      <c r="E1406" t="s">
        <v>74</v>
      </c>
      <c r="F1406" t="s">
        <v>23685</v>
      </c>
      <c r="G1406" t="s">
        <v>74</v>
      </c>
      <c r="H1406" t="s">
        <v>74</v>
      </c>
      <c r="I1406" t="s">
        <v>23686</v>
      </c>
      <c r="J1406" t="s">
        <v>23687</v>
      </c>
      <c r="K1406" t="s">
        <v>74</v>
      </c>
      <c r="L1406" t="s">
        <v>74</v>
      </c>
      <c r="M1406" t="s">
        <v>78</v>
      </c>
      <c r="N1406" t="s">
        <v>108</v>
      </c>
      <c r="O1406" t="s">
        <v>74</v>
      </c>
      <c r="P1406" t="s">
        <v>74</v>
      </c>
      <c r="Q1406" t="s">
        <v>74</v>
      </c>
      <c r="R1406" t="s">
        <v>74</v>
      </c>
      <c r="S1406" t="s">
        <v>74</v>
      </c>
      <c r="T1406" t="s">
        <v>23688</v>
      </c>
      <c r="U1406" t="s">
        <v>23689</v>
      </c>
      <c r="V1406" t="s">
        <v>23690</v>
      </c>
      <c r="W1406" t="s">
        <v>23691</v>
      </c>
      <c r="X1406" t="s">
        <v>23692</v>
      </c>
      <c r="Y1406" t="s">
        <v>23693</v>
      </c>
      <c r="Z1406" t="s">
        <v>23694</v>
      </c>
      <c r="AA1406" t="s">
        <v>23695</v>
      </c>
      <c r="AB1406" t="s">
        <v>23696</v>
      </c>
      <c r="AC1406" t="s">
        <v>23697</v>
      </c>
      <c r="AD1406" t="s">
        <v>23697</v>
      </c>
      <c r="AE1406" t="s">
        <v>23698</v>
      </c>
      <c r="AF1406" t="s">
        <v>74</v>
      </c>
      <c r="AG1406">
        <v>62</v>
      </c>
      <c r="AH1406">
        <v>3</v>
      </c>
      <c r="AI1406">
        <v>3</v>
      </c>
      <c r="AJ1406">
        <v>2</v>
      </c>
      <c r="AK1406">
        <v>14</v>
      </c>
      <c r="AL1406" t="s">
        <v>23699</v>
      </c>
      <c r="AM1406" t="s">
        <v>23700</v>
      </c>
      <c r="AN1406" t="s">
        <v>23701</v>
      </c>
      <c r="AO1406" t="s">
        <v>23702</v>
      </c>
      <c r="AP1406" t="s">
        <v>23703</v>
      </c>
      <c r="AQ1406" t="s">
        <v>74</v>
      </c>
      <c r="AR1406" t="s">
        <v>23704</v>
      </c>
      <c r="AS1406" t="s">
        <v>23705</v>
      </c>
      <c r="AT1406" t="s">
        <v>74</v>
      </c>
      <c r="AU1406">
        <v>2022</v>
      </c>
      <c r="AV1406">
        <v>33</v>
      </c>
      <c r="AW1406">
        <v>1</v>
      </c>
      <c r="AX1406" t="s">
        <v>74</v>
      </c>
      <c r="AY1406" t="s">
        <v>74</v>
      </c>
      <c r="AZ1406" t="s">
        <v>74</v>
      </c>
      <c r="BA1406" t="s">
        <v>74</v>
      </c>
      <c r="BB1406" t="s">
        <v>74</v>
      </c>
      <c r="BC1406" t="s">
        <v>74</v>
      </c>
      <c r="BD1406" t="s">
        <v>74</v>
      </c>
      <c r="BE1406" t="s">
        <v>23706</v>
      </c>
      <c r="BF1406" t="str">
        <f>HYPERLINK("http://dx.doi.org/10.4404/hystrix-00455-2021","http://dx.doi.org/10.4404/hystrix-00455-2021")</f>
        <v>http://dx.doi.org/10.4404/hystrix-00455-2021</v>
      </c>
      <c r="BG1406" t="s">
        <v>74</v>
      </c>
      <c r="BH1406" t="s">
        <v>74</v>
      </c>
      <c r="BI1406">
        <v>7</v>
      </c>
      <c r="BJ1406" t="s">
        <v>9856</v>
      </c>
      <c r="BK1406" t="s">
        <v>209</v>
      </c>
      <c r="BL1406" t="s">
        <v>9856</v>
      </c>
      <c r="BM1406" t="s">
        <v>23707</v>
      </c>
      <c r="BN1406" t="s">
        <v>74</v>
      </c>
      <c r="BO1406" t="s">
        <v>74</v>
      </c>
      <c r="BP1406" t="s">
        <v>74</v>
      </c>
      <c r="BQ1406" t="s">
        <v>74</v>
      </c>
      <c r="BR1406" t="s">
        <v>102</v>
      </c>
      <c r="BS1406" t="s">
        <v>23708</v>
      </c>
      <c r="BT1406" t="str">
        <f>HYPERLINK("https%3A%2F%2Fwww.webofscience.com%2Fwos%2Fwoscc%2Ffull-record%2FWOS:000878989100001","View Full Record in Web of Science")</f>
        <v>View Full Record in Web of Science</v>
      </c>
    </row>
    <row r="1407" spans="1:72" x14ac:dyDescent="0.35">
      <c r="A1407" t="s">
        <v>72</v>
      </c>
      <c r="B1407" t="s">
        <v>23709</v>
      </c>
      <c r="C1407" t="s">
        <v>74</v>
      </c>
      <c r="D1407" t="s">
        <v>74</v>
      </c>
      <c r="E1407" t="s">
        <v>74</v>
      </c>
      <c r="F1407" t="s">
        <v>23710</v>
      </c>
      <c r="G1407" t="s">
        <v>74</v>
      </c>
      <c r="H1407" t="s">
        <v>74</v>
      </c>
      <c r="I1407" t="s">
        <v>23711</v>
      </c>
      <c r="J1407" t="s">
        <v>23712</v>
      </c>
      <c r="K1407" t="s">
        <v>74</v>
      </c>
      <c r="L1407" t="s">
        <v>74</v>
      </c>
      <c r="M1407" t="s">
        <v>78</v>
      </c>
      <c r="N1407" t="s">
        <v>108</v>
      </c>
      <c r="O1407" t="s">
        <v>74</v>
      </c>
      <c r="P1407" t="s">
        <v>74</v>
      </c>
      <c r="Q1407" t="s">
        <v>74</v>
      </c>
      <c r="R1407" t="s">
        <v>74</v>
      </c>
      <c r="S1407" t="s">
        <v>74</v>
      </c>
      <c r="T1407" t="s">
        <v>23713</v>
      </c>
      <c r="U1407" t="s">
        <v>23714</v>
      </c>
      <c r="V1407" t="s">
        <v>23715</v>
      </c>
      <c r="W1407" t="s">
        <v>23716</v>
      </c>
      <c r="X1407" t="s">
        <v>23717</v>
      </c>
      <c r="Y1407" t="s">
        <v>23718</v>
      </c>
      <c r="Z1407" t="s">
        <v>23719</v>
      </c>
      <c r="AA1407" t="s">
        <v>74</v>
      </c>
      <c r="AB1407" t="s">
        <v>23720</v>
      </c>
      <c r="AC1407" t="s">
        <v>74</v>
      </c>
      <c r="AD1407" t="s">
        <v>74</v>
      </c>
      <c r="AE1407" t="s">
        <v>74</v>
      </c>
      <c r="AF1407" t="s">
        <v>74</v>
      </c>
      <c r="AG1407">
        <v>62</v>
      </c>
      <c r="AH1407">
        <v>0</v>
      </c>
      <c r="AI1407">
        <v>0</v>
      </c>
      <c r="AJ1407">
        <v>5</v>
      </c>
      <c r="AK1407">
        <v>5</v>
      </c>
      <c r="AL1407" t="s">
        <v>23721</v>
      </c>
      <c r="AM1407" t="s">
        <v>23722</v>
      </c>
      <c r="AN1407" t="s">
        <v>23723</v>
      </c>
      <c r="AO1407" t="s">
        <v>74</v>
      </c>
      <c r="AP1407" t="s">
        <v>23724</v>
      </c>
      <c r="AQ1407" t="s">
        <v>74</v>
      </c>
      <c r="AR1407" t="s">
        <v>23725</v>
      </c>
      <c r="AS1407" t="s">
        <v>23726</v>
      </c>
      <c r="AT1407" t="s">
        <v>74</v>
      </c>
      <c r="AU1407">
        <v>2024</v>
      </c>
      <c r="AV1407">
        <v>17</v>
      </c>
      <c r="AW1407" t="s">
        <v>74</v>
      </c>
      <c r="AX1407" t="s">
        <v>74</v>
      </c>
      <c r="AY1407" t="s">
        <v>74</v>
      </c>
      <c r="AZ1407" t="s">
        <v>74</v>
      </c>
      <c r="BA1407" t="s">
        <v>74</v>
      </c>
      <c r="BB1407">
        <v>3093</v>
      </c>
      <c r="BC1407">
        <v>3106</v>
      </c>
      <c r="BD1407" t="s">
        <v>74</v>
      </c>
      <c r="BE1407" t="s">
        <v>23727</v>
      </c>
      <c r="BF1407" t="str">
        <f>HYPERLINK("http://dx.doi.org/10.2147/IJGM.S464457","http://dx.doi.org/10.2147/IJGM.S464457")</f>
        <v>http://dx.doi.org/10.2147/IJGM.S464457</v>
      </c>
      <c r="BG1407" t="s">
        <v>74</v>
      </c>
      <c r="BH1407" t="s">
        <v>74</v>
      </c>
      <c r="BI1407">
        <v>14</v>
      </c>
      <c r="BJ1407" t="s">
        <v>811</v>
      </c>
      <c r="BK1407" t="s">
        <v>209</v>
      </c>
      <c r="BL1407" t="s">
        <v>812</v>
      </c>
      <c r="BM1407" t="s">
        <v>23728</v>
      </c>
      <c r="BN1407">
        <v>39049834</v>
      </c>
      <c r="BO1407" t="s">
        <v>552</v>
      </c>
      <c r="BP1407" t="s">
        <v>74</v>
      </c>
      <c r="BQ1407" t="s">
        <v>74</v>
      </c>
      <c r="BR1407" t="s">
        <v>102</v>
      </c>
      <c r="BS1407" t="s">
        <v>23729</v>
      </c>
      <c r="BT1407" t="str">
        <f>HYPERLINK("https%3A%2F%2Fwww.webofscience.com%2Fwos%2Fwoscc%2Ffull-record%2FWOS:001267754900001","View Full Record in Web of Science")</f>
        <v>View Full Record in Web of Science</v>
      </c>
    </row>
    <row r="1408" spans="1:72" x14ac:dyDescent="0.35">
      <c r="A1408" t="s">
        <v>72</v>
      </c>
      <c r="B1408" t="s">
        <v>23730</v>
      </c>
      <c r="C1408" t="s">
        <v>74</v>
      </c>
      <c r="D1408" t="s">
        <v>74</v>
      </c>
      <c r="E1408" t="s">
        <v>74</v>
      </c>
      <c r="F1408" t="s">
        <v>23731</v>
      </c>
      <c r="G1408" t="s">
        <v>74</v>
      </c>
      <c r="H1408" t="s">
        <v>74</v>
      </c>
      <c r="I1408" t="s">
        <v>23732</v>
      </c>
      <c r="J1408" t="s">
        <v>23733</v>
      </c>
      <c r="K1408" t="s">
        <v>74</v>
      </c>
      <c r="L1408" t="s">
        <v>74</v>
      </c>
      <c r="M1408" t="s">
        <v>78</v>
      </c>
      <c r="N1408" t="s">
        <v>108</v>
      </c>
      <c r="O1408" t="s">
        <v>74</v>
      </c>
      <c r="P1408" t="s">
        <v>74</v>
      </c>
      <c r="Q1408" t="s">
        <v>74</v>
      </c>
      <c r="R1408" t="s">
        <v>74</v>
      </c>
      <c r="S1408" t="s">
        <v>74</v>
      </c>
      <c r="T1408" t="s">
        <v>23734</v>
      </c>
      <c r="U1408" t="s">
        <v>74</v>
      </c>
      <c r="V1408" t="s">
        <v>23735</v>
      </c>
      <c r="W1408" t="s">
        <v>23736</v>
      </c>
      <c r="X1408" t="s">
        <v>23737</v>
      </c>
      <c r="Y1408" t="s">
        <v>23738</v>
      </c>
      <c r="Z1408" t="s">
        <v>74</v>
      </c>
      <c r="AA1408" t="s">
        <v>74</v>
      </c>
      <c r="AB1408" t="s">
        <v>74</v>
      </c>
      <c r="AC1408" t="s">
        <v>74</v>
      </c>
      <c r="AD1408" t="s">
        <v>74</v>
      </c>
      <c r="AE1408" t="s">
        <v>74</v>
      </c>
      <c r="AF1408" t="s">
        <v>74</v>
      </c>
      <c r="AG1408">
        <v>16</v>
      </c>
      <c r="AH1408">
        <v>0</v>
      </c>
      <c r="AI1408">
        <v>0</v>
      </c>
      <c r="AJ1408">
        <v>0</v>
      </c>
      <c r="AK1408">
        <v>1</v>
      </c>
      <c r="AL1408" t="s">
        <v>23739</v>
      </c>
      <c r="AM1408" t="s">
        <v>23740</v>
      </c>
      <c r="AN1408" t="s">
        <v>23741</v>
      </c>
      <c r="AO1408" t="s">
        <v>23742</v>
      </c>
      <c r="AP1408" t="s">
        <v>74</v>
      </c>
      <c r="AQ1408" t="s">
        <v>74</v>
      </c>
      <c r="AR1408" t="s">
        <v>23743</v>
      </c>
      <c r="AS1408" t="s">
        <v>23744</v>
      </c>
      <c r="AT1408" t="s">
        <v>523</v>
      </c>
      <c r="AU1408">
        <v>2023</v>
      </c>
      <c r="AV1408">
        <v>12</v>
      </c>
      <c r="AW1408">
        <v>29</v>
      </c>
      <c r="AX1408" t="s">
        <v>74</v>
      </c>
      <c r="AY1408" t="s">
        <v>74</v>
      </c>
      <c r="AZ1408" t="s">
        <v>74</v>
      </c>
      <c r="BA1408" t="s">
        <v>74</v>
      </c>
      <c r="BB1408">
        <v>54</v>
      </c>
      <c r="BC1408">
        <v>68</v>
      </c>
      <c r="BD1408" t="s">
        <v>74</v>
      </c>
      <c r="BE1408" t="s">
        <v>74</v>
      </c>
      <c r="BF1408" t="s">
        <v>74</v>
      </c>
      <c r="BG1408" t="s">
        <v>74</v>
      </c>
      <c r="BH1408" t="s">
        <v>74</v>
      </c>
      <c r="BI1408">
        <v>15</v>
      </c>
      <c r="BJ1408" t="s">
        <v>23745</v>
      </c>
      <c r="BK1408" t="s">
        <v>125</v>
      </c>
      <c r="BL1408" t="s">
        <v>3176</v>
      </c>
      <c r="BM1408" t="s">
        <v>23746</v>
      </c>
      <c r="BN1408" t="s">
        <v>74</v>
      </c>
      <c r="BO1408" t="s">
        <v>74</v>
      </c>
      <c r="BP1408" t="s">
        <v>74</v>
      </c>
      <c r="BQ1408" t="s">
        <v>74</v>
      </c>
      <c r="BR1408" t="s">
        <v>102</v>
      </c>
      <c r="BS1408" t="s">
        <v>23747</v>
      </c>
      <c r="BT1408" t="str">
        <f>HYPERLINK("https%3A%2F%2Fwww.webofscience.com%2Fwos%2Fwoscc%2Ffull-record%2FWOS:001164767000008","View Full Record in Web of Science")</f>
        <v>View Full Record in Web of Science</v>
      </c>
    </row>
    <row r="1409" spans="1:72" x14ac:dyDescent="0.35">
      <c r="A1409" t="s">
        <v>72</v>
      </c>
      <c r="B1409" t="s">
        <v>23748</v>
      </c>
      <c r="C1409" t="s">
        <v>74</v>
      </c>
      <c r="D1409" t="s">
        <v>74</v>
      </c>
      <c r="E1409" t="s">
        <v>74</v>
      </c>
      <c r="F1409" t="s">
        <v>23749</v>
      </c>
      <c r="G1409" t="s">
        <v>74</v>
      </c>
      <c r="H1409" t="s">
        <v>74</v>
      </c>
      <c r="I1409" t="s">
        <v>23750</v>
      </c>
      <c r="J1409" t="s">
        <v>1186</v>
      </c>
      <c r="K1409" t="s">
        <v>74</v>
      </c>
      <c r="L1409" t="s">
        <v>74</v>
      </c>
      <c r="M1409" t="s">
        <v>78</v>
      </c>
      <c r="N1409" t="s">
        <v>374</v>
      </c>
      <c r="O1409" t="s">
        <v>74</v>
      </c>
      <c r="P1409" t="s">
        <v>74</v>
      </c>
      <c r="Q1409" t="s">
        <v>74</v>
      </c>
      <c r="R1409" t="s">
        <v>74</v>
      </c>
      <c r="S1409" t="s">
        <v>74</v>
      </c>
      <c r="T1409" t="s">
        <v>23751</v>
      </c>
      <c r="U1409" t="s">
        <v>23752</v>
      </c>
      <c r="V1409" t="s">
        <v>23753</v>
      </c>
      <c r="W1409" t="s">
        <v>23754</v>
      </c>
      <c r="X1409" t="s">
        <v>23755</v>
      </c>
      <c r="Y1409" t="s">
        <v>23756</v>
      </c>
      <c r="Z1409" t="s">
        <v>23757</v>
      </c>
      <c r="AA1409" t="s">
        <v>74</v>
      </c>
      <c r="AB1409" t="s">
        <v>23758</v>
      </c>
      <c r="AC1409" t="s">
        <v>74</v>
      </c>
      <c r="AD1409" t="s">
        <v>74</v>
      </c>
      <c r="AE1409" t="s">
        <v>74</v>
      </c>
      <c r="AF1409" t="s">
        <v>74</v>
      </c>
      <c r="AG1409">
        <v>39</v>
      </c>
      <c r="AH1409">
        <v>31</v>
      </c>
      <c r="AI1409">
        <v>31</v>
      </c>
      <c r="AJ1409">
        <v>6</v>
      </c>
      <c r="AK1409">
        <v>34</v>
      </c>
      <c r="AL1409" t="s">
        <v>1195</v>
      </c>
      <c r="AM1409" t="s">
        <v>1196</v>
      </c>
      <c r="AN1409" t="s">
        <v>1197</v>
      </c>
      <c r="AO1409" t="s">
        <v>74</v>
      </c>
      <c r="AP1409" t="s">
        <v>1198</v>
      </c>
      <c r="AQ1409" t="s">
        <v>74</v>
      </c>
      <c r="AR1409" t="s">
        <v>1199</v>
      </c>
      <c r="AS1409" t="s">
        <v>1200</v>
      </c>
      <c r="AT1409" t="s">
        <v>745</v>
      </c>
      <c r="AU1409">
        <v>2021</v>
      </c>
      <c r="AV1409">
        <v>18</v>
      </c>
      <c r="AW1409">
        <v>9</v>
      </c>
      <c r="AX1409" t="s">
        <v>74</v>
      </c>
      <c r="AY1409" t="s">
        <v>74</v>
      </c>
      <c r="AZ1409" t="s">
        <v>74</v>
      </c>
      <c r="BA1409" t="s">
        <v>74</v>
      </c>
      <c r="BB1409" t="s">
        <v>74</v>
      </c>
      <c r="BC1409" t="s">
        <v>74</v>
      </c>
      <c r="BD1409">
        <v>5002</v>
      </c>
      <c r="BE1409" t="s">
        <v>23759</v>
      </c>
      <c r="BF1409" t="str">
        <f>HYPERLINK("http://dx.doi.org/10.3390/ijerph18095002","http://dx.doi.org/10.3390/ijerph18095002")</f>
        <v>http://dx.doi.org/10.3390/ijerph18095002</v>
      </c>
      <c r="BG1409" t="s">
        <v>74</v>
      </c>
      <c r="BH1409" t="s">
        <v>74</v>
      </c>
      <c r="BI1409">
        <v>12</v>
      </c>
      <c r="BJ1409" t="s">
        <v>1202</v>
      </c>
      <c r="BK1409" t="s">
        <v>182</v>
      </c>
      <c r="BL1409" t="s">
        <v>1203</v>
      </c>
      <c r="BM1409" t="s">
        <v>23760</v>
      </c>
      <c r="BN1409">
        <v>34065061</v>
      </c>
      <c r="BO1409" t="s">
        <v>394</v>
      </c>
      <c r="BP1409" t="s">
        <v>74</v>
      </c>
      <c r="BQ1409" t="s">
        <v>74</v>
      </c>
      <c r="BR1409" t="s">
        <v>102</v>
      </c>
      <c r="BS1409" t="s">
        <v>23761</v>
      </c>
      <c r="BT1409" t="str">
        <f>HYPERLINK("https%3A%2F%2Fwww.webofscience.com%2Fwos%2Fwoscc%2Ffull-record%2FWOS:000650235100001","View Full Record in Web of Science")</f>
        <v>View Full Record in Web of Science</v>
      </c>
    </row>
    <row r="1410" spans="1:72" x14ac:dyDescent="0.35">
      <c r="A1410" t="s">
        <v>72</v>
      </c>
      <c r="B1410" t="s">
        <v>23762</v>
      </c>
      <c r="C1410" t="s">
        <v>74</v>
      </c>
      <c r="D1410" t="s">
        <v>74</v>
      </c>
      <c r="E1410" t="s">
        <v>74</v>
      </c>
      <c r="F1410" t="s">
        <v>17846</v>
      </c>
      <c r="G1410" t="s">
        <v>74</v>
      </c>
      <c r="H1410" t="s">
        <v>74</v>
      </c>
      <c r="I1410" t="s">
        <v>23763</v>
      </c>
      <c r="J1410" t="s">
        <v>2557</v>
      </c>
      <c r="K1410" t="s">
        <v>74</v>
      </c>
      <c r="L1410" t="s">
        <v>74</v>
      </c>
      <c r="M1410" t="s">
        <v>78</v>
      </c>
      <c r="N1410" t="s">
        <v>108</v>
      </c>
      <c r="O1410" t="s">
        <v>74</v>
      </c>
      <c r="P1410" t="s">
        <v>74</v>
      </c>
      <c r="Q1410" t="s">
        <v>74</v>
      </c>
      <c r="R1410" t="s">
        <v>74</v>
      </c>
      <c r="S1410" t="s">
        <v>74</v>
      </c>
      <c r="T1410" t="s">
        <v>23764</v>
      </c>
      <c r="U1410" t="s">
        <v>23765</v>
      </c>
      <c r="V1410" t="s">
        <v>23766</v>
      </c>
      <c r="W1410" t="s">
        <v>23767</v>
      </c>
      <c r="X1410" t="s">
        <v>23768</v>
      </c>
      <c r="Y1410" t="s">
        <v>23769</v>
      </c>
      <c r="Z1410" t="s">
        <v>17855</v>
      </c>
      <c r="AA1410" t="s">
        <v>23770</v>
      </c>
      <c r="AB1410" t="s">
        <v>23771</v>
      </c>
      <c r="AC1410" t="s">
        <v>23772</v>
      </c>
      <c r="AD1410" t="s">
        <v>4847</v>
      </c>
      <c r="AE1410" t="s">
        <v>23773</v>
      </c>
      <c r="AF1410" t="s">
        <v>74</v>
      </c>
      <c r="AG1410">
        <v>109</v>
      </c>
      <c r="AH1410">
        <v>112</v>
      </c>
      <c r="AI1410">
        <v>114</v>
      </c>
      <c r="AJ1410">
        <v>82</v>
      </c>
      <c r="AK1410">
        <v>170</v>
      </c>
      <c r="AL1410" t="s">
        <v>199</v>
      </c>
      <c r="AM1410" t="s">
        <v>200</v>
      </c>
      <c r="AN1410" t="s">
        <v>471</v>
      </c>
      <c r="AO1410" t="s">
        <v>2570</v>
      </c>
      <c r="AP1410" t="s">
        <v>74</v>
      </c>
      <c r="AQ1410" t="s">
        <v>74</v>
      </c>
      <c r="AR1410" t="s">
        <v>2571</v>
      </c>
      <c r="AS1410" t="s">
        <v>2572</v>
      </c>
      <c r="AT1410" t="s">
        <v>9100</v>
      </c>
      <c r="AU1410">
        <v>2021</v>
      </c>
      <c r="AV1410">
        <v>31</v>
      </c>
      <c r="AW1410">
        <v>6</v>
      </c>
      <c r="AX1410" t="s">
        <v>74</v>
      </c>
      <c r="AY1410" t="s">
        <v>74</v>
      </c>
      <c r="AZ1410" t="s">
        <v>456</v>
      </c>
      <c r="BA1410" t="s">
        <v>74</v>
      </c>
      <c r="BB1410">
        <v>2120</v>
      </c>
      <c r="BC1410">
        <v>2142</v>
      </c>
      <c r="BD1410" t="s">
        <v>74</v>
      </c>
      <c r="BE1410" t="s">
        <v>23774</v>
      </c>
      <c r="BF1410" t="str">
        <f>HYPERLINK("http://dx.doi.org/10.1108/INTR-10-2020-0593","http://dx.doi.org/10.1108/INTR-10-2020-0593")</f>
        <v>http://dx.doi.org/10.1108/INTR-10-2020-0593</v>
      </c>
      <c r="BG1410" t="s">
        <v>74</v>
      </c>
      <c r="BH1410" t="s">
        <v>2090</v>
      </c>
      <c r="BI1410">
        <v>23</v>
      </c>
      <c r="BJ1410" t="s">
        <v>2575</v>
      </c>
      <c r="BK1410" t="s">
        <v>182</v>
      </c>
      <c r="BL1410" t="s">
        <v>2576</v>
      </c>
      <c r="BM1410" t="s">
        <v>23775</v>
      </c>
      <c r="BN1410" t="s">
        <v>74</v>
      </c>
      <c r="BO1410" t="s">
        <v>74</v>
      </c>
      <c r="BP1410" t="s">
        <v>74</v>
      </c>
      <c r="BQ1410" t="s">
        <v>74</v>
      </c>
      <c r="BR1410" t="s">
        <v>102</v>
      </c>
      <c r="BS1410" t="s">
        <v>23776</v>
      </c>
      <c r="BT1410" t="str">
        <f>HYPERLINK("https%3A%2F%2Fwww.webofscience.com%2Fwos%2Fwoscc%2Ffull-record%2FWOS:000666587700001","View Full Record in Web of Science")</f>
        <v>View Full Record in Web of Science</v>
      </c>
    </row>
    <row r="1411" spans="1:72" x14ac:dyDescent="0.35">
      <c r="A1411" t="s">
        <v>72</v>
      </c>
      <c r="B1411" t="s">
        <v>23777</v>
      </c>
      <c r="C1411" t="s">
        <v>74</v>
      </c>
      <c r="D1411" t="s">
        <v>74</v>
      </c>
      <c r="E1411" t="s">
        <v>74</v>
      </c>
      <c r="F1411" t="s">
        <v>23778</v>
      </c>
      <c r="G1411" t="s">
        <v>74</v>
      </c>
      <c r="H1411" t="s">
        <v>74</v>
      </c>
      <c r="I1411" t="s">
        <v>23779</v>
      </c>
      <c r="J1411" t="s">
        <v>23780</v>
      </c>
      <c r="K1411" t="s">
        <v>74</v>
      </c>
      <c r="L1411" t="s">
        <v>74</v>
      </c>
      <c r="M1411" t="s">
        <v>78</v>
      </c>
      <c r="N1411" t="s">
        <v>2042</v>
      </c>
      <c r="O1411" t="s">
        <v>74</v>
      </c>
      <c r="P1411" t="s">
        <v>74</v>
      </c>
      <c r="Q1411" t="s">
        <v>74</v>
      </c>
      <c r="R1411" t="s">
        <v>74</v>
      </c>
      <c r="S1411" t="s">
        <v>74</v>
      </c>
      <c r="T1411" t="s">
        <v>23781</v>
      </c>
      <c r="U1411" t="s">
        <v>74</v>
      </c>
      <c r="V1411" t="s">
        <v>74</v>
      </c>
      <c r="W1411" t="s">
        <v>74</v>
      </c>
      <c r="X1411" t="s">
        <v>74</v>
      </c>
      <c r="Y1411" t="s">
        <v>74</v>
      </c>
      <c r="Z1411" t="s">
        <v>74</v>
      </c>
      <c r="AA1411" t="s">
        <v>74</v>
      </c>
      <c r="AB1411" t="s">
        <v>74</v>
      </c>
      <c r="AC1411" t="s">
        <v>74</v>
      </c>
      <c r="AD1411" t="s">
        <v>74</v>
      </c>
      <c r="AE1411" t="s">
        <v>74</v>
      </c>
      <c r="AF1411" t="s">
        <v>74</v>
      </c>
      <c r="AG1411">
        <v>3</v>
      </c>
      <c r="AH1411">
        <v>0</v>
      </c>
      <c r="AI1411">
        <v>0</v>
      </c>
      <c r="AJ1411">
        <v>0</v>
      </c>
      <c r="AK1411">
        <v>0</v>
      </c>
      <c r="AL1411" t="s">
        <v>23782</v>
      </c>
      <c r="AM1411" t="s">
        <v>2459</v>
      </c>
      <c r="AN1411" t="s">
        <v>23783</v>
      </c>
      <c r="AO1411" t="s">
        <v>23784</v>
      </c>
      <c r="AP1411" t="s">
        <v>23785</v>
      </c>
      <c r="AQ1411" t="s">
        <v>74</v>
      </c>
      <c r="AR1411" t="s">
        <v>23786</v>
      </c>
      <c r="AS1411" t="s">
        <v>23787</v>
      </c>
      <c r="AT1411" t="s">
        <v>1484</v>
      </c>
      <c r="AU1411">
        <v>2024</v>
      </c>
      <c r="AV1411">
        <v>94</v>
      </c>
      <c r="AW1411">
        <v>2</v>
      </c>
      <c r="AX1411" t="s">
        <v>74</v>
      </c>
      <c r="AY1411" t="s">
        <v>74</v>
      </c>
      <c r="AZ1411" t="s">
        <v>456</v>
      </c>
      <c r="BA1411" t="s">
        <v>74</v>
      </c>
      <c r="BB1411">
        <v>128</v>
      </c>
      <c r="BC1411">
        <v>133</v>
      </c>
      <c r="BD1411" t="s">
        <v>74</v>
      </c>
      <c r="BE1411" t="s">
        <v>23788</v>
      </c>
      <c r="BF1411" t="str">
        <f>HYPERLINK("http://dx.doi.org/10.1002/ad.3043","http://dx.doi.org/10.1002/ad.3043")</f>
        <v>http://dx.doi.org/10.1002/ad.3043</v>
      </c>
      <c r="BG1411" t="s">
        <v>74</v>
      </c>
      <c r="BH1411" t="s">
        <v>74</v>
      </c>
      <c r="BI1411">
        <v>6</v>
      </c>
      <c r="BJ1411" t="s">
        <v>23789</v>
      </c>
      <c r="BK1411" t="s">
        <v>316</v>
      </c>
      <c r="BL1411" t="s">
        <v>23789</v>
      </c>
      <c r="BM1411" t="s">
        <v>23790</v>
      </c>
      <c r="BN1411" t="s">
        <v>74</v>
      </c>
      <c r="BO1411" t="s">
        <v>74</v>
      </c>
      <c r="BP1411" t="s">
        <v>74</v>
      </c>
      <c r="BQ1411" t="s">
        <v>74</v>
      </c>
      <c r="BR1411" t="s">
        <v>102</v>
      </c>
      <c r="BS1411" t="s">
        <v>23791</v>
      </c>
      <c r="BT1411" t="str">
        <f>HYPERLINK("https%3A%2F%2Fwww.webofscience.com%2Fwos%2Fwoscc%2Ffull-record%2FWOS:001321606200013","View Full Record in Web of Science")</f>
        <v>View Full Record in Web of Science</v>
      </c>
    </row>
    <row r="1412" spans="1:72" x14ac:dyDescent="0.35">
      <c r="A1412" t="s">
        <v>72</v>
      </c>
      <c r="B1412" t="s">
        <v>23792</v>
      </c>
      <c r="C1412" t="s">
        <v>74</v>
      </c>
      <c r="D1412" t="s">
        <v>74</v>
      </c>
      <c r="E1412" t="s">
        <v>74</v>
      </c>
      <c r="F1412" t="s">
        <v>23793</v>
      </c>
      <c r="G1412" t="s">
        <v>74</v>
      </c>
      <c r="H1412" t="s">
        <v>74</v>
      </c>
      <c r="I1412" t="s">
        <v>23794</v>
      </c>
      <c r="J1412" t="s">
        <v>23795</v>
      </c>
      <c r="K1412" t="s">
        <v>74</v>
      </c>
      <c r="L1412" t="s">
        <v>74</v>
      </c>
      <c r="M1412" t="s">
        <v>78</v>
      </c>
      <c r="N1412" t="s">
        <v>108</v>
      </c>
      <c r="O1412" t="s">
        <v>74</v>
      </c>
      <c r="P1412" t="s">
        <v>74</v>
      </c>
      <c r="Q1412" t="s">
        <v>74</v>
      </c>
      <c r="R1412" t="s">
        <v>74</v>
      </c>
      <c r="S1412" t="s">
        <v>74</v>
      </c>
      <c r="T1412" t="s">
        <v>23796</v>
      </c>
      <c r="U1412" t="s">
        <v>23797</v>
      </c>
      <c r="V1412" t="s">
        <v>23798</v>
      </c>
      <c r="W1412" t="s">
        <v>23799</v>
      </c>
      <c r="X1412" t="s">
        <v>23800</v>
      </c>
      <c r="Y1412" t="s">
        <v>23801</v>
      </c>
      <c r="Z1412" t="s">
        <v>23802</v>
      </c>
      <c r="AA1412" t="s">
        <v>23803</v>
      </c>
      <c r="AB1412" t="s">
        <v>23804</v>
      </c>
      <c r="AC1412" t="s">
        <v>23805</v>
      </c>
      <c r="AD1412" t="s">
        <v>4847</v>
      </c>
      <c r="AE1412" t="s">
        <v>23806</v>
      </c>
      <c r="AF1412" t="s">
        <v>74</v>
      </c>
      <c r="AG1412">
        <v>37</v>
      </c>
      <c r="AH1412">
        <v>0</v>
      </c>
      <c r="AI1412">
        <v>1</v>
      </c>
      <c r="AJ1412">
        <v>8</v>
      </c>
      <c r="AK1412">
        <v>23</v>
      </c>
      <c r="AL1412" t="s">
        <v>1195</v>
      </c>
      <c r="AM1412" t="s">
        <v>1196</v>
      </c>
      <c r="AN1412" t="s">
        <v>1197</v>
      </c>
      <c r="AO1412" t="s">
        <v>23807</v>
      </c>
      <c r="AP1412" t="s">
        <v>74</v>
      </c>
      <c r="AQ1412" t="s">
        <v>74</v>
      </c>
      <c r="AR1412" t="s">
        <v>23808</v>
      </c>
      <c r="AS1412" t="s">
        <v>23809</v>
      </c>
      <c r="AT1412" t="s">
        <v>930</v>
      </c>
      <c r="AU1412">
        <v>2023</v>
      </c>
      <c r="AV1412">
        <v>13</v>
      </c>
      <c r="AW1412">
        <v>8</v>
      </c>
      <c r="AX1412" t="s">
        <v>74</v>
      </c>
      <c r="AY1412" t="s">
        <v>74</v>
      </c>
      <c r="AZ1412" t="s">
        <v>74</v>
      </c>
      <c r="BA1412" t="s">
        <v>74</v>
      </c>
      <c r="BB1412" t="s">
        <v>74</v>
      </c>
      <c r="BC1412" t="s">
        <v>74</v>
      </c>
      <c r="BD1412">
        <v>1292</v>
      </c>
      <c r="BE1412" t="s">
        <v>23810</v>
      </c>
      <c r="BF1412" t="str">
        <f>HYPERLINK("http://dx.doi.org/10.3390/ani13081292","http://dx.doi.org/10.3390/ani13081292")</f>
        <v>http://dx.doi.org/10.3390/ani13081292</v>
      </c>
      <c r="BG1412" t="s">
        <v>74</v>
      </c>
      <c r="BH1412" t="s">
        <v>74</v>
      </c>
      <c r="BI1412">
        <v>12</v>
      </c>
      <c r="BJ1412" t="s">
        <v>23811</v>
      </c>
      <c r="BK1412" t="s">
        <v>209</v>
      </c>
      <c r="BL1412" t="s">
        <v>23812</v>
      </c>
      <c r="BM1412" t="s">
        <v>23813</v>
      </c>
      <c r="BN1412">
        <v>37106855</v>
      </c>
      <c r="BO1412" t="s">
        <v>552</v>
      </c>
      <c r="BP1412" t="s">
        <v>74</v>
      </c>
      <c r="BQ1412" t="s">
        <v>74</v>
      </c>
      <c r="BR1412" t="s">
        <v>102</v>
      </c>
      <c r="BS1412" t="s">
        <v>23814</v>
      </c>
      <c r="BT1412" t="str">
        <f>HYPERLINK("https%3A%2F%2Fwww.webofscience.com%2Fwos%2Fwoscc%2Ffull-record%2FWOS:000977904400001","View Full Record in Web of Science")</f>
        <v>View Full Record in Web of Science</v>
      </c>
    </row>
    <row r="1413" spans="1:72" x14ac:dyDescent="0.35">
      <c r="A1413" t="s">
        <v>72</v>
      </c>
      <c r="B1413" t="s">
        <v>23815</v>
      </c>
      <c r="C1413" t="s">
        <v>74</v>
      </c>
      <c r="D1413" t="s">
        <v>74</v>
      </c>
      <c r="E1413" t="s">
        <v>74</v>
      </c>
      <c r="F1413" t="s">
        <v>23816</v>
      </c>
      <c r="G1413" t="s">
        <v>74</v>
      </c>
      <c r="H1413" t="s">
        <v>74</v>
      </c>
      <c r="I1413" t="s">
        <v>23817</v>
      </c>
      <c r="J1413" t="s">
        <v>2370</v>
      </c>
      <c r="K1413" t="s">
        <v>74</v>
      </c>
      <c r="L1413" t="s">
        <v>74</v>
      </c>
      <c r="M1413" t="s">
        <v>78</v>
      </c>
      <c r="N1413" t="s">
        <v>108</v>
      </c>
      <c r="O1413" t="s">
        <v>74</v>
      </c>
      <c r="P1413" t="s">
        <v>74</v>
      </c>
      <c r="Q1413" t="s">
        <v>74</v>
      </c>
      <c r="R1413" t="s">
        <v>74</v>
      </c>
      <c r="S1413" t="s">
        <v>74</v>
      </c>
      <c r="T1413" t="s">
        <v>23818</v>
      </c>
      <c r="U1413" t="s">
        <v>23819</v>
      </c>
      <c r="V1413" t="s">
        <v>23820</v>
      </c>
      <c r="W1413" t="s">
        <v>23821</v>
      </c>
      <c r="X1413" t="s">
        <v>23822</v>
      </c>
      <c r="Y1413" t="s">
        <v>23823</v>
      </c>
      <c r="Z1413" t="s">
        <v>23824</v>
      </c>
      <c r="AA1413" t="s">
        <v>23825</v>
      </c>
      <c r="AB1413" t="s">
        <v>74</v>
      </c>
      <c r="AC1413" t="s">
        <v>23826</v>
      </c>
      <c r="AD1413" t="s">
        <v>23827</v>
      </c>
      <c r="AE1413" t="s">
        <v>23828</v>
      </c>
      <c r="AF1413" t="s">
        <v>74</v>
      </c>
      <c r="AG1413">
        <v>44</v>
      </c>
      <c r="AH1413">
        <v>13</v>
      </c>
      <c r="AI1413">
        <v>13</v>
      </c>
      <c r="AJ1413">
        <v>1</v>
      </c>
      <c r="AK1413">
        <v>11</v>
      </c>
      <c r="AL1413" t="s">
        <v>2382</v>
      </c>
      <c r="AM1413" t="s">
        <v>227</v>
      </c>
      <c r="AN1413" t="s">
        <v>2383</v>
      </c>
      <c r="AO1413" t="s">
        <v>74</v>
      </c>
      <c r="AP1413" t="s">
        <v>2384</v>
      </c>
      <c r="AQ1413" t="s">
        <v>74</v>
      </c>
      <c r="AR1413" t="s">
        <v>2370</v>
      </c>
      <c r="AS1413" t="s">
        <v>2385</v>
      </c>
      <c r="AT1413" t="s">
        <v>948</v>
      </c>
      <c r="AU1413">
        <v>2022</v>
      </c>
      <c r="AV1413">
        <v>22</v>
      </c>
      <c r="AW1413">
        <v>1</v>
      </c>
      <c r="AX1413" t="s">
        <v>74</v>
      </c>
      <c r="AY1413" t="s">
        <v>74</v>
      </c>
      <c r="AZ1413" t="s">
        <v>74</v>
      </c>
      <c r="BA1413" t="s">
        <v>74</v>
      </c>
      <c r="BB1413" t="s">
        <v>74</v>
      </c>
      <c r="BC1413" t="s">
        <v>74</v>
      </c>
      <c r="BD1413">
        <v>2025</v>
      </c>
      <c r="BE1413" t="s">
        <v>23829</v>
      </c>
      <c r="BF1413" t="str">
        <f>HYPERLINK("http://dx.doi.org/10.1186/s12889-022-14417-w","http://dx.doi.org/10.1186/s12889-022-14417-w")</f>
        <v>http://dx.doi.org/10.1186/s12889-022-14417-w</v>
      </c>
      <c r="BG1413" t="s">
        <v>74</v>
      </c>
      <c r="BH1413" t="s">
        <v>74</v>
      </c>
      <c r="BI1413">
        <v>8</v>
      </c>
      <c r="BJ1413" t="s">
        <v>392</v>
      </c>
      <c r="BK1413" t="s">
        <v>209</v>
      </c>
      <c r="BL1413" t="s">
        <v>392</v>
      </c>
      <c r="BM1413" t="s">
        <v>23830</v>
      </c>
      <c r="BN1413">
        <v>36335401</v>
      </c>
      <c r="BO1413" t="s">
        <v>394</v>
      </c>
      <c r="BP1413" t="s">
        <v>74</v>
      </c>
      <c r="BQ1413" t="s">
        <v>74</v>
      </c>
      <c r="BR1413" t="s">
        <v>102</v>
      </c>
      <c r="BS1413" t="s">
        <v>23831</v>
      </c>
      <c r="BT1413" t="str">
        <f>HYPERLINK("https%3A%2F%2Fwww.webofscience.com%2Fwos%2Fwoscc%2Ffull-record%2FWOS:000879171800004","View Full Record in Web of Science")</f>
        <v>View Full Record in Web of Science</v>
      </c>
    </row>
    <row r="1414" spans="1:72" x14ac:dyDescent="0.35">
      <c r="A1414" t="s">
        <v>72</v>
      </c>
      <c r="B1414" t="s">
        <v>23832</v>
      </c>
      <c r="C1414" t="s">
        <v>74</v>
      </c>
      <c r="D1414" t="s">
        <v>74</v>
      </c>
      <c r="E1414" t="s">
        <v>74</v>
      </c>
      <c r="F1414" t="s">
        <v>23833</v>
      </c>
      <c r="G1414" t="s">
        <v>74</v>
      </c>
      <c r="H1414" t="s">
        <v>74</v>
      </c>
      <c r="I1414" t="s">
        <v>23834</v>
      </c>
      <c r="J1414" t="s">
        <v>23835</v>
      </c>
      <c r="K1414" t="s">
        <v>74</v>
      </c>
      <c r="L1414" t="s">
        <v>74</v>
      </c>
      <c r="M1414" t="s">
        <v>78</v>
      </c>
      <c r="N1414" t="s">
        <v>108</v>
      </c>
      <c r="O1414" t="s">
        <v>74</v>
      </c>
      <c r="P1414" t="s">
        <v>74</v>
      </c>
      <c r="Q1414" t="s">
        <v>74</v>
      </c>
      <c r="R1414" t="s">
        <v>74</v>
      </c>
      <c r="S1414" t="s">
        <v>74</v>
      </c>
      <c r="T1414" t="s">
        <v>23836</v>
      </c>
      <c r="U1414" t="s">
        <v>23837</v>
      </c>
      <c r="V1414" t="s">
        <v>23838</v>
      </c>
      <c r="W1414" t="s">
        <v>23839</v>
      </c>
      <c r="X1414" t="s">
        <v>23840</v>
      </c>
      <c r="Y1414" t="s">
        <v>23841</v>
      </c>
      <c r="Z1414" t="s">
        <v>74</v>
      </c>
      <c r="AA1414" t="s">
        <v>23842</v>
      </c>
      <c r="AB1414" t="s">
        <v>23843</v>
      </c>
      <c r="AC1414" t="s">
        <v>74</v>
      </c>
      <c r="AD1414" t="s">
        <v>74</v>
      </c>
      <c r="AE1414" t="s">
        <v>74</v>
      </c>
      <c r="AF1414" t="s">
        <v>74</v>
      </c>
      <c r="AG1414">
        <v>22</v>
      </c>
      <c r="AH1414">
        <v>0</v>
      </c>
      <c r="AI1414">
        <v>0</v>
      </c>
      <c r="AJ1414">
        <v>17</v>
      </c>
      <c r="AK1414">
        <v>83</v>
      </c>
      <c r="AL1414" t="s">
        <v>7289</v>
      </c>
      <c r="AM1414" t="s">
        <v>7290</v>
      </c>
      <c r="AN1414" t="s">
        <v>7291</v>
      </c>
      <c r="AO1414" t="s">
        <v>23844</v>
      </c>
      <c r="AP1414" t="s">
        <v>23845</v>
      </c>
      <c r="AQ1414" t="s">
        <v>74</v>
      </c>
      <c r="AR1414" t="s">
        <v>23846</v>
      </c>
      <c r="AS1414" t="s">
        <v>23847</v>
      </c>
      <c r="AT1414" t="s">
        <v>696</v>
      </c>
      <c r="AU1414">
        <v>2022</v>
      </c>
      <c r="AV1414">
        <v>17</v>
      </c>
      <c r="AW1414">
        <v>3</v>
      </c>
      <c r="AX1414" t="s">
        <v>74</v>
      </c>
      <c r="AY1414" t="s">
        <v>74</v>
      </c>
      <c r="AZ1414" t="s">
        <v>74</v>
      </c>
      <c r="BA1414" t="s">
        <v>74</v>
      </c>
      <c r="BB1414">
        <v>80</v>
      </c>
      <c r="BC1414">
        <v>89</v>
      </c>
      <c r="BD1414" t="s">
        <v>74</v>
      </c>
      <c r="BE1414" t="s">
        <v>23848</v>
      </c>
      <c r="BF1414" t="str">
        <f>HYPERLINK("http://dx.doi.org/10.2478/sbe-2022-0047","http://dx.doi.org/10.2478/sbe-2022-0047")</f>
        <v>http://dx.doi.org/10.2478/sbe-2022-0047</v>
      </c>
      <c r="BG1414" t="s">
        <v>74</v>
      </c>
      <c r="BH1414" t="s">
        <v>74</v>
      </c>
      <c r="BI1414">
        <v>10</v>
      </c>
      <c r="BJ1414" t="s">
        <v>675</v>
      </c>
      <c r="BK1414" t="s">
        <v>125</v>
      </c>
      <c r="BL1414" t="s">
        <v>480</v>
      </c>
      <c r="BM1414" t="s">
        <v>23849</v>
      </c>
      <c r="BN1414" t="s">
        <v>74</v>
      </c>
      <c r="BO1414" t="s">
        <v>235</v>
      </c>
      <c r="BP1414" t="s">
        <v>74</v>
      </c>
      <c r="BQ1414" t="s">
        <v>74</v>
      </c>
      <c r="BR1414" t="s">
        <v>102</v>
      </c>
      <c r="BS1414" t="s">
        <v>23850</v>
      </c>
      <c r="BT1414" t="str">
        <f>HYPERLINK("https%3A%2F%2Fwww.webofscience.com%2Fwos%2Fwoscc%2Ffull-record%2FWOS:000923095600006","View Full Record in Web of Science")</f>
        <v>View Full Record in Web of Science</v>
      </c>
    </row>
    <row r="1415" spans="1:72" x14ac:dyDescent="0.35">
      <c r="A1415" t="s">
        <v>72</v>
      </c>
      <c r="B1415" t="s">
        <v>23851</v>
      </c>
      <c r="C1415" t="s">
        <v>74</v>
      </c>
      <c r="D1415" t="s">
        <v>74</v>
      </c>
      <c r="E1415" t="s">
        <v>74</v>
      </c>
      <c r="F1415" t="s">
        <v>23852</v>
      </c>
      <c r="G1415" t="s">
        <v>74</v>
      </c>
      <c r="H1415" t="s">
        <v>74</v>
      </c>
      <c r="I1415" t="s">
        <v>23853</v>
      </c>
      <c r="J1415" t="s">
        <v>23854</v>
      </c>
      <c r="K1415" t="s">
        <v>74</v>
      </c>
      <c r="L1415" t="s">
        <v>74</v>
      </c>
      <c r="M1415" t="s">
        <v>78</v>
      </c>
      <c r="N1415" t="s">
        <v>79</v>
      </c>
      <c r="O1415" t="s">
        <v>74</v>
      </c>
      <c r="P1415" t="s">
        <v>74</v>
      </c>
      <c r="Q1415" t="s">
        <v>74</v>
      </c>
      <c r="R1415" t="s">
        <v>74</v>
      </c>
      <c r="S1415" t="s">
        <v>74</v>
      </c>
      <c r="T1415" t="s">
        <v>23855</v>
      </c>
      <c r="U1415" t="s">
        <v>23856</v>
      </c>
      <c r="V1415" t="s">
        <v>23857</v>
      </c>
      <c r="W1415" t="s">
        <v>23858</v>
      </c>
      <c r="X1415" t="s">
        <v>23859</v>
      </c>
      <c r="Y1415" t="s">
        <v>23860</v>
      </c>
      <c r="Z1415" t="s">
        <v>23861</v>
      </c>
      <c r="AA1415" t="s">
        <v>74</v>
      </c>
      <c r="AB1415" t="s">
        <v>23862</v>
      </c>
      <c r="AC1415" t="s">
        <v>74</v>
      </c>
      <c r="AD1415" t="s">
        <v>74</v>
      </c>
      <c r="AE1415" t="s">
        <v>74</v>
      </c>
      <c r="AF1415" t="s">
        <v>74</v>
      </c>
      <c r="AG1415">
        <v>102</v>
      </c>
      <c r="AH1415">
        <v>0</v>
      </c>
      <c r="AI1415">
        <v>0</v>
      </c>
      <c r="AJ1415">
        <v>18</v>
      </c>
      <c r="AK1415">
        <v>18</v>
      </c>
      <c r="AL1415" t="s">
        <v>3489</v>
      </c>
      <c r="AM1415" t="s">
        <v>3490</v>
      </c>
      <c r="AN1415" t="s">
        <v>3491</v>
      </c>
      <c r="AO1415" t="s">
        <v>23863</v>
      </c>
      <c r="AP1415" t="s">
        <v>23864</v>
      </c>
      <c r="AQ1415" t="s">
        <v>74</v>
      </c>
      <c r="AR1415" t="s">
        <v>23865</v>
      </c>
      <c r="AS1415" t="s">
        <v>23866</v>
      </c>
      <c r="AT1415" t="s">
        <v>23867</v>
      </c>
      <c r="AU1415">
        <v>2024</v>
      </c>
      <c r="AV1415" t="s">
        <v>74</v>
      </c>
      <c r="AW1415" t="s">
        <v>74</v>
      </c>
      <c r="AX1415" t="s">
        <v>74</v>
      </c>
      <c r="AY1415" t="s">
        <v>74</v>
      </c>
      <c r="AZ1415" t="s">
        <v>74</v>
      </c>
      <c r="BA1415" t="s">
        <v>74</v>
      </c>
      <c r="BB1415" t="s">
        <v>74</v>
      </c>
      <c r="BC1415" t="s">
        <v>74</v>
      </c>
      <c r="BD1415" t="s">
        <v>74</v>
      </c>
      <c r="BE1415" t="s">
        <v>23868</v>
      </c>
      <c r="BF1415" t="str">
        <f>HYPERLINK("http://dx.doi.org/10.1007/s11846-024-00810-9","http://dx.doi.org/10.1007/s11846-024-00810-9")</f>
        <v>http://dx.doi.org/10.1007/s11846-024-00810-9</v>
      </c>
      <c r="BG1415" t="s">
        <v>74</v>
      </c>
      <c r="BH1415" t="s">
        <v>1721</v>
      </c>
      <c r="BI1415">
        <v>24</v>
      </c>
      <c r="BJ1415" t="s">
        <v>1930</v>
      </c>
      <c r="BK1415" t="s">
        <v>99</v>
      </c>
      <c r="BL1415" t="s">
        <v>480</v>
      </c>
      <c r="BM1415" t="s">
        <v>23869</v>
      </c>
      <c r="BN1415" t="s">
        <v>74</v>
      </c>
      <c r="BO1415" t="s">
        <v>74</v>
      </c>
      <c r="BP1415" t="s">
        <v>74</v>
      </c>
      <c r="BQ1415" t="s">
        <v>74</v>
      </c>
      <c r="BR1415" t="s">
        <v>102</v>
      </c>
      <c r="BS1415" t="s">
        <v>23870</v>
      </c>
      <c r="BT1415" t="str">
        <f>HYPERLINK("https%3A%2F%2Fwww.webofscience.com%2Fwos%2Fwoscc%2Ffull-record%2FWOS:001324137100001","View Full Record in Web of Science")</f>
        <v>View Full Record in Web of Science</v>
      </c>
    </row>
    <row r="1416" spans="1:72" x14ac:dyDescent="0.35">
      <c r="A1416" t="s">
        <v>72</v>
      </c>
      <c r="B1416" t="s">
        <v>23871</v>
      </c>
      <c r="C1416" t="s">
        <v>74</v>
      </c>
      <c r="D1416" t="s">
        <v>74</v>
      </c>
      <c r="E1416" t="s">
        <v>74</v>
      </c>
      <c r="F1416" t="s">
        <v>23872</v>
      </c>
      <c r="G1416" t="s">
        <v>74</v>
      </c>
      <c r="H1416" t="s">
        <v>74</v>
      </c>
      <c r="I1416" t="s">
        <v>23873</v>
      </c>
      <c r="J1416" t="s">
        <v>9641</v>
      </c>
      <c r="K1416" t="s">
        <v>74</v>
      </c>
      <c r="L1416" t="s">
        <v>74</v>
      </c>
      <c r="M1416" t="s">
        <v>3503</v>
      </c>
      <c r="N1416" t="s">
        <v>108</v>
      </c>
      <c r="O1416" t="s">
        <v>74</v>
      </c>
      <c r="P1416" t="s">
        <v>74</v>
      </c>
      <c r="Q1416" t="s">
        <v>74</v>
      </c>
      <c r="R1416" t="s">
        <v>74</v>
      </c>
      <c r="S1416" t="s">
        <v>74</v>
      </c>
      <c r="T1416" t="s">
        <v>23874</v>
      </c>
      <c r="U1416" t="s">
        <v>23875</v>
      </c>
      <c r="V1416" t="s">
        <v>23876</v>
      </c>
      <c r="W1416" t="s">
        <v>23877</v>
      </c>
      <c r="X1416" t="s">
        <v>8393</v>
      </c>
      <c r="Y1416" t="s">
        <v>23878</v>
      </c>
      <c r="Z1416" t="s">
        <v>23879</v>
      </c>
      <c r="AA1416" t="s">
        <v>23880</v>
      </c>
      <c r="AB1416" t="s">
        <v>74</v>
      </c>
      <c r="AC1416" t="s">
        <v>74</v>
      </c>
      <c r="AD1416" t="s">
        <v>74</v>
      </c>
      <c r="AE1416" t="s">
        <v>74</v>
      </c>
      <c r="AF1416" t="s">
        <v>74</v>
      </c>
      <c r="AG1416">
        <v>53</v>
      </c>
      <c r="AH1416">
        <v>3</v>
      </c>
      <c r="AI1416">
        <v>3</v>
      </c>
      <c r="AJ1416">
        <v>3</v>
      </c>
      <c r="AK1416">
        <v>37</v>
      </c>
      <c r="AL1416" t="s">
        <v>9649</v>
      </c>
      <c r="AM1416" t="s">
        <v>6529</v>
      </c>
      <c r="AN1416" t="s">
        <v>9650</v>
      </c>
      <c r="AO1416" t="s">
        <v>74</v>
      </c>
      <c r="AP1416" t="s">
        <v>9651</v>
      </c>
      <c r="AQ1416" t="s">
        <v>74</v>
      </c>
      <c r="AR1416" t="s">
        <v>9652</v>
      </c>
      <c r="AS1416" t="s">
        <v>9653</v>
      </c>
      <c r="AT1416" t="s">
        <v>74</v>
      </c>
      <c r="AU1416">
        <v>2020</v>
      </c>
      <c r="AV1416" t="s">
        <v>74</v>
      </c>
      <c r="AW1416" t="s">
        <v>74</v>
      </c>
      <c r="AX1416" t="s">
        <v>74</v>
      </c>
      <c r="AY1416">
        <v>1</v>
      </c>
      <c r="AZ1416" t="s">
        <v>74</v>
      </c>
      <c r="BA1416" t="s">
        <v>74</v>
      </c>
      <c r="BB1416" t="s">
        <v>23881</v>
      </c>
      <c r="BC1416" t="s">
        <v>23882</v>
      </c>
      <c r="BD1416" t="s">
        <v>74</v>
      </c>
      <c r="BE1416" t="s">
        <v>23883</v>
      </c>
      <c r="BF1416" t="str">
        <f>HYPERLINK("http://dx.doi.org/10.20318/recs.2020.5459","http://dx.doi.org/10.20318/recs.2020.5459")</f>
        <v>http://dx.doi.org/10.20318/recs.2020.5459</v>
      </c>
      <c r="BG1416" t="s">
        <v>74</v>
      </c>
      <c r="BH1416" t="s">
        <v>74</v>
      </c>
      <c r="BI1416">
        <v>15</v>
      </c>
      <c r="BJ1416" t="s">
        <v>124</v>
      </c>
      <c r="BK1416" t="s">
        <v>125</v>
      </c>
      <c r="BL1416" t="s">
        <v>124</v>
      </c>
      <c r="BM1416" t="s">
        <v>9657</v>
      </c>
      <c r="BN1416" t="s">
        <v>74</v>
      </c>
      <c r="BO1416" t="s">
        <v>235</v>
      </c>
      <c r="BP1416" t="s">
        <v>74</v>
      </c>
      <c r="BQ1416" t="s">
        <v>74</v>
      </c>
      <c r="BR1416" t="s">
        <v>102</v>
      </c>
      <c r="BS1416" t="s">
        <v>23884</v>
      </c>
      <c r="BT1416" t="str">
        <f>HYPERLINK("https%3A%2F%2Fwww.webofscience.com%2Fwos%2Fwoscc%2Ffull-record%2FWOS:000551629600013","View Full Record in Web of Science")</f>
        <v>View Full Record in Web of Science</v>
      </c>
    </row>
    <row r="1417" spans="1:72" x14ac:dyDescent="0.35">
      <c r="A1417" t="s">
        <v>72</v>
      </c>
      <c r="B1417" t="s">
        <v>2391</v>
      </c>
      <c r="C1417" t="s">
        <v>74</v>
      </c>
      <c r="D1417" t="s">
        <v>74</v>
      </c>
      <c r="E1417" t="s">
        <v>74</v>
      </c>
      <c r="F1417" t="s">
        <v>2392</v>
      </c>
      <c r="G1417" t="s">
        <v>74</v>
      </c>
      <c r="H1417" t="s">
        <v>74</v>
      </c>
      <c r="I1417" t="s">
        <v>23885</v>
      </c>
      <c r="J1417" t="s">
        <v>681</v>
      </c>
      <c r="K1417" t="s">
        <v>74</v>
      </c>
      <c r="L1417" t="s">
        <v>74</v>
      </c>
      <c r="M1417" t="s">
        <v>78</v>
      </c>
      <c r="N1417" t="s">
        <v>108</v>
      </c>
      <c r="O1417" t="s">
        <v>74</v>
      </c>
      <c r="P1417" t="s">
        <v>74</v>
      </c>
      <c r="Q1417" t="s">
        <v>74</v>
      </c>
      <c r="R1417" t="s">
        <v>74</v>
      </c>
      <c r="S1417" t="s">
        <v>74</v>
      </c>
      <c r="T1417" t="s">
        <v>23886</v>
      </c>
      <c r="U1417" t="s">
        <v>23887</v>
      </c>
      <c r="V1417" t="s">
        <v>23888</v>
      </c>
      <c r="W1417" t="s">
        <v>23889</v>
      </c>
      <c r="X1417" t="s">
        <v>23890</v>
      </c>
      <c r="Y1417" t="s">
        <v>23891</v>
      </c>
      <c r="Z1417" t="s">
        <v>2401</v>
      </c>
      <c r="AA1417" t="s">
        <v>23892</v>
      </c>
      <c r="AB1417" t="s">
        <v>74</v>
      </c>
      <c r="AC1417" t="s">
        <v>74</v>
      </c>
      <c r="AD1417" t="s">
        <v>74</v>
      </c>
      <c r="AE1417" t="s">
        <v>74</v>
      </c>
      <c r="AF1417" t="s">
        <v>74</v>
      </c>
      <c r="AG1417">
        <v>61</v>
      </c>
      <c r="AH1417">
        <v>2</v>
      </c>
      <c r="AI1417">
        <v>2</v>
      </c>
      <c r="AJ1417">
        <v>18</v>
      </c>
      <c r="AK1417">
        <v>125</v>
      </c>
      <c r="AL1417" t="s">
        <v>384</v>
      </c>
      <c r="AM1417" t="s">
        <v>385</v>
      </c>
      <c r="AN1417" t="s">
        <v>386</v>
      </c>
      <c r="AO1417" t="s">
        <v>693</v>
      </c>
      <c r="AP1417" t="s">
        <v>74</v>
      </c>
      <c r="AQ1417" t="s">
        <v>74</v>
      </c>
      <c r="AR1417" t="s">
        <v>694</v>
      </c>
      <c r="AS1417" t="s">
        <v>695</v>
      </c>
      <c r="AT1417" t="s">
        <v>23893</v>
      </c>
      <c r="AU1417">
        <v>2023</v>
      </c>
      <c r="AV1417">
        <v>14</v>
      </c>
      <c r="AW1417" t="s">
        <v>74</v>
      </c>
      <c r="AX1417" t="s">
        <v>74</v>
      </c>
      <c r="AY1417" t="s">
        <v>74</v>
      </c>
      <c r="AZ1417" t="s">
        <v>74</v>
      </c>
      <c r="BA1417" t="s">
        <v>74</v>
      </c>
      <c r="BB1417" t="s">
        <v>74</v>
      </c>
      <c r="BC1417" t="s">
        <v>74</v>
      </c>
      <c r="BD1417">
        <v>1072344</v>
      </c>
      <c r="BE1417" t="s">
        <v>23894</v>
      </c>
      <c r="BF1417" t="str">
        <f>HYPERLINK("http://dx.doi.org/10.3389/fpsyg.2023.1072344","http://dx.doi.org/10.3389/fpsyg.2023.1072344")</f>
        <v>http://dx.doi.org/10.3389/fpsyg.2023.1072344</v>
      </c>
      <c r="BG1417" t="s">
        <v>74</v>
      </c>
      <c r="BH1417" t="s">
        <v>74</v>
      </c>
      <c r="BI1417">
        <v>9</v>
      </c>
      <c r="BJ1417" t="s">
        <v>698</v>
      </c>
      <c r="BK1417" t="s">
        <v>99</v>
      </c>
      <c r="BL1417" t="s">
        <v>301</v>
      </c>
      <c r="BM1417" t="s">
        <v>23895</v>
      </c>
      <c r="BN1417">
        <v>36949915</v>
      </c>
      <c r="BO1417" t="s">
        <v>552</v>
      </c>
      <c r="BP1417" t="s">
        <v>74</v>
      </c>
      <c r="BQ1417" t="s">
        <v>74</v>
      </c>
      <c r="BR1417" t="s">
        <v>102</v>
      </c>
      <c r="BS1417" t="s">
        <v>23896</v>
      </c>
      <c r="BT1417" t="str">
        <f>HYPERLINK("https%3A%2F%2Fwww.webofscience.com%2Fwos%2Fwoscc%2Ffull-record%2FWOS:000953506100001","View Full Record in Web of Science")</f>
        <v>View Full Record in Web of Science</v>
      </c>
    </row>
    <row r="1418" spans="1:72" x14ac:dyDescent="0.35">
      <c r="A1418" t="s">
        <v>72</v>
      </c>
      <c r="B1418" t="s">
        <v>23897</v>
      </c>
      <c r="C1418" t="s">
        <v>74</v>
      </c>
      <c r="D1418" t="s">
        <v>74</v>
      </c>
      <c r="E1418" t="s">
        <v>74</v>
      </c>
      <c r="F1418" t="s">
        <v>23898</v>
      </c>
      <c r="G1418" t="s">
        <v>74</v>
      </c>
      <c r="H1418" t="s">
        <v>74</v>
      </c>
      <c r="I1418" t="s">
        <v>23899</v>
      </c>
      <c r="J1418" t="s">
        <v>3687</v>
      </c>
      <c r="K1418" t="s">
        <v>74</v>
      </c>
      <c r="L1418" t="s">
        <v>74</v>
      </c>
      <c r="M1418" t="s">
        <v>78</v>
      </c>
      <c r="N1418" t="s">
        <v>108</v>
      </c>
      <c r="O1418" t="s">
        <v>74</v>
      </c>
      <c r="P1418" t="s">
        <v>74</v>
      </c>
      <c r="Q1418" t="s">
        <v>74</v>
      </c>
      <c r="R1418" t="s">
        <v>74</v>
      </c>
      <c r="S1418" t="s">
        <v>74</v>
      </c>
      <c r="T1418" t="s">
        <v>74</v>
      </c>
      <c r="U1418" t="s">
        <v>23900</v>
      </c>
      <c r="V1418" t="s">
        <v>23901</v>
      </c>
      <c r="W1418" t="s">
        <v>23902</v>
      </c>
      <c r="X1418" t="s">
        <v>8300</v>
      </c>
      <c r="Y1418" t="s">
        <v>23903</v>
      </c>
      <c r="Z1418" t="s">
        <v>23904</v>
      </c>
      <c r="AA1418" t="s">
        <v>23905</v>
      </c>
      <c r="AB1418" t="s">
        <v>23906</v>
      </c>
      <c r="AC1418" t="s">
        <v>23907</v>
      </c>
      <c r="AD1418" t="s">
        <v>23907</v>
      </c>
      <c r="AE1418" t="s">
        <v>23908</v>
      </c>
      <c r="AF1418" t="s">
        <v>74</v>
      </c>
      <c r="AG1418">
        <v>90</v>
      </c>
      <c r="AH1418">
        <v>2</v>
      </c>
      <c r="AI1418">
        <v>2</v>
      </c>
      <c r="AJ1418">
        <v>8</v>
      </c>
      <c r="AK1418">
        <v>33</v>
      </c>
      <c r="AL1418" t="s">
        <v>88</v>
      </c>
      <c r="AM1418" t="s">
        <v>89</v>
      </c>
      <c r="AN1418" t="s">
        <v>90</v>
      </c>
      <c r="AO1418" t="s">
        <v>3695</v>
      </c>
      <c r="AP1418" t="s">
        <v>3696</v>
      </c>
      <c r="AQ1418" t="s">
        <v>74</v>
      </c>
      <c r="AR1418" t="s">
        <v>3697</v>
      </c>
      <c r="AS1418" t="s">
        <v>3698</v>
      </c>
      <c r="AT1418" t="s">
        <v>23909</v>
      </c>
      <c r="AU1418">
        <v>2024</v>
      </c>
      <c r="AV1418">
        <v>39</v>
      </c>
      <c r="AW1418">
        <v>12</v>
      </c>
      <c r="AX1418" t="s">
        <v>74</v>
      </c>
      <c r="AY1418" t="s">
        <v>74</v>
      </c>
      <c r="AZ1418" t="s">
        <v>74</v>
      </c>
      <c r="BA1418" t="s">
        <v>74</v>
      </c>
      <c r="BB1418">
        <v>2458</v>
      </c>
      <c r="BC1418">
        <v>2473</v>
      </c>
      <c r="BD1418" t="s">
        <v>74</v>
      </c>
      <c r="BE1418" t="s">
        <v>23910</v>
      </c>
      <c r="BF1418" t="str">
        <f>HYPERLINK("http://dx.doi.org/10.1080/10410236.2023.2259621","http://dx.doi.org/10.1080/10410236.2023.2259621")</f>
        <v>http://dx.doi.org/10.1080/10410236.2023.2259621</v>
      </c>
      <c r="BG1418" t="s">
        <v>74</v>
      </c>
      <c r="BH1418" t="s">
        <v>2929</v>
      </c>
      <c r="BI1418">
        <v>16</v>
      </c>
      <c r="BJ1418" t="s">
        <v>3701</v>
      </c>
      <c r="BK1418" t="s">
        <v>99</v>
      </c>
      <c r="BL1418" t="s">
        <v>3702</v>
      </c>
      <c r="BM1418" t="s">
        <v>23911</v>
      </c>
      <c r="BN1418">
        <v>37766504</v>
      </c>
      <c r="BO1418" t="s">
        <v>74</v>
      </c>
      <c r="BP1418" t="s">
        <v>74</v>
      </c>
      <c r="BQ1418" t="s">
        <v>74</v>
      </c>
      <c r="BR1418" t="s">
        <v>102</v>
      </c>
      <c r="BS1418" t="s">
        <v>23912</v>
      </c>
      <c r="BT1418" t="str">
        <f>HYPERLINK("https%3A%2F%2Fwww.webofscience.com%2Fwos%2Fwoscc%2Ffull-record%2FWOS:001072745800001","View Full Record in Web of Science")</f>
        <v>View Full Record in Web of Science</v>
      </c>
    </row>
    <row r="1419" spans="1:72" x14ac:dyDescent="0.35">
      <c r="A1419" t="s">
        <v>72</v>
      </c>
      <c r="B1419" t="s">
        <v>23913</v>
      </c>
      <c r="C1419" t="s">
        <v>74</v>
      </c>
      <c r="D1419" t="s">
        <v>74</v>
      </c>
      <c r="E1419" t="s">
        <v>74</v>
      </c>
      <c r="F1419" t="s">
        <v>23914</v>
      </c>
      <c r="G1419" t="s">
        <v>74</v>
      </c>
      <c r="H1419" t="s">
        <v>74</v>
      </c>
      <c r="I1419" t="s">
        <v>23915</v>
      </c>
      <c r="J1419" t="s">
        <v>3502</v>
      </c>
      <c r="K1419" t="s">
        <v>74</v>
      </c>
      <c r="L1419" t="s">
        <v>74</v>
      </c>
      <c r="M1419" t="s">
        <v>3503</v>
      </c>
      <c r="N1419" t="s">
        <v>108</v>
      </c>
      <c r="O1419" t="s">
        <v>74</v>
      </c>
      <c r="P1419" t="s">
        <v>74</v>
      </c>
      <c r="Q1419" t="s">
        <v>74</v>
      </c>
      <c r="R1419" t="s">
        <v>74</v>
      </c>
      <c r="S1419" t="s">
        <v>74</v>
      </c>
      <c r="T1419" t="s">
        <v>23916</v>
      </c>
      <c r="U1419" t="s">
        <v>23917</v>
      </c>
      <c r="V1419" t="s">
        <v>23918</v>
      </c>
      <c r="W1419" t="s">
        <v>23919</v>
      </c>
      <c r="X1419" t="s">
        <v>23920</v>
      </c>
      <c r="Y1419" t="s">
        <v>23921</v>
      </c>
      <c r="Z1419" t="s">
        <v>23922</v>
      </c>
      <c r="AA1419" t="s">
        <v>23923</v>
      </c>
      <c r="AB1419" t="s">
        <v>23924</v>
      </c>
      <c r="AC1419" t="s">
        <v>74</v>
      </c>
      <c r="AD1419" t="s">
        <v>74</v>
      </c>
      <c r="AE1419" t="s">
        <v>74</v>
      </c>
      <c r="AF1419" t="s">
        <v>74</v>
      </c>
      <c r="AG1419">
        <v>51</v>
      </c>
      <c r="AH1419">
        <v>6</v>
      </c>
      <c r="AI1419">
        <v>6</v>
      </c>
      <c r="AJ1419">
        <v>5</v>
      </c>
      <c r="AK1419">
        <v>59</v>
      </c>
      <c r="AL1419" t="s">
        <v>3511</v>
      </c>
      <c r="AM1419" t="s">
        <v>3512</v>
      </c>
      <c r="AN1419" t="s">
        <v>3513</v>
      </c>
      <c r="AO1419" t="s">
        <v>3514</v>
      </c>
      <c r="AP1419" t="s">
        <v>74</v>
      </c>
      <c r="AQ1419" t="s">
        <v>74</v>
      </c>
      <c r="AR1419" t="s">
        <v>3515</v>
      </c>
      <c r="AS1419" t="s">
        <v>3516</v>
      </c>
      <c r="AT1419" t="s">
        <v>3517</v>
      </c>
      <c r="AU1419">
        <v>2022</v>
      </c>
      <c r="AV1419">
        <v>13</v>
      </c>
      <c r="AW1419">
        <v>1</v>
      </c>
      <c r="AX1419" t="s">
        <v>74</v>
      </c>
      <c r="AY1419" t="s">
        <v>74</v>
      </c>
      <c r="AZ1419" t="s">
        <v>456</v>
      </c>
      <c r="BA1419" t="s">
        <v>74</v>
      </c>
      <c r="BB1419">
        <v>331</v>
      </c>
      <c r="BC1419">
        <v>344</v>
      </c>
      <c r="BD1419" t="s">
        <v>74</v>
      </c>
      <c r="BE1419" t="s">
        <v>23925</v>
      </c>
      <c r="BF1419" t="str">
        <f>HYPERLINK("http://dx.doi.org/10.14198/MEDCOM.20836","http://dx.doi.org/10.14198/MEDCOM.20836")</f>
        <v>http://dx.doi.org/10.14198/MEDCOM.20836</v>
      </c>
      <c r="BG1419" t="s">
        <v>74</v>
      </c>
      <c r="BH1419" t="s">
        <v>74</v>
      </c>
      <c r="BI1419">
        <v>14</v>
      </c>
      <c r="BJ1419" t="s">
        <v>124</v>
      </c>
      <c r="BK1419" t="s">
        <v>125</v>
      </c>
      <c r="BL1419" t="s">
        <v>124</v>
      </c>
      <c r="BM1419" t="s">
        <v>6233</v>
      </c>
      <c r="BN1419" t="s">
        <v>74</v>
      </c>
      <c r="BO1419" t="s">
        <v>2703</v>
      </c>
      <c r="BP1419" t="s">
        <v>74</v>
      </c>
      <c r="BQ1419" t="s">
        <v>74</v>
      </c>
      <c r="BR1419" t="s">
        <v>102</v>
      </c>
      <c r="BS1419" t="s">
        <v>23926</v>
      </c>
      <c r="BT1419" t="str">
        <f>HYPERLINK("https%3A%2F%2Fwww.webofscience.com%2Fwos%2Fwoscc%2Ffull-record%2FWOS:000864460700022","View Full Record in Web of Science")</f>
        <v>View Full Record in Web of Science</v>
      </c>
    </row>
    <row r="1420" spans="1:72" x14ac:dyDescent="0.35">
      <c r="A1420" t="s">
        <v>72</v>
      </c>
      <c r="B1420" t="s">
        <v>23927</v>
      </c>
      <c r="C1420" t="s">
        <v>74</v>
      </c>
      <c r="D1420" t="s">
        <v>74</v>
      </c>
      <c r="E1420" t="s">
        <v>74</v>
      </c>
      <c r="F1420" t="s">
        <v>23928</v>
      </c>
      <c r="G1420" t="s">
        <v>74</v>
      </c>
      <c r="H1420" t="s">
        <v>74</v>
      </c>
      <c r="I1420" t="s">
        <v>23929</v>
      </c>
      <c r="J1420" t="s">
        <v>18907</v>
      </c>
      <c r="K1420" t="s">
        <v>74</v>
      </c>
      <c r="L1420" t="s">
        <v>74</v>
      </c>
      <c r="M1420" t="s">
        <v>78</v>
      </c>
      <c r="N1420" t="s">
        <v>108</v>
      </c>
      <c r="O1420" t="s">
        <v>74</v>
      </c>
      <c r="P1420" t="s">
        <v>74</v>
      </c>
      <c r="Q1420" t="s">
        <v>74</v>
      </c>
      <c r="R1420" t="s">
        <v>74</v>
      </c>
      <c r="S1420" t="s">
        <v>74</v>
      </c>
      <c r="T1420" t="s">
        <v>23930</v>
      </c>
      <c r="U1420" t="s">
        <v>74</v>
      </c>
      <c r="V1420" t="s">
        <v>23931</v>
      </c>
      <c r="W1420" t="s">
        <v>23932</v>
      </c>
      <c r="X1420" t="s">
        <v>23933</v>
      </c>
      <c r="Y1420" t="s">
        <v>23934</v>
      </c>
      <c r="Z1420" t="s">
        <v>23935</v>
      </c>
      <c r="AA1420" t="s">
        <v>23936</v>
      </c>
      <c r="AB1420" t="s">
        <v>23937</v>
      </c>
      <c r="AC1420" t="s">
        <v>74</v>
      </c>
      <c r="AD1420" t="s">
        <v>74</v>
      </c>
      <c r="AE1420" t="s">
        <v>74</v>
      </c>
      <c r="AF1420" t="s">
        <v>74</v>
      </c>
      <c r="AG1420">
        <v>44</v>
      </c>
      <c r="AH1420">
        <v>13</v>
      </c>
      <c r="AI1420">
        <v>14</v>
      </c>
      <c r="AJ1420">
        <v>1</v>
      </c>
      <c r="AK1420">
        <v>66</v>
      </c>
      <c r="AL1420" t="s">
        <v>88</v>
      </c>
      <c r="AM1420" t="s">
        <v>89</v>
      </c>
      <c r="AN1420" t="s">
        <v>90</v>
      </c>
      <c r="AO1420" t="s">
        <v>18911</v>
      </c>
      <c r="AP1420" t="s">
        <v>18912</v>
      </c>
      <c r="AQ1420" t="s">
        <v>74</v>
      </c>
      <c r="AR1420" t="s">
        <v>18913</v>
      </c>
      <c r="AS1420" t="s">
        <v>18914</v>
      </c>
      <c r="AT1420" t="s">
        <v>2323</v>
      </c>
      <c r="AU1420">
        <v>2020</v>
      </c>
      <c r="AV1420">
        <v>14</v>
      </c>
      <c r="AW1420">
        <v>1</v>
      </c>
      <c r="AX1420" t="s">
        <v>74</v>
      </c>
      <c r="AY1420" t="s">
        <v>74</v>
      </c>
      <c r="AZ1420" t="s">
        <v>74</v>
      </c>
      <c r="BA1420" t="s">
        <v>74</v>
      </c>
      <c r="BB1420">
        <v>5</v>
      </c>
      <c r="BC1420">
        <v>21</v>
      </c>
      <c r="BD1420" t="s">
        <v>74</v>
      </c>
      <c r="BE1420" t="s">
        <v>23938</v>
      </c>
      <c r="BF1420" t="str">
        <f>HYPERLINK("http://dx.doi.org/10.1080/17482798.2019.1701055","http://dx.doi.org/10.1080/17482798.2019.1701055")</f>
        <v>http://dx.doi.org/10.1080/17482798.2019.1701055</v>
      </c>
      <c r="BG1420" t="s">
        <v>74</v>
      </c>
      <c r="BH1420" t="s">
        <v>23939</v>
      </c>
      <c r="BI1420">
        <v>17</v>
      </c>
      <c r="BJ1420" t="s">
        <v>18916</v>
      </c>
      <c r="BK1420" t="s">
        <v>99</v>
      </c>
      <c r="BL1420" t="s">
        <v>18917</v>
      </c>
      <c r="BM1420" t="s">
        <v>23940</v>
      </c>
      <c r="BN1420" t="s">
        <v>74</v>
      </c>
      <c r="BO1420" t="s">
        <v>2194</v>
      </c>
      <c r="BP1420" t="s">
        <v>74</v>
      </c>
      <c r="BQ1420" t="s">
        <v>74</v>
      </c>
      <c r="BR1420" t="s">
        <v>102</v>
      </c>
      <c r="BS1420" t="s">
        <v>23941</v>
      </c>
      <c r="BT1420" t="str">
        <f>HYPERLINK("https%3A%2F%2Fwww.webofscience.com%2Fwos%2Fwoscc%2Ffull-record%2FWOS:000501538600001","View Full Record in Web of Science")</f>
        <v>View Full Record in Web of Science</v>
      </c>
    </row>
    <row r="1421" spans="1:72" x14ac:dyDescent="0.35">
      <c r="A1421" t="s">
        <v>72</v>
      </c>
      <c r="B1421" t="s">
        <v>23942</v>
      </c>
      <c r="C1421" t="s">
        <v>74</v>
      </c>
      <c r="D1421" t="s">
        <v>74</v>
      </c>
      <c r="E1421" t="s">
        <v>74</v>
      </c>
      <c r="F1421" t="s">
        <v>23943</v>
      </c>
      <c r="G1421" t="s">
        <v>74</v>
      </c>
      <c r="H1421" t="s">
        <v>74</v>
      </c>
      <c r="I1421" t="s">
        <v>23944</v>
      </c>
      <c r="J1421" t="s">
        <v>1705</v>
      </c>
      <c r="K1421" t="s">
        <v>74</v>
      </c>
      <c r="L1421" t="s">
        <v>74</v>
      </c>
      <c r="M1421" t="s">
        <v>78</v>
      </c>
      <c r="N1421" t="s">
        <v>108</v>
      </c>
      <c r="O1421" t="s">
        <v>74</v>
      </c>
      <c r="P1421" t="s">
        <v>74</v>
      </c>
      <c r="Q1421" t="s">
        <v>74</v>
      </c>
      <c r="R1421" t="s">
        <v>74</v>
      </c>
      <c r="S1421" t="s">
        <v>74</v>
      </c>
      <c r="T1421" t="s">
        <v>23945</v>
      </c>
      <c r="U1421" t="s">
        <v>23946</v>
      </c>
      <c r="V1421" t="s">
        <v>23947</v>
      </c>
      <c r="W1421" t="s">
        <v>23948</v>
      </c>
      <c r="X1421" t="s">
        <v>23949</v>
      </c>
      <c r="Y1421" t="s">
        <v>23950</v>
      </c>
      <c r="Z1421" t="s">
        <v>23951</v>
      </c>
      <c r="AA1421" t="s">
        <v>74</v>
      </c>
      <c r="AB1421" t="s">
        <v>23952</v>
      </c>
      <c r="AC1421" t="s">
        <v>74</v>
      </c>
      <c r="AD1421" t="s">
        <v>74</v>
      </c>
      <c r="AE1421" t="s">
        <v>74</v>
      </c>
      <c r="AF1421" t="s">
        <v>74</v>
      </c>
      <c r="AG1421">
        <v>73</v>
      </c>
      <c r="AH1421">
        <v>0</v>
      </c>
      <c r="AI1421">
        <v>0</v>
      </c>
      <c r="AJ1421">
        <v>2</v>
      </c>
      <c r="AK1421">
        <v>2</v>
      </c>
      <c r="AL1421" t="s">
        <v>1129</v>
      </c>
      <c r="AM1421" t="s">
        <v>89</v>
      </c>
      <c r="AN1421" t="s">
        <v>1130</v>
      </c>
      <c r="AO1421" t="s">
        <v>1715</v>
      </c>
      <c r="AP1421" t="s">
        <v>1716</v>
      </c>
      <c r="AQ1421" t="s">
        <v>74</v>
      </c>
      <c r="AR1421" t="s">
        <v>1717</v>
      </c>
      <c r="AS1421" t="s">
        <v>1718</v>
      </c>
      <c r="AT1421" t="s">
        <v>6029</v>
      </c>
      <c r="AU1421">
        <v>2024</v>
      </c>
      <c r="AV1421">
        <v>30</v>
      </c>
      <c r="AW1421">
        <v>2</v>
      </c>
      <c r="AX1421" t="s">
        <v>74</v>
      </c>
      <c r="AY1421" t="s">
        <v>74</v>
      </c>
      <c r="AZ1421" t="s">
        <v>74</v>
      </c>
      <c r="BA1421" t="s">
        <v>74</v>
      </c>
      <c r="BB1421">
        <v>242</v>
      </c>
      <c r="BC1421">
        <v>264</v>
      </c>
      <c r="BD1421" t="s">
        <v>74</v>
      </c>
      <c r="BE1421" t="s">
        <v>23953</v>
      </c>
      <c r="BF1421" t="str">
        <f>HYPERLINK("http://dx.doi.org/10.1080/13527266.2023.2208131","http://dx.doi.org/10.1080/13527266.2023.2208131")</f>
        <v>http://dx.doi.org/10.1080/13527266.2023.2208131</v>
      </c>
      <c r="BG1421" t="s">
        <v>74</v>
      </c>
      <c r="BH1421" t="s">
        <v>74</v>
      </c>
      <c r="BI1421">
        <v>23</v>
      </c>
      <c r="BJ1421" t="s">
        <v>1722</v>
      </c>
      <c r="BK1421" t="s">
        <v>125</v>
      </c>
      <c r="BL1421" t="s">
        <v>1723</v>
      </c>
      <c r="BM1421" t="s">
        <v>23954</v>
      </c>
      <c r="BN1421" t="s">
        <v>74</v>
      </c>
      <c r="BO1421" t="s">
        <v>156</v>
      </c>
      <c r="BP1421" t="s">
        <v>74</v>
      </c>
      <c r="BQ1421" t="s">
        <v>74</v>
      </c>
      <c r="BR1421" t="s">
        <v>102</v>
      </c>
      <c r="BS1421" t="s">
        <v>23955</v>
      </c>
      <c r="BT1421" t="str">
        <f>HYPERLINK("https%3A%2F%2Fwww.webofscience.com%2Fwos%2Fwoscc%2Ffull-record%2FWOS:001249979600006","View Full Record in Web of Science")</f>
        <v>View Full Record in Web of Science</v>
      </c>
    </row>
    <row r="1422" spans="1:72" x14ac:dyDescent="0.35">
      <c r="A1422" t="s">
        <v>72</v>
      </c>
      <c r="B1422" t="s">
        <v>23956</v>
      </c>
      <c r="C1422" t="s">
        <v>74</v>
      </c>
      <c r="D1422" t="s">
        <v>74</v>
      </c>
      <c r="E1422" t="s">
        <v>74</v>
      </c>
      <c r="F1422" t="s">
        <v>23957</v>
      </c>
      <c r="G1422" t="s">
        <v>74</v>
      </c>
      <c r="H1422" t="s">
        <v>74</v>
      </c>
      <c r="I1422" t="s">
        <v>23958</v>
      </c>
      <c r="J1422" t="s">
        <v>23959</v>
      </c>
      <c r="K1422" t="s">
        <v>74</v>
      </c>
      <c r="L1422" t="s">
        <v>74</v>
      </c>
      <c r="M1422" t="s">
        <v>78</v>
      </c>
      <c r="N1422" t="s">
        <v>374</v>
      </c>
      <c r="O1422" t="s">
        <v>74</v>
      </c>
      <c r="P1422" t="s">
        <v>74</v>
      </c>
      <c r="Q1422" t="s">
        <v>74</v>
      </c>
      <c r="R1422" t="s">
        <v>74</v>
      </c>
      <c r="S1422" t="s">
        <v>74</v>
      </c>
      <c r="T1422" t="s">
        <v>23960</v>
      </c>
      <c r="U1422" t="s">
        <v>23961</v>
      </c>
      <c r="V1422" t="s">
        <v>23962</v>
      </c>
      <c r="W1422" t="s">
        <v>23963</v>
      </c>
      <c r="X1422" t="s">
        <v>23964</v>
      </c>
      <c r="Y1422" t="s">
        <v>23965</v>
      </c>
      <c r="Z1422" t="s">
        <v>23966</v>
      </c>
      <c r="AA1422" t="s">
        <v>23967</v>
      </c>
      <c r="AB1422" t="s">
        <v>74</v>
      </c>
      <c r="AC1422" t="s">
        <v>23968</v>
      </c>
      <c r="AD1422" t="s">
        <v>23968</v>
      </c>
      <c r="AE1422" t="s">
        <v>23969</v>
      </c>
      <c r="AF1422" t="s">
        <v>74</v>
      </c>
      <c r="AG1422">
        <v>68</v>
      </c>
      <c r="AH1422">
        <v>0</v>
      </c>
      <c r="AI1422">
        <v>0</v>
      </c>
      <c r="AJ1422">
        <v>0</v>
      </c>
      <c r="AK1422">
        <v>0</v>
      </c>
      <c r="AL1422" t="s">
        <v>2382</v>
      </c>
      <c r="AM1422" t="s">
        <v>227</v>
      </c>
      <c r="AN1422" t="s">
        <v>2383</v>
      </c>
      <c r="AO1422" t="s">
        <v>74</v>
      </c>
      <c r="AP1422" t="s">
        <v>23970</v>
      </c>
      <c r="AQ1422" t="s">
        <v>74</v>
      </c>
      <c r="AR1422" t="s">
        <v>23971</v>
      </c>
      <c r="AS1422" t="s">
        <v>23972</v>
      </c>
      <c r="AT1422" t="s">
        <v>23973</v>
      </c>
      <c r="AU1422">
        <v>2024</v>
      </c>
      <c r="AV1422">
        <v>21</v>
      </c>
      <c r="AW1422">
        <v>1</v>
      </c>
      <c r="AX1422" t="s">
        <v>74</v>
      </c>
      <c r="AY1422" t="s">
        <v>74</v>
      </c>
      <c r="AZ1422" t="s">
        <v>74</v>
      </c>
      <c r="BA1422" t="s">
        <v>74</v>
      </c>
      <c r="BB1422" t="s">
        <v>74</v>
      </c>
      <c r="BC1422" t="s">
        <v>74</v>
      </c>
      <c r="BD1422">
        <v>194</v>
      </c>
      <c r="BE1422" t="s">
        <v>23974</v>
      </c>
      <c r="BF1422" t="str">
        <f>HYPERLINK("http://dx.doi.org/10.1186/s12954-024-01104-9","http://dx.doi.org/10.1186/s12954-024-01104-9")</f>
        <v>http://dx.doi.org/10.1186/s12954-024-01104-9</v>
      </c>
      <c r="BG1422" t="s">
        <v>74</v>
      </c>
      <c r="BH1422" t="s">
        <v>74</v>
      </c>
      <c r="BI1422">
        <v>11</v>
      </c>
      <c r="BJ1422" t="s">
        <v>4614</v>
      </c>
      <c r="BK1422" t="s">
        <v>99</v>
      </c>
      <c r="BL1422" t="s">
        <v>4614</v>
      </c>
      <c r="BM1422" t="s">
        <v>23975</v>
      </c>
      <c r="BN1422">
        <v>39516798</v>
      </c>
      <c r="BO1422" t="s">
        <v>235</v>
      </c>
      <c r="BP1422" t="s">
        <v>74</v>
      </c>
      <c r="BQ1422" t="s">
        <v>74</v>
      </c>
      <c r="BR1422" t="s">
        <v>102</v>
      </c>
      <c r="BS1422" t="s">
        <v>23976</v>
      </c>
      <c r="BT1422" t="str">
        <f>HYPERLINK("https%3A%2F%2Fwww.webofscience.com%2Fwos%2Fwoscc%2Ffull-record%2FWOS:001351547600001","View Full Record in Web of Science")</f>
        <v>View Full Record in Web of Science</v>
      </c>
    </row>
    <row r="1423" spans="1:72" x14ac:dyDescent="0.35">
      <c r="A1423" t="s">
        <v>72</v>
      </c>
      <c r="B1423" t="s">
        <v>23977</v>
      </c>
      <c r="C1423" t="s">
        <v>74</v>
      </c>
      <c r="D1423" t="s">
        <v>74</v>
      </c>
      <c r="E1423" t="s">
        <v>74</v>
      </c>
      <c r="F1423" t="s">
        <v>23978</v>
      </c>
      <c r="G1423" t="s">
        <v>74</v>
      </c>
      <c r="H1423" t="s">
        <v>74</v>
      </c>
      <c r="I1423" t="s">
        <v>23979</v>
      </c>
      <c r="J1423" t="s">
        <v>3687</v>
      </c>
      <c r="K1423" t="s">
        <v>74</v>
      </c>
      <c r="L1423" t="s">
        <v>74</v>
      </c>
      <c r="M1423" t="s">
        <v>78</v>
      </c>
      <c r="N1423" t="s">
        <v>79</v>
      </c>
      <c r="O1423" t="s">
        <v>74</v>
      </c>
      <c r="P1423" t="s">
        <v>74</v>
      </c>
      <c r="Q1423" t="s">
        <v>74</v>
      </c>
      <c r="R1423" t="s">
        <v>74</v>
      </c>
      <c r="S1423" t="s">
        <v>74</v>
      </c>
      <c r="T1423" t="s">
        <v>74</v>
      </c>
      <c r="U1423" t="s">
        <v>23980</v>
      </c>
      <c r="V1423" t="s">
        <v>23981</v>
      </c>
      <c r="W1423" t="s">
        <v>23982</v>
      </c>
      <c r="X1423" t="s">
        <v>23983</v>
      </c>
      <c r="Y1423" t="s">
        <v>23984</v>
      </c>
      <c r="Z1423" t="s">
        <v>23985</v>
      </c>
      <c r="AA1423" t="s">
        <v>23986</v>
      </c>
      <c r="AB1423" t="s">
        <v>23987</v>
      </c>
      <c r="AC1423" t="s">
        <v>23988</v>
      </c>
      <c r="AD1423" t="s">
        <v>23989</v>
      </c>
      <c r="AE1423" t="s">
        <v>23990</v>
      </c>
      <c r="AF1423" t="s">
        <v>74</v>
      </c>
      <c r="AG1423">
        <v>55</v>
      </c>
      <c r="AH1423">
        <v>1</v>
      </c>
      <c r="AI1423">
        <v>1</v>
      </c>
      <c r="AJ1423">
        <v>12</v>
      </c>
      <c r="AK1423">
        <v>23</v>
      </c>
      <c r="AL1423" t="s">
        <v>88</v>
      </c>
      <c r="AM1423" t="s">
        <v>89</v>
      </c>
      <c r="AN1423" t="s">
        <v>90</v>
      </c>
      <c r="AO1423" t="s">
        <v>3695</v>
      </c>
      <c r="AP1423" t="s">
        <v>3696</v>
      </c>
      <c r="AQ1423" t="s">
        <v>74</v>
      </c>
      <c r="AR1423" t="s">
        <v>3697</v>
      </c>
      <c r="AS1423" t="s">
        <v>3698</v>
      </c>
      <c r="AT1423" t="s">
        <v>23991</v>
      </c>
      <c r="AU1423">
        <v>2024</v>
      </c>
      <c r="AV1423" t="s">
        <v>74</v>
      </c>
      <c r="AW1423" t="s">
        <v>74</v>
      </c>
      <c r="AX1423" t="s">
        <v>74</v>
      </c>
      <c r="AY1423" t="s">
        <v>74</v>
      </c>
      <c r="AZ1423" t="s">
        <v>74</v>
      </c>
      <c r="BA1423" t="s">
        <v>74</v>
      </c>
      <c r="BB1423" t="s">
        <v>74</v>
      </c>
      <c r="BC1423" t="s">
        <v>74</v>
      </c>
      <c r="BD1423" t="s">
        <v>74</v>
      </c>
      <c r="BE1423" t="s">
        <v>23992</v>
      </c>
      <c r="BF1423" t="str">
        <f>HYPERLINK("http://dx.doi.org/10.1080/10410236.2023.2301201","http://dx.doi.org/10.1080/10410236.2023.2301201")</f>
        <v>http://dx.doi.org/10.1080/10410236.2023.2301201</v>
      </c>
      <c r="BG1423" t="s">
        <v>74</v>
      </c>
      <c r="BH1423" t="s">
        <v>786</v>
      </c>
      <c r="BI1423">
        <v>13</v>
      </c>
      <c r="BJ1423" t="s">
        <v>3701</v>
      </c>
      <c r="BK1423" t="s">
        <v>99</v>
      </c>
      <c r="BL1423" t="s">
        <v>3702</v>
      </c>
      <c r="BM1423" t="s">
        <v>23993</v>
      </c>
      <c r="BN1423">
        <v>38389200</v>
      </c>
      <c r="BO1423" t="s">
        <v>156</v>
      </c>
      <c r="BP1423" t="s">
        <v>74</v>
      </c>
      <c r="BQ1423" t="s">
        <v>74</v>
      </c>
      <c r="BR1423" t="s">
        <v>102</v>
      </c>
      <c r="BS1423" t="s">
        <v>23994</v>
      </c>
      <c r="BT1423" t="str">
        <f>HYPERLINK("https%3A%2F%2Fwww.webofscience.com%2Fwos%2Fwoscc%2Ffull-record%2FWOS:001169407400001","View Full Record in Web of Science")</f>
        <v>View Full Record in Web of Science</v>
      </c>
    </row>
    <row r="1424" spans="1:72" x14ac:dyDescent="0.35">
      <c r="A1424" t="s">
        <v>72</v>
      </c>
      <c r="B1424" t="s">
        <v>4553</v>
      </c>
      <c r="C1424" t="s">
        <v>74</v>
      </c>
      <c r="D1424" t="s">
        <v>74</v>
      </c>
      <c r="E1424" t="s">
        <v>74</v>
      </c>
      <c r="F1424" t="s">
        <v>4554</v>
      </c>
      <c r="G1424" t="s">
        <v>74</v>
      </c>
      <c r="H1424" t="s">
        <v>74</v>
      </c>
      <c r="I1424" t="s">
        <v>23995</v>
      </c>
      <c r="J1424" t="s">
        <v>13233</v>
      </c>
      <c r="K1424" t="s">
        <v>74</v>
      </c>
      <c r="L1424" t="s">
        <v>74</v>
      </c>
      <c r="M1424" t="s">
        <v>78</v>
      </c>
      <c r="N1424" t="s">
        <v>108</v>
      </c>
      <c r="O1424" t="s">
        <v>74</v>
      </c>
      <c r="P1424" t="s">
        <v>74</v>
      </c>
      <c r="Q1424" t="s">
        <v>74</v>
      </c>
      <c r="R1424" t="s">
        <v>74</v>
      </c>
      <c r="S1424" t="s">
        <v>74</v>
      </c>
      <c r="T1424" t="s">
        <v>23996</v>
      </c>
      <c r="U1424" t="s">
        <v>23997</v>
      </c>
      <c r="V1424" t="s">
        <v>23998</v>
      </c>
      <c r="W1424" t="s">
        <v>23999</v>
      </c>
      <c r="X1424" t="s">
        <v>4561</v>
      </c>
      <c r="Y1424" t="s">
        <v>24000</v>
      </c>
      <c r="Z1424" t="s">
        <v>4563</v>
      </c>
      <c r="AA1424" t="s">
        <v>4564</v>
      </c>
      <c r="AB1424" t="s">
        <v>4565</v>
      </c>
      <c r="AC1424" t="s">
        <v>24001</v>
      </c>
      <c r="AD1424" t="s">
        <v>24002</v>
      </c>
      <c r="AE1424" t="s">
        <v>24003</v>
      </c>
      <c r="AF1424" t="s">
        <v>74</v>
      </c>
      <c r="AG1424">
        <v>47</v>
      </c>
      <c r="AH1424">
        <v>1</v>
      </c>
      <c r="AI1424">
        <v>1</v>
      </c>
      <c r="AJ1424">
        <v>24</v>
      </c>
      <c r="AK1424">
        <v>42</v>
      </c>
      <c r="AL1424" t="s">
        <v>171</v>
      </c>
      <c r="AM1424" t="s">
        <v>172</v>
      </c>
      <c r="AN1424" t="s">
        <v>173</v>
      </c>
      <c r="AO1424" t="s">
        <v>13246</v>
      </c>
      <c r="AP1424" t="s">
        <v>74</v>
      </c>
      <c r="AQ1424" t="s">
        <v>74</v>
      </c>
      <c r="AR1424" t="s">
        <v>13233</v>
      </c>
      <c r="AS1424" t="s">
        <v>13247</v>
      </c>
      <c r="AT1424" t="s">
        <v>594</v>
      </c>
      <c r="AU1424">
        <v>2023</v>
      </c>
      <c r="AV1424">
        <v>13</v>
      </c>
      <c r="AW1424">
        <v>4</v>
      </c>
      <c r="AX1424" t="s">
        <v>74</v>
      </c>
      <c r="AY1424" t="s">
        <v>74</v>
      </c>
      <c r="AZ1424" t="s">
        <v>74</v>
      </c>
      <c r="BA1424" t="s">
        <v>74</v>
      </c>
      <c r="BB1424" t="s">
        <v>74</v>
      </c>
      <c r="BC1424" t="s">
        <v>74</v>
      </c>
      <c r="BD1424">
        <v>2.1582440231219096E+16</v>
      </c>
      <c r="BE1424" t="s">
        <v>24004</v>
      </c>
      <c r="BF1424" t="str">
        <f>HYPERLINK("http://dx.doi.org/10.1177/21582440231219096","http://dx.doi.org/10.1177/21582440231219096")</f>
        <v>http://dx.doi.org/10.1177/21582440231219096</v>
      </c>
      <c r="BG1424" t="s">
        <v>74</v>
      </c>
      <c r="BH1424" t="s">
        <v>74</v>
      </c>
      <c r="BI1424">
        <v>10</v>
      </c>
      <c r="BJ1424" t="s">
        <v>98</v>
      </c>
      <c r="BK1424" t="s">
        <v>99</v>
      </c>
      <c r="BL1424" t="s">
        <v>100</v>
      </c>
      <c r="BM1424" t="s">
        <v>24005</v>
      </c>
      <c r="BN1424" t="s">
        <v>74</v>
      </c>
      <c r="BO1424" t="s">
        <v>235</v>
      </c>
      <c r="BP1424" t="s">
        <v>74</v>
      </c>
      <c r="BQ1424" t="s">
        <v>74</v>
      </c>
      <c r="BR1424" t="s">
        <v>102</v>
      </c>
      <c r="BS1424" t="s">
        <v>24006</v>
      </c>
      <c r="BT1424" t="str">
        <f>HYPERLINK("https%3A%2F%2Fwww.webofscience.com%2Fwos%2Fwoscc%2Ffull-record%2FWOS:001129042900001","View Full Record in Web of Science")</f>
        <v>View Full Record in Web of Science</v>
      </c>
    </row>
    <row r="1425" spans="1:72" x14ac:dyDescent="0.35">
      <c r="A1425" t="s">
        <v>72</v>
      </c>
      <c r="B1425" t="s">
        <v>24007</v>
      </c>
      <c r="C1425" t="s">
        <v>74</v>
      </c>
      <c r="D1425" t="s">
        <v>74</v>
      </c>
      <c r="E1425" t="s">
        <v>74</v>
      </c>
      <c r="F1425" t="s">
        <v>24008</v>
      </c>
      <c r="G1425" t="s">
        <v>74</v>
      </c>
      <c r="H1425" t="s">
        <v>74</v>
      </c>
      <c r="I1425" t="s">
        <v>24009</v>
      </c>
      <c r="J1425" t="s">
        <v>24010</v>
      </c>
      <c r="K1425" t="s">
        <v>74</v>
      </c>
      <c r="L1425" t="s">
        <v>74</v>
      </c>
      <c r="M1425" t="s">
        <v>78</v>
      </c>
      <c r="N1425" t="s">
        <v>108</v>
      </c>
      <c r="O1425" t="s">
        <v>74</v>
      </c>
      <c r="P1425" t="s">
        <v>74</v>
      </c>
      <c r="Q1425" t="s">
        <v>74</v>
      </c>
      <c r="R1425" t="s">
        <v>74</v>
      </c>
      <c r="S1425" t="s">
        <v>74</v>
      </c>
      <c r="T1425" t="s">
        <v>24011</v>
      </c>
      <c r="U1425" t="s">
        <v>24012</v>
      </c>
      <c r="V1425" t="s">
        <v>24013</v>
      </c>
      <c r="W1425" t="s">
        <v>24014</v>
      </c>
      <c r="X1425" t="s">
        <v>11766</v>
      </c>
      <c r="Y1425" t="s">
        <v>24015</v>
      </c>
      <c r="Z1425" t="s">
        <v>24016</v>
      </c>
      <c r="AA1425" t="s">
        <v>74</v>
      </c>
      <c r="AB1425" t="s">
        <v>24017</v>
      </c>
      <c r="AC1425" t="s">
        <v>74</v>
      </c>
      <c r="AD1425" t="s">
        <v>74</v>
      </c>
      <c r="AE1425" t="s">
        <v>74</v>
      </c>
      <c r="AF1425" t="s">
        <v>74</v>
      </c>
      <c r="AG1425">
        <v>86</v>
      </c>
      <c r="AH1425">
        <v>1</v>
      </c>
      <c r="AI1425">
        <v>2</v>
      </c>
      <c r="AJ1425">
        <v>8</v>
      </c>
      <c r="AK1425">
        <v>39</v>
      </c>
      <c r="AL1425" t="s">
        <v>88</v>
      </c>
      <c r="AM1425" t="s">
        <v>89</v>
      </c>
      <c r="AN1425" t="s">
        <v>90</v>
      </c>
      <c r="AO1425" t="s">
        <v>24018</v>
      </c>
      <c r="AP1425" t="s">
        <v>24019</v>
      </c>
      <c r="AQ1425" t="s">
        <v>74</v>
      </c>
      <c r="AR1425" t="s">
        <v>24020</v>
      </c>
      <c r="AS1425" t="s">
        <v>24021</v>
      </c>
      <c r="AT1425" t="s">
        <v>5760</v>
      </c>
      <c r="AU1425">
        <v>2023</v>
      </c>
      <c r="AV1425">
        <v>29</v>
      </c>
      <c r="AW1425">
        <v>10</v>
      </c>
      <c r="AX1425" t="s">
        <v>74</v>
      </c>
      <c r="AY1425" t="s">
        <v>74</v>
      </c>
      <c r="AZ1425" t="s">
        <v>74</v>
      </c>
      <c r="BA1425" t="s">
        <v>74</v>
      </c>
      <c r="BB1425">
        <v>1089</v>
      </c>
      <c r="BC1425">
        <v>1109</v>
      </c>
      <c r="BD1425" t="s">
        <v>74</v>
      </c>
      <c r="BE1425" t="s">
        <v>24022</v>
      </c>
      <c r="BF1425" t="str">
        <f>HYPERLINK("http://dx.doi.org/10.1080/13527258.2023.2237495","http://dx.doi.org/10.1080/13527258.2023.2237495")</f>
        <v>http://dx.doi.org/10.1080/13527258.2023.2237495</v>
      </c>
      <c r="BG1425" t="s">
        <v>74</v>
      </c>
      <c r="BH1425" t="s">
        <v>1180</v>
      </c>
      <c r="BI1425">
        <v>21</v>
      </c>
      <c r="BJ1425" t="s">
        <v>4400</v>
      </c>
      <c r="BK1425" t="s">
        <v>2125</v>
      </c>
      <c r="BL1425" t="s">
        <v>4401</v>
      </c>
      <c r="BM1425" t="s">
        <v>24023</v>
      </c>
      <c r="BN1425" t="s">
        <v>74</v>
      </c>
      <c r="BO1425" t="s">
        <v>74</v>
      </c>
      <c r="BP1425" t="s">
        <v>74</v>
      </c>
      <c r="BQ1425" t="s">
        <v>74</v>
      </c>
      <c r="BR1425" t="s">
        <v>102</v>
      </c>
      <c r="BS1425" t="s">
        <v>24024</v>
      </c>
      <c r="BT1425" t="str">
        <f>HYPERLINK("https%3A%2F%2Fwww.webofscience.com%2Fwos%2Fwoscc%2Ffull-record%2FWOS:001029954500001","View Full Record in Web of Science")</f>
        <v>View Full Record in Web of Science</v>
      </c>
    </row>
    <row r="1426" spans="1:72" x14ac:dyDescent="0.35">
      <c r="A1426" t="s">
        <v>72</v>
      </c>
      <c r="B1426" t="s">
        <v>24025</v>
      </c>
      <c r="C1426" t="s">
        <v>74</v>
      </c>
      <c r="D1426" t="s">
        <v>74</v>
      </c>
      <c r="E1426" t="s">
        <v>74</v>
      </c>
      <c r="F1426" t="s">
        <v>24026</v>
      </c>
      <c r="G1426" t="s">
        <v>74</v>
      </c>
      <c r="H1426" t="s">
        <v>74</v>
      </c>
      <c r="I1426" t="s">
        <v>24027</v>
      </c>
      <c r="J1426" t="s">
        <v>24028</v>
      </c>
      <c r="K1426" t="s">
        <v>74</v>
      </c>
      <c r="L1426" t="s">
        <v>74</v>
      </c>
      <c r="M1426" t="s">
        <v>78</v>
      </c>
      <c r="N1426" t="s">
        <v>108</v>
      </c>
      <c r="O1426" t="s">
        <v>74</v>
      </c>
      <c r="P1426" t="s">
        <v>74</v>
      </c>
      <c r="Q1426" t="s">
        <v>74</v>
      </c>
      <c r="R1426" t="s">
        <v>74</v>
      </c>
      <c r="S1426" t="s">
        <v>74</v>
      </c>
      <c r="T1426" t="s">
        <v>24029</v>
      </c>
      <c r="U1426" t="s">
        <v>24030</v>
      </c>
      <c r="V1426" t="s">
        <v>24031</v>
      </c>
      <c r="W1426" t="s">
        <v>24032</v>
      </c>
      <c r="X1426" t="s">
        <v>24033</v>
      </c>
      <c r="Y1426" t="s">
        <v>24034</v>
      </c>
      <c r="Z1426" t="s">
        <v>24035</v>
      </c>
      <c r="AA1426" t="s">
        <v>24036</v>
      </c>
      <c r="AB1426" t="s">
        <v>24037</v>
      </c>
      <c r="AC1426" t="s">
        <v>24038</v>
      </c>
      <c r="AD1426" t="s">
        <v>24038</v>
      </c>
      <c r="AE1426" t="s">
        <v>24039</v>
      </c>
      <c r="AF1426" t="s">
        <v>74</v>
      </c>
      <c r="AG1426">
        <v>139</v>
      </c>
      <c r="AH1426">
        <v>0</v>
      </c>
      <c r="AI1426">
        <v>0</v>
      </c>
      <c r="AJ1426">
        <v>27</v>
      </c>
      <c r="AK1426">
        <v>27</v>
      </c>
      <c r="AL1426" t="s">
        <v>516</v>
      </c>
      <c r="AM1426" t="s">
        <v>517</v>
      </c>
      <c r="AN1426" t="s">
        <v>518</v>
      </c>
      <c r="AO1426" t="s">
        <v>24040</v>
      </c>
      <c r="AP1426" t="s">
        <v>24041</v>
      </c>
      <c r="AQ1426" t="s">
        <v>74</v>
      </c>
      <c r="AR1426" t="s">
        <v>24042</v>
      </c>
      <c r="AS1426" t="s">
        <v>24043</v>
      </c>
      <c r="AT1426" t="s">
        <v>18579</v>
      </c>
      <c r="AU1426">
        <v>2024</v>
      </c>
      <c r="AV1426">
        <v>64</v>
      </c>
      <c r="AW1426" t="s">
        <v>74</v>
      </c>
      <c r="AX1426" t="s">
        <v>74</v>
      </c>
      <c r="AY1426" t="s">
        <v>74</v>
      </c>
      <c r="AZ1426" t="s">
        <v>74</v>
      </c>
      <c r="BA1426" t="s">
        <v>74</v>
      </c>
      <c r="BB1426" t="s">
        <v>74</v>
      </c>
      <c r="BC1426" t="s">
        <v>74</v>
      </c>
      <c r="BD1426">
        <v>101379</v>
      </c>
      <c r="BE1426" t="s">
        <v>24044</v>
      </c>
      <c r="BF1426" t="str">
        <f>HYPERLINK("http://dx.doi.org/10.1016/j.elerap.2024.101379","http://dx.doi.org/10.1016/j.elerap.2024.101379")</f>
        <v>http://dx.doi.org/10.1016/j.elerap.2024.101379</v>
      </c>
      <c r="BG1426" t="s">
        <v>74</v>
      </c>
      <c r="BH1426" t="s">
        <v>123</v>
      </c>
      <c r="BI1426">
        <v>20</v>
      </c>
      <c r="BJ1426" t="s">
        <v>24045</v>
      </c>
      <c r="BK1426" t="s">
        <v>182</v>
      </c>
      <c r="BL1426" t="s">
        <v>649</v>
      </c>
      <c r="BM1426" t="s">
        <v>24046</v>
      </c>
      <c r="BN1426" t="s">
        <v>74</v>
      </c>
      <c r="BO1426" t="s">
        <v>74</v>
      </c>
      <c r="BP1426" t="s">
        <v>74</v>
      </c>
      <c r="BQ1426" t="s">
        <v>74</v>
      </c>
      <c r="BR1426" t="s">
        <v>102</v>
      </c>
      <c r="BS1426" t="s">
        <v>24047</v>
      </c>
      <c r="BT1426" t="str">
        <f>HYPERLINK("https%3A%2F%2Fwww.webofscience.com%2Fwos%2Fwoscc%2Ffull-record%2FWOS:001226850400001","View Full Record in Web of Science")</f>
        <v>View Full Record in Web of Science</v>
      </c>
    </row>
    <row r="1427" spans="1:72" x14ac:dyDescent="0.35">
      <c r="A1427" t="s">
        <v>72</v>
      </c>
      <c r="B1427" t="s">
        <v>24048</v>
      </c>
      <c r="C1427" t="s">
        <v>74</v>
      </c>
      <c r="D1427" t="s">
        <v>74</v>
      </c>
      <c r="E1427" t="s">
        <v>74</v>
      </c>
      <c r="F1427" t="s">
        <v>24049</v>
      </c>
      <c r="G1427" t="s">
        <v>74</v>
      </c>
      <c r="H1427" t="s">
        <v>74</v>
      </c>
      <c r="I1427" t="s">
        <v>24050</v>
      </c>
      <c r="J1427" t="s">
        <v>16547</v>
      </c>
      <c r="K1427" t="s">
        <v>74</v>
      </c>
      <c r="L1427" t="s">
        <v>74</v>
      </c>
      <c r="M1427" t="s">
        <v>78</v>
      </c>
      <c r="N1427" t="s">
        <v>79</v>
      </c>
      <c r="O1427" t="s">
        <v>74</v>
      </c>
      <c r="P1427" t="s">
        <v>74</v>
      </c>
      <c r="Q1427" t="s">
        <v>74</v>
      </c>
      <c r="R1427" t="s">
        <v>74</v>
      </c>
      <c r="S1427" t="s">
        <v>74</v>
      </c>
      <c r="T1427" t="s">
        <v>74</v>
      </c>
      <c r="U1427" t="s">
        <v>24051</v>
      </c>
      <c r="V1427" t="s">
        <v>24052</v>
      </c>
      <c r="W1427" t="s">
        <v>24053</v>
      </c>
      <c r="X1427" t="s">
        <v>24054</v>
      </c>
      <c r="Y1427" t="s">
        <v>24055</v>
      </c>
      <c r="Z1427" t="s">
        <v>74</v>
      </c>
      <c r="AA1427" t="s">
        <v>74</v>
      </c>
      <c r="AB1427" t="s">
        <v>74</v>
      </c>
      <c r="AC1427" t="s">
        <v>74</v>
      </c>
      <c r="AD1427" t="s">
        <v>74</v>
      </c>
      <c r="AE1427" t="s">
        <v>74</v>
      </c>
      <c r="AF1427" t="s">
        <v>74</v>
      </c>
      <c r="AG1427">
        <v>45</v>
      </c>
      <c r="AH1427">
        <v>0</v>
      </c>
      <c r="AI1427">
        <v>0</v>
      </c>
      <c r="AJ1427">
        <v>1</v>
      </c>
      <c r="AK1427">
        <v>1</v>
      </c>
      <c r="AL1427" t="s">
        <v>1129</v>
      </c>
      <c r="AM1427" t="s">
        <v>89</v>
      </c>
      <c r="AN1427" t="s">
        <v>1130</v>
      </c>
      <c r="AO1427" t="s">
        <v>16557</v>
      </c>
      <c r="AP1427" t="s">
        <v>16558</v>
      </c>
      <c r="AQ1427" t="s">
        <v>74</v>
      </c>
      <c r="AR1427" t="s">
        <v>16559</v>
      </c>
      <c r="AS1427" t="s">
        <v>16560</v>
      </c>
      <c r="AT1427" t="s">
        <v>4612</v>
      </c>
      <c r="AU1427">
        <v>2024</v>
      </c>
      <c r="AV1427" t="s">
        <v>74</v>
      </c>
      <c r="AW1427" t="s">
        <v>74</v>
      </c>
      <c r="AX1427" t="s">
        <v>74</v>
      </c>
      <c r="AY1427" t="s">
        <v>74</v>
      </c>
      <c r="AZ1427" t="s">
        <v>74</v>
      </c>
      <c r="BA1427" t="s">
        <v>74</v>
      </c>
      <c r="BB1427" t="s">
        <v>74</v>
      </c>
      <c r="BC1427" t="s">
        <v>74</v>
      </c>
      <c r="BD1427" t="s">
        <v>74</v>
      </c>
      <c r="BE1427" t="s">
        <v>24056</v>
      </c>
      <c r="BF1427" t="str">
        <f>HYPERLINK("http://dx.doi.org/10.1080/1472586X.2024.2404440","http://dx.doi.org/10.1080/1472586X.2024.2404440")</f>
        <v>http://dx.doi.org/10.1080/1472586X.2024.2404440</v>
      </c>
      <c r="BG1427" t="s">
        <v>74</v>
      </c>
      <c r="BH1427" t="s">
        <v>1721</v>
      </c>
      <c r="BI1427">
        <v>16</v>
      </c>
      <c r="BJ1427" t="s">
        <v>4461</v>
      </c>
      <c r="BK1427" t="s">
        <v>316</v>
      </c>
      <c r="BL1427" t="s">
        <v>4462</v>
      </c>
      <c r="BM1427" t="s">
        <v>24057</v>
      </c>
      <c r="BN1427" t="s">
        <v>74</v>
      </c>
      <c r="BO1427" t="s">
        <v>74</v>
      </c>
      <c r="BP1427" t="s">
        <v>74</v>
      </c>
      <c r="BQ1427" t="s">
        <v>74</v>
      </c>
      <c r="BR1427" t="s">
        <v>102</v>
      </c>
      <c r="BS1427" t="s">
        <v>24058</v>
      </c>
      <c r="BT1427" t="str">
        <f>HYPERLINK("https%3A%2F%2Fwww.webofscience.com%2Fwos%2Fwoscc%2Ffull-record%2FWOS:001327459000001","View Full Record in Web of Science")</f>
        <v>View Full Record in Web of Science</v>
      </c>
    </row>
    <row r="1428" spans="1:72" x14ac:dyDescent="0.35">
      <c r="A1428" t="s">
        <v>72</v>
      </c>
      <c r="B1428" t="s">
        <v>24059</v>
      </c>
      <c r="C1428" t="s">
        <v>74</v>
      </c>
      <c r="D1428" t="s">
        <v>74</v>
      </c>
      <c r="E1428" t="s">
        <v>74</v>
      </c>
      <c r="F1428" t="s">
        <v>24060</v>
      </c>
      <c r="G1428" t="s">
        <v>74</v>
      </c>
      <c r="H1428" t="s">
        <v>74</v>
      </c>
      <c r="I1428" t="s">
        <v>24061</v>
      </c>
      <c r="J1428" t="s">
        <v>24062</v>
      </c>
      <c r="K1428" t="s">
        <v>74</v>
      </c>
      <c r="L1428" t="s">
        <v>74</v>
      </c>
      <c r="M1428" t="s">
        <v>78</v>
      </c>
      <c r="N1428" t="s">
        <v>108</v>
      </c>
      <c r="O1428" t="s">
        <v>74</v>
      </c>
      <c r="P1428" t="s">
        <v>74</v>
      </c>
      <c r="Q1428" t="s">
        <v>74</v>
      </c>
      <c r="R1428" t="s">
        <v>74</v>
      </c>
      <c r="S1428" t="s">
        <v>74</v>
      </c>
      <c r="T1428" t="s">
        <v>24063</v>
      </c>
      <c r="U1428" t="s">
        <v>74</v>
      </c>
      <c r="V1428" t="s">
        <v>24064</v>
      </c>
      <c r="W1428" t="s">
        <v>24065</v>
      </c>
      <c r="X1428" t="s">
        <v>74</v>
      </c>
      <c r="Y1428" t="s">
        <v>24066</v>
      </c>
      <c r="Z1428" t="s">
        <v>24067</v>
      </c>
      <c r="AA1428" t="s">
        <v>74</v>
      </c>
      <c r="AB1428" t="s">
        <v>74</v>
      </c>
      <c r="AC1428" t="s">
        <v>74</v>
      </c>
      <c r="AD1428" t="s">
        <v>74</v>
      </c>
      <c r="AE1428" t="s">
        <v>74</v>
      </c>
      <c r="AF1428" t="s">
        <v>74</v>
      </c>
      <c r="AG1428">
        <v>22</v>
      </c>
      <c r="AH1428">
        <v>0</v>
      </c>
      <c r="AI1428">
        <v>0</v>
      </c>
      <c r="AJ1428">
        <v>0</v>
      </c>
      <c r="AK1428">
        <v>3</v>
      </c>
      <c r="AL1428" t="s">
        <v>1061</v>
      </c>
      <c r="AM1428" t="s">
        <v>1062</v>
      </c>
      <c r="AN1428" t="s">
        <v>1063</v>
      </c>
      <c r="AO1428" t="s">
        <v>24068</v>
      </c>
      <c r="AP1428" t="s">
        <v>24069</v>
      </c>
      <c r="AQ1428" t="s">
        <v>74</v>
      </c>
      <c r="AR1428" t="s">
        <v>24070</v>
      </c>
      <c r="AS1428" t="s">
        <v>24071</v>
      </c>
      <c r="AT1428" t="s">
        <v>232</v>
      </c>
      <c r="AU1428">
        <v>2024</v>
      </c>
      <c r="AV1428">
        <v>30</v>
      </c>
      <c r="AW1428">
        <v>1</v>
      </c>
      <c r="AX1428" t="s">
        <v>74</v>
      </c>
      <c r="AY1428" t="s">
        <v>74</v>
      </c>
      <c r="AZ1428" t="s">
        <v>74</v>
      </c>
      <c r="BA1428" t="s">
        <v>74</v>
      </c>
      <c r="BB1428">
        <v>24</v>
      </c>
      <c r="BC1428">
        <v>26</v>
      </c>
      <c r="BD1428" t="s">
        <v>24072</v>
      </c>
      <c r="BE1428" t="s">
        <v>24073</v>
      </c>
      <c r="BF1428" t="str">
        <f>HYPERLINK("http://dx.doi.org/10.1192/bja.2022.87","http://dx.doi.org/10.1192/bja.2022.87")</f>
        <v>http://dx.doi.org/10.1192/bja.2022.87</v>
      </c>
      <c r="BG1428" t="s">
        <v>74</v>
      </c>
      <c r="BH1428" t="s">
        <v>3638</v>
      </c>
      <c r="BI1428">
        <v>3</v>
      </c>
      <c r="BJ1428" t="s">
        <v>1847</v>
      </c>
      <c r="BK1428" t="s">
        <v>125</v>
      </c>
      <c r="BL1428" t="s">
        <v>1847</v>
      </c>
      <c r="BM1428" t="s">
        <v>24074</v>
      </c>
      <c r="BN1428" t="s">
        <v>74</v>
      </c>
      <c r="BO1428" t="s">
        <v>74</v>
      </c>
      <c r="BP1428" t="s">
        <v>74</v>
      </c>
      <c r="BQ1428" t="s">
        <v>74</v>
      </c>
      <c r="BR1428" t="s">
        <v>102</v>
      </c>
      <c r="BS1428" t="s">
        <v>24075</v>
      </c>
      <c r="BT1428" t="str">
        <f>HYPERLINK("https%3A%2F%2Fwww.webofscience.com%2Fwos%2Fwoscc%2Ffull-record%2FWOS:000987507200001","View Full Record in Web of Science")</f>
        <v>View Full Record in Web of Science</v>
      </c>
    </row>
    <row r="1429" spans="1:72" x14ac:dyDescent="0.35">
      <c r="A1429" t="s">
        <v>72</v>
      </c>
      <c r="B1429" t="s">
        <v>24076</v>
      </c>
      <c r="C1429" t="s">
        <v>74</v>
      </c>
      <c r="D1429" t="s">
        <v>74</v>
      </c>
      <c r="E1429" t="s">
        <v>74</v>
      </c>
      <c r="F1429" t="s">
        <v>24077</v>
      </c>
      <c r="G1429" t="s">
        <v>74</v>
      </c>
      <c r="H1429" t="s">
        <v>74</v>
      </c>
      <c r="I1429" t="s">
        <v>24078</v>
      </c>
      <c r="J1429" t="s">
        <v>1740</v>
      </c>
      <c r="K1429" t="s">
        <v>74</v>
      </c>
      <c r="L1429" t="s">
        <v>74</v>
      </c>
      <c r="M1429" t="s">
        <v>78</v>
      </c>
      <c r="N1429" t="s">
        <v>108</v>
      </c>
      <c r="O1429" t="s">
        <v>74</v>
      </c>
      <c r="P1429" t="s">
        <v>74</v>
      </c>
      <c r="Q1429" t="s">
        <v>74</v>
      </c>
      <c r="R1429" t="s">
        <v>74</v>
      </c>
      <c r="S1429" t="s">
        <v>74</v>
      </c>
      <c r="T1429" t="s">
        <v>24079</v>
      </c>
      <c r="U1429" t="s">
        <v>74</v>
      </c>
      <c r="V1429" t="s">
        <v>24080</v>
      </c>
      <c r="W1429" t="s">
        <v>24081</v>
      </c>
      <c r="X1429" t="s">
        <v>24082</v>
      </c>
      <c r="Y1429" t="s">
        <v>24083</v>
      </c>
      <c r="Z1429" t="s">
        <v>24084</v>
      </c>
      <c r="AA1429" t="s">
        <v>24085</v>
      </c>
      <c r="AB1429" t="s">
        <v>24086</v>
      </c>
      <c r="AC1429" t="s">
        <v>24087</v>
      </c>
      <c r="AD1429" t="s">
        <v>24087</v>
      </c>
      <c r="AE1429" t="s">
        <v>2921</v>
      </c>
      <c r="AF1429" t="s">
        <v>74</v>
      </c>
      <c r="AG1429">
        <v>52</v>
      </c>
      <c r="AH1429">
        <v>1</v>
      </c>
      <c r="AI1429">
        <v>2</v>
      </c>
      <c r="AJ1429">
        <v>7</v>
      </c>
      <c r="AK1429">
        <v>13</v>
      </c>
      <c r="AL1429" t="s">
        <v>1195</v>
      </c>
      <c r="AM1429" t="s">
        <v>1196</v>
      </c>
      <c r="AN1429" t="s">
        <v>1197</v>
      </c>
      <c r="AO1429" t="s">
        <v>74</v>
      </c>
      <c r="AP1429" t="s">
        <v>1748</v>
      </c>
      <c r="AQ1429" t="s">
        <v>74</v>
      </c>
      <c r="AR1429" t="s">
        <v>1749</v>
      </c>
      <c r="AS1429" t="s">
        <v>1750</v>
      </c>
      <c r="AT1429" t="s">
        <v>1484</v>
      </c>
      <c r="AU1429">
        <v>2023</v>
      </c>
      <c r="AV1429">
        <v>4</v>
      </c>
      <c r="AW1429">
        <v>1</v>
      </c>
      <c r="AX1429" t="s">
        <v>74</v>
      </c>
      <c r="AY1429" t="s">
        <v>74</v>
      </c>
      <c r="AZ1429" t="s">
        <v>74</v>
      </c>
      <c r="BA1429" t="s">
        <v>74</v>
      </c>
      <c r="BB1429">
        <v>244</v>
      </c>
      <c r="BC1429">
        <v>257</v>
      </c>
      <c r="BD1429" t="s">
        <v>74</v>
      </c>
      <c r="BE1429" t="s">
        <v>24088</v>
      </c>
      <c r="BF1429" t="str">
        <f>HYPERLINK("http://dx.doi.org/10.3390/journalmedia4010017","http://dx.doi.org/10.3390/journalmedia4010017")</f>
        <v>http://dx.doi.org/10.3390/journalmedia4010017</v>
      </c>
      <c r="BG1429" t="s">
        <v>74</v>
      </c>
      <c r="BH1429" t="s">
        <v>74</v>
      </c>
      <c r="BI1429">
        <v>14</v>
      </c>
      <c r="BJ1429" t="s">
        <v>124</v>
      </c>
      <c r="BK1429" t="s">
        <v>125</v>
      </c>
      <c r="BL1429" t="s">
        <v>124</v>
      </c>
      <c r="BM1429" t="s">
        <v>24089</v>
      </c>
      <c r="BN1429" t="s">
        <v>74</v>
      </c>
      <c r="BO1429" t="s">
        <v>552</v>
      </c>
      <c r="BP1429" t="s">
        <v>74</v>
      </c>
      <c r="BQ1429" t="s">
        <v>74</v>
      </c>
      <c r="BR1429" t="s">
        <v>102</v>
      </c>
      <c r="BS1429" t="s">
        <v>24090</v>
      </c>
      <c r="BT1429" t="str">
        <f>HYPERLINK("https%3A%2F%2Fwww.webofscience.com%2Fwos%2Fwoscc%2Ffull-record%2FWOS:001118854600001","View Full Record in Web of Science")</f>
        <v>View Full Record in Web of Science</v>
      </c>
    </row>
    <row r="1430" spans="1:72" x14ac:dyDescent="0.35">
      <c r="A1430" t="s">
        <v>72</v>
      </c>
      <c r="B1430" t="s">
        <v>24091</v>
      </c>
      <c r="C1430" t="s">
        <v>74</v>
      </c>
      <c r="D1430" t="s">
        <v>74</v>
      </c>
      <c r="E1430" t="s">
        <v>74</v>
      </c>
      <c r="F1430" t="s">
        <v>24092</v>
      </c>
      <c r="G1430" t="s">
        <v>74</v>
      </c>
      <c r="H1430" t="s">
        <v>74</v>
      </c>
      <c r="I1430" t="s">
        <v>24093</v>
      </c>
      <c r="J1430" t="s">
        <v>10062</v>
      </c>
      <c r="K1430" t="s">
        <v>74</v>
      </c>
      <c r="L1430" t="s">
        <v>74</v>
      </c>
      <c r="M1430" t="s">
        <v>78</v>
      </c>
      <c r="N1430" t="s">
        <v>108</v>
      </c>
      <c r="O1430" t="s">
        <v>74</v>
      </c>
      <c r="P1430" t="s">
        <v>74</v>
      </c>
      <c r="Q1430" t="s">
        <v>74</v>
      </c>
      <c r="R1430" t="s">
        <v>74</v>
      </c>
      <c r="S1430" t="s">
        <v>74</v>
      </c>
      <c r="T1430" t="s">
        <v>24094</v>
      </c>
      <c r="U1430" t="s">
        <v>74</v>
      </c>
      <c r="V1430" t="s">
        <v>24095</v>
      </c>
      <c r="W1430" t="s">
        <v>24096</v>
      </c>
      <c r="X1430" t="s">
        <v>24097</v>
      </c>
      <c r="Y1430" t="s">
        <v>24098</v>
      </c>
      <c r="Z1430" t="s">
        <v>74</v>
      </c>
      <c r="AA1430" t="s">
        <v>74</v>
      </c>
      <c r="AB1430" t="s">
        <v>74</v>
      </c>
      <c r="AC1430" t="s">
        <v>74</v>
      </c>
      <c r="AD1430" t="s">
        <v>74</v>
      </c>
      <c r="AE1430" t="s">
        <v>24099</v>
      </c>
      <c r="AF1430" t="s">
        <v>74</v>
      </c>
      <c r="AG1430">
        <v>20</v>
      </c>
      <c r="AH1430">
        <v>0</v>
      </c>
      <c r="AI1430">
        <v>0</v>
      </c>
      <c r="AJ1430">
        <v>0</v>
      </c>
      <c r="AK1430">
        <v>0</v>
      </c>
      <c r="AL1430" t="s">
        <v>10071</v>
      </c>
      <c r="AM1430" t="s">
        <v>10072</v>
      </c>
      <c r="AN1430" t="s">
        <v>10073</v>
      </c>
      <c r="AO1430" t="s">
        <v>10074</v>
      </c>
      <c r="AP1430" t="s">
        <v>10075</v>
      </c>
      <c r="AQ1430" t="s">
        <v>74</v>
      </c>
      <c r="AR1430" t="s">
        <v>10076</v>
      </c>
      <c r="AS1430" t="s">
        <v>10077</v>
      </c>
      <c r="AT1430" t="s">
        <v>178</v>
      </c>
      <c r="AU1430">
        <v>2024</v>
      </c>
      <c r="AV1430">
        <v>15</v>
      </c>
      <c r="AW1430">
        <v>2</v>
      </c>
      <c r="AX1430" t="s">
        <v>74</v>
      </c>
      <c r="AY1430" t="s">
        <v>74</v>
      </c>
      <c r="AZ1430" t="s">
        <v>74</v>
      </c>
      <c r="BA1430" t="s">
        <v>74</v>
      </c>
      <c r="BB1430">
        <v>419</v>
      </c>
      <c r="BC1430">
        <v>425</v>
      </c>
      <c r="BD1430" t="s">
        <v>74</v>
      </c>
      <c r="BE1430" t="s">
        <v>74</v>
      </c>
      <c r="BF1430" t="s">
        <v>74</v>
      </c>
      <c r="BG1430" t="s">
        <v>74</v>
      </c>
      <c r="BH1430" t="s">
        <v>74</v>
      </c>
      <c r="BI1430">
        <v>7</v>
      </c>
      <c r="BJ1430" t="s">
        <v>6668</v>
      </c>
      <c r="BK1430" t="s">
        <v>125</v>
      </c>
      <c r="BL1430" t="s">
        <v>210</v>
      </c>
      <c r="BM1430" t="s">
        <v>24100</v>
      </c>
      <c r="BN1430" t="s">
        <v>74</v>
      </c>
      <c r="BO1430" t="s">
        <v>74</v>
      </c>
      <c r="BP1430" t="s">
        <v>74</v>
      </c>
      <c r="BQ1430" t="s">
        <v>74</v>
      </c>
      <c r="BR1430" t="s">
        <v>102</v>
      </c>
      <c r="BS1430" t="s">
        <v>24101</v>
      </c>
      <c r="BT1430" t="str">
        <f>HYPERLINK("https%3A%2F%2Fwww.webofscience.com%2Fwos%2Fwoscc%2Ffull-record%2FWOS:001324544600001","View Full Record in Web of Science")</f>
        <v>View Full Record in Web of Science</v>
      </c>
    </row>
    <row r="1431" spans="1:72" x14ac:dyDescent="0.35">
      <c r="A1431" t="s">
        <v>72</v>
      </c>
      <c r="B1431" t="s">
        <v>24102</v>
      </c>
      <c r="C1431" t="s">
        <v>74</v>
      </c>
      <c r="D1431" t="s">
        <v>74</v>
      </c>
      <c r="E1431" t="s">
        <v>74</v>
      </c>
      <c r="F1431" t="s">
        <v>24103</v>
      </c>
      <c r="G1431" t="s">
        <v>74</v>
      </c>
      <c r="H1431" t="s">
        <v>74</v>
      </c>
      <c r="I1431" t="s">
        <v>24104</v>
      </c>
      <c r="J1431" t="s">
        <v>24105</v>
      </c>
      <c r="K1431" t="s">
        <v>74</v>
      </c>
      <c r="L1431" t="s">
        <v>74</v>
      </c>
      <c r="M1431" t="s">
        <v>78</v>
      </c>
      <c r="N1431" t="s">
        <v>108</v>
      </c>
      <c r="O1431" t="s">
        <v>74</v>
      </c>
      <c r="P1431" t="s">
        <v>74</v>
      </c>
      <c r="Q1431" t="s">
        <v>74</v>
      </c>
      <c r="R1431" t="s">
        <v>74</v>
      </c>
      <c r="S1431" t="s">
        <v>74</v>
      </c>
      <c r="T1431" t="s">
        <v>24106</v>
      </c>
      <c r="U1431" t="s">
        <v>24107</v>
      </c>
      <c r="V1431" t="s">
        <v>24108</v>
      </c>
      <c r="W1431" t="s">
        <v>24109</v>
      </c>
      <c r="X1431" t="s">
        <v>74</v>
      </c>
      <c r="Y1431" t="s">
        <v>24110</v>
      </c>
      <c r="Z1431" t="s">
        <v>24111</v>
      </c>
      <c r="AA1431" t="s">
        <v>74</v>
      </c>
      <c r="AB1431" t="s">
        <v>74</v>
      </c>
      <c r="AC1431" t="s">
        <v>74</v>
      </c>
      <c r="AD1431" t="s">
        <v>74</v>
      </c>
      <c r="AE1431" t="s">
        <v>74</v>
      </c>
      <c r="AF1431" t="s">
        <v>74</v>
      </c>
      <c r="AG1431">
        <v>34</v>
      </c>
      <c r="AH1431">
        <v>0</v>
      </c>
      <c r="AI1431">
        <v>0</v>
      </c>
      <c r="AJ1431">
        <v>1</v>
      </c>
      <c r="AK1431">
        <v>3</v>
      </c>
      <c r="AL1431" t="s">
        <v>88</v>
      </c>
      <c r="AM1431" t="s">
        <v>89</v>
      </c>
      <c r="AN1431" t="s">
        <v>90</v>
      </c>
      <c r="AO1431" t="s">
        <v>24112</v>
      </c>
      <c r="AP1431" t="s">
        <v>24113</v>
      </c>
      <c r="AQ1431" t="s">
        <v>74</v>
      </c>
      <c r="AR1431" t="s">
        <v>24114</v>
      </c>
      <c r="AS1431" t="s">
        <v>24115</v>
      </c>
      <c r="AT1431" t="s">
        <v>18008</v>
      </c>
      <c r="AU1431">
        <v>2022</v>
      </c>
      <c r="AV1431">
        <v>27</v>
      </c>
      <c r="AW1431">
        <v>2</v>
      </c>
      <c r="AX1431" t="s">
        <v>74</v>
      </c>
      <c r="AY1431" t="s">
        <v>74</v>
      </c>
      <c r="AZ1431" t="s">
        <v>456</v>
      </c>
      <c r="BA1431" t="s">
        <v>74</v>
      </c>
      <c r="BB1431">
        <v>168</v>
      </c>
      <c r="BC1431">
        <v>181</v>
      </c>
      <c r="BD1431" t="s">
        <v>74</v>
      </c>
      <c r="BE1431" t="s">
        <v>24116</v>
      </c>
      <c r="BF1431" t="str">
        <f>HYPERLINK("http://dx.doi.org/10.1080/13569783.2022.2060731","http://dx.doi.org/10.1080/13569783.2022.2060731")</f>
        <v>http://dx.doi.org/10.1080/13569783.2022.2060731</v>
      </c>
      <c r="BG1431" t="s">
        <v>74</v>
      </c>
      <c r="BH1431" t="s">
        <v>74</v>
      </c>
      <c r="BI1431">
        <v>14</v>
      </c>
      <c r="BJ1431" t="s">
        <v>24117</v>
      </c>
      <c r="BK1431" t="s">
        <v>2125</v>
      </c>
      <c r="BL1431" t="s">
        <v>24117</v>
      </c>
      <c r="BM1431" t="s">
        <v>24118</v>
      </c>
      <c r="BN1431" t="s">
        <v>74</v>
      </c>
      <c r="BO1431" t="s">
        <v>74</v>
      </c>
      <c r="BP1431" t="s">
        <v>74</v>
      </c>
      <c r="BQ1431" t="s">
        <v>74</v>
      </c>
      <c r="BR1431" t="s">
        <v>102</v>
      </c>
      <c r="BS1431" t="s">
        <v>24119</v>
      </c>
      <c r="BT1431" t="str">
        <f>HYPERLINK("https%3A%2F%2Fwww.webofscience.com%2Fwos%2Fwoscc%2Ffull-record%2FWOS:000821167700002","View Full Record in Web of Science")</f>
        <v>View Full Record in Web of Science</v>
      </c>
    </row>
    <row r="1432" spans="1:72" x14ac:dyDescent="0.35">
      <c r="A1432" t="s">
        <v>72</v>
      </c>
      <c r="B1432" t="s">
        <v>24120</v>
      </c>
      <c r="C1432" t="s">
        <v>74</v>
      </c>
      <c r="D1432" t="s">
        <v>74</v>
      </c>
      <c r="E1432" t="s">
        <v>74</v>
      </c>
      <c r="F1432" t="s">
        <v>24121</v>
      </c>
      <c r="G1432" t="s">
        <v>74</v>
      </c>
      <c r="H1432" t="s">
        <v>74</v>
      </c>
      <c r="I1432" t="s">
        <v>24122</v>
      </c>
      <c r="J1432" t="s">
        <v>6803</v>
      </c>
      <c r="K1432" t="s">
        <v>74</v>
      </c>
      <c r="L1432" t="s">
        <v>74</v>
      </c>
      <c r="M1432" t="s">
        <v>78</v>
      </c>
      <c r="N1432" t="s">
        <v>79</v>
      </c>
      <c r="O1432" t="s">
        <v>74</v>
      </c>
      <c r="P1432" t="s">
        <v>74</v>
      </c>
      <c r="Q1432" t="s">
        <v>74</v>
      </c>
      <c r="R1432" t="s">
        <v>74</v>
      </c>
      <c r="S1432" t="s">
        <v>74</v>
      </c>
      <c r="T1432" t="s">
        <v>24123</v>
      </c>
      <c r="U1432" t="s">
        <v>24124</v>
      </c>
      <c r="V1432" t="s">
        <v>24125</v>
      </c>
      <c r="W1432" t="s">
        <v>24126</v>
      </c>
      <c r="X1432" t="s">
        <v>24127</v>
      </c>
      <c r="Y1432" t="s">
        <v>24128</v>
      </c>
      <c r="Z1432" t="s">
        <v>24129</v>
      </c>
      <c r="AA1432" t="s">
        <v>74</v>
      </c>
      <c r="AB1432" t="s">
        <v>74</v>
      </c>
      <c r="AC1432" t="s">
        <v>14073</v>
      </c>
      <c r="AD1432" t="s">
        <v>14073</v>
      </c>
      <c r="AE1432" t="s">
        <v>24130</v>
      </c>
      <c r="AF1432" t="s">
        <v>74</v>
      </c>
      <c r="AG1432">
        <v>91</v>
      </c>
      <c r="AH1432">
        <v>0</v>
      </c>
      <c r="AI1432">
        <v>0</v>
      </c>
      <c r="AJ1432">
        <v>22</v>
      </c>
      <c r="AK1432">
        <v>22</v>
      </c>
      <c r="AL1432" t="s">
        <v>665</v>
      </c>
      <c r="AM1432" t="s">
        <v>2922</v>
      </c>
      <c r="AN1432" t="s">
        <v>2923</v>
      </c>
      <c r="AO1432" t="s">
        <v>6814</v>
      </c>
      <c r="AP1432" t="s">
        <v>6815</v>
      </c>
      <c r="AQ1432" t="s">
        <v>74</v>
      </c>
      <c r="AR1432" t="s">
        <v>6816</v>
      </c>
      <c r="AS1432" t="s">
        <v>6817</v>
      </c>
      <c r="AT1432" t="s">
        <v>5096</v>
      </c>
      <c r="AU1432">
        <v>2024</v>
      </c>
      <c r="AV1432" t="s">
        <v>74</v>
      </c>
      <c r="AW1432" t="s">
        <v>74</v>
      </c>
      <c r="AX1432" t="s">
        <v>74</v>
      </c>
      <c r="AY1432" t="s">
        <v>74</v>
      </c>
      <c r="AZ1432" t="s">
        <v>74</v>
      </c>
      <c r="BA1432" t="s">
        <v>74</v>
      </c>
      <c r="BB1432" t="s">
        <v>74</v>
      </c>
      <c r="BC1432" t="s">
        <v>74</v>
      </c>
      <c r="BD1432" t="s">
        <v>74</v>
      </c>
      <c r="BE1432" t="s">
        <v>24131</v>
      </c>
      <c r="BF1432" t="str">
        <f>HYPERLINK("http://dx.doi.org/10.1007/s10660-024-09913-7","http://dx.doi.org/10.1007/s10660-024-09913-7")</f>
        <v>http://dx.doi.org/10.1007/s10660-024-09913-7</v>
      </c>
      <c r="BG1432" t="s">
        <v>74</v>
      </c>
      <c r="BH1432" t="s">
        <v>1721</v>
      </c>
      <c r="BI1432">
        <v>38</v>
      </c>
      <c r="BJ1432" t="s">
        <v>479</v>
      </c>
      <c r="BK1432" t="s">
        <v>99</v>
      </c>
      <c r="BL1432" t="s">
        <v>480</v>
      </c>
      <c r="BM1432" t="s">
        <v>24132</v>
      </c>
      <c r="BN1432" t="s">
        <v>74</v>
      </c>
      <c r="BO1432" t="s">
        <v>74</v>
      </c>
      <c r="BP1432" t="s">
        <v>74</v>
      </c>
      <c r="BQ1432" t="s">
        <v>74</v>
      </c>
      <c r="BR1432" t="s">
        <v>102</v>
      </c>
      <c r="BS1432" t="s">
        <v>24133</v>
      </c>
      <c r="BT1432" t="str">
        <f>HYPERLINK("https%3A%2F%2Fwww.webofscience.com%2Fwos%2Fwoscc%2Ffull-record%2FWOS:001334121400001","View Full Record in Web of Science")</f>
        <v>View Full Record in Web of Science</v>
      </c>
    </row>
    <row r="1433" spans="1:72" x14ac:dyDescent="0.35">
      <c r="A1433" t="s">
        <v>72</v>
      </c>
      <c r="B1433" t="s">
        <v>24134</v>
      </c>
      <c r="C1433" t="s">
        <v>74</v>
      </c>
      <c r="D1433" t="s">
        <v>74</v>
      </c>
      <c r="E1433" t="s">
        <v>74</v>
      </c>
      <c r="F1433" t="s">
        <v>24135</v>
      </c>
      <c r="G1433" t="s">
        <v>74</v>
      </c>
      <c r="H1433" t="s">
        <v>74</v>
      </c>
      <c r="I1433" t="s">
        <v>24136</v>
      </c>
      <c r="J1433" t="s">
        <v>1246</v>
      </c>
      <c r="K1433" t="s">
        <v>74</v>
      </c>
      <c r="L1433" t="s">
        <v>74</v>
      </c>
      <c r="M1433" t="s">
        <v>78</v>
      </c>
      <c r="N1433" t="s">
        <v>108</v>
      </c>
      <c r="O1433" t="s">
        <v>74</v>
      </c>
      <c r="P1433" t="s">
        <v>74</v>
      </c>
      <c r="Q1433" t="s">
        <v>74</v>
      </c>
      <c r="R1433" t="s">
        <v>74</v>
      </c>
      <c r="S1433" t="s">
        <v>74</v>
      </c>
      <c r="T1433" t="s">
        <v>24137</v>
      </c>
      <c r="U1433" t="s">
        <v>24138</v>
      </c>
      <c r="V1433" t="s">
        <v>24139</v>
      </c>
      <c r="W1433" t="s">
        <v>24140</v>
      </c>
      <c r="X1433" t="s">
        <v>24141</v>
      </c>
      <c r="Y1433" t="s">
        <v>24142</v>
      </c>
      <c r="Z1433" t="s">
        <v>24143</v>
      </c>
      <c r="AA1433" t="s">
        <v>74</v>
      </c>
      <c r="AB1433" t="s">
        <v>24144</v>
      </c>
      <c r="AC1433" t="s">
        <v>74</v>
      </c>
      <c r="AD1433" t="s">
        <v>74</v>
      </c>
      <c r="AE1433" t="s">
        <v>74</v>
      </c>
      <c r="AF1433" t="s">
        <v>74</v>
      </c>
      <c r="AG1433">
        <v>101</v>
      </c>
      <c r="AH1433">
        <v>3</v>
      </c>
      <c r="AI1433">
        <v>3</v>
      </c>
      <c r="AJ1433">
        <v>8</v>
      </c>
      <c r="AK1433">
        <v>29</v>
      </c>
      <c r="AL1433" t="s">
        <v>994</v>
      </c>
      <c r="AM1433" t="s">
        <v>995</v>
      </c>
      <c r="AN1433" t="s">
        <v>996</v>
      </c>
      <c r="AO1433" t="s">
        <v>1256</v>
      </c>
      <c r="AP1433" t="s">
        <v>1257</v>
      </c>
      <c r="AQ1433" t="s">
        <v>74</v>
      </c>
      <c r="AR1433" t="s">
        <v>1258</v>
      </c>
      <c r="AS1433" t="s">
        <v>1259</v>
      </c>
      <c r="AT1433" t="s">
        <v>15674</v>
      </c>
      <c r="AU1433">
        <v>2024</v>
      </c>
      <c r="AV1433">
        <v>40</v>
      </c>
      <c r="AW1433">
        <v>22</v>
      </c>
      <c r="AX1433" t="s">
        <v>74</v>
      </c>
      <c r="AY1433" t="s">
        <v>74</v>
      </c>
      <c r="AZ1433" t="s">
        <v>74</v>
      </c>
      <c r="BA1433" t="s">
        <v>74</v>
      </c>
      <c r="BB1433">
        <v>6941</v>
      </c>
      <c r="BC1433">
        <v>6952</v>
      </c>
      <c r="BD1433" t="s">
        <v>74</v>
      </c>
      <c r="BE1433" t="s">
        <v>24145</v>
      </c>
      <c r="BF1433" t="str">
        <f>HYPERLINK("http://dx.doi.org/10.1080/10447318.2023.2271235","http://dx.doi.org/10.1080/10447318.2023.2271235")</f>
        <v>http://dx.doi.org/10.1080/10447318.2023.2271235</v>
      </c>
      <c r="BG1433" t="s">
        <v>74</v>
      </c>
      <c r="BH1433" t="s">
        <v>207</v>
      </c>
      <c r="BI1433">
        <v>12</v>
      </c>
      <c r="BJ1433" t="s">
        <v>1137</v>
      </c>
      <c r="BK1433" t="s">
        <v>182</v>
      </c>
      <c r="BL1433" t="s">
        <v>1113</v>
      </c>
      <c r="BM1433" t="s">
        <v>24146</v>
      </c>
      <c r="BN1433" t="s">
        <v>74</v>
      </c>
      <c r="BO1433" t="s">
        <v>74</v>
      </c>
      <c r="BP1433" t="s">
        <v>74</v>
      </c>
      <c r="BQ1433" t="s">
        <v>74</v>
      </c>
      <c r="BR1433" t="s">
        <v>102</v>
      </c>
      <c r="BS1433" t="s">
        <v>24147</v>
      </c>
      <c r="BT1433" t="str">
        <f>HYPERLINK("https%3A%2F%2Fwww.webofscience.com%2Fwos%2Fwoscc%2Ffull-record%2FWOS:001087646100001","View Full Record in Web of Science")</f>
        <v>View Full Record in Web of Science</v>
      </c>
    </row>
    <row r="1434" spans="1:72" x14ac:dyDescent="0.35">
      <c r="A1434" t="s">
        <v>72</v>
      </c>
      <c r="B1434" t="s">
        <v>24148</v>
      </c>
      <c r="C1434" t="s">
        <v>74</v>
      </c>
      <c r="D1434" t="s">
        <v>74</v>
      </c>
      <c r="E1434" t="s">
        <v>74</v>
      </c>
      <c r="F1434" t="s">
        <v>24149</v>
      </c>
      <c r="G1434" t="s">
        <v>74</v>
      </c>
      <c r="H1434" t="s">
        <v>74</v>
      </c>
      <c r="I1434" t="s">
        <v>24150</v>
      </c>
      <c r="J1434" t="s">
        <v>2370</v>
      </c>
      <c r="K1434" t="s">
        <v>74</v>
      </c>
      <c r="L1434" t="s">
        <v>74</v>
      </c>
      <c r="M1434" t="s">
        <v>78</v>
      </c>
      <c r="N1434" t="s">
        <v>108</v>
      </c>
      <c r="O1434" t="s">
        <v>74</v>
      </c>
      <c r="P1434" t="s">
        <v>74</v>
      </c>
      <c r="Q1434" t="s">
        <v>74</v>
      </c>
      <c r="R1434" t="s">
        <v>74</v>
      </c>
      <c r="S1434" t="s">
        <v>74</v>
      </c>
      <c r="T1434" t="s">
        <v>24151</v>
      </c>
      <c r="U1434" t="s">
        <v>74</v>
      </c>
      <c r="V1434" t="s">
        <v>24152</v>
      </c>
      <c r="W1434" t="s">
        <v>24153</v>
      </c>
      <c r="X1434" t="s">
        <v>24154</v>
      </c>
      <c r="Y1434" t="s">
        <v>24155</v>
      </c>
      <c r="Z1434" t="s">
        <v>24156</v>
      </c>
      <c r="AA1434" t="s">
        <v>24157</v>
      </c>
      <c r="AB1434" t="s">
        <v>74</v>
      </c>
      <c r="AC1434" t="s">
        <v>24158</v>
      </c>
      <c r="AD1434" t="s">
        <v>4847</v>
      </c>
      <c r="AE1434" t="s">
        <v>6091</v>
      </c>
      <c r="AF1434" t="s">
        <v>74</v>
      </c>
      <c r="AG1434">
        <v>46</v>
      </c>
      <c r="AH1434">
        <v>6</v>
      </c>
      <c r="AI1434">
        <v>6</v>
      </c>
      <c r="AJ1434">
        <v>26</v>
      </c>
      <c r="AK1434">
        <v>43</v>
      </c>
      <c r="AL1434" t="s">
        <v>2382</v>
      </c>
      <c r="AM1434" t="s">
        <v>227</v>
      </c>
      <c r="AN1434" t="s">
        <v>2383</v>
      </c>
      <c r="AO1434" t="s">
        <v>74</v>
      </c>
      <c r="AP1434" t="s">
        <v>2384</v>
      </c>
      <c r="AQ1434" t="s">
        <v>74</v>
      </c>
      <c r="AR1434" t="s">
        <v>2370</v>
      </c>
      <c r="AS1434" t="s">
        <v>2385</v>
      </c>
      <c r="AT1434" t="s">
        <v>2323</v>
      </c>
      <c r="AU1434">
        <v>2024</v>
      </c>
      <c r="AV1434">
        <v>24</v>
      </c>
      <c r="AW1434">
        <v>1</v>
      </c>
      <c r="AX1434" t="s">
        <v>74</v>
      </c>
      <c r="AY1434" t="s">
        <v>74</v>
      </c>
      <c r="AZ1434" t="s">
        <v>74</v>
      </c>
      <c r="BA1434" t="s">
        <v>74</v>
      </c>
      <c r="BB1434" t="s">
        <v>74</v>
      </c>
      <c r="BC1434" t="s">
        <v>74</v>
      </c>
      <c r="BD1434">
        <v>57</v>
      </c>
      <c r="BE1434" t="s">
        <v>24159</v>
      </c>
      <c r="BF1434" t="str">
        <f>HYPERLINK("http://dx.doi.org/10.1186/s12889-023-17323-x","http://dx.doi.org/10.1186/s12889-023-17323-x")</f>
        <v>http://dx.doi.org/10.1186/s12889-023-17323-x</v>
      </c>
      <c r="BG1434" t="s">
        <v>74</v>
      </c>
      <c r="BH1434" t="s">
        <v>74</v>
      </c>
      <c r="BI1434">
        <v>12</v>
      </c>
      <c r="BJ1434" t="s">
        <v>392</v>
      </c>
      <c r="BK1434" t="s">
        <v>209</v>
      </c>
      <c r="BL1434" t="s">
        <v>392</v>
      </c>
      <c r="BM1434" t="s">
        <v>24160</v>
      </c>
      <c r="BN1434">
        <v>38166928</v>
      </c>
      <c r="BO1434" t="s">
        <v>552</v>
      </c>
      <c r="BP1434" t="s">
        <v>395</v>
      </c>
      <c r="BQ1434" t="s">
        <v>396</v>
      </c>
      <c r="BR1434" t="s">
        <v>102</v>
      </c>
      <c r="BS1434" t="s">
        <v>24161</v>
      </c>
      <c r="BT1434" t="str">
        <f>HYPERLINK("https%3A%2F%2Fwww.webofscience.com%2Fwos%2Fwoscc%2Ffull-record%2FWOS:001135394000055","View Full Record in Web of Science")</f>
        <v>View Full Record in Web of Science</v>
      </c>
    </row>
    <row r="1435" spans="1:72" x14ac:dyDescent="0.35">
      <c r="A1435" t="s">
        <v>72</v>
      </c>
      <c r="B1435" t="s">
        <v>24162</v>
      </c>
      <c r="C1435" t="s">
        <v>74</v>
      </c>
      <c r="D1435" t="s">
        <v>74</v>
      </c>
      <c r="E1435" t="s">
        <v>74</v>
      </c>
      <c r="F1435" t="s">
        <v>24163</v>
      </c>
      <c r="G1435" t="s">
        <v>74</v>
      </c>
      <c r="H1435" t="s">
        <v>74</v>
      </c>
      <c r="I1435" t="s">
        <v>24164</v>
      </c>
      <c r="J1435" t="s">
        <v>5445</v>
      </c>
      <c r="K1435" t="s">
        <v>74</v>
      </c>
      <c r="L1435" t="s">
        <v>74</v>
      </c>
      <c r="M1435" t="s">
        <v>78</v>
      </c>
      <c r="N1435" t="s">
        <v>108</v>
      </c>
      <c r="O1435" t="s">
        <v>74</v>
      </c>
      <c r="P1435" t="s">
        <v>74</v>
      </c>
      <c r="Q1435" t="s">
        <v>74</v>
      </c>
      <c r="R1435" t="s">
        <v>74</v>
      </c>
      <c r="S1435" t="s">
        <v>74</v>
      </c>
      <c r="T1435" t="s">
        <v>24165</v>
      </c>
      <c r="U1435" t="s">
        <v>24166</v>
      </c>
      <c r="V1435" t="s">
        <v>24167</v>
      </c>
      <c r="W1435" t="s">
        <v>24168</v>
      </c>
      <c r="X1435" t="s">
        <v>24169</v>
      </c>
      <c r="Y1435" t="s">
        <v>24170</v>
      </c>
      <c r="Z1435" t="s">
        <v>24171</v>
      </c>
      <c r="AA1435" t="s">
        <v>24172</v>
      </c>
      <c r="AB1435" t="s">
        <v>24173</v>
      </c>
      <c r="AC1435" t="s">
        <v>74</v>
      </c>
      <c r="AD1435" t="s">
        <v>74</v>
      </c>
      <c r="AE1435" t="s">
        <v>74</v>
      </c>
      <c r="AF1435" t="s">
        <v>74</v>
      </c>
      <c r="AG1435">
        <v>24</v>
      </c>
      <c r="AH1435">
        <v>0</v>
      </c>
      <c r="AI1435">
        <v>0</v>
      </c>
      <c r="AJ1435">
        <v>12</v>
      </c>
      <c r="AK1435">
        <v>16</v>
      </c>
      <c r="AL1435" t="s">
        <v>5454</v>
      </c>
      <c r="AM1435" t="s">
        <v>5455</v>
      </c>
      <c r="AN1435" t="s">
        <v>5456</v>
      </c>
      <c r="AO1435" t="s">
        <v>5457</v>
      </c>
      <c r="AP1435" t="s">
        <v>5458</v>
      </c>
      <c r="AQ1435" t="s">
        <v>74</v>
      </c>
      <c r="AR1435" t="s">
        <v>5459</v>
      </c>
      <c r="AS1435" t="s">
        <v>5460</v>
      </c>
      <c r="AT1435" t="s">
        <v>74</v>
      </c>
      <c r="AU1435">
        <v>2024</v>
      </c>
      <c r="AV1435" t="s">
        <v>74</v>
      </c>
      <c r="AW1435">
        <v>1</v>
      </c>
      <c r="AX1435" t="s">
        <v>74</v>
      </c>
      <c r="AY1435" t="s">
        <v>74</v>
      </c>
      <c r="AZ1435" t="s">
        <v>74</v>
      </c>
      <c r="BA1435" t="s">
        <v>74</v>
      </c>
      <c r="BB1435">
        <v>164</v>
      </c>
      <c r="BC1435">
        <v>171</v>
      </c>
      <c r="BD1435" t="s">
        <v>74</v>
      </c>
      <c r="BE1435" t="s">
        <v>24174</v>
      </c>
      <c r="BF1435" t="str">
        <f>HYPERLINK("http://dx.doi.org/10.13187/me.2024.1.164","http://dx.doi.org/10.13187/me.2024.1.164")</f>
        <v>http://dx.doi.org/10.13187/me.2024.1.164</v>
      </c>
      <c r="BG1435" t="s">
        <v>74</v>
      </c>
      <c r="BH1435" t="s">
        <v>74</v>
      </c>
      <c r="BI1435">
        <v>8</v>
      </c>
      <c r="BJ1435" t="s">
        <v>124</v>
      </c>
      <c r="BK1435" t="s">
        <v>125</v>
      </c>
      <c r="BL1435" t="s">
        <v>124</v>
      </c>
      <c r="BM1435" t="s">
        <v>24175</v>
      </c>
      <c r="BN1435" t="s">
        <v>74</v>
      </c>
      <c r="BO1435" t="s">
        <v>12267</v>
      </c>
      <c r="BP1435" t="s">
        <v>74</v>
      </c>
      <c r="BQ1435" t="s">
        <v>74</v>
      </c>
      <c r="BR1435" t="s">
        <v>102</v>
      </c>
      <c r="BS1435" t="s">
        <v>24176</v>
      </c>
      <c r="BT1435" t="str">
        <f>HYPERLINK("https%3A%2F%2Fwww.webofscience.com%2Fwos%2Fwoscc%2Ffull-record%2FWOS:001197037900011","View Full Record in Web of Science")</f>
        <v>View Full Record in Web of Science</v>
      </c>
    </row>
    <row r="1436" spans="1:72" x14ac:dyDescent="0.35">
      <c r="A1436" t="s">
        <v>72</v>
      </c>
      <c r="B1436" t="s">
        <v>24177</v>
      </c>
      <c r="C1436" t="s">
        <v>74</v>
      </c>
      <c r="D1436" t="s">
        <v>74</v>
      </c>
      <c r="E1436" t="s">
        <v>74</v>
      </c>
      <c r="F1436" t="s">
        <v>24178</v>
      </c>
      <c r="G1436" t="s">
        <v>74</v>
      </c>
      <c r="H1436" t="s">
        <v>74</v>
      </c>
      <c r="I1436" t="s">
        <v>24179</v>
      </c>
      <c r="J1436" t="s">
        <v>24180</v>
      </c>
      <c r="K1436" t="s">
        <v>74</v>
      </c>
      <c r="L1436" t="s">
        <v>74</v>
      </c>
      <c r="M1436" t="s">
        <v>78</v>
      </c>
      <c r="N1436" t="s">
        <v>108</v>
      </c>
      <c r="O1436" t="s">
        <v>74</v>
      </c>
      <c r="P1436" t="s">
        <v>74</v>
      </c>
      <c r="Q1436" t="s">
        <v>74</v>
      </c>
      <c r="R1436" t="s">
        <v>74</v>
      </c>
      <c r="S1436" t="s">
        <v>74</v>
      </c>
      <c r="T1436" t="s">
        <v>74</v>
      </c>
      <c r="U1436" t="s">
        <v>24181</v>
      </c>
      <c r="V1436" t="s">
        <v>24182</v>
      </c>
      <c r="W1436" t="s">
        <v>24183</v>
      </c>
      <c r="X1436" t="s">
        <v>24184</v>
      </c>
      <c r="Y1436" t="s">
        <v>24185</v>
      </c>
      <c r="Z1436" t="s">
        <v>74</v>
      </c>
      <c r="AA1436" t="s">
        <v>74</v>
      </c>
      <c r="AB1436" t="s">
        <v>74</v>
      </c>
      <c r="AC1436" t="s">
        <v>74</v>
      </c>
      <c r="AD1436" t="s">
        <v>74</v>
      </c>
      <c r="AE1436" t="s">
        <v>74</v>
      </c>
      <c r="AF1436" t="s">
        <v>74</v>
      </c>
      <c r="AG1436">
        <v>351</v>
      </c>
      <c r="AH1436">
        <v>9</v>
      </c>
      <c r="AI1436">
        <v>9</v>
      </c>
      <c r="AJ1436">
        <v>8</v>
      </c>
      <c r="AK1436">
        <v>34</v>
      </c>
      <c r="AL1436" t="s">
        <v>24186</v>
      </c>
      <c r="AM1436" t="s">
        <v>24187</v>
      </c>
      <c r="AN1436" t="s">
        <v>24188</v>
      </c>
      <c r="AO1436" t="s">
        <v>24189</v>
      </c>
      <c r="AP1436" t="s">
        <v>74</v>
      </c>
      <c r="AQ1436" t="s">
        <v>74</v>
      </c>
      <c r="AR1436" t="s">
        <v>24190</v>
      </c>
      <c r="AS1436" t="s">
        <v>24191</v>
      </c>
      <c r="AT1436" t="s">
        <v>745</v>
      </c>
      <c r="AU1436">
        <v>2022</v>
      </c>
      <c r="AV1436">
        <v>74</v>
      </c>
      <c r="AW1436">
        <v>5</v>
      </c>
      <c r="AX1436" t="s">
        <v>74</v>
      </c>
      <c r="AY1436" t="s">
        <v>74</v>
      </c>
      <c r="AZ1436" t="s">
        <v>74</v>
      </c>
      <c r="BA1436" t="s">
        <v>74</v>
      </c>
      <c r="BB1436">
        <v>1073</v>
      </c>
      <c r="BC1436">
        <v>1152</v>
      </c>
      <c r="BD1436" t="s">
        <v>74</v>
      </c>
      <c r="BE1436" t="s">
        <v>74</v>
      </c>
      <c r="BF1436" t="s">
        <v>74</v>
      </c>
      <c r="BG1436" t="s">
        <v>74</v>
      </c>
      <c r="BH1436" t="s">
        <v>74</v>
      </c>
      <c r="BI1436">
        <v>80</v>
      </c>
      <c r="BJ1436" t="s">
        <v>10320</v>
      </c>
      <c r="BK1436" t="s">
        <v>99</v>
      </c>
      <c r="BL1436" t="s">
        <v>8015</v>
      </c>
      <c r="BM1436" t="s">
        <v>24192</v>
      </c>
      <c r="BN1436" t="s">
        <v>74</v>
      </c>
      <c r="BO1436" t="s">
        <v>74</v>
      </c>
      <c r="BP1436" t="s">
        <v>74</v>
      </c>
      <c r="BQ1436" t="s">
        <v>74</v>
      </c>
      <c r="BR1436" t="s">
        <v>102</v>
      </c>
      <c r="BS1436" t="s">
        <v>24193</v>
      </c>
      <c r="BT1436" t="str">
        <f>HYPERLINK("https%3A%2F%2Fwww.webofscience.com%2Fwos%2Fwoscc%2Ffull-record%2FWOS:000827125000003","View Full Record in Web of Science")</f>
        <v>View Full Record in Web of Science</v>
      </c>
    </row>
    <row r="1437" spans="1:72" x14ac:dyDescent="0.35">
      <c r="A1437" t="s">
        <v>72</v>
      </c>
      <c r="B1437" t="s">
        <v>24194</v>
      </c>
      <c r="C1437" t="s">
        <v>74</v>
      </c>
      <c r="D1437" t="s">
        <v>74</v>
      </c>
      <c r="E1437" t="s">
        <v>74</v>
      </c>
      <c r="F1437" t="s">
        <v>24195</v>
      </c>
      <c r="G1437" t="s">
        <v>74</v>
      </c>
      <c r="H1437" t="s">
        <v>74</v>
      </c>
      <c r="I1437" t="s">
        <v>24196</v>
      </c>
      <c r="J1437" t="s">
        <v>24197</v>
      </c>
      <c r="K1437" t="s">
        <v>74</v>
      </c>
      <c r="L1437" t="s">
        <v>74</v>
      </c>
      <c r="M1437" t="s">
        <v>78</v>
      </c>
      <c r="N1437" t="s">
        <v>108</v>
      </c>
      <c r="O1437" t="s">
        <v>74</v>
      </c>
      <c r="P1437" t="s">
        <v>74</v>
      </c>
      <c r="Q1437" t="s">
        <v>74</v>
      </c>
      <c r="R1437" t="s">
        <v>74</v>
      </c>
      <c r="S1437" t="s">
        <v>74</v>
      </c>
      <c r="T1437" t="s">
        <v>24198</v>
      </c>
      <c r="U1437" t="s">
        <v>24199</v>
      </c>
      <c r="V1437" t="s">
        <v>24200</v>
      </c>
      <c r="W1437" t="s">
        <v>24201</v>
      </c>
      <c r="X1437" t="s">
        <v>24202</v>
      </c>
      <c r="Y1437" t="s">
        <v>24203</v>
      </c>
      <c r="Z1437" t="s">
        <v>612</v>
      </c>
      <c r="AA1437" t="s">
        <v>74</v>
      </c>
      <c r="AB1437" t="s">
        <v>24204</v>
      </c>
      <c r="AC1437" t="s">
        <v>24205</v>
      </c>
      <c r="AD1437" t="s">
        <v>24206</v>
      </c>
      <c r="AE1437" t="s">
        <v>6454</v>
      </c>
      <c r="AF1437" t="s">
        <v>74</v>
      </c>
      <c r="AG1437">
        <v>42</v>
      </c>
      <c r="AH1437">
        <v>17</v>
      </c>
      <c r="AI1437">
        <v>17</v>
      </c>
      <c r="AJ1437">
        <v>2</v>
      </c>
      <c r="AK1437">
        <v>2</v>
      </c>
      <c r="AL1437" t="s">
        <v>251</v>
      </c>
      <c r="AM1437" t="s">
        <v>252</v>
      </c>
      <c r="AN1437" t="s">
        <v>253</v>
      </c>
      <c r="AO1437" t="s">
        <v>24207</v>
      </c>
      <c r="AP1437" t="s">
        <v>74</v>
      </c>
      <c r="AQ1437" t="s">
        <v>74</v>
      </c>
      <c r="AR1437" t="s">
        <v>24197</v>
      </c>
      <c r="AS1437" t="s">
        <v>24208</v>
      </c>
      <c r="AT1437" t="s">
        <v>1484</v>
      </c>
      <c r="AU1437">
        <v>2023</v>
      </c>
      <c r="AV1437">
        <v>4</v>
      </c>
      <c r="AW1437">
        <v>2</v>
      </c>
      <c r="AX1437" t="s">
        <v>74</v>
      </c>
      <c r="AY1437" t="s">
        <v>74</v>
      </c>
      <c r="AZ1437" t="s">
        <v>74</v>
      </c>
      <c r="BA1437" t="s">
        <v>74</v>
      </c>
      <c r="BB1437">
        <v>206</v>
      </c>
      <c r="BC1437">
        <v>213</v>
      </c>
      <c r="BD1437" t="s">
        <v>74</v>
      </c>
      <c r="BE1437" t="s">
        <v>24209</v>
      </c>
      <c r="BF1437" t="str">
        <f>HYPERLINK("http://dx.doi.org/10.1002/bco2.200","http://dx.doi.org/10.1002/bco2.200")</f>
        <v>http://dx.doi.org/10.1002/bco2.200</v>
      </c>
      <c r="BG1437" t="s">
        <v>74</v>
      </c>
      <c r="BH1437" t="s">
        <v>74</v>
      </c>
      <c r="BI1437">
        <v>8</v>
      </c>
      <c r="BJ1437" t="s">
        <v>1908</v>
      </c>
      <c r="BK1437" t="s">
        <v>125</v>
      </c>
      <c r="BL1437" t="s">
        <v>1908</v>
      </c>
      <c r="BM1437" t="s">
        <v>24210</v>
      </c>
      <c r="BN1437">
        <v>36816146</v>
      </c>
      <c r="BO1437" t="s">
        <v>552</v>
      </c>
      <c r="BP1437" t="s">
        <v>74</v>
      </c>
      <c r="BQ1437" t="s">
        <v>74</v>
      </c>
      <c r="BR1437" t="s">
        <v>102</v>
      </c>
      <c r="BS1437" t="s">
        <v>24211</v>
      </c>
      <c r="BT1437" t="str">
        <f>HYPERLINK("https%3A%2F%2Fwww.webofscience.com%2Fwos%2Fwoscc%2Ffull-record%2FWOS:001145248200006","View Full Record in Web of Science")</f>
        <v>View Full Record in Web of Science</v>
      </c>
    </row>
    <row r="1438" spans="1:72" x14ac:dyDescent="0.35">
      <c r="A1438" t="s">
        <v>72</v>
      </c>
      <c r="B1438" t="s">
        <v>24212</v>
      </c>
      <c r="C1438" t="s">
        <v>74</v>
      </c>
      <c r="D1438" t="s">
        <v>74</v>
      </c>
      <c r="E1438" t="s">
        <v>74</v>
      </c>
      <c r="F1438" t="s">
        <v>24213</v>
      </c>
      <c r="G1438" t="s">
        <v>74</v>
      </c>
      <c r="H1438" t="s">
        <v>74</v>
      </c>
      <c r="I1438" t="s">
        <v>24214</v>
      </c>
      <c r="J1438" t="s">
        <v>20961</v>
      </c>
      <c r="K1438" t="s">
        <v>74</v>
      </c>
      <c r="L1438" t="s">
        <v>74</v>
      </c>
      <c r="M1438" t="s">
        <v>78</v>
      </c>
      <c r="N1438" t="s">
        <v>108</v>
      </c>
      <c r="O1438" t="s">
        <v>74</v>
      </c>
      <c r="P1438" t="s">
        <v>74</v>
      </c>
      <c r="Q1438" t="s">
        <v>74</v>
      </c>
      <c r="R1438" t="s">
        <v>74</v>
      </c>
      <c r="S1438" t="s">
        <v>74</v>
      </c>
      <c r="T1438" t="s">
        <v>24215</v>
      </c>
      <c r="U1438" t="s">
        <v>24216</v>
      </c>
      <c r="V1438" t="s">
        <v>24217</v>
      </c>
      <c r="W1438" t="s">
        <v>24218</v>
      </c>
      <c r="X1438" t="s">
        <v>24219</v>
      </c>
      <c r="Y1438" t="s">
        <v>24220</v>
      </c>
      <c r="Z1438" t="s">
        <v>24221</v>
      </c>
      <c r="AA1438" t="s">
        <v>24222</v>
      </c>
      <c r="AB1438" t="s">
        <v>24223</v>
      </c>
      <c r="AC1438" t="s">
        <v>74</v>
      </c>
      <c r="AD1438" t="s">
        <v>74</v>
      </c>
      <c r="AE1438" t="s">
        <v>74</v>
      </c>
      <c r="AF1438" t="s">
        <v>74</v>
      </c>
      <c r="AG1438">
        <v>40</v>
      </c>
      <c r="AH1438">
        <v>0</v>
      </c>
      <c r="AI1438">
        <v>0</v>
      </c>
      <c r="AJ1438">
        <v>7</v>
      </c>
      <c r="AK1438">
        <v>22</v>
      </c>
      <c r="AL1438" t="s">
        <v>1195</v>
      </c>
      <c r="AM1438" t="s">
        <v>1196</v>
      </c>
      <c r="AN1438" t="s">
        <v>1197</v>
      </c>
      <c r="AO1438" t="s">
        <v>74</v>
      </c>
      <c r="AP1438" t="s">
        <v>20969</v>
      </c>
      <c r="AQ1438" t="s">
        <v>74</v>
      </c>
      <c r="AR1438" t="s">
        <v>20961</v>
      </c>
      <c r="AS1438" t="s">
        <v>20970</v>
      </c>
      <c r="AT1438" t="s">
        <v>930</v>
      </c>
      <c r="AU1438">
        <v>2023</v>
      </c>
      <c r="AV1438">
        <v>13</v>
      </c>
      <c r="AW1438">
        <v>4</v>
      </c>
      <c r="AX1438" t="s">
        <v>74</v>
      </c>
      <c r="AY1438" t="s">
        <v>74</v>
      </c>
      <c r="AZ1438" t="s">
        <v>74</v>
      </c>
      <c r="BA1438" t="s">
        <v>74</v>
      </c>
      <c r="BB1438" t="s">
        <v>74</v>
      </c>
      <c r="BC1438" t="s">
        <v>74</v>
      </c>
      <c r="BD1438">
        <v>82</v>
      </c>
      <c r="BE1438" t="s">
        <v>24224</v>
      </c>
      <c r="BF1438" t="str">
        <f>HYPERLINK("http://dx.doi.org/10.3390/soc13040082","http://dx.doi.org/10.3390/soc13040082")</f>
        <v>http://dx.doi.org/10.3390/soc13040082</v>
      </c>
      <c r="BG1438" t="s">
        <v>74</v>
      </c>
      <c r="BH1438" t="s">
        <v>74</v>
      </c>
      <c r="BI1438">
        <v>11</v>
      </c>
      <c r="BJ1438" t="s">
        <v>4573</v>
      </c>
      <c r="BK1438" t="s">
        <v>125</v>
      </c>
      <c r="BL1438" t="s">
        <v>4573</v>
      </c>
      <c r="BM1438" t="s">
        <v>24225</v>
      </c>
      <c r="BN1438" t="s">
        <v>74</v>
      </c>
      <c r="BO1438" t="s">
        <v>394</v>
      </c>
      <c r="BP1438" t="s">
        <v>74</v>
      </c>
      <c r="BQ1438" t="s">
        <v>74</v>
      </c>
      <c r="BR1438" t="s">
        <v>102</v>
      </c>
      <c r="BS1438" t="s">
        <v>24226</v>
      </c>
      <c r="BT1438" t="str">
        <f>HYPERLINK("https%3A%2F%2Fwww.webofscience.com%2Fwos%2Fwoscc%2Ffull-record%2FWOS:000983145700001","View Full Record in Web of Science")</f>
        <v>View Full Record in Web of Science</v>
      </c>
    </row>
    <row r="1439" spans="1:72" x14ac:dyDescent="0.35">
      <c r="A1439" t="s">
        <v>72</v>
      </c>
      <c r="B1439" t="s">
        <v>24227</v>
      </c>
      <c r="C1439" t="s">
        <v>74</v>
      </c>
      <c r="D1439" t="s">
        <v>74</v>
      </c>
      <c r="E1439" t="s">
        <v>74</v>
      </c>
      <c r="F1439" t="s">
        <v>24228</v>
      </c>
      <c r="G1439" t="s">
        <v>74</v>
      </c>
      <c r="H1439" t="s">
        <v>74</v>
      </c>
      <c r="I1439" t="s">
        <v>24229</v>
      </c>
      <c r="J1439" t="s">
        <v>2450</v>
      </c>
      <c r="K1439" t="s">
        <v>74</v>
      </c>
      <c r="L1439" t="s">
        <v>74</v>
      </c>
      <c r="M1439" t="s">
        <v>78</v>
      </c>
      <c r="N1439" t="s">
        <v>108</v>
      </c>
      <c r="O1439" t="s">
        <v>74</v>
      </c>
      <c r="P1439" t="s">
        <v>74</v>
      </c>
      <c r="Q1439" t="s">
        <v>74</v>
      </c>
      <c r="R1439" t="s">
        <v>74</v>
      </c>
      <c r="S1439" t="s">
        <v>74</v>
      </c>
      <c r="T1439" t="s">
        <v>74</v>
      </c>
      <c r="U1439" t="s">
        <v>74</v>
      </c>
      <c r="V1439" t="s">
        <v>24230</v>
      </c>
      <c r="W1439" t="s">
        <v>24231</v>
      </c>
      <c r="X1439" t="s">
        <v>74</v>
      </c>
      <c r="Y1439" t="s">
        <v>24232</v>
      </c>
      <c r="Z1439" t="s">
        <v>24233</v>
      </c>
      <c r="AA1439" t="s">
        <v>74</v>
      </c>
      <c r="AB1439" t="s">
        <v>24234</v>
      </c>
      <c r="AC1439" t="s">
        <v>74</v>
      </c>
      <c r="AD1439" t="s">
        <v>74</v>
      </c>
      <c r="AE1439" t="s">
        <v>74</v>
      </c>
      <c r="AF1439" t="s">
        <v>74</v>
      </c>
      <c r="AG1439">
        <v>32</v>
      </c>
      <c r="AH1439">
        <v>30</v>
      </c>
      <c r="AI1439">
        <v>33</v>
      </c>
      <c r="AJ1439">
        <v>6</v>
      </c>
      <c r="AK1439">
        <v>36</v>
      </c>
      <c r="AL1439" t="s">
        <v>2458</v>
      </c>
      <c r="AM1439" t="s">
        <v>2459</v>
      </c>
      <c r="AN1439" t="s">
        <v>2460</v>
      </c>
      <c r="AO1439" t="s">
        <v>2461</v>
      </c>
      <c r="AP1439" t="s">
        <v>74</v>
      </c>
      <c r="AQ1439" t="s">
        <v>74</v>
      </c>
      <c r="AR1439" t="s">
        <v>2450</v>
      </c>
      <c r="AS1439" t="s">
        <v>2462</v>
      </c>
      <c r="AT1439" t="s">
        <v>24235</v>
      </c>
      <c r="AU1439">
        <v>2021</v>
      </c>
      <c r="AV1439">
        <v>16</v>
      </c>
      <c r="AW1439">
        <v>3</v>
      </c>
      <c r="AX1439" t="s">
        <v>74</v>
      </c>
      <c r="AY1439" t="s">
        <v>74</v>
      </c>
      <c r="AZ1439" t="s">
        <v>74</v>
      </c>
      <c r="BA1439" t="s">
        <v>74</v>
      </c>
      <c r="BB1439" t="s">
        <v>74</v>
      </c>
      <c r="BC1439" t="s">
        <v>74</v>
      </c>
      <c r="BD1439" t="s">
        <v>24236</v>
      </c>
      <c r="BE1439" t="s">
        <v>24237</v>
      </c>
      <c r="BF1439" t="str">
        <f>HYPERLINK("http://dx.doi.org/10.1371/journal.pone.0248507","http://dx.doi.org/10.1371/journal.pone.0248507")</f>
        <v>http://dx.doi.org/10.1371/journal.pone.0248507</v>
      </c>
      <c r="BG1439" t="s">
        <v>74</v>
      </c>
      <c r="BH1439" t="s">
        <v>74</v>
      </c>
      <c r="BI1439">
        <v>15</v>
      </c>
      <c r="BJ1439" t="s">
        <v>1301</v>
      </c>
      <c r="BK1439" t="s">
        <v>182</v>
      </c>
      <c r="BL1439" t="s">
        <v>1302</v>
      </c>
      <c r="BM1439" t="s">
        <v>24238</v>
      </c>
      <c r="BN1439">
        <v>33788841</v>
      </c>
      <c r="BO1439" t="s">
        <v>394</v>
      </c>
      <c r="BP1439" t="s">
        <v>74</v>
      </c>
      <c r="BQ1439" t="s">
        <v>74</v>
      </c>
      <c r="BR1439" t="s">
        <v>102</v>
      </c>
      <c r="BS1439" t="s">
        <v>24239</v>
      </c>
      <c r="BT1439" t="str">
        <f>HYPERLINK("https%3A%2F%2Fwww.webofscience.com%2Fwos%2Fwoscc%2Ffull-record%2FWOS:000636354600039","View Full Record in Web of Science")</f>
        <v>View Full Record in Web of Science</v>
      </c>
    </row>
    <row r="1440" spans="1:72" x14ac:dyDescent="0.35">
      <c r="A1440" t="s">
        <v>72</v>
      </c>
      <c r="B1440" t="s">
        <v>24240</v>
      </c>
      <c r="C1440" t="s">
        <v>74</v>
      </c>
      <c r="D1440" t="s">
        <v>74</v>
      </c>
      <c r="E1440" t="s">
        <v>74</v>
      </c>
      <c r="F1440" t="s">
        <v>24241</v>
      </c>
      <c r="G1440" t="s">
        <v>74</v>
      </c>
      <c r="H1440" t="s">
        <v>74</v>
      </c>
      <c r="I1440" t="s">
        <v>24242</v>
      </c>
      <c r="J1440" t="s">
        <v>557</v>
      </c>
      <c r="K1440" t="s">
        <v>74</v>
      </c>
      <c r="L1440" t="s">
        <v>74</v>
      </c>
      <c r="M1440" t="s">
        <v>78</v>
      </c>
      <c r="N1440" t="s">
        <v>79</v>
      </c>
      <c r="O1440" t="s">
        <v>74</v>
      </c>
      <c r="P1440" t="s">
        <v>74</v>
      </c>
      <c r="Q1440" t="s">
        <v>74</v>
      </c>
      <c r="R1440" t="s">
        <v>74</v>
      </c>
      <c r="S1440" t="s">
        <v>74</v>
      </c>
      <c r="T1440" t="s">
        <v>24243</v>
      </c>
      <c r="U1440" t="s">
        <v>24244</v>
      </c>
      <c r="V1440" t="s">
        <v>24245</v>
      </c>
      <c r="W1440" t="s">
        <v>24246</v>
      </c>
      <c r="X1440" t="s">
        <v>24247</v>
      </c>
      <c r="Y1440" t="s">
        <v>24248</v>
      </c>
      <c r="Z1440" t="s">
        <v>24249</v>
      </c>
      <c r="AA1440" t="s">
        <v>74</v>
      </c>
      <c r="AB1440" t="s">
        <v>74</v>
      </c>
      <c r="AC1440" t="s">
        <v>74</v>
      </c>
      <c r="AD1440" t="s">
        <v>74</v>
      </c>
      <c r="AE1440" t="s">
        <v>74</v>
      </c>
      <c r="AF1440" t="s">
        <v>74</v>
      </c>
      <c r="AG1440">
        <v>83</v>
      </c>
      <c r="AH1440">
        <v>0</v>
      </c>
      <c r="AI1440">
        <v>0</v>
      </c>
      <c r="AJ1440">
        <v>8</v>
      </c>
      <c r="AK1440">
        <v>8</v>
      </c>
      <c r="AL1440" t="s">
        <v>88</v>
      </c>
      <c r="AM1440" t="s">
        <v>89</v>
      </c>
      <c r="AN1440" t="s">
        <v>90</v>
      </c>
      <c r="AO1440" t="s">
        <v>567</v>
      </c>
      <c r="AP1440" t="s">
        <v>568</v>
      </c>
      <c r="AQ1440" t="s">
        <v>74</v>
      </c>
      <c r="AR1440" t="s">
        <v>569</v>
      </c>
      <c r="AS1440" t="s">
        <v>570</v>
      </c>
      <c r="AT1440" t="s">
        <v>335</v>
      </c>
      <c r="AU1440">
        <v>2024</v>
      </c>
      <c r="AV1440" t="s">
        <v>74</v>
      </c>
      <c r="AW1440" t="s">
        <v>74</v>
      </c>
      <c r="AX1440" t="s">
        <v>74</v>
      </c>
      <c r="AY1440" t="s">
        <v>74</v>
      </c>
      <c r="AZ1440" t="s">
        <v>74</v>
      </c>
      <c r="BA1440" t="s">
        <v>74</v>
      </c>
      <c r="BB1440" t="s">
        <v>74</v>
      </c>
      <c r="BC1440" t="s">
        <v>74</v>
      </c>
      <c r="BD1440" t="s">
        <v>74</v>
      </c>
      <c r="BE1440" t="s">
        <v>24250</v>
      </c>
      <c r="BF1440" t="str">
        <f>HYPERLINK("http://dx.doi.org/10.1080/13683500.2024.2404998","http://dx.doi.org/10.1080/13683500.2024.2404998")</f>
        <v>http://dx.doi.org/10.1080/13683500.2024.2404998</v>
      </c>
      <c r="BG1440" t="s">
        <v>74</v>
      </c>
      <c r="BH1440" t="s">
        <v>337</v>
      </c>
      <c r="BI1440">
        <v>16</v>
      </c>
      <c r="BJ1440" t="s">
        <v>574</v>
      </c>
      <c r="BK1440" t="s">
        <v>99</v>
      </c>
      <c r="BL1440" t="s">
        <v>100</v>
      </c>
      <c r="BM1440" t="s">
        <v>24251</v>
      </c>
      <c r="BN1440" t="s">
        <v>74</v>
      </c>
      <c r="BO1440" t="s">
        <v>74</v>
      </c>
      <c r="BP1440" t="s">
        <v>74</v>
      </c>
      <c r="BQ1440" t="s">
        <v>74</v>
      </c>
      <c r="BR1440" t="s">
        <v>102</v>
      </c>
      <c r="BS1440" t="s">
        <v>24252</v>
      </c>
      <c r="BT1440" t="str">
        <f>HYPERLINK("https%3A%2F%2Fwww.webofscience.com%2Fwos%2Fwoscc%2Ffull-record%2FWOS:001314897800001","View Full Record in Web of Science")</f>
        <v>View Full Record in Web of Science</v>
      </c>
    </row>
    <row r="1441" spans="1:72" x14ac:dyDescent="0.35">
      <c r="A1441" t="s">
        <v>72</v>
      </c>
      <c r="B1441" t="s">
        <v>24253</v>
      </c>
      <c r="C1441" t="s">
        <v>74</v>
      </c>
      <c r="D1441" t="s">
        <v>74</v>
      </c>
      <c r="E1441" t="s">
        <v>74</v>
      </c>
      <c r="F1441" t="s">
        <v>24254</v>
      </c>
      <c r="G1441" t="s">
        <v>74</v>
      </c>
      <c r="H1441" t="s">
        <v>74</v>
      </c>
      <c r="I1441" t="s">
        <v>24255</v>
      </c>
      <c r="J1441" t="s">
        <v>14123</v>
      </c>
      <c r="K1441" t="s">
        <v>74</v>
      </c>
      <c r="L1441" t="s">
        <v>74</v>
      </c>
      <c r="M1441" t="s">
        <v>78</v>
      </c>
      <c r="N1441" t="s">
        <v>108</v>
      </c>
      <c r="O1441" t="s">
        <v>74</v>
      </c>
      <c r="P1441" t="s">
        <v>74</v>
      </c>
      <c r="Q1441" t="s">
        <v>74</v>
      </c>
      <c r="R1441" t="s">
        <v>74</v>
      </c>
      <c r="S1441" t="s">
        <v>74</v>
      </c>
      <c r="T1441" t="s">
        <v>24256</v>
      </c>
      <c r="U1441" t="s">
        <v>24257</v>
      </c>
      <c r="V1441" t="s">
        <v>24258</v>
      </c>
      <c r="W1441" t="s">
        <v>24259</v>
      </c>
      <c r="X1441" t="s">
        <v>9865</v>
      </c>
      <c r="Y1441" t="s">
        <v>24260</v>
      </c>
      <c r="Z1441" t="s">
        <v>24261</v>
      </c>
      <c r="AA1441" t="s">
        <v>24262</v>
      </c>
      <c r="AB1441" t="s">
        <v>24263</v>
      </c>
      <c r="AC1441" t="s">
        <v>24264</v>
      </c>
      <c r="AD1441" t="s">
        <v>24265</v>
      </c>
      <c r="AE1441" t="s">
        <v>24266</v>
      </c>
      <c r="AF1441" t="s">
        <v>74</v>
      </c>
      <c r="AG1441">
        <v>49</v>
      </c>
      <c r="AH1441">
        <v>5</v>
      </c>
      <c r="AI1441">
        <v>6</v>
      </c>
      <c r="AJ1441">
        <v>6</v>
      </c>
      <c r="AK1441">
        <v>28</v>
      </c>
      <c r="AL1441" t="s">
        <v>14132</v>
      </c>
      <c r="AM1441" t="s">
        <v>14133</v>
      </c>
      <c r="AN1441" t="s">
        <v>14134</v>
      </c>
      <c r="AO1441" t="s">
        <v>14135</v>
      </c>
      <c r="AP1441" t="s">
        <v>74</v>
      </c>
      <c r="AQ1441" t="s">
        <v>74</v>
      </c>
      <c r="AR1441" t="s">
        <v>14136</v>
      </c>
      <c r="AS1441" t="s">
        <v>14137</v>
      </c>
      <c r="AT1441" t="s">
        <v>74</v>
      </c>
      <c r="AU1441">
        <v>2023</v>
      </c>
      <c r="AV1441">
        <v>36</v>
      </c>
      <c r="AW1441">
        <v>1</v>
      </c>
      <c r="AX1441" t="s">
        <v>74</v>
      </c>
      <c r="AY1441" t="s">
        <v>74</v>
      </c>
      <c r="AZ1441" t="s">
        <v>74</v>
      </c>
      <c r="BA1441" t="s">
        <v>74</v>
      </c>
      <c r="BB1441">
        <v>151</v>
      </c>
      <c r="BC1441">
        <v>166</v>
      </c>
      <c r="BD1441" t="s">
        <v>74</v>
      </c>
      <c r="BE1441" t="s">
        <v>24267</v>
      </c>
      <c r="BF1441" t="str">
        <f>HYPERLINK("http://dx.doi.org/10.15581/003.36.1.151-166","http://dx.doi.org/10.15581/003.36.1.151-166")</f>
        <v>http://dx.doi.org/10.15581/003.36.1.151-166</v>
      </c>
      <c r="BG1441" t="s">
        <v>74</v>
      </c>
      <c r="BH1441" t="s">
        <v>74</v>
      </c>
      <c r="BI1441">
        <v>16</v>
      </c>
      <c r="BJ1441" t="s">
        <v>124</v>
      </c>
      <c r="BK1441" t="s">
        <v>125</v>
      </c>
      <c r="BL1441" t="s">
        <v>124</v>
      </c>
      <c r="BM1441" t="s">
        <v>24268</v>
      </c>
      <c r="BN1441" t="s">
        <v>74</v>
      </c>
      <c r="BO1441" t="s">
        <v>552</v>
      </c>
      <c r="BP1441" t="s">
        <v>74</v>
      </c>
      <c r="BQ1441" t="s">
        <v>74</v>
      </c>
      <c r="BR1441" t="s">
        <v>102</v>
      </c>
      <c r="BS1441" t="s">
        <v>24269</v>
      </c>
      <c r="BT1441" t="str">
        <f>HYPERLINK("https%3A%2F%2Fwww.webofscience.com%2Fwos%2Fwoscc%2Ffull-record%2FWOS:000933357900010","View Full Record in Web of Science")</f>
        <v>View Full Record in Web of Science</v>
      </c>
    </row>
    <row r="1442" spans="1:72" x14ac:dyDescent="0.35">
      <c r="A1442" t="s">
        <v>72</v>
      </c>
      <c r="B1442" t="s">
        <v>24091</v>
      </c>
      <c r="C1442" t="s">
        <v>74</v>
      </c>
      <c r="D1442" t="s">
        <v>74</v>
      </c>
      <c r="E1442" t="s">
        <v>74</v>
      </c>
      <c r="F1442" t="s">
        <v>24092</v>
      </c>
      <c r="G1442" t="s">
        <v>74</v>
      </c>
      <c r="H1442" t="s">
        <v>74</v>
      </c>
      <c r="I1442" t="s">
        <v>24093</v>
      </c>
      <c r="J1442" t="s">
        <v>10062</v>
      </c>
      <c r="K1442" t="s">
        <v>74</v>
      </c>
      <c r="L1442" t="s">
        <v>74</v>
      </c>
      <c r="M1442" t="s">
        <v>78</v>
      </c>
      <c r="N1442" t="s">
        <v>108</v>
      </c>
      <c r="O1442" t="s">
        <v>74</v>
      </c>
      <c r="P1442" t="s">
        <v>74</v>
      </c>
      <c r="Q1442" t="s">
        <v>74</v>
      </c>
      <c r="R1442" t="s">
        <v>74</v>
      </c>
      <c r="S1442" t="s">
        <v>74</v>
      </c>
      <c r="T1442" t="s">
        <v>24094</v>
      </c>
      <c r="U1442" t="s">
        <v>74</v>
      </c>
      <c r="V1442" t="s">
        <v>24095</v>
      </c>
      <c r="W1442" t="s">
        <v>24270</v>
      </c>
      <c r="X1442" t="s">
        <v>24097</v>
      </c>
      <c r="Y1442" t="s">
        <v>24271</v>
      </c>
      <c r="Z1442" t="s">
        <v>74</v>
      </c>
      <c r="AA1442" t="s">
        <v>74</v>
      </c>
      <c r="AB1442" t="s">
        <v>74</v>
      </c>
      <c r="AC1442" t="s">
        <v>74</v>
      </c>
      <c r="AD1442" t="s">
        <v>74</v>
      </c>
      <c r="AE1442" t="s">
        <v>74</v>
      </c>
      <c r="AF1442" t="s">
        <v>74</v>
      </c>
      <c r="AG1442">
        <v>20</v>
      </c>
      <c r="AH1442">
        <v>0</v>
      </c>
      <c r="AI1442">
        <v>0</v>
      </c>
      <c r="AJ1442">
        <v>0</v>
      </c>
      <c r="AK1442">
        <v>0</v>
      </c>
      <c r="AL1442" t="s">
        <v>10071</v>
      </c>
      <c r="AM1442" t="s">
        <v>10072</v>
      </c>
      <c r="AN1442" t="s">
        <v>10073</v>
      </c>
      <c r="AO1442" t="s">
        <v>10074</v>
      </c>
      <c r="AP1442" t="s">
        <v>10075</v>
      </c>
      <c r="AQ1442" t="s">
        <v>74</v>
      </c>
      <c r="AR1442" t="s">
        <v>10076</v>
      </c>
      <c r="AS1442" t="s">
        <v>10077</v>
      </c>
      <c r="AT1442" t="s">
        <v>178</v>
      </c>
      <c r="AU1442">
        <v>2024</v>
      </c>
      <c r="AV1442">
        <v>15</v>
      </c>
      <c r="AW1442">
        <v>2</v>
      </c>
      <c r="AX1442" t="s">
        <v>74</v>
      </c>
      <c r="AY1442" t="s">
        <v>74</v>
      </c>
      <c r="AZ1442" t="s">
        <v>74</v>
      </c>
      <c r="BA1442" t="s">
        <v>74</v>
      </c>
      <c r="BB1442">
        <v>419</v>
      </c>
      <c r="BC1442">
        <v>425</v>
      </c>
      <c r="BD1442" t="s">
        <v>74</v>
      </c>
      <c r="BE1442" t="s">
        <v>74</v>
      </c>
      <c r="BF1442" t="s">
        <v>74</v>
      </c>
      <c r="BG1442" t="s">
        <v>74</v>
      </c>
      <c r="BH1442" t="s">
        <v>74</v>
      </c>
      <c r="BI1442">
        <v>7</v>
      </c>
      <c r="BJ1442" t="s">
        <v>6668</v>
      </c>
      <c r="BK1442" t="s">
        <v>125</v>
      </c>
      <c r="BL1442" t="s">
        <v>210</v>
      </c>
      <c r="BM1442" t="s">
        <v>13694</v>
      </c>
      <c r="BN1442" t="s">
        <v>74</v>
      </c>
      <c r="BO1442" t="s">
        <v>74</v>
      </c>
      <c r="BP1442" t="s">
        <v>74</v>
      </c>
      <c r="BQ1442" t="s">
        <v>74</v>
      </c>
      <c r="BR1442" t="s">
        <v>102</v>
      </c>
      <c r="BS1442" t="s">
        <v>24272</v>
      </c>
      <c r="BT1442" t="str">
        <f>HYPERLINK("https%3A%2F%2Fwww.webofscience.com%2Fwos%2Fwoscc%2Ffull-record%2FWOS:001317434000043","View Full Record in Web of Science")</f>
        <v>View Full Record in Web of Science</v>
      </c>
    </row>
    <row r="1443" spans="1:72" x14ac:dyDescent="0.35">
      <c r="A1443" t="s">
        <v>72</v>
      </c>
      <c r="B1443" t="s">
        <v>24273</v>
      </c>
      <c r="C1443" t="s">
        <v>74</v>
      </c>
      <c r="D1443" t="s">
        <v>74</v>
      </c>
      <c r="E1443" t="s">
        <v>74</v>
      </c>
      <c r="F1443" t="s">
        <v>24274</v>
      </c>
      <c r="G1443" t="s">
        <v>74</v>
      </c>
      <c r="H1443" t="s">
        <v>74</v>
      </c>
      <c r="I1443" t="s">
        <v>24275</v>
      </c>
      <c r="J1443" t="s">
        <v>8197</v>
      </c>
      <c r="K1443" t="s">
        <v>74</v>
      </c>
      <c r="L1443" t="s">
        <v>74</v>
      </c>
      <c r="M1443" t="s">
        <v>78</v>
      </c>
      <c r="N1443" t="s">
        <v>108</v>
      </c>
      <c r="O1443" t="s">
        <v>74</v>
      </c>
      <c r="P1443" t="s">
        <v>74</v>
      </c>
      <c r="Q1443" t="s">
        <v>74</v>
      </c>
      <c r="R1443" t="s">
        <v>74</v>
      </c>
      <c r="S1443" t="s">
        <v>74</v>
      </c>
      <c r="T1443" t="s">
        <v>74</v>
      </c>
      <c r="U1443" t="s">
        <v>24276</v>
      </c>
      <c r="V1443" t="s">
        <v>24277</v>
      </c>
      <c r="W1443" t="s">
        <v>24278</v>
      </c>
      <c r="X1443" t="s">
        <v>24279</v>
      </c>
      <c r="Y1443" t="s">
        <v>24280</v>
      </c>
      <c r="Z1443" t="s">
        <v>24281</v>
      </c>
      <c r="AA1443" t="s">
        <v>24282</v>
      </c>
      <c r="AB1443" t="s">
        <v>24283</v>
      </c>
      <c r="AC1443" t="s">
        <v>74</v>
      </c>
      <c r="AD1443" t="s">
        <v>74</v>
      </c>
      <c r="AE1443" t="s">
        <v>74</v>
      </c>
      <c r="AF1443" t="s">
        <v>74</v>
      </c>
      <c r="AG1443">
        <v>69</v>
      </c>
      <c r="AH1443">
        <v>6</v>
      </c>
      <c r="AI1443">
        <v>7</v>
      </c>
      <c r="AJ1443">
        <v>23</v>
      </c>
      <c r="AK1443">
        <v>89</v>
      </c>
      <c r="AL1443" t="s">
        <v>994</v>
      </c>
      <c r="AM1443" t="s">
        <v>995</v>
      </c>
      <c r="AN1443" t="s">
        <v>996</v>
      </c>
      <c r="AO1443" t="s">
        <v>8209</v>
      </c>
      <c r="AP1443" t="s">
        <v>8210</v>
      </c>
      <c r="AQ1443" t="s">
        <v>74</v>
      </c>
      <c r="AR1443" t="s">
        <v>8211</v>
      </c>
      <c r="AS1443" t="s">
        <v>8212</v>
      </c>
      <c r="AT1443" t="s">
        <v>19024</v>
      </c>
      <c r="AU1443">
        <v>2023</v>
      </c>
      <c r="AV1443">
        <v>28</v>
      </c>
      <c r="AW1443">
        <v>8</v>
      </c>
      <c r="AX1443" t="s">
        <v>74</v>
      </c>
      <c r="AY1443" t="s">
        <v>74</v>
      </c>
      <c r="AZ1443" t="s">
        <v>74</v>
      </c>
      <c r="BA1443" t="s">
        <v>74</v>
      </c>
      <c r="BB1443">
        <v>539</v>
      </c>
      <c r="BC1443">
        <v>551</v>
      </c>
      <c r="BD1443" t="s">
        <v>74</v>
      </c>
      <c r="BE1443" t="s">
        <v>24284</v>
      </c>
      <c r="BF1443" t="str">
        <f>HYPERLINK("http://dx.doi.org/10.1080/10810730.2023.2234866","http://dx.doi.org/10.1080/10810730.2023.2234866")</f>
        <v>http://dx.doi.org/10.1080/10810730.2023.2234866</v>
      </c>
      <c r="BG1443" t="s">
        <v>74</v>
      </c>
      <c r="BH1443" t="s">
        <v>1180</v>
      </c>
      <c r="BI1443">
        <v>13</v>
      </c>
      <c r="BJ1443" t="s">
        <v>5240</v>
      </c>
      <c r="BK1443" t="s">
        <v>99</v>
      </c>
      <c r="BL1443" t="s">
        <v>5240</v>
      </c>
      <c r="BM1443" t="s">
        <v>24285</v>
      </c>
      <c r="BN1443">
        <v>37434532</v>
      </c>
      <c r="BO1443" t="s">
        <v>767</v>
      </c>
      <c r="BP1443" t="s">
        <v>74</v>
      </c>
      <c r="BQ1443" t="s">
        <v>74</v>
      </c>
      <c r="BR1443" t="s">
        <v>102</v>
      </c>
      <c r="BS1443" t="s">
        <v>24286</v>
      </c>
      <c r="BT1443" t="str">
        <f>HYPERLINK("https%3A%2F%2Fwww.webofscience.com%2Fwos%2Fwoscc%2Ffull-record%2FWOS:001024159200001","View Full Record in Web of Science")</f>
        <v>View Full Record in Web of Science</v>
      </c>
    </row>
    <row r="1444" spans="1:72" x14ac:dyDescent="0.35">
      <c r="A1444" t="s">
        <v>72</v>
      </c>
      <c r="B1444" t="s">
        <v>24287</v>
      </c>
      <c r="C1444" t="s">
        <v>74</v>
      </c>
      <c r="D1444" t="s">
        <v>74</v>
      </c>
      <c r="E1444" t="s">
        <v>74</v>
      </c>
      <c r="F1444" t="s">
        <v>24288</v>
      </c>
      <c r="G1444" t="s">
        <v>74</v>
      </c>
      <c r="H1444" t="s">
        <v>74</v>
      </c>
      <c r="I1444" t="s">
        <v>24289</v>
      </c>
      <c r="J1444" t="s">
        <v>9175</v>
      </c>
      <c r="K1444" t="s">
        <v>74</v>
      </c>
      <c r="L1444" t="s">
        <v>74</v>
      </c>
      <c r="M1444" t="s">
        <v>78</v>
      </c>
      <c r="N1444" t="s">
        <v>108</v>
      </c>
      <c r="O1444" t="s">
        <v>74</v>
      </c>
      <c r="P1444" t="s">
        <v>74</v>
      </c>
      <c r="Q1444" t="s">
        <v>74</v>
      </c>
      <c r="R1444" t="s">
        <v>74</v>
      </c>
      <c r="S1444" t="s">
        <v>74</v>
      </c>
      <c r="T1444" t="s">
        <v>24290</v>
      </c>
      <c r="U1444" t="s">
        <v>24291</v>
      </c>
      <c r="V1444" t="s">
        <v>24292</v>
      </c>
      <c r="W1444" t="s">
        <v>24293</v>
      </c>
      <c r="X1444" t="s">
        <v>9937</v>
      </c>
      <c r="Y1444" t="s">
        <v>24294</v>
      </c>
      <c r="Z1444" t="s">
        <v>24295</v>
      </c>
      <c r="AA1444" t="s">
        <v>74</v>
      </c>
      <c r="AB1444" t="s">
        <v>24296</v>
      </c>
      <c r="AC1444" t="s">
        <v>74</v>
      </c>
      <c r="AD1444" t="s">
        <v>74</v>
      </c>
      <c r="AE1444" t="s">
        <v>74</v>
      </c>
      <c r="AF1444" t="s">
        <v>74</v>
      </c>
      <c r="AG1444">
        <v>58</v>
      </c>
      <c r="AH1444">
        <v>0</v>
      </c>
      <c r="AI1444">
        <v>0</v>
      </c>
      <c r="AJ1444">
        <v>0</v>
      </c>
      <c r="AK1444">
        <v>10</v>
      </c>
      <c r="AL1444" t="s">
        <v>88</v>
      </c>
      <c r="AM1444" t="s">
        <v>89</v>
      </c>
      <c r="AN1444" t="s">
        <v>90</v>
      </c>
      <c r="AO1444" t="s">
        <v>9187</v>
      </c>
      <c r="AP1444" t="s">
        <v>9188</v>
      </c>
      <c r="AQ1444" t="s">
        <v>74</v>
      </c>
      <c r="AR1444" t="s">
        <v>9189</v>
      </c>
      <c r="AS1444" t="s">
        <v>9190</v>
      </c>
      <c r="AT1444" t="s">
        <v>5690</v>
      </c>
      <c r="AU1444">
        <v>2024</v>
      </c>
      <c r="AV1444">
        <v>26</v>
      </c>
      <c r="AW1444">
        <v>4</v>
      </c>
      <c r="AX1444" t="s">
        <v>74</v>
      </c>
      <c r="AY1444" t="s">
        <v>74</v>
      </c>
      <c r="AZ1444" t="s">
        <v>74</v>
      </c>
      <c r="BA1444" t="s">
        <v>74</v>
      </c>
      <c r="BB1444">
        <v>449</v>
      </c>
      <c r="BC1444">
        <v>465</v>
      </c>
      <c r="BD1444" t="s">
        <v>74</v>
      </c>
      <c r="BE1444" t="s">
        <v>24297</v>
      </c>
      <c r="BF1444" t="str">
        <f>HYPERLINK("http://dx.doi.org/10.1080/13691058.2023.2224414","http://dx.doi.org/10.1080/13691058.2023.2224414")</f>
        <v>http://dx.doi.org/10.1080/13691058.2023.2224414</v>
      </c>
      <c r="BG1444" t="s">
        <v>74</v>
      </c>
      <c r="BH1444" t="s">
        <v>1954</v>
      </c>
      <c r="BI1444">
        <v>17</v>
      </c>
      <c r="BJ1444" t="s">
        <v>9193</v>
      </c>
      <c r="BK1444" t="s">
        <v>99</v>
      </c>
      <c r="BL1444" t="s">
        <v>9194</v>
      </c>
      <c r="BM1444" t="s">
        <v>24298</v>
      </c>
      <c r="BN1444">
        <v>37435990</v>
      </c>
      <c r="BO1444" t="s">
        <v>156</v>
      </c>
      <c r="BP1444" t="s">
        <v>74</v>
      </c>
      <c r="BQ1444" t="s">
        <v>74</v>
      </c>
      <c r="BR1444" t="s">
        <v>102</v>
      </c>
      <c r="BS1444" t="s">
        <v>24299</v>
      </c>
      <c r="BT1444" t="str">
        <f>HYPERLINK("https%3A%2F%2Fwww.webofscience.com%2Fwos%2Fwoscc%2Ffull-record%2FWOS:001024160200001","View Full Record in Web of Science")</f>
        <v>View Full Record in Web of Science</v>
      </c>
    </row>
    <row r="1445" spans="1:72" x14ac:dyDescent="0.35">
      <c r="A1445" t="s">
        <v>72</v>
      </c>
      <c r="B1445" t="s">
        <v>24300</v>
      </c>
      <c r="C1445" t="s">
        <v>74</v>
      </c>
      <c r="D1445" t="s">
        <v>74</v>
      </c>
      <c r="E1445" t="s">
        <v>74</v>
      </c>
      <c r="F1445" t="s">
        <v>24301</v>
      </c>
      <c r="G1445" t="s">
        <v>74</v>
      </c>
      <c r="H1445" t="s">
        <v>74</v>
      </c>
      <c r="I1445" t="s">
        <v>24302</v>
      </c>
      <c r="J1445" t="s">
        <v>4135</v>
      </c>
      <c r="K1445" t="s">
        <v>74</v>
      </c>
      <c r="L1445" t="s">
        <v>74</v>
      </c>
      <c r="M1445" t="s">
        <v>78</v>
      </c>
      <c r="N1445" t="s">
        <v>108</v>
      </c>
      <c r="O1445" t="s">
        <v>74</v>
      </c>
      <c r="P1445" t="s">
        <v>74</v>
      </c>
      <c r="Q1445" t="s">
        <v>74</v>
      </c>
      <c r="R1445" t="s">
        <v>74</v>
      </c>
      <c r="S1445" t="s">
        <v>74</v>
      </c>
      <c r="T1445" t="s">
        <v>24303</v>
      </c>
      <c r="U1445" t="s">
        <v>24304</v>
      </c>
      <c r="V1445" t="s">
        <v>24305</v>
      </c>
      <c r="W1445" t="s">
        <v>24306</v>
      </c>
      <c r="X1445" t="s">
        <v>24307</v>
      </c>
      <c r="Y1445" t="s">
        <v>24308</v>
      </c>
      <c r="Z1445" t="s">
        <v>24309</v>
      </c>
      <c r="AA1445" t="s">
        <v>24310</v>
      </c>
      <c r="AB1445" t="s">
        <v>24311</v>
      </c>
      <c r="AC1445" t="s">
        <v>24312</v>
      </c>
      <c r="AD1445" t="s">
        <v>24313</v>
      </c>
      <c r="AE1445" t="s">
        <v>24314</v>
      </c>
      <c r="AF1445" t="s">
        <v>74</v>
      </c>
      <c r="AG1445">
        <v>91</v>
      </c>
      <c r="AH1445">
        <v>19</v>
      </c>
      <c r="AI1445">
        <v>19</v>
      </c>
      <c r="AJ1445">
        <v>57</v>
      </c>
      <c r="AK1445">
        <v>171</v>
      </c>
      <c r="AL1445" t="s">
        <v>3632</v>
      </c>
      <c r="AM1445" t="s">
        <v>291</v>
      </c>
      <c r="AN1445" t="s">
        <v>3633</v>
      </c>
      <c r="AO1445" t="s">
        <v>4148</v>
      </c>
      <c r="AP1445" t="s">
        <v>4149</v>
      </c>
      <c r="AQ1445" t="s">
        <v>74</v>
      </c>
      <c r="AR1445" t="s">
        <v>4150</v>
      </c>
      <c r="AS1445" t="s">
        <v>4151</v>
      </c>
      <c r="AT1445" t="s">
        <v>745</v>
      </c>
      <c r="AU1445">
        <v>2023</v>
      </c>
      <c r="AV1445">
        <v>72</v>
      </c>
      <c r="AW1445" t="s">
        <v>74</v>
      </c>
      <c r="AX1445" t="s">
        <v>74</v>
      </c>
      <c r="AY1445" t="s">
        <v>74</v>
      </c>
      <c r="AZ1445" t="s">
        <v>74</v>
      </c>
      <c r="BA1445" t="s">
        <v>74</v>
      </c>
      <c r="BB1445" t="s">
        <v>74</v>
      </c>
      <c r="BC1445" t="s">
        <v>74</v>
      </c>
      <c r="BD1445">
        <v>103286</v>
      </c>
      <c r="BE1445" t="s">
        <v>24315</v>
      </c>
      <c r="BF1445" t="str">
        <f>HYPERLINK("http://dx.doi.org/10.1016/j.jretconser.2023.103286","http://dx.doi.org/10.1016/j.jretconser.2023.103286")</f>
        <v>http://dx.doi.org/10.1016/j.jretconser.2023.103286</v>
      </c>
      <c r="BG1445" t="s">
        <v>74</v>
      </c>
      <c r="BH1445" t="s">
        <v>6895</v>
      </c>
      <c r="BI1445">
        <v>12</v>
      </c>
      <c r="BJ1445" t="s">
        <v>1597</v>
      </c>
      <c r="BK1445" t="s">
        <v>99</v>
      </c>
      <c r="BL1445" t="s">
        <v>480</v>
      </c>
      <c r="BM1445" t="s">
        <v>24316</v>
      </c>
      <c r="BN1445" t="s">
        <v>74</v>
      </c>
      <c r="BO1445" t="s">
        <v>74</v>
      </c>
      <c r="BP1445" t="s">
        <v>74</v>
      </c>
      <c r="BQ1445" t="s">
        <v>74</v>
      </c>
      <c r="BR1445" t="s">
        <v>102</v>
      </c>
      <c r="BS1445" t="s">
        <v>24317</v>
      </c>
      <c r="BT1445" t="str">
        <f>HYPERLINK("https%3A%2F%2Fwww.webofscience.com%2Fwos%2Fwoscc%2Ffull-record%2FWOS:000948879900001","View Full Record in Web of Science")</f>
        <v>View Full Record in Web of Science</v>
      </c>
    </row>
    <row r="1446" spans="1:72" x14ac:dyDescent="0.35">
      <c r="A1446" t="s">
        <v>72</v>
      </c>
      <c r="B1446" t="s">
        <v>24318</v>
      </c>
      <c r="C1446" t="s">
        <v>74</v>
      </c>
      <c r="D1446" t="s">
        <v>74</v>
      </c>
      <c r="E1446" t="s">
        <v>74</v>
      </c>
      <c r="F1446" t="s">
        <v>24319</v>
      </c>
      <c r="G1446" t="s">
        <v>74</v>
      </c>
      <c r="H1446" t="s">
        <v>74</v>
      </c>
      <c r="I1446" t="s">
        <v>24320</v>
      </c>
      <c r="J1446" t="s">
        <v>1603</v>
      </c>
      <c r="K1446" t="s">
        <v>74</v>
      </c>
      <c r="L1446" t="s">
        <v>74</v>
      </c>
      <c r="M1446" t="s">
        <v>78</v>
      </c>
      <c r="N1446" t="s">
        <v>108</v>
      </c>
      <c r="O1446" t="s">
        <v>74</v>
      </c>
      <c r="P1446" t="s">
        <v>74</v>
      </c>
      <c r="Q1446" t="s">
        <v>74</v>
      </c>
      <c r="R1446" t="s">
        <v>74</v>
      </c>
      <c r="S1446" t="s">
        <v>74</v>
      </c>
      <c r="T1446" t="s">
        <v>24321</v>
      </c>
      <c r="U1446" t="s">
        <v>74</v>
      </c>
      <c r="V1446" t="s">
        <v>24322</v>
      </c>
      <c r="W1446" t="s">
        <v>24323</v>
      </c>
      <c r="X1446" t="s">
        <v>24324</v>
      </c>
      <c r="Y1446" t="s">
        <v>3529</v>
      </c>
      <c r="Z1446" t="s">
        <v>3530</v>
      </c>
      <c r="AA1446" t="s">
        <v>74</v>
      </c>
      <c r="AB1446" t="s">
        <v>74</v>
      </c>
      <c r="AC1446" t="s">
        <v>74</v>
      </c>
      <c r="AD1446" t="s">
        <v>74</v>
      </c>
      <c r="AE1446" t="s">
        <v>74</v>
      </c>
      <c r="AF1446" t="s">
        <v>74</v>
      </c>
      <c r="AG1446">
        <v>38</v>
      </c>
      <c r="AH1446">
        <v>30</v>
      </c>
      <c r="AI1446">
        <v>31</v>
      </c>
      <c r="AJ1446">
        <v>42</v>
      </c>
      <c r="AK1446">
        <v>199</v>
      </c>
      <c r="AL1446" t="s">
        <v>516</v>
      </c>
      <c r="AM1446" t="s">
        <v>517</v>
      </c>
      <c r="AN1446" t="s">
        <v>518</v>
      </c>
      <c r="AO1446" t="s">
        <v>1612</v>
      </c>
      <c r="AP1446" t="s">
        <v>1613</v>
      </c>
      <c r="AQ1446" t="s">
        <v>74</v>
      </c>
      <c r="AR1446" t="s">
        <v>1603</v>
      </c>
      <c r="AS1446" t="s">
        <v>1614</v>
      </c>
      <c r="AT1446" t="s">
        <v>1484</v>
      </c>
      <c r="AU1446">
        <v>2023</v>
      </c>
      <c r="AV1446">
        <v>44</v>
      </c>
      <c r="AW1446" t="s">
        <v>74</v>
      </c>
      <c r="AX1446" t="s">
        <v>74</v>
      </c>
      <c r="AY1446" t="s">
        <v>74</v>
      </c>
      <c r="AZ1446" t="s">
        <v>74</v>
      </c>
      <c r="BA1446" t="s">
        <v>74</v>
      </c>
      <c r="BB1446">
        <v>222</v>
      </c>
      <c r="BC1446">
        <v>226</v>
      </c>
      <c r="BD1446" t="s">
        <v>74</v>
      </c>
      <c r="BE1446" t="s">
        <v>24325</v>
      </c>
      <c r="BF1446" t="str">
        <f>HYPERLINK("http://dx.doi.org/10.1016/j.bodyim.2023.01.005","http://dx.doi.org/10.1016/j.bodyim.2023.01.005")</f>
        <v>http://dx.doi.org/10.1016/j.bodyim.2023.01.005</v>
      </c>
      <c r="BG1446" t="s">
        <v>74</v>
      </c>
      <c r="BH1446" t="s">
        <v>6895</v>
      </c>
      <c r="BI1446">
        <v>5</v>
      </c>
      <c r="BJ1446" t="s">
        <v>1616</v>
      </c>
      <c r="BK1446" t="s">
        <v>99</v>
      </c>
      <c r="BL1446" t="s">
        <v>1617</v>
      </c>
      <c r="BM1446" t="s">
        <v>24326</v>
      </c>
      <c r="BN1446">
        <v>36739627</v>
      </c>
      <c r="BO1446" t="s">
        <v>74</v>
      </c>
      <c r="BP1446" t="s">
        <v>395</v>
      </c>
      <c r="BQ1446" t="s">
        <v>396</v>
      </c>
      <c r="BR1446" t="s">
        <v>102</v>
      </c>
      <c r="BS1446" t="s">
        <v>24327</v>
      </c>
      <c r="BT1446" t="str">
        <f>HYPERLINK("https%3A%2F%2Fwww.webofscience.com%2Fwos%2Fwoscc%2Ffull-record%2FWOS:000930922500001","View Full Record in Web of Science")</f>
        <v>View Full Record in Web of Science</v>
      </c>
    </row>
    <row r="1447" spans="1:72" x14ac:dyDescent="0.35">
      <c r="A1447" t="s">
        <v>72</v>
      </c>
      <c r="B1447" t="s">
        <v>24328</v>
      </c>
      <c r="C1447" t="s">
        <v>74</v>
      </c>
      <c r="D1447" t="s">
        <v>74</v>
      </c>
      <c r="E1447" t="s">
        <v>74</v>
      </c>
      <c r="F1447" t="s">
        <v>24329</v>
      </c>
      <c r="G1447" t="s">
        <v>74</v>
      </c>
      <c r="H1447" t="s">
        <v>74</v>
      </c>
      <c r="I1447" t="s">
        <v>24330</v>
      </c>
      <c r="J1447" t="s">
        <v>1282</v>
      </c>
      <c r="K1447" t="s">
        <v>74</v>
      </c>
      <c r="L1447" t="s">
        <v>74</v>
      </c>
      <c r="M1447" t="s">
        <v>78</v>
      </c>
      <c r="N1447" t="s">
        <v>108</v>
      </c>
      <c r="O1447" t="s">
        <v>74</v>
      </c>
      <c r="P1447" t="s">
        <v>74</v>
      </c>
      <c r="Q1447" t="s">
        <v>74</v>
      </c>
      <c r="R1447" t="s">
        <v>74</v>
      </c>
      <c r="S1447" t="s">
        <v>74</v>
      </c>
      <c r="T1447" t="s">
        <v>24331</v>
      </c>
      <c r="U1447" t="s">
        <v>74</v>
      </c>
      <c r="V1447" t="s">
        <v>24332</v>
      </c>
      <c r="W1447" t="s">
        <v>24333</v>
      </c>
      <c r="X1447" t="s">
        <v>24334</v>
      </c>
      <c r="Y1447" t="s">
        <v>24335</v>
      </c>
      <c r="Z1447" t="s">
        <v>24336</v>
      </c>
      <c r="AA1447" t="s">
        <v>74</v>
      </c>
      <c r="AB1447" t="s">
        <v>74</v>
      </c>
      <c r="AC1447" t="s">
        <v>24337</v>
      </c>
      <c r="AD1447" t="s">
        <v>24338</v>
      </c>
      <c r="AE1447" t="s">
        <v>24339</v>
      </c>
      <c r="AF1447" t="s">
        <v>74</v>
      </c>
      <c r="AG1447">
        <v>36</v>
      </c>
      <c r="AH1447">
        <v>0</v>
      </c>
      <c r="AI1447">
        <v>0</v>
      </c>
      <c r="AJ1447">
        <v>30</v>
      </c>
      <c r="AK1447">
        <v>30</v>
      </c>
      <c r="AL1447" t="s">
        <v>1294</v>
      </c>
      <c r="AM1447" t="s">
        <v>1062</v>
      </c>
      <c r="AN1447" t="s">
        <v>1295</v>
      </c>
      <c r="AO1447" t="s">
        <v>74</v>
      </c>
      <c r="AP1447" t="s">
        <v>1296</v>
      </c>
      <c r="AQ1447" t="s">
        <v>74</v>
      </c>
      <c r="AR1447" t="s">
        <v>1282</v>
      </c>
      <c r="AS1447" t="s">
        <v>1297</v>
      </c>
      <c r="AT1447" t="s">
        <v>24340</v>
      </c>
      <c r="AU1447">
        <v>2024</v>
      </c>
      <c r="AV1447">
        <v>10</v>
      </c>
      <c r="AW1447">
        <v>13</v>
      </c>
      <c r="AX1447" t="s">
        <v>74</v>
      </c>
      <c r="AY1447" t="s">
        <v>74</v>
      </c>
      <c r="AZ1447" t="s">
        <v>74</v>
      </c>
      <c r="BA1447" t="s">
        <v>74</v>
      </c>
      <c r="BB1447" t="s">
        <v>74</v>
      </c>
      <c r="BC1447" t="s">
        <v>74</v>
      </c>
      <c r="BD1447" t="s">
        <v>24341</v>
      </c>
      <c r="BE1447" t="s">
        <v>24342</v>
      </c>
      <c r="BF1447" t="str">
        <f>HYPERLINK("http://dx.doi.org/10.1016/j.heliyon.2024.e33518","http://dx.doi.org/10.1016/j.heliyon.2024.e33518")</f>
        <v>http://dx.doi.org/10.1016/j.heliyon.2024.e33518</v>
      </c>
      <c r="BG1447" t="s">
        <v>74</v>
      </c>
      <c r="BH1447" t="s">
        <v>74</v>
      </c>
      <c r="BI1447">
        <v>15</v>
      </c>
      <c r="BJ1447" t="s">
        <v>1301</v>
      </c>
      <c r="BK1447" t="s">
        <v>209</v>
      </c>
      <c r="BL1447" t="s">
        <v>1302</v>
      </c>
      <c r="BM1447" t="s">
        <v>24343</v>
      </c>
      <c r="BN1447">
        <v>39040416</v>
      </c>
      <c r="BO1447" t="s">
        <v>394</v>
      </c>
      <c r="BP1447" t="s">
        <v>74</v>
      </c>
      <c r="BQ1447" t="s">
        <v>74</v>
      </c>
      <c r="BR1447" t="s">
        <v>102</v>
      </c>
      <c r="BS1447" t="s">
        <v>24344</v>
      </c>
      <c r="BT1447" t="str">
        <f>HYPERLINK("https%3A%2F%2Fwww.webofscience.com%2Fwos%2Fwoscc%2Ffull-record%2FWOS:001261846400001","View Full Record in Web of Science")</f>
        <v>View Full Record in Web of Science</v>
      </c>
    </row>
    <row r="1448" spans="1:72" x14ac:dyDescent="0.35">
      <c r="A1448" t="s">
        <v>72</v>
      </c>
      <c r="B1448" t="s">
        <v>24345</v>
      </c>
      <c r="C1448" t="s">
        <v>74</v>
      </c>
      <c r="D1448" t="s">
        <v>74</v>
      </c>
      <c r="E1448" t="s">
        <v>74</v>
      </c>
      <c r="F1448" t="s">
        <v>24346</v>
      </c>
      <c r="G1448" t="s">
        <v>74</v>
      </c>
      <c r="H1448" t="s">
        <v>74</v>
      </c>
      <c r="I1448" t="s">
        <v>24347</v>
      </c>
      <c r="J1448" t="s">
        <v>24348</v>
      </c>
      <c r="K1448" t="s">
        <v>74</v>
      </c>
      <c r="L1448" t="s">
        <v>74</v>
      </c>
      <c r="M1448" t="s">
        <v>8769</v>
      </c>
      <c r="N1448" t="s">
        <v>108</v>
      </c>
      <c r="O1448" t="s">
        <v>74</v>
      </c>
      <c r="P1448" t="s">
        <v>74</v>
      </c>
      <c r="Q1448" t="s">
        <v>74</v>
      </c>
      <c r="R1448" t="s">
        <v>74</v>
      </c>
      <c r="S1448" t="s">
        <v>74</v>
      </c>
      <c r="T1448" t="s">
        <v>24349</v>
      </c>
      <c r="U1448" t="s">
        <v>74</v>
      </c>
      <c r="V1448" t="s">
        <v>24350</v>
      </c>
      <c r="W1448" t="s">
        <v>74</v>
      </c>
      <c r="X1448" t="s">
        <v>74</v>
      </c>
      <c r="Y1448" t="s">
        <v>74</v>
      </c>
      <c r="Z1448" t="s">
        <v>74</v>
      </c>
      <c r="AA1448" t="s">
        <v>24351</v>
      </c>
      <c r="AB1448" t="s">
        <v>74</v>
      </c>
      <c r="AC1448" t="s">
        <v>74</v>
      </c>
      <c r="AD1448" t="s">
        <v>74</v>
      </c>
      <c r="AE1448" t="s">
        <v>74</v>
      </c>
      <c r="AF1448" t="s">
        <v>74</v>
      </c>
      <c r="AG1448">
        <v>15</v>
      </c>
      <c r="AH1448">
        <v>0</v>
      </c>
      <c r="AI1448">
        <v>0</v>
      </c>
      <c r="AJ1448">
        <v>1</v>
      </c>
      <c r="AK1448">
        <v>9</v>
      </c>
      <c r="AL1448" t="s">
        <v>24352</v>
      </c>
      <c r="AM1448" t="s">
        <v>24353</v>
      </c>
      <c r="AN1448" t="s">
        <v>24354</v>
      </c>
      <c r="AO1448" t="s">
        <v>24355</v>
      </c>
      <c r="AP1448" t="s">
        <v>74</v>
      </c>
      <c r="AQ1448" t="s">
        <v>74</v>
      </c>
      <c r="AR1448" t="s">
        <v>24356</v>
      </c>
      <c r="AS1448" t="s">
        <v>24357</v>
      </c>
      <c r="AT1448" t="s">
        <v>74</v>
      </c>
      <c r="AU1448">
        <v>2020</v>
      </c>
      <c r="AV1448">
        <v>18</v>
      </c>
      <c r="AW1448" t="s">
        <v>74</v>
      </c>
      <c r="AX1448" t="s">
        <v>74</v>
      </c>
      <c r="AY1448" t="s">
        <v>74</v>
      </c>
      <c r="AZ1448" t="s">
        <v>456</v>
      </c>
      <c r="BA1448" t="s">
        <v>74</v>
      </c>
      <c r="BB1448">
        <v>265</v>
      </c>
      <c r="BC1448">
        <v>281</v>
      </c>
      <c r="BD1448" t="s">
        <v>74</v>
      </c>
      <c r="BE1448" t="s">
        <v>24358</v>
      </c>
      <c r="BF1448" t="str">
        <f>HYPERLINK("http://dx.doi.org/10.1285/i22840753n18p265","http://dx.doi.org/10.1285/i22840753n18p265")</f>
        <v>http://dx.doi.org/10.1285/i22840753n18p265</v>
      </c>
      <c r="BG1448" t="s">
        <v>74</v>
      </c>
      <c r="BH1448" t="s">
        <v>74</v>
      </c>
      <c r="BI1448">
        <v>17</v>
      </c>
      <c r="BJ1448" t="s">
        <v>124</v>
      </c>
      <c r="BK1448" t="s">
        <v>125</v>
      </c>
      <c r="BL1448" t="s">
        <v>124</v>
      </c>
      <c r="BM1448" t="s">
        <v>24359</v>
      </c>
      <c r="BN1448" t="s">
        <v>74</v>
      </c>
      <c r="BO1448" t="s">
        <v>74</v>
      </c>
      <c r="BP1448" t="s">
        <v>74</v>
      </c>
      <c r="BQ1448" t="s">
        <v>74</v>
      </c>
      <c r="BR1448" t="s">
        <v>102</v>
      </c>
      <c r="BS1448" t="s">
        <v>24360</v>
      </c>
      <c r="BT1448" t="str">
        <f>HYPERLINK("https%3A%2F%2Fwww.webofscience.com%2Fwos%2Fwoscc%2Ffull-record%2FWOS:000596752900014","View Full Record in Web of Science")</f>
        <v>View Full Record in Web of Science</v>
      </c>
    </row>
    <row r="1449" spans="1:72" x14ac:dyDescent="0.35">
      <c r="A1449" t="s">
        <v>72</v>
      </c>
      <c r="B1449" t="s">
        <v>24361</v>
      </c>
      <c r="C1449" t="s">
        <v>74</v>
      </c>
      <c r="D1449" t="s">
        <v>74</v>
      </c>
      <c r="E1449" t="s">
        <v>74</v>
      </c>
      <c r="F1449" t="s">
        <v>24362</v>
      </c>
      <c r="G1449" t="s">
        <v>74</v>
      </c>
      <c r="H1449" t="s">
        <v>74</v>
      </c>
      <c r="I1449" t="s">
        <v>24363</v>
      </c>
      <c r="J1449" t="s">
        <v>24364</v>
      </c>
      <c r="K1449" t="s">
        <v>74</v>
      </c>
      <c r="L1449" t="s">
        <v>74</v>
      </c>
      <c r="M1449" t="s">
        <v>78</v>
      </c>
      <c r="N1449" t="s">
        <v>108</v>
      </c>
      <c r="O1449" t="s">
        <v>74</v>
      </c>
      <c r="P1449" t="s">
        <v>74</v>
      </c>
      <c r="Q1449" t="s">
        <v>74</v>
      </c>
      <c r="R1449" t="s">
        <v>74</v>
      </c>
      <c r="S1449" t="s">
        <v>74</v>
      </c>
      <c r="T1449" t="s">
        <v>74</v>
      </c>
      <c r="U1449" t="s">
        <v>74</v>
      </c>
      <c r="V1449" t="s">
        <v>24365</v>
      </c>
      <c r="W1449" t="s">
        <v>24366</v>
      </c>
      <c r="X1449" t="s">
        <v>74</v>
      </c>
      <c r="Y1449" t="s">
        <v>24367</v>
      </c>
      <c r="Z1449" t="s">
        <v>24368</v>
      </c>
      <c r="AA1449" t="s">
        <v>24369</v>
      </c>
      <c r="AB1449" t="s">
        <v>74</v>
      </c>
      <c r="AC1449" t="s">
        <v>74</v>
      </c>
      <c r="AD1449" t="s">
        <v>74</v>
      </c>
      <c r="AE1449" t="s">
        <v>74</v>
      </c>
      <c r="AF1449" t="s">
        <v>74</v>
      </c>
      <c r="AG1449">
        <v>5</v>
      </c>
      <c r="AH1449">
        <v>0</v>
      </c>
      <c r="AI1449">
        <v>0</v>
      </c>
      <c r="AJ1449">
        <v>0</v>
      </c>
      <c r="AK1449">
        <v>0</v>
      </c>
      <c r="AL1449" t="s">
        <v>24370</v>
      </c>
      <c r="AM1449" t="s">
        <v>24371</v>
      </c>
      <c r="AN1449" t="s">
        <v>24372</v>
      </c>
      <c r="AO1449" t="s">
        <v>24373</v>
      </c>
      <c r="AP1449" t="s">
        <v>24374</v>
      </c>
      <c r="AQ1449" t="s">
        <v>74</v>
      </c>
      <c r="AR1449" t="s">
        <v>24364</v>
      </c>
      <c r="AS1449" t="s">
        <v>24375</v>
      </c>
      <c r="AT1449" t="s">
        <v>74</v>
      </c>
      <c r="AU1449">
        <v>2024</v>
      </c>
      <c r="AV1449">
        <v>60</v>
      </c>
      <c r="AW1449">
        <v>1</v>
      </c>
      <c r="AX1449" t="s">
        <v>74</v>
      </c>
      <c r="AY1449" t="s">
        <v>74</v>
      </c>
      <c r="AZ1449" t="s">
        <v>74</v>
      </c>
      <c r="BA1449" t="s">
        <v>74</v>
      </c>
      <c r="BB1449">
        <v>183</v>
      </c>
      <c r="BC1449">
        <v>198</v>
      </c>
      <c r="BD1449" t="s">
        <v>74</v>
      </c>
      <c r="BE1449" t="s">
        <v>24376</v>
      </c>
      <c r="BF1449" t="str">
        <f>HYPERLINK("http://dx.doi.org/10.3917/ling.601.0183","http://dx.doi.org/10.3917/ling.601.0183")</f>
        <v>http://dx.doi.org/10.3917/ling.601.0183</v>
      </c>
      <c r="BG1449" t="s">
        <v>74</v>
      </c>
      <c r="BH1449" t="s">
        <v>74</v>
      </c>
      <c r="BI1449">
        <v>16</v>
      </c>
      <c r="BJ1449" t="s">
        <v>3284</v>
      </c>
      <c r="BK1449" t="s">
        <v>316</v>
      </c>
      <c r="BL1449" t="s">
        <v>3285</v>
      </c>
      <c r="BM1449" t="s">
        <v>24377</v>
      </c>
      <c r="BN1449" t="s">
        <v>74</v>
      </c>
      <c r="BO1449" t="s">
        <v>74</v>
      </c>
      <c r="BP1449" t="s">
        <v>74</v>
      </c>
      <c r="BQ1449" t="s">
        <v>74</v>
      </c>
      <c r="BR1449" t="s">
        <v>102</v>
      </c>
      <c r="BS1449" t="s">
        <v>24378</v>
      </c>
      <c r="BT1449" t="str">
        <f>HYPERLINK("https%3A%2F%2Fwww.webofscience.com%2Fwos%2Fwoscc%2Ffull-record%2FWOS:001251156900001","View Full Record in Web of Science")</f>
        <v>View Full Record in Web of Science</v>
      </c>
    </row>
    <row r="1450" spans="1:72" x14ac:dyDescent="0.35">
      <c r="A1450" t="s">
        <v>72</v>
      </c>
      <c r="B1450" t="s">
        <v>24379</v>
      </c>
      <c r="C1450" t="s">
        <v>74</v>
      </c>
      <c r="D1450" t="s">
        <v>74</v>
      </c>
      <c r="E1450" t="s">
        <v>74</v>
      </c>
      <c r="F1450" t="s">
        <v>24380</v>
      </c>
      <c r="G1450" t="s">
        <v>74</v>
      </c>
      <c r="H1450" t="s">
        <v>74</v>
      </c>
      <c r="I1450" t="s">
        <v>24381</v>
      </c>
      <c r="J1450" t="s">
        <v>3109</v>
      </c>
      <c r="K1450" t="s">
        <v>74</v>
      </c>
      <c r="L1450" t="s">
        <v>74</v>
      </c>
      <c r="M1450" t="s">
        <v>78</v>
      </c>
      <c r="N1450" t="s">
        <v>108</v>
      </c>
      <c r="O1450" t="s">
        <v>74</v>
      </c>
      <c r="P1450" t="s">
        <v>74</v>
      </c>
      <c r="Q1450" t="s">
        <v>74</v>
      </c>
      <c r="R1450" t="s">
        <v>74</v>
      </c>
      <c r="S1450" t="s">
        <v>74</v>
      </c>
      <c r="T1450" t="s">
        <v>24382</v>
      </c>
      <c r="U1450" t="s">
        <v>74</v>
      </c>
      <c r="V1450" t="s">
        <v>24383</v>
      </c>
      <c r="W1450" t="s">
        <v>24384</v>
      </c>
      <c r="X1450" t="s">
        <v>24385</v>
      </c>
      <c r="Y1450" t="s">
        <v>24386</v>
      </c>
      <c r="Z1450" t="s">
        <v>24387</v>
      </c>
      <c r="AA1450" t="s">
        <v>74</v>
      </c>
      <c r="AB1450" t="s">
        <v>24388</v>
      </c>
      <c r="AC1450" t="s">
        <v>74</v>
      </c>
      <c r="AD1450" t="s">
        <v>74</v>
      </c>
      <c r="AE1450" t="s">
        <v>74</v>
      </c>
      <c r="AF1450" t="s">
        <v>74</v>
      </c>
      <c r="AG1450">
        <v>33</v>
      </c>
      <c r="AH1450">
        <v>5</v>
      </c>
      <c r="AI1450">
        <v>5</v>
      </c>
      <c r="AJ1450">
        <v>7</v>
      </c>
      <c r="AK1450">
        <v>40</v>
      </c>
      <c r="AL1450" t="s">
        <v>226</v>
      </c>
      <c r="AM1450" t="s">
        <v>227</v>
      </c>
      <c r="AN1450" t="s">
        <v>228</v>
      </c>
      <c r="AO1450" t="s">
        <v>3118</v>
      </c>
      <c r="AP1450" t="s">
        <v>3119</v>
      </c>
      <c r="AQ1450" t="s">
        <v>74</v>
      </c>
      <c r="AR1450" t="s">
        <v>3120</v>
      </c>
      <c r="AS1450" t="s">
        <v>3121</v>
      </c>
      <c r="AT1450" t="s">
        <v>455</v>
      </c>
      <c r="AU1450">
        <v>2022</v>
      </c>
      <c r="AV1450">
        <v>7</v>
      </c>
      <c r="AW1450">
        <v>3</v>
      </c>
      <c r="AX1450" t="s">
        <v>74</v>
      </c>
      <c r="AY1450" t="s">
        <v>74</v>
      </c>
      <c r="AZ1450" t="s">
        <v>456</v>
      </c>
      <c r="BA1450" t="s">
        <v>74</v>
      </c>
      <c r="BB1450">
        <v>253</v>
      </c>
      <c r="BC1450">
        <v>262</v>
      </c>
      <c r="BD1450" t="s">
        <v>74</v>
      </c>
      <c r="BE1450" t="s">
        <v>24389</v>
      </c>
      <c r="BF1450" t="str">
        <f>HYPERLINK("http://dx.doi.org/10.1177/20594364221123841","http://dx.doi.org/10.1177/20594364221123841")</f>
        <v>http://dx.doi.org/10.1177/20594364221123841</v>
      </c>
      <c r="BG1450" t="s">
        <v>74</v>
      </c>
      <c r="BH1450" t="s">
        <v>74</v>
      </c>
      <c r="BI1450">
        <v>10</v>
      </c>
      <c r="BJ1450" t="s">
        <v>124</v>
      </c>
      <c r="BK1450" t="s">
        <v>125</v>
      </c>
      <c r="BL1450" t="s">
        <v>124</v>
      </c>
      <c r="BM1450" t="s">
        <v>5522</v>
      </c>
      <c r="BN1450" t="s">
        <v>74</v>
      </c>
      <c r="BO1450" t="s">
        <v>235</v>
      </c>
      <c r="BP1450" t="s">
        <v>74</v>
      </c>
      <c r="BQ1450" t="s">
        <v>74</v>
      </c>
      <c r="BR1450" t="s">
        <v>102</v>
      </c>
      <c r="BS1450" t="s">
        <v>24390</v>
      </c>
      <c r="BT1450" t="str">
        <f>HYPERLINK("https%3A%2F%2Fwww.webofscience.com%2Fwos%2Fwoscc%2Ffull-record%2FWOS:000851580400001","View Full Record in Web of Science")</f>
        <v>View Full Record in Web of Science</v>
      </c>
    </row>
    <row r="1451" spans="1:72" x14ac:dyDescent="0.35">
      <c r="A1451" t="s">
        <v>72</v>
      </c>
      <c r="B1451" t="s">
        <v>24391</v>
      </c>
      <c r="C1451" t="s">
        <v>74</v>
      </c>
      <c r="D1451" t="s">
        <v>74</v>
      </c>
      <c r="E1451" t="s">
        <v>74</v>
      </c>
      <c r="F1451" t="s">
        <v>24392</v>
      </c>
      <c r="G1451" t="s">
        <v>74</v>
      </c>
      <c r="H1451" t="s">
        <v>74</v>
      </c>
      <c r="I1451" t="s">
        <v>24393</v>
      </c>
      <c r="J1451" t="s">
        <v>24394</v>
      </c>
      <c r="K1451" t="s">
        <v>74</v>
      </c>
      <c r="L1451" t="s">
        <v>74</v>
      </c>
      <c r="M1451" t="s">
        <v>78</v>
      </c>
      <c r="N1451" t="s">
        <v>108</v>
      </c>
      <c r="O1451" t="s">
        <v>74</v>
      </c>
      <c r="P1451" t="s">
        <v>74</v>
      </c>
      <c r="Q1451" t="s">
        <v>74</v>
      </c>
      <c r="R1451" t="s">
        <v>74</v>
      </c>
      <c r="S1451" t="s">
        <v>74</v>
      </c>
      <c r="T1451" t="s">
        <v>24395</v>
      </c>
      <c r="U1451" t="s">
        <v>24396</v>
      </c>
      <c r="V1451" t="s">
        <v>24397</v>
      </c>
      <c r="W1451" t="s">
        <v>24398</v>
      </c>
      <c r="X1451" t="s">
        <v>16686</v>
      </c>
      <c r="Y1451" t="s">
        <v>24399</v>
      </c>
      <c r="Z1451" t="s">
        <v>24400</v>
      </c>
      <c r="AA1451" t="s">
        <v>74</v>
      </c>
      <c r="AB1451" t="s">
        <v>24401</v>
      </c>
      <c r="AC1451" t="s">
        <v>24402</v>
      </c>
      <c r="AD1451" t="s">
        <v>24403</v>
      </c>
      <c r="AE1451" t="s">
        <v>24404</v>
      </c>
      <c r="AF1451" t="s">
        <v>74</v>
      </c>
      <c r="AG1451">
        <v>86</v>
      </c>
      <c r="AH1451">
        <v>0</v>
      </c>
      <c r="AI1451">
        <v>0</v>
      </c>
      <c r="AJ1451">
        <v>14</v>
      </c>
      <c r="AK1451">
        <v>14</v>
      </c>
      <c r="AL1451" t="s">
        <v>24405</v>
      </c>
      <c r="AM1451" t="s">
        <v>24406</v>
      </c>
      <c r="AN1451" t="s">
        <v>24407</v>
      </c>
      <c r="AO1451" t="s">
        <v>24408</v>
      </c>
      <c r="AP1451" t="s">
        <v>74</v>
      </c>
      <c r="AQ1451" t="s">
        <v>74</v>
      </c>
      <c r="AR1451" t="s">
        <v>24409</v>
      </c>
      <c r="AS1451" t="s">
        <v>24410</v>
      </c>
      <c r="AT1451" t="s">
        <v>74</v>
      </c>
      <c r="AU1451">
        <v>2024</v>
      </c>
      <c r="AV1451">
        <v>18</v>
      </c>
      <c r="AW1451">
        <v>3</v>
      </c>
      <c r="AX1451" t="s">
        <v>74</v>
      </c>
      <c r="AY1451" t="s">
        <v>74</v>
      </c>
      <c r="AZ1451" t="s">
        <v>74</v>
      </c>
      <c r="BA1451" t="s">
        <v>74</v>
      </c>
      <c r="BB1451" t="s">
        <v>74</v>
      </c>
      <c r="BC1451" t="s">
        <v>74</v>
      </c>
      <c r="BD1451">
        <v>1</v>
      </c>
      <c r="BE1451" t="s">
        <v>24411</v>
      </c>
      <c r="BF1451" t="str">
        <f>HYPERLINK("http://dx.doi.org/10.5817/CP2024-3-1","http://dx.doi.org/10.5817/CP2024-3-1")</f>
        <v>http://dx.doi.org/10.5817/CP2024-3-1</v>
      </c>
      <c r="BG1451" t="s">
        <v>74</v>
      </c>
      <c r="BH1451" t="s">
        <v>74</v>
      </c>
      <c r="BI1451">
        <v>28</v>
      </c>
      <c r="BJ1451" t="s">
        <v>19238</v>
      </c>
      <c r="BK1451" t="s">
        <v>99</v>
      </c>
      <c r="BL1451" t="s">
        <v>19239</v>
      </c>
      <c r="BM1451" t="s">
        <v>24412</v>
      </c>
      <c r="BN1451" t="s">
        <v>74</v>
      </c>
      <c r="BO1451" t="s">
        <v>235</v>
      </c>
      <c r="BP1451" t="s">
        <v>74</v>
      </c>
      <c r="BQ1451" t="s">
        <v>74</v>
      </c>
      <c r="BR1451" t="s">
        <v>102</v>
      </c>
      <c r="BS1451" t="s">
        <v>24413</v>
      </c>
      <c r="BT1451" t="str">
        <f>HYPERLINK("https%3A%2F%2Fwww.webofscience.com%2Fwos%2Fwoscc%2Ffull-record%2FWOS:001273122600005","View Full Record in Web of Science")</f>
        <v>View Full Record in Web of Science</v>
      </c>
    </row>
    <row r="1452" spans="1:72" x14ac:dyDescent="0.35">
      <c r="A1452" t="s">
        <v>72</v>
      </c>
      <c r="B1452" t="s">
        <v>24414</v>
      </c>
      <c r="C1452" t="s">
        <v>74</v>
      </c>
      <c r="D1452" t="s">
        <v>74</v>
      </c>
      <c r="E1452" t="s">
        <v>74</v>
      </c>
      <c r="F1452" t="s">
        <v>24415</v>
      </c>
      <c r="G1452" t="s">
        <v>74</v>
      </c>
      <c r="H1452" t="s">
        <v>74</v>
      </c>
      <c r="I1452" t="s">
        <v>24416</v>
      </c>
      <c r="J1452" t="s">
        <v>13509</v>
      </c>
      <c r="K1452" t="s">
        <v>74</v>
      </c>
      <c r="L1452" t="s">
        <v>74</v>
      </c>
      <c r="M1452" t="s">
        <v>78</v>
      </c>
      <c r="N1452" t="s">
        <v>79</v>
      </c>
      <c r="O1452" t="s">
        <v>74</v>
      </c>
      <c r="P1452" t="s">
        <v>74</v>
      </c>
      <c r="Q1452" t="s">
        <v>74</v>
      </c>
      <c r="R1452" t="s">
        <v>74</v>
      </c>
      <c r="S1452" t="s">
        <v>74</v>
      </c>
      <c r="T1452" t="s">
        <v>24417</v>
      </c>
      <c r="U1452" t="s">
        <v>24418</v>
      </c>
      <c r="V1452" t="s">
        <v>24419</v>
      </c>
      <c r="W1452" t="s">
        <v>24420</v>
      </c>
      <c r="X1452" t="s">
        <v>24421</v>
      </c>
      <c r="Y1452" t="s">
        <v>24422</v>
      </c>
      <c r="Z1452" t="s">
        <v>24423</v>
      </c>
      <c r="AA1452" t="s">
        <v>24424</v>
      </c>
      <c r="AB1452" t="s">
        <v>74</v>
      </c>
      <c r="AC1452" t="s">
        <v>24425</v>
      </c>
      <c r="AD1452" t="s">
        <v>24426</v>
      </c>
      <c r="AE1452" t="s">
        <v>24427</v>
      </c>
      <c r="AF1452" t="s">
        <v>74</v>
      </c>
      <c r="AG1452">
        <v>66</v>
      </c>
      <c r="AH1452">
        <v>0</v>
      </c>
      <c r="AI1452">
        <v>0</v>
      </c>
      <c r="AJ1452">
        <v>28</v>
      </c>
      <c r="AK1452">
        <v>28</v>
      </c>
      <c r="AL1452" t="s">
        <v>88</v>
      </c>
      <c r="AM1452" t="s">
        <v>89</v>
      </c>
      <c r="AN1452" t="s">
        <v>90</v>
      </c>
      <c r="AO1452" t="s">
        <v>13519</v>
      </c>
      <c r="AP1452" t="s">
        <v>13520</v>
      </c>
      <c r="AQ1452" t="s">
        <v>74</v>
      </c>
      <c r="AR1452" t="s">
        <v>13521</v>
      </c>
      <c r="AS1452" t="s">
        <v>13522</v>
      </c>
      <c r="AT1452" t="s">
        <v>24428</v>
      </c>
      <c r="AU1452">
        <v>2024</v>
      </c>
      <c r="AV1452" t="s">
        <v>74</v>
      </c>
      <c r="AW1452" t="s">
        <v>74</v>
      </c>
      <c r="AX1452" t="s">
        <v>74</v>
      </c>
      <c r="AY1452" t="s">
        <v>74</v>
      </c>
      <c r="AZ1452" t="s">
        <v>74</v>
      </c>
      <c r="BA1452" t="s">
        <v>74</v>
      </c>
      <c r="BB1452" t="s">
        <v>74</v>
      </c>
      <c r="BC1452" t="s">
        <v>74</v>
      </c>
      <c r="BD1452" t="s">
        <v>74</v>
      </c>
      <c r="BE1452" t="s">
        <v>24429</v>
      </c>
      <c r="BF1452" t="str">
        <f>HYPERLINK("http://dx.doi.org/10.1080/21670811.2024.2377072","http://dx.doi.org/10.1080/21670811.2024.2377072")</f>
        <v>http://dx.doi.org/10.1080/21670811.2024.2377072</v>
      </c>
      <c r="BG1452" t="s">
        <v>74</v>
      </c>
      <c r="BH1452" t="s">
        <v>478</v>
      </c>
      <c r="BI1452">
        <v>22</v>
      </c>
      <c r="BJ1452" t="s">
        <v>124</v>
      </c>
      <c r="BK1452" t="s">
        <v>99</v>
      </c>
      <c r="BL1452" t="s">
        <v>124</v>
      </c>
      <c r="BM1452" t="s">
        <v>24430</v>
      </c>
      <c r="BN1452" t="s">
        <v>74</v>
      </c>
      <c r="BO1452" t="s">
        <v>74</v>
      </c>
      <c r="BP1452" t="s">
        <v>74</v>
      </c>
      <c r="BQ1452" t="s">
        <v>74</v>
      </c>
      <c r="BR1452" t="s">
        <v>102</v>
      </c>
      <c r="BS1452" t="s">
        <v>24431</v>
      </c>
      <c r="BT1452" t="str">
        <f>HYPERLINK("https%3A%2F%2Fwww.webofscience.com%2Fwos%2Fwoscc%2Ffull-record%2FWOS:001271363900001","View Full Record in Web of Science")</f>
        <v>View Full Record in Web of Science</v>
      </c>
    </row>
    <row r="1453" spans="1:72" x14ac:dyDescent="0.35">
      <c r="A1453" t="s">
        <v>72</v>
      </c>
      <c r="B1453" t="s">
        <v>24432</v>
      </c>
      <c r="C1453" t="s">
        <v>74</v>
      </c>
      <c r="D1453" t="s">
        <v>74</v>
      </c>
      <c r="E1453" t="s">
        <v>74</v>
      </c>
      <c r="F1453" t="s">
        <v>24433</v>
      </c>
      <c r="G1453" t="s">
        <v>74</v>
      </c>
      <c r="H1453" t="s">
        <v>74</v>
      </c>
      <c r="I1453" t="s">
        <v>24434</v>
      </c>
      <c r="J1453" t="s">
        <v>3584</v>
      </c>
      <c r="K1453" t="s">
        <v>74</v>
      </c>
      <c r="L1453" t="s">
        <v>74</v>
      </c>
      <c r="M1453" t="s">
        <v>78</v>
      </c>
      <c r="N1453" t="s">
        <v>108</v>
      </c>
      <c r="O1453" t="s">
        <v>74</v>
      </c>
      <c r="P1453" t="s">
        <v>74</v>
      </c>
      <c r="Q1453" t="s">
        <v>74</v>
      </c>
      <c r="R1453" t="s">
        <v>74</v>
      </c>
      <c r="S1453" t="s">
        <v>74</v>
      </c>
      <c r="T1453" t="s">
        <v>24435</v>
      </c>
      <c r="U1453" t="s">
        <v>24436</v>
      </c>
      <c r="V1453" t="s">
        <v>24437</v>
      </c>
      <c r="W1453" t="s">
        <v>24438</v>
      </c>
      <c r="X1453" t="s">
        <v>5085</v>
      </c>
      <c r="Y1453" t="s">
        <v>24439</v>
      </c>
      <c r="Z1453" t="s">
        <v>24440</v>
      </c>
      <c r="AA1453" t="s">
        <v>24441</v>
      </c>
      <c r="AB1453" t="s">
        <v>24442</v>
      </c>
      <c r="AC1453" t="s">
        <v>74</v>
      </c>
      <c r="AD1453" t="s">
        <v>74</v>
      </c>
      <c r="AE1453" t="s">
        <v>74</v>
      </c>
      <c r="AF1453" t="s">
        <v>74</v>
      </c>
      <c r="AG1453">
        <v>108</v>
      </c>
      <c r="AH1453">
        <v>3</v>
      </c>
      <c r="AI1453">
        <v>3</v>
      </c>
      <c r="AJ1453">
        <v>4</v>
      </c>
      <c r="AK1453">
        <v>5</v>
      </c>
      <c r="AL1453" t="s">
        <v>1195</v>
      </c>
      <c r="AM1453" t="s">
        <v>1196</v>
      </c>
      <c r="AN1453" t="s">
        <v>1197</v>
      </c>
      <c r="AO1453" t="s">
        <v>74</v>
      </c>
      <c r="AP1453" t="s">
        <v>3594</v>
      </c>
      <c r="AQ1453" t="s">
        <v>74</v>
      </c>
      <c r="AR1453" t="s">
        <v>3595</v>
      </c>
      <c r="AS1453" t="s">
        <v>3596</v>
      </c>
      <c r="AT1453" t="s">
        <v>930</v>
      </c>
      <c r="AU1453">
        <v>2024</v>
      </c>
      <c r="AV1453">
        <v>16</v>
      </c>
      <c r="AW1453">
        <v>7</v>
      </c>
      <c r="AX1453" t="s">
        <v>74</v>
      </c>
      <c r="AY1453" t="s">
        <v>74</v>
      </c>
      <c r="AZ1453" t="s">
        <v>74</v>
      </c>
      <c r="BA1453" t="s">
        <v>74</v>
      </c>
      <c r="BB1453" t="s">
        <v>74</v>
      </c>
      <c r="BC1453" t="s">
        <v>74</v>
      </c>
      <c r="BD1453">
        <v>2833</v>
      </c>
      <c r="BE1453" t="s">
        <v>24443</v>
      </c>
      <c r="BF1453" t="str">
        <f>HYPERLINK("http://dx.doi.org/10.3390/su16072833","http://dx.doi.org/10.3390/su16072833")</f>
        <v>http://dx.doi.org/10.3390/su16072833</v>
      </c>
      <c r="BG1453" t="s">
        <v>74</v>
      </c>
      <c r="BH1453" t="s">
        <v>74</v>
      </c>
      <c r="BI1453">
        <v>19</v>
      </c>
      <c r="BJ1453" t="s">
        <v>3598</v>
      </c>
      <c r="BK1453" t="s">
        <v>182</v>
      </c>
      <c r="BL1453" t="s">
        <v>3599</v>
      </c>
      <c r="BM1453" t="s">
        <v>24444</v>
      </c>
      <c r="BN1453" t="s">
        <v>74</v>
      </c>
      <c r="BO1453" t="s">
        <v>235</v>
      </c>
      <c r="BP1453" t="s">
        <v>74</v>
      </c>
      <c r="BQ1453" t="s">
        <v>74</v>
      </c>
      <c r="BR1453" t="s">
        <v>102</v>
      </c>
      <c r="BS1453" t="s">
        <v>24445</v>
      </c>
      <c r="BT1453" t="str">
        <f>HYPERLINK("https%3A%2F%2Fwww.webofscience.com%2Fwos%2Fwoscc%2Ffull-record%2FWOS:001201126800001","View Full Record in Web of Science")</f>
        <v>View Full Record in Web of Science</v>
      </c>
    </row>
    <row r="1454" spans="1:72" x14ac:dyDescent="0.35">
      <c r="A1454" t="s">
        <v>72</v>
      </c>
      <c r="B1454" t="s">
        <v>24446</v>
      </c>
      <c r="C1454" t="s">
        <v>74</v>
      </c>
      <c r="D1454" t="s">
        <v>74</v>
      </c>
      <c r="E1454" t="s">
        <v>74</v>
      </c>
      <c r="F1454" t="s">
        <v>24447</v>
      </c>
      <c r="G1454" t="s">
        <v>74</v>
      </c>
      <c r="H1454" t="s">
        <v>74</v>
      </c>
      <c r="I1454" t="s">
        <v>24448</v>
      </c>
      <c r="J1454" t="s">
        <v>24449</v>
      </c>
      <c r="K1454" t="s">
        <v>74</v>
      </c>
      <c r="L1454" t="s">
        <v>74</v>
      </c>
      <c r="M1454" t="s">
        <v>78</v>
      </c>
      <c r="N1454" t="s">
        <v>108</v>
      </c>
      <c r="O1454" t="s">
        <v>74</v>
      </c>
      <c r="P1454" t="s">
        <v>74</v>
      </c>
      <c r="Q1454" t="s">
        <v>74</v>
      </c>
      <c r="R1454" t="s">
        <v>74</v>
      </c>
      <c r="S1454" t="s">
        <v>74</v>
      </c>
      <c r="T1454" t="s">
        <v>24450</v>
      </c>
      <c r="U1454" t="s">
        <v>24451</v>
      </c>
      <c r="V1454" t="s">
        <v>24452</v>
      </c>
      <c r="W1454" t="s">
        <v>24453</v>
      </c>
      <c r="X1454" t="s">
        <v>24454</v>
      </c>
      <c r="Y1454" t="s">
        <v>24455</v>
      </c>
      <c r="Z1454" t="s">
        <v>24456</v>
      </c>
      <c r="AA1454" t="s">
        <v>74</v>
      </c>
      <c r="AB1454" t="s">
        <v>74</v>
      </c>
      <c r="AC1454" t="s">
        <v>74</v>
      </c>
      <c r="AD1454" t="s">
        <v>74</v>
      </c>
      <c r="AE1454" t="s">
        <v>74</v>
      </c>
      <c r="AF1454" t="s">
        <v>74</v>
      </c>
      <c r="AG1454">
        <v>41</v>
      </c>
      <c r="AH1454">
        <v>1</v>
      </c>
      <c r="AI1454">
        <v>1</v>
      </c>
      <c r="AJ1454">
        <v>1</v>
      </c>
      <c r="AK1454">
        <v>7</v>
      </c>
      <c r="AL1454" t="s">
        <v>24457</v>
      </c>
      <c r="AM1454" t="s">
        <v>4435</v>
      </c>
      <c r="AN1454" t="s">
        <v>24458</v>
      </c>
      <c r="AO1454" t="s">
        <v>24459</v>
      </c>
      <c r="AP1454" t="s">
        <v>24460</v>
      </c>
      <c r="AQ1454" t="s">
        <v>74</v>
      </c>
      <c r="AR1454" t="s">
        <v>24461</v>
      </c>
      <c r="AS1454" t="s">
        <v>24462</v>
      </c>
      <c r="AT1454" t="s">
        <v>24463</v>
      </c>
      <c r="AU1454">
        <v>2023</v>
      </c>
      <c r="AV1454">
        <v>19</v>
      </c>
      <c r="AW1454">
        <v>1</v>
      </c>
      <c r="AX1454" t="s">
        <v>74</v>
      </c>
      <c r="AY1454" t="s">
        <v>74</v>
      </c>
      <c r="AZ1454" t="s">
        <v>74</v>
      </c>
      <c r="BA1454" t="s">
        <v>74</v>
      </c>
      <c r="BB1454">
        <v>137</v>
      </c>
      <c r="BC1454">
        <v>159</v>
      </c>
      <c r="BD1454" t="s">
        <v>74</v>
      </c>
      <c r="BE1454" t="s">
        <v>24464</v>
      </c>
      <c r="BF1454" t="str">
        <f>HYPERLINK("http://dx.doi.org/10.1515/css-2022-2100","http://dx.doi.org/10.1515/css-2022-2100")</f>
        <v>http://dx.doi.org/10.1515/css-2022-2100</v>
      </c>
      <c r="BG1454" t="s">
        <v>74</v>
      </c>
      <c r="BH1454" t="s">
        <v>74</v>
      </c>
      <c r="BI1454">
        <v>23</v>
      </c>
      <c r="BJ1454" t="s">
        <v>4461</v>
      </c>
      <c r="BK1454" t="s">
        <v>125</v>
      </c>
      <c r="BL1454" t="s">
        <v>4462</v>
      </c>
      <c r="BM1454" t="s">
        <v>24465</v>
      </c>
      <c r="BN1454" t="s">
        <v>74</v>
      </c>
      <c r="BO1454" t="s">
        <v>74</v>
      </c>
      <c r="BP1454" t="s">
        <v>74</v>
      </c>
      <c r="BQ1454" t="s">
        <v>74</v>
      </c>
      <c r="BR1454" t="s">
        <v>102</v>
      </c>
      <c r="BS1454" t="s">
        <v>24466</v>
      </c>
      <c r="BT1454" t="str">
        <f>HYPERLINK("https%3A%2F%2Fwww.webofscience.com%2Fwos%2Fwoscc%2Ffull-record%2FWOS:000949002800010","View Full Record in Web of Science")</f>
        <v>View Full Record in Web of Science</v>
      </c>
    </row>
    <row r="1455" spans="1:72" x14ac:dyDescent="0.35">
      <c r="A1455" t="s">
        <v>72</v>
      </c>
      <c r="B1455" t="s">
        <v>24467</v>
      </c>
      <c r="C1455" t="s">
        <v>74</v>
      </c>
      <c r="D1455" t="s">
        <v>74</v>
      </c>
      <c r="E1455" t="s">
        <v>74</v>
      </c>
      <c r="F1455" t="s">
        <v>24468</v>
      </c>
      <c r="G1455" t="s">
        <v>74</v>
      </c>
      <c r="H1455" t="s">
        <v>74</v>
      </c>
      <c r="I1455" t="s">
        <v>24469</v>
      </c>
      <c r="J1455" t="s">
        <v>24470</v>
      </c>
      <c r="K1455" t="s">
        <v>74</v>
      </c>
      <c r="L1455" t="s">
        <v>74</v>
      </c>
      <c r="M1455" t="s">
        <v>78</v>
      </c>
      <c r="N1455" t="s">
        <v>108</v>
      </c>
      <c r="O1455" t="s">
        <v>74</v>
      </c>
      <c r="P1455" t="s">
        <v>74</v>
      </c>
      <c r="Q1455" t="s">
        <v>74</v>
      </c>
      <c r="R1455" t="s">
        <v>74</v>
      </c>
      <c r="S1455" t="s">
        <v>74</v>
      </c>
      <c r="T1455" t="s">
        <v>24471</v>
      </c>
      <c r="U1455" t="s">
        <v>74</v>
      </c>
      <c r="V1455" t="s">
        <v>24472</v>
      </c>
      <c r="W1455" t="s">
        <v>74</v>
      </c>
      <c r="X1455" t="s">
        <v>74</v>
      </c>
      <c r="Y1455" t="s">
        <v>74</v>
      </c>
      <c r="Z1455" t="s">
        <v>24473</v>
      </c>
      <c r="AA1455" t="s">
        <v>74</v>
      </c>
      <c r="AB1455" t="s">
        <v>74</v>
      </c>
      <c r="AC1455" t="s">
        <v>74</v>
      </c>
      <c r="AD1455" t="s">
        <v>74</v>
      </c>
      <c r="AE1455" t="s">
        <v>74</v>
      </c>
      <c r="AF1455" t="s">
        <v>74</v>
      </c>
      <c r="AG1455">
        <v>0</v>
      </c>
      <c r="AH1455">
        <v>0</v>
      </c>
      <c r="AI1455">
        <v>0</v>
      </c>
      <c r="AJ1455">
        <v>1</v>
      </c>
      <c r="AK1455">
        <v>1</v>
      </c>
      <c r="AL1455" t="s">
        <v>24474</v>
      </c>
      <c r="AM1455" t="s">
        <v>871</v>
      </c>
      <c r="AN1455" t="s">
        <v>24475</v>
      </c>
      <c r="AO1455" t="s">
        <v>24476</v>
      </c>
      <c r="AP1455" t="s">
        <v>24477</v>
      </c>
      <c r="AQ1455" t="s">
        <v>74</v>
      </c>
      <c r="AR1455" t="s">
        <v>24478</v>
      </c>
      <c r="AS1455" t="s">
        <v>24479</v>
      </c>
      <c r="AT1455" t="s">
        <v>745</v>
      </c>
      <c r="AU1455">
        <v>2024</v>
      </c>
      <c r="AV1455">
        <v>13</v>
      </c>
      <c r="AW1455">
        <v>2</v>
      </c>
      <c r="AX1455" t="s">
        <v>74</v>
      </c>
      <c r="AY1455" t="s">
        <v>74</v>
      </c>
      <c r="AZ1455" t="s">
        <v>456</v>
      </c>
      <c r="BA1455" t="s">
        <v>74</v>
      </c>
      <c r="BB1455">
        <v>326</v>
      </c>
      <c r="BC1455">
        <v>331</v>
      </c>
      <c r="BD1455" t="s">
        <v>74</v>
      </c>
      <c r="BE1455" t="s">
        <v>24480</v>
      </c>
      <c r="BF1455" t="str">
        <f>HYPERLINK("http://dx.doi.org/10.1332/20467435Y2024D000000025","http://dx.doi.org/10.1332/20467435Y2024D000000025")</f>
        <v>http://dx.doi.org/10.1332/20467435Y2024D000000025</v>
      </c>
      <c r="BG1455" t="s">
        <v>74</v>
      </c>
      <c r="BH1455" t="s">
        <v>1467</v>
      </c>
      <c r="BI1455">
        <v>6</v>
      </c>
      <c r="BJ1455" t="s">
        <v>6776</v>
      </c>
      <c r="BK1455" t="s">
        <v>99</v>
      </c>
      <c r="BL1455" t="s">
        <v>6776</v>
      </c>
      <c r="BM1455" t="s">
        <v>24481</v>
      </c>
      <c r="BN1455" t="s">
        <v>74</v>
      </c>
      <c r="BO1455" t="s">
        <v>156</v>
      </c>
      <c r="BP1455" t="s">
        <v>74</v>
      </c>
      <c r="BQ1455" t="s">
        <v>74</v>
      </c>
      <c r="BR1455" t="s">
        <v>102</v>
      </c>
      <c r="BS1455" t="s">
        <v>24482</v>
      </c>
      <c r="BT1455" t="str">
        <f>HYPERLINK("https%3A%2F%2Fwww.webofscience.com%2Fwos%2Fwoscc%2Ffull-record%2FWOS:001220160600001","View Full Record in Web of Science")</f>
        <v>View Full Record in Web of Science</v>
      </c>
    </row>
    <row r="1456" spans="1:72" x14ac:dyDescent="0.35">
      <c r="A1456" t="s">
        <v>72</v>
      </c>
      <c r="B1456" t="s">
        <v>24483</v>
      </c>
      <c r="C1456" t="s">
        <v>74</v>
      </c>
      <c r="D1456" t="s">
        <v>74</v>
      </c>
      <c r="E1456" t="s">
        <v>74</v>
      </c>
      <c r="F1456" t="s">
        <v>24484</v>
      </c>
      <c r="G1456" t="s">
        <v>74</v>
      </c>
      <c r="H1456" t="s">
        <v>74</v>
      </c>
      <c r="I1456" t="s">
        <v>24485</v>
      </c>
      <c r="J1456" t="s">
        <v>24486</v>
      </c>
      <c r="K1456" t="s">
        <v>74</v>
      </c>
      <c r="L1456" t="s">
        <v>74</v>
      </c>
      <c r="M1456" t="s">
        <v>78</v>
      </c>
      <c r="N1456" t="s">
        <v>108</v>
      </c>
      <c r="O1456" t="s">
        <v>74</v>
      </c>
      <c r="P1456" t="s">
        <v>74</v>
      </c>
      <c r="Q1456" t="s">
        <v>74</v>
      </c>
      <c r="R1456" t="s">
        <v>74</v>
      </c>
      <c r="S1456" t="s">
        <v>74</v>
      </c>
      <c r="T1456" t="s">
        <v>24487</v>
      </c>
      <c r="U1456" t="s">
        <v>24488</v>
      </c>
      <c r="V1456" t="s">
        <v>24489</v>
      </c>
      <c r="W1456" t="s">
        <v>24490</v>
      </c>
      <c r="X1456" t="s">
        <v>16686</v>
      </c>
      <c r="Y1456" t="s">
        <v>24491</v>
      </c>
      <c r="Z1456" t="s">
        <v>24492</v>
      </c>
      <c r="AA1456" t="s">
        <v>24493</v>
      </c>
      <c r="AB1456" t="s">
        <v>24494</v>
      </c>
      <c r="AC1456" t="s">
        <v>24495</v>
      </c>
      <c r="AD1456" t="s">
        <v>4847</v>
      </c>
      <c r="AE1456" t="s">
        <v>24496</v>
      </c>
      <c r="AF1456" t="s">
        <v>74</v>
      </c>
      <c r="AG1456">
        <v>41</v>
      </c>
      <c r="AH1456">
        <v>1</v>
      </c>
      <c r="AI1456">
        <v>1</v>
      </c>
      <c r="AJ1456">
        <v>71</v>
      </c>
      <c r="AK1456">
        <v>108</v>
      </c>
      <c r="AL1456" t="s">
        <v>24497</v>
      </c>
      <c r="AM1456" t="s">
        <v>24498</v>
      </c>
      <c r="AN1456" t="s">
        <v>24499</v>
      </c>
      <c r="AO1456" t="s">
        <v>24500</v>
      </c>
      <c r="AP1456" t="s">
        <v>24501</v>
      </c>
      <c r="AQ1456" t="s">
        <v>74</v>
      </c>
      <c r="AR1456" t="s">
        <v>24502</v>
      </c>
      <c r="AS1456" t="s">
        <v>24503</v>
      </c>
      <c r="AT1456" t="s">
        <v>24504</v>
      </c>
      <c r="AU1456">
        <v>2024</v>
      </c>
      <c r="AV1456">
        <v>43</v>
      </c>
      <c r="AW1456">
        <v>3</v>
      </c>
      <c r="AX1456" t="s">
        <v>74</v>
      </c>
      <c r="AY1456" t="s">
        <v>74</v>
      </c>
      <c r="AZ1456" t="s">
        <v>74</v>
      </c>
      <c r="BA1456" t="s">
        <v>74</v>
      </c>
      <c r="BB1456" t="s">
        <v>74</v>
      </c>
      <c r="BC1456" t="s">
        <v>74</v>
      </c>
      <c r="BD1456" t="s">
        <v>74</v>
      </c>
      <c r="BE1456" t="s">
        <v>24505</v>
      </c>
      <c r="BF1456" t="str">
        <f>HYPERLINK("http://dx.doi.org/10.1287/mksc.2023.0031","http://dx.doi.org/10.1287/mksc.2023.0031")</f>
        <v>http://dx.doi.org/10.1287/mksc.2023.0031</v>
      </c>
      <c r="BG1456" t="s">
        <v>74</v>
      </c>
      <c r="BH1456" t="s">
        <v>123</v>
      </c>
      <c r="BI1456">
        <v>11</v>
      </c>
      <c r="BJ1456" t="s">
        <v>1597</v>
      </c>
      <c r="BK1456" t="s">
        <v>99</v>
      </c>
      <c r="BL1456" t="s">
        <v>480</v>
      </c>
      <c r="BM1456" t="s">
        <v>24506</v>
      </c>
      <c r="BN1456" t="s">
        <v>74</v>
      </c>
      <c r="BO1456" t="s">
        <v>74</v>
      </c>
      <c r="BP1456" t="s">
        <v>74</v>
      </c>
      <c r="BQ1456" t="s">
        <v>74</v>
      </c>
      <c r="BR1456" t="s">
        <v>102</v>
      </c>
      <c r="BS1456" t="s">
        <v>24507</v>
      </c>
      <c r="BT1456" t="str">
        <f>HYPERLINK("https%3A%2F%2Fwww.webofscience.com%2Fwos%2Fwoscc%2Ffull-record%2FWOS:001188309200001","View Full Record in Web of Science")</f>
        <v>View Full Record in Web of Science</v>
      </c>
    </row>
    <row r="1457" spans="1:72" x14ac:dyDescent="0.35">
      <c r="A1457" t="s">
        <v>72</v>
      </c>
      <c r="B1457" t="s">
        <v>24508</v>
      </c>
      <c r="C1457" t="s">
        <v>74</v>
      </c>
      <c r="D1457" t="s">
        <v>74</v>
      </c>
      <c r="E1457" t="s">
        <v>74</v>
      </c>
      <c r="F1457" t="s">
        <v>24509</v>
      </c>
      <c r="G1457" t="s">
        <v>74</v>
      </c>
      <c r="H1457" t="s">
        <v>74</v>
      </c>
      <c r="I1457" t="s">
        <v>24510</v>
      </c>
      <c r="J1457" t="s">
        <v>681</v>
      </c>
      <c r="K1457" t="s">
        <v>74</v>
      </c>
      <c r="L1457" t="s">
        <v>74</v>
      </c>
      <c r="M1457" t="s">
        <v>78</v>
      </c>
      <c r="N1457" t="s">
        <v>108</v>
      </c>
      <c r="O1457" t="s">
        <v>74</v>
      </c>
      <c r="P1457" t="s">
        <v>74</v>
      </c>
      <c r="Q1457" t="s">
        <v>74</v>
      </c>
      <c r="R1457" t="s">
        <v>74</v>
      </c>
      <c r="S1457" t="s">
        <v>74</v>
      </c>
      <c r="T1457" t="s">
        <v>24511</v>
      </c>
      <c r="U1457" t="s">
        <v>24512</v>
      </c>
      <c r="V1457" t="s">
        <v>24513</v>
      </c>
      <c r="W1457" t="s">
        <v>24514</v>
      </c>
      <c r="X1457" t="s">
        <v>24515</v>
      </c>
      <c r="Y1457" t="s">
        <v>24516</v>
      </c>
      <c r="Z1457" t="s">
        <v>24517</v>
      </c>
      <c r="AA1457" t="s">
        <v>24518</v>
      </c>
      <c r="AB1457" t="s">
        <v>24519</v>
      </c>
      <c r="AC1457" t="s">
        <v>74</v>
      </c>
      <c r="AD1457" t="s">
        <v>74</v>
      </c>
      <c r="AE1457" t="s">
        <v>74</v>
      </c>
      <c r="AF1457" t="s">
        <v>74</v>
      </c>
      <c r="AG1457">
        <v>102</v>
      </c>
      <c r="AH1457">
        <v>1</v>
      </c>
      <c r="AI1457">
        <v>1</v>
      </c>
      <c r="AJ1457">
        <v>12</v>
      </c>
      <c r="AK1457">
        <v>140</v>
      </c>
      <c r="AL1457" t="s">
        <v>384</v>
      </c>
      <c r="AM1457" t="s">
        <v>385</v>
      </c>
      <c r="AN1457" t="s">
        <v>386</v>
      </c>
      <c r="AO1457" t="s">
        <v>693</v>
      </c>
      <c r="AP1457" t="s">
        <v>74</v>
      </c>
      <c r="AQ1457" t="s">
        <v>74</v>
      </c>
      <c r="AR1457" t="s">
        <v>694</v>
      </c>
      <c r="AS1457" t="s">
        <v>695</v>
      </c>
      <c r="AT1457" t="s">
        <v>6118</v>
      </c>
      <c r="AU1457">
        <v>2022</v>
      </c>
      <c r="AV1457">
        <v>13</v>
      </c>
      <c r="AW1457" t="s">
        <v>74</v>
      </c>
      <c r="AX1457" t="s">
        <v>74</v>
      </c>
      <c r="AY1457" t="s">
        <v>74</v>
      </c>
      <c r="AZ1457" t="s">
        <v>74</v>
      </c>
      <c r="BA1457" t="s">
        <v>74</v>
      </c>
      <c r="BB1457" t="s">
        <v>74</v>
      </c>
      <c r="BC1457" t="s">
        <v>74</v>
      </c>
      <c r="BD1457">
        <v>968558</v>
      </c>
      <c r="BE1457" t="s">
        <v>24520</v>
      </c>
      <c r="BF1457" t="str">
        <f>HYPERLINK("http://dx.doi.org/10.3389/fpsyg.2022.968558","http://dx.doi.org/10.3389/fpsyg.2022.968558")</f>
        <v>http://dx.doi.org/10.3389/fpsyg.2022.968558</v>
      </c>
      <c r="BG1457" t="s">
        <v>74</v>
      </c>
      <c r="BH1457" t="s">
        <v>74</v>
      </c>
      <c r="BI1457">
        <v>14</v>
      </c>
      <c r="BJ1457" t="s">
        <v>698</v>
      </c>
      <c r="BK1457" t="s">
        <v>99</v>
      </c>
      <c r="BL1457" t="s">
        <v>301</v>
      </c>
      <c r="BM1457" t="s">
        <v>24521</v>
      </c>
      <c r="BN1457">
        <v>36059732</v>
      </c>
      <c r="BO1457" t="s">
        <v>552</v>
      </c>
      <c r="BP1457" t="s">
        <v>74</v>
      </c>
      <c r="BQ1457" t="s">
        <v>74</v>
      </c>
      <c r="BR1457" t="s">
        <v>102</v>
      </c>
      <c r="BS1457" t="s">
        <v>24522</v>
      </c>
      <c r="BT1457" t="str">
        <f>HYPERLINK("https%3A%2F%2Fwww.webofscience.com%2Fwos%2Fwoscc%2Ffull-record%2FWOS:000849188200001","View Full Record in Web of Science")</f>
        <v>View Full Record in Web of Science</v>
      </c>
    </row>
    <row r="1458" spans="1:72" x14ac:dyDescent="0.35">
      <c r="A1458" t="s">
        <v>128</v>
      </c>
      <c r="B1458" t="s">
        <v>24523</v>
      </c>
      <c r="C1458" t="s">
        <v>74</v>
      </c>
      <c r="D1458" t="s">
        <v>74</v>
      </c>
      <c r="E1458" t="s">
        <v>702</v>
      </c>
      <c r="F1458" t="s">
        <v>24524</v>
      </c>
      <c r="G1458" t="s">
        <v>74</v>
      </c>
      <c r="H1458" t="s">
        <v>74</v>
      </c>
      <c r="I1458" t="s">
        <v>24525</v>
      </c>
      <c r="J1458" t="s">
        <v>705</v>
      </c>
      <c r="K1458" t="s">
        <v>74</v>
      </c>
      <c r="L1458" t="s">
        <v>74</v>
      </c>
      <c r="M1458" t="s">
        <v>78</v>
      </c>
      <c r="N1458" t="s">
        <v>135</v>
      </c>
      <c r="O1458" t="s">
        <v>706</v>
      </c>
      <c r="P1458" t="s">
        <v>707</v>
      </c>
      <c r="Q1458" t="s">
        <v>708</v>
      </c>
      <c r="R1458" t="s">
        <v>709</v>
      </c>
      <c r="S1458" t="s">
        <v>74</v>
      </c>
      <c r="T1458" t="s">
        <v>24526</v>
      </c>
      <c r="U1458" t="s">
        <v>74</v>
      </c>
      <c r="V1458" t="s">
        <v>24527</v>
      </c>
      <c r="W1458" t="s">
        <v>24528</v>
      </c>
      <c r="X1458" t="s">
        <v>5390</v>
      </c>
      <c r="Y1458" t="s">
        <v>24529</v>
      </c>
      <c r="Z1458" t="s">
        <v>24530</v>
      </c>
      <c r="AA1458" t="s">
        <v>74</v>
      </c>
      <c r="AB1458" t="s">
        <v>74</v>
      </c>
      <c r="AC1458" t="s">
        <v>24531</v>
      </c>
      <c r="AD1458" t="s">
        <v>24532</v>
      </c>
      <c r="AE1458" t="s">
        <v>24533</v>
      </c>
      <c r="AF1458" t="s">
        <v>74</v>
      </c>
      <c r="AG1458">
        <v>32</v>
      </c>
      <c r="AH1458">
        <v>0</v>
      </c>
      <c r="AI1458">
        <v>0</v>
      </c>
      <c r="AJ1458">
        <v>0</v>
      </c>
      <c r="AK1458">
        <v>0</v>
      </c>
      <c r="AL1458" t="s">
        <v>718</v>
      </c>
      <c r="AM1458" t="s">
        <v>666</v>
      </c>
      <c r="AN1458" t="s">
        <v>719</v>
      </c>
      <c r="AO1458" t="s">
        <v>74</v>
      </c>
      <c r="AP1458" t="s">
        <v>74</v>
      </c>
      <c r="AQ1458" t="s">
        <v>720</v>
      </c>
      <c r="AR1458" t="s">
        <v>74</v>
      </c>
      <c r="AS1458" t="s">
        <v>74</v>
      </c>
      <c r="AT1458" t="s">
        <v>74</v>
      </c>
      <c r="AU1458">
        <v>2022</v>
      </c>
      <c r="AV1458" t="s">
        <v>74</v>
      </c>
      <c r="AW1458" t="s">
        <v>74</v>
      </c>
      <c r="AX1458" t="s">
        <v>74</v>
      </c>
      <c r="AY1458" t="s">
        <v>74</v>
      </c>
      <c r="AZ1458" t="s">
        <v>74</v>
      </c>
      <c r="BA1458" t="s">
        <v>74</v>
      </c>
      <c r="BB1458">
        <v>679</v>
      </c>
      <c r="BC1458">
        <v>682</v>
      </c>
      <c r="BD1458" t="s">
        <v>74</v>
      </c>
      <c r="BE1458" t="s">
        <v>24534</v>
      </c>
      <c r="BF1458" t="str">
        <f>HYPERLINK("http://dx.doi.org/10.1145/3501712.3538833","http://dx.doi.org/10.1145/3501712.3538833")</f>
        <v>http://dx.doi.org/10.1145/3501712.3538833</v>
      </c>
      <c r="BG1458" t="s">
        <v>74</v>
      </c>
      <c r="BH1458" t="s">
        <v>74</v>
      </c>
      <c r="BI1458">
        <v>4</v>
      </c>
      <c r="BJ1458" t="s">
        <v>722</v>
      </c>
      <c r="BK1458" t="s">
        <v>723</v>
      </c>
      <c r="BL1458" t="s">
        <v>210</v>
      </c>
      <c r="BM1458" t="s">
        <v>724</v>
      </c>
      <c r="BN1458" t="s">
        <v>74</v>
      </c>
      <c r="BO1458" t="s">
        <v>74</v>
      </c>
      <c r="BP1458" t="s">
        <v>74</v>
      </c>
      <c r="BQ1458" t="s">
        <v>74</v>
      </c>
      <c r="BR1458" t="s">
        <v>102</v>
      </c>
      <c r="BS1458" t="s">
        <v>24535</v>
      </c>
      <c r="BT1458" t="str">
        <f>HYPERLINK("https%3A%2F%2Fwww.webofscience.com%2Fwos%2Fwoscc%2Ffull-record%2FWOS:001103410100080","View Full Record in Web of Science")</f>
        <v>View Full Record in Web of Science</v>
      </c>
    </row>
    <row r="1459" spans="1:72" x14ac:dyDescent="0.35">
      <c r="A1459" t="s">
        <v>72</v>
      </c>
      <c r="B1459" t="s">
        <v>24536</v>
      </c>
      <c r="C1459" t="s">
        <v>74</v>
      </c>
      <c r="D1459" t="s">
        <v>74</v>
      </c>
      <c r="E1459" t="s">
        <v>74</v>
      </c>
      <c r="F1459" t="s">
        <v>24537</v>
      </c>
      <c r="G1459" t="s">
        <v>74</v>
      </c>
      <c r="H1459" t="s">
        <v>74</v>
      </c>
      <c r="I1459" t="s">
        <v>24538</v>
      </c>
      <c r="J1459" t="s">
        <v>2975</v>
      </c>
      <c r="K1459" t="s">
        <v>74</v>
      </c>
      <c r="L1459" t="s">
        <v>74</v>
      </c>
      <c r="M1459" t="s">
        <v>78</v>
      </c>
      <c r="N1459" t="s">
        <v>79</v>
      </c>
      <c r="O1459" t="s">
        <v>74</v>
      </c>
      <c r="P1459" t="s">
        <v>74</v>
      </c>
      <c r="Q1459" t="s">
        <v>74</v>
      </c>
      <c r="R1459" t="s">
        <v>74</v>
      </c>
      <c r="S1459" t="s">
        <v>74</v>
      </c>
      <c r="T1459" t="s">
        <v>24539</v>
      </c>
      <c r="U1459" t="s">
        <v>24540</v>
      </c>
      <c r="V1459" t="s">
        <v>24541</v>
      </c>
      <c r="W1459" t="s">
        <v>24542</v>
      </c>
      <c r="X1459" t="s">
        <v>2420</v>
      </c>
      <c r="Y1459" t="s">
        <v>24543</v>
      </c>
      <c r="Z1459" t="s">
        <v>24544</v>
      </c>
      <c r="AA1459" t="s">
        <v>24545</v>
      </c>
      <c r="AB1459" t="s">
        <v>24546</v>
      </c>
      <c r="AC1459" t="s">
        <v>74</v>
      </c>
      <c r="AD1459" t="s">
        <v>74</v>
      </c>
      <c r="AE1459" t="s">
        <v>74</v>
      </c>
      <c r="AF1459" t="s">
        <v>74</v>
      </c>
      <c r="AG1459">
        <v>63</v>
      </c>
      <c r="AH1459">
        <v>1</v>
      </c>
      <c r="AI1459">
        <v>1</v>
      </c>
      <c r="AJ1459">
        <v>35</v>
      </c>
      <c r="AK1459">
        <v>70</v>
      </c>
      <c r="AL1459" t="s">
        <v>226</v>
      </c>
      <c r="AM1459" t="s">
        <v>227</v>
      </c>
      <c r="AN1459" t="s">
        <v>228</v>
      </c>
      <c r="AO1459" t="s">
        <v>2987</v>
      </c>
      <c r="AP1459" t="s">
        <v>2988</v>
      </c>
      <c r="AQ1459" t="s">
        <v>74</v>
      </c>
      <c r="AR1459" t="s">
        <v>2989</v>
      </c>
      <c r="AS1459" t="s">
        <v>2990</v>
      </c>
      <c r="AT1459" t="s">
        <v>4031</v>
      </c>
      <c r="AU1459">
        <v>2024</v>
      </c>
      <c r="AV1459" t="s">
        <v>74</v>
      </c>
      <c r="AW1459" t="s">
        <v>74</v>
      </c>
      <c r="AX1459" t="s">
        <v>74</v>
      </c>
      <c r="AY1459" t="s">
        <v>74</v>
      </c>
      <c r="AZ1459" t="s">
        <v>74</v>
      </c>
      <c r="BA1459" t="s">
        <v>74</v>
      </c>
      <c r="BB1459" t="s">
        <v>74</v>
      </c>
      <c r="BC1459" t="s">
        <v>74</v>
      </c>
      <c r="BD1459" t="s">
        <v>74</v>
      </c>
      <c r="BE1459" t="s">
        <v>24547</v>
      </c>
      <c r="BF1459" t="str">
        <f>HYPERLINK("http://dx.doi.org/10.1177/13567667231221815","http://dx.doi.org/10.1177/13567667231221815")</f>
        <v>http://dx.doi.org/10.1177/13567667231221815</v>
      </c>
      <c r="BG1459" t="s">
        <v>74</v>
      </c>
      <c r="BH1459" t="s">
        <v>1377</v>
      </c>
      <c r="BI1459">
        <v>16</v>
      </c>
      <c r="BJ1459" t="s">
        <v>2993</v>
      </c>
      <c r="BK1459" t="s">
        <v>99</v>
      </c>
      <c r="BL1459" t="s">
        <v>2994</v>
      </c>
      <c r="BM1459" t="s">
        <v>24548</v>
      </c>
      <c r="BN1459" t="s">
        <v>74</v>
      </c>
      <c r="BO1459" t="s">
        <v>74</v>
      </c>
      <c r="BP1459" t="s">
        <v>74</v>
      </c>
      <c r="BQ1459" t="s">
        <v>74</v>
      </c>
      <c r="BR1459" t="s">
        <v>102</v>
      </c>
      <c r="BS1459" t="s">
        <v>24549</v>
      </c>
      <c r="BT1459" t="str">
        <f>HYPERLINK("https%3A%2F%2Fwww.webofscience.com%2Fwos%2Fwoscc%2Ffull-record%2FWOS:001137028600001","View Full Record in Web of Science")</f>
        <v>View Full Record in Web of Science</v>
      </c>
    </row>
    <row r="1460" spans="1:72" x14ac:dyDescent="0.35">
      <c r="A1460" t="s">
        <v>72</v>
      </c>
      <c r="B1460" t="s">
        <v>24550</v>
      </c>
      <c r="C1460" t="s">
        <v>74</v>
      </c>
      <c r="D1460" t="s">
        <v>74</v>
      </c>
      <c r="E1460" t="s">
        <v>74</v>
      </c>
      <c r="F1460" t="s">
        <v>24551</v>
      </c>
      <c r="G1460" t="s">
        <v>74</v>
      </c>
      <c r="H1460" t="s">
        <v>74</v>
      </c>
      <c r="I1460" t="s">
        <v>24552</v>
      </c>
      <c r="J1460" t="s">
        <v>280</v>
      </c>
      <c r="K1460" t="s">
        <v>74</v>
      </c>
      <c r="L1460" t="s">
        <v>74</v>
      </c>
      <c r="M1460" t="s">
        <v>78</v>
      </c>
      <c r="N1460" t="s">
        <v>108</v>
      </c>
      <c r="O1460" t="s">
        <v>74</v>
      </c>
      <c r="P1460" t="s">
        <v>74</v>
      </c>
      <c r="Q1460" t="s">
        <v>74</v>
      </c>
      <c r="R1460" t="s">
        <v>74</v>
      </c>
      <c r="S1460" t="s">
        <v>74</v>
      </c>
      <c r="T1460" t="s">
        <v>24553</v>
      </c>
      <c r="U1460" t="s">
        <v>24554</v>
      </c>
      <c r="V1460" t="s">
        <v>24555</v>
      </c>
      <c r="W1460" t="s">
        <v>24556</v>
      </c>
      <c r="X1460" t="s">
        <v>24557</v>
      </c>
      <c r="Y1460" t="s">
        <v>24558</v>
      </c>
      <c r="Z1460" t="s">
        <v>24559</v>
      </c>
      <c r="AA1460" t="s">
        <v>74</v>
      </c>
      <c r="AB1460" t="s">
        <v>24560</v>
      </c>
      <c r="AC1460" t="s">
        <v>74</v>
      </c>
      <c r="AD1460" t="s">
        <v>74</v>
      </c>
      <c r="AE1460" t="s">
        <v>74</v>
      </c>
      <c r="AF1460" t="s">
        <v>74</v>
      </c>
      <c r="AG1460">
        <v>63</v>
      </c>
      <c r="AH1460">
        <v>8</v>
      </c>
      <c r="AI1460">
        <v>8</v>
      </c>
      <c r="AJ1460">
        <v>48</v>
      </c>
      <c r="AK1460">
        <v>138</v>
      </c>
      <c r="AL1460" t="s">
        <v>290</v>
      </c>
      <c r="AM1460" t="s">
        <v>291</v>
      </c>
      <c r="AN1460" t="s">
        <v>292</v>
      </c>
      <c r="AO1460" t="s">
        <v>293</v>
      </c>
      <c r="AP1460" t="s">
        <v>294</v>
      </c>
      <c r="AQ1460" t="s">
        <v>74</v>
      </c>
      <c r="AR1460" t="s">
        <v>295</v>
      </c>
      <c r="AS1460" t="s">
        <v>296</v>
      </c>
      <c r="AT1460" t="s">
        <v>232</v>
      </c>
      <c r="AU1460">
        <v>2024</v>
      </c>
      <c r="AV1460">
        <v>150</v>
      </c>
      <c r="AW1460" t="s">
        <v>74</v>
      </c>
      <c r="AX1460" t="s">
        <v>74</v>
      </c>
      <c r="AY1460" t="s">
        <v>74</v>
      </c>
      <c r="AZ1460" t="s">
        <v>74</v>
      </c>
      <c r="BA1460" t="s">
        <v>74</v>
      </c>
      <c r="BB1460" t="s">
        <v>74</v>
      </c>
      <c r="BC1460" t="s">
        <v>74</v>
      </c>
      <c r="BD1460">
        <v>107969</v>
      </c>
      <c r="BE1460" t="s">
        <v>24561</v>
      </c>
      <c r="BF1460" t="str">
        <f>HYPERLINK("http://dx.doi.org/10.1016/j.chb.2023.107969","http://dx.doi.org/10.1016/j.chb.2023.107969")</f>
        <v>http://dx.doi.org/10.1016/j.chb.2023.107969</v>
      </c>
      <c r="BG1460" t="s">
        <v>74</v>
      </c>
      <c r="BH1460" t="s">
        <v>207</v>
      </c>
      <c r="BI1460">
        <v>15</v>
      </c>
      <c r="BJ1460" t="s">
        <v>300</v>
      </c>
      <c r="BK1460" t="s">
        <v>99</v>
      </c>
      <c r="BL1460" t="s">
        <v>301</v>
      </c>
      <c r="BM1460" t="s">
        <v>24562</v>
      </c>
      <c r="BN1460" t="s">
        <v>74</v>
      </c>
      <c r="BO1460" t="s">
        <v>74</v>
      </c>
      <c r="BP1460" t="s">
        <v>74</v>
      </c>
      <c r="BQ1460" t="s">
        <v>74</v>
      </c>
      <c r="BR1460" t="s">
        <v>102</v>
      </c>
      <c r="BS1460" t="s">
        <v>24563</v>
      </c>
      <c r="BT1460" t="str">
        <f>HYPERLINK("https%3A%2F%2Fwww.webofscience.com%2Fwos%2Fwoscc%2Ffull-record%2FWOS:001094881600001","View Full Record in Web of Science")</f>
        <v>View Full Record in Web of Science</v>
      </c>
    </row>
    <row r="1461" spans="1:72" x14ac:dyDescent="0.35">
      <c r="A1461" t="s">
        <v>128</v>
      </c>
      <c r="B1461" t="s">
        <v>24564</v>
      </c>
      <c r="C1461" t="s">
        <v>74</v>
      </c>
      <c r="D1461" t="s">
        <v>74</v>
      </c>
      <c r="E1461" t="s">
        <v>702</v>
      </c>
      <c r="F1461" t="s">
        <v>24565</v>
      </c>
      <c r="G1461" t="s">
        <v>74</v>
      </c>
      <c r="H1461" t="s">
        <v>74</v>
      </c>
      <c r="I1461" t="s">
        <v>24566</v>
      </c>
      <c r="J1461" t="s">
        <v>24567</v>
      </c>
      <c r="K1461" t="s">
        <v>74</v>
      </c>
      <c r="L1461" t="s">
        <v>74</v>
      </c>
      <c r="M1461" t="s">
        <v>78</v>
      </c>
      <c r="N1461" t="s">
        <v>135</v>
      </c>
      <c r="O1461" t="s">
        <v>24568</v>
      </c>
      <c r="P1461" t="s">
        <v>24569</v>
      </c>
      <c r="Q1461" t="s">
        <v>138</v>
      </c>
      <c r="R1461" t="s">
        <v>74</v>
      </c>
      <c r="S1461" t="s">
        <v>74</v>
      </c>
      <c r="T1461" t="s">
        <v>24570</v>
      </c>
      <c r="U1461" t="s">
        <v>74</v>
      </c>
      <c r="V1461" t="s">
        <v>24571</v>
      </c>
      <c r="W1461" t="s">
        <v>24572</v>
      </c>
      <c r="X1461" t="s">
        <v>24573</v>
      </c>
      <c r="Y1461" t="s">
        <v>24574</v>
      </c>
      <c r="Z1461" t="s">
        <v>24575</v>
      </c>
      <c r="AA1461" t="s">
        <v>74</v>
      </c>
      <c r="AB1461" t="s">
        <v>74</v>
      </c>
      <c r="AC1461" t="s">
        <v>74</v>
      </c>
      <c r="AD1461" t="s">
        <v>74</v>
      </c>
      <c r="AE1461" t="s">
        <v>74</v>
      </c>
      <c r="AF1461" t="s">
        <v>74</v>
      </c>
      <c r="AG1461">
        <v>12</v>
      </c>
      <c r="AH1461">
        <v>4</v>
      </c>
      <c r="AI1461">
        <v>4</v>
      </c>
      <c r="AJ1461">
        <v>0</v>
      </c>
      <c r="AK1461">
        <v>3</v>
      </c>
      <c r="AL1461" t="s">
        <v>718</v>
      </c>
      <c r="AM1461" t="s">
        <v>666</v>
      </c>
      <c r="AN1461" t="s">
        <v>24576</v>
      </c>
      <c r="AO1461" t="s">
        <v>74</v>
      </c>
      <c r="AP1461" t="s">
        <v>74</v>
      </c>
      <c r="AQ1461" t="s">
        <v>24577</v>
      </c>
      <c r="AR1461" t="s">
        <v>74</v>
      </c>
      <c r="AS1461" t="s">
        <v>74</v>
      </c>
      <c r="AT1461" t="s">
        <v>74</v>
      </c>
      <c r="AU1461">
        <v>2021</v>
      </c>
      <c r="AV1461" t="s">
        <v>74</v>
      </c>
      <c r="AW1461" t="s">
        <v>74</v>
      </c>
      <c r="AX1461" t="s">
        <v>74</v>
      </c>
      <c r="AY1461" t="s">
        <v>74</v>
      </c>
      <c r="AZ1461" t="s">
        <v>74</v>
      </c>
      <c r="BA1461" t="s">
        <v>74</v>
      </c>
      <c r="BB1461">
        <v>603</v>
      </c>
      <c r="BC1461">
        <v>606</v>
      </c>
      <c r="BD1461" t="s">
        <v>74</v>
      </c>
      <c r="BE1461" t="s">
        <v>24578</v>
      </c>
      <c r="BF1461" t="str">
        <f>HYPERLINK("http://dx.doi.org/10.1145/3460426.3463579","http://dx.doi.org/10.1145/3460426.3463579")</f>
        <v>http://dx.doi.org/10.1145/3460426.3463579</v>
      </c>
      <c r="BG1461" t="s">
        <v>74</v>
      </c>
      <c r="BH1461" t="s">
        <v>74</v>
      </c>
      <c r="BI1461">
        <v>4</v>
      </c>
      <c r="BJ1461" t="s">
        <v>21129</v>
      </c>
      <c r="BK1461" t="s">
        <v>723</v>
      </c>
      <c r="BL1461" t="s">
        <v>210</v>
      </c>
      <c r="BM1461" t="s">
        <v>24579</v>
      </c>
      <c r="BN1461" t="s">
        <v>74</v>
      </c>
      <c r="BO1461" t="s">
        <v>74</v>
      </c>
      <c r="BP1461" t="s">
        <v>74</v>
      </c>
      <c r="BQ1461" t="s">
        <v>74</v>
      </c>
      <c r="BR1461" t="s">
        <v>102</v>
      </c>
      <c r="BS1461" t="s">
        <v>24580</v>
      </c>
      <c r="BT1461" t="str">
        <f>HYPERLINK("https%3A%2F%2Fwww.webofscience.com%2Fwos%2Fwoscc%2Ffull-record%2FWOS:000723651900077","View Full Record in Web of Science")</f>
        <v>View Full Record in Web of Science</v>
      </c>
    </row>
    <row r="1462" spans="1:72" x14ac:dyDescent="0.35">
      <c r="A1462" t="s">
        <v>72</v>
      </c>
      <c r="B1462" t="s">
        <v>24581</v>
      </c>
      <c r="C1462" t="s">
        <v>74</v>
      </c>
      <c r="D1462" t="s">
        <v>74</v>
      </c>
      <c r="E1462" t="s">
        <v>74</v>
      </c>
      <c r="F1462" t="s">
        <v>24582</v>
      </c>
      <c r="G1462" t="s">
        <v>74</v>
      </c>
      <c r="H1462" t="s">
        <v>74</v>
      </c>
      <c r="I1462" t="s">
        <v>24583</v>
      </c>
      <c r="J1462" t="s">
        <v>1186</v>
      </c>
      <c r="K1462" t="s">
        <v>74</v>
      </c>
      <c r="L1462" t="s">
        <v>74</v>
      </c>
      <c r="M1462" t="s">
        <v>78</v>
      </c>
      <c r="N1462" t="s">
        <v>108</v>
      </c>
      <c r="O1462" t="s">
        <v>74</v>
      </c>
      <c r="P1462" t="s">
        <v>74</v>
      </c>
      <c r="Q1462" t="s">
        <v>74</v>
      </c>
      <c r="R1462" t="s">
        <v>74</v>
      </c>
      <c r="S1462" t="s">
        <v>74</v>
      </c>
      <c r="T1462" t="s">
        <v>24584</v>
      </c>
      <c r="U1462" t="s">
        <v>24585</v>
      </c>
      <c r="V1462" t="s">
        <v>24586</v>
      </c>
      <c r="W1462" t="s">
        <v>24587</v>
      </c>
      <c r="X1462" t="s">
        <v>24588</v>
      </c>
      <c r="Y1462" t="s">
        <v>24589</v>
      </c>
      <c r="Z1462" t="s">
        <v>24590</v>
      </c>
      <c r="AA1462" t="s">
        <v>24591</v>
      </c>
      <c r="AB1462" t="s">
        <v>24592</v>
      </c>
      <c r="AC1462" t="s">
        <v>74</v>
      </c>
      <c r="AD1462" t="s">
        <v>74</v>
      </c>
      <c r="AE1462" t="s">
        <v>74</v>
      </c>
      <c r="AF1462" t="s">
        <v>74</v>
      </c>
      <c r="AG1462">
        <v>92</v>
      </c>
      <c r="AH1462">
        <v>5</v>
      </c>
      <c r="AI1462">
        <v>5</v>
      </c>
      <c r="AJ1462">
        <v>10</v>
      </c>
      <c r="AK1462">
        <v>58</v>
      </c>
      <c r="AL1462" t="s">
        <v>1195</v>
      </c>
      <c r="AM1462" t="s">
        <v>1196</v>
      </c>
      <c r="AN1462" t="s">
        <v>1197</v>
      </c>
      <c r="AO1462" t="s">
        <v>74</v>
      </c>
      <c r="AP1462" t="s">
        <v>1198</v>
      </c>
      <c r="AQ1462" t="s">
        <v>74</v>
      </c>
      <c r="AR1462" t="s">
        <v>1199</v>
      </c>
      <c r="AS1462" t="s">
        <v>1200</v>
      </c>
      <c r="AT1462" t="s">
        <v>232</v>
      </c>
      <c r="AU1462">
        <v>2023</v>
      </c>
      <c r="AV1462">
        <v>20</v>
      </c>
      <c r="AW1462">
        <v>2</v>
      </c>
      <c r="AX1462" t="s">
        <v>74</v>
      </c>
      <c r="AY1462" t="s">
        <v>74</v>
      </c>
      <c r="AZ1462" t="s">
        <v>74</v>
      </c>
      <c r="BA1462" t="s">
        <v>74</v>
      </c>
      <c r="BB1462" t="s">
        <v>74</v>
      </c>
      <c r="BC1462" t="s">
        <v>74</v>
      </c>
      <c r="BD1462">
        <v>991</v>
      </c>
      <c r="BE1462" t="s">
        <v>24593</v>
      </c>
      <c r="BF1462" t="str">
        <f>HYPERLINK("http://dx.doi.org/10.3390/ijerph20020991","http://dx.doi.org/10.3390/ijerph20020991")</f>
        <v>http://dx.doi.org/10.3390/ijerph20020991</v>
      </c>
      <c r="BG1462" t="s">
        <v>74</v>
      </c>
      <c r="BH1462" t="s">
        <v>74</v>
      </c>
      <c r="BI1462">
        <v>29</v>
      </c>
      <c r="BJ1462" t="s">
        <v>1202</v>
      </c>
      <c r="BK1462" t="s">
        <v>182</v>
      </c>
      <c r="BL1462" t="s">
        <v>1203</v>
      </c>
      <c r="BM1462" t="s">
        <v>24594</v>
      </c>
      <c r="BN1462">
        <v>36673746</v>
      </c>
      <c r="BO1462" t="s">
        <v>552</v>
      </c>
      <c r="BP1462" t="s">
        <v>74</v>
      </c>
      <c r="BQ1462" t="s">
        <v>74</v>
      </c>
      <c r="BR1462" t="s">
        <v>102</v>
      </c>
      <c r="BS1462" t="s">
        <v>24595</v>
      </c>
      <c r="BT1462" t="str">
        <f>HYPERLINK("https%3A%2F%2Fwww.webofscience.com%2Fwos%2Fwoscc%2Ffull-record%2FWOS:000915095700001","View Full Record in Web of Science")</f>
        <v>View Full Record in Web of Science</v>
      </c>
    </row>
    <row r="1463" spans="1:72" x14ac:dyDescent="0.35">
      <c r="A1463" t="s">
        <v>72</v>
      </c>
      <c r="B1463" t="s">
        <v>24596</v>
      </c>
      <c r="C1463" t="s">
        <v>74</v>
      </c>
      <c r="D1463" t="s">
        <v>74</v>
      </c>
      <c r="E1463" t="s">
        <v>74</v>
      </c>
      <c r="F1463" t="s">
        <v>24597</v>
      </c>
      <c r="G1463" t="s">
        <v>74</v>
      </c>
      <c r="H1463" t="s">
        <v>74</v>
      </c>
      <c r="I1463" t="s">
        <v>24598</v>
      </c>
      <c r="J1463" t="s">
        <v>24599</v>
      </c>
      <c r="K1463" t="s">
        <v>74</v>
      </c>
      <c r="L1463" t="s">
        <v>74</v>
      </c>
      <c r="M1463" t="s">
        <v>78</v>
      </c>
      <c r="N1463" t="s">
        <v>2042</v>
      </c>
      <c r="O1463" t="s">
        <v>74</v>
      </c>
      <c r="P1463" t="s">
        <v>74</v>
      </c>
      <c r="Q1463" t="s">
        <v>74</v>
      </c>
      <c r="R1463" t="s">
        <v>74</v>
      </c>
      <c r="S1463" t="s">
        <v>74</v>
      </c>
      <c r="T1463" t="s">
        <v>74</v>
      </c>
      <c r="U1463" t="s">
        <v>74</v>
      </c>
      <c r="V1463" t="s">
        <v>24600</v>
      </c>
      <c r="W1463" t="s">
        <v>24601</v>
      </c>
      <c r="X1463" t="s">
        <v>12856</v>
      </c>
      <c r="Y1463" t="s">
        <v>24602</v>
      </c>
      <c r="Z1463" t="s">
        <v>24603</v>
      </c>
      <c r="AA1463" t="s">
        <v>74</v>
      </c>
      <c r="AB1463" t="s">
        <v>24604</v>
      </c>
      <c r="AC1463" t="s">
        <v>74</v>
      </c>
      <c r="AD1463" t="s">
        <v>74</v>
      </c>
      <c r="AE1463" t="s">
        <v>74</v>
      </c>
      <c r="AF1463" t="s">
        <v>74</v>
      </c>
      <c r="AG1463">
        <v>0</v>
      </c>
      <c r="AH1463">
        <v>0</v>
      </c>
      <c r="AI1463">
        <v>0</v>
      </c>
      <c r="AJ1463">
        <v>2</v>
      </c>
      <c r="AK1463">
        <v>3</v>
      </c>
      <c r="AL1463" t="s">
        <v>12586</v>
      </c>
      <c r="AM1463" t="s">
        <v>4435</v>
      </c>
      <c r="AN1463" t="s">
        <v>12587</v>
      </c>
      <c r="AO1463" t="s">
        <v>24605</v>
      </c>
      <c r="AP1463" t="s">
        <v>24606</v>
      </c>
      <c r="AQ1463" t="s">
        <v>74</v>
      </c>
      <c r="AR1463" t="s">
        <v>24607</v>
      </c>
      <c r="AS1463" t="s">
        <v>24608</v>
      </c>
      <c r="AT1463" t="s">
        <v>1275</v>
      </c>
      <c r="AU1463">
        <v>2023</v>
      </c>
      <c r="AV1463">
        <v>23</v>
      </c>
      <c r="AW1463">
        <v>12</v>
      </c>
      <c r="AX1463" t="s">
        <v>74</v>
      </c>
      <c r="AY1463" t="s">
        <v>74</v>
      </c>
      <c r="AZ1463" t="s">
        <v>74</v>
      </c>
      <c r="BA1463" t="s">
        <v>74</v>
      </c>
      <c r="BB1463">
        <v>799</v>
      </c>
      <c r="BC1463">
        <v>799</v>
      </c>
      <c r="BD1463" t="s">
        <v>74</v>
      </c>
      <c r="BE1463" t="s">
        <v>24609</v>
      </c>
      <c r="BF1463" t="str">
        <f>HYPERLINK("http://dx.doi.org/10.1038/s41568-023-00616-z","http://dx.doi.org/10.1038/s41568-023-00616-z")</f>
        <v>http://dx.doi.org/10.1038/s41568-023-00616-z</v>
      </c>
      <c r="BG1463" t="s">
        <v>74</v>
      </c>
      <c r="BH1463" t="s">
        <v>74</v>
      </c>
      <c r="BI1463">
        <v>1</v>
      </c>
      <c r="BJ1463" t="s">
        <v>10304</v>
      </c>
      <c r="BK1463" t="s">
        <v>209</v>
      </c>
      <c r="BL1463" t="s">
        <v>10304</v>
      </c>
      <c r="BM1463" t="s">
        <v>24610</v>
      </c>
      <c r="BN1463">
        <v>37697040</v>
      </c>
      <c r="BO1463" t="s">
        <v>74</v>
      </c>
      <c r="BP1463" t="s">
        <v>74</v>
      </c>
      <c r="BQ1463" t="s">
        <v>74</v>
      </c>
      <c r="BR1463" t="s">
        <v>102</v>
      </c>
      <c r="BS1463" t="s">
        <v>24611</v>
      </c>
      <c r="BT1463" t="str">
        <f>HYPERLINK("https%3A%2F%2Fwww.webofscience.com%2Fwos%2Fwoscc%2Ffull-record%2FWOS:001142492700002","View Full Record in Web of Science")</f>
        <v>View Full Record in Web of Science</v>
      </c>
    </row>
    <row r="1464" spans="1:72" x14ac:dyDescent="0.35">
      <c r="A1464" t="s">
        <v>72</v>
      </c>
      <c r="B1464" t="s">
        <v>24612</v>
      </c>
      <c r="C1464" t="s">
        <v>74</v>
      </c>
      <c r="D1464" t="s">
        <v>74</v>
      </c>
      <c r="E1464" t="s">
        <v>74</v>
      </c>
      <c r="F1464" t="s">
        <v>24613</v>
      </c>
      <c r="G1464" t="s">
        <v>74</v>
      </c>
      <c r="H1464" t="s">
        <v>74</v>
      </c>
      <c r="I1464" t="s">
        <v>24614</v>
      </c>
      <c r="J1464" t="s">
        <v>4426</v>
      </c>
      <c r="K1464" t="s">
        <v>74</v>
      </c>
      <c r="L1464" t="s">
        <v>74</v>
      </c>
      <c r="M1464" t="s">
        <v>78</v>
      </c>
      <c r="N1464" t="s">
        <v>108</v>
      </c>
      <c r="O1464" t="s">
        <v>74</v>
      </c>
      <c r="P1464" t="s">
        <v>74</v>
      </c>
      <c r="Q1464" t="s">
        <v>74</v>
      </c>
      <c r="R1464" t="s">
        <v>74</v>
      </c>
      <c r="S1464" t="s">
        <v>74</v>
      </c>
      <c r="T1464" t="s">
        <v>24615</v>
      </c>
      <c r="U1464" t="s">
        <v>24616</v>
      </c>
      <c r="V1464" t="s">
        <v>24617</v>
      </c>
      <c r="W1464" t="s">
        <v>24618</v>
      </c>
      <c r="X1464" t="s">
        <v>3952</v>
      </c>
      <c r="Y1464" t="s">
        <v>24619</v>
      </c>
      <c r="Z1464" t="s">
        <v>24620</v>
      </c>
      <c r="AA1464" t="s">
        <v>24621</v>
      </c>
      <c r="AB1464" t="s">
        <v>24622</v>
      </c>
      <c r="AC1464" t="s">
        <v>74</v>
      </c>
      <c r="AD1464" t="s">
        <v>74</v>
      </c>
      <c r="AE1464" t="s">
        <v>74</v>
      </c>
      <c r="AF1464" t="s">
        <v>74</v>
      </c>
      <c r="AG1464">
        <v>60</v>
      </c>
      <c r="AH1464">
        <v>20</v>
      </c>
      <c r="AI1464">
        <v>21</v>
      </c>
      <c r="AJ1464">
        <v>4</v>
      </c>
      <c r="AK1464">
        <v>70</v>
      </c>
      <c r="AL1464" t="s">
        <v>4434</v>
      </c>
      <c r="AM1464" t="s">
        <v>4435</v>
      </c>
      <c r="AN1464" t="s">
        <v>4436</v>
      </c>
      <c r="AO1464" t="s">
        <v>4437</v>
      </c>
      <c r="AP1464" t="s">
        <v>74</v>
      </c>
      <c r="AQ1464" t="s">
        <v>74</v>
      </c>
      <c r="AR1464" t="s">
        <v>4438</v>
      </c>
      <c r="AS1464" t="s">
        <v>4439</v>
      </c>
      <c r="AT1464" t="s">
        <v>74</v>
      </c>
      <c r="AU1464">
        <v>2020</v>
      </c>
      <c r="AV1464">
        <v>9</v>
      </c>
      <c r="AW1464">
        <v>3</v>
      </c>
      <c r="AX1464" t="s">
        <v>74</v>
      </c>
      <c r="AY1464" t="s">
        <v>74</v>
      </c>
      <c r="AZ1464" t="s">
        <v>456</v>
      </c>
      <c r="BA1464" t="s">
        <v>74</v>
      </c>
      <c r="BB1464" t="s">
        <v>74</v>
      </c>
      <c r="BC1464" t="s">
        <v>74</v>
      </c>
      <c r="BD1464" t="s">
        <v>74</v>
      </c>
      <c r="BE1464" t="s">
        <v>24623</v>
      </c>
      <c r="BF1464" t="str">
        <f>HYPERLINK("http://dx.doi.org/10.14763/2020.3.1502","http://dx.doi.org/10.14763/2020.3.1502")</f>
        <v>http://dx.doi.org/10.14763/2020.3.1502</v>
      </c>
      <c r="BG1464" t="s">
        <v>74</v>
      </c>
      <c r="BH1464" t="s">
        <v>74</v>
      </c>
      <c r="BI1464">
        <v>22</v>
      </c>
      <c r="BJ1464" t="s">
        <v>4442</v>
      </c>
      <c r="BK1464" t="s">
        <v>125</v>
      </c>
      <c r="BL1464" t="s">
        <v>1529</v>
      </c>
      <c r="BM1464" t="s">
        <v>24624</v>
      </c>
      <c r="BN1464" t="s">
        <v>74</v>
      </c>
      <c r="BO1464" t="s">
        <v>3287</v>
      </c>
      <c r="BP1464" t="s">
        <v>74</v>
      </c>
      <c r="BQ1464" t="s">
        <v>74</v>
      </c>
      <c r="BR1464" t="s">
        <v>102</v>
      </c>
      <c r="BS1464" t="s">
        <v>24625</v>
      </c>
      <c r="BT1464" t="str">
        <f>HYPERLINK("https%3A%2F%2Fwww.webofscience.com%2Fwos%2Fwoscc%2Ffull-record%2FWOS:000581114700012","View Full Record in Web of Science")</f>
        <v>View Full Record in Web of Science</v>
      </c>
    </row>
    <row r="1465" spans="1:72" x14ac:dyDescent="0.35">
      <c r="A1465" t="s">
        <v>72</v>
      </c>
      <c r="B1465" t="s">
        <v>24596</v>
      </c>
      <c r="C1465" t="s">
        <v>74</v>
      </c>
      <c r="D1465" t="s">
        <v>74</v>
      </c>
      <c r="E1465" t="s">
        <v>74</v>
      </c>
      <c r="F1465" t="s">
        <v>24597</v>
      </c>
      <c r="G1465" t="s">
        <v>74</v>
      </c>
      <c r="H1465" t="s">
        <v>74</v>
      </c>
      <c r="I1465" t="s">
        <v>24598</v>
      </c>
      <c r="J1465" t="s">
        <v>24599</v>
      </c>
      <c r="K1465" t="s">
        <v>74</v>
      </c>
      <c r="L1465" t="s">
        <v>74</v>
      </c>
      <c r="M1465" t="s">
        <v>78</v>
      </c>
      <c r="N1465" t="s">
        <v>15499</v>
      </c>
      <c r="O1465" t="s">
        <v>74</v>
      </c>
      <c r="P1465" t="s">
        <v>74</v>
      </c>
      <c r="Q1465" t="s">
        <v>74</v>
      </c>
      <c r="R1465" t="s">
        <v>74</v>
      </c>
      <c r="S1465" t="s">
        <v>74</v>
      </c>
      <c r="T1465" t="s">
        <v>74</v>
      </c>
      <c r="U1465" t="s">
        <v>74</v>
      </c>
      <c r="V1465" t="s">
        <v>24600</v>
      </c>
      <c r="W1465" t="s">
        <v>24601</v>
      </c>
      <c r="X1465" t="s">
        <v>12856</v>
      </c>
      <c r="Y1465" t="s">
        <v>24602</v>
      </c>
      <c r="Z1465" t="s">
        <v>24603</v>
      </c>
      <c r="AA1465" t="s">
        <v>74</v>
      </c>
      <c r="AB1465" t="s">
        <v>74</v>
      </c>
      <c r="AC1465" t="s">
        <v>74</v>
      </c>
      <c r="AD1465" t="s">
        <v>74</v>
      </c>
      <c r="AE1465" t="s">
        <v>74</v>
      </c>
      <c r="AF1465" t="s">
        <v>74</v>
      </c>
      <c r="AG1465">
        <v>0</v>
      </c>
      <c r="AH1465">
        <v>0</v>
      </c>
      <c r="AI1465">
        <v>0</v>
      </c>
      <c r="AJ1465">
        <v>3</v>
      </c>
      <c r="AK1465">
        <v>6</v>
      </c>
      <c r="AL1465" t="s">
        <v>12586</v>
      </c>
      <c r="AM1465" t="s">
        <v>4435</v>
      </c>
      <c r="AN1465" t="s">
        <v>12587</v>
      </c>
      <c r="AO1465" t="s">
        <v>24605</v>
      </c>
      <c r="AP1465" t="s">
        <v>24606</v>
      </c>
      <c r="AQ1465" t="s">
        <v>74</v>
      </c>
      <c r="AR1465" t="s">
        <v>24607</v>
      </c>
      <c r="AS1465" t="s">
        <v>24608</v>
      </c>
      <c r="AT1465" t="s">
        <v>24626</v>
      </c>
      <c r="AU1465">
        <v>2023</v>
      </c>
      <c r="AV1465" t="s">
        <v>74</v>
      </c>
      <c r="AW1465" t="s">
        <v>74</v>
      </c>
      <c r="AX1465" t="s">
        <v>74</v>
      </c>
      <c r="AY1465" t="s">
        <v>74</v>
      </c>
      <c r="AZ1465" t="s">
        <v>74</v>
      </c>
      <c r="BA1465" t="s">
        <v>74</v>
      </c>
      <c r="BB1465" t="s">
        <v>74</v>
      </c>
      <c r="BC1465" t="s">
        <v>74</v>
      </c>
      <c r="BD1465" t="s">
        <v>74</v>
      </c>
      <c r="BE1465" t="s">
        <v>24627</v>
      </c>
      <c r="BF1465" t="str">
        <f>HYPERLINK("http://dx.doi.org/10.1038/s41568-023-00616","http://dx.doi.org/10.1038/s41568-023-00616")</f>
        <v>http://dx.doi.org/10.1038/s41568-023-00616</v>
      </c>
      <c r="BG1465" t="s">
        <v>74</v>
      </c>
      <c r="BH1465" t="s">
        <v>2929</v>
      </c>
      <c r="BI1465">
        <v>1</v>
      </c>
      <c r="BJ1465" t="s">
        <v>10304</v>
      </c>
      <c r="BK1465" t="s">
        <v>209</v>
      </c>
      <c r="BL1465" t="s">
        <v>10304</v>
      </c>
      <c r="BM1465" t="s">
        <v>24628</v>
      </c>
      <c r="BN1465" t="s">
        <v>74</v>
      </c>
      <c r="BO1465" t="s">
        <v>74</v>
      </c>
      <c r="BP1465" t="s">
        <v>74</v>
      </c>
      <c r="BQ1465" t="s">
        <v>74</v>
      </c>
      <c r="BR1465" t="s">
        <v>102</v>
      </c>
      <c r="BS1465" t="s">
        <v>24629</v>
      </c>
      <c r="BT1465" t="str">
        <f>HYPERLINK("https%3A%2F%2Fwww.webofscience.com%2Fwos%2Fwoscc%2Ffull-record%2FWOS:001066386500001","View Full Record in Web of Science")</f>
        <v>View Full Record in Web of Science</v>
      </c>
    </row>
    <row r="1466" spans="1:72" x14ac:dyDescent="0.35">
      <c r="A1466" t="s">
        <v>128</v>
      </c>
      <c r="B1466" t="s">
        <v>24630</v>
      </c>
      <c r="C1466" t="s">
        <v>74</v>
      </c>
      <c r="D1466" t="s">
        <v>24631</v>
      </c>
      <c r="E1466" t="s">
        <v>74</v>
      </c>
      <c r="F1466" t="s">
        <v>24632</v>
      </c>
      <c r="G1466" t="s">
        <v>74</v>
      </c>
      <c r="H1466" t="s">
        <v>74</v>
      </c>
      <c r="I1466" t="s">
        <v>24633</v>
      </c>
      <c r="J1466" t="s">
        <v>24634</v>
      </c>
      <c r="K1466" t="s">
        <v>74</v>
      </c>
      <c r="L1466" t="s">
        <v>74</v>
      </c>
      <c r="M1466" t="s">
        <v>78</v>
      </c>
      <c r="N1466" t="s">
        <v>135</v>
      </c>
      <c r="O1466" t="s">
        <v>24635</v>
      </c>
      <c r="P1466" t="s">
        <v>24636</v>
      </c>
      <c r="Q1466" t="s">
        <v>24637</v>
      </c>
      <c r="R1466" t="s">
        <v>24638</v>
      </c>
      <c r="S1466" t="s">
        <v>74</v>
      </c>
      <c r="T1466" t="s">
        <v>24639</v>
      </c>
      <c r="U1466" t="s">
        <v>24640</v>
      </c>
      <c r="V1466" t="s">
        <v>24641</v>
      </c>
      <c r="W1466" t="s">
        <v>24642</v>
      </c>
      <c r="X1466" t="s">
        <v>24643</v>
      </c>
      <c r="Y1466" t="s">
        <v>24644</v>
      </c>
      <c r="Z1466" t="s">
        <v>24645</v>
      </c>
      <c r="AA1466" t="s">
        <v>24646</v>
      </c>
      <c r="AB1466" t="s">
        <v>24647</v>
      </c>
      <c r="AC1466" t="s">
        <v>24648</v>
      </c>
      <c r="AD1466" t="s">
        <v>24649</v>
      </c>
      <c r="AE1466" t="s">
        <v>24650</v>
      </c>
      <c r="AF1466" t="s">
        <v>74</v>
      </c>
      <c r="AG1466">
        <v>83</v>
      </c>
      <c r="AH1466">
        <v>0</v>
      </c>
      <c r="AI1466">
        <v>0</v>
      </c>
      <c r="AJ1466">
        <v>1</v>
      </c>
      <c r="AK1466">
        <v>1</v>
      </c>
      <c r="AL1466" t="s">
        <v>718</v>
      </c>
      <c r="AM1466" t="s">
        <v>666</v>
      </c>
      <c r="AN1466" t="s">
        <v>719</v>
      </c>
      <c r="AO1466" t="s">
        <v>74</v>
      </c>
      <c r="AP1466" t="s">
        <v>74</v>
      </c>
      <c r="AQ1466" t="s">
        <v>24651</v>
      </c>
      <c r="AR1466" t="s">
        <v>74</v>
      </c>
      <c r="AS1466" t="s">
        <v>74</v>
      </c>
      <c r="AT1466" t="s">
        <v>74</v>
      </c>
      <c r="AU1466">
        <v>2024</v>
      </c>
      <c r="AV1466" t="s">
        <v>74</v>
      </c>
      <c r="AW1466" t="s">
        <v>74</v>
      </c>
      <c r="AX1466" t="s">
        <v>74</v>
      </c>
      <c r="AY1466" t="s">
        <v>74</v>
      </c>
      <c r="AZ1466" t="s">
        <v>74</v>
      </c>
      <c r="BA1466" t="s">
        <v>74</v>
      </c>
      <c r="BB1466">
        <v>440</v>
      </c>
      <c r="BC1466">
        <v>451</v>
      </c>
      <c r="BD1466" t="s">
        <v>74</v>
      </c>
      <c r="BE1466" t="s">
        <v>24652</v>
      </c>
      <c r="BF1466" t="str">
        <f>HYPERLINK("http://dx.doi.org/10.1145/3663529.3663863","http://dx.doi.org/10.1145/3663529.3663863")</f>
        <v>http://dx.doi.org/10.1145/3663529.3663863</v>
      </c>
      <c r="BG1466" t="s">
        <v>74</v>
      </c>
      <c r="BH1466" t="s">
        <v>74</v>
      </c>
      <c r="BI1466">
        <v>12</v>
      </c>
      <c r="BJ1466" t="s">
        <v>24653</v>
      </c>
      <c r="BK1466" t="s">
        <v>723</v>
      </c>
      <c r="BL1466" t="s">
        <v>210</v>
      </c>
      <c r="BM1466" t="s">
        <v>24654</v>
      </c>
      <c r="BN1466" t="s">
        <v>74</v>
      </c>
      <c r="BO1466" t="s">
        <v>74</v>
      </c>
      <c r="BP1466" t="s">
        <v>74</v>
      </c>
      <c r="BQ1466" t="s">
        <v>74</v>
      </c>
      <c r="BR1466" t="s">
        <v>102</v>
      </c>
      <c r="BS1466" t="s">
        <v>24655</v>
      </c>
      <c r="BT1466" t="str">
        <f>HYPERLINK("https%3A%2F%2Fwww.webofscience.com%2Fwos%2Fwoscc%2Ffull-record%2FWOS:001273423600044","View Full Record in Web of Science")</f>
        <v>View Full Record in Web of Science</v>
      </c>
    </row>
    <row r="1467" spans="1:72" x14ac:dyDescent="0.35">
      <c r="A1467" t="s">
        <v>72</v>
      </c>
      <c r="B1467" t="s">
        <v>24656</v>
      </c>
      <c r="C1467" t="s">
        <v>74</v>
      </c>
      <c r="D1467" t="s">
        <v>74</v>
      </c>
      <c r="E1467" t="s">
        <v>74</v>
      </c>
      <c r="F1467" t="s">
        <v>24657</v>
      </c>
      <c r="G1467" t="s">
        <v>74</v>
      </c>
      <c r="H1467" t="s">
        <v>74</v>
      </c>
      <c r="I1467" t="s">
        <v>24658</v>
      </c>
      <c r="J1467" t="s">
        <v>4341</v>
      </c>
      <c r="K1467" t="s">
        <v>74</v>
      </c>
      <c r="L1467" t="s">
        <v>74</v>
      </c>
      <c r="M1467" t="s">
        <v>78</v>
      </c>
      <c r="N1467" t="s">
        <v>108</v>
      </c>
      <c r="O1467" t="s">
        <v>74</v>
      </c>
      <c r="P1467" t="s">
        <v>74</v>
      </c>
      <c r="Q1467" t="s">
        <v>74</v>
      </c>
      <c r="R1467" t="s">
        <v>74</v>
      </c>
      <c r="S1467" t="s">
        <v>74</v>
      </c>
      <c r="T1467" t="s">
        <v>24659</v>
      </c>
      <c r="U1467" t="s">
        <v>24660</v>
      </c>
      <c r="V1467" t="s">
        <v>24661</v>
      </c>
      <c r="W1467" t="s">
        <v>24662</v>
      </c>
      <c r="X1467" t="s">
        <v>24663</v>
      </c>
      <c r="Y1467" t="s">
        <v>24664</v>
      </c>
      <c r="Z1467" t="s">
        <v>24665</v>
      </c>
      <c r="AA1467" t="s">
        <v>74</v>
      </c>
      <c r="AB1467" t="s">
        <v>24666</v>
      </c>
      <c r="AC1467" t="s">
        <v>24667</v>
      </c>
      <c r="AD1467" t="s">
        <v>24667</v>
      </c>
      <c r="AE1467" t="s">
        <v>24668</v>
      </c>
      <c r="AF1467" t="s">
        <v>74</v>
      </c>
      <c r="AG1467">
        <v>71</v>
      </c>
      <c r="AH1467">
        <v>1</v>
      </c>
      <c r="AI1467">
        <v>1</v>
      </c>
      <c r="AJ1467">
        <v>0</v>
      </c>
      <c r="AK1467">
        <v>1</v>
      </c>
      <c r="AL1467" t="s">
        <v>1195</v>
      </c>
      <c r="AM1467" t="s">
        <v>1196</v>
      </c>
      <c r="AN1467" t="s">
        <v>1197</v>
      </c>
      <c r="AO1467" t="s">
        <v>74</v>
      </c>
      <c r="AP1467" t="s">
        <v>4353</v>
      </c>
      <c r="AQ1467" t="s">
        <v>74</v>
      </c>
      <c r="AR1467" t="s">
        <v>4354</v>
      </c>
      <c r="AS1467" t="s">
        <v>4355</v>
      </c>
      <c r="AT1467" t="s">
        <v>1275</v>
      </c>
      <c r="AU1467">
        <v>2023</v>
      </c>
      <c r="AV1467">
        <v>11</v>
      </c>
      <c r="AW1467">
        <v>23</v>
      </c>
      <c r="AX1467" t="s">
        <v>74</v>
      </c>
      <c r="AY1467" t="s">
        <v>74</v>
      </c>
      <c r="AZ1467" t="s">
        <v>74</v>
      </c>
      <c r="BA1467" t="s">
        <v>74</v>
      </c>
      <c r="BB1467" t="s">
        <v>74</v>
      </c>
      <c r="BC1467" t="s">
        <v>74</v>
      </c>
      <c r="BD1467">
        <v>3082</v>
      </c>
      <c r="BE1467" t="s">
        <v>24669</v>
      </c>
      <c r="BF1467" t="str">
        <f>HYPERLINK("http://dx.doi.org/10.3390/healthcare11233082","http://dx.doi.org/10.3390/healthcare11233082")</f>
        <v>http://dx.doi.org/10.3390/healthcare11233082</v>
      </c>
      <c r="BG1467" t="s">
        <v>74</v>
      </c>
      <c r="BH1467" t="s">
        <v>74</v>
      </c>
      <c r="BI1467">
        <v>13</v>
      </c>
      <c r="BJ1467" t="s">
        <v>4357</v>
      </c>
      <c r="BK1467" t="s">
        <v>182</v>
      </c>
      <c r="BL1467" t="s">
        <v>4358</v>
      </c>
      <c r="BM1467" t="s">
        <v>24670</v>
      </c>
      <c r="BN1467">
        <v>38063650</v>
      </c>
      <c r="BO1467" t="s">
        <v>235</v>
      </c>
      <c r="BP1467" t="s">
        <v>74</v>
      </c>
      <c r="BQ1467" t="s">
        <v>74</v>
      </c>
      <c r="BR1467" t="s">
        <v>102</v>
      </c>
      <c r="BS1467" t="s">
        <v>24671</v>
      </c>
      <c r="BT1467" t="str">
        <f>HYPERLINK("https%3A%2F%2Fwww.webofscience.com%2Fwos%2Fwoscc%2Ffull-record%2FWOS:001115995800001","View Full Record in Web of Science")</f>
        <v>View Full Record in Web of Science</v>
      </c>
    </row>
    <row r="1468" spans="1:72" x14ac:dyDescent="0.35">
      <c r="A1468" t="s">
        <v>72</v>
      </c>
      <c r="B1468" t="s">
        <v>24672</v>
      </c>
      <c r="C1468" t="s">
        <v>74</v>
      </c>
      <c r="D1468" t="s">
        <v>74</v>
      </c>
      <c r="E1468" t="s">
        <v>74</v>
      </c>
      <c r="F1468" t="s">
        <v>24673</v>
      </c>
      <c r="G1468" t="s">
        <v>74</v>
      </c>
      <c r="H1468" t="s">
        <v>74</v>
      </c>
      <c r="I1468" t="s">
        <v>24674</v>
      </c>
      <c r="J1468" t="s">
        <v>24675</v>
      </c>
      <c r="K1468" t="s">
        <v>74</v>
      </c>
      <c r="L1468" t="s">
        <v>74</v>
      </c>
      <c r="M1468" t="s">
        <v>78</v>
      </c>
      <c r="N1468" t="s">
        <v>79</v>
      </c>
      <c r="O1468" t="s">
        <v>74</v>
      </c>
      <c r="P1468" t="s">
        <v>74</v>
      </c>
      <c r="Q1468" t="s">
        <v>74</v>
      </c>
      <c r="R1468" t="s">
        <v>74</v>
      </c>
      <c r="S1468" t="s">
        <v>74</v>
      </c>
      <c r="T1468" t="s">
        <v>24676</v>
      </c>
      <c r="U1468" t="s">
        <v>74</v>
      </c>
      <c r="V1468" t="s">
        <v>24677</v>
      </c>
      <c r="W1468" t="s">
        <v>24678</v>
      </c>
      <c r="X1468" t="s">
        <v>24679</v>
      </c>
      <c r="Y1468" t="s">
        <v>24680</v>
      </c>
      <c r="Z1468" t="s">
        <v>24681</v>
      </c>
      <c r="AA1468" t="s">
        <v>74</v>
      </c>
      <c r="AB1468" t="s">
        <v>74</v>
      </c>
      <c r="AC1468" t="s">
        <v>24682</v>
      </c>
      <c r="AD1468" t="s">
        <v>24682</v>
      </c>
      <c r="AE1468" t="s">
        <v>24683</v>
      </c>
      <c r="AF1468" t="s">
        <v>74</v>
      </c>
      <c r="AG1468">
        <v>14</v>
      </c>
      <c r="AH1468">
        <v>0</v>
      </c>
      <c r="AI1468">
        <v>0</v>
      </c>
      <c r="AJ1468">
        <v>1</v>
      </c>
      <c r="AK1468">
        <v>1</v>
      </c>
      <c r="AL1468" t="s">
        <v>251</v>
      </c>
      <c r="AM1468" t="s">
        <v>252</v>
      </c>
      <c r="AN1468" t="s">
        <v>253</v>
      </c>
      <c r="AO1468" t="s">
        <v>24684</v>
      </c>
      <c r="AP1468" t="s">
        <v>24685</v>
      </c>
      <c r="AQ1468" t="s">
        <v>74</v>
      </c>
      <c r="AR1468" t="s">
        <v>24686</v>
      </c>
      <c r="AS1468" t="s">
        <v>24687</v>
      </c>
      <c r="AT1468" t="s">
        <v>3136</v>
      </c>
      <c r="AU1468">
        <v>2023</v>
      </c>
      <c r="AV1468" t="s">
        <v>74</v>
      </c>
      <c r="AW1468" t="s">
        <v>74</v>
      </c>
      <c r="AX1468" t="s">
        <v>74</v>
      </c>
      <c r="AY1468" t="s">
        <v>74</v>
      </c>
      <c r="AZ1468" t="s">
        <v>74</v>
      </c>
      <c r="BA1468" t="s">
        <v>74</v>
      </c>
      <c r="BB1468" t="s">
        <v>74</v>
      </c>
      <c r="BC1468" t="s">
        <v>74</v>
      </c>
      <c r="BD1468" t="s">
        <v>74</v>
      </c>
      <c r="BE1468" t="s">
        <v>24688</v>
      </c>
      <c r="BF1468" t="str">
        <f>HYPERLINK("http://dx.doi.org/10.1111/iju.15290","http://dx.doi.org/10.1111/iju.15290")</f>
        <v>http://dx.doi.org/10.1111/iju.15290</v>
      </c>
      <c r="BG1468" t="s">
        <v>74</v>
      </c>
      <c r="BH1468" t="s">
        <v>3138</v>
      </c>
      <c r="BI1468">
        <v>5</v>
      </c>
      <c r="BJ1468" t="s">
        <v>1908</v>
      </c>
      <c r="BK1468" t="s">
        <v>209</v>
      </c>
      <c r="BL1468" t="s">
        <v>1908</v>
      </c>
      <c r="BM1468" t="s">
        <v>24689</v>
      </c>
      <c r="BN1468">
        <v>37649252</v>
      </c>
      <c r="BO1468" t="s">
        <v>74</v>
      </c>
      <c r="BP1468" t="s">
        <v>74</v>
      </c>
      <c r="BQ1468" t="s">
        <v>74</v>
      </c>
      <c r="BR1468" t="s">
        <v>102</v>
      </c>
      <c r="BS1468" t="s">
        <v>24690</v>
      </c>
      <c r="BT1468" t="str">
        <f>HYPERLINK("https%3A%2F%2Fwww.webofscience.com%2Fwos%2Fwoscc%2Ffull-record%2FWOS:001064520700001","View Full Record in Web of Science")</f>
        <v>View Full Record in Web of Science</v>
      </c>
    </row>
    <row r="1469" spans="1:72" x14ac:dyDescent="0.35">
      <c r="A1469" t="s">
        <v>72</v>
      </c>
      <c r="B1469" t="s">
        <v>24691</v>
      </c>
      <c r="C1469" t="s">
        <v>74</v>
      </c>
      <c r="D1469" t="s">
        <v>74</v>
      </c>
      <c r="E1469" t="s">
        <v>74</v>
      </c>
      <c r="F1469" t="s">
        <v>24692</v>
      </c>
      <c r="G1469" t="s">
        <v>74</v>
      </c>
      <c r="H1469" t="s">
        <v>74</v>
      </c>
      <c r="I1469" t="s">
        <v>24693</v>
      </c>
      <c r="J1469" t="s">
        <v>793</v>
      </c>
      <c r="K1469" t="s">
        <v>74</v>
      </c>
      <c r="L1469" t="s">
        <v>74</v>
      </c>
      <c r="M1469" t="s">
        <v>78</v>
      </c>
      <c r="N1469" t="s">
        <v>108</v>
      </c>
      <c r="O1469" t="s">
        <v>74</v>
      </c>
      <c r="P1469" t="s">
        <v>74</v>
      </c>
      <c r="Q1469" t="s">
        <v>74</v>
      </c>
      <c r="R1469" t="s">
        <v>74</v>
      </c>
      <c r="S1469" t="s">
        <v>74</v>
      </c>
      <c r="T1469" t="s">
        <v>24694</v>
      </c>
      <c r="U1469" t="s">
        <v>6880</v>
      </c>
      <c r="V1469" t="s">
        <v>24695</v>
      </c>
      <c r="W1469" t="s">
        <v>24696</v>
      </c>
      <c r="X1469" t="s">
        <v>24697</v>
      </c>
      <c r="Y1469" t="s">
        <v>24698</v>
      </c>
      <c r="Z1469" t="s">
        <v>24699</v>
      </c>
      <c r="AA1469" t="s">
        <v>74</v>
      </c>
      <c r="AB1469" t="s">
        <v>74</v>
      </c>
      <c r="AC1469" t="s">
        <v>74</v>
      </c>
      <c r="AD1469" t="s">
        <v>74</v>
      </c>
      <c r="AE1469" t="s">
        <v>74</v>
      </c>
      <c r="AF1469" t="s">
        <v>74</v>
      </c>
      <c r="AG1469">
        <v>6</v>
      </c>
      <c r="AH1469">
        <v>0</v>
      </c>
      <c r="AI1469">
        <v>0</v>
      </c>
      <c r="AJ1469">
        <v>2</v>
      </c>
      <c r="AK1469">
        <v>2</v>
      </c>
      <c r="AL1469" t="s">
        <v>803</v>
      </c>
      <c r="AM1469" t="s">
        <v>227</v>
      </c>
      <c r="AN1469" t="s">
        <v>804</v>
      </c>
      <c r="AO1469" t="s">
        <v>74</v>
      </c>
      <c r="AP1469" t="s">
        <v>805</v>
      </c>
      <c r="AQ1469" t="s">
        <v>74</v>
      </c>
      <c r="AR1469" t="s">
        <v>806</v>
      </c>
      <c r="AS1469" t="s">
        <v>807</v>
      </c>
      <c r="AT1469" t="s">
        <v>7127</v>
      </c>
      <c r="AU1469">
        <v>2024</v>
      </c>
      <c r="AV1469">
        <v>16</v>
      </c>
      <c r="AW1469">
        <v>4</v>
      </c>
      <c r="AX1469" t="s">
        <v>74</v>
      </c>
      <c r="AY1469" t="s">
        <v>74</v>
      </c>
      <c r="AZ1469" t="s">
        <v>74</v>
      </c>
      <c r="BA1469" t="s">
        <v>74</v>
      </c>
      <c r="BB1469" t="s">
        <v>74</v>
      </c>
      <c r="BC1469" t="s">
        <v>74</v>
      </c>
      <c r="BD1469" t="s">
        <v>24700</v>
      </c>
      <c r="BE1469" t="s">
        <v>24701</v>
      </c>
      <c r="BF1469" t="str">
        <f>HYPERLINK("http://dx.doi.org/10.7759/cureus.58226","http://dx.doi.org/10.7759/cureus.58226")</f>
        <v>http://dx.doi.org/10.7759/cureus.58226</v>
      </c>
      <c r="BG1469" t="s">
        <v>74</v>
      </c>
      <c r="BH1469" t="s">
        <v>74</v>
      </c>
      <c r="BI1469">
        <v>7</v>
      </c>
      <c r="BJ1469" t="s">
        <v>811</v>
      </c>
      <c r="BK1469" t="s">
        <v>125</v>
      </c>
      <c r="BL1469" t="s">
        <v>812</v>
      </c>
      <c r="BM1469" t="s">
        <v>24702</v>
      </c>
      <c r="BN1469">
        <v>38745811</v>
      </c>
      <c r="BO1469" t="s">
        <v>552</v>
      </c>
      <c r="BP1469" t="s">
        <v>74</v>
      </c>
      <c r="BQ1469" t="s">
        <v>74</v>
      </c>
      <c r="BR1469" t="s">
        <v>102</v>
      </c>
      <c r="BS1469" t="s">
        <v>24703</v>
      </c>
      <c r="BT1469" t="str">
        <f>HYPERLINK("https%3A%2F%2Fwww.webofscience.com%2Fwos%2Fwoscc%2Ffull-record%2FWOS:001222189900021","View Full Record in Web of Science")</f>
        <v>View Full Record in Web of Science</v>
      </c>
    </row>
    <row r="1470" spans="1:72" x14ac:dyDescent="0.35">
      <c r="A1470" t="s">
        <v>72</v>
      </c>
      <c r="B1470" t="s">
        <v>24704</v>
      </c>
      <c r="C1470" t="s">
        <v>74</v>
      </c>
      <c r="D1470" t="s">
        <v>74</v>
      </c>
      <c r="E1470" t="s">
        <v>74</v>
      </c>
      <c r="F1470" t="s">
        <v>24705</v>
      </c>
      <c r="G1470" t="s">
        <v>74</v>
      </c>
      <c r="H1470" t="s">
        <v>74</v>
      </c>
      <c r="I1470" t="s">
        <v>24706</v>
      </c>
      <c r="J1470" t="s">
        <v>24707</v>
      </c>
      <c r="K1470" t="s">
        <v>74</v>
      </c>
      <c r="L1470" t="s">
        <v>74</v>
      </c>
      <c r="M1470" t="s">
        <v>78</v>
      </c>
      <c r="N1470" t="s">
        <v>2042</v>
      </c>
      <c r="O1470" t="s">
        <v>74</v>
      </c>
      <c r="P1470" t="s">
        <v>74</v>
      </c>
      <c r="Q1470" t="s">
        <v>74</v>
      </c>
      <c r="R1470" t="s">
        <v>74</v>
      </c>
      <c r="S1470" t="s">
        <v>74</v>
      </c>
      <c r="T1470" t="s">
        <v>24708</v>
      </c>
      <c r="U1470" t="s">
        <v>24709</v>
      </c>
      <c r="V1470" t="s">
        <v>24710</v>
      </c>
      <c r="W1470" t="s">
        <v>24711</v>
      </c>
      <c r="X1470" t="s">
        <v>7212</v>
      </c>
      <c r="Y1470" t="s">
        <v>24712</v>
      </c>
      <c r="Z1470" t="s">
        <v>24713</v>
      </c>
      <c r="AA1470" t="s">
        <v>74</v>
      </c>
      <c r="AB1470" t="s">
        <v>74</v>
      </c>
      <c r="AC1470" t="s">
        <v>74</v>
      </c>
      <c r="AD1470" t="s">
        <v>74</v>
      </c>
      <c r="AE1470" t="s">
        <v>24714</v>
      </c>
      <c r="AF1470" t="s">
        <v>74</v>
      </c>
      <c r="AG1470">
        <v>41</v>
      </c>
      <c r="AH1470">
        <v>0</v>
      </c>
      <c r="AI1470">
        <v>0</v>
      </c>
      <c r="AJ1470">
        <v>0</v>
      </c>
      <c r="AK1470">
        <v>0</v>
      </c>
      <c r="AL1470" t="s">
        <v>199</v>
      </c>
      <c r="AM1470" t="s">
        <v>200</v>
      </c>
      <c r="AN1470" t="s">
        <v>471</v>
      </c>
      <c r="AO1470" t="s">
        <v>24715</v>
      </c>
      <c r="AP1470" t="s">
        <v>24716</v>
      </c>
      <c r="AQ1470" t="s">
        <v>74</v>
      </c>
      <c r="AR1470" t="s">
        <v>24717</v>
      </c>
      <c r="AS1470" t="s">
        <v>24718</v>
      </c>
      <c r="AT1470" t="s">
        <v>3871</v>
      </c>
      <c r="AU1470">
        <v>2024</v>
      </c>
      <c r="AV1470">
        <v>10</v>
      </c>
      <c r="AW1470">
        <v>3</v>
      </c>
      <c r="AX1470" t="s">
        <v>74</v>
      </c>
      <c r="AY1470" t="s">
        <v>74</v>
      </c>
      <c r="AZ1470" t="s">
        <v>74</v>
      </c>
      <c r="BA1470" t="s">
        <v>74</v>
      </c>
      <c r="BB1470">
        <v>1109</v>
      </c>
      <c r="BC1470">
        <v>1123</v>
      </c>
      <c r="BD1470" t="s">
        <v>74</v>
      </c>
      <c r="BE1470" t="s">
        <v>24719</v>
      </c>
      <c r="BF1470" t="str">
        <f>HYPERLINK("http://dx.doi.org/10.1108/IJTC-08-2023-0162","http://dx.doi.org/10.1108/IJTC-08-2023-0162")</f>
        <v>http://dx.doi.org/10.1108/IJTC-08-2023-0162</v>
      </c>
      <c r="BG1470" t="s">
        <v>74</v>
      </c>
      <c r="BH1470" t="s">
        <v>478</v>
      </c>
      <c r="BI1470">
        <v>15</v>
      </c>
      <c r="BJ1470" t="s">
        <v>574</v>
      </c>
      <c r="BK1470" t="s">
        <v>125</v>
      </c>
      <c r="BL1470" t="s">
        <v>100</v>
      </c>
      <c r="BM1470" t="s">
        <v>24720</v>
      </c>
      <c r="BN1470" t="s">
        <v>74</v>
      </c>
      <c r="BO1470" t="s">
        <v>74</v>
      </c>
      <c r="BP1470" t="s">
        <v>74</v>
      </c>
      <c r="BQ1470" t="s">
        <v>74</v>
      </c>
      <c r="BR1470" t="s">
        <v>102</v>
      </c>
      <c r="BS1470" t="s">
        <v>24721</v>
      </c>
      <c r="BT1470" t="str">
        <f>HYPERLINK("https%3A%2F%2Fwww.webofscience.com%2Fwos%2Fwoscc%2Ffull-record%2FWOS:001267500500001","View Full Record in Web of Science")</f>
        <v>View Full Record in Web of Science</v>
      </c>
    </row>
    <row r="1471" spans="1:72" x14ac:dyDescent="0.35">
      <c r="A1471" t="s">
        <v>72</v>
      </c>
      <c r="B1471" t="s">
        <v>24722</v>
      </c>
      <c r="C1471" t="s">
        <v>74</v>
      </c>
      <c r="D1471" t="s">
        <v>74</v>
      </c>
      <c r="E1471" t="s">
        <v>74</v>
      </c>
      <c r="F1471" t="s">
        <v>24723</v>
      </c>
      <c r="G1471" t="s">
        <v>74</v>
      </c>
      <c r="H1471" t="s">
        <v>74</v>
      </c>
      <c r="I1471" t="s">
        <v>24724</v>
      </c>
      <c r="J1471" t="s">
        <v>8197</v>
      </c>
      <c r="K1471" t="s">
        <v>74</v>
      </c>
      <c r="L1471" t="s">
        <v>74</v>
      </c>
      <c r="M1471" t="s">
        <v>78</v>
      </c>
      <c r="N1471" t="s">
        <v>108</v>
      </c>
      <c r="O1471" t="s">
        <v>74</v>
      </c>
      <c r="P1471" t="s">
        <v>74</v>
      </c>
      <c r="Q1471" t="s">
        <v>74</v>
      </c>
      <c r="R1471" t="s">
        <v>74</v>
      </c>
      <c r="S1471" t="s">
        <v>74</v>
      </c>
      <c r="T1471" t="s">
        <v>74</v>
      </c>
      <c r="U1471" t="s">
        <v>24725</v>
      </c>
      <c r="V1471" t="s">
        <v>24726</v>
      </c>
      <c r="W1471" t="s">
        <v>24727</v>
      </c>
      <c r="X1471" t="s">
        <v>24728</v>
      </c>
      <c r="Y1471" t="s">
        <v>24729</v>
      </c>
      <c r="Z1471" t="s">
        <v>24730</v>
      </c>
      <c r="AA1471" t="s">
        <v>24731</v>
      </c>
      <c r="AB1471" t="s">
        <v>24732</v>
      </c>
      <c r="AC1471" t="s">
        <v>24733</v>
      </c>
      <c r="AD1471" t="s">
        <v>24734</v>
      </c>
      <c r="AE1471" t="s">
        <v>24735</v>
      </c>
      <c r="AF1471" t="s">
        <v>74</v>
      </c>
      <c r="AG1471">
        <v>67</v>
      </c>
      <c r="AH1471">
        <v>0</v>
      </c>
      <c r="AI1471">
        <v>0</v>
      </c>
      <c r="AJ1471">
        <v>5</v>
      </c>
      <c r="AK1471">
        <v>5</v>
      </c>
      <c r="AL1471" t="s">
        <v>994</v>
      </c>
      <c r="AM1471" t="s">
        <v>995</v>
      </c>
      <c r="AN1471" t="s">
        <v>996</v>
      </c>
      <c r="AO1471" t="s">
        <v>8209</v>
      </c>
      <c r="AP1471" t="s">
        <v>8210</v>
      </c>
      <c r="AQ1471" t="s">
        <v>74</v>
      </c>
      <c r="AR1471" t="s">
        <v>8211</v>
      </c>
      <c r="AS1471" t="s">
        <v>8212</v>
      </c>
      <c r="AT1471" t="s">
        <v>9191</v>
      </c>
      <c r="AU1471">
        <v>2024</v>
      </c>
      <c r="AV1471">
        <v>29</v>
      </c>
      <c r="AW1471">
        <v>6</v>
      </c>
      <c r="AX1471" t="s">
        <v>74</v>
      </c>
      <c r="AY1471" t="s">
        <v>74</v>
      </c>
      <c r="AZ1471" t="s">
        <v>74</v>
      </c>
      <c r="BA1471" t="s">
        <v>74</v>
      </c>
      <c r="BB1471">
        <v>383</v>
      </c>
      <c r="BC1471">
        <v>393</v>
      </c>
      <c r="BD1471" t="s">
        <v>74</v>
      </c>
      <c r="BE1471" t="s">
        <v>24736</v>
      </c>
      <c r="BF1471" t="str">
        <f>HYPERLINK("http://dx.doi.org/10.1080/10810730.2024.2355291","http://dx.doi.org/10.1080/10810730.2024.2355291")</f>
        <v>http://dx.doi.org/10.1080/10810730.2024.2355291</v>
      </c>
      <c r="BG1471" t="s">
        <v>74</v>
      </c>
      <c r="BH1471" t="s">
        <v>1467</v>
      </c>
      <c r="BI1471">
        <v>11</v>
      </c>
      <c r="BJ1471" t="s">
        <v>5240</v>
      </c>
      <c r="BK1471" t="s">
        <v>99</v>
      </c>
      <c r="BL1471" t="s">
        <v>5240</v>
      </c>
      <c r="BM1471" t="s">
        <v>24737</v>
      </c>
      <c r="BN1471">
        <v>38775659</v>
      </c>
      <c r="BO1471" t="s">
        <v>156</v>
      </c>
      <c r="BP1471" t="s">
        <v>74</v>
      </c>
      <c r="BQ1471" t="s">
        <v>74</v>
      </c>
      <c r="BR1471" t="s">
        <v>102</v>
      </c>
      <c r="BS1471" t="s">
        <v>24738</v>
      </c>
      <c r="BT1471" t="str">
        <f>HYPERLINK("https%3A%2F%2Fwww.webofscience.com%2Fwos%2Fwoscc%2Ffull-record%2FWOS:001229166700001","View Full Record in Web of Science")</f>
        <v>View Full Record in Web of Science</v>
      </c>
    </row>
    <row r="1472" spans="1:72" x14ac:dyDescent="0.35">
      <c r="A1472" t="s">
        <v>72</v>
      </c>
      <c r="B1472" t="s">
        <v>24739</v>
      </c>
      <c r="C1472" t="s">
        <v>74</v>
      </c>
      <c r="D1472" t="s">
        <v>74</v>
      </c>
      <c r="E1472" t="s">
        <v>74</v>
      </c>
      <c r="F1472" t="s">
        <v>24740</v>
      </c>
      <c r="G1472" t="s">
        <v>74</v>
      </c>
      <c r="H1472" t="s">
        <v>74</v>
      </c>
      <c r="I1472" t="s">
        <v>24741</v>
      </c>
      <c r="J1472" t="s">
        <v>24742</v>
      </c>
      <c r="K1472" t="s">
        <v>74</v>
      </c>
      <c r="L1472" t="s">
        <v>74</v>
      </c>
      <c r="M1472" t="s">
        <v>78</v>
      </c>
      <c r="N1472" t="s">
        <v>108</v>
      </c>
      <c r="O1472" t="s">
        <v>74</v>
      </c>
      <c r="P1472" t="s">
        <v>74</v>
      </c>
      <c r="Q1472" t="s">
        <v>74</v>
      </c>
      <c r="R1472" t="s">
        <v>74</v>
      </c>
      <c r="S1472" t="s">
        <v>74</v>
      </c>
      <c r="T1472" t="s">
        <v>24743</v>
      </c>
      <c r="U1472" t="s">
        <v>24744</v>
      </c>
      <c r="V1472" t="s">
        <v>24745</v>
      </c>
      <c r="W1472" t="s">
        <v>24746</v>
      </c>
      <c r="X1472" t="s">
        <v>20247</v>
      </c>
      <c r="Y1472" t="s">
        <v>24747</v>
      </c>
      <c r="Z1472" t="s">
        <v>74</v>
      </c>
      <c r="AA1472" t="s">
        <v>24748</v>
      </c>
      <c r="AB1472" t="s">
        <v>74</v>
      </c>
      <c r="AC1472" t="s">
        <v>24749</v>
      </c>
      <c r="AD1472" t="s">
        <v>24750</v>
      </c>
      <c r="AE1472" t="s">
        <v>24751</v>
      </c>
      <c r="AF1472" t="s">
        <v>74</v>
      </c>
      <c r="AG1472">
        <v>34</v>
      </c>
      <c r="AH1472">
        <v>0</v>
      </c>
      <c r="AI1472">
        <v>0</v>
      </c>
      <c r="AJ1472">
        <v>7</v>
      </c>
      <c r="AK1472">
        <v>18</v>
      </c>
      <c r="AL1472" t="s">
        <v>24752</v>
      </c>
      <c r="AM1472" t="s">
        <v>6529</v>
      </c>
      <c r="AN1472" t="s">
        <v>24753</v>
      </c>
      <c r="AO1472" t="s">
        <v>24754</v>
      </c>
      <c r="AP1472" t="s">
        <v>24755</v>
      </c>
      <c r="AQ1472" t="s">
        <v>74</v>
      </c>
      <c r="AR1472" t="s">
        <v>24756</v>
      </c>
      <c r="AS1472" t="s">
        <v>24757</v>
      </c>
      <c r="AT1472" t="s">
        <v>232</v>
      </c>
      <c r="AU1472">
        <v>2024</v>
      </c>
      <c r="AV1472">
        <v>27</v>
      </c>
      <c r="AW1472">
        <v>1</v>
      </c>
      <c r="AX1472" t="s">
        <v>74</v>
      </c>
      <c r="AY1472" t="s">
        <v>74</v>
      </c>
      <c r="AZ1472" t="s">
        <v>74</v>
      </c>
      <c r="BA1472" t="s">
        <v>74</v>
      </c>
      <c r="BB1472" t="s">
        <v>74</v>
      </c>
      <c r="BC1472" t="s">
        <v>74</v>
      </c>
      <c r="BD1472" t="s">
        <v>74</v>
      </c>
      <c r="BE1472" t="s">
        <v>24758</v>
      </c>
      <c r="BF1472" t="str">
        <f>HYPERLINK("http://dx.doi.org/10.5944/ried.27.1.37648","http://dx.doi.org/10.5944/ried.27.1.37648")</f>
        <v>http://dx.doi.org/10.5944/ried.27.1.37648</v>
      </c>
      <c r="BG1472" t="s">
        <v>74</v>
      </c>
      <c r="BH1472" t="s">
        <v>74</v>
      </c>
      <c r="BI1472">
        <v>20</v>
      </c>
      <c r="BJ1472" t="s">
        <v>787</v>
      </c>
      <c r="BK1472" t="s">
        <v>99</v>
      </c>
      <c r="BL1472" t="s">
        <v>787</v>
      </c>
      <c r="BM1472" t="s">
        <v>24759</v>
      </c>
      <c r="BN1472" t="s">
        <v>74</v>
      </c>
      <c r="BO1472" t="s">
        <v>235</v>
      </c>
      <c r="BP1472" t="s">
        <v>74</v>
      </c>
      <c r="BQ1472" t="s">
        <v>74</v>
      </c>
      <c r="BR1472" t="s">
        <v>102</v>
      </c>
      <c r="BS1472" t="s">
        <v>24760</v>
      </c>
      <c r="BT1472" t="str">
        <f>HYPERLINK("https%3A%2F%2Fwww.webofscience.com%2Fwos%2Fwoscc%2Ffull-record%2FWOS:001137233600010","View Full Record in Web of Science")</f>
        <v>View Full Record in Web of Science</v>
      </c>
    </row>
    <row r="1473" spans="1:72" x14ac:dyDescent="0.35">
      <c r="A1473" t="s">
        <v>72</v>
      </c>
      <c r="B1473" t="s">
        <v>24761</v>
      </c>
      <c r="C1473" t="s">
        <v>74</v>
      </c>
      <c r="D1473" t="s">
        <v>74</v>
      </c>
      <c r="E1473" t="s">
        <v>74</v>
      </c>
      <c r="F1473" t="s">
        <v>24762</v>
      </c>
      <c r="G1473" t="s">
        <v>74</v>
      </c>
      <c r="H1473" t="s">
        <v>74</v>
      </c>
      <c r="I1473" t="s">
        <v>24763</v>
      </c>
      <c r="J1473" t="s">
        <v>24764</v>
      </c>
      <c r="K1473" t="s">
        <v>74</v>
      </c>
      <c r="L1473" t="s">
        <v>74</v>
      </c>
      <c r="M1473" t="s">
        <v>78</v>
      </c>
      <c r="N1473" t="s">
        <v>79</v>
      </c>
      <c r="O1473" t="s">
        <v>74</v>
      </c>
      <c r="P1473" t="s">
        <v>74</v>
      </c>
      <c r="Q1473" t="s">
        <v>74</v>
      </c>
      <c r="R1473" t="s">
        <v>74</v>
      </c>
      <c r="S1473" t="s">
        <v>74</v>
      </c>
      <c r="T1473" t="s">
        <v>24765</v>
      </c>
      <c r="U1473" t="s">
        <v>24766</v>
      </c>
      <c r="V1473" t="s">
        <v>24767</v>
      </c>
      <c r="W1473" t="s">
        <v>24768</v>
      </c>
      <c r="X1473" t="s">
        <v>24769</v>
      </c>
      <c r="Y1473" t="s">
        <v>24770</v>
      </c>
      <c r="Z1473" t="s">
        <v>24771</v>
      </c>
      <c r="AA1473" t="s">
        <v>24772</v>
      </c>
      <c r="AB1473" t="s">
        <v>24773</v>
      </c>
      <c r="AC1473" t="s">
        <v>24774</v>
      </c>
      <c r="AD1473" t="s">
        <v>24775</v>
      </c>
      <c r="AE1473" t="s">
        <v>24776</v>
      </c>
      <c r="AF1473" t="s">
        <v>74</v>
      </c>
      <c r="AG1473">
        <v>34</v>
      </c>
      <c r="AH1473">
        <v>0</v>
      </c>
      <c r="AI1473">
        <v>0</v>
      </c>
      <c r="AJ1473">
        <v>1</v>
      </c>
      <c r="AK1473">
        <v>1</v>
      </c>
      <c r="AL1473" t="s">
        <v>2248</v>
      </c>
      <c r="AM1473" t="s">
        <v>2249</v>
      </c>
      <c r="AN1473" t="s">
        <v>2250</v>
      </c>
      <c r="AO1473" t="s">
        <v>24777</v>
      </c>
      <c r="AP1473" t="s">
        <v>24778</v>
      </c>
      <c r="AQ1473" t="s">
        <v>74</v>
      </c>
      <c r="AR1473" t="s">
        <v>24779</v>
      </c>
      <c r="AS1473" t="s">
        <v>24780</v>
      </c>
      <c r="AT1473" t="s">
        <v>24781</v>
      </c>
      <c r="AU1473">
        <v>2024</v>
      </c>
      <c r="AV1473" t="s">
        <v>74</v>
      </c>
      <c r="AW1473" t="s">
        <v>74</v>
      </c>
      <c r="AX1473" t="s">
        <v>74</v>
      </c>
      <c r="AY1473" t="s">
        <v>74</v>
      </c>
      <c r="AZ1473" t="s">
        <v>74</v>
      </c>
      <c r="BA1473" t="s">
        <v>74</v>
      </c>
      <c r="BB1473" t="s">
        <v>74</v>
      </c>
      <c r="BC1473" t="s">
        <v>74</v>
      </c>
      <c r="BD1473" t="s">
        <v>74</v>
      </c>
      <c r="BE1473" t="s">
        <v>24782</v>
      </c>
      <c r="BF1473" t="str">
        <f>HYPERLINK("http://dx.doi.org/10.1093/dote/doae081","http://dx.doi.org/10.1093/dote/doae081")</f>
        <v>http://dx.doi.org/10.1093/dote/doae081</v>
      </c>
      <c r="BG1473" t="s">
        <v>74</v>
      </c>
      <c r="BH1473" t="s">
        <v>1721</v>
      </c>
      <c r="BI1473">
        <v>7</v>
      </c>
      <c r="BJ1473" t="s">
        <v>12536</v>
      </c>
      <c r="BK1473" t="s">
        <v>209</v>
      </c>
      <c r="BL1473" t="s">
        <v>12536</v>
      </c>
      <c r="BM1473" t="s">
        <v>24783</v>
      </c>
      <c r="BN1473">
        <v>39373500</v>
      </c>
      <c r="BO1473" t="s">
        <v>74</v>
      </c>
      <c r="BP1473" t="s">
        <v>74</v>
      </c>
      <c r="BQ1473" t="s">
        <v>74</v>
      </c>
      <c r="BR1473" t="s">
        <v>102</v>
      </c>
      <c r="BS1473" t="s">
        <v>24784</v>
      </c>
      <c r="BT1473" t="str">
        <f>HYPERLINK("https%3A%2F%2Fwww.webofscience.com%2Fwos%2Fwoscc%2Ffull-record%2FWOS:001330221200001","View Full Record in Web of Science")</f>
        <v>View Full Record in Web of Science</v>
      </c>
    </row>
    <row r="1474" spans="1:72" x14ac:dyDescent="0.35">
      <c r="A1474" t="s">
        <v>72</v>
      </c>
      <c r="B1474" t="s">
        <v>24785</v>
      </c>
      <c r="C1474" t="s">
        <v>74</v>
      </c>
      <c r="D1474" t="s">
        <v>74</v>
      </c>
      <c r="E1474" t="s">
        <v>74</v>
      </c>
      <c r="F1474" t="s">
        <v>24786</v>
      </c>
      <c r="G1474" t="s">
        <v>74</v>
      </c>
      <c r="H1474" t="s">
        <v>74</v>
      </c>
      <c r="I1474" t="s">
        <v>24787</v>
      </c>
      <c r="J1474" t="s">
        <v>4112</v>
      </c>
      <c r="K1474" t="s">
        <v>74</v>
      </c>
      <c r="L1474" t="s">
        <v>74</v>
      </c>
      <c r="M1474" t="s">
        <v>78</v>
      </c>
      <c r="N1474" t="s">
        <v>108</v>
      </c>
      <c r="O1474" t="s">
        <v>74</v>
      </c>
      <c r="P1474" t="s">
        <v>74</v>
      </c>
      <c r="Q1474" t="s">
        <v>74</v>
      </c>
      <c r="R1474" t="s">
        <v>74</v>
      </c>
      <c r="S1474" t="s">
        <v>74</v>
      </c>
      <c r="T1474" t="s">
        <v>24788</v>
      </c>
      <c r="U1474" t="s">
        <v>74</v>
      </c>
      <c r="V1474" t="s">
        <v>24789</v>
      </c>
      <c r="W1474" t="s">
        <v>24790</v>
      </c>
      <c r="X1474" t="s">
        <v>18634</v>
      </c>
      <c r="Y1474" t="s">
        <v>24791</v>
      </c>
      <c r="Z1474" t="s">
        <v>24792</v>
      </c>
      <c r="AA1474" t="s">
        <v>24793</v>
      </c>
      <c r="AB1474" t="s">
        <v>24794</v>
      </c>
      <c r="AC1474" t="s">
        <v>24795</v>
      </c>
      <c r="AD1474" t="s">
        <v>24796</v>
      </c>
      <c r="AE1474" t="s">
        <v>24797</v>
      </c>
      <c r="AF1474" t="s">
        <v>74</v>
      </c>
      <c r="AG1474">
        <v>28</v>
      </c>
      <c r="AH1474">
        <v>0</v>
      </c>
      <c r="AI1474">
        <v>0</v>
      </c>
      <c r="AJ1474">
        <v>1</v>
      </c>
      <c r="AK1474">
        <v>2</v>
      </c>
      <c r="AL1474" t="s">
        <v>543</v>
      </c>
      <c r="AM1474" t="s">
        <v>544</v>
      </c>
      <c r="AN1474" t="s">
        <v>545</v>
      </c>
      <c r="AO1474" t="s">
        <v>74</v>
      </c>
      <c r="AP1474" t="s">
        <v>4124</v>
      </c>
      <c r="AQ1474" t="s">
        <v>74</v>
      </c>
      <c r="AR1474" t="s">
        <v>4125</v>
      </c>
      <c r="AS1474" t="s">
        <v>4126</v>
      </c>
      <c r="AT1474" t="s">
        <v>178</v>
      </c>
      <c r="AU1474">
        <v>2024</v>
      </c>
      <c r="AV1474">
        <v>4</v>
      </c>
      <c r="AW1474">
        <v>1</v>
      </c>
      <c r="AX1474" t="s">
        <v>74</v>
      </c>
      <c r="AY1474" t="s">
        <v>74</v>
      </c>
      <c r="AZ1474" t="s">
        <v>74</v>
      </c>
      <c r="BA1474" t="s">
        <v>74</v>
      </c>
      <c r="BB1474" t="s">
        <v>74</v>
      </c>
      <c r="BC1474" t="s">
        <v>74</v>
      </c>
      <c r="BD1474" t="s">
        <v>24798</v>
      </c>
      <c r="BE1474" t="s">
        <v>24799</v>
      </c>
      <c r="BF1474" t="str">
        <f>HYPERLINK("http://dx.doi.org/10.2196/44395","http://dx.doi.org/10.2196/44395")</f>
        <v>http://dx.doi.org/10.2196/44395</v>
      </c>
      <c r="BG1474" t="s">
        <v>74</v>
      </c>
      <c r="BH1474" t="s">
        <v>74</v>
      </c>
      <c r="BI1474">
        <v>13</v>
      </c>
      <c r="BJ1474" t="s">
        <v>4129</v>
      </c>
      <c r="BK1474" t="s">
        <v>125</v>
      </c>
      <c r="BL1474" t="s">
        <v>4129</v>
      </c>
      <c r="BM1474" t="s">
        <v>24800</v>
      </c>
      <c r="BN1474">
        <v>38194493</v>
      </c>
      <c r="BO1474" t="s">
        <v>552</v>
      </c>
      <c r="BP1474" t="s">
        <v>74</v>
      </c>
      <c r="BQ1474" t="s">
        <v>74</v>
      </c>
      <c r="BR1474" t="s">
        <v>102</v>
      </c>
      <c r="BS1474" t="s">
        <v>24801</v>
      </c>
      <c r="BT1474" t="str">
        <f>HYPERLINK("https%3A%2F%2Fwww.webofscience.com%2Fwos%2Fwoscc%2Ffull-record%2FWOS:001190463000001","View Full Record in Web of Science")</f>
        <v>View Full Record in Web of Science</v>
      </c>
    </row>
    <row r="1475" spans="1:72" x14ac:dyDescent="0.35">
      <c r="A1475" t="s">
        <v>72</v>
      </c>
      <c r="B1475" t="s">
        <v>24802</v>
      </c>
      <c r="C1475" t="s">
        <v>74</v>
      </c>
      <c r="D1475" t="s">
        <v>74</v>
      </c>
      <c r="E1475" t="s">
        <v>74</v>
      </c>
      <c r="F1475" t="s">
        <v>24803</v>
      </c>
      <c r="G1475" t="s">
        <v>74</v>
      </c>
      <c r="H1475" t="s">
        <v>74</v>
      </c>
      <c r="I1475" t="s">
        <v>24804</v>
      </c>
      <c r="J1475" t="s">
        <v>14123</v>
      </c>
      <c r="K1475" t="s">
        <v>74</v>
      </c>
      <c r="L1475" t="s">
        <v>74</v>
      </c>
      <c r="M1475" t="s">
        <v>78</v>
      </c>
      <c r="N1475" t="s">
        <v>108</v>
      </c>
      <c r="O1475" t="s">
        <v>74</v>
      </c>
      <c r="P1475" t="s">
        <v>74</v>
      </c>
      <c r="Q1475" t="s">
        <v>74</v>
      </c>
      <c r="R1475" t="s">
        <v>74</v>
      </c>
      <c r="S1475" t="s">
        <v>74</v>
      </c>
      <c r="T1475" t="s">
        <v>24805</v>
      </c>
      <c r="U1475" t="s">
        <v>24806</v>
      </c>
      <c r="V1475" t="s">
        <v>24807</v>
      </c>
      <c r="W1475" t="s">
        <v>24808</v>
      </c>
      <c r="X1475" t="s">
        <v>4583</v>
      </c>
      <c r="Y1475" t="s">
        <v>24809</v>
      </c>
      <c r="Z1475" t="s">
        <v>24810</v>
      </c>
      <c r="AA1475" t="s">
        <v>24811</v>
      </c>
      <c r="AB1475" t="s">
        <v>24812</v>
      </c>
      <c r="AC1475" t="s">
        <v>74</v>
      </c>
      <c r="AD1475" t="s">
        <v>74</v>
      </c>
      <c r="AE1475" t="s">
        <v>74</v>
      </c>
      <c r="AF1475" t="s">
        <v>74</v>
      </c>
      <c r="AG1475">
        <v>62</v>
      </c>
      <c r="AH1475">
        <v>15</v>
      </c>
      <c r="AI1475">
        <v>15</v>
      </c>
      <c r="AJ1475">
        <v>6</v>
      </c>
      <c r="AK1475">
        <v>35</v>
      </c>
      <c r="AL1475" t="s">
        <v>14132</v>
      </c>
      <c r="AM1475" t="s">
        <v>14133</v>
      </c>
      <c r="AN1475" t="s">
        <v>14134</v>
      </c>
      <c r="AO1475" t="s">
        <v>14135</v>
      </c>
      <c r="AP1475" t="s">
        <v>74</v>
      </c>
      <c r="AQ1475" t="s">
        <v>74</v>
      </c>
      <c r="AR1475" t="s">
        <v>14136</v>
      </c>
      <c r="AS1475" t="s">
        <v>14137</v>
      </c>
      <c r="AT1475" t="s">
        <v>74</v>
      </c>
      <c r="AU1475">
        <v>2022</v>
      </c>
      <c r="AV1475">
        <v>35</v>
      </c>
      <c r="AW1475">
        <v>2</v>
      </c>
      <c r="AX1475" t="s">
        <v>74</v>
      </c>
      <c r="AY1475" t="s">
        <v>74</v>
      </c>
      <c r="AZ1475" t="s">
        <v>456</v>
      </c>
      <c r="BA1475" t="s">
        <v>74</v>
      </c>
      <c r="BB1475">
        <v>37</v>
      </c>
      <c r="BC1475">
        <v>52</v>
      </c>
      <c r="BD1475" t="s">
        <v>74</v>
      </c>
      <c r="BE1475" t="s">
        <v>24813</v>
      </c>
      <c r="BF1475" t="str">
        <f>HYPERLINK("http://dx.doi.org/10.15581/003.35.2.37-52","http://dx.doi.org/10.15581/003.35.2.37-52")</f>
        <v>http://dx.doi.org/10.15581/003.35.2.37-52</v>
      </c>
      <c r="BG1475" t="s">
        <v>74</v>
      </c>
      <c r="BH1475" t="s">
        <v>74</v>
      </c>
      <c r="BI1475">
        <v>16</v>
      </c>
      <c r="BJ1475" t="s">
        <v>124</v>
      </c>
      <c r="BK1475" t="s">
        <v>125</v>
      </c>
      <c r="BL1475" t="s">
        <v>124</v>
      </c>
      <c r="BM1475" t="s">
        <v>24814</v>
      </c>
      <c r="BN1475" t="s">
        <v>74</v>
      </c>
      <c r="BO1475" t="s">
        <v>552</v>
      </c>
      <c r="BP1475" t="s">
        <v>74</v>
      </c>
      <c r="BQ1475" t="s">
        <v>74</v>
      </c>
      <c r="BR1475" t="s">
        <v>102</v>
      </c>
      <c r="BS1475" t="s">
        <v>24815</v>
      </c>
      <c r="BT1475" t="str">
        <f>HYPERLINK("https%3A%2F%2Fwww.webofscience.com%2Fwos%2Fwoscc%2Ffull-record%2FWOS:000777663900003","View Full Record in Web of Science")</f>
        <v>View Full Record in Web of Science</v>
      </c>
    </row>
    <row r="1476" spans="1:72" x14ac:dyDescent="0.35">
      <c r="A1476" t="s">
        <v>72</v>
      </c>
      <c r="B1476" t="s">
        <v>24816</v>
      </c>
      <c r="C1476" t="s">
        <v>74</v>
      </c>
      <c r="D1476" t="s">
        <v>74</v>
      </c>
      <c r="E1476" t="s">
        <v>74</v>
      </c>
      <c r="F1476" t="s">
        <v>24817</v>
      </c>
      <c r="G1476" t="s">
        <v>74</v>
      </c>
      <c r="H1476" t="s">
        <v>74</v>
      </c>
      <c r="I1476" t="s">
        <v>24818</v>
      </c>
      <c r="J1476" t="s">
        <v>24819</v>
      </c>
      <c r="K1476" t="s">
        <v>74</v>
      </c>
      <c r="L1476" t="s">
        <v>74</v>
      </c>
      <c r="M1476" t="s">
        <v>78</v>
      </c>
      <c r="N1476" t="s">
        <v>108</v>
      </c>
      <c r="O1476" t="s">
        <v>74</v>
      </c>
      <c r="P1476" t="s">
        <v>74</v>
      </c>
      <c r="Q1476" t="s">
        <v>74</v>
      </c>
      <c r="R1476" t="s">
        <v>74</v>
      </c>
      <c r="S1476" t="s">
        <v>74</v>
      </c>
      <c r="T1476" t="s">
        <v>74</v>
      </c>
      <c r="U1476" t="s">
        <v>74</v>
      </c>
      <c r="V1476" t="s">
        <v>24820</v>
      </c>
      <c r="W1476" t="s">
        <v>24821</v>
      </c>
      <c r="X1476" t="s">
        <v>74</v>
      </c>
      <c r="Y1476" t="s">
        <v>24822</v>
      </c>
      <c r="Z1476" t="s">
        <v>24823</v>
      </c>
      <c r="AA1476" t="s">
        <v>74</v>
      </c>
      <c r="AB1476" t="s">
        <v>74</v>
      </c>
      <c r="AC1476" t="s">
        <v>74</v>
      </c>
      <c r="AD1476" t="s">
        <v>74</v>
      </c>
      <c r="AE1476" t="s">
        <v>74</v>
      </c>
      <c r="AF1476" t="s">
        <v>74</v>
      </c>
      <c r="AG1476">
        <v>19</v>
      </c>
      <c r="AH1476">
        <v>0</v>
      </c>
      <c r="AI1476">
        <v>0</v>
      </c>
      <c r="AJ1476">
        <v>0</v>
      </c>
      <c r="AK1476">
        <v>2</v>
      </c>
      <c r="AL1476" t="s">
        <v>22200</v>
      </c>
      <c r="AM1476" t="s">
        <v>12437</v>
      </c>
      <c r="AN1476" t="s">
        <v>22201</v>
      </c>
      <c r="AO1476" t="s">
        <v>24824</v>
      </c>
      <c r="AP1476" t="s">
        <v>24825</v>
      </c>
      <c r="AQ1476" t="s">
        <v>74</v>
      </c>
      <c r="AR1476" t="s">
        <v>24826</v>
      </c>
      <c r="AS1476" t="s">
        <v>24827</v>
      </c>
      <c r="AT1476" t="s">
        <v>1275</v>
      </c>
      <c r="AU1476">
        <v>2023</v>
      </c>
      <c r="AV1476">
        <v>29</v>
      </c>
      <c r="AW1476">
        <v>4</v>
      </c>
      <c r="AX1476" t="s">
        <v>74</v>
      </c>
      <c r="AY1476" t="s">
        <v>74</v>
      </c>
      <c r="AZ1476" t="s">
        <v>74</v>
      </c>
      <c r="BA1476" t="s">
        <v>74</v>
      </c>
      <c r="BB1476">
        <v>362</v>
      </c>
      <c r="BC1476">
        <v>366</v>
      </c>
      <c r="BD1476" t="s">
        <v>74</v>
      </c>
      <c r="BE1476" t="s">
        <v>24828</v>
      </c>
      <c r="BF1476" t="str">
        <f>HYPERLINK("http://dx.doi.org/10.1053/j.sodo.2023.11.003","http://dx.doi.org/10.1053/j.sodo.2023.11.003")</f>
        <v>http://dx.doi.org/10.1053/j.sodo.2023.11.003</v>
      </c>
      <c r="BG1476" t="s">
        <v>74</v>
      </c>
      <c r="BH1476" t="s">
        <v>1449</v>
      </c>
      <c r="BI1476">
        <v>5</v>
      </c>
      <c r="BJ1476" t="s">
        <v>599</v>
      </c>
      <c r="BK1476" t="s">
        <v>209</v>
      </c>
      <c r="BL1476" t="s">
        <v>599</v>
      </c>
      <c r="BM1476" t="s">
        <v>24829</v>
      </c>
      <c r="BN1476" t="s">
        <v>74</v>
      </c>
      <c r="BO1476" t="s">
        <v>74</v>
      </c>
      <c r="BP1476" t="s">
        <v>74</v>
      </c>
      <c r="BQ1476" t="s">
        <v>74</v>
      </c>
      <c r="BR1476" t="s">
        <v>102</v>
      </c>
      <c r="BS1476" t="s">
        <v>24830</v>
      </c>
      <c r="BT1476" t="str">
        <f>HYPERLINK("https%3A%2F%2Fwww.webofscience.com%2Fwos%2Fwoscc%2Ffull-record%2FWOS:001140794200001","View Full Record in Web of Science")</f>
        <v>View Full Record in Web of Science</v>
      </c>
    </row>
    <row r="1477" spans="1:72" x14ac:dyDescent="0.35">
      <c r="A1477" t="s">
        <v>72</v>
      </c>
      <c r="B1477" t="s">
        <v>24831</v>
      </c>
      <c r="C1477" t="s">
        <v>74</v>
      </c>
      <c r="D1477" t="s">
        <v>74</v>
      </c>
      <c r="E1477" t="s">
        <v>74</v>
      </c>
      <c r="F1477" t="s">
        <v>24832</v>
      </c>
      <c r="G1477" t="s">
        <v>74</v>
      </c>
      <c r="H1477" t="s">
        <v>74</v>
      </c>
      <c r="I1477" t="s">
        <v>24833</v>
      </c>
      <c r="J1477" t="s">
        <v>24834</v>
      </c>
      <c r="K1477" t="s">
        <v>74</v>
      </c>
      <c r="L1477" t="s">
        <v>74</v>
      </c>
      <c r="M1477" t="s">
        <v>78</v>
      </c>
      <c r="N1477" t="s">
        <v>108</v>
      </c>
      <c r="O1477" t="s">
        <v>74</v>
      </c>
      <c r="P1477" t="s">
        <v>74</v>
      </c>
      <c r="Q1477" t="s">
        <v>74</v>
      </c>
      <c r="R1477" t="s">
        <v>74</v>
      </c>
      <c r="S1477" t="s">
        <v>74</v>
      </c>
      <c r="T1477" t="s">
        <v>24835</v>
      </c>
      <c r="U1477" t="s">
        <v>74</v>
      </c>
      <c r="V1477" t="s">
        <v>24836</v>
      </c>
      <c r="W1477" t="s">
        <v>74</v>
      </c>
      <c r="X1477" t="s">
        <v>74</v>
      </c>
      <c r="Y1477" t="s">
        <v>74</v>
      </c>
      <c r="Z1477" t="s">
        <v>24837</v>
      </c>
      <c r="AA1477" t="s">
        <v>74</v>
      </c>
      <c r="AB1477" t="s">
        <v>74</v>
      </c>
      <c r="AC1477" t="s">
        <v>74</v>
      </c>
      <c r="AD1477" t="s">
        <v>74</v>
      </c>
      <c r="AE1477" t="s">
        <v>74</v>
      </c>
      <c r="AF1477" t="s">
        <v>74</v>
      </c>
      <c r="AG1477">
        <v>17</v>
      </c>
      <c r="AH1477">
        <v>1</v>
      </c>
      <c r="AI1477">
        <v>1</v>
      </c>
      <c r="AJ1477">
        <v>1</v>
      </c>
      <c r="AK1477">
        <v>9</v>
      </c>
      <c r="AL1477" t="s">
        <v>88</v>
      </c>
      <c r="AM1477" t="s">
        <v>89</v>
      </c>
      <c r="AN1477" t="s">
        <v>90</v>
      </c>
      <c r="AO1477" t="s">
        <v>24838</v>
      </c>
      <c r="AP1477" t="s">
        <v>24839</v>
      </c>
      <c r="AQ1477" t="s">
        <v>74</v>
      </c>
      <c r="AR1477" t="s">
        <v>24840</v>
      </c>
      <c r="AS1477" t="s">
        <v>24841</v>
      </c>
      <c r="AT1477" t="s">
        <v>1001</v>
      </c>
      <c r="AU1477">
        <v>2023</v>
      </c>
      <c r="AV1477">
        <v>79</v>
      </c>
      <c r="AW1477">
        <v>3</v>
      </c>
      <c r="AX1477" t="s">
        <v>74</v>
      </c>
      <c r="AY1477" t="s">
        <v>74</v>
      </c>
      <c r="AZ1477" t="s">
        <v>456</v>
      </c>
      <c r="BA1477" t="s">
        <v>74</v>
      </c>
      <c r="BB1477">
        <v>170</v>
      </c>
      <c r="BC1477">
        <v>173</v>
      </c>
      <c r="BD1477" t="s">
        <v>74</v>
      </c>
      <c r="BE1477" t="s">
        <v>24842</v>
      </c>
      <c r="BF1477" t="str">
        <f>HYPERLINK("http://dx.doi.org/10.1080/00963402.2023.2199595","http://dx.doi.org/10.1080/00963402.2023.2199595")</f>
        <v>http://dx.doi.org/10.1080/00963402.2023.2199595</v>
      </c>
      <c r="BG1477" t="s">
        <v>74</v>
      </c>
      <c r="BH1477" t="s">
        <v>74</v>
      </c>
      <c r="BI1477">
        <v>4</v>
      </c>
      <c r="BJ1477" t="s">
        <v>24843</v>
      </c>
      <c r="BK1477" t="s">
        <v>99</v>
      </c>
      <c r="BL1477" t="s">
        <v>24843</v>
      </c>
      <c r="BM1477" t="s">
        <v>24844</v>
      </c>
      <c r="BN1477" t="s">
        <v>74</v>
      </c>
      <c r="BO1477" t="s">
        <v>74</v>
      </c>
      <c r="BP1477" t="s">
        <v>74</v>
      </c>
      <c r="BQ1477" t="s">
        <v>74</v>
      </c>
      <c r="BR1477" t="s">
        <v>102</v>
      </c>
      <c r="BS1477" t="s">
        <v>24845</v>
      </c>
      <c r="BT1477" t="str">
        <f>HYPERLINK("https%3A%2F%2Fwww.webofscience.com%2Fwos%2Fwoscc%2Ffull-record%2FWOS:000984349200008","View Full Record in Web of Science")</f>
        <v>View Full Record in Web of Science</v>
      </c>
    </row>
    <row r="1478" spans="1:72" x14ac:dyDescent="0.35">
      <c r="A1478" t="s">
        <v>72</v>
      </c>
      <c r="B1478" t="s">
        <v>24846</v>
      </c>
      <c r="C1478" t="s">
        <v>74</v>
      </c>
      <c r="D1478" t="s">
        <v>74</v>
      </c>
      <c r="E1478" t="s">
        <v>74</v>
      </c>
      <c r="F1478" t="s">
        <v>24847</v>
      </c>
      <c r="G1478" t="s">
        <v>74</v>
      </c>
      <c r="H1478" t="s">
        <v>74</v>
      </c>
      <c r="I1478" t="s">
        <v>24848</v>
      </c>
      <c r="J1478" t="s">
        <v>2814</v>
      </c>
      <c r="K1478" t="s">
        <v>74</v>
      </c>
      <c r="L1478" t="s">
        <v>74</v>
      </c>
      <c r="M1478" t="s">
        <v>78</v>
      </c>
      <c r="N1478" t="s">
        <v>108</v>
      </c>
      <c r="O1478" t="s">
        <v>74</v>
      </c>
      <c r="P1478" t="s">
        <v>74</v>
      </c>
      <c r="Q1478" t="s">
        <v>74</v>
      </c>
      <c r="R1478" t="s">
        <v>74</v>
      </c>
      <c r="S1478" t="s">
        <v>74</v>
      </c>
      <c r="T1478" t="s">
        <v>24849</v>
      </c>
      <c r="U1478" t="s">
        <v>24850</v>
      </c>
      <c r="V1478" t="s">
        <v>24851</v>
      </c>
      <c r="W1478" t="s">
        <v>24852</v>
      </c>
      <c r="X1478" t="s">
        <v>24853</v>
      </c>
      <c r="Y1478" t="s">
        <v>24854</v>
      </c>
      <c r="Z1478" t="s">
        <v>24855</v>
      </c>
      <c r="AA1478" t="s">
        <v>24856</v>
      </c>
      <c r="AB1478" t="s">
        <v>24857</v>
      </c>
      <c r="AC1478" t="s">
        <v>24858</v>
      </c>
      <c r="AD1478" t="s">
        <v>24859</v>
      </c>
      <c r="AE1478" t="s">
        <v>24860</v>
      </c>
      <c r="AF1478" t="s">
        <v>74</v>
      </c>
      <c r="AG1478">
        <v>44</v>
      </c>
      <c r="AH1478">
        <v>79</v>
      </c>
      <c r="AI1478">
        <v>83</v>
      </c>
      <c r="AJ1478">
        <v>23</v>
      </c>
      <c r="AK1478">
        <v>240</v>
      </c>
      <c r="AL1478" t="s">
        <v>543</v>
      </c>
      <c r="AM1478" t="s">
        <v>544</v>
      </c>
      <c r="AN1478" t="s">
        <v>545</v>
      </c>
      <c r="AO1478" t="s">
        <v>2821</v>
      </c>
      <c r="AP1478" t="s">
        <v>74</v>
      </c>
      <c r="AQ1478" t="s">
        <v>74</v>
      </c>
      <c r="AR1478" t="s">
        <v>2822</v>
      </c>
      <c r="AS1478" t="s">
        <v>2823</v>
      </c>
      <c r="AT1478" t="s">
        <v>24861</v>
      </c>
      <c r="AU1478">
        <v>2021</v>
      </c>
      <c r="AV1478">
        <v>23</v>
      </c>
      <c r="AW1478">
        <v>2</v>
      </c>
      <c r="AX1478" t="s">
        <v>74</v>
      </c>
      <c r="AY1478" t="s">
        <v>74</v>
      </c>
      <c r="AZ1478" t="s">
        <v>74</v>
      </c>
      <c r="BA1478" t="s">
        <v>74</v>
      </c>
      <c r="BB1478" t="s">
        <v>74</v>
      </c>
      <c r="BC1478" t="s">
        <v>74</v>
      </c>
      <c r="BD1478" t="s">
        <v>24862</v>
      </c>
      <c r="BE1478" t="s">
        <v>24863</v>
      </c>
      <c r="BF1478" t="str">
        <f>HYPERLINK("http://dx.doi.org/10.2196/21463","http://dx.doi.org/10.2196/21463")</f>
        <v>http://dx.doi.org/10.2196/21463</v>
      </c>
      <c r="BG1478" t="s">
        <v>74</v>
      </c>
      <c r="BH1478" t="s">
        <v>74</v>
      </c>
      <c r="BI1478">
        <v>13</v>
      </c>
      <c r="BJ1478" t="s">
        <v>550</v>
      </c>
      <c r="BK1478" t="s">
        <v>182</v>
      </c>
      <c r="BL1478" t="s">
        <v>550</v>
      </c>
      <c r="BM1478" t="s">
        <v>24864</v>
      </c>
      <c r="BN1478">
        <v>33481756</v>
      </c>
      <c r="BO1478" t="s">
        <v>394</v>
      </c>
      <c r="BP1478" t="s">
        <v>74</v>
      </c>
      <c r="BQ1478" t="s">
        <v>74</v>
      </c>
      <c r="BR1478" t="s">
        <v>102</v>
      </c>
      <c r="BS1478" t="s">
        <v>24865</v>
      </c>
      <c r="BT1478" t="str">
        <f>HYPERLINK("https%3A%2F%2Fwww.webofscience.com%2Fwos%2Fwoscc%2Ffull-record%2FWOS:000614620500003","View Full Record in Web of Science")</f>
        <v>View Full Record in Web of Science</v>
      </c>
    </row>
    <row r="1479" spans="1:72" x14ac:dyDescent="0.35">
      <c r="A1479" t="s">
        <v>72</v>
      </c>
      <c r="B1479" t="s">
        <v>24866</v>
      </c>
      <c r="C1479" t="s">
        <v>74</v>
      </c>
      <c r="D1479" t="s">
        <v>74</v>
      </c>
      <c r="E1479" t="s">
        <v>74</v>
      </c>
      <c r="F1479" t="s">
        <v>24867</v>
      </c>
      <c r="G1479" t="s">
        <v>74</v>
      </c>
      <c r="H1479" t="s">
        <v>74</v>
      </c>
      <c r="I1479" t="s">
        <v>24868</v>
      </c>
      <c r="J1479" t="s">
        <v>24869</v>
      </c>
      <c r="K1479" t="s">
        <v>74</v>
      </c>
      <c r="L1479" t="s">
        <v>74</v>
      </c>
      <c r="M1479" t="s">
        <v>78</v>
      </c>
      <c r="N1479" t="s">
        <v>108</v>
      </c>
      <c r="O1479" t="s">
        <v>74</v>
      </c>
      <c r="P1479" t="s">
        <v>74</v>
      </c>
      <c r="Q1479" t="s">
        <v>74</v>
      </c>
      <c r="R1479" t="s">
        <v>74</v>
      </c>
      <c r="S1479" t="s">
        <v>74</v>
      </c>
      <c r="T1479" t="s">
        <v>74</v>
      </c>
      <c r="U1479" t="s">
        <v>24870</v>
      </c>
      <c r="V1479" t="s">
        <v>24871</v>
      </c>
      <c r="W1479" t="s">
        <v>24872</v>
      </c>
      <c r="X1479" t="s">
        <v>24873</v>
      </c>
      <c r="Y1479" t="s">
        <v>24874</v>
      </c>
      <c r="Z1479" t="s">
        <v>24875</v>
      </c>
      <c r="AA1479" t="s">
        <v>74</v>
      </c>
      <c r="AB1479" t="s">
        <v>74</v>
      </c>
      <c r="AC1479" t="s">
        <v>74</v>
      </c>
      <c r="AD1479" t="s">
        <v>74</v>
      </c>
      <c r="AE1479" t="s">
        <v>74</v>
      </c>
      <c r="AF1479" t="s">
        <v>74</v>
      </c>
      <c r="AG1479">
        <v>24</v>
      </c>
      <c r="AH1479">
        <v>18</v>
      </c>
      <c r="AI1479">
        <v>19</v>
      </c>
      <c r="AJ1479">
        <v>36</v>
      </c>
      <c r="AK1479">
        <v>55</v>
      </c>
      <c r="AL1479" t="s">
        <v>24876</v>
      </c>
      <c r="AM1479" t="s">
        <v>24877</v>
      </c>
      <c r="AN1479" t="s">
        <v>24878</v>
      </c>
      <c r="AO1479" t="s">
        <v>74</v>
      </c>
      <c r="AP1479" t="s">
        <v>24879</v>
      </c>
      <c r="AQ1479" t="s">
        <v>74</v>
      </c>
      <c r="AR1479" t="s">
        <v>24880</v>
      </c>
      <c r="AS1479" t="s">
        <v>24881</v>
      </c>
      <c r="AT1479" t="s">
        <v>1275</v>
      </c>
      <c r="AU1479">
        <v>2023</v>
      </c>
      <c r="AV1479">
        <v>9</v>
      </c>
      <c r="AW1479">
        <v>4</v>
      </c>
      <c r="AX1479" t="s">
        <v>74</v>
      </c>
      <c r="AY1479" t="s">
        <v>74</v>
      </c>
      <c r="AZ1479" t="s">
        <v>74</v>
      </c>
      <c r="BA1479" t="s">
        <v>74</v>
      </c>
      <c r="BB1479">
        <v>424</v>
      </c>
      <c r="BC1479">
        <v>428</v>
      </c>
      <c r="BD1479" t="s">
        <v>74</v>
      </c>
      <c r="BE1479" t="s">
        <v>24882</v>
      </c>
      <c r="BF1479" t="str">
        <f>HYPERLINK("http://dx.doi.org/10.5465/amd.2023.0106","http://dx.doi.org/10.5465/amd.2023.0106")</f>
        <v>http://dx.doi.org/10.5465/amd.2023.0106</v>
      </c>
      <c r="BG1479" t="s">
        <v>74</v>
      </c>
      <c r="BH1479" t="s">
        <v>74</v>
      </c>
      <c r="BI1479">
        <v>5</v>
      </c>
      <c r="BJ1479" t="s">
        <v>1930</v>
      </c>
      <c r="BK1479" t="s">
        <v>99</v>
      </c>
      <c r="BL1479" t="s">
        <v>480</v>
      </c>
      <c r="BM1479" t="s">
        <v>24883</v>
      </c>
      <c r="BN1479" t="s">
        <v>74</v>
      </c>
      <c r="BO1479" t="s">
        <v>74</v>
      </c>
      <c r="BP1479" t="s">
        <v>74</v>
      </c>
      <c r="BQ1479" t="s">
        <v>74</v>
      </c>
      <c r="BR1479" t="s">
        <v>102</v>
      </c>
      <c r="BS1479" t="s">
        <v>24884</v>
      </c>
      <c r="BT1479" t="str">
        <f>HYPERLINK("https%3A%2F%2Fwww.webofscience.com%2Fwos%2Fwoscc%2Ffull-record%2FWOS:001164857000002","View Full Record in Web of Science")</f>
        <v>View Full Record in Web of Science</v>
      </c>
    </row>
    <row r="1480" spans="1:72" x14ac:dyDescent="0.35">
      <c r="A1480" t="s">
        <v>72</v>
      </c>
      <c r="B1480" t="s">
        <v>24885</v>
      </c>
      <c r="C1480" t="s">
        <v>74</v>
      </c>
      <c r="D1480" t="s">
        <v>74</v>
      </c>
      <c r="E1480" t="s">
        <v>74</v>
      </c>
      <c r="F1480" t="s">
        <v>24886</v>
      </c>
      <c r="G1480" t="s">
        <v>74</v>
      </c>
      <c r="H1480" t="s">
        <v>74</v>
      </c>
      <c r="I1480" t="s">
        <v>24887</v>
      </c>
      <c r="J1480" t="s">
        <v>4135</v>
      </c>
      <c r="K1480" t="s">
        <v>74</v>
      </c>
      <c r="L1480" t="s">
        <v>74</v>
      </c>
      <c r="M1480" t="s">
        <v>78</v>
      </c>
      <c r="N1480" t="s">
        <v>108</v>
      </c>
      <c r="O1480" t="s">
        <v>74</v>
      </c>
      <c r="P1480" t="s">
        <v>74</v>
      </c>
      <c r="Q1480" t="s">
        <v>74</v>
      </c>
      <c r="R1480" t="s">
        <v>74</v>
      </c>
      <c r="S1480" t="s">
        <v>74</v>
      </c>
      <c r="T1480" t="s">
        <v>24888</v>
      </c>
      <c r="U1480" t="s">
        <v>24889</v>
      </c>
      <c r="V1480" t="s">
        <v>24890</v>
      </c>
      <c r="W1480" t="s">
        <v>24891</v>
      </c>
      <c r="X1480" t="s">
        <v>24892</v>
      </c>
      <c r="Y1480" t="s">
        <v>24893</v>
      </c>
      <c r="Z1480" t="s">
        <v>24894</v>
      </c>
      <c r="AA1480" t="s">
        <v>24895</v>
      </c>
      <c r="AB1480" t="s">
        <v>74</v>
      </c>
      <c r="AC1480" t="s">
        <v>24896</v>
      </c>
      <c r="AD1480" t="s">
        <v>24897</v>
      </c>
      <c r="AE1480" t="s">
        <v>24898</v>
      </c>
      <c r="AF1480" t="s">
        <v>74</v>
      </c>
      <c r="AG1480">
        <v>98</v>
      </c>
      <c r="AH1480">
        <v>48</v>
      </c>
      <c r="AI1480">
        <v>48</v>
      </c>
      <c r="AJ1480">
        <v>75</v>
      </c>
      <c r="AK1480">
        <v>308</v>
      </c>
      <c r="AL1480" t="s">
        <v>3632</v>
      </c>
      <c r="AM1480" t="s">
        <v>291</v>
      </c>
      <c r="AN1480" t="s">
        <v>3633</v>
      </c>
      <c r="AO1480" t="s">
        <v>4148</v>
      </c>
      <c r="AP1480" t="s">
        <v>4149</v>
      </c>
      <c r="AQ1480" t="s">
        <v>74</v>
      </c>
      <c r="AR1480" t="s">
        <v>4150</v>
      </c>
      <c r="AS1480" t="s">
        <v>4151</v>
      </c>
      <c r="AT1480" t="s">
        <v>232</v>
      </c>
      <c r="AU1480">
        <v>2023</v>
      </c>
      <c r="AV1480">
        <v>70</v>
      </c>
      <c r="AW1480" t="s">
        <v>74</v>
      </c>
      <c r="AX1480" t="s">
        <v>74</v>
      </c>
      <c r="AY1480" t="s">
        <v>74</v>
      </c>
      <c r="AZ1480" t="s">
        <v>74</v>
      </c>
      <c r="BA1480" t="s">
        <v>74</v>
      </c>
      <c r="BB1480" t="s">
        <v>74</v>
      </c>
      <c r="BC1480" t="s">
        <v>74</v>
      </c>
      <c r="BD1480">
        <v>103170</v>
      </c>
      <c r="BE1480" t="s">
        <v>24899</v>
      </c>
      <c r="BF1480" t="str">
        <f>HYPERLINK("http://dx.doi.org/10.1016/j.jretconser.2022.103170","http://dx.doi.org/10.1016/j.jretconser.2022.103170")</f>
        <v>http://dx.doi.org/10.1016/j.jretconser.2022.103170</v>
      </c>
      <c r="BG1480" t="s">
        <v>74</v>
      </c>
      <c r="BH1480" t="s">
        <v>366</v>
      </c>
      <c r="BI1480">
        <v>15</v>
      </c>
      <c r="BJ1480" t="s">
        <v>1597</v>
      </c>
      <c r="BK1480" t="s">
        <v>99</v>
      </c>
      <c r="BL1480" t="s">
        <v>480</v>
      </c>
      <c r="BM1480" t="s">
        <v>24900</v>
      </c>
      <c r="BN1480" t="s">
        <v>74</v>
      </c>
      <c r="BO1480" t="s">
        <v>74</v>
      </c>
      <c r="BP1480" t="s">
        <v>74</v>
      </c>
      <c r="BQ1480" t="s">
        <v>74</v>
      </c>
      <c r="BR1480" t="s">
        <v>102</v>
      </c>
      <c r="BS1480" t="s">
        <v>24901</v>
      </c>
      <c r="BT1480" t="str">
        <f>HYPERLINK("https%3A%2F%2Fwww.webofscience.com%2Fwos%2Fwoscc%2Ffull-record%2FWOS:000934148200003","View Full Record in Web of Science")</f>
        <v>View Full Record in Web of Science</v>
      </c>
    </row>
    <row r="1481" spans="1:72" x14ac:dyDescent="0.35">
      <c r="A1481" t="s">
        <v>72</v>
      </c>
      <c r="B1481" t="s">
        <v>24902</v>
      </c>
      <c r="C1481" t="s">
        <v>74</v>
      </c>
      <c r="D1481" t="s">
        <v>74</v>
      </c>
      <c r="E1481" t="s">
        <v>74</v>
      </c>
      <c r="F1481" t="s">
        <v>24903</v>
      </c>
      <c r="G1481" t="s">
        <v>74</v>
      </c>
      <c r="H1481" t="s">
        <v>74</v>
      </c>
      <c r="I1481" t="s">
        <v>24904</v>
      </c>
      <c r="J1481" t="s">
        <v>4192</v>
      </c>
      <c r="K1481" t="s">
        <v>74</v>
      </c>
      <c r="L1481" t="s">
        <v>74</v>
      </c>
      <c r="M1481" t="s">
        <v>78</v>
      </c>
      <c r="N1481" t="s">
        <v>108</v>
      </c>
      <c r="O1481" t="s">
        <v>74</v>
      </c>
      <c r="P1481" t="s">
        <v>74</v>
      </c>
      <c r="Q1481" t="s">
        <v>74</v>
      </c>
      <c r="R1481" t="s">
        <v>74</v>
      </c>
      <c r="S1481" t="s">
        <v>74</v>
      </c>
      <c r="T1481" t="s">
        <v>24905</v>
      </c>
      <c r="U1481" t="s">
        <v>24906</v>
      </c>
      <c r="V1481" t="s">
        <v>24907</v>
      </c>
      <c r="W1481" t="s">
        <v>24908</v>
      </c>
      <c r="X1481" t="s">
        <v>24909</v>
      </c>
      <c r="Y1481" t="s">
        <v>24910</v>
      </c>
      <c r="Z1481" t="s">
        <v>24911</v>
      </c>
      <c r="AA1481" t="s">
        <v>24912</v>
      </c>
      <c r="AB1481" t="s">
        <v>24913</v>
      </c>
      <c r="AC1481" t="s">
        <v>74</v>
      </c>
      <c r="AD1481" t="s">
        <v>74</v>
      </c>
      <c r="AE1481" t="s">
        <v>74</v>
      </c>
      <c r="AF1481" t="s">
        <v>74</v>
      </c>
      <c r="AG1481">
        <v>46</v>
      </c>
      <c r="AH1481">
        <v>0</v>
      </c>
      <c r="AI1481">
        <v>0</v>
      </c>
      <c r="AJ1481">
        <v>9</v>
      </c>
      <c r="AK1481">
        <v>20</v>
      </c>
      <c r="AL1481" t="s">
        <v>4200</v>
      </c>
      <c r="AM1481" t="s">
        <v>4201</v>
      </c>
      <c r="AN1481" t="s">
        <v>4202</v>
      </c>
      <c r="AO1481" t="s">
        <v>4203</v>
      </c>
      <c r="AP1481" t="s">
        <v>4204</v>
      </c>
      <c r="AQ1481" t="s">
        <v>74</v>
      </c>
      <c r="AR1481" t="s">
        <v>4205</v>
      </c>
      <c r="AS1481" t="s">
        <v>4206</v>
      </c>
      <c r="AT1481" t="s">
        <v>1275</v>
      </c>
      <c r="AU1481">
        <v>2023</v>
      </c>
      <c r="AV1481" t="s">
        <v>74</v>
      </c>
      <c r="AW1481">
        <v>69</v>
      </c>
      <c r="AX1481" t="s">
        <v>74</v>
      </c>
      <c r="AY1481" t="s">
        <v>74</v>
      </c>
      <c r="AZ1481" t="s">
        <v>74</v>
      </c>
      <c r="BA1481" t="s">
        <v>74</v>
      </c>
      <c r="BB1481" t="s">
        <v>74</v>
      </c>
      <c r="BC1481" t="s">
        <v>74</v>
      </c>
      <c r="BD1481" t="s">
        <v>74</v>
      </c>
      <c r="BE1481" t="s">
        <v>24914</v>
      </c>
      <c r="BF1481" t="str">
        <f>HYPERLINK("http://dx.doi.org/10.5565/rev/analisi.3611","http://dx.doi.org/10.5565/rev/analisi.3611")</f>
        <v>http://dx.doi.org/10.5565/rev/analisi.3611</v>
      </c>
      <c r="BG1481" t="s">
        <v>74</v>
      </c>
      <c r="BH1481" t="s">
        <v>74</v>
      </c>
      <c r="BI1481">
        <v>22</v>
      </c>
      <c r="BJ1481" t="s">
        <v>124</v>
      </c>
      <c r="BK1481" t="s">
        <v>125</v>
      </c>
      <c r="BL1481" t="s">
        <v>124</v>
      </c>
      <c r="BM1481" t="s">
        <v>4208</v>
      </c>
      <c r="BN1481" t="s">
        <v>74</v>
      </c>
      <c r="BO1481" t="s">
        <v>7897</v>
      </c>
      <c r="BP1481" t="s">
        <v>74</v>
      </c>
      <c r="BQ1481" t="s">
        <v>74</v>
      </c>
      <c r="BR1481" t="s">
        <v>102</v>
      </c>
      <c r="BS1481" t="s">
        <v>24915</v>
      </c>
      <c r="BT1481" t="str">
        <f>HYPERLINK("https%3A%2F%2Fwww.webofscience.com%2Fwos%2Fwoscc%2Ffull-record%2FWOS:001141862900003","View Full Record in Web of Science")</f>
        <v>View Full Record in Web of Science</v>
      </c>
    </row>
    <row r="1482" spans="1:72" x14ac:dyDescent="0.35">
      <c r="A1482" t="s">
        <v>72</v>
      </c>
      <c r="B1482" t="s">
        <v>24916</v>
      </c>
      <c r="C1482" t="s">
        <v>74</v>
      </c>
      <c r="D1482" t="s">
        <v>74</v>
      </c>
      <c r="E1482" t="s">
        <v>74</v>
      </c>
      <c r="F1482" t="s">
        <v>24917</v>
      </c>
      <c r="G1482" t="s">
        <v>74</v>
      </c>
      <c r="H1482" t="s">
        <v>74</v>
      </c>
      <c r="I1482" t="s">
        <v>24918</v>
      </c>
      <c r="J1482" t="s">
        <v>1186</v>
      </c>
      <c r="K1482" t="s">
        <v>74</v>
      </c>
      <c r="L1482" t="s">
        <v>74</v>
      </c>
      <c r="M1482" t="s">
        <v>78</v>
      </c>
      <c r="N1482" t="s">
        <v>108</v>
      </c>
      <c r="O1482" t="s">
        <v>74</v>
      </c>
      <c r="P1482" t="s">
        <v>74</v>
      </c>
      <c r="Q1482" t="s">
        <v>74</v>
      </c>
      <c r="R1482" t="s">
        <v>74</v>
      </c>
      <c r="S1482" t="s">
        <v>74</v>
      </c>
      <c r="T1482" t="s">
        <v>24919</v>
      </c>
      <c r="U1482" t="s">
        <v>24920</v>
      </c>
      <c r="V1482" t="s">
        <v>24921</v>
      </c>
      <c r="W1482" t="s">
        <v>24922</v>
      </c>
      <c r="X1482" t="s">
        <v>24923</v>
      </c>
      <c r="Y1482" t="s">
        <v>24924</v>
      </c>
      <c r="Z1482" t="s">
        <v>24925</v>
      </c>
      <c r="AA1482" t="s">
        <v>24926</v>
      </c>
      <c r="AB1482" t="s">
        <v>24927</v>
      </c>
      <c r="AC1482" t="s">
        <v>74</v>
      </c>
      <c r="AD1482" t="s">
        <v>74</v>
      </c>
      <c r="AE1482" t="s">
        <v>74</v>
      </c>
      <c r="AF1482" t="s">
        <v>74</v>
      </c>
      <c r="AG1482">
        <v>56</v>
      </c>
      <c r="AH1482">
        <v>9</v>
      </c>
      <c r="AI1482">
        <v>10</v>
      </c>
      <c r="AJ1482">
        <v>2</v>
      </c>
      <c r="AK1482">
        <v>45</v>
      </c>
      <c r="AL1482" t="s">
        <v>1195</v>
      </c>
      <c r="AM1482" t="s">
        <v>1196</v>
      </c>
      <c r="AN1482" t="s">
        <v>1197</v>
      </c>
      <c r="AO1482" t="s">
        <v>74</v>
      </c>
      <c r="AP1482" t="s">
        <v>1198</v>
      </c>
      <c r="AQ1482" t="s">
        <v>74</v>
      </c>
      <c r="AR1482" t="s">
        <v>1199</v>
      </c>
      <c r="AS1482" t="s">
        <v>1200</v>
      </c>
      <c r="AT1482" t="s">
        <v>455</v>
      </c>
      <c r="AU1482">
        <v>2022</v>
      </c>
      <c r="AV1482">
        <v>19</v>
      </c>
      <c r="AW1482">
        <v>17</v>
      </c>
      <c r="AX1482" t="s">
        <v>74</v>
      </c>
      <c r="AY1482" t="s">
        <v>74</v>
      </c>
      <c r="AZ1482" t="s">
        <v>74</v>
      </c>
      <c r="BA1482" t="s">
        <v>74</v>
      </c>
      <c r="BB1482" t="s">
        <v>74</v>
      </c>
      <c r="BC1482" t="s">
        <v>74</v>
      </c>
      <c r="BD1482">
        <v>10911</v>
      </c>
      <c r="BE1482" t="s">
        <v>24928</v>
      </c>
      <c r="BF1482" t="str">
        <f>HYPERLINK("http://dx.doi.org/10.3390/ijerph191710911","http://dx.doi.org/10.3390/ijerph191710911")</f>
        <v>http://dx.doi.org/10.3390/ijerph191710911</v>
      </c>
      <c r="BG1482" t="s">
        <v>74</v>
      </c>
      <c r="BH1482" t="s">
        <v>74</v>
      </c>
      <c r="BI1482">
        <v>13</v>
      </c>
      <c r="BJ1482" t="s">
        <v>1202</v>
      </c>
      <c r="BK1482" t="s">
        <v>182</v>
      </c>
      <c r="BL1482" t="s">
        <v>1203</v>
      </c>
      <c r="BM1482" t="s">
        <v>24929</v>
      </c>
      <c r="BN1482">
        <v>36078625</v>
      </c>
      <c r="BO1482" t="s">
        <v>394</v>
      </c>
      <c r="BP1482" t="s">
        <v>74</v>
      </c>
      <c r="BQ1482" t="s">
        <v>74</v>
      </c>
      <c r="BR1482" t="s">
        <v>102</v>
      </c>
      <c r="BS1482" t="s">
        <v>24930</v>
      </c>
      <c r="BT1482" t="str">
        <f>HYPERLINK("https%3A%2F%2Fwww.webofscience.com%2Fwos%2Fwoscc%2Ffull-record%2FWOS:000851074200001","View Full Record in Web of Science")</f>
        <v>View Full Record in Web of Science</v>
      </c>
    </row>
    <row r="1483" spans="1:72" x14ac:dyDescent="0.35">
      <c r="A1483" t="s">
        <v>72</v>
      </c>
      <c r="B1483" t="s">
        <v>24931</v>
      </c>
      <c r="C1483" t="s">
        <v>74</v>
      </c>
      <c r="D1483" t="s">
        <v>74</v>
      </c>
      <c r="E1483" t="s">
        <v>74</v>
      </c>
      <c r="F1483" t="s">
        <v>24932</v>
      </c>
      <c r="G1483" t="s">
        <v>74</v>
      </c>
      <c r="H1483" t="s">
        <v>74</v>
      </c>
      <c r="I1483" t="s">
        <v>24933</v>
      </c>
      <c r="J1483" t="s">
        <v>24934</v>
      </c>
      <c r="K1483" t="s">
        <v>74</v>
      </c>
      <c r="L1483" t="s">
        <v>74</v>
      </c>
      <c r="M1483" t="s">
        <v>78</v>
      </c>
      <c r="N1483" t="s">
        <v>108</v>
      </c>
      <c r="O1483" t="s">
        <v>74</v>
      </c>
      <c r="P1483" t="s">
        <v>74</v>
      </c>
      <c r="Q1483" t="s">
        <v>74</v>
      </c>
      <c r="R1483" t="s">
        <v>74</v>
      </c>
      <c r="S1483" t="s">
        <v>74</v>
      </c>
      <c r="T1483" t="s">
        <v>24935</v>
      </c>
      <c r="U1483" t="s">
        <v>24936</v>
      </c>
      <c r="V1483" t="s">
        <v>24937</v>
      </c>
      <c r="W1483" t="s">
        <v>24938</v>
      </c>
      <c r="X1483" t="s">
        <v>24939</v>
      </c>
      <c r="Y1483" t="s">
        <v>24940</v>
      </c>
      <c r="Z1483" t="s">
        <v>24941</v>
      </c>
      <c r="AA1483" t="s">
        <v>24942</v>
      </c>
      <c r="AB1483" t="s">
        <v>74</v>
      </c>
      <c r="AC1483" t="s">
        <v>74</v>
      </c>
      <c r="AD1483" t="s">
        <v>74</v>
      </c>
      <c r="AE1483" t="s">
        <v>74</v>
      </c>
      <c r="AF1483" t="s">
        <v>74</v>
      </c>
      <c r="AG1483">
        <v>80</v>
      </c>
      <c r="AH1483">
        <v>1</v>
      </c>
      <c r="AI1483">
        <v>1</v>
      </c>
      <c r="AJ1483">
        <v>10</v>
      </c>
      <c r="AK1483">
        <v>15</v>
      </c>
      <c r="AL1483" t="s">
        <v>24943</v>
      </c>
      <c r="AM1483" t="s">
        <v>24944</v>
      </c>
      <c r="AN1483" t="s">
        <v>24945</v>
      </c>
      <c r="AO1483" t="s">
        <v>24946</v>
      </c>
      <c r="AP1483" t="s">
        <v>24947</v>
      </c>
      <c r="AQ1483" t="s">
        <v>74</v>
      </c>
      <c r="AR1483" t="s">
        <v>24948</v>
      </c>
      <c r="AS1483" t="s">
        <v>24949</v>
      </c>
      <c r="AT1483" t="s">
        <v>232</v>
      </c>
      <c r="AU1483">
        <v>2024</v>
      </c>
      <c r="AV1483">
        <v>77</v>
      </c>
      <c r="AW1483" t="s">
        <v>74</v>
      </c>
      <c r="AX1483" t="s">
        <v>74</v>
      </c>
      <c r="AY1483" t="s">
        <v>74</v>
      </c>
      <c r="AZ1483" t="s">
        <v>74</v>
      </c>
      <c r="BA1483" t="s">
        <v>74</v>
      </c>
      <c r="BB1483" t="s">
        <v>74</v>
      </c>
      <c r="BC1483" t="s">
        <v>74</v>
      </c>
      <c r="BD1483">
        <v>126522</v>
      </c>
      <c r="BE1483" t="s">
        <v>24950</v>
      </c>
      <c r="BF1483" t="str">
        <f>HYPERLINK("http://dx.doi.org/10.1016/j.jnc.2023.126522","http://dx.doi.org/10.1016/j.jnc.2023.126522")</f>
        <v>http://dx.doi.org/10.1016/j.jnc.2023.126522</v>
      </c>
      <c r="BG1483" t="s">
        <v>74</v>
      </c>
      <c r="BH1483" t="s">
        <v>1449</v>
      </c>
      <c r="BI1483">
        <v>11</v>
      </c>
      <c r="BJ1483" t="s">
        <v>10688</v>
      </c>
      <c r="BK1483" t="s">
        <v>209</v>
      </c>
      <c r="BL1483" t="s">
        <v>10689</v>
      </c>
      <c r="BM1483" t="s">
        <v>24951</v>
      </c>
      <c r="BN1483" t="s">
        <v>74</v>
      </c>
      <c r="BO1483" t="s">
        <v>767</v>
      </c>
      <c r="BP1483" t="s">
        <v>74</v>
      </c>
      <c r="BQ1483" t="s">
        <v>74</v>
      </c>
      <c r="BR1483" t="s">
        <v>102</v>
      </c>
      <c r="BS1483" t="s">
        <v>24952</v>
      </c>
      <c r="BT1483" t="str">
        <f>HYPERLINK("https%3A%2F%2Fwww.webofscience.com%2Fwos%2Fwoscc%2Ffull-record%2FWOS:001133464200001","View Full Record in Web of Science")</f>
        <v>View Full Record in Web of Science</v>
      </c>
    </row>
    <row r="1484" spans="1:72" x14ac:dyDescent="0.35">
      <c r="A1484" t="s">
        <v>72</v>
      </c>
      <c r="B1484" t="s">
        <v>24953</v>
      </c>
      <c r="C1484" t="s">
        <v>74</v>
      </c>
      <c r="D1484" t="s">
        <v>74</v>
      </c>
      <c r="E1484" t="s">
        <v>74</v>
      </c>
      <c r="F1484" t="s">
        <v>24954</v>
      </c>
      <c r="G1484" t="s">
        <v>74</v>
      </c>
      <c r="H1484" t="s">
        <v>74</v>
      </c>
      <c r="I1484" t="s">
        <v>24955</v>
      </c>
      <c r="J1484" t="s">
        <v>3774</v>
      </c>
      <c r="K1484" t="s">
        <v>74</v>
      </c>
      <c r="L1484" t="s">
        <v>74</v>
      </c>
      <c r="M1484" t="s">
        <v>78</v>
      </c>
      <c r="N1484" t="s">
        <v>108</v>
      </c>
      <c r="O1484" t="s">
        <v>74</v>
      </c>
      <c r="P1484" t="s">
        <v>74</v>
      </c>
      <c r="Q1484" t="s">
        <v>74</v>
      </c>
      <c r="R1484" t="s">
        <v>74</v>
      </c>
      <c r="S1484" t="s">
        <v>74</v>
      </c>
      <c r="T1484" t="s">
        <v>24956</v>
      </c>
      <c r="U1484" t="s">
        <v>24957</v>
      </c>
      <c r="V1484" t="s">
        <v>24958</v>
      </c>
      <c r="W1484" t="s">
        <v>24959</v>
      </c>
      <c r="X1484" t="s">
        <v>24960</v>
      </c>
      <c r="Y1484" t="s">
        <v>24961</v>
      </c>
      <c r="Z1484" t="s">
        <v>24962</v>
      </c>
      <c r="AA1484" t="s">
        <v>74</v>
      </c>
      <c r="AB1484" t="s">
        <v>24963</v>
      </c>
      <c r="AC1484" t="s">
        <v>74</v>
      </c>
      <c r="AD1484" t="s">
        <v>74</v>
      </c>
      <c r="AE1484" t="s">
        <v>74</v>
      </c>
      <c r="AF1484" t="s">
        <v>74</v>
      </c>
      <c r="AG1484">
        <v>29</v>
      </c>
      <c r="AH1484">
        <v>20</v>
      </c>
      <c r="AI1484">
        <v>20</v>
      </c>
      <c r="AJ1484">
        <v>9</v>
      </c>
      <c r="AK1484">
        <v>40</v>
      </c>
      <c r="AL1484" t="s">
        <v>171</v>
      </c>
      <c r="AM1484" t="s">
        <v>172</v>
      </c>
      <c r="AN1484" t="s">
        <v>173</v>
      </c>
      <c r="AO1484" t="s">
        <v>3783</v>
      </c>
      <c r="AP1484" t="s">
        <v>3784</v>
      </c>
      <c r="AQ1484" t="s">
        <v>74</v>
      </c>
      <c r="AR1484" t="s">
        <v>3785</v>
      </c>
      <c r="AS1484" t="s">
        <v>3786</v>
      </c>
      <c r="AT1484" t="s">
        <v>232</v>
      </c>
      <c r="AU1484">
        <v>2023</v>
      </c>
      <c r="AV1484">
        <v>28</v>
      </c>
      <c r="AW1484">
        <v>1</v>
      </c>
      <c r="AX1484" t="s">
        <v>74</v>
      </c>
      <c r="AY1484" t="s">
        <v>74</v>
      </c>
      <c r="AZ1484" t="s">
        <v>456</v>
      </c>
      <c r="BA1484" t="s">
        <v>74</v>
      </c>
      <c r="BB1484">
        <v>270</v>
      </c>
      <c r="BC1484">
        <v>278</v>
      </c>
      <c r="BD1484">
        <v>1.3591045221098522E+16</v>
      </c>
      <c r="BE1484" t="s">
        <v>24964</v>
      </c>
      <c r="BF1484" t="str">
        <f>HYPERLINK("http://dx.doi.org/10.1177/13591045221098522","http://dx.doi.org/10.1177/13591045221098522")</f>
        <v>http://dx.doi.org/10.1177/13591045221098522</v>
      </c>
      <c r="BG1484" t="s">
        <v>74</v>
      </c>
      <c r="BH1484" t="s">
        <v>4941</v>
      </c>
      <c r="BI1484">
        <v>9</v>
      </c>
      <c r="BJ1484" t="s">
        <v>3788</v>
      </c>
      <c r="BK1484" t="s">
        <v>182</v>
      </c>
      <c r="BL1484" t="s">
        <v>1617</v>
      </c>
      <c r="BM1484" t="s">
        <v>3789</v>
      </c>
      <c r="BN1484">
        <v>35473358</v>
      </c>
      <c r="BO1484" t="s">
        <v>74</v>
      </c>
      <c r="BP1484" t="s">
        <v>74</v>
      </c>
      <c r="BQ1484" t="s">
        <v>74</v>
      </c>
      <c r="BR1484" t="s">
        <v>102</v>
      </c>
      <c r="BS1484" t="s">
        <v>24965</v>
      </c>
      <c r="BT1484" t="str">
        <f>HYPERLINK("https%3A%2F%2Fwww.webofscience.com%2Fwos%2Fwoscc%2Ffull-record%2FWOS:000798387200001","View Full Record in Web of Science")</f>
        <v>View Full Record in Web of Science</v>
      </c>
    </row>
    <row r="1485" spans="1:72" x14ac:dyDescent="0.35">
      <c r="A1485" t="s">
        <v>72</v>
      </c>
      <c r="B1485" t="s">
        <v>24966</v>
      </c>
      <c r="C1485" t="s">
        <v>74</v>
      </c>
      <c r="D1485" t="s">
        <v>74</v>
      </c>
      <c r="E1485" t="s">
        <v>74</v>
      </c>
      <c r="F1485" t="s">
        <v>24967</v>
      </c>
      <c r="G1485" t="s">
        <v>74</v>
      </c>
      <c r="H1485" t="s">
        <v>74</v>
      </c>
      <c r="I1485" t="s">
        <v>24968</v>
      </c>
      <c r="J1485" t="s">
        <v>1774</v>
      </c>
      <c r="K1485" t="s">
        <v>74</v>
      </c>
      <c r="L1485" t="s">
        <v>74</v>
      </c>
      <c r="M1485" t="s">
        <v>78</v>
      </c>
      <c r="N1485" t="s">
        <v>79</v>
      </c>
      <c r="O1485" t="s">
        <v>74</v>
      </c>
      <c r="P1485" t="s">
        <v>74</v>
      </c>
      <c r="Q1485" t="s">
        <v>74</v>
      </c>
      <c r="R1485" t="s">
        <v>74</v>
      </c>
      <c r="S1485" t="s">
        <v>74</v>
      </c>
      <c r="T1485" t="s">
        <v>24969</v>
      </c>
      <c r="U1485" t="s">
        <v>24970</v>
      </c>
      <c r="V1485" t="s">
        <v>24971</v>
      </c>
      <c r="W1485" t="s">
        <v>24972</v>
      </c>
      <c r="X1485" t="s">
        <v>24973</v>
      </c>
      <c r="Y1485" t="s">
        <v>24974</v>
      </c>
      <c r="Z1485" t="s">
        <v>24975</v>
      </c>
      <c r="AA1485" t="s">
        <v>74</v>
      </c>
      <c r="AB1485" t="s">
        <v>74</v>
      </c>
      <c r="AC1485" t="s">
        <v>24976</v>
      </c>
      <c r="AD1485" t="s">
        <v>24977</v>
      </c>
      <c r="AE1485" t="s">
        <v>24978</v>
      </c>
      <c r="AF1485" t="s">
        <v>74</v>
      </c>
      <c r="AG1485">
        <v>46</v>
      </c>
      <c r="AH1485">
        <v>0</v>
      </c>
      <c r="AI1485">
        <v>0</v>
      </c>
      <c r="AJ1485">
        <v>3</v>
      </c>
      <c r="AK1485">
        <v>3</v>
      </c>
      <c r="AL1485" t="s">
        <v>88</v>
      </c>
      <c r="AM1485" t="s">
        <v>89</v>
      </c>
      <c r="AN1485" t="s">
        <v>90</v>
      </c>
      <c r="AO1485" t="s">
        <v>1783</v>
      </c>
      <c r="AP1485" t="s">
        <v>1784</v>
      </c>
      <c r="AQ1485" t="s">
        <v>74</v>
      </c>
      <c r="AR1485" t="s">
        <v>1785</v>
      </c>
      <c r="AS1485" t="s">
        <v>1786</v>
      </c>
      <c r="AT1485" t="s">
        <v>7686</v>
      </c>
      <c r="AU1485">
        <v>2024</v>
      </c>
      <c r="AV1485" t="s">
        <v>74</v>
      </c>
      <c r="AW1485" t="s">
        <v>74</v>
      </c>
      <c r="AX1485" t="s">
        <v>74</v>
      </c>
      <c r="AY1485" t="s">
        <v>74</v>
      </c>
      <c r="AZ1485" t="s">
        <v>74</v>
      </c>
      <c r="BA1485" t="s">
        <v>74</v>
      </c>
      <c r="BB1485" t="s">
        <v>74</v>
      </c>
      <c r="BC1485" t="s">
        <v>74</v>
      </c>
      <c r="BD1485" t="s">
        <v>74</v>
      </c>
      <c r="BE1485" t="s">
        <v>24979</v>
      </c>
      <c r="BF1485" t="str">
        <f>HYPERLINK("http://dx.doi.org/10.1080/1369118X.2024.2379835","http://dx.doi.org/10.1080/1369118X.2024.2379835")</f>
        <v>http://dx.doi.org/10.1080/1369118X.2024.2379835</v>
      </c>
      <c r="BG1485" t="s">
        <v>74</v>
      </c>
      <c r="BH1485" t="s">
        <v>478</v>
      </c>
      <c r="BI1485">
        <v>15</v>
      </c>
      <c r="BJ1485" t="s">
        <v>1047</v>
      </c>
      <c r="BK1485" t="s">
        <v>99</v>
      </c>
      <c r="BL1485" t="s">
        <v>1047</v>
      </c>
      <c r="BM1485" t="s">
        <v>24980</v>
      </c>
      <c r="BN1485" t="s">
        <v>74</v>
      </c>
      <c r="BO1485" t="s">
        <v>156</v>
      </c>
      <c r="BP1485" t="s">
        <v>74</v>
      </c>
      <c r="BQ1485" t="s">
        <v>74</v>
      </c>
      <c r="BR1485" t="s">
        <v>102</v>
      </c>
      <c r="BS1485" t="s">
        <v>24981</v>
      </c>
      <c r="BT1485" t="str">
        <f>HYPERLINK("https%3A%2F%2Fwww.webofscience.com%2Fwos%2Fwoscc%2Ffull-record%2FWOS:001276046000001","View Full Record in Web of Science")</f>
        <v>View Full Record in Web of Science</v>
      </c>
    </row>
    <row r="1486" spans="1:72" x14ac:dyDescent="0.35">
      <c r="A1486" t="s">
        <v>72</v>
      </c>
      <c r="B1486" t="s">
        <v>24982</v>
      </c>
      <c r="C1486" t="s">
        <v>74</v>
      </c>
      <c r="D1486" t="s">
        <v>74</v>
      </c>
      <c r="E1486" t="s">
        <v>74</v>
      </c>
      <c r="F1486" t="s">
        <v>24983</v>
      </c>
      <c r="G1486" t="s">
        <v>74</v>
      </c>
      <c r="H1486" t="s">
        <v>74</v>
      </c>
      <c r="I1486" t="s">
        <v>24984</v>
      </c>
      <c r="J1486" t="s">
        <v>6674</v>
      </c>
      <c r="K1486" t="s">
        <v>74</v>
      </c>
      <c r="L1486" t="s">
        <v>74</v>
      </c>
      <c r="M1486" t="s">
        <v>78</v>
      </c>
      <c r="N1486" t="s">
        <v>108</v>
      </c>
      <c r="O1486" t="s">
        <v>74</v>
      </c>
      <c r="P1486" t="s">
        <v>74</v>
      </c>
      <c r="Q1486" t="s">
        <v>74</v>
      </c>
      <c r="R1486" t="s">
        <v>74</v>
      </c>
      <c r="S1486" t="s">
        <v>74</v>
      </c>
      <c r="T1486" t="s">
        <v>24985</v>
      </c>
      <c r="U1486" t="s">
        <v>74</v>
      </c>
      <c r="V1486" t="s">
        <v>24986</v>
      </c>
      <c r="W1486" t="s">
        <v>24987</v>
      </c>
      <c r="X1486" t="s">
        <v>24988</v>
      </c>
      <c r="Y1486" t="s">
        <v>24989</v>
      </c>
      <c r="Z1486" t="s">
        <v>24990</v>
      </c>
      <c r="AA1486" t="s">
        <v>24991</v>
      </c>
      <c r="AB1486" t="s">
        <v>24992</v>
      </c>
      <c r="AC1486" t="s">
        <v>74</v>
      </c>
      <c r="AD1486" t="s">
        <v>74</v>
      </c>
      <c r="AE1486" t="s">
        <v>74</v>
      </c>
      <c r="AF1486" t="s">
        <v>74</v>
      </c>
      <c r="AG1486">
        <v>75</v>
      </c>
      <c r="AH1486">
        <v>2</v>
      </c>
      <c r="AI1486">
        <v>2</v>
      </c>
      <c r="AJ1486">
        <v>3</v>
      </c>
      <c r="AK1486">
        <v>11</v>
      </c>
      <c r="AL1486" t="s">
        <v>665</v>
      </c>
      <c r="AM1486" t="s">
        <v>666</v>
      </c>
      <c r="AN1486" t="s">
        <v>667</v>
      </c>
      <c r="AO1486" t="s">
        <v>6685</v>
      </c>
      <c r="AP1486" t="s">
        <v>6686</v>
      </c>
      <c r="AQ1486" t="s">
        <v>74</v>
      </c>
      <c r="AR1486" t="s">
        <v>6687</v>
      </c>
      <c r="AS1486" t="s">
        <v>6688</v>
      </c>
      <c r="AT1486" t="s">
        <v>1275</v>
      </c>
      <c r="AU1486">
        <v>2023</v>
      </c>
      <c r="AV1486">
        <v>46</v>
      </c>
      <c r="AW1486">
        <v>4</v>
      </c>
      <c r="AX1486" t="s">
        <v>74</v>
      </c>
      <c r="AY1486" t="s">
        <v>74</v>
      </c>
      <c r="AZ1486" t="s">
        <v>74</v>
      </c>
      <c r="BA1486" t="s">
        <v>74</v>
      </c>
      <c r="BB1486">
        <v>419</v>
      </c>
      <c r="BC1486">
        <v>443</v>
      </c>
      <c r="BD1486" t="s">
        <v>74</v>
      </c>
      <c r="BE1486" t="s">
        <v>24993</v>
      </c>
      <c r="BF1486" t="str">
        <f>HYPERLINK("http://dx.doi.org/10.1007/s10603-023-09546-7","http://dx.doi.org/10.1007/s10603-023-09546-7")</f>
        <v>http://dx.doi.org/10.1007/s10603-023-09546-7</v>
      </c>
      <c r="BG1486" t="s">
        <v>74</v>
      </c>
      <c r="BH1486" t="s">
        <v>3138</v>
      </c>
      <c r="BI1486">
        <v>25</v>
      </c>
      <c r="BJ1486" t="s">
        <v>1597</v>
      </c>
      <c r="BK1486" t="s">
        <v>125</v>
      </c>
      <c r="BL1486" t="s">
        <v>480</v>
      </c>
      <c r="BM1486" t="s">
        <v>24994</v>
      </c>
      <c r="BN1486" t="s">
        <v>74</v>
      </c>
      <c r="BO1486" t="s">
        <v>156</v>
      </c>
      <c r="BP1486" t="s">
        <v>74</v>
      </c>
      <c r="BQ1486" t="s">
        <v>74</v>
      </c>
      <c r="BR1486" t="s">
        <v>102</v>
      </c>
      <c r="BS1486" t="s">
        <v>24995</v>
      </c>
      <c r="BT1486" t="str">
        <f>HYPERLINK("https%3A%2F%2Fwww.webofscience.com%2Fwos%2Fwoscc%2Ffull-record%2FWOS:001046622000001","View Full Record in Web of Science")</f>
        <v>View Full Record in Web of Science</v>
      </c>
    </row>
    <row r="1487" spans="1:72" x14ac:dyDescent="0.35">
      <c r="A1487" t="s">
        <v>72</v>
      </c>
      <c r="B1487" t="s">
        <v>24996</v>
      </c>
      <c r="C1487" t="s">
        <v>74</v>
      </c>
      <c r="D1487" t="s">
        <v>74</v>
      </c>
      <c r="E1487" t="s">
        <v>74</v>
      </c>
      <c r="F1487" t="s">
        <v>24997</v>
      </c>
      <c r="G1487" t="s">
        <v>74</v>
      </c>
      <c r="H1487" t="s">
        <v>74</v>
      </c>
      <c r="I1487" t="s">
        <v>24998</v>
      </c>
      <c r="J1487" t="s">
        <v>24999</v>
      </c>
      <c r="K1487" t="s">
        <v>74</v>
      </c>
      <c r="L1487" t="s">
        <v>74</v>
      </c>
      <c r="M1487" t="s">
        <v>78</v>
      </c>
      <c r="N1487" t="s">
        <v>79</v>
      </c>
      <c r="O1487" t="s">
        <v>74</v>
      </c>
      <c r="P1487" t="s">
        <v>74</v>
      </c>
      <c r="Q1487" t="s">
        <v>74</v>
      </c>
      <c r="R1487" t="s">
        <v>74</v>
      </c>
      <c r="S1487" t="s">
        <v>74</v>
      </c>
      <c r="T1487" t="s">
        <v>25000</v>
      </c>
      <c r="U1487" t="s">
        <v>74</v>
      </c>
      <c r="V1487" t="s">
        <v>25001</v>
      </c>
      <c r="W1487" t="s">
        <v>25002</v>
      </c>
      <c r="X1487" t="s">
        <v>25003</v>
      </c>
      <c r="Y1487" t="s">
        <v>25004</v>
      </c>
      <c r="Z1487" t="s">
        <v>25005</v>
      </c>
      <c r="AA1487" t="s">
        <v>25006</v>
      </c>
      <c r="AB1487" t="s">
        <v>25007</v>
      </c>
      <c r="AC1487" t="s">
        <v>74</v>
      </c>
      <c r="AD1487" t="s">
        <v>74</v>
      </c>
      <c r="AE1487" t="s">
        <v>74</v>
      </c>
      <c r="AF1487" t="s">
        <v>74</v>
      </c>
      <c r="AG1487">
        <v>78</v>
      </c>
      <c r="AH1487">
        <v>0</v>
      </c>
      <c r="AI1487">
        <v>0</v>
      </c>
      <c r="AJ1487">
        <v>0</v>
      </c>
      <c r="AK1487">
        <v>0</v>
      </c>
      <c r="AL1487" t="s">
        <v>25008</v>
      </c>
      <c r="AM1487" t="s">
        <v>25009</v>
      </c>
      <c r="AN1487" t="s">
        <v>25010</v>
      </c>
      <c r="AO1487" t="s">
        <v>25011</v>
      </c>
      <c r="AP1487" t="s">
        <v>25012</v>
      </c>
      <c r="AQ1487" t="s">
        <v>74</v>
      </c>
      <c r="AR1487" t="s">
        <v>25013</v>
      </c>
      <c r="AS1487" t="s">
        <v>25014</v>
      </c>
      <c r="AT1487" t="s">
        <v>25015</v>
      </c>
      <c r="AU1487">
        <v>2024</v>
      </c>
      <c r="AV1487" t="s">
        <v>74</v>
      </c>
      <c r="AW1487" t="s">
        <v>74</v>
      </c>
      <c r="AX1487" t="s">
        <v>74</v>
      </c>
      <c r="AY1487" t="s">
        <v>74</v>
      </c>
      <c r="AZ1487" t="s">
        <v>74</v>
      </c>
      <c r="BA1487" t="s">
        <v>74</v>
      </c>
      <c r="BB1487" t="s">
        <v>74</v>
      </c>
      <c r="BC1487" t="s">
        <v>74</v>
      </c>
      <c r="BD1487" t="s">
        <v>74</v>
      </c>
      <c r="BE1487" t="s">
        <v>25016</v>
      </c>
      <c r="BF1487" t="str">
        <f>HYPERLINK("http://dx.doi.org/10.12758/mda.2024.08","http://dx.doi.org/10.12758/mda.2024.08")</f>
        <v>http://dx.doi.org/10.12758/mda.2024.08</v>
      </c>
      <c r="BG1487" t="s">
        <v>74</v>
      </c>
      <c r="BH1487" t="s">
        <v>1721</v>
      </c>
      <c r="BI1487">
        <v>32</v>
      </c>
      <c r="BJ1487" t="s">
        <v>25017</v>
      </c>
      <c r="BK1487" t="s">
        <v>125</v>
      </c>
      <c r="BL1487" t="s">
        <v>25018</v>
      </c>
      <c r="BM1487" t="s">
        <v>25019</v>
      </c>
      <c r="BN1487" t="s">
        <v>74</v>
      </c>
      <c r="BO1487" t="s">
        <v>74</v>
      </c>
      <c r="BP1487" t="s">
        <v>74</v>
      </c>
      <c r="BQ1487" t="s">
        <v>74</v>
      </c>
      <c r="BR1487" t="s">
        <v>102</v>
      </c>
      <c r="BS1487" t="s">
        <v>25020</v>
      </c>
      <c r="BT1487" t="str">
        <f>HYPERLINK("https%3A%2F%2Fwww.webofscience.com%2Fwos%2Fwoscc%2Ffull-record%2FWOS:001341237700001","View Full Record in Web of Science")</f>
        <v>View Full Record in Web of Science</v>
      </c>
    </row>
    <row r="1488" spans="1:72" x14ac:dyDescent="0.35">
      <c r="A1488" t="s">
        <v>72</v>
      </c>
      <c r="B1488" t="s">
        <v>25021</v>
      </c>
      <c r="C1488" t="s">
        <v>74</v>
      </c>
      <c r="D1488" t="s">
        <v>74</v>
      </c>
      <c r="E1488" t="s">
        <v>74</v>
      </c>
      <c r="F1488" t="s">
        <v>25022</v>
      </c>
      <c r="G1488" t="s">
        <v>74</v>
      </c>
      <c r="H1488" t="s">
        <v>74</v>
      </c>
      <c r="I1488" t="s">
        <v>25023</v>
      </c>
      <c r="J1488" t="s">
        <v>15730</v>
      </c>
      <c r="K1488" t="s">
        <v>74</v>
      </c>
      <c r="L1488" t="s">
        <v>74</v>
      </c>
      <c r="M1488" t="s">
        <v>3503</v>
      </c>
      <c r="N1488" t="s">
        <v>108</v>
      </c>
      <c r="O1488" t="s">
        <v>74</v>
      </c>
      <c r="P1488" t="s">
        <v>74</v>
      </c>
      <c r="Q1488" t="s">
        <v>74</v>
      </c>
      <c r="R1488" t="s">
        <v>74</v>
      </c>
      <c r="S1488" t="s">
        <v>74</v>
      </c>
      <c r="T1488" t="s">
        <v>25024</v>
      </c>
      <c r="U1488" t="s">
        <v>19127</v>
      </c>
      <c r="V1488" t="s">
        <v>25025</v>
      </c>
      <c r="W1488" t="s">
        <v>25026</v>
      </c>
      <c r="X1488" t="s">
        <v>25027</v>
      </c>
      <c r="Y1488" t="s">
        <v>25028</v>
      </c>
      <c r="Z1488" t="s">
        <v>25029</v>
      </c>
      <c r="AA1488" t="s">
        <v>6230</v>
      </c>
      <c r="AB1488" t="s">
        <v>25030</v>
      </c>
      <c r="AC1488" t="s">
        <v>74</v>
      </c>
      <c r="AD1488" t="s">
        <v>74</v>
      </c>
      <c r="AE1488" t="s">
        <v>74</v>
      </c>
      <c r="AF1488" t="s">
        <v>74</v>
      </c>
      <c r="AG1488">
        <v>63</v>
      </c>
      <c r="AH1488">
        <v>9</v>
      </c>
      <c r="AI1488">
        <v>9</v>
      </c>
      <c r="AJ1488">
        <v>12</v>
      </c>
      <c r="AK1488">
        <v>74</v>
      </c>
      <c r="AL1488" t="s">
        <v>15741</v>
      </c>
      <c r="AM1488" t="s">
        <v>15742</v>
      </c>
      <c r="AN1488" t="s">
        <v>15743</v>
      </c>
      <c r="AO1488" t="s">
        <v>15744</v>
      </c>
      <c r="AP1488" t="s">
        <v>15745</v>
      </c>
      <c r="AQ1488" t="s">
        <v>74</v>
      </c>
      <c r="AR1488" t="s">
        <v>15746</v>
      </c>
      <c r="AS1488" t="s">
        <v>15747</v>
      </c>
      <c r="AT1488" t="s">
        <v>21758</v>
      </c>
      <c r="AU1488">
        <v>2021</v>
      </c>
      <c r="AV1488">
        <v>20</v>
      </c>
      <c r="AW1488">
        <v>2</v>
      </c>
      <c r="AX1488" t="s">
        <v>74</v>
      </c>
      <c r="AY1488" t="s">
        <v>74</v>
      </c>
      <c r="AZ1488" t="s">
        <v>74</v>
      </c>
      <c r="BA1488" t="s">
        <v>74</v>
      </c>
      <c r="BB1488">
        <v>223</v>
      </c>
      <c r="BC1488">
        <v>242</v>
      </c>
      <c r="BD1488" t="s">
        <v>74</v>
      </c>
      <c r="BE1488" t="s">
        <v>25031</v>
      </c>
      <c r="BF1488" t="str">
        <f>HYPERLINK("http://dx.doi.org/10.26441/RC20.2-2021-A12","http://dx.doi.org/10.26441/RC20.2-2021-A12")</f>
        <v>http://dx.doi.org/10.26441/RC20.2-2021-A12</v>
      </c>
      <c r="BG1488" t="s">
        <v>74</v>
      </c>
      <c r="BH1488" t="s">
        <v>74</v>
      </c>
      <c r="BI1488">
        <v>20</v>
      </c>
      <c r="BJ1488" t="s">
        <v>124</v>
      </c>
      <c r="BK1488" t="s">
        <v>125</v>
      </c>
      <c r="BL1488" t="s">
        <v>124</v>
      </c>
      <c r="BM1488" t="s">
        <v>25032</v>
      </c>
      <c r="BN1488" t="s">
        <v>74</v>
      </c>
      <c r="BO1488" t="s">
        <v>235</v>
      </c>
      <c r="BP1488" t="s">
        <v>74</v>
      </c>
      <c r="BQ1488" t="s">
        <v>74</v>
      </c>
      <c r="BR1488" t="s">
        <v>102</v>
      </c>
      <c r="BS1488" t="s">
        <v>25033</v>
      </c>
      <c r="BT1488" t="str">
        <f>HYPERLINK("https%3A%2F%2Fwww.webofscience.com%2Fwos%2Fwoscc%2Ffull-record%2FWOS:000756215400014","View Full Record in Web of Science")</f>
        <v>View Full Record in Web of Science</v>
      </c>
    </row>
    <row r="1489" spans="1:72" x14ac:dyDescent="0.35">
      <c r="A1489" t="s">
        <v>72</v>
      </c>
      <c r="B1489" t="s">
        <v>25034</v>
      </c>
      <c r="C1489" t="s">
        <v>74</v>
      </c>
      <c r="D1489" t="s">
        <v>74</v>
      </c>
      <c r="E1489" t="s">
        <v>74</v>
      </c>
      <c r="F1489" t="s">
        <v>25035</v>
      </c>
      <c r="G1489" t="s">
        <v>74</v>
      </c>
      <c r="H1489" t="s">
        <v>74</v>
      </c>
      <c r="I1489" t="s">
        <v>25036</v>
      </c>
      <c r="J1489" t="s">
        <v>216</v>
      </c>
      <c r="K1489" t="s">
        <v>74</v>
      </c>
      <c r="L1489" t="s">
        <v>74</v>
      </c>
      <c r="M1489" t="s">
        <v>78</v>
      </c>
      <c r="N1489" t="s">
        <v>108</v>
      </c>
      <c r="O1489" t="s">
        <v>74</v>
      </c>
      <c r="P1489" t="s">
        <v>74</v>
      </c>
      <c r="Q1489" t="s">
        <v>74</v>
      </c>
      <c r="R1489" t="s">
        <v>74</v>
      </c>
      <c r="S1489" t="s">
        <v>74</v>
      </c>
      <c r="T1489" t="s">
        <v>25037</v>
      </c>
      <c r="U1489" t="s">
        <v>25038</v>
      </c>
      <c r="V1489" t="s">
        <v>25039</v>
      </c>
      <c r="W1489" t="s">
        <v>25040</v>
      </c>
      <c r="X1489" t="s">
        <v>25041</v>
      </c>
      <c r="Y1489" t="s">
        <v>25042</v>
      </c>
      <c r="Z1489" t="s">
        <v>25043</v>
      </c>
      <c r="AA1489" t="s">
        <v>74</v>
      </c>
      <c r="AB1489" t="s">
        <v>25044</v>
      </c>
      <c r="AC1489" t="s">
        <v>74</v>
      </c>
      <c r="AD1489" t="s">
        <v>74</v>
      </c>
      <c r="AE1489" t="s">
        <v>74</v>
      </c>
      <c r="AF1489" t="s">
        <v>74</v>
      </c>
      <c r="AG1489">
        <v>48</v>
      </c>
      <c r="AH1489">
        <v>0</v>
      </c>
      <c r="AI1489">
        <v>0</v>
      </c>
      <c r="AJ1489">
        <v>4</v>
      </c>
      <c r="AK1489">
        <v>4</v>
      </c>
      <c r="AL1489" t="s">
        <v>226</v>
      </c>
      <c r="AM1489" t="s">
        <v>227</v>
      </c>
      <c r="AN1489" t="s">
        <v>228</v>
      </c>
      <c r="AO1489" t="s">
        <v>229</v>
      </c>
      <c r="AP1489" t="s">
        <v>74</v>
      </c>
      <c r="AQ1489" t="s">
        <v>74</v>
      </c>
      <c r="AR1489" t="s">
        <v>230</v>
      </c>
      <c r="AS1489" t="s">
        <v>231</v>
      </c>
      <c r="AT1489" t="s">
        <v>273</v>
      </c>
      <c r="AU1489">
        <v>2024</v>
      </c>
      <c r="AV1489">
        <v>10</v>
      </c>
      <c r="AW1489">
        <v>3</v>
      </c>
      <c r="AX1489" t="s">
        <v>74</v>
      </c>
      <c r="AY1489" t="s">
        <v>74</v>
      </c>
      <c r="AZ1489" t="s">
        <v>74</v>
      </c>
      <c r="BA1489" t="s">
        <v>74</v>
      </c>
      <c r="BB1489" t="s">
        <v>74</v>
      </c>
      <c r="BC1489" t="s">
        <v>74</v>
      </c>
      <c r="BD1489">
        <v>2.0563051241277608E+16</v>
      </c>
      <c r="BE1489" t="s">
        <v>25045</v>
      </c>
      <c r="BF1489" t="str">
        <f>HYPERLINK("http://dx.doi.org/10.1177/20563051241277607","http://dx.doi.org/10.1177/20563051241277607")</f>
        <v>http://dx.doi.org/10.1177/20563051241277607</v>
      </c>
      <c r="BG1489" t="s">
        <v>74</v>
      </c>
      <c r="BH1489" t="s">
        <v>74</v>
      </c>
      <c r="BI1489">
        <v>12</v>
      </c>
      <c r="BJ1489" t="s">
        <v>124</v>
      </c>
      <c r="BK1489" t="s">
        <v>99</v>
      </c>
      <c r="BL1489" t="s">
        <v>124</v>
      </c>
      <c r="BM1489" t="s">
        <v>25046</v>
      </c>
      <c r="BN1489" t="s">
        <v>74</v>
      </c>
      <c r="BO1489" t="s">
        <v>235</v>
      </c>
      <c r="BP1489" t="s">
        <v>74</v>
      </c>
      <c r="BQ1489" t="s">
        <v>74</v>
      </c>
      <c r="BR1489" t="s">
        <v>102</v>
      </c>
      <c r="BS1489" t="s">
        <v>25047</v>
      </c>
      <c r="BT1489" t="str">
        <f>HYPERLINK("https%3A%2F%2Fwww.webofscience.com%2Fwos%2Fwoscc%2Ffull-record%2FWOS:001324847200001","View Full Record in Web of Science")</f>
        <v>View Full Record in Web of Science</v>
      </c>
    </row>
    <row r="1490" spans="1:72" x14ac:dyDescent="0.35">
      <c r="A1490" t="s">
        <v>128</v>
      </c>
      <c r="B1490" t="s">
        <v>25048</v>
      </c>
      <c r="C1490" t="s">
        <v>74</v>
      </c>
      <c r="D1490" t="s">
        <v>25049</v>
      </c>
      <c r="E1490" t="s">
        <v>74</v>
      </c>
      <c r="F1490" t="s">
        <v>25050</v>
      </c>
      <c r="G1490" t="s">
        <v>74</v>
      </c>
      <c r="H1490" t="s">
        <v>74</v>
      </c>
      <c r="I1490" t="s">
        <v>25051</v>
      </c>
      <c r="J1490" t="s">
        <v>25052</v>
      </c>
      <c r="K1490" t="s">
        <v>7722</v>
      </c>
      <c r="L1490" t="s">
        <v>74</v>
      </c>
      <c r="M1490" t="s">
        <v>78</v>
      </c>
      <c r="N1490" t="s">
        <v>135</v>
      </c>
      <c r="O1490" t="s">
        <v>25053</v>
      </c>
      <c r="P1490" t="s">
        <v>25054</v>
      </c>
      <c r="Q1490" t="s">
        <v>25055</v>
      </c>
      <c r="R1490" t="s">
        <v>25056</v>
      </c>
      <c r="S1490" t="s">
        <v>74</v>
      </c>
      <c r="T1490" t="s">
        <v>25057</v>
      </c>
      <c r="U1490" t="s">
        <v>25058</v>
      </c>
      <c r="V1490" t="s">
        <v>25059</v>
      </c>
      <c r="W1490" t="s">
        <v>25060</v>
      </c>
      <c r="X1490" t="s">
        <v>25061</v>
      </c>
      <c r="Y1490" t="s">
        <v>25062</v>
      </c>
      <c r="Z1490" t="s">
        <v>25063</v>
      </c>
      <c r="AA1490" t="s">
        <v>74</v>
      </c>
      <c r="AB1490" t="s">
        <v>25064</v>
      </c>
      <c r="AC1490" t="s">
        <v>74</v>
      </c>
      <c r="AD1490" t="s">
        <v>74</v>
      </c>
      <c r="AE1490" t="s">
        <v>74</v>
      </c>
      <c r="AF1490" t="s">
        <v>74</v>
      </c>
      <c r="AG1490">
        <v>24</v>
      </c>
      <c r="AH1490">
        <v>0</v>
      </c>
      <c r="AI1490">
        <v>0</v>
      </c>
      <c r="AJ1490">
        <v>18</v>
      </c>
      <c r="AK1490">
        <v>22</v>
      </c>
      <c r="AL1490" t="s">
        <v>718</v>
      </c>
      <c r="AM1490" t="s">
        <v>666</v>
      </c>
      <c r="AN1490" t="s">
        <v>719</v>
      </c>
      <c r="AO1490" t="s">
        <v>7734</v>
      </c>
      <c r="AP1490" t="s">
        <v>7735</v>
      </c>
      <c r="AQ1490" t="s">
        <v>25065</v>
      </c>
      <c r="AR1490" t="s">
        <v>7737</v>
      </c>
      <c r="AS1490" t="s">
        <v>74</v>
      </c>
      <c r="AT1490" t="s">
        <v>74</v>
      </c>
      <c r="AU1490">
        <v>2023</v>
      </c>
      <c r="AV1490" t="s">
        <v>74</v>
      </c>
      <c r="AW1490" t="s">
        <v>74</v>
      </c>
      <c r="AX1490" t="s">
        <v>74</v>
      </c>
      <c r="AY1490" t="s">
        <v>74</v>
      </c>
      <c r="AZ1490" t="s">
        <v>74</v>
      </c>
      <c r="BA1490" t="s">
        <v>74</v>
      </c>
      <c r="BB1490">
        <v>475</v>
      </c>
      <c r="BC1490">
        <v>479</v>
      </c>
      <c r="BD1490" t="s">
        <v>74</v>
      </c>
      <c r="BE1490" t="s">
        <v>25066</v>
      </c>
      <c r="BF1490" t="str">
        <f>HYPERLINK("http://dx.doi.org/10.1145/3625007.3627490","http://dx.doi.org/10.1145/3625007.3627490")</f>
        <v>http://dx.doi.org/10.1145/3625007.3627490</v>
      </c>
      <c r="BG1490" t="s">
        <v>74</v>
      </c>
      <c r="BH1490" t="s">
        <v>74</v>
      </c>
      <c r="BI1490">
        <v>5</v>
      </c>
      <c r="BJ1490" t="s">
        <v>7739</v>
      </c>
      <c r="BK1490" t="s">
        <v>648</v>
      </c>
      <c r="BL1490" t="s">
        <v>7740</v>
      </c>
      <c r="BM1490" t="s">
        <v>25067</v>
      </c>
      <c r="BN1490" t="s">
        <v>74</v>
      </c>
      <c r="BO1490" t="s">
        <v>767</v>
      </c>
      <c r="BP1490" t="s">
        <v>74</v>
      </c>
      <c r="BQ1490" t="s">
        <v>74</v>
      </c>
      <c r="BR1490" t="s">
        <v>102</v>
      </c>
      <c r="BS1490" t="s">
        <v>25068</v>
      </c>
      <c r="BT1490" t="str">
        <f>HYPERLINK("https%3A%2F%2Fwww.webofscience.com%2Fwos%2Fwoscc%2Ffull-record%2FWOS:001191293500077","View Full Record in Web of Science")</f>
        <v>View Full Record in Web of Science</v>
      </c>
    </row>
    <row r="1491" spans="1:72" x14ac:dyDescent="0.35">
      <c r="A1491" t="s">
        <v>72</v>
      </c>
      <c r="B1491" t="s">
        <v>25069</v>
      </c>
      <c r="C1491" t="s">
        <v>74</v>
      </c>
      <c r="D1491" t="s">
        <v>74</v>
      </c>
      <c r="E1491" t="s">
        <v>74</v>
      </c>
      <c r="F1491" t="s">
        <v>25070</v>
      </c>
      <c r="G1491" t="s">
        <v>74</v>
      </c>
      <c r="H1491" t="s">
        <v>74</v>
      </c>
      <c r="I1491" t="s">
        <v>25071</v>
      </c>
      <c r="J1491" t="s">
        <v>25072</v>
      </c>
      <c r="K1491" t="s">
        <v>74</v>
      </c>
      <c r="L1491" t="s">
        <v>74</v>
      </c>
      <c r="M1491" t="s">
        <v>78</v>
      </c>
      <c r="N1491" t="s">
        <v>108</v>
      </c>
      <c r="O1491" t="s">
        <v>74</v>
      </c>
      <c r="P1491" t="s">
        <v>74</v>
      </c>
      <c r="Q1491" t="s">
        <v>74</v>
      </c>
      <c r="R1491" t="s">
        <v>74</v>
      </c>
      <c r="S1491" t="s">
        <v>74</v>
      </c>
      <c r="T1491" t="s">
        <v>25073</v>
      </c>
      <c r="U1491" t="s">
        <v>25074</v>
      </c>
      <c r="V1491" t="s">
        <v>25075</v>
      </c>
      <c r="W1491" t="s">
        <v>25076</v>
      </c>
      <c r="X1491" t="s">
        <v>12189</v>
      </c>
      <c r="Y1491" t="s">
        <v>25077</v>
      </c>
      <c r="Z1491" t="s">
        <v>25078</v>
      </c>
      <c r="AA1491" t="s">
        <v>74</v>
      </c>
      <c r="AB1491" t="s">
        <v>74</v>
      </c>
      <c r="AC1491" t="s">
        <v>74</v>
      </c>
      <c r="AD1491" t="s">
        <v>74</v>
      </c>
      <c r="AE1491" t="s">
        <v>74</v>
      </c>
      <c r="AF1491" t="s">
        <v>74</v>
      </c>
      <c r="AG1491">
        <v>57</v>
      </c>
      <c r="AH1491">
        <v>4</v>
      </c>
      <c r="AI1491">
        <v>4</v>
      </c>
      <c r="AJ1491">
        <v>13</v>
      </c>
      <c r="AK1491">
        <v>42</v>
      </c>
      <c r="AL1491" t="s">
        <v>25079</v>
      </c>
      <c r="AM1491" t="s">
        <v>666</v>
      </c>
      <c r="AN1491" t="s">
        <v>25080</v>
      </c>
      <c r="AO1491" t="s">
        <v>25081</v>
      </c>
      <c r="AP1491" t="s">
        <v>74</v>
      </c>
      <c r="AQ1491" t="s">
        <v>74</v>
      </c>
      <c r="AR1491" t="s">
        <v>25082</v>
      </c>
      <c r="AS1491" t="s">
        <v>25083</v>
      </c>
      <c r="AT1491" t="s">
        <v>257</v>
      </c>
      <c r="AU1491">
        <v>2023</v>
      </c>
      <c r="AV1491">
        <v>42</v>
      </c>
      <c r="AW1491">
        <v>3</v>
      </c>
      <c r="AX1491" t="s">
        <v>74</v>
      </c>
      <c r="AY1491" t="s">
        <v>74</v>
      </c>
      <c r="AZ1491" t="s">
        <v>74</v>
      </c>
      <c r="BA1491" t="s">
        <v>74</v>
      </c>
      <c r="BB1491">
        <v>187</v>
      </c>
      <c r="BC1491">
        <v>213</v>
      </c>
      <c r="BD1491" t="s">
        <v>74</v>
      </c>
      <c r="BE1491" t="s">
        <v>25084</v>
      </c>
      <c r="BF1491" t="str">
        <f>HYPERLINK("http://dx.doi.org/10.1521/jscp.2023.42.3.187","http://dx.doi.org/10.1521/jscp.2023.42.3.187")</f>
        <v>http://dx.doi.org/10.1521/jscp.2023.42.3.187</v>
      </c>
      <c r="BG1491" t="s">
        <v>74</v>
      </c>
      <c r="BH1491" t="s">
        <v>74</v>
      </c>
      <c r="BI1491">
        <v>27</v>
      </c>
      <c r="BJ1491" t="s">
        <v>25085</v>
      </c>
      <c r="BK1491" t="s">
        <v>99</v>
      </c>
      <c r="BL1491" t="s">
        <v>301</v>
      </c>
      <c r="BM1491" t="s">
        <v>25086</v>
      </c>
      <c r="BN1491" t="s">
        <v>74</v>
      </c>
      <c r="BO1491" t="s">
        <v>74</v>
      </c>
      <c r="BP1491" t="s">
        <v>74</v>
      </c>
      <c r="BQ1491" t="s">
        <v>74</v>
      </c>
      <c r="BR1491" t="s">
        <v>102</v>
      </c>
      <c r="BS1491" t="s">
        <v>25087</v>
      </c>
      <c r="BT1491" t="str">
        <f>HYPERLINK("https%3A%2F%2Fwww.webofscience.com%2Fwos%2Fwoscc%2Ffull-record%2FWOS:001004120300001","View Full Record in Web of Science")</f>
        <v>View Full Record in Web of Science</v>
      </c>
    </row>
    <row r="1492" spans="1:72" x14ac:dyDescent="0.35">
      <c r="A1492" t="s">
        <v>72</v>
      </c>
      <c r="B1492" t="s">
        <v>25088</v>
      </c>
      <c r="C1492" t="s">
        <v>74</v>
      </c>
      <c r="D1492" t="s">
        <v>74</v>
      </c>
      <c r="E1492" t="s">
        <v>74</v>
      </c>
      <c r="F1492" t="s">
        <v>25089</v>
      </c>
      <c r="G1492" t="s">
        <v>74</v>
      </c>
      <c r="H1492" t="s">
        <v>74</v>
      </c>
      <c r="I1492" t="s">
        <v>25090</v>
      </c>
      <c r="J1492" t="s">
        <v>25091</v>
      </c>
      <c r="K1492" t="s">
        <v>74</v>
      </c>
      <c r="L1492" t="s">
        <v>74</v>
      </c>
      <c r="M1492" t="s">
        <v>78</v>
      </c>
      <c r="N1492" t="s">
        <v>108</v>
      </c>
      <c r="O1492" t="s">
        <v>74</v>
      </c>
      <c r="P1492" t="s">
        <v>74</v>
      </c>
      <c r="Q1492" t="s">
        <v>74</v>
      </c>
      <c r="R1492" t="s">
        <v>74</v>
      </c>
      <c r="S1492" t="s">
        <v>74</v>
      </c>
      <c r="T1492" t="s">
        <v>25092</v>
      </c>
      <c r="U1492" t="s">
        <v>25093</v>
      </c>
      <c r="V1492" t="s">
        <v>25094</v>
      </c>
      <c r="W1492" t="s">
        <v>25095</v>
      </c>
      <c r="X1492" t="s">
        <v>25096</v>
      </c>
      <c r="Y1492" t="s">
        <v>25097</v>
      </c>
      <c r="Z1492" t="s">
        <v>25098</v>
      </c>
      <c r="AA1492" t="s">
        <v>74</v>
      </c>
      <c r="AB1492" t="s">
        <v>25099</v>
      </c>
      <c r="AC1492" t="s">
        <v>25100</v>
      </c>
      <c r="AD1492" t="s">
        <v>25101</v>
      </c>
      <c r="AE1492" t="s">
        <v>25102</v>
      </c>
      <c r="AF1492" t="s">
        <v>74</v>
      </c>
      <c r="AG1492">
        <v>34</v>
      </c>
      <c r="AH1492">
        <v>0</v>
      </c>
      <c r="AI1492">
        <v>0</v>
      </c>
      <c r="AJ1492">
        <v>2</v>
      </c>
      <c r="AK1492">
        <v>29</v>
      </c>
      <c r="AL1492" t="s">
        <v>1195</v>
      </c>
      <c r="AM1492" t="s">
        <v>1196</v>
      </c>
      <c r="AN1492" t="s">
        <v>1197</v>
      </c>
      <c r="AO1492" t="s">
        <v>25103</v>
      </c>
      <c r="AP1492" t="s">
        <v>74</v>
      </c>
      <c r="AQ1492" t="s">
        <v>74</v>
      </c>
      <c r="AR1492" t="s">
        <v>25091</v>
      </c>
      <c r="AS1492" t="s">
        <v>25104</v>
      </c>
      <c r="AT1492" t="s">
        <v>930</v>
      </c>
      <c r="AU1492">
        <v>2022</v>
      </c>
      <c r="AV1492">
        <v>14</v>
      </c>
      <c r="AW1492">
        <v>4</v>
      </c>
      <c r="AX1492" t="s">
        <v>74</v>
      </c>
      <c r="AY1492" t="s">
        <v>74</v>
      </c>
      <c r="AZ1492" t="s">
        <v>74</v>
      </c>
      <c r="BA1492" t="s">
        <v>74</v>
      </c>
      <c r="BB1492" t="s">
        <v>74</v>
      </c>
      <c r="BC1492" t="s">
        <v>74</v>
      </c>
      <c r="BD1492">
        <v>103</v>
      </c>
      <c r="BE1492" t="s">
        <v>25105</v>
      </c>
      <c r="BF1492" t="str">
        <f>HYPERLINK("http://dx.doi.org/10.3390/fi14040103","http://dx.doi.org/10.3390/fi14040103")</f>
        <v>http://dx.doi.org/10.3390/fi14040103</v>
      </c>
      <c r="BG1492" t="s">
        <v>74</v>
      </c>
      <c r="BH1492" t="s">
        <v>74</v>
      </c>
      <c r="BI1492">
        <v>17</v>
      </c>
      <c r="BJ1492" t="s">
        <v>5789</v>
      </c>
      <c r="BK1492" t="s">
        <v>125</v>
      </c>
      <c r="BL1492" t="s">
        <v>210</v>
      </c>
      <c r="BM1492" t="s">
        <v>25106</v>
      </c>
      <c r="BN1492" t="s">
        <v>74</v>
      </c>
      <c r="BO1492" t="s">
        <v>235</v>
      </c>
      <c r="BP1492" t="s">
        <v>74</v>
      </c>
      <c r="BQ1492" t="s">
        <v>74</v>
      </c>
      <c r="BR1492" t="s">
        <v>102</v>
      </c>
      <c r="BS1492" t="s">
        <v>25107</v>
      </c>
      <c r="BT1492" t="str">
        <f>HYPERLINK("https%3A%2F%2Fwww.webofscience.com%2Fwos%2Fwoscc%2Ffull-record%2FWOS:000785268400001","View Full Record in Web of Science")</f>
        <v>View Full Record in Web of Science</v>
      </c>
    </row>
    <row r="1493" spans="1:72" x14ac:dyDescent="0.35">
      <c r="A1493" t="s">
        <v>72</v>
      </c>
      <c r="B1493" t="s">
        <v>25108</v>
      </c>
      <c r="C1493" t="s">
        <v>74</v>
      </c>
      <c r="D1493" t="s">
        <v>74</v>
      </c>
      <c r="E1493" t="s">
        <v>74</v>
      </c>
      <c r="F1493" t="s">
        <v>25109</v>
      </c>
      <c r="G1493" t="s">
        <v>74</v>
      </c>
      <c r="H1493" t="s">
        <v>74</v>
      </c>
      <c r="I1493" t="s">
        <v>25110</v>
      </c>
      <c r="J1493" t="s">
        <v>25111</v>
      </c>
      <c r="K1493" t="s">
        <v>74</v>
      </c>
      <c r="L1493" t="s">
        <v>74</v>
      </c>
      <c r="M1493" t="s">
        <v>78</v>
      </c>
      <c r="N1493" t="s">
        <v>108</v>
      </c>
      <c r="O1493" t="s">
        <v>74</v>
      </c>
      <c r="P1493" t="s">
        <v>74</v>
      </c>
      <c r="Q1493" t="s">
        <v>74</v>
      </c>
      <c r="R1493" t="s">
        <v>74</v>
      </c>
      <c r="S1493" t="s">
        <v>74</v>
      </c>
      <c r="T1493" t="s">
        <v>25112</v>
      </c>
      <c r="U1493" t="s">
        <v>25113</v>
      </c>
      <c r="V1493" t="s">
        <v>25114</v>
      </c>
      <c r="W1493" t="s">
        <v>25115</v>
      </c>
      <c r="X1493" t="s">
        <v>25116</v>
      </c>
      <c r="Y1493" t="s">
        <v>25117</v>
      </c>
      <c r="Z1493" t="s">
        <v>25118</v>
      </c>
      <c r="AA1493" t="s">
        <v>25119</v>
      </c>
      <c r="AB1493" t="s">
        <v>25120</v>
      </c>
      <c r="AC1493" t="s">
        <v>25121</v>
      </c>
      <c r="AD1493" t="s">
        <v>25122</v>
      </c>
      <c r="AE1493" t="s">
        <v>25123</v>
      </c>
      <c r="AF1493" t="s">
        <v>74</v>
      </c>
      <c r="AG1493">
        <v>42</v>
      </c>
      <c r="AH1493">
        <v>9</v>
      </c>
      <c r="AI1493">
        <v>9</v>
      </c>
      <c r="AJ1493">
        <v>11</v>
      </c>
      <c r="AK1493">
        <v>127</v>
      </c>
      <c r="AL1493" t="s">
        <v>25124</v>
      </c>
      <c r="AM1493" t="s">
        <v>18022</v>
      </c>
      <c r="AN1493" t="s">
        <v>25125</v>
      </c>
      <c r="AO1493" t="s">
        <v>25126</v>
      </c>
      <c r="AP1493" t="s">
        <v>74</v>
      </c>
      <c r="AQ1493" t="s">
        <v>74</v>
      </c>
      <c r="AR1493" t="s">
        <v>25111</v>
      </c>
      <c r="AS1493" t="s">
        <v>25127</v>
      </c>
      <c r="AT1493" t="s">
        <v>74</v>
      </c>
      <c r="AU1493">
        <v>2022</v>
      </c>
      <c r="AV1493">
        <v>10</v>
      </c>
      <c r="AW1493" t="s">
        <v>74</v>
      </c>
      <c r="AX1493" t="s">
        <v>74</v>
      </c>
      <c r="AY1493" t="s">
        <v>74</v>
      </c>
      <c r="AZ1493" t="s">
        <v>74</v>
      </c>
      <c r="BA1493" t="s">
        <v>74</v>
      </c>
      <c r="BB1493">
        <v>40999</v>
      </c>
      <c r="BC1493">
        <v>41009</v>
      </c>
      <c r="BD1493" t="s">
        <v>74</v>
      </c>
      <c r="BE1493" t="s">
        <v>25128</v>
      </c>
      <c r="BF1493" t="str">
        <f>HYPERLINK("http://dx.doi.org/10.1109/ACCESS.2022.3167687","http://dx.doi.org/10.1109/ACCESS.2022.3167687")</f>
        <v>http://dx.doi.org/10.1109/ACCESS.2022.3167687</v>
      </c>
      <c r="BG1493" t="s">
        <v>74</v>
      </c>
      <c r="BH1493" t="s">
        <v>74</v>
      </c>
      <c r="BI1493">
        <v>11</v>
      </c>
      <c r="BJ1493" t="s">
        <v>25129</v>
      </c>
      <c r="BK1493" t="s">
        <v>182</v>
      </c>
      <c r="BL1493" t="s">
        <v>25130</v>
      </c>
      <c r="BM1493" t="s">
        <v>25131</v>
      </c>
      <c r="BN1493" t="s">
        <v>74</v>
      </c>
      <c r="BO1493" t="s">
        <v>235</v>
      </c>
      <c r="BP1493" t="s">
        <v>74</v>
      </c>
      <c r="BQ1493" t="s">
        <v>74</v>
      </c>
      <c r="BR1493" t="s">
        <v>102</v>
      </c>
      <c r="BS1493" t="s">
        <v>25132</v>
      </c>
      <c r="BT1493" t="str">
        <f>HYPERLINK("https%3A%2F%2Fwww.webofscience.com%2Fwos%2Fwoscc%2Ffull-record%2FWOS:000788964600001","View Full Record in Web of Science")</f>
        <v>View Full Record in Web of Science</v>
      </c>
    </row>
    <row r="1494" spans="1:72" x14ac:dyDescent="0.35">
      <c r="A1494" t="s">
        <v>72</v>
      </c>
      <c r="B1494" t="s">
        <v>25133</v>
      </c>
      <c r="C1494" t="s">
        <v>74</v>
      </c>
      <c r="D1494" t="s">
        <v>74</v>
      </c>
      <c r="E1494" t="s">
        <v>74</v>
      </c>
      <c r="F1494" t="s">
        <v>25134</v>
      </c>
      <c r="G1494" t="s">
        <v>74</v>
      </c>
      <c r="H1494" t="s">
        <v>74</v>
      </c>
      <c r="I1494" t="s">
        <v>25135</v>
      </c>
      <c r="J1494" t="s">
        <v>25136</v>
      </c>
      <c r="K1494" t="s">
        <v>74</v>
      </c>
      <c r="L1494" t="s">
        <v>74</v>
      </c>
      <c r="M1494" t="s">
        <v>78</v>
      </c>
      <c r="N1494" t="s">
        <v>108</v>
      </c>
      <c r="O1494" t="s">
        <v>74</v>
      </c>
      <c r="P1494" t="s">
        <v>74</v>
      </c>
      <c r="Q1494" t="s">
        <v>74</v>
      </c>
      <c r="R1494" t="s">
        <v>74</v>
      </c>
      <c r="S1494" t="s">
        <v>74</v>
      </c>
      <c r="T1494" t="s">
        <v>25137</v>
      </c>
      <c r="U1494" t="s">
        <v>25138</v>
      </c>
      <c r="V1494" t="s">
        <v>25139</v>
      </c>
      <c r="W1494" t="s">
        <v>25140</v>
      </c>
      <c r="X1494" t="s">
        <v>25141</v>
      </c>
      <c r="Y1494" t="s">
        <v>25142</v>
      </c>
      <c r="Z1494" t="s">
        <v>25143</v>
      </c>
      <c r="AA1494" t="s">
        <v>25144</v>
      </c>
      <c r="AB1494" t="s">
        <v>25145</v>
      </c>
      <c r="AC1494" t="s">
        <v>25146</v>
      </c>
      <c r="AD1494" t="s">
        <v>25147</v>
      </c>
      <c r="AE1494" t="s">
        <v>25148</v>
      </c>
      <c r="AF1494" t="s">
        <v>74</v>
      </c>
      <c r="AG1494">
        <v>68</v>
      </c>
      <c r="AH1494">
        <v>1</v>
      </c>
      <c r="AI1494">
        <v>1</v>
      </c>
      <c r="AJ1494">
        <v>2</v>
      </c>
      <c r="AK1494">
        <v>2</v>
      </c>
      <c r="AL1494" t="s">
        <v>1195</v>
      </c>
      <c r="AM1494" t="s">
        <v>1196</v>
      </c>
      <c r="AN1494" t="s">
        <v>1197</v>
      </c>
      <c r="AO1494" t="s">
        <v>74</v>
      </c>
      <c r="AP1494" t="s">
        <v>25149</v>
      </c>
      <c r="AQ1494" t="s">
        <v>74</v>
      </c>
      <c r="AR1494" t="s">
        <v>25150</v>
      </c>
      <c r="AS1494" t="s">
        <v>25151</v>
      </c>
      <c r="AT1494" t="s">
        <v>455</v>
      </c>
      <c r="AU1494">
        <v>2024</v>
      </c>
      <c r="AV1494">
        <v>4</v>
      </c>
      <c r="AW1494">
        <v>3</v>
      </c>
      <c r="AX1494" t="s">
        <v>74</v>
      </c>
      <c r="AY1494" t="s">
        <v>74</v>
      </c>
      <c r="AZ1494" t="s">
        <v>74</v>
      </c>
      <c r="BA1494" t="s">
        <v>74</v>
      </c>
      <c r="BB1494">
        <v>1058</v>
      </c>
      <c r="BC1494">
        <v>1075</v>
      </c>
      <c r="BD1494" t="s">
        <v>74</v>
      </c>
      <c r="BE1494" t="s">
        <v>25152</v>
      </c>
      <c r="BF1494" t="str">
        <f>HYPERLINK("http://dx.doi.org/10.3390/youth4030066","http://dx.doi.org/10.3390/youth4030066")</f>
        <v>http://dx.doi.org/10.3390/youth4030066</v>
      </c>
      <c r="BG1494" t="s">
        <v>74</v>
      </c>
      <c r="BH1494" t="s">
        <v>74</v>
      </c>
      <c r="BI1494">
        <v>18</v>
      </c>
      <c r="BJ1494" t="s">
        <v>25153</v>
      </c>
      <c r="BK1494" t="s">
        <v>125</v>
      </c>
      <c r="BL1494" t="s">
        <v>25154</v>
      </c>
      <c r="BM1494" t="s">
        <v>25155</v>
      </c>
      <c r="BN1494" t="s">
        <v>74</v>
      </c>
      <c r="BO1494" t="s">
        <v>394</v>
      </c>
      <c r="BP1494" t="s">
        <v>74</v>
      </c>
      <c r="BQ1494" t="s">
        <v>74</v>
      </c>
      <c r="BR1494" t="s">
        <v>102</v>
      </c>
      <c r="BS1494" t="s">
        <v>25156</v>
      </c>
      <c r="BT1494" t="str">
        <f>HYPERLINK("https%3A%2F%2Fwww.webofscience.com%2Fwos%2Fwoscc%2Ffull-record%2FWOS:001338306900001","View Full Record in Web of Science")</f>
        <v>View Full Record in Web of Science</v>
      </c>
    </row>
    <row r="1495" spans="1:72" x14ac:dyDescent="0.35">
      <c r="A1495" t="s">
        <v>72</v>
      </c>
      <c r="B1495" t="s">
        <v>25157</v>
      </c>
      <c r="C1495" t="s">
        <v>74</v>
      </c>
      <c r="D1495" t="s">
        <v>74</v>
      </c>
      <c r="E1495" t="s">
        <v>74</v>
      </c>
      <c r="F1495" t="s">
        <v>25158</v>
      </c>
      <c r="G1495" t="s">
        <v>74</v>
      </c>
      <c r="H1495" t="s">
        <v>74</v>
      </c>
      <c r="I1495" t="s">
        <v>25159</v>
      </c>
      <c r="J1495" t="s">
        <v>25160</v>
      </c>
      <c r="K1495" t="s">
        <v>74</v>
      </c>
      <c r="L1495" t="s">
        <v>74</v>
      </c>
      <c r="M1495" t="s">
        <v>78</v>
      </c>
      <c r="N1495" t="s">
        <v>108</v>
      </c>
      <c r="O1495" t="s">
        <v>74</v>
      </c>
      <c r="P1495" t="s">
        <v>74</v>
      </c>
      <c r="Q1495" t="s">
        <v>74</v>
      </c>
      <c r="R1495" t="s">
        <v>74</v>
      </c>
      <c r="S1495" t="s">
        <v>74</v>
      </c>
      <c r="T1495" t="s">
        <v>25161</v>
      </c>
      <c r="U1495" t="s">
        <v>74</v>
      </c>
      <c r="V1495" t="s">
        <v>25162</v>
      </c>
      <c r="W1495" t="s">
        <v>25163</v>
      </c>
      <c r="X1495" t="s">
        <v>5185</v>
      </c>
      <c r="Y1495" t="s">
        <v>25164</v>
      </c>
      <c r="Z1495" t="s">
        <v>25165</v>
      </c>
      <c r="AA1495" t="s">
        <v>25166</v>
      </c>
      <c r="AB1495" t="s">
        <v>25167</v>
      </c>
      <c r="AC1495" t="s">
        <v>74</v>
      </c>
      <c r="AD1495" t="s">
        <v>74</v>
      </c>
      <c r="AE1495" t="s">
        <v>74</v>
      </c>
      <c r="AF1495" t="s">
        <v>74</v>
      </c>
      <c r="AG1495">
        <v>51</v>
      </c>
      <c r="AH1495">
        <v>1</v>
      </c>
      <c r="AI1495">
        <v>1</v>
      </c>
      <c r="AJ1495">
        <v>5</v>
      </c>
      <c r="AK1495">
        <v>19</v>
      </c>
      <c r="AL1495" t="s">
        <v>718</v>
      </c>
      <c r="AM1495" t="s">
        <v>666</v>
      </c>
      <c r="AN1495" t="s">
        <v>18480</v>
      </c>
      <c r="AO1495" t="s">
        <v>25168</v>
      </c>
      <c r="AP1495" t="s">
        <v>25169</v>
      </c>
      <c r="AQ1495" t="s">
        <v>74</v>
      </c>
      <c r="AR1495" t="s">
        <v>25170</v>
      </c>
      <c r="AS1495" t="s">
        <v>25171</v>
      </c>
      <c r="AT1495" t="s">
        <v>232</v>
      </c>
      <c r="AU1495">
        <v>2024</v>
      </c>
      <c r="AV1495">
        <v>42</v>
      </c>
      <c r="AW1495">
        <v>1</v>
      </c>
      <c r="AX1495" t="s">
        <v>74</v>
      </c>
      <c r="AY1495" t="s">
        <v>74</v>
      </c>
      <c r="AZ1495" t="s">
        <v>74</v>
      </c>
      <c r="BA1495" t="s">
        <v>74</v>
      </c>
      <c r="BB1495" t="s">
        <v>74</v>
      </c>
      <c r="BC1495" t="s">
        <v>74</v>
      </c>
      <c r="BD1495">
        <v>6</v>
      </c>
      <c r="BE1495" t="s">
        <v>25172</v>
      </c>
      <c r="BF1495" t="str">
        <f>HYPERLINK("http://dx.doi.org/10.1145/3589226","http://dx.doi.org/10.1145/3589226")</f>
        <v>http://dx.doi.org/10.1145/3589226</v>
      </c>
      <c r="BG1495" t="s">
        <v>74</v>
      </c>
      <c r="BH1495" t="s">
        <v>74</v>
      </c>
      <c r="BI1495">
        <v>28</v>
      </c>
      <c r="BJ1495" t="s">
        <v>5789</v>
      </c>
      <c r="BK1495" t="s">
        <v>209</v>
      </c>
      <c r="BL1495" t="s">
        <v>210</v>
      </c>
      <c r="BM1495" t="s">
        <v>25173</v>
      </c>
      <c r="BN1495" t="s">
        <v>74</v>
      </c>
      <c r="BO1495" t="s">
        <v>74</v>
      </c>
      <c r="BP1495" t="s">
        <v>74</v>
      </c>
      <c r="BQ1495" t="s">
        <v>74</v>
      </c>
      <c r="BR1495" t="s">
        <v>102</v>
      </c>
      <c r="BS1495" t="s">
        <v>25174</v>
      </c>
      <c r="BT1495" t="str">
        <f>HYPERLINK("https%3A%2F%2Fwww.webofscience.com%2Fwos%2Fwoscc%2Ffull-record%2FWOS:001091665500006","View Full Record in Web of Science")</f>
        <v>View Full Record in Web of Science</v>
      </c>
    </row>
    <row r="1496" spans="1:72" x14ac:dyDescent="0.35">
      <c r="A1496" t="s">
        <v>72</v>
      </c>
      <c r="B1496" t="s">
        <v>25175</v>
      </c>
      <c r="C1496" t="s">
        <v>74</v>
      </c>
      <c r="D1496" t="s">
        <v>74</v>
      </c>
      <c r="E1496" t="s">
        <v>74</v>
      </c>
      <c r="F1496" t="s">
        <v>25176</v>
      </c>
      <c r="G1496" t="s">
        <v>74</v>
      </c>
      <c r="H1496" t="s">
        <v>74</v>
      </c>
      <c r="I1496" t="s">
        <v>25177</v>
      </c>
      <c r="J1496" t="s">
        <v>1186</v>
      </c>
      <c r="K1496" t="s">
        <v>74</v>
      </c>
      <c r="L1496" t="s">
        <v>74</v>
      </c>
      <c r="M1496" t="s">
        <v>78</v>
      </c>
      <c r="N1496" t="s">
        <v>108</v>
      </c>
      <c r="O1496" t="s">
        <v>74</v>
      </c>
      <c r="P1496" t="s">
        <v>74</v>
      </c>
      <c r="Q1496" t="s">
        <v>74</v>
      </c>
      <c r="R1496" t="s">
        <v>74</v>
      </c>
      <c r="S1496" t="s">
        <v>74</v>
      </c>
      <c r="T1496" t="s">
        <v>25178</v>
      </c>
      <c r="U1496" t="s">
        <v>25179</v>
      </c>
      <c r="V1496" t="s">
        <v>25180</v>
      </c>
      <c r="W1496" t="s">
        <v>25181</v>
      </c>
      <c r="X1496" t="s">
        <v>25182</v>
      </c>
      <c r="Y1496" t="s">
        <v>25183</v>
      </c>
      <c r="Z1496" t="s">
        <v>25184</v>
      </c>
      <c r="AA1496" t="s">
        <v>25185</v>
      </c>
      <c r="AB1496" t="s">
        <v>25186</v>
      </c>
      <c r="AC1496" t="s">
        <v>74</v>
      </c>
      <c r="AD1496" t="s">
        <v>74</v>
      </c>
      <c r="AE1496" t="s">
        <v>74</v>
      </c>
      <c r="AF1496" t="s">
        <v>74</v>
      </c>
      <c r="AG1496">
        <v>48</v>
      </c>
      <c r="AH1496">
        <v>11</v>
      </c>
      <c r="AI1496">
        <v>11</v>
      </c>
      <c r="AJ1496">
        <v>15</v>
      </c>
      <c r="AK1496">
        <v>48</v>
      </c>
      <c r="AL1496" t="s">
        <v>1195</v>
      </c>
      <c r="AM1496" t="s">
        <v>1196</v>
      </c>
      <c r="AN1496" t="s">
        <v>1197</v>
      </c>
      <c r="AO1496" t="s">
        <v>74</v>
      </c>
      <c r="AP1496" t="s">
        <v>1198</v>
      </c>
      <c r="AQ1496" t="s">
        <v>74</v>
      </c>
      <c r="AR1496" t="s">
        <v>1199</v>
      </c>
      <c r="AS1496" t="s">
        <v>1200</v>
      </c>
      <c r="AT1496" t="s">
        <v>745</v>
      </c>
      <c r="AU1496">
        <v>2022</v>
      </c>
      <c r="AV1496">
        <v>19</v>
      </c>
      <c r="AW1496">
        <v>10</v>
      </c>
      <c r="AX1496" t="s">
        <v>74</v>
      </c>
      <c r="AY1496" t="s">
        <v>74</v>
      </c>
      <c r="AZ1496" t="s">
        <v>74</v>
      </c>
      <c r="BA1496" t="s">
        <v>74</v>
      </c>
      <c r="BB1496" t="s">
        <v>74</v>
      </c>
      <c r="BC1496" t="s">
        <v>74</v>
      </c>
      <c r="BD1496">
        <v>5851</v>
      </c>
      <c r="BE1496" t="s">
        <v>25187</v>
      </c>
      <c r="BF1496" t="str">
        <f>HYPERLINK("http://dx.doi.org/10.3390/ijerph19105851","http://dx.doi.org/10.3390/ijerph19105851")</f>
        <v>http://dx.doi.org/10.3390/ijerph19105851</v>
      </c>
      <c r="BG1496" t="s">
        <v>74</v>
      </c>
      <c r="BH1496" t="s">
        <v>74</v>
      </c>
      <c r="BI1496">
        <v>13</v>
      </c>
      <c r="BJ1496" t="s">
        <v>1202</v>
      </c>
      <c r="BK1496" t="s">
        <v>182</v>
      </c>
      <c r="BL1496" t="s">
        <v>1203</v>
      </c>
      <c r="BM1496" t="s">
        <v>25188</v>
      </c>
      <c r="BN1496">
        <v>35627389</v>
      </c>
      <c r="BO1496" t="s">
        <v>552</v>
      </c>
      <c r="BP1496" t="s">
        <v>74</v>
      </c>
      <c r="BQ1496" t="s">
        <v>74</v>
      </c>
      <c r="BR1496" t="s">
        <v>102</v>
      </c>
      <c r="BS1496" t="s">
        <v>25189</v>
      </c>
      <c r="BT1496" t="str">
        <f>HYPERLINK("https%3A%2F%2Fwww.webofscience.com%2Fwos%2Fwoscc%2Ffull-record%2FWOS:000803458300001","View Full Record in Web of Science")</f>
        <v>View Full Record in Web of Science</v>
      </c>
    </row>
    <row r="1497" spans="1:72" x14ac:dyDescent="0.35">
      <c r="A1497" t="s">
        <v>72</v>
      </c>
      <c r="B1497" t="s">
        <v>25190</v>
      </c>
      <c r="C1497" t="s">
        <v>74</v>
      </c>
      <c r="D1497" t="s">
        <v>74</v>
      </c>
      <c r="E1497" t="s">
        <v>74</v>
      </c>
      <c r="F1497" t="s">
        <v>25191</v>
      </c>
      <c r="G1497" t="s">
        <v>74</v>
      </c>
      <c r="H1497" t="s">
        <v>74</v>
      </c>
      <c r="I1497" t="s">
        <v>25192</v>
      </c>
      <c r="J1497" t="s">
        <v>13037</v>
      </c>
      <c r="K1497" t="s">
        <v>74</v>
      </c>
      <c r="L1497" t="s">
        <v>74</v>
      </c>
      <c r="M1497" t="s">
        <v>78</v>
      </c>
      <c r="N1497" t="s">
        <v>108</v>
      </c>
      <c r="O1497" t="s">
        <v>74</v>
      </c>
      <c r="P1497" t="s">
        <v>74</v>
      </c>
      <c r="Q1497" t="s">
        <v>74</v>
      </c>
      <c r="R1497" t="s">
        <v>74</v>
      </c>
      <c r="S1497" t="s">
        <v>74</v>
      </c>
      <c r="T1497" t="s">
        <v>25193</v>
      </c>
      <c r="U1497" t="s">
        <v>25194</v>
      </c>
      <c r="V1497" t="s">
        <v>25195</v>
      </c>
      <c r="W1497" t="s">
        <v>25196</v>
      </c>
      <c r="X1497" t="s">
        <v>25197</v>
      </c>
      <c r="Y1497" t="s">
        <v>25198</v>
      </c>
      <c r="Z1497" t="s">
        <v>25199</v>
      </c>
      <c r="AA1497" t="s">
        <v>74</v>
      </c>
      <c r="AB1497" t="s">
        <v>74</v>
      </c>
      <c r="AC1497" t="s">
        <v>25200</v>
      </c>
      <c r="AD1497" t="s">
        <v>25201</v>
      </c>
      <c r="AE1497" t="s">
        <v>25202</v>
      </c>
      <c r="AF1497" t="s">
        <v>74</v>
      </c>
      <c r="AG1497">
        <v>44</v>
      </c>
      <c r="AH1497">
        <v>2</v>
      </c>
      <c r="AI1497">
        <v>2</v>
      </c>
      <c r="AJ1497">
        <v>0</v>
      </c>
      <c r="AK1497">
        <v>2</v>
      </c>
      <c r="AL1497" t="s">
        <v>251</v>
      </c>
      <c r="AM1497" t="s">
        <v>252</v>
      </c>
      <c r="AN1497" t="s">
        <v>253</v>
      </c>
      <c r="AO1497" t="s">
        <v>13045</v>
      </c>
      <c r="AP1497" t="s">
        <v>13046</v>
      </c>
      <c r="AQ1497" t="s">
        <v>74</v>
      </c>
      <c r="AR1497" t="s">
        <v>13047</v>
      </c>
      <c r="AS1497" t="s">
        <v>13048</v>
      </c>
      <c r="AT1497" t="s">
        <v>930</v>
      </c>
      <c r="AU1497">
        <v>2024</v>
      </c>
      <c r="AV1497">
        <v>170</v>
      </c>
      <c r="AW1497">
        <v>4</v>
      </c>
      <c r="AX1497" t="s">
        <v>74</v>
      </c>
      <c r="AY1497" t="s">
        <v>74</v>
      </c>
      <c r="AZ1497" t="s">
        <v>74</v>
      </c>
      <c r="BA1497" t="s">
        <v>74</v>
      </c>
      <c r="BB1497">
        <v>1051</v>
      </c>
      <c r="BC1497">
        <v>1058</v>
      </c>
      <c r="BD1497" t="s">
        <v>74</v>
      </c>
      <c r="BE1497" t="s">
        <v>25203</v>
      </c>
      <c r="BF1497" t="str">
        <f>HYPERLINK("http://dx.doi.org/10.1002/ohn.584","http://dx.doi.org/10.1002/ohn.584")</f>
        <v>http://dx.doi.org/10.1002/ohn.584</v>
      </c>
      <c r="BG1497" t="s">
        <v>74</v>
      </c>
      <c r="BH1497" t="s">
        <v>674</v>
      </c>
      <c r="BI1497">
        <v>8</v>
      </c>
      <c r="BJ1497" t="s">
        <v>13050</v>
      </c>
      <c r="BK1497" t="s">
        <v>209</v>
      </c>
      <c r="BL1497" t="s">
        <v>13050</v>
      </c>
      <c r="BM1497" t="s">
        <v>25204</v>
      </c>
      <c r="BN1497">
        <v>38018504</v>
      </c>
      <c r="BO1497" t="s">
        <v>74</v>
      </c>
      <c r="BP1497" t="s">
        <v>74</v>
      </c>
      <c r="BQ1497" t="s">
        <v>74</v>
      </c>
      <c r="BR1497" t="s">
        <v>102</v>
      </c>
      <c r="BS1497" t="s">
        <v>25205</v>
      </c>
      <c r="BT1497" t="str">
        <f>HYPERLINK("https%3A%2F%2Fwww.webofscience.com%2Fwos%2Fwoscc%2Ffull-record%2FWOS:001109982300001","View Full Record in Web of Science")</f>
        <v>View Full Record in Web of Science</v>
      </c>
    </row>
    <row r="1498" spans="1:72" x14ac:dyDescent="0.35">
      <c r="A1498" t="s">
        <v>72</v>
      </c>
      <c r="B1498" t="s">
        <v>25206</v>
      </c>
      <c r="C1498" t="s">
        <v>74</v>
      </c>
      <c r="D1498" t="s">
        <v>74</v>
      </c>
      <c r="E1498" t="s">
        <v>74</v>
      </c>
      <c r="F1498" t="s">
        <v>25207</v>
      </c>
      <c r="G1498" t="s">
        <v>74</v>
      </c>
      <c r="H1498" t="s">
        <v>74</v>
      </c>
      <c r="I1498" t="s">
        <v>25208</v>
      </c>
      <c r="J1498" t="s">
        <v>25209</v>
      </c>
      <c r="K1498" t="s">
        <v>74</v>
      </c>
      <c r="L1498" t="s">
        <v>74</v>
      </c>
      <c r="M1498" t="s">
        <v>78</v>
      </c>
      <c r="N1498" t="s">
        <v>108</v>
      </c>
      <c r="O1498" t="s">
        <v>74</v>
      </c>
      <c r="P1498" t="s">
        <v>74</v>
      </c>
      <c r="Q1498" t="s">
        <v>74</v>
      </c>
      <c r="R1498" t="s">
        <v>74</v>
      </c>
      <c r="S1498" t="s">
        <v>74</v>
      </c>
      <c r="T1498" t="s">
        <v>25210</v>
      </c>
      <c r="U1498" t="s">
        <v>74</v>
      </c>
      <c r="V1498" t="s">
        <v>25211</v>
      </c>
      <c r="W1498" t="s">
        <v>25212</v>
      </c>
      <c r="X1498" t="s">
        <v>25213</v>
      </c>
      <c r="Y1498" t="s">
        <v>25214</v>
      </c>
      <c r="Z1498" t="s">
        <v>25215</v>
      </c>
      <c r="AA1498" t="s">
        <v>74</v>
      </c>
      <c r="AB1498" t="s">
        <v>74</v>
      </c>
      <c r="AC1498" t="s">
        <v>74</v>
      </c>
      <c r="AD1498" t="s">
        <v>74</v>
      </c>
      <c r="AE1498" t="s">
        <v>74</v>
      </c>
      <c r="AF1498" t="s">
        <v>74</v>
      </c>
      <c r="AG1498">
        <v>11</v>
      </c>
      <c r="AH1498">
        <v>0</v>
      </c>
      <c r="AI1498">
        <v>0</v>
      </c>
      <c r="AJ1498">
        <v>2</v>
      </c>
      <c r="AK1498">
        <v>2</v>
      </c>
      <c r="AL1498" t="s">
        <v>25216</v>
      </c>
      <c r="AM1498" t="s">
        <v>25217</v>
      </c>
      <c r="AN1498" t="s">
        <v>25218</v>
      </c>
      <c r="AO1498" t="s">
        <v>25219</v>
      </c>
      <c r="AP1498" t="s">
        <v>74</v>
      </c>
      <c r="AQ1498" t="s">
        <v>74</v>
      </c>
      <c r="AR1498" t="s">
        <v>25220</v>
      </c>
      <c r="AS1498" t="s">
        <v>25221</v>
      </c>
      <c r="AT1498" t="s">
        <v>257</v>
      </c>
      <c r="AU1498">
        <v>2023</v>
      </c>
      <c r="AV1498">
        <v>25</v>
      </c>
      <c r="AW1498">
        <v>51</v>
      </c>
      <c r="AX1498" t="s">
        <v>74</v>
      </c>
      <c r="AY1498" t="s">
        <v>74</v>
      </c>
      <c r="AZ1498" t="s">
        <v>74</v>
      </c>
      <c r="BA1498" t="s">
        <v>74</v>
      </c>
      <c r="BB1498">
        <v>6</v>
      </c>
      <c r="BC1498">
        <v>12</v>
      </c>
      <c r="BD1498" t="s">
        <v>74</v>
      </c>
      <c r="BE1498" t="s">
        <v>25222</v>
      </c>
      <c r="BF1498" t="str">
        <f>HYPERLINK("http://dx.doi.org/10.29375/01240781.4544","http://dx.doi.org/10.29375/01240781.4544")</f>
        <v>http://dx.doi.org/10.29375/01240781.4544</v>
      </c>
      <c r="BG1498" t="s">
        <v>74</v>
      </c>
      <c r="BH1498" t="s">
        <v>74</v>
      </c>
      <c r="BI1498">
        <v>12</v>
      </c>
      <c r="BJ1498" t="s">
        <v>8014</v>
      </c>
      <c r="BK1498" t="s">
        <v>125</v>
      </c>
      <c r="BL1498" t="s">
        <v>8015</v>
      </c>
      <c r="BM1498" t="s">
        <v>25223</v>
      </c>
      <c r="BN1498" t="s">
        <v>74</v>
      </c>
      <c r="BO1498" t="s">
        <v>235</v>
      </c>
      <c r="BP1498" t="s">
        <v>74</v>
      </c>
      <c r="BQ1498" t="s">
        <v>74</v>
      </c>
      <c r="BR1498" t="s">
        <v>102</v>
      </c>
      <c r="BS1498" t="s">
        <v>25224</v>
      </c>
      <c r="BT1498" t="str">
        <f>HYPERLINK("https%3A%2F%2Fwww.webofscience.com%2Fwos%2Fwoscc%2Ffull-record%2FWOS:001041796000002","View Full Record in Web of Science")</f>
        <v>View Full Record in Web of Science</v>
      </c>
    </row>
    <row r="1499" spans="1:72" x14ac:dyDescent="0.35">
      <c r="A1499" t="s">
        <v>72</v>
      </c>
      <c r="B1499" t="s">
        <v>25225</v>
      </c>
      <c r="C1499" t="s">
        <v>74</v>
      </c>
      <c r="D1499" t="s">
        <v>74</v>
      </c>
      <c r="E1499" t="s">
        <v>74</v>
      </c>
      <c r="F1499" t="s">
        <v>25226</v>
      </c>
      <c r="G1499" t="s">
        <v>74</v>
      </c>
      <c r="H1499" t="s">
        <v>74</v>
      </c>
      <c r="I1499" t="s">
        <v>25227</v>
      </c>
      <c r="J1499" t="s">
        <v>25228</v>
      </c>
      <c r="K1499" t="s">
        <v>74</v>
      </c>
      <c r="L1499" t="s">
        <v>74</v>
      </c>
      <c r="M1499" t="s">
        <v>78</v>
      </c>
      <c r="N1499" t="s">
        <v>108</v>
      </c>
      <c r="O1499" t="s">
        <v>74</v>
      </c>
      <c r="P1499" t="s">
        <v>74</v>
      </c>
      <c r="Q1499" t="s">
        <v>74</v>
      </c>
      <c r="R1499" t="s">
        <v>74</v>
      </c>
      <c r="S1499" t="s">
        <v>74</v>
      </c>
      <c r="T1499" t="s">
        <v>74</v>
      </c>
      <c r="U1499" t="s">
        <v>74</v>
      </c>
      <c r="V1499" t="s">
        <v>25229</v>
      </c>
      <c r="W1499" t="s">
        <v>25230</v>
      </c>
      <c r="X1499" t="s">
        <v>8641</v>
      </c>
      <c r="Y1499" t="s">
        <v>25231</v>
      </c>
      <c r="Z1499" t="s">
        <v>25232</v>
      </c>
      <c r="AA1499" t="s">
        <v>74</v>
      </c>
      <c r="AB1499" t="s">
        <v>74</v>
      </c>
      <c r="AC1499" t="s">
        <v>74</v>
      </c>
      <c r="AD1499" t="s">
        <v>74</v>
      </c>
      <c r="AE1499" t="s">
        <v>74</v>
      </c>
      <c r="AF1499" t="s">
        <v>74</v>
      </c>
      <c r="AG1499">
        <v>19</v>
      </c>
      <c r="AH1499">
        <v>3</v>
      </c>
      <c r="AI1499">
        <v>3</v>
      </c>
      <c r="AJ1499">
        <v>1</v>
      </c>
      <c r="AK1499">
        <v>5</v>
      </c>
      <c r="AL1499" t="s">
        <v>1965</v>
      </c>
      <c r="AM1499" t="s">
        <v>666</v>
      </c>
      <c r="AN1499" t="s">
        <v>1966</v>
      </c>
      <c r="AO1499" t="s">
        <v>25233</v>
      </c>
      <c r="AP1499" t="s">
        <v>25234</v>
      </c>
      <c r="AQ1499" t="s">
        <v>74</v>
      </c>
      <c r="AR1499" t="s">
        <v>25235</v>
      </c>
      <c r="AS1499" t="s">
        <v>25236</v>
      </c>
      <c r="AT1499" t="s">
        <v>18579</v>
      </c>
      <c r="AU1499">
        <v>2023</v>
      </c>
      <c r="AV1499">
        <v>41</v>
      </c>
      <c r="AW1499">
        <v>2</v>
      </c>
      <c r="AX1499" t="s">
        <v>74</v>
      </c>
      <c r="AY1499" t="s">
        <v>74</v>
      </c>
      <c r="AZ1499" t="s">
        <v>74</v>
      </c>
      <c r="BA1499" t="s">
        <v>74</v>
      </c>
      <c r="BB1499">
        <v>246</v>
      </c>
      <c r="BC1499">
        <v>252</v>
      </c>
      <c r="BD1499" t="s">
        <v>74</v>
      </c>
      <c r="BE1499" t="s">
        <v>25237</v>
      </c>
      <c r="BF1499" t="str">
        <f>HYPERLINK("http://dx.doi.org/10.1016/j.clindermatol.2023.06.007","http://dx.doi.org/10.1016/j.clindermatol.2023.06.007")</f>
        <v>http://dx.doi.org/10.1016/j.clindermatol.2023.06.007</v>
      </c>
      <c r="BG1499" t="s">
        <v>74</v>
      </c>
      <c r="BH1499" t="s">
        <v>207</v>
      </c>
      <c r="BI1499">
        <v>7</v>
      </c>
      <c r="BJ1499" t="s">
        <v>1341</v>
      </c>
      <c r="BK1499" t="s">
        <v>209</v>
      </c>
      <c r="BL1499" t="s">
        <v>1341</v>
      </c>
      <c r="BM1499" t="s">
        <v>25238</v>
      </c>
      <c r="BN1499">
        <v>37437751</v>
      </c>
      <c r="BO1499" t="s">
        <v>74</v>
      </c>
      <c r="BP1499" t="s">
        <v>74</v>
      </c>
      <c r="BQ1499" t="s">
        <v>74</v>
      </c>
      <c r="BR1499" t="s">
        <v>102</v>
      </c>
      <c r="BS1499" t="s">
        <v>25239</v>
      </c>
      <c r="BT1499" t="str">
        <f>HYPERLINK("https%3A%2F%2Fwww.webofscience.com%2Fwos%2Fwoscc%2Ffull-record%2FWOS:001088719200001","View Full Record in Web of Science")</f>
        <v>View Full Record in Web of Science</v>
      </c>
    </row>
    <row r="1500" spans="1:72" x14ac:dyDescent="0.35">
      <c r="A1500" t="s">
        <v>72</v>
      </c>
      <c r="B1500" t="s">
        <v>25240</v>
      </c>
      <c r="C1500" t="s">
        <v>74</v>
      </c>
      <c r="D1500" t="s">
        <v>74</v>
      </c>
      <c r="E1500" t="s">
        <v>74</v>
      </c>
      <c r="F1500" t="s">
        <v>25241</v>
      </c>
      <c r="G1500" t="s">
        <v>74</v>
      </c>
      <c r="H1500" t="s">
        <v>74</v>
      </c>
      <c r="I1500" t="s">
        <v>25242</v>
      </c>
      <c r="J1500" t="s">
        <v>25243</v>
      </c>
      <c r="K1500" t="s">
        <v>74</v>
      </c>
      <c r="L1500" t="s">
        <v>74</v>
      </c>
      <c r="M1500" t="s">
        <v>78</v>
      </c>
      <c r="N1500" t="s">
        <v>108</v>
      </c>
      <c r="O1500" t="s">
        <v>74</v>
      </c>
      <c r="P1500" t="s">
        <v>74</v>
      </c>
      <c r="Q1500" t="s">
        <v>74</v>
      </c>
      <c r="R1500" t="s">
        <v>74</v>
      </c>
      <c r="S1500" t="s">
        <v>74</v>
      </c>
      <c r="T1500" t="s">
        <v>25244</v>
      </c>
      <c r="U1500" t="s">
        <v>74</v>
      </c>
      <c r="V1500" t="s">
        <v>25245</v>
      </c>
      <c r="W1500" t="s">
        <v>25246</v>
      </c>
      <c r="X1500" t="s">
        <v>25247</v>
      </c>
      <c r="Y1500" t="s">
        <v>25248</v>
      </c>
      <c r="Z1500" t="s">
        <v>25249</v>
      </c>
      <c r="AA1500" t="s">
        <v>74</v>
      </c>
      <c r="AB1500" t="s">
        <v>25250</v>
      </c>
      <c r="AC1500" t="s">
        <v>74</v>
      </c>
      <c r="AD1500" t="s">
        <v>74</v>
      </c>
      <c r="AE1500" t="s">
        <v>74</v>
      </c>
      <c r="AF1500" t="s">
        <v>74</v>
      </c>
      <c r="AG1500">
        <v>46</v>
      </c>
      <c r="AH1500">
        <v>0</v>
      </c>
      <c r="AI1500">
        <v>0</v>
      </c>
      <c r="AJ1500">
        <v>0</v>
      </c>
      <c r="AK1500">
        <v>0</v>
      </c>
      <c r="AL1500" t="s">
        <v>25251</v>
      </c>
      <c r="AM1500" t="s">
        <v>25252</v>
      </c>
      <c r="AN1500" t="s">
        <v>25253</v>
      </c>
      <c r="AO1500" t="s">
        <v>25254</v>
      </c>
      <c r="AP1500" t="s">
        <v>74</v>
      </c>
      <c r="AQ1500" t="s">
        <v>74</v>
      </c>
      <c r="AR1500" t="s">
        <v>25255</v>
      </c>
      <c r="AS1500" t="s">
        <v>25256</v>
      </c>
      <c r="AT1500" t="s">
        <v>74</v>
      </c>
      <c r="AU1500">
        <v>2024</v>
      </c>
      <c r="AV1500" t="s">
        <v>74</v>
      </c>
      <c r="AW1500">
        <v>48</v>
      </c>
      <c r="AX1500" t="s">
        <v>74</v>
      </c>
      <c r="AY1500" t="s">
        <v>74</v>
      </c>
      <c r="AZ1500" t="s">
        <v>74</v>
      </c>
      <c r="BA1500" t="s">
        <v>74</v>
      </c>
      <c r="BB1500">
        <v>145</v>
      </c>
      <c r="BC1500">
        <v>164</v>
      </c>
      <c r="BD1500" t="s">
        <v>74</v>
      </c>
      <c r="BE1500" t="s">
        <v>25257</v>
      </c>
      <c r="BF1500" t="str">
        <f>HYPERLINK("http://dx.doi.org/10.31902/fll.48.2024.7","http://dx.doi.org/10.31902/fll.48.2024.7")</f>
        <v>http://dx.doi.org/10.31902/fll.48.2024.7</v>
      </c>
      <c r="BG1500" t="s">
        <v>74</v>
      </c>
      <c r="BH1500" t="s">
        <v>74</v>
      </c>
      <c r="BI1500">
        <v>20</v>
      </c>
      <c r="BJ1500" t="s">
        <v>4461</v>
      </c>
      <c r="BK1500" t="s">
        <v>125</v>
      </c>
      <c r="BL1500" t="s">
        <v>4462</v>
      </c>
      <c r="BM1500" t="s">
        <v>25258</v>
      </c>
      <c r="BN1500" t="s">
        <v>74</v>
      </c>
      <c r="BO1500" t="s">
        <v>235</v>
      </c>
      <c r="BP1500" t="s">
        <v>74</v>
      </c>
      <c r="BQ1500" t="s">
        <v>74</v>
      </c>
      <c r="BR1500" t="s">
        <v>102</v>
      </c>
      <c r="BS1500" t="s">
        <v>25259</v>
      </c>
      <c r="BT1500" t="str">
        <f>HYPERLINK("https%3A%2F%2Fwww.webofscience.com%2Fwos%2Fwoscc%2Ffull-record%2FWOS:001354060800006","View Full Record in Web of Science")</f>
        <v>View Full Record in Web of Science</v>
      </c>
    </row>
    <row r="1501" spans="1:72" x14ac:dyDescent="0.35">
      <c r="A1501" t="s">
        <v>72</v>
      </c>
      <c r="B1501" t="s">
        <v>25260</v>
      </c>
      <c r="C1501" t="s">
        <v>74</v>
      </c>
      <c r="D1501" t="s">
        <v>74</v>
      </c>
      <c r="E1501" t="s">
        <v>74</v>
      </c>
      <c r="F1501" t="s">
        <v>25261</v>
      </c>
      <c r="G1501" t="s">
        <v>74</v>
      </c>
      <c r="H1501" t="s">
        <v>74</v>
      </c>
      <c r="I1501" t="s">
        <v>25262</v>
      </c>
      <c r="J1501" t="s">
        <v>25263</v>
      </c>
      <c r="K1501" t="s">
        <v>74</v>
      </c>
      <c r="L1501" t="s">
        <v>74</v>
      </c>
      <c r="M1501" t="s">
        <v>78</v>
      </c>
      <c r="N1501" t="s">
        <v>108</v>
      </c>
      <c r="O1501" t="s">
        <v>74</v>
      </c>
      <c r="P1501" t="s">
        <v>74</v>
      </c>
      <c r="Q1501" t="s">
        <v>74</v>
      </c>
      <c r="R1501" t="s">
        <v>74</v>
      </c>
      <c r="S1501" t="s">
        <v>74</v>
      </c>
      <c r="T1501" t="s">
        <v>74</v>
      </c>
      <c r="U1501" t="s">
        <v>74</v>
      </c>
      <c r="V1501" t="s">
        <v>25264</v>
      </c>
      <c r="W1501" t="s">
        <v>25265</v>
      </c>
      <c r="X1501" t="s">
        <v>1964</v>
      </c>
      <c r="Y1501" t="s">
        <v>25266</v>
      </c>
      <c r="Z1501" t="s">
        <v>25267</v>
      </c>
      <c r="AA1501" t="s">
        <v>25268</v>
      </c>
      <c r="AB1501" t="s">
        <v>74</v>
      </c>
      <c r="AC1501" t="s">
        <v>74</v>
      </c>
      <c r="AD1501" t="s">
        <v>74</v>
      </c>
      <c r="AE1501" t="s">
        <v>74</v>
      </c>
      <c r="AF1501" t="s">
        <v>74</v>
      </c>
      <c r="AG1501">
        <v>62</v>
      </c>
      <c r="AH1501">
        <v>8</v>
      </c>
      <c r="AI1501">
        <v>9</v>
      </c>
      <c r="AJ1501">
        <v>1</v>
      </c>
      <c r="AK1501">
        <v>10</v>
      </c>
      <c r="AL1501" t="s">
        <v>25269</v>
      </c>
      <c r="AM1501" t="s">
        <v>25270</v>
      </c>
      <c r="AN1501" t="s">
        <v>25271</v>
      </c>
      <c r="AO1501" t="s">
        <v>25272</v>
      </c>
      <c r="AP1501" t="s">
        <v>74</v>
      </c>
      <c r="AQ1501" t="s">
        <v>74</v>
      </c>
      <c r="AR1501" t="s">
        <v>25273</v>
      </c>
      <c r="AS1501" t="s">
        <v>25274</v>
      </c>
      <c r="AT1501" t="s">
        <v>74</v>
      </c>
      <c r="AU1501">
        <v>2022</v>
      </c>
      <c r="AV1501">
        <v>20</v>
      </c>
      <c r="AW1501">
        <v>4</v>
      </c>
      <c r="AX1501" t="s">
        <v>74</v>
      </c>
      <c r="AY1501" t="s">
        <v>74</v>
      </c>
      <c r="AZ1501" t="s">
        <v>74</v>
      </c>
      <c r="BA1501" t="s">
        <v>74</v>
      </c>
      <c r="BB1501">
        <v>397</v>
      </c>
      <c r="BC1501">
        <v>405</v>
      </c>
      <c r="BD1501" t="s">
        <v>74</v>
      </c>
      <c r="BE1501" t="s">
        <v>74</v>
      </c>
      <c r="BF1501" t="s">
        <v>74</v>
      </c>
      <c r="BG1501" t="s">
        <v>74</v>
      </c>
      <c r="BH1501" t="s">
        <v>74</v>
      </c>
      <c r="BI1501">
        <v>9</v>
      </c>
      <c r="BJ1501" t="s">
        <v>98</v>
      </c>
      <c r="BK1501" t="s">
        <v>125</v>
      </c>
      <c r="BL1501" t="s">
        <v>100</v>
      </c>
      <c r="BM1501" t="s">
        <v>25275</v>
      </c>
      <c r="BN1501" t="s">
        <v>74</v>
      </c>
      <c r="BO1501" t="s">
        <v>74</v>
      </c>
      <c r="BP1501" t="s">
        <v>74</v>
      </c>
      <c r="BQ1501" t="s">
        <v>74</v>
      </c>
      <c r="BR1501" t="s">
        <v>102</v>
      </c>
      <c r="BS1501" t="s">
        <v>25276</v>
      </c>
      <c r="BT1501" t="str">
        <f>HYPERLINK("https%3A%2F%2Fwww.webofscience.com%2Fwos%2Fwoscc%2Ffull-record%2FWOS:000901205600010","View Full Record in Web of Science")</f>
        <v>View Full Record in Web of Science</v>
      </c>
    </row>
    <row r="1502" spans="1:72" x14ac:dyDescent="0.35">
      <c r="A1502" t="s">
        <v>72</v>
      </c>
      <c r="B1502" t="s">
        <v>25277</v>
      </c>
      <c r="C1502" t="s">
        <v>74</v>
      </c>
      <c r="D1502" t="s">
        <v>74</v>
      </c>
      <c r="E1502" t="s">
        <v>74</v>
      </c>
      <c r="F1502" t="s">
        <v>25278</v>
      </c>
      <c r="G1502" t="s">
        <v>74</v>
      </c>
      <c r="H1502" t="s">
        <v>74</v>
      </c>
      <c r="I1502" t="s">
        <v>25279</v>
      </c>
      <c r="J1502" t="s">
        <v>23780</v>
      </c>
      <c r="K1502" t="s">
        <v>74</v>
      </c>
      <c r="L1502" t="s">
        <v>74</v>
      </c>
      <c r="M1502" t="s">
        <v>78</v>
      </c>
      <c r="N1502" t="s">
        <v>108</v>
      </c>
      <c r="O1502" t="s">
        <v>74</v>
      </c>
      <c r="P1502" t="s">
        <v>74</v>
      </c>
      <c r="Q1502" t="s">
        <v>74</v>
      </c>
      <c r="R1502" t="s">
        <v>74</v>
      </c>
      <c r="S1502" t="s">
        <v>74</v>
      </c>
      <c r="T1502" t="s">
        <v>25280</v>
      </c>
      <c r="U1502" t="s">
        <v>74</v>
      </c>
      <c r="V1502" t="s">
        <v>25281</v>
      </c>
      <c r="W1502" t="s">
        <v>74</v>
      </c>
      <c r="X1502" t="s">
        <v>74</v>
      </c>
      <c r="Y1502" t="s">
        <v>74</v>
      </c>
      <c r="Z1502" t="s">
        <v>74</v>
      </c>
      <c r="AA1502" t="s">
        <v>74</v>
      </c>
      <c r="AB1502" t="s">
        <v>74</v>
      </c>
      <c r="AC1502" t="s">
        <v>74</v>
      </c>
      <c r="AD1502" t="s">
        <v>74</v>
      </c>
      <c r="AE1502" t="s">
        <v>74</v>
      </c>
      <c r="AF1502" t="s">
        <v>74</v>
      </c>
      <c r="AG1502">
        <v>5</v>
      </c>
      <c r="AH1502">
        <v>0</v>
      </c>
      <c r="AI1502">
        <v>0</v>
      </c>
      <c r="AJ1502">
        <v>0</v>
      </c>
      <c r="AK1502">
        <v>5</v>
      </c>
      <c r="AL1502" t="s">
        <v>23782</v>
      </c>
      <c r="AM1502" t="s">
        <v>2459</v>
      </c>
      <c r="AN1502" t="s">
        <v>23783</v>
      </c>
      <c r="AO1502" t="s">
        <v>23784</v>
      </c>
      <c r="AP1502" t="s">
        <v>23785</v>
      </c>
      <c r="AQ1502" t="s">
        <v>74</v>
      </c>
      <c r="AR1502" t="s">
        <v>23786</v>
      </c>
      <c r="AS1502" t="s">
        <v>23787</v>
      </c>
      <c r="AT1502" t="s">
        <v>1484</v>
      </c>
      <c r="AU1502">
        <v>2022</v>
      </c>
      <c r="AV1502">
        <v>92</v>
      </c>
      <c r="AW1502">
        <v>2</v>
      </c>
      <c r="AX1502" t="s">
        <v>74</v>
      </c>
      <c r="AY1502" t="s">
        <v>74</v>
      </c>
      <c r="AZ1502" t="s">
        <v>456</v>
      </c>
      <c r="BA1502" t="s">
        <v>74</v>
      </c>
      <c r="BB1502">
        <v>84</v>
      </c>
      <c r="BC1502">
        <v>89</v>
      </c>
      <c r="BD1502" t="s">
        <v>74</v>
      </c>
      <c r="BE1502" t="s">
        <v>25282</v>
      </c>
      <c r="BF1502" t="str">
        <f>HYPERLINK("http://dx.doi.org/10.1002/ad.2797","http://dx.doi.org/10.1002/ad.2797")</f>
        <v>http://dx.doi.org/10.1002/ad.2797</v>
      </c>
      <c r="BG1502" t="s">
        <v>74</v>
      </c>
      <c r="BH1502" t="s">
        <v>74</v>
      </c>
      <c r="BI1502">
        <v>6</v>
      </c>
      <c r="BJ1502" t="s">
        <v>23789</v>
      </c>
      <c r="BK1502" t="s">
        <v>316</v>
      </c>
      <c r="BL1502" t="s">
        <v>23789</v>
      </c>
      <c r="BM1502" t="s">
        <v>25283</v>
      </c>
      <c r="BN1502" t="s">
        <v>74</v>
      </c>
      <c r="BO1502" t="s">
        <v>74</v>
      </c>
      <c r="BP1502" t="s">
        <v>74</v>
      </c>
      <c r="BQ1502" t="s">
        <v>74</v>
      </c>
      <c r="BR1502" t="s">
        <v>102</v>
      </c>
      <c r="BS1502" t="s">
        <v>25284</v>
      </c>
      <c r="BT1502" t="str">
        <f>HYPERLINK("https%3A%2F%2Fwww.webofscience.com%2Fwos%2Fwoscc%2Ffull-record%2FWOS:000762488500012","View Full Record in Web of Science")</f>
        <v>View Full Record in Web of Science</v>
      </c>
    </row>
    <row r="1503" spans="1:72" x14ac:dyDescent="0.35">
      <c r="A1503" t="s">
        <v>72</v>
      </c>
      <c r="B1503" t="s">
        <v>25285</v>
      </c>
      <c r="C1503" t="s">
        <v>74</v>
      </c>
      <c r="D1503" t="s">
        <v>74</v>
      </c>
      <c r="E1503" t="s">
        <v>74</v>
      </c>
      <c r="F1503" t="s">
        <v>25286</v>
      </c>
      <c r="G1503" t="s">
        <v>74</v>
      </c>
      <c r="H1503" t="s">
        <v>74</v>
      </c>
      <c r="I1503" t="s">
        <v>25287</v>
      </c>
      <c r="J1503" t="s">
        <v>25288</v>
      </c>
      <c r="K1503" t="s">
        <v>74</v>
      </c>
      <c r="L1503" t="s">
        <v>74</v>
      </c>
      <c r="M1503" t="s">
        <v>78</v>
      </c>
      <c r="N1503" t="s">
        <v>108</v>
      </c>
      <c r="O1503" t="s">
        <v>74</v>
      </c>
      <c r="P1503" t="s">
        <v>74</v>
      </c>
      <c r="Q1503" t="s">
        <v>74</v>
      </c>
      <c r="R1503" t="s">
        <v>74</v>
      </c>
      <c r="S1503" t="s">
        <v>74</v>
      </c>
      <c r="T1503" t="s">
        <v>74</v>
      </c>
      <c r="U1503" t="s">
        <v>25289</v>
      </c>
      <c r="V1503" t="s">
        <v>25290</v>
      </c>
      <c r="W1503" t="s">
        <v>25291</v>
      </c>
      <c r="X1503" t="s">
        <v>25292</v>
      </c>
      <c r="Y1503" t="s">
        <v>25293</v>
      </c>
      <c r="Z1503" t="s">
        <v>25294</v>
      </c>
      <c r="AA1503" t="s">
        <v>74</v>
      </c>
      <c r="AB1503" t="s">
        <v>25295</v>
      </c>
      <c r="AC1503" t="s">
        <v>25296</v>
      </c>
      <c r="AD1503" t="s">
        <v>25297</v>
      </c>
      <c r="AE1503" t="s">
        <v>25298</v>
      </c>
      <c r="AF1503" t="s">
        <v>74</v>
      </c>
      <c r="AG1503">
        <v>51</v>
      </c>
      <c r="AH1503">
        <v>3</v>
      </c>
      <c r="AI1503">
        <v>3</v>
      </c>
      <c r="AJ1503">
        <v>10</v>
      </c>
      <c r="AK1503">
        <v>47</v>
      </c>
      <c r="AL1503" t="s">
        <v>25299</v>
      </c>
      <c r="AM1503" t="s">
        <v>25300</v>
      </c>
      <c r="AN1503" t="s">
        <v>25301</v>
      </c>
      <c r="AO1503" t="s">
        <v>25302</v>
      </c>
      <c r="AP1503" t="s">
        <v>25303</v>
      </c>
      <c r="AQ1503" t="s">
        <v>74</v>
      </c>
      <c r="AR1503" t="s">
        <v>25304</v>
      </c>
      <c r="AS1503" t="s">
        <v>25305</v>
      </c>
      <c r="AT1503" t="s">
        <v>455</v>
      </c>
      <c r="AU1503">
        <v>2022</v>
      </c>
      <c r="AV1503">
        <v>43</v>
      </c>
      <c r="AW1503">
        <v>6</v>
      </c>
      <c r="AX1503" t="s">
        <v>74</v>
      </c>
      <c r="AY1503" t="s">
        <v>74</v>
      </c>
      <c r="AZ1503" t="s">
        <v>74</v>
      </c>
      <c r="BA1503" t="s">
        <v>74</v>
      </c>
      <c r="BB1503">
        <v>2326</v>
      </c>
      <c r="BC1503">
        <v>2346</v>
      </c>
      <c r="BD1503" t="s">
        <v>74</v>
      </c>
      <c r="BE1503" t="s">
        <v>25306</v>
      </c>
      <c r="BF1503" t="str">
        <f>HYPERLINK("http://dx.doi.org/10.1002/mde.3528","http://dx.doi.org/10.1002/mde.3528")</f>
        <v>http://dx.doi.org/10.1002/mde.3528</v>
      </c>
      <c r="BG1503" t="s">
        <v>74</v>
      </c>
      <c r="BH1503" t="s">
        <v>2076</v>
      </c>
      <c r="BI1503">
        <v>21</v>
      </c>
      <c r="BJ1503" t="s">
        <v>16106</v>
      </c>
      <c r="BK1503" t="s">
        <v>99</v>
      </c>
      <c r="BL1503" t="s">
        <v>480</v>
      </c>
      <c r="BM1503" t="s">
        <v>25307</v>
      </c>
      <c r="BN1503" t="s">
        <v>74</v>
      </c>
      <c r="BO1503" t="s">
        <v>74</v>
      </c>
      <c r="BP1503" t="s">
        <v>74</v>
      </c>
      <c r="BQ1503" t="s">
        <v>74</v>
      </c>
      <c r="BR1503" t="s">
        <v>102</v>
      </c>
      <c r="BS1503" t="s">
        <v>25308</v>
      </c>
      <c r="BT1503" t="str">
        <f>HYPERLINK("https%3A%2F%2Fwww.webofscience.com%2Fwos%2Fwoscc%2Ffull-record%2FWOS:000740868400001","View Full Record in Web of Science")</f>
        <v>View Full Record in Web of Science</v>
      </c>
    </row>
    <row r="1504" spans="1:72" x14ac:dyDescent="0.35">
      <c r="A1504" t="s">
        <v>72</v>
      </c>
      <c r="B1504" t="s">
        <v>25309</v>
      </c>
      <c r="C1504" t="s">
        <v>74</v>
      </c>
      <c r="D1504" t="s">
        <v>74</v>
      </c>
      <c r="E1504" t="s">
        <v>74</v>
      </c>
      <c r="F1504" t="s">
        <v>25310</v>
      </c>
      <c r="G1504" t="s">
        <v>74</v>
      </c>
      <c r="H1504" t="s">
        <v>74</v>
      </c>
      <c r="I1504" t="s">
        <v>25311</v>
      </c>
      <c r="J1504" t="s">
        <v>25312</v>
      </c>
      <c r="K1504" t="s">
        <v>74</v>
      </c>
      <c r="L1504" t="s">
        <v>74</v>
      </c>
      <c r="M1504" t="s">
        <v>78</v>
      </c>
      <c r="N1504" t="s">
        <v>108</v>
      </c>
      <c r="O1504" t="s">
        <v>74</v>
      </c>
      <c r="P1504" t="s">
        <v>74</v>
      </c>
      <c r="Q1504" t="s">
        <v>74</v>
      </c>
      <c r="R1504" t="s">
        <v>74</v>
      </c>
      <c r="S1504" t="s">
        <v>74</v>
      </c>
      <c r="T1504" t="s">
        <v>25313</v>
      </c>
      <c r="U1504" t="s">
        <v>25314</v>
      </c>
      <c r="V1504" t="s">
        <v>25315</v>
      </c>
      <c r="W1504" t="s">
        <v>25316</v>
      </c>
      <c r="X1504" t="s">
        <v>25317</v>
      </c>
      <c r="Y1504" t="s">
        <v>25318</v>
      </c>
      <c r="Z1504" t="s">
        <v>25319</v>
      </c>
      <c r="AA1504" t="s">
        <v>25320</v>
      </c>
      <c r="AB1504" t="s">
        <v>25321</v>
      </c>
      <c r="AC1504" t="s">
        <v>74</v>
      </c>
      <c r="AD1504" t="s">
        <v>74</v>
      </c>
      <c r="AE1504" t="s">
        <v>74</v>
      </c>
      <c r="AF1504" t="s">
        <v>74</v>
      </c>
      <c r="AG1504">
        <v>43</v>
      </c>
      <c r="AH1504">
        <v>20</v>
      </c>
      <c r="AI1504">
        <v>21</v>
      </c>
      <c r="AJ1504">
        <v>17</v>
      </c>
      <c r="AK1504">
        <v>145</v>
      </c>
      <c r="AL1504" t="s">
        <v>199</v>
      </c>
      <c r="AM1504" t="s">
        <v>15416</v>
      </c>
      <c r="AN1504" t="s">
        <v>15417</v>
      </c>
      <c r="AO1504" t="s">
        <v>25322</v>
      </c>
      <c r="AP1504" t="s">
        <v>25323</v>
      </c>
      <c r="AQ1504" t="s">
        <v>74</v>
      </c>
      <c r="AR1504" t="s">
        <v>25324</v>
      </c>
      <c r="AS1504" t="s">
        <v>25325</v>
      </c>
      <c r="AT1504" t="s">
        <v>25326</v>
      </c>
      <c r="AU1504">
        <v>2022</v>
      </c>
      <c r="AV1504">
        <v>13</v>
      </c>
      <c r="AW1504">
        <v>4</v>
      </c>
      <c r="AX1504" t="s">
        <v>74</v>
      </c>
      <c r="AY1504" t="s">
        <v>74</v>
      </c>
      <c r="AZ1504" t="s">
        <v>74</v>
      </c>
      <c r="BA1504" t="s">
        <v>74</v>
      </c>
      <c r="BB1504">
        <v>683</v>
      </c>
      <c r="BC1504">
        <v>698</v>
      </c>
      <c r="BD1504" t="s">
        <v>74</v>
      </c>
      <c r="BE1504" t="s">
        <v>25327</v>
      </c>
      <c r="BF1504" t="str">
        <f>HYPERLINK("http://dx.doi.org/10.1108/JHTT-05-2021-0143","http://dx.doi.org/10.1108/JHTT-05-2021-0143")</f>
        <v>http://dx.doi.org/10.1108/JHTT-05-2021-0143</v>
      </c>
      <c r="BG1504" t="s">
        <v>74</v>
      </c>
      <c r="BH1504" t="s">
        <v>9082</v>
      </c>
      <c r="BI1504">
        <v>16</v>
      </c>
      <c r="BJ1504" t="s">
        <v>574</v>
      </c>
      <c r="BK1504" t="s">
        <v>99</v>
      </c>
      <c r="BL1504" t="s">
        <v>100</v>
      </c>
      <c r="BM1504" t="s">
        <v>25328</v>
      </c>
      <c r="BN1504" t="s">
        <v>74</v>
      </c>
      <c r="BO1504" t="s">
        <v>74</v>
      </c>
      <c r="BP1504" t="s">
        <v>74</v>
      </c>
      <c r="BQ1504" t="s">
        <v>74</v>
      </c>
      <c r="BR1504" t="s">
        <v>102</v>
      </c>
      <c r="BS1504" t="s">
        <v>25329</v>
      </c>
      <c r="BT1504" t="str">
        <f>HYPERLINK("https%3A%2F%2Fwww.webofscience.com%2Fwos%2Fwoscc%2Ffull-record%2FWOS:000788673100001","View Full Record in Web of Science")</f>
        <v>View Full Record in Web of Science</v>
      </c>
    </row>
    <row r="1505" spans="1:72" x14ac:dyDescent="0.35">
      <c r="A1505" t="s">
        <v>128</v>
      </c>
      <c r="B1505" t="s">
        <v>25330</v>
      </c>
      <c r="C1505" t="s">
        <v>74</v>
      </c>
      <c r="D1505" t="s">
        <v>74</v>
      </c>
      <c r="E1505" t="s">
        <v>1677</v>
      </c>
      <c r="F1505" t="s">
        <v>25331</v>
      </c>
      <c r="G1505" t="s">
        <v>74</v>
      </c>
      <c r="H1505" t="s">
        <v>74</v>
      </c>
      <c r="I1505" t="s">
        <v>25332</v>
      </c>
      <c r="J1505" t="s">
        <v>25333</v>
      </c>
      <c r="K1505" t="s">
        <v>25334</v>
      </c>
      <c r="L1505" t="s">
        <v>74</v>
      </c>
      <c r="M1505" t="s">
        <v>78</v>
      </c>
      <c r="N1505" t="s">
        <v>135</v>
      </c>
      <c r="O1505" t="s">
        <v>25335</v>
      </c>
      <c r="P1505" t="s">
        <v>25336</v>
      </c>
      <c r="Q1505" t="s">
        <v>138</v>
      </c>
      <c r="R1505" t="s">
        <v>25337</v>
      </c>
      <c r="S1505" t="s">
        <v>74</v>
      </c>
      <c r="T1505" t="s">
        <v>25338</v>
      </c>
      <c r="U1505" t="s">
        <v>74</v>
      </c>
      <c r="V1505" t="s">
        <v>25339</v>
      </c>
      <c r="W1505" t="s">
        <v>25340</v>
      </c>
      <c r="X1505" t="s">
        <v>16686</v>
      </c>
      <c r="Y1505" t="s">
        <v>25341</v>
      </c>
      <c r="Z1505" t="s">
        <v>25342</v>
      </c>
      <c r="AA1505" t="s">
        <v>25343</v>
      </c>
      <c r="AB1505" t="s">
        <v>74</v>
      </c>
      <c r="AC1505" t="s">
        <v>25344</v>
      </c>
      <c r="AD1505" t="s">
        <v>25345</v>
      </c>
      <c r="AE1505" t="s">
        <v>25346</v>
      </c>
      <c r="AF1505" t="s">
        <v>74</v>
      </c>
      <c r="AG1505">
        <v>5</v>
      </c>
      <c r="AH1505">
        <v>11</v>
      </c>
      <c r="AI1505">
        <v>13</v>
      </c>
      <c r="AJ1505">
        <v>0</v>
      </c>
      <c r="AK1505">
        <v>2</v>
      </c>
      <c r="AL1505" t="s">
        <v>1677</v>
      </c>
      <c r="AM1505" t="s">
        <v>666</v>
      </c>
      <c r="AN1505" t="s">
        <v>1692</v>
      </c>
      <c r="AO1505" t="s">
        <v>25347</v>
      </c>
      <c r="AP1505" t="s">
        <v>74</v>
      </c>
      <c r="AQ1505" t="s">
        <v>25348</v>
      </c>
      <c r="AR1505" t="s">
        <v>25349</v>
      </c>
      <c r="AS1505" t="s">
        <v>74</v>
      </c>
      <c r="AT1505" t="s">
        <v>74</v>
      </c>
      <c r="AU1505">
        <v>2020</v>
      </c>
      <c r="AV1505" t="s">
        <v>74</v>
      </c>
      <c r="AW1505" t="s">
        <v>74</v>
      </c>
      <c r="AX1505" t="s">
        <v>74</v>
      </c>
      <c r="AY1505" t="s">
        <v>74</v>
      </c>
      <c r="AZ1505" t="s">
        <v>74</v>
      </c>
      <c r="BA1505" t="s">
        <v>74</v>
      </c>
      <c r="BB1505">
        <v>13</v>
      </c>
      <c r="BC1505">
        <v>16</v>
      </c>
      <c r="BD1505" t="s">
        <v>74</v>
      </c>
      <c r="BE1505" t="s">
        <v>25350</v>
      </c>
      <c r="BF1505" t="str">
        <f>HYPERLINK("http://dx.doi.org/10.1109/vcip49819.2020.9301886","http://dx.doi.org/10.1109/vcip49819.2020.9301886")</f>
        <v>http://dx.doi.org/10.1109/vcip49819.2020.9301886</v>
      </c>
      <c r="BG1505" t="s">
        <v>74</v>
      </c>
      <c r="BH1505" t="s">
        <v>74</v>
      </c>
      <c r="BI1505">
        <v>4</v>
      </c>
      <c r="BJ1505" t="s">
        <v>25351</v>
      </c>
      <c r="BK1505" t="s">
        <v>723</v>
      </c>
      <c r="BL1505" t="s">
        <v>25352</v>
      </c>
      <c r="BM1505" t="s">
        <v>25353</v>
      </c>
      <c r="BN1505" t="s">
        <v>74</v>
      </c>
      <c r="BO1505" t="s">
        <v>74</v>
      </c>
      <c r="BP1505" t="s">
        <v>74</v>
      </c>
      <c r="BQ1505" t="s">
        <v>74</v>
      </c>
      <c r="BR1505" t="s">
        <v>102</v>
      </c>
      <c r="BS1505" t="s">
        <v>25354</v>
      </c>
      <c r="BT1505" t="str">
        <f>HYPERLINK("https%3A%2F%2Fwww.webofscience.com%2Fwos%2Fwoscc%2Ffull-record%2FWOS:000718911500004","View Full Record in Web of Science")</f>
        <v>View Full Record in Web of Science</v>
      </c>
    </row>
    <row r="1506" spans="1:72" x14ac:dyDescent="0.35">
      <c r="A1506" t="s">
        <v>72</v>
      </c>
      <c r="B1506" t="s">
        <v>25355</v>
      </c>
      <c r="C1506" t="s">
        <v>74</v>
      </c>
      <c r="D1506" t="s">
        <v>74</v>
      </c>
      <c r="E1506" t="s">
        <v>74</v>
      </c>
      <c r="F1506" t="s">
        <v>25356</v>
      </c>
      <c r="G1506" t="s">
        <v>74</v>
      </c>
      <c r="H1506" t="s">
        <v>74</v>
      </c>
      <c r="I1506" t="s">
        <v>25357</v>
      </c>
      <c r="J1506" t="s">
        <v>2649</v>
      </c>
      <c r="K1506" t="s">
        <v>74</v>
      </c>
      <c r="L1506" t="s">
        <v>74</v>
      </c>
      <c r="M1506" t="s">
        <v>78</v>
      </c>
      <c r="N1506" t="s">
        <v>108</v>
      </c>
      <c r="O1506" t="s">
        <v>74</v>
      </c>
      <c r="P1506" t="s">
        <v>74</v>
      </c>
      <c r="Q1506" t="s">
        <v>74</v>
      </c>
      <c r="R1506" t="s">
        <v>74</v>
      </c>
      <c r="S1506" t="s">
        <v>74</v>
      </c>
      <c r="T1506" t="s">
        <v>25358</v>
      </c>
      <c r="U1506" t="s">
        <v>74</v>
      </c>
      <c r="V1506" t="s">
        <v>25359</v>
      </c>
      <c r="W1506" t="s">
        <v>25360</v>
      </c>
      <c r="X1506" t="s">
        <v>25361</v>
      </c>
      <c r="Y1506" t="s">
        <v>25362</v>
      </c>
      <c r="Z1506" t="s">
        <v>25363</v>
      </c>
      <c r="AA1506" t="s">
        <v>25364</v>
      </c>
      <c r="AB1506" t="s">
        <v>25365</v>
      </c>
      <c r="AC1506" t="s">
        <v>25366</v>
      </c>
      <c r="AD1506" t="s">
        <v>25366</v>
      </c>
      <c r="AE1506" t="s">
        <v>25367</v>
      </c>
      <c r="AF1506" t="s">
        <v>74</v>
      </c>
      <c r="AG1506">
        <v>26</v>
      </c>
      <c r="AH1506">
        <v>1</v>
      </c>
      <c r="AI1506">
        <v>1</v>
      </c>
      <c r="AJ1506">
        <v>2</v>
      </c>
      <c r="AK1506">
        <v>2</v>
      </c>
      <c r="AL1506" t="s">
        <v>2662</v>
      </c>
      <c r="AM1506" t="s">
        <v>2663</v>
      </c>
      <c r="AN1506" t="s">
        <v>2664</v>
      </c>
      <c r="AO1506" t="s">
        <v>2665</v>
      </c>
      <c r="AP1506" t="s">
        <v>74</v>
      </c>
      <c r="AQ1506" t="s">
        <v>74</v>
      </c>
      <c r="AR1506" t="s">
        <v>2666</v>
      </c>
      <c r="AS1506" t="s">
        <v>2667</v>
      </c>
      <c r="AT1506" t="s">
        <v>74</v>
      </c>
      <c r="AU1506">
        <v>2022</v>
      </c>
      <c r="AV1506">
        <v>10</v>
      </c>
      <c r="AW1506">
        <v>4</v>
      </c>
      <c r="AX1506" t="s">
        <v>74</v>
      </c>
      <c r="AY1506" t="s">
        <v>74</v>
      </c>
      <c r="AZ1506" t="s">
        <v>74</v>
      </c>
      <c r="BA1506" t="s">
        <v>74</v>
      </c>
      <c r="BB1506">
        <v>305</v>
      </c>
      <c r="BC1506">
        <v>316</v>
      </c>
      <c r="BD1506" t="s">
        <v>74</v>
      </c>
      <c r="BE1506" t="s">
        <v>25368</v>
      </c>
      <c r="BF1506" t="str">
        <f>HYPERLINK("http://dx.doi.org/10.17645/mac.v10i4.5640","http://dx.doi.org/10.17645/mac.v10i4.5640")</f>
        <v>http://dx.doi.org/10.17645/mac.v10i4.5640</v>
      </c>
      <c r="BG1506" t="s">
        <v>74</v>
      </c>
      <c r="BH1506" t="s">
        <v>74</v>
      </c>
      <c r="BI1506">
        <v>12</v>
      </c>
      <c r="BJ1506" t="s">
        <v>124</v>
      </c>
      <c r="BK1506" t="s">
        <v>99</v>
      </c>
      <c r="BL1506" t="s">
        <v>124</v>
      </c>
      <c r="BM1506" t="s">
        <v>25369</v>
      </c>
      <c r="BN1506" t="s">
        <v>74</v>
      </c>
      <c r="BO1506" t="s">
        <v>552</v>
      </c>
      <c r="BP1506" t="s">
        <v>74</v>
      </c>
      <c r="BQ1506" t="s">
        <v>74</v>
      </c>
      <c r="BR1506" t="s">
        <v>102</v>
      </c>
      <c r="BS1506" t="s">
        <v>25370</v>
      </c>
      <c r="BT1506" t="str">
        <f>HYPERLINK("https%3A%2F%2Fwww.webofscience.com%2Fwos%2Fwoscc%2Ffull-record%2FWOS:001123801600007","View Full Record in Web of Science")</f>
        <v>View Full Record in Web of Science</v>
      </c>
    </row>
    <row r="1507" spans="1:72" x14ac:dyDescent="0.35">
      <c r="A1507" t="s">
        <v>72</v>
      </c>
      <c r="B1507" t="s">
        <v>25371</v>
      </c>
      <c r="C1507" t="s">
        <v>74</v>
      </c>
      <c r="D1507" t="s">
        <v>74</v>
      </c>
      <c r="E1507" t="s">
        <v>74</v>
      </c>
      <c r="F1507" t="s">
        <v>25372</v>
      </c>
      <c r="G1507" t="s">
        <v>74</v>
      </c>
      <c r="H1507" t="s">
        <v>74</v>
      </c>
      <c r="I1507" t="s">
        <v>25373</v>
      </c>
      <c r="J1507" t="s">
        <v>8886</v>
      </c>
      <c r="K1507" t="s">
        <v>74</v>
      </c>
      <c r="L1507" t="s">
        <v>74</v>
      </c>
      <c r="M1507" t="s">
        <v>78</v>
      </c>
      <c r="N1507" t="s">
        <v>108</v>
      </c>
      <c r="O1507" t="s">
        <v>74</v>
      </c>
      <c r="P1507" t="s">
        <v>74</v>
      </c>
      <c r="Q1507" t="s">
        <v>74</v>
      </c>
      <c r="R1507" t="s">
        <v>74</v>
      </c>
      <c r="S1507" t="s">
        <v>74</v>
      </c>
      <c r="T1507" t="s">
        <v>25374</v>
      </c>
      <c r="U1507" t="s">
        <v>74</v>
      </c>
      <c r="V1507" t="s">
        <v>25375</v>
      </c>
      <c r="W1507" t="s">
        <v>25376</v>
      </c>
      <c r="X1507" t="s">
        <v>25377</v>
      </c>
      <c r="Y1507" t="s">
        <v>25378</v>
      </c>
      <c r="Z1507" t="s">
        <v>25379</v>
      </c>
      <c r="AA1507" t="s">
        <v>74</v>
      </c>
      <c r="AB1507" t="s">
        <v>74</v>
      </c>
      <c r="AC1507" t="s">
        <v>25380</v>
      </c>
      <c r="AD1507" t="s">
        <v>25380</v>
      </c>
      <c r="AE1507" t="s">
        <v>25381</v>
      </c>
      <c r="AF1507" t="s">
        <v>74</v>
      </c>
      <c r="AG1507">
        <v>55</v>
      </c>
      <c r="AH1507">
        <v>0</v>
      </c>
      <c r="AI1507">
        <v>0</v>
      </c>
      <c r="AJ1507">
        <v>1</v>
      </c>
      <c r="AK1507">
        <v>1</v>
      </c>
      <c r="AL1507" t="s">
        <v>384</v>
      </c>
      <c r="AM1507" t="s">
        <v>385</v>
      </c>
      <c r="AN1507" t="s">
        <v>386</v>
      </c>
      <c r="AO1507" t="s">
        <v>74</v>
      </c>
      <c r="AP1507" t="s">
        <v>8897</v>
      </c>
      <c r="AQ1507" t="s">
        <v>74</v>
      </c>
      <c r="AR1507" t="s">
        <v>8898</v>
      </c>
      <c r="AS1507" t="s">
        <v>8899</v>
      </c>
      <c r="AT1507" t="s">
        <v>22289</v>
      </c>
      <c r="AU1507">
        <v>2024</v>
      </c>
      <c r="AV1507">
        <v>9</v>
      </c>
      <c r="AW1507" t="s">
        <v>74</v>
      </c>
      <c r="AX1507" t="s">
        <v>74</v>
      </c>
      <c r="AY1507" t="s">
        <v>74</v>
      </c>
      <c r="AZ1507" t="s">
        <v>74</v>
      </c>
      <c r="BA1507" t="s">
        <v>74</v>
      </c>
      <c r="BB1507" t="s">
        <v>74</v>
      </c>
      <c r="BC1507" t="s">
        <v>74</v>
      </c>
      <c r="BD1507">
        <v>1453316</v>
      </c>
      <c r="BE1507" t="s">
        <v>25382</v>
      </c>
      <c r="BF1507" t="str">
        <f>HYPERLINK("http://dx.doi.org/10.3389/fcomm.2024.1453316","http://dx.doi.org/10.3389/fcomm.2024.1453316")</f>
        <v>http://dx.doi.org/10.3389/fcomm.2024.1453316</v>
      </c>
      <c r="BG1507" t="s">
        <v>74</v>
      </c>
      <c r="BH1507" t="s">
        <v>74</v>
      </c>
      <c r="BI1507">
        <v>18</v>
      </c>
      <c r="BJ1507" t="s">
        <v>124</v>
      </c>
      <c r="BK1507" t="s">
        <v>125</v>
      </c>
      <c r="BL1507" t="s">
        <v>124</v>
      </c>
      <c r="BM1507" t="s">
        <v>25383</v>
      </c>
      <c r="BN1507" t="s">
        <v>74</v>
      </c>
      <c r="BO1507" t="s">
        <v>235</v>
      </c>
      <c r="BP1507" t="s">
        <v>74</v>
      </c>
      <c r="BQ1507" t="s">
        <v>74</v>
      </c>
      <c r="BR1507" t="s">
        <v>102</v>
      </c>
      <c r="BS1507" t="s">
        <v>25384</v>
      </c>
      <c r="BT1507" t="str">
        <f>HYPERLINK("https%3A%2F%2Fwww.webofscience.com%2Fwos%2Fwoscc%2Ffull-record%2FWOS:001339068200001","View Full Record in Web of Science")</f>
        <v>View Full Record in Web of Science</v>
      </c>
    </row>
    <row r="1508" spans="1:72" x14ac:dyDescent="0.35">
      <c r="A1508" t="s">
        <v>72</v>
      </c>
      <c r="B1508" t="s">
        <v>25385</v>
      </c>
      <c r="C1508" t="s">
        <v>74</v>
      </c>
      <c r="D1508" t="s">
        <v>74</v>
      </c>
      <c r="E1508" t="s">
        <v>74</v>
      </c>
      <c r="F1508" t="s">
        <v>25386</v>
      </c>
      <c r="G1508" t="s">
        <v>74</v>
      </c>
      <c r="H1508" t="s">
        <v>74</v>
      </c>
      <c r="I1508" t="s">
        <v>25387</v>
      </c>
      <c r="J1508" t="s">
        <v>25388</v>
      </c>
      <c r="K1508" t="s">
        <v>74</v>
      </c>
      <c r="L1508" t="s">
        <v>74</v>
      </c>
      <c r="M1508" t="s">
        <v>78</v>
      </c>
      <c r="N1508" t="s">
        <v>108</v>
      </c>
      <c r="O1508" t="s">
        <v>74</v>
      </c>
      <c r="P1508" t="s">
        <v>74</v>
      </c>
      <c r="Q1508" t="s">
        <v>74</v>
      </c>
      <c r="R1508" t="s">
        <v>74</v>
      </c>
      <c r="S1508" t="s">
        <v>74</v>
      </c>
      <c r="T1508" t="s">
        <v>25389</v>
      </c>
      <c r="U1508" t="s">
        <v>25390</v>
      </c>
      <c r="V1508" t="s">
        <v>25391</v>
      </c>
      <c r="W1508" t="s">
        <v>25392</v>
      </c>
      <c r="X1508" t="s">
        <v>25393</v>
      </c>
      <c r="Y1508" t="s">
        <v>25394</v>
      </c>
      <c r="Z1508" t="s">
        <v>74</v>
      </c>
      <c r="AA1508" t="s">
        <v>25395</v>
      </c>
      <c r="AB1508" t="s">
        <v>74</v>
      </c>
      <c r="AC1508" t="s">
        <v>74</v>
      </c>
      <c r="AD1508" t="s">
        <v>74</v>
      </c>
      <c r="AE1508" t="s">
        <v>74</v>
      </c>
      <c r="AF1508" t="s">
        <v>74</v>
      </c>
      <c r="AG1508">
        <v>57</v>
      </c>
      <c r="AH1508">
        <v>0</v>
      </c>
      <c r="AI1508">
        <v>0</v>
      </c>
      <c r="AJ1508">
        <v>12</v>
      </c>
      <c r="AK1508">
        <v>12</v>
      </c>
      <c r="AL1508" t="s">
        <v>2382</v>
      </c>
      <c r="AM1508" t="s">
        <v>227</v>
      </c>
      <c r="AN1508" t="s">
        <v>2383</v>
      </c>
      <c r="AO1508" t="s">
        <v>74</v>
      </c>
      <c r="AP1508" t="s">
        <v>25396</v>
      </c>
      <c r="AQ1508" t="s">
        <v>74</v>
      </c>
      <c r="AR1508" t="s">
        <v>25397</v>
      </c>
      <c r="AS1508" t="s">
        <v>25398</v>
      </c>
      <c r="AT1508" t="s">
        <v>2773</v>
      </c>
      <c r="AU1508">
        <v>2024</v>
      </c>
      <c r="AV1508">
        <v>18</v>
      </c>
      <c r="AW1508">
        <v>1</v>
      </c>
      <c r="AX1508" t="s">
        <v>74</v>
      </c>
      <c r="AY1508" t="s">
        <v>74</v>
      </c>
      <c r="AZ1508" t="s">
        <v>74</v>
      </c>
      <c r="BA1508" t="s">
        <v>74</v>
      </c>
      <c r="BB1508" t="s">
        <v>74</v>
      </c>
      <c r="BC1508" t="s">
        <v>74</v>
      </c>
      <c r="BD1508">
        <v>107</v>
      </c>
      <c r="BE1508" t="s">
        <v>25399</v>
      </c>
      <c r="BF1508" t="str">
        <f>HYPERLINK("http://dx.doi.org/10.1186/s13034-024-00805-0","http://dx.doi.org/10.1186/s13034-024-00805-0")</f>
        <v>http://dx.doi.org/10.1186/s13034-024-00805-0</v>
      </c>
      <c r="BG1508" t="s">
        <v>74</v>
      </c>
      <c r="BH1508" t="s">
        <v>74</v>
      </c>
      <c r="BI1508">
        <v>11</v>
      </c>
      <c r="BJ1508" t="s">
        <v>25400</v>
      </c>
      <c r="BK1508" t="s">
        <v>182</v>
      </c>
      <c r="BL1508" t="s">
        <v>25400</v>
      </c>
      <c r="BM1508" t="s">
        <v>25401</v>
      </c>
      <c r="BN1508">
        <v>39217325</v>
      </c>
      <c r="BO1508" t="s">
        <v>235</v>
      </c>
      <c r="BP1508" t="s">
        <v>74</v>
      </c>
      <c r="BQ1508" t="s">
        <v>74</v>
      </c>
      <c r="BR1508" t="s">
        <v>102</v>
      </c>
      <c r="BS1508" t="s">
        <v>25402</v>
      </c>
      <c r="BT1508" t="str">
        <f>HYPERLINK("https%3A%2F%2Fwww.webofscience.com%2Fwos%2Fwoscc%2Ffull-record%2FWOS:001303639700002","View Full Record in Web of Science")</f>
        <v>View Full Record in Web of Science</v>
      </c>
    </row>
    <row r="1509" spans="1:72" x14ac:dyDescent="0.35">
      <c r="A1509" t="s">
        <v>72</v>
      </c>
      <c r="B1509" t="s">
        <v>25403</v>
      </c>
      <c r="C1509" t="s">
        <v>74</v>
      </c>
      <c r="D1509" t="s">
        <v>74</v>
      </c>
      <c r="E1509" t="s">
        <v>74</v>
      </c>
      <c r="F1509" t="s">
        <v>25404</v>
      </c>
      <c r="G1509" t="s">
        <v>74</v>
      </c>
      <c r="H1509" t="s">
        <v>74</v>
      </c>
      <c r="I1509" t="s">
        <v>25405</v>
      </c>
      <c r="J1509" t="s">
        <v>13233</v>
      </c>
      <c r="K1509" t="s">
        <v>74</v>
      </c>
      <c r="L1509" t="s">
        <v>74</v>
      </c>
      <c r="M1509" t="s">
        <v>78</v>
      </c>
      <c r="N1509" t="s">
        <v>108</v>
      </c>
      <c r="O1509" t="s">
        <v>74</v>
      </c>
      <c r="P1509" t="s">
        <v>74</v>
      </c>
      <c r="Q1509" t="s">
        <v>74</v>
      </c>
      <c r="R1509" t="s">
        <v>74</v>
      </c>
      <c r="S1509" t="s">
        <v>74</v>
      </c>
      <c r="T1509" t="s">
        <v>25406</v>
      </c>
      <c r="U1509" t="s">
        <v>25407</v>
      </c>
      <c r="V1509" t="s">
        <v>25408</v>
      </c>
      <c r="W1509" t="s">
        <v>25409</v>
      </c>
      <c r="X1509" t="s">
        <v>25410</v>
      </c>
      <c r="Y1509" t="s">
        <v>25411</v>
      </c>
      <c r="Z1509" t="s">
        <v>25412</v>
      </c>
      <c r="AA1509" t="s">
        <v>74</v>
      </c>
      <c r="AB1509" t="s">
        <v>74</v>
      </c>
      <c r="AC1509" t="s">
        <v>74</v>
      </c>
      <c r="AD1509" t="s">
        <v>74</v>
      </c>
      <c r="AE1509" t="s">
        <v>74</v>
      </c>
      <c r="AF1509" t="s">
        <v>74</v>
      </c>
      <c r="AG1509">
        <v>31</v>
      </c>
      <c r="AH1509">
        <v>0</v>
      </c>
      <c r="AI1509">
        <v>0</v>
      </c>
      <c r="AJ1509">
        <v>27</v>
      </c>
      <c r="AK1509">
        <v>27</v>
      </c>
      <c r="AL1509" t="s">
        <v>171</v>
      </c>
      <c r="AM1509" t="s">
        <v>172</v>
      </c>
      <c r="AN1509" t="s">
        <v>173</v>
      </c>
      <c r="AO1509" t="s">
        <v>13246</v>
      </c>
      <c r="AP1509" t="s">
        <v>74</v>
      </c>
      <c r="AQ1509" t="s">
        <v>74</v>
      </c>
      <c r="AR1509" t="s">
        <v>13233</v>
      </c>
      <c r="AS1509" t="s">
        <v>13247</v>
      </c>
      <c r="AT1509" t="s">
        <v>273</v>
      </c>
      <c r="AU1509">
        <v>2024</v>
      </c>
      <c r="AV1509">
        <v>14</v>
      </c>
      <c r="AW1509">
        <v>3</v>
      </c>
      <c r="AX1509" t="s">
        <v>74</v>
      </c>
      <c r="AY1509" t="s">
        <v>74</v>
      </c>
      <c r="AZ1509" t="s">
        <v>74</v>
      </c>
      <c r="BA1509" t="s">
        <v>74</v>
      </c>
      <c r="BB1509" t="s">
        <v>74</v>
      </c>
      <c r="BC1509" t="s">
        <v>74</v>
      </c>
      <c r="BD1509">
        <v>2.1582440241274532E+16</v>
      </c>
      <c r="BE1509" t="s">
        <v>25413</v>
      </c>
      <c r="BF1509" t="str">
        <f>HYPERLINK("http://dx.doi.org/10.1177/21582440241274533","http://dx.doi.org/10.1177/21582440241274533")</f>
        <v>http://dx.doi.org/10.1177/21582440241274533</v>
      </c>
      <c r="BG1509" t="s">
        <v>74</v>
      </c>
      <c r="BH1509" t="s">
        <v>74</v>
      </c>
      <c r="BI1509">
        <v>11</v>
      </c>
      <c r="BJ1509" t="s">
        <v>98</v>
      </c>
      <c r="BK1509" t="s">
        <v>99</v>
      </c>
      <c r="BL1509" t="s">
        <v>100</v>
      </c>
      <c r="BM1509" t="s">
        <v>25414</v>
      </c>
      <c r="BN1509" t="s">
        <v>74</v>
      </c>
      <c r="BO1509" t="s">
        <v>235</v>
      </c>
      <c r="BP1509" t="s">
        <v>74</v>
      </c>
      <c r="BQ1509" t="s">
        <v>74</v>
      </c>
      <c r="BR1509" t="s">
        <v>102</v>
      </c>
      <c r="BS1509" t="s">
        <v>25415</v>
      </c>
      <c r="BT1509" t="str">
        <f>HYPERLINK("https%3A%2F%2Fwww.webofscience.com%2Fwos%2Fwoscc%2Ffull-record%2FWOS:001312435200001","View Full Record in Web of Science")</f>
        <v>View Full Record in Web of Science</v>
      </c>
    </row>
    <row r="1510" spans="1:72" x14ac:dyDescent="0.35">
      <c r="A1510" t="s">
        <v>72</v>
      </c>
      <c r="B1510" t="s">
        <v>25416</v>
      </c>
      <c r="C1510" t="s">
        <v>74</v>
      </c>
      <c r="D1510" t="s">
        <v>74</v>
      </c>
      <c r="E1510" t="s">
        <v>74</v>
      </c>
      <c r="F1510" t="s">
        <v>25417</v>
      </c>
      <c r="G1510" t="s">
        <v>74</v>
      </c>
      <c r="H1510" t="s">
        <v>74</v>
      </c>
      <c r="I1510" t="s">
        <v>25418</v>
      </c>
      <c r="J1510" t="s">
        <v>25419</v>
      </c>
      <c r="K1510" t="s">
        <v>74</v>
      </c>
      <c r="L1510" t="s">
        <v>74</v>
      </c>
      <c r="M1510" t="s">
        <v>78</v>
      </c>
      <c r="N1510" t="s">
        <v>108</v>
      </c>
      <c r="O1510" t="s">
        <v>74</v>
      </c>
      <c r="P1510" t="s">
        <v>74</v>
      </c>
      <c r="Q1510" t="s">
        <v>74</v>
      </c>
      <c r="R1510" t="s">
        <v>74</v>
      </c>
      <c r="S1510" t="s">
        <v>74</v>
      </c>
      <c r="T1510" t="s">
        <v>74</v>
      </c>
      <c r="U1510" t="s">
        <v>25420</v>
      </c>
      <c r="V1510" t="s">
        <v>25421</v>
      </c>
      <c r="W1510" t="s">
        <v>25422</v>
      </c>
      <c r="X1510" t="s">
        <v>74</v>
      </c>
      <c r="Y1510" t="s">
        <v>25423</v>
      </c>
      <c r="Z1510" t="s">
        <v>74</v>
      </c>
      <c r="AA1510" t="s">
        <v>74</v>
      </c>
      <c r="AB1510" t="s">
        <v>74</v>
      </c>
      <c r="AC1510" t="s">
        <v>74</v>
      </c>
      <c r="AD1510" t="s">
        <v>74</v>
      </c>
      <c r="AE1510" t="s">
        <v>74</v>
      </c>
      <c r="AF1510" t="s">
        <v>74</v>
      </c>
      <c r="AG1510">
        <v>19</v>
      </c>
      <c r="AH1510">
        <v>0</v>
      </c>
      <c r="AI1510">
        <v>0</v>
      </c>
      <c r="AJ1510">
        <v>2</v>
      </c>
      <c r="AK1510">
        <v>2</v>
      </c>
      <c r="AL1510" t="s">
        <v>25424</v>
      </c>
      <c r="AM1510" t="s">
        <v>2853</v>
      </c>
      <c r="AN1510" t="s">
        <v>25425</v>
      </c>
      <c r="AO1510" t="s">
        <v>25426</v>
      </c>
      <c r="AP1510" t="s">
        <v>74</v>
      </c>
      <c r="AQ1510" t="s">
        <v>74</v>
      </c>
      <c r="AR1510" t="s">
        <v>25427</v>
      </c>
      <c r="AS1510" t="s">
        <v>25428</v>
      </c>
      <c r="AT1510" t="s">
        <v>74</v>
      </c>
      <c r="AU1510">
        <v>2023</v>
      </c>
      <c r="AV1510">
        <v>78</v>
      </c>
      <c r="AW1510">
        <v>3</v>
      </c>
      <c r="AX1510" t="s">
        <v>74</v>
      </c>
      <c r="AY1510" t="s">
        <v>74</v>
      </c>
      <c r="AZ1510" t="s">
        <v>74</v>
      </c>
      <c r="BA1510" t="s">
        <v>74</v>
      </c>
      <c r="BB1510">
        <v>317</v>
      </c>
      <c r="BC1510">
        <v>326</v>
      </c>
      <c r="BD1510" t="s">
        <v>74</v>
      </c>
      <c r="BE1510" t="s">
        <v>74</v>
      </c>
      <c r="BF1510" t="s">
        <v>74</v>
      </c>
      <c r="BG1510" t="s">
        <v>74</v>
      </c>
      <c r="BH1510" t="s">
        <v>74</v>
      </c>
      <c r="BI1510">
        <v>10</v>
      </c>
      <c r="BJ1510" t="s">
        <v>25429</v>
      </c>
      <c r="BK1510" t="s">
        <v>182</v>
      </c>
      <c r="BL1510" t="s">
        <v>25430</v>
      </c>
      <c r="BM1510" t="s">
        <v>25431</v>
      </c>
      <c r="BN1510" t="s">
        <v>74</v>
      </c>
      <c r="BO1510" t="s">
        <v>74</v>
      </c>
      <c r="BP1510" t="s">
        <v>74</v>
      </c>
      <c r="BQ1510" t="s">
        <v>74</v>
      </c>
      <c r="BR1510" t="s">
        <v>102</v>
      </c>
      <c r="BS1510" t="s">
        <v>25432</v>
      </c>
      <c r="BT1510" t="str">
        <f>HYPERLINK("https%3A%2F%2Fwww.webofscience.com%2Fwos%2Fwoscc%2Ffull-record%2FWOS:001195222600003","View Full Record in Web of Science")</f>
        <v>View Full Record in Web of Science</v>
      </c>
    </row>
    <row r="1511" spans="1:72" x14ac:dyDescent="0.35">
      <c r="A1511" t="s">
        <v>72</v>
      </c>
      <c r="B1511" t="s">
        <v>25433</v>
      </c>
      <c r="C1511" t="s">
        <v>74</v>
      </c>
      <c r="D1511" t="s">
        <v>74</v>
      </c>
      <c r="E1511" t="s">
        <v>74</v>
      </c>
      <c r="F1511" t="s">
        <v>25434</v>
      </c>
      <c r="G1511" t="s">
        <v>74</v>
      </c>
      <c r="H1511" t="s">
        <v>74</v>
      </c>
      <c r="I1511" t="s">
        <v>25435</v>
      </c>
      <c r="J1511" t="s">
        <v>25436</v>
      </c>
      <c r="K1511" t="s">
        <v>74</v>
      </c>
      <c r="L1511" t="s">
        <v>74</v>
      </c>
      <c r="M1511" t="s">
        <v>78</v>
      </c>
      <c r="N1511" t="s">
        <v>79</v>
      </c>
      <c r="O1511" t="s">
        <v>74</v>
      </c>
      <c r="P1511" t="s">
        <v>74</v>
      </c>
      <c r="Q1511" t="s">
        <v>74</v>
      </c>
      <c r="R1511" t="s">
        <v>74</v>
      </c>
      <c r="S1511" t="s">
        <v>74</v>
      </c>
      <c r="T1511" t="s">
        <v>25437</v>
      </c>
      <c r="U1511" t="s">
        <v>74</v>
      </c>
      <c r="V1511" t="s">
        <v>25438</v>
      </c>
      <c r="W1511" t="s">
        <v>25439</v>
      </c>
      <c r="X1511" t="s">
        <v>74</v>
      </c>
      <c r="Y1511" t="s">
        <v>25440</v>
      </c>
      <c r="Z1511" t="s">
        <v>25441</v>
      </c>
      <c r="AA1511" t="s">
        <v>25442</v>
      </c>
      <c r="AB1511" t="s">
        <v>74</v>
      </c>
      <c r="AC1511" t="s">
        <v>74</v>
      </c>
      <c r="AD1511" t="s">
        <v>74</v>
      </c>
      <c r="AE1511" t="s">
        <v>74</v>
      </c>
      <c r="AF1511" t="s">
        <v>74</v>
      </c>
      <c r="AG1511">
        <v>32</v>
      </c>
      <c r="AH1511">
        <v>0</v>
      </c>
      <c r="AI1511">
        <v>0</v>
      </c>
      <c r="AJ1511">
        <v>1</v>
      </c>
      <c r="AK1511">
        <v>7</v>
      </c>
      <c r="AL1511" t="s">
        <v>25443</v>
      </c>
      <c r="AM1511" t="s">
        <v>4435</v>
      </c>
      <c r="AN1511" t="s">
        <v>25444</v>
      </c>
      <c r="AO1511" t="s">
        <v>74</v>
      </c>
      <c r="AP1511" t="s">
        <v>25445</v>
      </c>
      <c r="AQ1511" t="s">
        <v>74</v>
      </c>
      <c r="AR1511" t="s">
        <v>25446</v>
      </c>
      <c r="AS1511" t="s">
        <v>25447</v>
      </c>
      <c r="AT1511" t="s">
        <v>25448</v>
      </c>
      <c r="AU1511">
        <v>2023</v>
      </c>
      <c r="AV1511" t="s">
        <v>74</v>
      </c>
      <c r="AW1511" t="s">
        <v>74</v>
      </c>
      <c r="AX1511" t="s">
        <v>74</v>
      </c>
      <c r="AY1511" t="s">
        <v>74</v>
      </c>
      <c r="AZ1511" t="s">
        <v>74</v>
      </c>
      <c r="BA1511" t="s">
        <v>74</v>
      </c>
      <c r="BB1511" t="s">
        <v>74</v>
      </c>
      <c r="BC1511" t="s">
        <v>74</v>
      </c>
      <c r="BD1511" t="s">
        <v>74</v>
      </c>
      <c r="BE1511" t="s">
        <v>25449</v>
      </c>
      <c r="BF1511" t="str">
        <f>HYPERLINK("http://dx.doi.org/10.2478/amns.2023.1.00066","http://dx.doi.org/10.2478/amns.2023.1.00066")</f>
        <v>http://dx.doi.org/10.2478/amns.2023.1.00066</v>
      </c>
      <c r="BG1511" t="s">
        <v>74</v>
      </c>
      <c r="BH1511" t="s">
        <v>299</v>
      </c>
      <c r="BI1511">
        <v>18</v>
      </c>
      <c r="BJ1511" t="s">
        <v>25450</v>
      </c>
      <c r="BK1511" t="s">
        <v>125</v>
      </c>
      <c r="BL1511" t="s">
        <v>25451</v>
      </c>
      <c r="BM1511" t="s">
        <v>25452</v>
      </c>
      <c r="BN1511" t="s">
        <v>74</v>
      </c>
      <c r="BO1511" t="s">
        <v>235</v>
      </c>
      <c r="BP1511" t="s">
        <v>74</v>
      </c>
      <c r="BQ1511" t="s">
        <v>74</v>
      </c>
      <c r="BR1511" t="s">
        <v>102</v>
      </c>
      <c r="BS1511" t="s">
        <v>25453</v>
      </c>
      <c r="BT1511" t="str">
        <f>HYPERLINK("https%3A%2F%2Fwww.webofscience.com%2Fwos%2Fwoscc%2Ffull-record%2FWOS:000980151500001","View Full Record in Web of Science")</f>
        <v>View Full Record in Web of Science</v>
      </c>
    </row>
    <row r="1512" spans="1:72" x14ac:dyDescent="0.35">
      <c r="A1512" t="s">
        <v>72</v>
      </c>
      <c r="B1512" t="s">
        <v>25454</v>
      </c>
      <c r="C1512" t="s">
        <v>74</v>
      </c>
      <c r="D1512" t="s">
        <v>74</v>
      </c>
      <c r="E1512" t="s">
        <v>74</v>
      </c>
      <c r="F1512" t="s">
        <v>25455</v>
      </c>
      <c r="G1512" t="s">
        <v>74</v>
      </c>
      <c r="H1512" t="s">
        <v>74</v>
      </c>
      <c r="I1512" t="s">
        <v>25456</v>
      </c>
      <c r="J1512" t="s">
        <v>8021</v>
      </c>
      <c r="K1512" t="s">
        <v>74</v>
      </c>
      <c r="L1512" t="s">
        <v>74</v>
      </c>
      <c r="M1512" t="s">
        <v>78</v>
      </c>
      <c r="N1512" t="s">
        <v>108</v>
      </c>
      <c r="O1512" t="s">
        <v>74</v>
      </c>
      <c r="P1512" t="s">
        <v>74</v>
      </c>
      <c r="Q1512" t="s">
        <v>74</v>
      </c>
      <c r="R1512" t="s">
        <v>74</v>
      </c>
      <c r="S1512" t="s">
        <v>74</v>
      </c>
      <c r="T1512" t="s">
        <v>25457</v>
      </c>
      <c r="U1512" t="s">
        <v>25458</v>
      </c>
      <c r="V1512" t="s">
        <v>25459</v>
      </c>
      <c r="W1512" t="s">
        <v>25460</v>
      </c>
      <c r="X1512" t="s">
        <v>835</v>
      </c>
      <c r="Y1512" t="s">
        <v>25461</v>
      </c>
      <c r="Z1512" t="s">
        <v>25462</v>
      </c>
      <c r="AA1512" t="s">
        <v>7715</v>
      </c>
      <c r="AB1512" t="s">
        <v>25463</v>
      </c>
      <c r="AC1512" t="s">
        <v>74</v>
      </c>
      <c r="AD1512" t="s">
        <v>74</v>
      </c>
      <c r="AE1512" t="s">
        <v>74</v>
      </c>
      <c r="AF1512" t="s">
        <v>74</v>
      </c>
      <c r="AG1512">
        <v>39</v>
      </c>
      <c r="AH1512">
        <v>0</v>
      </c>
      <c r="AI1512">
        <v>0</v>
      </c>
      <c r="AJ1512">
        <v>5</v>
      </c>
      <c r="AK1512">
        <v>11</v>
      </c>
      <c r="AL1512" t="s">
        <v>2662</v>
      </c>
      <c r="AM1512" t="s">
        <v>2663</v>
      </c>
      <c r="AN1512" t="s">
        <v>2664</v>
      </c>
      <c r="AO1512" t="s">
        <v>8033</v>
      </c>
      <c r="AP1512" t="s">
        <v>74</v>
      </c>
      <c r="AQ1512" t="s">
        <v>74</v>
      </c>
      <c r="AR1512" t="s">
        <v>8034</v>
      </c>
      <c r="AS1512" t="s">
        <v>8035</v>
      </c>
      <c r="AT1512" t="s">
        <v>74</v>
      </c>
      <c r="AU1512">
        <v>2023</v>
      </c>
      <c r="AV1512">
        <v>11</v>
      </c>
      <c r="AW1512">
        <v>2</v>
      </c>
      <c r="AX1512" t="s">
        <v>74</v>
      </c>
      <c r="AY1512" t="s">
        <v>74</v>
      </c>
      <c r="AZ1512" t="s">
        <v>74</v>
      </c>
      <c r="BA1512" t="s">
        <v>74</v>
      </c>
      <c r="BB1512">
        <v>198</v>
      </c>
      <c r="BC1512">
        <v>209</v>
      </c>
      <c r="BD1512" t="s">
        <v>74</v>
      </c>
      <c r="BE1512" t="s">
        <v>25464</v>
      </c>
      <c r="BF1512" t="str">
        <f>HYPERLINK("http://dx.doi.org/10.17645/pag.v11i2.6375","http://dx.doi.org/10.17645/pag.v11i2.6375")</f>
        <v>http://dx.doi.org/10.17645/pag.v11i2.6375</v>
      </c>
      <c r="BG1512" t="s">
        <v>74</v>
      </c>
      <c r="BH1512" t="s">
        <v>74</v>
      </c>
      <c r="BI1512">
        <v>12</v>
      </c>
      <c r="BJ1512" t="s">
        <v>8014</v>
      </c>
      <c r="BK1512" t="s">
        <v>99</v>
      </c>
      <c r="BL1512" t="s">
        <v>8015</v>
      </c>
      <c r="BM1512" t="s">
        <v>8037</v>
      </c>
      <c r="BN1512" t="s">
        <v>74</v>
      </c>
      <c r="BO1512" t="s">
        <v>552</v>
      </c>
      <c r="BP1512" t="s">
        <v>74</v>
      </c>
      <c r="BQ1512" t="s">
        <v>74</v>
      </c>
      <c r="BR1512" t="s">
        <v>102</v>
      </c>
      <c r="BS1512" t="s">
        <v>25465</v>
      </c>
      <c r="BT1512" t="str">
        <f>HYPERLINK("https%3A%2F%2Fwww.webofscience.com%2Fwos%2Fwoscc%2Ffull-record%2FWOS:000995613200009","View Full Record in Web of Science")</f>
        <v>View Full Record in Web of Science</v>
      </c>
    </row>
    <row r="1513" spans="1:72" x14ac:dyDescent="0.35">
      <c r="A1513" t="s">
        <v>72</v>
      </c>
      <c r="B1513" t="s">
        <v>25466</v>
      </c>
      <c r="C1513" t="s">
        <v>74</v>
      </c>
      <c r="D1513" t="s">
        <v>74</v>
      </c>
      <c r="E1513" t="s">
        <v>74</v>
      </c>
      <c r="F1513" t="s">
        <v>25467</v>
      </c>
      <c r="G1513" t="s">
        <v>74</v>
      </c>
      <c r="H1513" t="s">
        <v>74</v>
      </c>
      <c r="I1513" t="s">
        <v>25468</v>
      </c>
      <c r="J1513" t="s">
        <v>25469</v>
      </c>
      <c r="K1513" t="s">
        <v>74</v>
      </c>
      <c r="L1513" t="s">
        <v>74</v>
      </c>
      <c r="M1513" t="s">
        <v>78</v>
      </c>
      <c r="N1513" t="s">
        <v>108</v>
      </c>
      <c r="O1513" t="s">
        <v>74</v>
      </c>
      <c r="P1513" t="s">
        <v>74</v>
      </c>
      <c r="Q1513" t="s">
        <v>74</v>
      </c>
      <c r="R1513" t="s">
        <v>74</v>
      </c>
      <c r="S1513" t="s">
        <v>74</v>
      </c>
      <c r="T1513" t="s">
        <v>25470</v>
      </c>
      <c r="U1513" t="s">
        <v>25471</v>
      </c>
      <c r="V1513" t="s">
        <v>25472</v>
      </c>
      <c r="W1513" t="s">
        <v>25473</v>
      </c>
      <c r="X1513" t="s">
        <v>25474</v>
      </c>
      <c r="Y1513" t="s">
        <v>25475</v>
      </c>
      <c r="Z1513" t="s">
        <v>25476</v>
      </c>
      <c r="AA1513" t="s">
        <v>25477</v>
      </c>
      <c r="AB1513" t="s">
        <v>25478</v>
      </c>
      <c r="AC1513" t="s">
        <v>25479</v>
      </c>
      <c r="AD1513" t="s">
        <v>25480</v>
      </c>
      <c r="AE1513" t="s">
        <v>25481</v>
      </c>
      <c r="AF1513" t="s">
        <v>74</v>
      </c>
      <c r="AG1513">
        <v>51</v>
      </c>
      <c r="AH1513">
        <v>2</v>
      </c>
      <c r="AI1513">
        <v>2</v>
      </c>
      <c r="AJ1513">
        <v>1</v>
      </c>
      <c r="AK1513">
        <v>8</v>
      </c>
      <c r="AL1513" t="s">
        <v>171</v>
      </c>
      <c r="AM1513" t="s">
        <v>172</v>
      </c>
      <c r="AN1513" t="s">
        <v>173</v>
      </c>
      <c r="AO1513" t="s">
        <v>25482</v>
      </c>
      <c r="AP1513" t="s">
        <v>25483</v>
      </c>
      <c r="AQ1513" t="s">
        <v>74</v>
      </c>
      <c r="AR1513" t="s">
        <v>25469</v>
      </c>
      <c r="AS1513" t="s">
        <v>25484</v>
      </c>
      <c r="AT1513" t="s">
        <v>1275</v>
      </c>
      <c r="AU1513">
        <v>2024</v>
      </c>
      <c r="AV1513">
        <v>27</v>
      </c>
      <c r="AW1513">
        <v>8</v>
      </c>
      <c r="AX1513" t="s">
        <v>74</v>
      </c>
      <c r="AY1513" t="s">
        <v>74</v>
      </c>
      <c r="AZ1513" t="s">
        <v>456</v>
      </c>
      <c r="BA1513" t="s">
        <v>74</v>
      </c>
      <c r="BB1513">
        <v>1689</v>
      </c>
      <c r="BC1513">
        <v>1705</v>
      </c>
      <c r="BD1513" t="s">
        <v>74</v>
      </c>
      <c r="BE1513" t="s">
        <v>25485</v>
      </c>
      <c r="BF1513" t="str">
        <f>HYPERLINK("http://dx.doi.org/10.1177/13634607231160058","http://dx.doi.org/10.1177/13634607231160058")</f>
        <v>http://dx.doi.org/10.1177/13634607231160058</v>
      </c>
      <c r="BG1513" t="s">
        <v>74</v>
      </c>
      <c r="BH1513" t="s">
        <v>1046</v>
      </c>
      <c r="BI1513">
        <v>17</v>
      </c>
      <c r="BJ1513" t="s">
        <v>4573</v>
      </c>
      <c r="BK1513" t="s">
        <v>99</v>
      </c>
      <c r="BL1513" t="s">
        <v>4573</v>
      </c>
      <c r="BM1513" t="s">
        <v>25486</v>
      </c>
      <c r="BN1513" t="s">
        <v>74</v>
      </c>
      <c r="BO1513" t="s">
        <v>156</v>
      </c>
      <c r="BP1513" t="s">
        <v>74</v>
      </c>
      <c r="BQ1513" t="s">
        <v>74</v>
      </c>
      <c r="BR1513" t="s">
        <v>102</v>
      </c>
      <c r="BS1513" t="s">
        <v>25487</v>
      </c>
      <c r="BT1513" t="str">
        <f>HYPERLINK("https%3A%2F%2Fwww.webofscience.com%2Fwos%2Fwoscc%2Ffull-record%2FWOS:000942927300001","View Full Record in Web of Science")</f>
        <v>View Full Record in Web of Science</v>
      </c>
    </row>
    <row r="1514" spans="1:72" x14ac:dyDescent="0.35">
      <c r="A1514" t="s">
        <v>72</v>
      </c>
      <c r="B1514" t="s">
        <v>25488</v>
      </c>
      <c r="C1514" t="s">
        <v>74</v>
      </c>
      <c r="D1514" t="s">
        <v>74</v>
      </c>
      <c r="E1514" t="s">
        <v>74</v>
      </c>
      <c r="F1514" t="s">
        <v>25489</v>
      </c>
      <c r="G1514" t="s">
        <v>74</v>
      </c>
      <c r="H1514" t="s">
        <v>74</v>
      </c>
      <c r="I1514" t="s">
        <v>25490</v>
      </c>
      <c r="J1514" t="s">
        <v>25491</v>
      </c>
      <c r="K1514" t="s">
        <v>74</v>
      </c>
      <c r="L1514" t="s">
        <v>74</v>
      </c>
      <c r="M1514" t="s">
        <v>78</v>
      </c>
      <c r="N1514" t="s">
        <v>108</v>
      </c>
      <c r="O1514" t="s">
        <v>74</v>
      </c>
      <c r="P1514" t="s">
        <v>74</v>
      </c>
      <c r="Q1514" t="s">
        <v>74</v>
      </c>
      <c r="R1514" t="s">
        <v>74</v>
      </c>
      <c r="S1514" t="s">
        <v>74</v>
      </c>
      <c r="T1514" t="s">
        <v>25492</v>
      </c>
      <c r="U1514" t="s">
        <v>74</v>
      </c>
      <c r="V1514" t="s">
        <v>25493</v>
      </c>
      <c r="W1514" t="s">
        <v>74</v>
      </c>
      <c r="X1514" t="s">
        <v>74</v>
      </c>
      <c r="Y1514" t="s">
        <v>74</v>
      </c>
      <c r="Z1514" t="s">
        <v>74</v>
      </c>
      <c r="AA1514" t="s">
        <v>74</v>
      </c>
      <c r="AB1514" t="s">
        <v>74</v>
      </c>
      <c r="AC1514" t="s">
        <v>74</v>
      </c>
      <c r="AD1514" t="s">
        <v>74</v>
      </c>
      <c r="AE1514" t="s">
        <v>74</v>
      </c>
      <c r="AF1514" t="s">
        <v>74</v>
      </c>
      <c r="AG1514">
        <v>18</v>
      </c>
      <c r="AH1514">
        <v>0</v>
      </c>
      <c r="AI1514">
        <v>0</v>
      </c>
      <c r="AJ1514">
        <v>1</v>
      </c>
      <c r="AK1514">
        <v>1</v>
      </c>
      <c r="AL1514" t="s">
        <v>25494</v>
      </c>
      <c r="AM1514" t="s">
        <v>25495</v>
      </c>
      <c r="AN1514" t="s">
        <v>25496</v>
      </c>
      <c r="AO1514" t="s">
        <v>25497</v>
      </c>
      <c r="AP1514" t="s">
        <v>25498</v>
      </c>
      <c r="AQ1514" t="s">
        <v>74</v>
      </c>
      <c r="AR1514" t="s">
        <v>25499</v>
      </c>
      <c r="AS1514" t="s">
        <v>25500</v>
      </c>
      <c r="AT1514" t="s">
        <v>74</v>
      </c>
      <c r="AU1514">
        <v>2024</v>
      </c>
      <c r="AV1514">
        <v>35</v>
      </c>
      <c r="AW1514">
        <v>68</v>
      </c>
      <c r="AX1514" t="s">
        <v>74</v>
      </c>
      <c r="AY1514" t="s">
        <v>74</v>
      </c>
      <c r="AZ1514" t="s">
        <v>74</v>
      </c>
      <c r="BA1514" t="s">
        <v>74</v>
      </c>
      <c r="BB1514">
        <v>146</v>
      </c>
      <c r="BC1514">
        <v>167</v>
      </c>
      <c r="BD1514" t="s">
        <v>74</v>
      </c>
      <c r="BE1514" t="s">
        <v>25501</v>
      </c>
      <c r="BF1514" t="str">
        <f>HYPERLINK("http://dx.doi.org/10.22409/cadletrasuff.v35i68.61444","http://dx.doi.org/10.22409/cadletrasuff.v35i68.61444")</f>
        <v>http://dx.doi.org/10.22409/cadletrasuff.v35i68.61444</v>
      </c>
      <c r="BG1514" t="s">
        <v>74</v>
      </c>
      <c r="BH1514" t="s">
        <v>74</v>
      </c>
      <c r="BI1514">
        <v>22</v>
      </c>
      <c r="BJ1514" t="s">
        <v>3284</v>
      </c>
      <c r="BK1514" t="s">
        <v>125</v>
      </c>
      <c r="BL1514" t="s">
        <v>3285</v>
      </c>
      <c r="BM1514" t="s">
        <v>25502</v>
      </c>
      <c r="BN1514" t="s">
        <v>74</v>
      </c>
      <c r="BO1514" t="s">
        <v>74</v>
      </c>
      <c r="BP1514" t="s">
        <v>74</v>
      </c>
      <c r="BQ1514" t="s">
        <v>74</v>
      </c>
      <c r="BR1514" t="s">
        <v>102</v>
      </c>
      <c r="BS1514" t="s">
        <v>25503</v>
      </c>
      <c r="BT1514" t="str">
        <f>HYPERLINK("https%3A%2F%2Fwww.webofscience.com%2Fwos%2Fwoscc%2Ffull-record%2FWOS:001307655000008","View Full Record in Web of Science")</f>
        <v>View Full Record in Web of Science</v>
      </c>
    </row>
    <row r="1515" spans="1:72" x14ac:dyDescent="0.35">
      <c r="A1515" t="s">
        <v>128</v>
      </c>
      <c r="B1515" t="s">
        <v>25504</v>
      </c>
      <c r="C1515" t="s">
        <v>74</v>
      </c>
      <c r="D1515" t="s">
        <v>74</v>
      </c>
      <c r="E1515" t="s">
        <v>1677</v>
      </c>
      <c r="F1515" t="s">
        <v>25505</v>
      </c>
      <c r="G1515" t="s">
        <v>74</v>
      </c>
      <c r="H1515" t="s">
        <v>74</v>
      </c>
      <c r="I1515" t="s">
        <v>25506</v>
      </c>
      <c r="J1515" t="s">
        <v>25507</v>
      </c>
      <c r="K1515" t="s">
        <v>74</v>
      </c>
      <c r="L1515" t="s">
        <v>74</v>
      </c>
      <c r="M1515" t="s">
        <v>78</v>
      </c>
      <c r="N1515" t="s">
        <v>135</v>
      </c>
      <c r="O1515" t="s">
        <v>25508</v>
      </c>
      <c r="P1515" t="s">
        <v>25509</v>
      </c>
      <c r="Q1515" t="s">
        <v>25510</v>
      </c>
      <c r="R1515" t="s">
        <v>25511</v>
      </c>
      <c r="S1515" t="s">
        <v>25512</v>
      </c>
      <c r="T1515" t="s">
        <v>25513</v>
      </c>
      <c r="U1515" t="s">
        <v>25514</v>
      </c>
      <c r="V1515" t="s">
        <v>25515</v>
      </c>
      <c r="W1515" t="s">
        <v>25516</v>
      </c>
      <c r="X1515" t="s">
        <v>74</v>
      </c>
      <c r="Y1515" t="s">
        <v>25517</v>
      </c>
      <c r="Z1515" t="s">
        <v>25518</v>
      </c>
      <c r="AA1515" t="s">
        <v>25519</v>
      </c>
      <c r="AB1515" t="s">
        <v>25520</v>
      </c>
      <c r="AC1515" t="s">
        <v>74</v>
      </c>
      <c r="AD1515" t="s">
        <v>74</v>
      </c>
      <c r="AE1515" t="s">
        <v>74</v>
      </c>
      <c r="AF1515" t="s">
        <v>74</v>
      </c>
      <c r="AG1515">
        <v>13</v>
      </c>
      <c r="AH1515">
        <v>6</v>
      </c>
      <c r="AI1515">
        <v>6</v>
      </c>
      <c r="AJ1515">
        <v>0</v>
      </c>
      <c r="AK1515">
        <v>3</v>
      </c>
      <c r="AL1515" t="s">
        <v>1677</v>
      </c>
      <c r="AM1515" t="s">
        <v>666</v>
      </c>
      <c r="AN1515" t="s">
        <v>1692</v>
      </c>
      <c r="AO1515" t="s">
        <v>74</v>
      </c>
      <c r="AP1515" t="s">
        <v>74</v>
      </c>
      <c r="AQ1515" t="s">
        <v>25521</v>
      </c>
      <c r="AR1515" t="s">
        <v>74</v>
      </c>
      <c r="AS1515" t="s">
        <v>74</v>
      </c>
      <c r="AT1515" t="s">
        <v>74</v>
      </c>
      <c r="AU1515">
        <v>2020</v>
      </c>
      <c r="AV1515" t="s">
        <v>74</v>
      </c>
      <c r="AW1515" t="s">
        <v>74</v>
      </c>
      <c r="AX1515" t="s">
        <v>74</v>
      </c>
      <c r="AY1515" t="s">
        <v>74</v>
      </c>
      <c r="AZ1515" t="s">
        <v>74</v>
      </c>
      <c r="BA1515" t="s">
        <v>74</v>
      </c>
      <c r="BB1515">
        <v>190</v>
      </c>
      <c r="BC1515">
        <v>194</v>
      </c>
      <c r="BD1515" t="s">
        <v>74</v>
      </c>
      <c r="BE1515" t="s">
        <v>25522</v>
      </c>
      <c r="BF1515" t="str">
        <f>HYPERLINK("http://dx.doi.org/10.1109/icsss49621.2020.9202153","http://dx.doi.org/10.1109/icsss49621.2020.9202153")</f>
        <v>http://dx.doi.org/10.1109/icsss49621.2020.9202153</v>
      </c>
      <c r="BG1515" t="s">
        <v>74</v>
      </c>
      <c r="BH1515" t="s">
        <v>74</v>
      </c>
      <c r="BI1515">
        <v>5</v>
      </c>
      <c r="BJ1515" t="s">
        <v>25523</v>
      </c>
      <c r="BK1515" t="s">
        <v>723</v>
      </c>
      <c r="BL1515" t="s">
        <v>25524</v>
      </c>
      <c r="BM1515" t="s">
        <v>25525</v>
      </c>
      <c r="BN1515" t="s">
        <v>74</v>
      </c>
      <c r="BO1515" t="s">
        <v>74</v>
      </c>
      <c r="BP1515" t="s">
        <v>74</v>
      </c>
      <c r="BQ1515" t="s">
        <v>74</v>
      </c>
      <c r="BR1515" t="s">
        <v>102</v>
      </c>
      <c r="BS1515" t="s">
        <v>25526</v>
      </c>
      <c r="BT1515" t="str">
        <f>HYPERLINK("https%3A%2F%2Fwww.webofscience.com%2Fwos%2Fwoscc%2Ffull-record%2FWOS:000650987700035","View Full Record in Web of Science")</f>
        <v>View Full Record in Web of Science</v>
      </c>
    </row>
    <row r="1516" spans="1:72" x14ac:dyDescent="0.35">
      <c r="A1516" t="s">
        <v>72</v>
      </c>
      <c r="B1516" t="s">
        <v>25527</v>
      </c>
      <c r="C1516" t="s">
        <v>74</v>
      </c>
      <c r="D1516" t="s">
        <v>74</v>
      </c>
      <c r="E1516" t="s">
        <v>74</v>
      </c>
      <c r="F1516" t="s">
        <v>25528</v>
      </c>
      <c r="G1516" t="s">
        <v>74</v>
      </c>
      <c r="H1516" t="s">
        <v>74</v>
      </c>
      <c r="I1516" t="s">
        <v>25529</v>
      </c>
      <c r="J1516" t="s">
        <v>25530</v>
      </c>
      <c r="K1516" t="s">
        <v>74</v>
      </c>
      <c r="L1516" t="s">
        <v>74</v>
      </c>
      <c r="M1516" t="s">
        <v>78</v>
      </c>
      <c r="N1516" t="s">
        <v>108</v>
      </c>
      <c r="O1516" t="s">
        <v>74</v>
      </c>
      <c r="P1516" t="s">
        <v>74</v>
      </c>
      <c r="Q1516" t="s">
        <v>74</v>
      </c>
      <c r="R1516" t="s">
        <v>74</v>
      </c>
      <c r="S1516" t="s">
        <v>74</v>
      </c>
      <c r="T1516" t="s">
        <v>74</v>
      </c>
      <c r="U1516" t="s">
        <v>25531</v>
      </c>
      <c r="V1516" t="s">
        <v>25532</v>
      </c>
      <c r="W1516" t="s">
        <v>25533</v>
      </c>
      <c r="X1516" t="s">
        <v>4101</v>
      </c>
      <c r="Y1516" t="s">
        <v>25534</v>
      </c>
      <c r="Z1516" t="s">
        <v>25535</v>
      </c>
      <c r="AA1516" t="s">
        <v>25536</v>
      </c>
      <c r="AB1516" t="s">
        <v>25537</v>
      </c>
      <c r="AC1516" t="s">
        <v>74</v>
      </c>
      <c r="AD1516" t="s">
        <v>74</v>
      </c>
      <c r="AE1516" t="s">
        <v>74</v>
      </c>
      <c r="AF1516" t="s">
        <v>74</v>
      </c>
      <c r="AG1516">
        <v>54</v>
      </c>
      <c r="AH1516">
        <v>0</v>
      </c>
      <c r="AI1516">
        <v>0</v>
      </c>
      <c r="AJ1516">
        <v>7</v>
      </c>
      <c r="AK1516">
        <v>7</v>
      </c>
      <c r="AL1516" t="s">
        <v>290</v>
      </c>
      <c r="AM1516" t="s">
        <v>291</v>
      </c>
      <c r="AN1516" t="s">
        <v>292</v>
      </c>
      <c r="AO1516" t="s">
        <v>25538</v>
      </c>
      <c r="AP1516" t="s">
        <v>25539</v>
      </c>
      <c r="AQ1516" t="s">
        <v>74</v>
      </c>
      <c r="AR1516" t="s">
        <v>25540</v>
      </c>
      <c r="AS1516" t="s">
        <v>25541</v>
      </c>
      <c r="AT1516" t="s">
        <v>523</v>
      </c>
      <c r="AU1516">
        <v>2024</v>
      </c>
      <c r="AV1516">
        <v>361</v>
      </c>
      <c r="AW1516" t="s">
        <v>74</v>
      </c>
      <c r="AX1516" t="s">
        <v>74</v>
      </c>
      <c r="AY1516" t="s">
        <v>74</v>
      </c>
      <c r="AZ1516" t="s">
        <v>74</v>
      </c>
      <c r="BA1516" t="s">
        <v>74</v>
      </c>
      <c r="BB1516" t="s">
        <v>74</v>
      </c>
      <c r="BC1516" t="s">
        <v>74</v>
      </c>
      <c r="BD1516">
        <v>117400</v>
      </c>
      <c r="BE1516" t="s">
        <v>25542</v>
      </c>
      <c r="BF1516" t="str">
        <f>HYPERLINK("http://dx.doi.org/10.1016/j.socscimed.2024.117400","http://dx.doi.org/10.1016/j.socscimed.2024.117400")</f>
        <v>http://dx.doi.org/10.1016/j.socscimed.2024.117400</v>
      </c>
      <c r="BG1516" t="s">
        <v>74</v>
      </c>
      <c r="BH1516" t="s">
        <v>1721</v>
      </c>
      <c r="BI1516">
        <v>9</v>
      </c>
      <c r="BJ1516" t="s">
        <v>11295</v>
      </c>
      <c r="BK1516" t="s">
        <v>182</v>
      </c>
      <c r="BL1516" t="s">
        <v>11296</v>
      </c>
      <c r="BM1516" t="s">
        <v>25543</v>
      </c>
      <c r="BN1516">
        <v>39388755</v>
      </c>
      <c r="BO1516" t="s">
        <v>156</v>
      </c>
      <c r="BP1516" t="s">
        <v>74</v>
      </c>
      <c r="BQ1516" t="s">
        <v>74</v>
      </c>
      <c r="BR1516" t="s">
        <v>102</v>
      </c>
      <c r="BS1516" t="s">
        <v>25544</v>
      </c>
      <c r="BT1516" t="str">
        <f>HYPERLINK("https%3A%2F%2Fwww.webofscience.com%2Fwos%2Fwoscc%2Ffull-record%2FWOS:001335230900001","View Full Record in Web of Science")</f>
        <v>View Full Record in Web of Science</v>
      </c>
    </row>
    <row r="1517" spans="1:72" x14ac:dyDescent="0.35">
      <c r="A1517" t="s">
        <v>72</v>
      </c>
      <c r="B1517" t="s">
        <v>25545</v>
      </c>
      <c r="C1517" t="s">
        <v>74</v>
      </c>
      <c r="D1517" t="s">
        <v>74</v>
      </c>
      <c r="E1517" t="s">
        <v>74</v>
      </c>
      <c r="F1517" t="s">
        <v>25546</v>
      </c>
      <c r="G1517" t="s">
        <v>74</v>
      </c>
      <c r="H1517" t="s">
        <v>74</v>
      </c>
      <c r="I1517" t="s">
        <v>25547</v>
      </c>
      <c r="J1517" t="s">
        <v>25548</v>
      </c>
      <c r="K1517" t="s">
        <v>74</v>
      </c>
      <c r="L1517" t="s">
        <v>74</v>
      </c>
      <c r="M1517" t="s">
        <v>78</v>
      </c>
      <c r="N1517" t="s">
        <v>108</v>
      </c>
      <c r="O1517" t="s">
        <v>74</v>
      </c>
      <c r="P1517" t="s">
        <v>74</v>
      </c>
      <c r="Q1517" t="s">
        <v>74</v>
      </c>
      <c r="R1517" t="s">
        <v>74</v>
      </c>
      <c r="S1517" t="s">
        <v>74</v>
      </c>
      <c r="T1517" t="s">
        <v>25549</v>
      </c>
      <c r="U1517" t="s">
        <v>25550</v>
      </c>
      <c r="V1517" t="s">
        <v>25551</v>
      </c>
      <c r="W1517" t="s">
        <v>25552</v>
      </c>
      <c r="X1517" t="s">
        <v>25553</v>
      </c>
      <c r="Y1517" t="s">
        <v>25554</v>
      </c>
      <c r="Z1517" t="s">
        <v>25555</v>
      </c>
      <c r="AA1517" t="s">
        <v>25556</v>
      </c>
      <c r="AB1517" t="s">
        <v>74</v>
      </c>
      <c r="AC1517" t="s">
        <v>74</v>
      </c>
      <c r="AD1517" t="s">
        <v>74</v>
      </c>
      <c r="AE1517" t="s">
        <v>74</v>
      </c>
      <c r="AF1517" t="s">
        <v>74</v>
      </c>
      <c r="AG1517">
        <v>23</v>
      </c>
      <c r="AH1517">
        <v>0</v>
      </c>
      <c r="AI1517">
        <v>0</v>
      </c>
      <c r="AJ1517">
        <v>1</v>
      </c>
      <c r="AK1517">
        <v>2</v>
      </c>
      <c r="AL1517" t="s">
        <v>1901</v>
      </c>
      <c r="AM1517" t="s">
        <v>995</v>
      </c>
      <c r="AN1517" t="s">
        <v>1902</v>
      </c>
      <c r="AO1517" t="s">
        <v>25557</v>
      </c>
      <c r="AP1517" t="s">
        <v>25558</v>
      </c>
      <c r="AQ1517" t="s">
        <v>74</v>
      </c>
      <c r="AR1517" t="s">
        <v>25559</v>
      </c>
      <c r="AS1517" t="s">
        <v>25560</v>
      </c>
      <c r="AT1517" t="s">
        <v>232</v>
      </c>
      <c r="AU1517">
        <v>2024</v>
      </c>
      <c r="AV1517">
        <v>28</v>
      </c>
      <c r="AW1517">
        <v>1</v>
      </c>
      <c r="AX1517" t="s">
        <v>74</v>
      </c>
      <c r="AY1517" t="s">
        <v>74</v>
      </c>
      <c r="AZ1517" t="s">
        <v>74</v>
      </c>
      <c r="BA1517" t="s">
        <v>74</v>
      </c>
      <c r="BB1517">
        <v>95</v>
      </c>
      <c r="BC1517">
        <v>100</v>
      </c>
      <c r="BD1517" t="s">
        <v>74</v>
      </c>
      <c r="BE1517" t="s">
        <v>25561</v>
      </c>
      <c r="BF1517" t="str">
        <f>HYPERLINK("http://dx.doi.org/10.1097/LGT.0000000000000782","http://dx.doi.org/10.1097/LGT.0000000000000782")</f>
        <v>http://dx.doi.org/10.1097/LGT.0000000000000782</v>
      </c>
      <c r="BG1517" t="s">
        <v>74</v>
      </c>
      <c r="BH1517" t="s">
        <v>74</v>
      </c>
      <c r="BI1517">
        <v>6</v>
      </c>
      <c r="BJ1517" t="s">
        <v>1971</v>
      </c>
      <c r="BK1517" t="s">
        <v>209</v>
      </c>
      <c r="BL1517" t="s">
        <v>1971</v>
      </c>
      <c r="BM1517" t="s">
        <v>25562</v>
      </c>
      <c r="BN1517">
        <v>37924262</v>
      </c>
      <c r="BO1517" t="s">
        <v>74</v>
      </c>
      <c r="BP1517" t="s">
        <v>74</v>
      </c>
      <c r="BQ1517" t="s">
        <v>74</v>
      </c>
      <c r="BR1517" t="s">
        <v>102</v>
      </c>
      <c r="BS1517" t="s">
        <v>25563</v>
      </c>
      <c r="BT1517" t="str">
        <f>HYPERLINK("https%3A%2F%2Fwww.webofscience.com%2Fwos%2Fwoscc%2Ffull-record%2FWOS:001128089100003","View Full Record in Web of Science")</f>
        <v>View Full Record in Web of Science</v>
      </c>
    </row>
    <row r="1518" spans="1:72" x14ac:dyDescent="0.35">
      <c r="A1518" t="s">
        <v>72</v>
      </c>
      <c r="B1518" t="s">
        <v>25564</v>
      </c>
      <c r="C1518" t="s">
        <v>74</v>
      </c>
      <c r="D1518" t="s">
        <v>74</v>
      </c>
      <c r="E1518" t="s">
        <v>74</v>
      </c>
      <c r="F1518" t="s">
        <v>25565</v>
      </c>
      <c r="G1518" t="s">
        <v>74</v>
      </c>
      <c r="H1518" t="s">
        <v>74</v>
      </c>
      <c r="I1518" t="s">
        <v>25566</v>
      </c>
      <c r="J1518" t="s">
        <v>25567</v>
      </c>
      <c r="K1518" t="s">
        <v>74</v>
      </c>
      <c r="L1518" t="s">
        <v>74</v>
      </c>
      <c r="M1518" t="s">
        <v>78</v>
      </c>
      <c r="N1518" t="s">
        <v>79</v>
      </c>
      <c r="O1518" t="s">
        <v>74</v>
      </c>
      <c r="P1518" t="s">
        <v>74</v>
      </c>
      <c r="Q1518" t="s">
        <v>74</v>
      </c>
      <c r="R1518" t="s">
        <v>74</v>
      </c>
      <c r="S1518" t="s">
        <v>74</v>
      </c>
      <c r="T1518" t="s">
        <v>25568</v>
      </c>
      <c r="U1518" t="s">
        <v>74</v>
      </c>
      <c r="V1518" t="s">
        <v>25569</v>
      </c>
      <c r="W1518" t="s">
        <v>25570</v>
      </c>
      <c r="X1518" t="s">
        <v>10477</v>
      </c>
      <c r="Y1518" t="s">
        <v>25571</v>
      </c>
      <c r="Z1518" t="s">
        <v>74</v>
      </c>
      <c r="AA1518" t="s">
        <v>74</v>
      </c>
      <c r="AB1518" t="s">
        <v>74</v>
      </c>
      <c r="AC1518" t="s">
        <v>74</v>
      </c>
      <c r="AD1518" t="s">
        <v>74</v>
      </c>
      <c r="AE1518" t="s">
        <v>74</v>
      </c>
      <c r="AF1518" t="s">
        <v>74</v>
      </c>
      <c r="AG1518">
        <v>54</v>
      </c>
      <c r="AH1518">
        <v>0</v>
      </c>
      <c r="AI1518">
        <v>0</v>
      </c>
      <c r="AJ1518">
        <v>1</v>
      </c>
      <c r="AK1518">
        <v>1</v>
      </c>
      <c r="AL1518" t="s">
        <v>88</v>
      </c>
      <c r="AM1518" t="s">
        <v>89</v>
      </c>
      <c r="AN1518" t="s">
        <v>90</v>
      </c>
      <c r="AO1518" t="s">
        <v>25572</v>
      </c>
      <c r="AP1518" t="s">
        <v>25573</v>
      </c>
      <c r="AQ1518" t="s">
        <v>74</v>
      </c>
      <c r="AR1518" t="s">
        <v>25574</v>
      </c>
      <c r="AS1518" t="s">
        <v>25575</v>
      </c>
      <c r="AT1518" t="s">
        <v>25576</v>
      </c>
      <c r="AU1518">
        <v>2024</v>
      </c>
      <c r="AV1518" t="s">
        <v>74</v>
      </c>
      <c r="AW1518" t="s">
        <v>74</v>
      </c>
      <c r="AX1518" t="s">
        <v>74</v>
      </c>
      <c r="AY1518" t="s">
        <v>74</v>
      </c>
      <c r="AZ1518" t="s">
        <v>74</v>
      </c>
      <c r="BA1518" t="s">
        <v>74</v>
      </c>
      <c r="BB1518" t="s">
        <v>74</v>
      </c>
      <c r="BC1518" t="s">
        <v>74</v>
      </c>
      <c r="BD1518" t="s">
        <v>74</v>
      </c>
      <c r="BE1518" t="s">
        <v>25577</v>
      </c>
      <c r="BF1518" t="str">
        <f>HYPERLINK("http://dx.doi.org/10.1080/1535685X.2024.2398316","http://dx.doi.org/10.1080/1535685X.2024.2398316")</f>
        <v>http://dx.doi.org/10.1080/1535685X.2024.2398316</v>
      </c>
      <c r="BG1518" t="s">
        <v>74</v>
      </c>
      <c r="BH1518" t="s">
        <v>2444</v>
      </c>
      <c r="BI1518">
        <v>20</v>
      </c>
      <c r="BJ1518" t="s">
        <v>3176</v>
      </c>
      <c r="BK1518" t="s">
        <v>316</v>
      </c>
      <c r="BL1518" t="s">
        <v>3176</v>
      </c>
      <c r="BM1518" t="s">
        <v>25578</v>
      </c>
      <c r="BN1518" t="s">
        <v>74</v>
      </c>
      <c r="BO1518" t="s">
        <v>156</v>
      </c>
      <c r="BP1518" t="s">
        <v>74</v>
      </c>
      <c r="BQ1518" t="s">
        <v>74</v>
      </c>
      <c r="BR1518" t="s">
        <v>102</v>
      </c>
      <c r="BS1518" t="s">
        <v>25579</v>
      </c>
      <c r="BT1518" t="str">
        <f>HYPERLINK("https%3A%2F%2Fwww.webofscience.com%2Fwos%2Fwoscc%2Ffull-record%2FWOS:001321199900001","View Full Record in Web of Science")</f>
        <v>View Full Record in Web of Science</v>
      </c>
    </row>
    <row r="1519" spans="1:72" x14ac:dyDescent="0.35">
      <c r="A1519" t="s">
        <v>72</v>
      </c>
      <c r="B1519" t="s">
        <v>25580</v>
      </c>
      <c r="C1519" t="s">
        <v>74</v>
      </c>
      <c r="D1519" t="s">
        <v>74</v>
      </c>
      <c r="E1519" t="s">
        <v>74</v>
      </c>
      <c r="F1519" t="s">
        <v>25581</v>
      </c>
      <c r="G1519" t="s">
        <v>74</v>
      </c>
      <c r="H1519" t="s">
        <v>74</v>
      </c>
      <c r="I1519" t="s">
        <v>25582</v>
      </c>
      <c r="J1519" t="s">
        <v>25583</v>
      </c>
      <c r="K1519" t="s">
        <v>74</v>
      </c>
      <c r="L1519" t="s">
        <v>74</v>
      </c>
      <c r="M1519" t="s">
        <v>78</v>
      </c>
      <c r="N1519" t="s">
        <v>108</v>
      </c>
      <c r="O1519" t="s">
        <v>74</v>
      </c>
      <c r="P1519" t="s">
        <v>74</v>
      </c>
      <c r="Q1519" t="s">
        <v>74</v>
      </c>
      <c r="R1519" t="s">
        <v>74</v>
      </c>
      <c r="S1519" t="s">
        <v>74</v>
      </c>
      <c r="T1519" t="s">
        <v>25584</v>
      </c>
      <c r="U1519" t="s">
        <v>74</v>
      </c>
      <c r="V1519" t="s">
        <v>25585</v>
      </c>
      <c r="W1519" t="s">
        <v>25586</v>
      </c>
      <c r="X1519" t="s">
        <v>25587</v>
      </c>
      <c r="Y1519" t="s">
        <v>25588</v>
      </c>
      <c r="Z1519" t="s">
        <v>25589</v>
      </c>
      <c r="AA1519" t="s">
        <v>74</v>
      </c>
      <c r="AB1519" t="s">
        <v>74</v>
      </c>
      <c r="AC1519" t="s">
        <v>74</v>
      </c>
      <c r="AD1519" t="s">
        <v>74</v>
      </c>
      <c r="AE1519" t="s">
        <v>74</v>
      </c>
      <c r="AF1519" t="s">
        <v>74</v>
      </c>
      <c r="AG1519">
        <v>45</v>
      </c>
      <c r="AH1519">
        <v>0</v>
      </c>
      <c r="AI1519">
        <v>0</v>
      </c>
      <c r="AJ1519">
        <v>1</v>
      </c>
      <c r="AK1519">
        <v>2</v>
      </c>
      <c r="AL1519" t="s">
        <v>88</v>
      </c>
      <c r="AM1519" t="s">
        <v>89</v>
      </c>
      <c r="AN1519" t="s">
        <v>90</v>
      </c>
      <c r="AO1519" t="s">
        <v>25590</v>
      </c>
      <c r="AP1519" t="s">
        <v>25591</v>
      </c>
      <c r="AQ1519" t="s">
        <v>74</v>
      </c>
      <c r="AR1519" t="s">
        <v>25592</v>
      </c>
      <c r="AS1519" t="s">
        <v>25593</v>
      </c>
      <c r="AT1519" t="s">
        <v>2323</v>
      </c>
      <c r="AU1519">
        <v>2024</v>
      </c>
      <c r="AV1519">
        <v>58</v>
      </c>
      <c r="AW1519">
        <v>1</v>
      </c>
      <c r="AX1519" t="s">
        <v>74</v>
      </c>
      <c r="AY1519" t="s">
        <v>74</v>
      </c>
      <c r="AZ1519" t="s">
        <v>74</v>
      </c>
      <c r="BA1519" t="s">
        <v>74</v>
      </c>
      <c r="BB1519">
        <v>23</v>
      </c>
      <c r="BC1519">
        <v>38</v>
      </c>
      <c r="BD1519" t="s">
        <v>74</v>
      </c>
      <c r="BE1519" t="s">
        <v>25594</v>
      </c>
      <c r="BF1519" t="str">
        <f>HYPERLINK("http://dx.doi.org/10.1080/00083968.2023.2213352","http://dx.doi.org/10.1080/00083968.2023.2213352")</f>
        <v>http://dx.doi.org/10.1080/00083968.2023.2213352</v>
      </c>
      <c r="BG1519" t="s">
        <v>74</v>
      </c>
      <c r="BH1519" t="s">
        <v>207</v>
      </c>
      <c r="BI1519">
        <v>16</v>
      </c>
      <c r="BJ1519" t="s">
        <v>5420</v>
      </c>
      <c r="BK1519" t="s">
        <v>125</v>
      </c>
      <c r="BL1519" t="s">
        <v>5420</v>
      </c>
      <c r="BM1519" t="s">
        <v>25595</v>
      </c>
      <c r="BN1519" t="s">
        <v>74</v>
      </c>
      <c r="BO1519" t="s">
        <v>74</v>
      </c>
      <c r="BP1519" t="s">
        <v>74</v>
      </c>
      <c r="BQ1519" t="s">
        <v>74</v>
      </c>
      <c r="BR1519" t="s">
        <v>102</v>
      </c>
      <c r="BS1519" t="s">
        <v>25596</v>
      </c>
      <c r="BT1519" t="str">
        <f>HYPERLINK("https%3A%2F%2Fwww.webofscience.com%2Fwos%2Fwoscc%2Ffull-record%2FWOS:001080594900001","View Full Record in Web of Science")</f>
        <v>View Full Record in Web of Science</v>
      </c>
    </row>
    <row r="1520" spans="1:72" x14ac:dyDescent="0.35">
      <c r="A1520" t="s">
        <v>72</v>
      </c>
      <c r="B1520" t="s">
        <v>25597</v>
      </c>
      <c r="C1520" t="s">
        <v>74</v>
      </c>
      <c r="D1520" t="s">
        <v>74</v>
      </c>
      <c r="E1520" t="s">
        <v>74</v>
      </c>
      <c r="F1520" t="s">
        <v>25598</v>
      </c>
      <c r="G1520" t="s">
        <v>74</v>
      </c>
      <c r="H1520" t="s">
        <v>74</v>
      </c>
      <c r="I1520" t="s">
        <v>25599</v>
      </c>
      <c r="J1520" t="s">
        <v>25600</v>
      </c>
      <c r="K1520" t="s">
        <v>74</v>
      </c>
      <c r="L1520" t="s">
        <v>74</v>
      </c>
      <c r="M1520" t="s">
        <v>78</v>
      </c>
      <c r="N1520" t="s">
        <v>108</v>
      </c>
      <c r="O1520" t="s">
        <v>74</v>
      </c>
      <c r="P1520" t="s">
        <v>74</v>
      </c>
      <c r="Q1520" t="s">
        <v>74</v>
      </c>
      <c r="R1520" t="s">
        <v>74</v>
      </c>
      <c r="S1520" t="s">
        <v>74</v>
      </c>
      <c r="T1520" t="s">
        <v>74</v>
      </c>
      <c r="U1520" t="s">
        <v>74</v>
      </c>
      <c r="V1520" t="s">
        <v>25601</v>
      </c>
      <c r="W1520" t="s">
        <v>25602</v>
      </c>
      <c r="X1520" t="s">
        <v>74</v>
      </c>
      <c r="Y1520" t="s">
        <v>25603</v>
      </c>
      <c r="Z1520" t="s">
        <v>25604</v>
      </c>
      <c r="AA1520" t="s">
        <v>74</v>
      </c>
      <c r="AB1520" t="s">
        <v>25605</v>
      </c>
      <c r="AC1520" t="s">
        <v>74</v>
      </c>
      <c r="AD1520" t="s">
        <v>74</v>
      </c>
      <c r="AE1520" t="s">
        <v>74</v>
      </c>
      <c r="AF1520" t="s">
        <v>74</v>
      </c>
      <c r="AG1520">
        <v>18</v>
      </c>
      <c r="AH1520">
        <v>0</v>
      </c>
      <c r="AI1520">
        <v>0</v>
      </c>
      <c r="AJ1520">
        <v>0</v>
      </c>
      <c r="AK1520">
        <v>2</v>
      </c>
      <c r="AL1520" t="s">
        <v>1965</v>
      </c>
      <c r="AM1520" t="s">
        <v>666</v>
      </c>
      <c r="AN1520" t="s">
        <v>1966</v>
      </c>
      <c r="AO1520" t="s">
        <v>25606</v>
      </c>
      <c r="AP1520" t="s">
        <v>25607</v>
      </c>
      <c r="AQ1520" t="s">
        <v>74</v>
      </c>
      <c r="AR1520" t="s">
        <v>25608</v>
      </c>
      <c r="AS1520" t="s">
        <v>25609</v>
      </c>
      <c r="AT1520" t="s">
        <v>257</v>
      </c>
      <c r="AU1520">
        <v>2022</v>
      </c>
      <c r="AV1520">
        <v>20</v>
      </c>
      <c r="AW1520">
        <v>3</v>
      </c>
      <c r="AX1520" t="s">
        <v>74</v>
      </c>
      <c r="AY1520" t="s">
        <v>74</v>
      </c>
      <c r="AZ1520" t="s">
        <v>74</v>
      </c>
      <c r="BA1520" t="s">
        <v>74</v>
      </c>
      <c r="BB1520">
        <v>277</v>
      </c>
      <c r="BC1520">
        <v>280</v>
      </c>
      <c r="BD1520" t="s">
        <v>74</v>
      </c>
      <c r="BE1520" t="s">
        <v>25610</v>
      </c>
      <c r="BF1520" t="str">
        <f>HYPERLINK("http://dx.doi.org/10.1016/j.mnl.2022.02.009","http://dx.doi.org/10.1016/j.mnl.2022.02.009")</f>
        <v>http://dx.doi.org/10.1016/j.mnl.2022.02.009</v>
      </c>
      <c r="BG1520" t="s">
        <v>74</v>
      </c>
      <c r="BH1520" t="s">
        <v>1428</v>
      </c>
      <c r="BI1520">
        <v>4</v>
      </c>
      <c r="BJ1520" t="s">
        <v>8110</v>
      </c>
      <c r="BK1520" t="s">
        <v>125</v>
      </c>
      <c r="BL1520" t="s">
        <v>8110</v>
      </c>
      <c r="BM1520" t="s">
        <v>25611</v>
      </c>
      <c r="BN1520" t="s">
        <v>74</v>
      </c>
      <c r="BO1520" t="s">
        <v>74</v>
      </c>
      <c r="BP1520" t="s">
        <v>74</v>
      </c>
      <c r="BQ1520" t="s">
        <v>74</v>
      </c>
      <c r="BR1520" t="s">
        <v>102</v>
      </c>
      <c r="BS1520" t="s">
        <v>25612</v>
      </c>
      <c r="BT1520" t="str">
        <f>HYPERLINK("https%3A%2F%2Fwww.webofscience.com%2Fwos%2Fwoscc%2Ffull-record%2FWOS:000834902900013","View Full Record in Web of Science")</f>
        <v>View Full Record in Web of Science</v>
      </c>
    </row>
    <row r="1521" spans="1:72" x14ac:dyDescent="0.35">
      <c r="A1521" t="s">
        <v>72</v>
      </c>
      <c r="B1521" t="s">
        <v>25613</v>
      </c>
      <c r="C1521" t="s">
        <v>74</v>
      </c>
      <c r="D1521" t="s">
        <v>74</v>
      </c>
      <c r="E1521" t="s">
        <v>74</v>
      </c>
      <c r="F1521" t="s">
        <v>25614</v>
      </c>
      <c r="G1521" t="s">
        <v>74</v>
      </c>
      <c r="H1521" t="s">
        <v>74</v>
      </c>
      <c r="I1521" t="s">
        <v>25615</v>
      </c>
      <c r="J1521" t="s">
        <v>7101</v>
      </c>
      <c r="K1521" t="s">
        <v>74</v>
      </c>
      <c r="L1521" t="s">
        <v>74</v>
      </c>
      <c r="M1521" t="s">
        <v>78</v>
      </c>
      <c r="N1521" t="s">
        <v>108</v>
      </c>
      <c r="O1521" t="s">
        <v>74</v>
      </c>
      <c r="P1521" t="s">
        <v>74</v>
      </c>
      <c r="Q1521" t="s">
        <v>74</v>
      </c>
      <c r="R1521" t="s">
        <v>74</v>
      </c>
      <c r="S1521" t="s">
        <v>74</v>
      </c>
      <c r="T1521" t="s">
        <v>25616</v>
      </c>
      <c r="U1521" t="s">
        <v>81</v>
      </c>
      <c r="V1521" t="s">
        <v>25617</v>
      </c>
      <c r="W1521" t="s">
        <v>25618</v>
      </c>
      <c r="X1521" t="s">
        <v>6603</v>
      </c>
      <c r="Y1521" t="s">
        <v>25619</v>
      </c>
      <c r="Z1521" t="s">
        <v>9313</v>
      </c>
      <c r="AA1521" t="s">
        <v>74</v>
      </c>
      <c r="AB1521" t="s">
        <v>25620</v>
      </c>
      <c r="AC1521" t="s">
        <v>25621</v>
      </c>
      <c r="AD1521" t="s">
        <v>25622</v>
      </c>
      <c r="AE1521" t="s">
        <v>25623</v>
      </c>
      <c r="AF1521" t="s">
        <v>74</v>
      </c>
      <c r="AG1521">
        <v>79</v>
      </c>
      <c r="AH1521">
        <v>5</v>
      </c>
      <c r="AI1521">
        <v>6</v>
      </c>
      <c r="AJ1521">
        <v>12</v>
      </c>
      <c r="AK1521">
        <v>44</v>
      </c>
      <c r="AL1521" t="s">
        <v>2248</v>
      </c>
      <c r="AM1521" t="s">
        <v>2249</v>
      </c>
      <c r="AN1521" t="s">
        <v>2250</v>
      </c>
      <c r="AO1521" t="s">
        <v>7110</v>
      </c>
      <c r="AP1521" t="s">
        <v>74</v>
      </c>
      <c r="AQ1521" t="s">
        <v>74</v>
      </c>
      <c r="AR1521" t="s">
        <v>7111</v>
      </c>
      <c r="AS1521" t="s">
        <v>7112</v>
      </c>
      <c r="AT1521" t="s">
        <v>25624</v>
      </c>
      <c r="AU1521">
        <v>2023</v>
      </c>
      <c r="AV1521">
        <v>28</v>
      </c>
      <c r="AW1521">
        <v>6</v>
      </c>
      <c r="AX1521" t="s">
        <v>74</v>
      </c>
      <c r="AY1521" t="s">
        <v>74</v>
      </c>
      <c r="AZ1521" t="s">
        <v>74</v>
      </c>
      <c r="BA1521" t="s">
        <v>74</v>
      </c>
      <c r="BB1521" t="s">
        <v>74</v>
      </c>
      <c r="BC1521" t="s">
        <v>74</v>
      </c>
      <c r="BD1521" t="s">
        <v>25625</v>
      </c>
      <c r="BE1521" t="s">
        <v>25626</v>
      </c>
      <c r="BF1521" t="str">
        <f>HYPERLINK("http://dx.doi.org/10.1093/jcmc/zmad040","http://dx.doi.org/10.1093/jcmc/zmad040")</f>
        <v>http://dx.doi.org/10.1093/jcmc/zmad040</v>
      </c>
      <c r="BG1521" t="s">
        <v>74</v>
      </c>
      <c r="BH1521" t="s">
        <v>74</v>
      </c>
      <c r="BI1521">
        <v>11</v>
      </c>
      <c r="BJ1521" t="s">
        <v>5240</v>
      </c>
      <c r="BK1521" t="s">
        <v>99</v>
      </c>
      <c r="BL1521" t="s">
        <v>5240</v>
      </c>
      <c r="BM1521" t="s">
        <v>25627</v>
      </c>
      <c r="BN1521" t="s">
        <v>74</v>
      </c>
      <c r="BO1521" t="s">
        <v>235</v>
      </c>
      <c r="BP1521" t="s">
        <v>74</v>
      </c>
      <c r="BQ1521" t="s">
        <v>74</v>
      </c>
      <c r="BR1521" t="s">
        <v>102</v>
      </c>
      <c r="BS1521" t="s">
        <v>25628</v>
      </c>
      <c r="BT1521" t="str">
        <f>HYPERLINK("https%3A%2F%2Fwww.webofscience.com%2Fwos%2Fwoscc%2Ffull-record%2FWOS:001087612400001","View Full Record in Web of Science")</f>
        <v>View Full Record in Web of Science</v>
      </c>
    </row>
    <row r="1522" spans="1:72" x14ac:dyDescent="0.35">
      <c r="A1522" t="s">
        <v>128</v>
      </c>
      <c r="B1522" t="s">
        <v>25629</v>
      </c>
      <c r="C1522" t="s">
        <v>74</v>
      </c>
      <c r="D1522" t="s">
        <v>74</v>
      </c>
      <c r="E1522" t="s">
        <v>702</v>
      </c>
      <c r="F1522" t="s">
        <v>25630</v>
      </c>
      <c r="G1522" t="s">
        <v>74</v>
      </c>
      <c r="H1522" t="s">
        <v>74</v>
      </c>
      <c r="I1522" t="s">
        <v>25631</v>
      </c>
      <c r="J1522" t="s">
        <v>25632</v>
      </c>
      <c r="K1522" t="s">
        <v>74</v>
      </c>
      <c r="L1522" t="s">
        <v>74</v>
      </c>
      <c r="M1522" t="s">
        <v>78</v>
      </c>
      <c r="N1522" t="s">
        <v>135</v>
      </c>
      <c r="O1522" t="s">
        <v>25633</v>
      </c>
      <c r="P1522" t="s">
        <v>25634</v>
      </c>
      <c r="Q1522" t="s">
        <v>8367</v>
      </c>
      <c r="R1522" t="s">
        <v>25635</v>
      </c>
      <c r="S1522" t="s">
        <v>74</v>
      </c>
      <c r="T1522" t="s">
        <v>25636</v>
      </c>
      <c r="U1522" t="s">
        <v>74</v>
      </c>
      <c r="V1522" t="s">
        <v>25637</v>
      </c>
      <c r="W1522" t="s">
        <v>25638</v>
      </c>
      <c r="X1522" t="s">
        <v>9831</v>
      </c>
      <c r="Y1522" t="s">
        <v>25639</v>
      </c>
      <c r="Z1522" t="s">
        <v>74</v>
      </c>
      <c r="AA1522" t="s">
        <v>25640</v>
      </c>
      <c r="AB1522" t="s">
        <v>74</v>
      </c>
      <c r="AC1522" t="s">
        <v>25641</v>
      </c>
      <c r="AD1522" t="s">
        <v>21588</v>
      </c>
      <c r="AE1522" t="s">
        <v>25642</v>
      </c>
      <c r="AF1522" t="s">
        <v>74</v>
      </c>
      <c r="AG1522">
        <v>38</v>
      </c>
      <c r="AH1522">
        <v>2</v>
      </c>
      <c r="AI1522">
        <v>2</v>
      </c>
      <c r="AJ1522">
        <v>1</v>
      </c>
      <c r="AK1522">
        <v>2</v>
      </c>
      <c r="AL1522" t="s">
        <v>718</v>
      </c>
      <c r="AM1522" t="s">
        <v>666</v>
      </c>
      <c r="AN1522" t="s">
        <v>719</v>
      </c>
      <c r="AO1522" t="s">
        <v>74</v>
      </c>
      <c r="AP1522" t="s">
        <v>74</v>
      </c>
      <c r="AQ1522" t="s">
        <v>25643</v>
      </c>
      <c r="AR1522" t="s">
        <v>74</v>
      </c>
      <c r="AS1522" t="s">
        <v>74</v>
      </c>
      <c r="AT1522" t="s">
        <v>74</v>
      </c>
      <c r="AU1522">
        <v>2023</v>
      </c>
      <c r="AV1522" t="s">
        <v>74</v>
      </c>
      <c r="AW1522" t="s">
        <v>74</v>
      </c>
      <c r="AX1522" t="s">
        <v>74</v>
      </c>
      <c r="AY1522" t="s">
        <v>74</v>
      </c>
      <c r="AZ1522" t="s">
        <v>74</v>
      </c>
      <c r="BA1522" t="s">
        <v>74</v>
      </c>
      <c r="BB1522">
        <v>2471</v>
      </c>
      <c r="BC1522">
        <v>2485</v>
      </c>
      <c r="BD1522" t="s">
        <v>74</v>
      </c>
      <c r="BE1522" t="s">
        <v>25644</v>
      </c>
      <c r="BF1522" t="str">
        <f>HYPERLINK("http://dx.doi.org/10.1145/3576915.3616676","http://dx.doi.org/10.1145/3576915.3616676")</f>
        <v>http://dx.doi.org/10.1145/3576915.3616676</v>
      </c>
      <c r="BG1522" t="s">
        <v>74</v>
      </c>
      <c r="BH1522" t="s">
        <v>74</v>
      </c>
      <c r="BI1522">
        <v>15</v>
      </c>
      <c r="BJ1522" t="s">
        <v>25645</v>
      </c>
      <c r="BK1522" t="s">
        <v>723</v>
      </c>
      <c r="BL1522" t="s">
        <v>1699</v>
      </c>
      <c r="BM1522" t="s">
        <v>25646</v>
      </c>
      <c r="BN1522" t="s">
        <v>74</v>
      </c>
      <c r="BO1522" t="s">
        <v>2738</v>
      </c>
      <c r="BP1522" t="s">
        <v>74</v>
      </c>
      <c r="BQ1522" t="s">
        <v>74</v>
      </c>
      <c r="BR1522" t="s">
        <v>102</v>
      </c>
      <c r="BS1522" t="s">
        <v>25647</v>
      </c>
      <c r="BT1522" t="str">
        <f>HYPERLINK("https%3A%2F%2Fwww.webofscience.com%2Fwos%2Fwoscc%2Ffull-record%2FWOS:001124987202032","View Full Record in Web of Science")</f>
        <v>View Full Record in Web of Science</v>
      </c>
    </row>
    <row r="1523" spans="1:72" x14ac:dyDescent="0.35">
      <c r="A1523" t="s">
        <v>72</v>
      </c>
      <c r="B1523" t="s">
        <v>25648</v>
      </c>
      <c r="C1523" t="s">
        <v>74</v>
      </c>
      <c r="D1523" t="s">
        <v>74</v>
      </c>
      <c r="E1523" t="s">
        <v>74</v>
      </c>
      <c r="F1523" t="s">
        <v>25649</v>
      </c>
      <c r="G1523" t="s">
        <v>74</v>
      </c>
      <c r="H1523" t="s">
        <v>74</v>
      </c>
      <c r="I1523" t="s">
        <v>25650</v>
      </c>
      <c r="J1523" t="s">
        <v>25651</v>
      </c>
      <c r="K1523" t="s">
        <v>74</v>
      </c>
      <c r="L1523" t="s">
        <v>74</v>
      </c>
      <c r="M1523" t="s">
        <v>78</v>
      </c>
      <c r="N1523" t="s">
        <v>108</v>
      </c>
      <c r="O1523" t="s">
        <v>74</v>
      </c>
      <c r="P1523" t="s">
        <v>74</v>
      </c>
      <c r="Q1523" t="s">
        <v>74</v>
      </c>
      <c r="R1523" t="s">
        <v>74</v>
      </c>
      <c r="S1523" t="s">
        <v>74</v>
      </c>
      <c r="T1523" t="s">
        <v>25652</v>
      </c>
      <c r="U1523" t="s">
        <v>25653</v>
      </c>
      <c r="V1523" t="s">
        <v>25654</v>
      </c>
      <c r="W1523" t="s">
        <v>25655</v>
      </c>
      <c r="X1523" t="s">
        <v>25656</v>
      </c>
      <c r="Y1523" t="s">
        <v>25657</v>
      </c>
      <c r="Z1523" t="s">
        <v>25658</v>
      </c>
      <c r="AA1523" t="s">
        <v>74</v>
      </c>
      <c r="AB1523" t="s">
        <v>25659</v>
      </c>
      <c r="AC1523" t="s">
        <v>74</v>
      </c>
      <c r="AD1523" t="s">
        <v>74</v>
      </c>
      <c r="AE1523" t="s">
        <v>25660</v>
      </c>
      <c r="AF1523" t="s">
        <v>74</v>
      </c>
      <c r="AG1523">
        <v>56</v>
      </c>
      <c r="AH1523">
        <v>1</v>
      </c>
      <c r="AI1523">
        <v>1</v>
      </c>
      <c r="AJ1523">
        <v>2</v>
      </c>
      <c r="AK1523">
        <v>2</v>
      </c>
      <c r="AL1523" t="s">
        <v>25661</v>
      </c>
      <c r="AM1523" t="s">
        <v>25662</v>
      </c>
      <c r="AN1523" t="s">
        <v>25663</v>
      </c>
      <c r="AO1523" t="s">
        <v>25664</v>
      </c>
      <c r="AP1523" t="s">
        <v>25665</v>
      </c>
      <c r="AQ1523" t="s">
        <v>74</v>
      </c>
      <c r="AR1523" t="s">
        <v>25666</v>
      </c>
      <c r="AS1523" t="s">
        <v>25667</v>
      </c>
      <c r="AT1523" t="s">
        <v>74</v>
      </c>
      <c r="AU1523">
        <v>2024</v>
      </c>
      <c r="AV1523">
        <v>40</v>
      </c>
      <c r="AW1523">
        <v>2</v>
      </c>
      <c r="AX1523" t="s">
        <v>74</v>
      </c>
      <c r="AY1523" t="s">
        <v>74</v>
      </c>
      <c r="AZ1523" t="s">
        <v>74</v>
      </c>
      <c r="BA1523" t="s">
        <v>74</v>
      </c>
      <c r="BB1523">
        <v>94</v>
      </c>
      <c r="BC1523">
        <v>111</v>
      </c>
      <c r="BD1523" t="s">
        <v>74</v>
      </c>
      <c r="BE1523" t="s">
        <v>25668</v>
      </c>
      <c r="BF1523" t="str">
        <f>HYPERLINK("http://dx.doi.org/10.14742/ajet.8953","http://dx.doi.org/10.14742/ajet.8953")</f>
        <v>http://dx.doi.org/10.14742/ajet.8953</v>
      </c>
      <c r="BG1523" t="s">
        <v>74</v>
      </c>
      <c r="BH1523" t="s">
        <v>74</v>
      </c>
      <c r="BI1523">
        <v>18</v>
      </c>
      <c r="BJ1523" t="s">
        <v>787</v>
      </c>
      <c r="BK1523" t="s">
        <v>99</v>
      </c>
      <c r="BL1523" t="s">
        <v>787</v>
      </c>
      <c r="BM1523" t="s">
        <v>25669</v>
      </c>
      <c r="BN1523" t="s">
        <v>74</v>
      </c>
      <c r="BO1523" t="s">
        <v>235</v>
      </c>
      <c r="BP1523" t="s">
        <v>74</v>
      </c>
      <c r="BQ1523" t="s">
        <v>74</v>
      </c>
      <c r="BR1523" t="s">
        <v>102</v>
      </c>
      <c r="BS1523" t="s">
        <v>25670</v>
      </c>
      <c r="BT1523" t="str">
        <f>HYPERLINK("https%3A%2F%2Fwww.webofscience.com%2Fwos%2Fwoscc%2Ffull-record%2FWOS:001309257300007","View Full Record in Web of Science")</f>
        <v>View Full Record in Web of Science</v>
      </c>
    </row>
    <row r="1524" spans="1:72" x14ac:dyDescent="0.35">
      <c r="A1524" t="s">
        <v>72</v>
      </c>
      <c r="B1524" t="s">
        <v>25671</v>
      </c>
      <c r="C1524" t="s">
        <v>74</v>
      </c>
      <c r="D1524" t="s">
        <v>74</v>
      </c>
      <c r="E1524" t="s">
        <v>74</v>
      </c>
      <c r="F1524" t="s">
        <v>25672</v>
      </c>
      <c r="G1524" t="s">
        <v>74</v>
      </c>
      <c r="H1524" t="s">
        <v>74</v>
      </c>
      <c r="I1524" t="s">
        <v>25673</v>
      </c>
      <c r="J1524" t="s">
        <v>25674</v>
      </c>
      <c r="K1524" t="s">
        <v>74</v>
      </c>
      <c r="L1524" t="s">
        <v>74</v>
      </c>
      <c r="M1524" t="s">
        <v>78</v>
      </c>
      <c r="N1524" t="s">
        <v>2042</v>
      </c>
      <c r="O1524" t="s">
        <v>74</v>
      </c>
      <c r="P1524" t="s">
        <v>74</v>
      </c>
      <c r="Q1524" t="s">
        <v>74</v>
      </c>
      <c r="R1524" t="s">
        <v>74</v>
      </c>
      <c r="S1524" t="s">
        <v>74</v>
      </c>
      <c r="T1524" t="s">
        <v>25675</v>
      </c>
      <c r="U1524" t="s">
        <v>74</v>
      </c>
      <c r="V1524" t="s">
        <v>25676</v>
      </c>
      <c r="W1524" t="s">
        <v>25677</v>
      </c>
      <c r="X1524" t="s">
        <v>74</v>
      </c>
      <c r="Y1524" t="s">
        <v>25678</v>
      </c>
      <c r="Z1524" t="s">
        <v>25679</v>
      </c>
      <c r="AA1524" t="s">
        <v>74</v>
      </c>
      <c r="AB1524" t="s">
        <v>74</v>
      </c>
      <c r="AC1524" t="s">
        <v>74</v>
      </c>
      <c r="AD1524" t="s">
        <v>74</v>
      </c>
      <c r="AE1524" t="s">
        <v>74</v>
      </c>
      <c r="AF1524" t="s">
        <v>74</v>
      </c>
      <c r="AG1524">
        <v>4</v>
      </c>
      <c r="AH1524">
        <v>2</v>
      </c>
      <c r="AI1524">
        <v>2</v>
      </c>
      <c r="AJ1524">
        <v>18</v>
      </c>
      <c r="AK1524">
        <v>19</v>
      </c>
      <c r="AL1524" t="s">
        <v>251</v>
      </c>
      <c r="AM1524" t="s">
        <v>252</v>
      </c>
      <c r="AN1524" t="s">
        <v>253</v>
      </c>
      <c r="AO1524" t="s">
        <v>25680</v>
      </c>
      <c r="AP1524" t="s">
        <v>25681</v>
      </c>
      <c r="AQ1524" t="s">
        <v>74</v>
      </c>
      <c r="AR1524" t="s">
        <v>25682</v>
      </c>
      <c r="AS1524" t="s">
        <v>25683</v>
      </c>
      <c r="AT1524" t="s">
        <v>455</v>
      </c>
      <c r="AU1524">
        <v>2024</v>
      </c>
      <c r="AV1524">
        <v>29</v>
      </c>
      <c r="AW1524">
        <v>3</v>
      </c>
      <c r="AX1524" t="s">
        <v>74</v>
      </c>
      <c r="AY1524" t="s">
        <v>74</v>
      </c>
      <c r="AZ1524" t="s">
        <v>74</v>
      </c>
      <c r="BA1524" t="s">
        <v>74</v>
      </c>
      <c r="BB1524">
        <v>319</v>
      </c>
      <c r="BC1524">
        <v>321</v>
      </c>
      <c r="BD1524" t="s">
        <v>74</v>
      </c>
      <c r="BE1524" t="s">
        <v>25684</v>
      </c>
      <c r="BF1524" t="str">
        <f>HYPERLINK("http://dx.doi.org/10.1111/camh.12717","http://dx.doi.org/10.1111/camh.12717")</f>
        <v>http://dx.doi.org/10.1111/camh.12717</v>
      </c>
      <c r="BG1524" t="s">
        <v>74</v>
      </c>
      <c r="BH1524" t="s">
        <v>1467</v>
      </c>
      <c r="BI1524">
        <v>3</v>
      </c>
      <c r="BJ1524" t="s">
        <v>25685</v>
      </c>
      <c r="BK1524" t="s">
        <v>182</v>
      </c>
      <c r="BL1524" t="s">
        <v>5099</v>
      </c>
      <c r="BM1524" t="s">
        <v>25686</v>
      </c>
      <c r="BN1524">
        <v>38738680</v>
      </c>
      <c r="BO1524" t="s">
        <v>74</v>
      </c>
      <c r="BP1524" t="s">
        <v>74</v>
      </c>
      <c r="BQ1524" t="s">
        <v>74</v>
      </c>
      <c r="BR1524" t="s">
        <v>102</v>
      </c>
      <c r="BS1524" t="s">
        <v>25687</v>
      </c>
      <c r="BT1524" t="str">
        <f>HYPERLINK("https%3A%2F%2Fwww.webofscience.com%2Fwos%2Fwoscc%2Ffull-record%2FWOS:001220152800001","View Full Record in Web of Science")</f>
        <v>View Full Record in Web of Science</v>
      </c>
    </row>
    <row r="1525" spans="1:72" x14ac:dyDescent="0.35">
      <c r="A1525" t="s">
        <v>72</v>
      </c>
      <c r="B1525" t="s">
        <v>25688</v>
      </c>
      <c r="C1525" t="s">
        <v>74</v>
      </c>
      <c r="D1525" t="s">
        <v>74</v>
      </c>
      <c r="E1525" t="s">
        <v>74</v>
      </c>
      <c r="F1525" t="s">
        <v>25689</v>
      </c>
      <c r="G1525" t="s">
        <v>74</v>
      </c>
      <c r="H1525" t="s">
        <v>74</v>
      </c>
      <c r="I1525" t="s">
        <v>25690</v>
      </c>
      <c r="J1525" t="s">
        <v>5221</v>
      </c>
      <c r="K1525" t="s">
        <v>74</v>
      </c>
      <c r="L1525" t="s">
        <v>74</v>
      </c>
      <c r="M1525" t="s">
        <v>78</v>
      </c>
      <c r="N1525" t="s">
        <v>108</v>
      </c>
      <c r="O1525" t="s">
        <v>74</v>
      </c>
      <c r="P1525" t="s">
        <v>74</v>
      </c>
      <c r="Q1525" t="s">
        <v>74</v>
      </c>
      <c r="R1525" t="s">
        <v>74</v>
      </c>
      <c r="S1525" t="s">
        <v>74</v>
      </c>
      <c r="T1525" t="s">
        <v>25691</v>
      </c>
      <c r="U1525" t="s">
        <v>25692</v>
      </c>
      <c r="V1525" t="s">
        <v>25693</v>
      </c>
      <c r="W1525" t="s">
        <v>25694</v>
      </c>
      <c r="X1525" t="s">
        <v>5567</v>
      </c>
      <c r="Y1525" t="s">
        <v>25695</v>
      </c>
      <c r="Z1525" t="s">
        <v>25696</v>
      </c>
      <c r="AA1525" t="s">
        <v>25697</v>
      </c>
      <c r="AB1525" t="s">
        <v>25698</v>
      </c>
      <c r="AC1525" t="s">
        <v>25699</v>
      </c>
      <c r="AD1525" t="s">
        <v>25699</v>
      </c>
      <c r="AE1525" t="s">
        <v>25700</v>
      </c>
      <c r="AF1525" t="s">
        <v>74</v>
      </c>
      <c r="AG1525">
        <v>58</v>
      </c>
      <c r="AH1525">
        <v>1</v>
      </c>
      <c r="AI1525">
        <v>1</v>
      </c>
      <c r="AJ1525">
        <v>16</v>
      </c>
      <c r="AK1525">
        <v>52</v>
      </c>
      <c r="AL1525" t="s">
        <v>5231</v>
      </c>
      <c r="AM1525" t="s">
        <v>5232</v>
      </c>
      <c r="AN1525" t="s">
        <v>5233</v>
      </c>
      <c r="AO1525" t="s">
        <v>5234</v>
      </c>
      <c r="AP1525" t="s">
        <v>5235</v>
      </c>
      <c r="AQ1525" t="s">
        <v>74</v>
      </c>
      <c r="AR1525" t="s">
        <v>5236</v>
      </c>
      <c r="AS1525" t="s">
        <v>5237</v>
      </c>
      <c r="AT1525" t="s">
        <v>74</v>
      </c>
      <c r="AU1525">
        <v>2023</v>
      </c>
      <c r="AV1525">
        <v>32</v>
      </c>
      <c r="AW1525">
        <v>3</v>
      </c>
      <c r="AX1525" t="s">
        <v>74</v>
      </c>
      <c r="AY1525" t="s">
        <v>74</v>
      </c>
      <c r="AZ1525" t="s">
        <v>74</v>
      </c>
      <c r="BA1525" t="s">
        <v>74</v>
      </c>
      <c r="BB1525" t="s">
        <v>74</v>
      </c>
      <c r="BC1525" t="s">
        <v>74</v>
      </c>
      <c r="BD1525" t="s">
        <v>25701</v>
      </c>
      <c r="BE1525" t="s">
        <v>25702</v>
      </c>
      <c r="BF1525" t="str">
        <f>HYPERLINK("http://dx.doi.org/10.3145/epi.2023.may.18","http://dx.doi.org/10.3145/epi.2023.may.18")</f>
        <v>http://dx.doi.org/10.3145/epi.2023.may.18</v>
      </c>
      <c r="BG1525" t="s">
        <v>74</v>
      </c>
      <c r="BH1525" t="s">
        <v>74</v>
      </c>
      <c r="BI1525">
        <v>11</v>
      </c>
      <c r="BJ1525" t="s">
        <v>5240</v>
      </c>
      <c r="BK1525" t="s">
        <v>99</v>
      </c>
      <c r="BL1525" t="s">
        <v>5240</v>
      </c>
      <c r="BM1525" t="s">
        <v>16136</v>
      </c>
      <c r="BN1525" t="s">
        <v>74</v>
      </c>
      <c r="BO1525" t="s">
        <v>156</v>
      </c>
      <c r="BP1525" t="s">
        <v>74</v>
      </c>
      <c r="BQ1525" t="s">
        <v>74</v>
      </c>
      <c r="BR1525" t="s">
        <v>102</v>
      </c>
      <c r="BS1525" t="s">
        <v>25703</v>
      </c>
      <c r="BT1525" t="str">
        <f>HYPERLINK("https%3A%2F%2Fwww.webofscience.com%2Fwos%2Fwoscc%2Ffull-record%2FWOS:001074871700020","View Full Record in Web of Science")</f>
        <v>View Full Record in Web of Science</v>
      </c>
    </row>
    <row r="1526" spans="1:72" x14ac:dyDescent="0.35">
      <c r="A1526" t="s">
        <v>72</v>
      </c>
      <c r="B1526" t="s">
        <v>25704</v>
      </c>
      <c r="C1526" t="s">
        <v>74</v>
      </c>
      <c r="D1526" t="s">
        <v>74</v>
      </c>
      <c r="E1526" t="s">
        <v>74</v>
      </c>
      <c r="F1526" t="s">
        <v>25705</v>
      </c>
      <c r="G1526" t="s">
        <v>74</v>
      </c>
      <c r="H1526" t="s">
        <v>74</v>
      </c>
      <c r="I1526" t="s">
        <v>25706</v>
      </c>
      <c r="J1526" t="s">
        <v>8886</v>
      </c>
      <c r="K1526" t="s">
        <v>74</v>
      </c>
      <c r="L1526" t="s">
        <v>74</v>
      </c>
      <c r="M1526" t="s">
        <v>78</v>
      </c>
      <c r="N1526" t="s">
        <v>108</v>
      </c>
      <c r="O1526" t="s">
        <v>74</v>
      </c>
      <c r="P1526" t="s">
        <v>74</v>
      </c>
      <c r="Q1526" t="s">
        <v>74</v>
      </c>
      <c r="R1526" t="s">
        <v>74</v>
      </c>
      <c r="S1526" t="s">
        <v>74</v>
      </c>
      <c r="T1526" t="s">
        <v>25707</v>
      </c>
      <c r="U1526" t="s">
        <v>25708</v>
      </c>
      <c r="V1526" t="s">
        <v>25709</v>
      </c>
      <c r="W1526" t="s">
        <v>25710</v>
      </c>
      <c r="X1526" t="s">
        <v>25711</v>
      </c>
      <c r="Y1526" t="s">
        <v>25712</v>
      </c>
      <c r="Z1526" t="s">
        <v>25713</v>
      </c>
      <c r="AA1526" t="s">
        <v>25714</v>
      </c>
      <c r="AB1526" t="s">
        <v>25715</v>
      </c>
      <c r="AC1526" t="s">
        <v>74</v>
      </c>
      <c r="AD1526" t="s">
        <v>74</v>
      </c>
      <c r="AE1526" t="s">
        <v>74</v>
      </c>
      <c r="AF1526" t="s">
        <v>74</v>
      </c>
      <c r="AG1526">
        <v>39</v>
      </c>
      <c r="AH1526">
        <v>0</v>
      </c>
      <c r="AI1526">
        <v>0</v>
      </c>
      <c r="AJ1526">
        <v>17</v>
      </c>
      <c r="AK1526">
        <v>17</v>
      </c>
      <c r="AL1526" t="s">
        <v>384</v>
      </c>
      <c r="AM1526" t="s">
        <v>385</v>
      </c>
      <c r="AN1526" t="s">
        <v>386</v>
      </c>
      <c r="AO1526" t="s">
        <v>74</v>
      </c>
      <c r="AP1526" t="s">
        <v>8897</v>
      </c>
      <c r="AQ1526" t="s">
        <v>74</v>
      </c>
      <c r="AR1526" t="s">
        <v>8898</v>
      </c>
      <c r="AS1526" t="s">
        <v>8899</v>
      </c>
      <c r="AT1526" t="s">
        <v>17104</v>
      </c>
      <c r="AU1526">
        <v>2024</v>
      </c>
      <c r="AV1526">
        <v>9</v>
      </c>
      <c r="AW1526" t="s">
        <v>74</v>
      </c>
      <c r="AX1526" t="s">
        <v>74</v>
      </c>
      <c r="AY1526" t="s">
        <v>74</v>
      </c>
      <c r="AZ1526" t="s">
        <v>74</v>
      </c>
      <c r="BA1526" t="s">
        <v>74</v>
      </c>
      <c r="BB1526" t="s">
        <v>74</v>
      </c>
      <c r="BC1526" t="s">
        <v>74</v>
      </c>
      <c r="BD1526">
        <v>1346212</v>
      </c>
      <c r="BE1526" t="s">
        <v>25716</v>
      </c>
      <c r="BF1526" t="str">
        <f>HYPERLINK("http://dx.doi.org/10.3389/fcomm.2024.1346212","http://dx.doi.org/10.3389/fcomm.2024.1346212")</f>
        <v>http://dx.doi.org/10.3389/fcomm.2024.1346212</v>
      </c>
      <c r="BG1526" t="s">
        <v>74</v>
      </c>
      <c r="BH1526" t="s">
        <v>74</v>
      </c>
      <c r="BI1526">
        <v>15</v>
      </c>
      <c r="BJ1526" t="s">
        <v>124</v>
      </c>
      <c r="BK1526" t="s">
        <v>125</v>
      </c>
      <c r="BL1526" t="s">
        <v>124</v>
      </c>
      <c r="BM1526" t="s">
        <v>25717</v>
      </c>
      <c r="BN1526" t="s">
        <v>74</v>
      </c>
      <c r="BO1526" t="s">
        <v>235</v>
      </c>
      <c r="BP1526" t="s">
        <v>74</v>
      </c>
      <c r="BQ1526" t="s">
        <v>74</v>
      </c>
      <c r="BR1526" t="s">
        <v>102</v>
      </c>
      <c r="BS1526" t="s">
        <v>25718</v>
      </c>
      <c r="BT1526" t="str">
        <f>HYPERLINK("https%3A%2F%2Fwww.webofscience.com%2Fwos%2Fwoscc%2Ffull-record%2FWOS:001238715700001","View Full Record in Web of Science")</f>
        <v>View Full Record in Web of Science</v>
      </c>
    </row>
    <row r="1527" spans="1:72" x14ac:dyDescent="0.35">
      <c r="A1527" t="s">
        <v>72</v>
      </c>
      <c r="B1527" t="s">
        <v>25719</v>
      </c>
      <c r="C1527" t="s">
        <v>74</v>
      </c>
      <c r="D1527" t="s">
        <v>74</v>
      </c>
      <c r="E1527" t="s">
        <v>74</v>
      </c>
      <c r="F1527" t="s">
        <v>25720</v>
      </c>
      <c r="G1527" t="s">
        <v>74</v>
      </c>
      <c r="H1527" t="s">
        <v>74</v>
      </c>
      <c r="I1527" t="s">
        <v>25721</v>
      </c>
      <c r="J1527" t="s">
        <v>345</v>
      </c>
      <c r="K1527" t="s">
        <v>74</v>
      </c>
      <c r="L1527" t="s">
        <v>74</v>
      </c>
      <c r="M1527" t="s">
        <v>78</v>
      </c>
      <c r="N1527" t="s">
        <v>374</v>
      </c>
      <c r="O1527" t="s">
        <v>74</v>
      </c>
      <c r="P1527" t="s">
        <v>74</v>
      </c>
      <c r="Q1527" t="s">
        <v>74</v>
      </c>
      <c r="R1527" t="s">
        <v>74</v>
      </c>
      <c r="S1527" t="s">
        <v>74</v>
      </c>
      <c r="T1527" t="s">
        <v>25722</v>
      </c>
      <c r="U1527" t="s">
        <v>25723</v>
      </c>
      <c r="V1527" t="s">
        <v>25724</v>
      </c>
      <c r="W1527" t="s">
        <v>25725</v>
      </c>
      <c r="X1527" t="s">
        <v>25726</v>
      </c>
      <c r="Y1527" t="s">
        <v>25727</v>
      </c>
      <c r="Z1527" t="s">
        <v>25728</v>
      </c>
      <c r="AA1527" t="s">
        <v>74</v>
      </c>
      <c r="AB1527" t="s">
        <v>74</v>
      </c>
      <c r="AC1527" t="s">
        <v>74</v>
      </c>
      <c r="AD1527" t="s">
        <v>74</v>
      </c>
      <c r="AE1527" t="s">
        <v>74</v>
      </c>
      <c r="AF1527" t="s">
        <v>74</v>
      </c>
      <c r="AG1527">
        <v>75</v>
      </c>
      <c r="AH1527">
        <v>1</v>
      </c>
      <c r="AI1527">
        <v>1</v>
      </c>
      <c r="AJ1527">
        <v>41</v>
      </c>
      <c r="AK1527">
        <v>41</v>
      </c>
      <c r="AL1527" t="s">
        <v>357</v>
      </c>
      <c r="AM1527" t="s">
        <v>358</v>
      </c>
      <c r="AN1527" t="s">
        <v>359</v>
      </c>
      <c r="AO1527" t="s">
        <v>360</v>
      </c>
      <c r="AP1527" t="s">
        <v>361</v>
      </c>
      <c r="AQ1527" t="s">
        <v>74</v>
      </c>
      <c r="AR1527" t="s">
        <v>362</v>
      </c>
      <c r="AS1527" t="s">
        <v>363</v>
      </c>
      <c r="AT1527" t="s">
        <v>13284</v>
      </c>
      <c r="AU1527">
        <v>2024</v>
      </c>
      <c r="AV1527">
        <v>27</v>
      </c>
      <c r="AW1527">
        <v>7</v>
      </c>
      <c r="AX1527" t="s">
        <v>74</v>
      </c>
      <c r="AY1527" t="s">
        <v>74</v>
      </c>
      <c r="AZ1527" t="s">
        <v>74</v>
      </c>
      <c r="BA1527" t="s">
        <v>74</v>
      </c>
      <c r="BB1527">
        <v>452</v>
      </c>
      <c r="BC1527">
        <v>466</v>
      </c>
      <c r="BD1527" t="s">
        <v>74</v>
      </c>
      <c r="BE1527" t="s">
        <v>25729</v>
      </c>
      <c r="BF1527" t="str">
        <f>HYPERLINK("http://dx.doi.org/10.1089/cyber.2023.0526","http://dx.doi.org/10.1089/cyber.2023.0526")</f>
        <v>http://dx.doi.org/10.1089/cyber.2023.0526</v>
      </c>
      <c r="BG1527" t="s">
        <v>74</v>
      </c>
      <c r="BH1527" t="s">
        <v>1467</v>
      </c>
      <c r="BI1527">
        <v>15</v>
      </c>
      <c r="BJ1527" t="s">
        <v>367</v>
      </c>
      <c r="BK1527" t="s">
        <v>99</v>
      </c>
      <c r="BL1527" t="s">
        <v>301</v>
      </c>
      <c r="BM1527" t="s">
        <v>25730</v>
      </c>
      <c r="BN1527">
        <v>38757705</v>
      </c>
      <c r="BO1527" t="s">
        <v>74</v>
      </c>
      <c r="BP1527" t="s">
        <v>74</v>
      </c>
      <c r="BQ1527" t="s">
        <v>74</v>
      </c>
      <c r="BR1527" t="s">
        <v>102</v>
      </c>
      <c r="BS1527" t="s">
        <v>25731</v>
      </c>
      <c r="BT1527" t="str">
        <f>HYPERLINK("https%3A%2F%2Fwww.webofscience.com%2Fwos%2Fwoscc%2Ffull-record%2FWOS:001224826600001","View Full Record in Web of Science")</f>
        <v>View Full Record in Web of Science</v>
      </c>
    </row>
    <row r="1528" spans="1:72" x14ac:dyDescent="0.35">
      <c r="A1528" t="s">
        <v>72</v>
      </c>
      <c r="B1528" t="s">
        <v>25732</v>
      </c>
      <c r="C1528" t="s">
        <v>74</v>
      </c>
      <c r="D1528" t="s">
        <v>74</v>
      </c>
      <c r="E1528" t="s">
        <v>74</v>
      </c>
      <c r="F1528" t="s">
        <v>25733</v>
      </c>
      <c r="G1528" t="s">
        <v>74</v>
      </c>
      <c r="H1528" t="s">
        <v>74</v>
      </c>
      <c r="I1528" t="s">
        <v>25734</v>
      </c>
      <c r="J1528" t="s">
        <v>1603</v>
      </c>
      <c r="K1528" t="s">
        <v>74</v>
      </c>
      <c r="L1528" t="s">
        <v>74</v>
      </c>
      <c r="M1528" t="s">
        <v>78</v>
      </c>
      <c r="N1528" t="s">
        <v>108</v>
      </c>
      <c r="O1528" t="s">
        <v>74</v>
      </c>
      <c r="P1528" t="s">
        <v>74</v>
      </c>
      <c r="Q1528" t="s">
        <v>74</v>
      </c>
      <c r="R1528" t="s">
        <v>74</v>
      </c>
      <c r="S1528" t="s">
        <v>74</v>
      </c>
      <c r="T1528" t="s">
        <v>25735</v>
      </c>
      <c r="U1528" t="s">
        <v>25736</v>
      </c>
      <c r="V1528" t="s">
        <v>25737</v>
      </c>
      <c r="W1528" t="s">
        <v>25738</v>
      </c>
      <c r="X1528" t="s">
        <v>3374</v>
      </c>
      <c r="Y1528" t="s">
        <v>25739</v>
      </c>
      <c r="Z1528" t="s">
        <v>25740</v>
      </c>
      <c r="AA1528" t="s">
        <v>25741</v>
      </c>
      <c r="AB1528" t="s">
        <v>25742</v>
      </c>
      <c r="AC1528" t="s">
        <v>74</v>
      </c>
      <c r="AD1528" t="s">
        <v>74</v>
      </c>
      <c r="AE1528" t="s">
        <v>74</v>
      </c>
      <c r="AF1528" t="s">
        <v>74</v>
      </c>
      <c r="AG1528">
        <v>79</v>
      </c>
      <c r="AH1528">
        <v>6</v>
      </c>
      <c r="AI1528">
        <v>6</v>
      </c>
      <c r="AJ1528">
        <v>19</v>
      </c>
      <c r="AK1528">
        <v>79</v>
      </c>
      <c r="AL1528" t="s">
        <v>516</v>
      </c>
      <c r="AM1528" t="s">
        <v>517</v>
      </c>
      <c r="AN1528" t="s">
        <v>518</v>
      </c>
      <c r="AO1528" t="s">
        <v>1612</v>
      </c>
      <c r="AP1528" t="s">
        <v>1613</v>
      </c>
      <c r="AQ1528" t="s">
        <v>74</v>
      </c>
      <c r="AR1528" t="s">
        <v>1603</v>
      </c>
      <c r="AS1528" t="s">
        <v>1614</v>
      </c>
      <c r="AT1528" t="s">
        <v>455</v>
      </c>
      <c r="AU1528">
        <v>2023</v>
      </c>
      <c r="AV1528">
        <v>46</v>
      </c>
      <c r="AW1528" t="s">
        <v>74</v>
      </c>
      <c r="AX1528" t="s">
        <v>74</v>
      </c>
      <c r="AY1528" t="s">
        <v>74</v>
      </c>
      <c r="AZ1528" t="s">
        <v>74</v>
      </c>
      <c r="BA1528" t="s">
        <v>74</v>
      </c>
      <c r="BB1528">
        <v>190</v>
      </c>
      <c r="BC1528">
        <v>201</v>
      </c>
      <c r="BD1528" t="s">
        <v>74</v>
      </c>
      <c r="BE1528" t="s">
        <v>25743</v>
      </c>
      <c r="BF1528" t="str">
        <f>HYPERLINK("http://dx.doi.org/10.1016/j.bodyim.2023.06.005","http://dx.doi.org/10.1016/j.bodyim.2023.06.005")</f>
        <v>http://dx.doi.org/10.1016/j.bodyim.2023.06.005</v>
      </c>
      <c r="BG1528" t="s">
        <v>74</v>
      </c>
      <c r="BH1528" t="s">
        <v>1954</v>
      </c>
      <c r="BI1528">
        <v>12</v>
      </c>
      <c r="BJ1528" t="s">
        <v>1616</v>
      </c>
      <c r="BK1528" t="s">
        <v>99</v>
      </c>
      <c r="BL1528" t="s">
        <v>1617</v>
      </c>
      <c r="BM1528" t="s">
        <v>25744</v>
      </c>
      <c r="BN1528">
        <v>37354877</v>
      </c>
      <c r="BO1528" t="s">
        <v>156</v>
      </c>
      <c r="BP1528" t="s">
        <v>74</v>
      </c>
      <c r="BQ1528" t="s">
        <v>74</v>
      </c>
      <c r="BR1528" t="s">
        <v>102</v>
      </c>
      <c r="BS1528" t="s">
        <v>25745</v>
      </c>
      <c r="BT1528" t="str">
        <f>HYPERLINK("https%3A%2F%2Fwww.webofscience.com%2Fwos%2Fwoscc%2Ffull-record%2FWOS:001033801600001","View Full Record in Web of Science")</f>
        <v>View Full Record in Web of Science</v>
      </c>
    </row>
    <row r="1529" spans="1:72" x14ac:dyDescent="0.35">
      <c r="A1529" t="s">
        <v>72</v>
      </c>
      <c r="B1529" t="s">
        <v>25746</v>
      </c>
      <c r="C1529" t="s">
        <v>74</v>
      </c>
      <c r="D1529" t="s">
        <v>74</v>
      </c>
      <c r="E1529" t="s">
        <v>74</v>
      </c>
      <c r="F1529" t="s">
        <v>25747</v>
      </c>
      <c r="G1529" t="s">
        <v>74</v>
      </c>
      <c r="H1529" t="s">
        <v>74</v>
      </c>
      <c r="I1529" t="s">
        <v>25748</v>
      </c>
      <c r="J1529" t="s">
        <v>25749</v>
      </c>
      <c r="K1529" t="s">
        <v>74</v>
      </c>
      <c r="L1529" t="s">
        <v>74</v>
      </c>
      <c r="M1529" t="s">
        <v>78</v>
      </c>
      <c r="N1529" t="s">
        <v>108</v>
      </c>
      <c r="O1529" t="s">
        <v>74</v>
      </c>
      <c r="P1529" t="s">
        <v>74</v>
      </c>
      <c r="Q1529" t="s">
        <v>74</v>
      </c>
      <c r="R1529" t="s">
        <v>74</v>
      </c>
      <c r="S1529" t="s">
        <v>74</v>
      </c>
      <c r="T1529" t="s">
        <v>25750</v>
      </c>
      <c r="U1529" t="s">
        <v>25751</v>
      </c>
      <c r="V1529" t="s">
        <v>25752</v>
      </c>
      <c r="W1529" t="s">
        <v>25753</v>
      </c>
      <c r="X1529" t="s">
        <v>25754</v>
      </c>
      <c r="Y1529" t="s">
        <v>20573</v>
      </c>
      <c r="Z1529" t="s">
        <v>20574</v>
      </c>
      <c r="AA1529" t="s">
        <v>11706</v>
      </c>
      <c r="AB1529" t="s">
        <v>74</v>
      </c>
      <c r="AC1529" t="s">
        <v>74</v>
      </c>
      <c r="AD1529" t="s">
        <v>74</v>
      </c>
      <c r="AE1529" t="s">
        <v>74</v>
      </c>
      <c r="AF1529" t="s">
        <v>74</v>
      </c>
      <c r="AG1529">
        <v>30</v>
      </c>
      <c r="AH1529">
        <v>10</v>
      </c>
      <c r="AI1529">
        <v>10</v>
      </c>
      <c r="AJ1529">
        <v>0</v>
      </c>
      <c r="AK1529">
        <v>2</v>
      </c>
      <c r="AL1529" t="s">
        <v>12528</v>
      </c>
      <c r="AM1529" t="s">
        <v>995</v>
      </c>
      <c r="AN1529" t="s">
        <v>12529</v>
      </c>
      <c r="AO1529" t="s">
        <v>25755</v>
      </c>
      <c r="AP1529" t="s">
        <v>25756</v>
      </c>
      <c r="AQ1529" t="s">
        <v>74</v>
      </c>
      <c r="AR1529" t="s">
        <v>25757</v>
      </c>
      <c r="AS1529" t="s">
        <v>25758</v>
      </c>
      <c r="AT1529" t="s">
        <v>18579</v>
      </c>
      <c r="AU1529">
        <v>2022</v>
      </c>
      <c r="AV1529">
        <v>43</v>
      </c>
      <c r="AW1529">
        <v>2</v>
      </c>
      <c r="AX1529" t="s">
        <v>74</v>
      </c>
      <c r="AY1529" t="s">
        <v>74</v>
      </c>
      <c r="AZ1529" t="s">
        <v>74</v>
      </c>
      <c r="BA1529" t="s">
        <v>74</v>
      </c>
      <c r="BB1529" t="s">
        <v>74</v>
      </c>
      <c r="BC1529" t="s">
        <v>74</v>
      </c>
      <c r="BD1529">
        <v>103388</v>
      </c>
      <c r="BE1529" t="s">
        <v>25759</v>
      </c>
      <c r="BF1529" t="str">
        <f>HYPERLINK("http://dx.doi.org/10.1016/j.amjoto.2022.103388","http://dx.doi.org/10.1016/j.amjoto.2022.103388")</f>
        <v>http://dx.doi.org/10.1016/j.amjoto.2022.103388</v>
      </c>
      <c r="BG1529" t="s">
        <v>74</v>
      </c>
      <c r="BH1529" t="s">
        <v>259</v>
      </c>
      <c r="BI1529">
        <v>8</v>
      </c>
      <c r="BJ1529" t="s">
        <v>2057</v>
      </c>
      <c r="BK1529" t="s">
        <v>209</v>
      </c>
      <c r="BL1529" t="s">
        <v>2057</v>
      </c>
      <c r="BM1529" t="s">
        <v>25760</v>
      </c>
      <c r="BN1529">
        <v>35144105</v>
      </c>
      <c r="BO1529" t="s">
        <v>74</v>
      </c>
      <c r="BP1529" t="s">
        <v>74</v>
      </c>
      <c r="BQ1529" t="s">
        <v>74</v>
      </c>
      <c r="BR1529" t="s">
        <v>102</v>
      </c>
      <c r="BS1529" t="s">
        <v>25761</v>
      </c>
      <c r="BT1529" t="str">
        <f>HYPERLINK("https%3A%2F%2Fwww.webofscience.com%2Fwos%2Fwoscc%2Ffull-record%2FWOS:000788909200020","View Full Record in Web of Science")</f>
        <v>View Full Record in Web of Science</v>
      </c>
    </row>
    <row r="1530" spans="1:72" x14ac:dyDescent="0.35">
      <c r="A1530" t="s">
        <v>72</v>
      </c>
      <c r="B1530" t="s">
        <v>25762</v>
      </c>
      <c r="C1530" t="s">
        <v>74</v>
      </c>
      <c r="D1530" t="s">
        <v>74</v>
      </c>
      <c r="E1530" t="s">
        <v>74</v>
      </c>
      <c r="F1530" t="s">
        <v>25763</v>
      </c>
      <c r="G1530" t="s">
        <v>74</v>
      </c>
      <c r="H1530" t="s">
        <v>74</v>
      </c>
      <c r="I1530" t="s">
        <v>25764</v>
      </c>
      <c r="J1530" t="s">
        <v>25765</v>
      </c>
      <c r="K1530" t="s">
        <v>74</v>
      </c>
      <c r="L1530" t="s">
        <v>74</v>
      </c>
      <c r="M1530" t="s">
        <v>78</v>
      </c>
      <c r="N1530" t="s">
        <v>108</v>
      </c>
      <c r="O1530" t="s">
        <v>74</v>
      </c>
      <c r="P1530" t="s">
        <v>74</v>
      </c>
      <c r="Q1530" t="s">
        <v>74</v>
      </c>
      <c r="R1530" t="s">
        <v>74</v>
      </c>
      <c r="S1530" t="s">
        <v>74</v>
      </c>
      <c r="T1530" t="s">
        <v>25766</v>
      </c>
      <c r="U1530" t="s">
        <v>74</v>
      </c>
      <c r="V1530" t="s">
        <v>25767</v>
      </c>
      <c r="W1530" t="s">
        <v>25768</v>
      </c>
      <c r="X1530" t="s">
        <v>25003</v>
      </c>
      <c r="Y1530" t="s">
        <v>25769</v>
      </c>
      <c r="Z1530" t="s">
        <v>25770</v>
      </c>
      <c r="AA1530" t="s">
        <v>74</v>
      </c>
      <c r="AB1530" t="s">
        <v>74</v>
      </c>
      <c r="AC1530" t="s">
        <v>25771</v>
      </c>
      <c r="AD1530" t="s">
        <v>25772</v>
      </c>
      <c r="AE1530" t="s">
        <v>25773</v>
      </c>
      <c r="AF1530" t="s">
        <v>74</v>
      </c>
      <c r="AG1530">
        <v>78</v>
      </c>
      <c r="AH1530">
        <v>12</v>
      </c>
      <c r="AI1530">
        <v>13</v>
      </c>
      <c r="AJ1530">
        <v>7</v>
      </c>
      <c r="AK1530">
        <v>58</v>
      </c>
      <c r="AL1530" t="s">
        <v>384</v>
      </c>
      <c r="AM1530" t="s">
        <v>385</v>
      </c>
      <c r="AN1530" t="s">
        <v>386</v>
      </c>
      <c r="AO1530" t="s">
        <v>74</v>
      </c>
      <c r="AP1530" t="s">
        <v>25774</v>
      </c>
      <c r="AQ1530" t="s">
        <v>74</v>
      </c>
      <c r="AR1530" t="s">
        <v>25775</v>
      </c>
      <c r="AS1530" t="s">
        <v>25776</v>
      </c>
      <c r="AT1530" t="s">
        <v>25777</v>
      </c>
      <c r="AU1530">
        <v>2021</v>
      </c>
      <c r="AV1530">
        <v>4</v>
      </c>
      <c r="AW1530" t="s">
        <v>74</v>
      </c>
      <c r="AX1530" t="s">
        <v>74</v>
      </c>
      <c r="AY1530" t="s">
        <v>74</v>
      </c>
      <c r="AZ1530" t="s">
        <v>74</v>
      </c>
      <c r="BA1530" t="s">
        <v>74</v>
      </c>
      <c r="BB1530" t="s">
        <v>74</v>
      </c>
      <c r="BC1530" t="s">
        <v>74</v>
      </c>
      <c r="BD1530">
        <v>689036</v>
      </c>
      <c r="BE1530" t="s">
        <v>25778</v>
      </c>
      <c r="BF1530" t="str">
        <f>HYPERLINK("http://dx.doi.org/10.3389/fdata.2021.689036","http://dx.doi.org/10.3389/fdata.2021.689036")</f>
        <v>http://dx.doi.org/10.3389/fdata.2021.689036</v>
      </c>
      <c r="BG1530" t="s">
        <v>74</v>
      </c>
      <c r="BH1530" t="s">
        <v>74</v>
      </c>
      <c r="BI1530">
        <v>10</v>
      </c>
      <c r="BJ1530" t="s">
        <v>25779</v>
      </c>
      <c r="BK1530" t="s">
        <v>125</v>
      </c>
      <c r="BL1530" t="s">
        <v>25780</v>
      </c>
      <c r="BM1530" t="s">
        <v>25781</v>
      </c>
      <c r="BN1530">
        <v>34296078</v>
      </c>
      <c r="BO1530" t="s">
        <v>552</v>
      </c>
      <c r="BP1530" t="s">
        <v>74</v>
      </c>
      <c r="BQ1530" t="s">
        <v>74</v>
      </c>
      <c r="BR1530" t="s">
        <v>102</v>
      </c>
      <c r="BS1530" t="s">
        <v>25782</v>
      </c>
      <c r="BT1530" t="str">
        <f>HYPERLINK("https%3A%2F%2Fwww.webofscience.com%2Fwos%2Fwoscc%2Ffull-record%2FWOS:000677491800001","View Full Record in Web of Science")</f>
        <v>View Full Record in Web of Science</v>
      </c>
    </row>
    <row r="1531" spans="1:72" x14ac:dyDescent="0.35">
      <c r="A1531" t="s">
        <v>72</v>
      </c>
      <c r="B1531" t="s">
        <v>25783</v>
      </c>
      <c r="C1531" t="s">
        <v>74</v>
      </c>
      <c r="D1531" t="s">
        <v>74</v>
      </c>
      <c r="E1531" t="s">
        <v>74</v>
      </c>
      <c r="F1531" t="s">
        <v>25784</v>
      </c>
      <c r="G1531" t="s">
        <v>74</v>
      </c>
      <c r="H1531" t="s">
        <v>74</v>
      </c>
      <c r="I1531" t="s">
        <v>25785</v>
      </c>
      <c r="J1531" t="s">
        <v>25786</v>
      </c>
      <c r="K1531" t="s">
        <v>74</v>
      </c>
      <c r="L1531" t="s">
        <v>74</v>
      </c>
      <c r="M1531" t="s">
        <v>78</v>
      </c>
      <c r="N1531" t="s">
        <v>108</v>
      </c>
      <c r="O1531" t="s">
        <v>74</v>
      </c>
      <c r="P1531" t="s">
        <v>74</v>
      </c>
      <c r="Q1531" t="s">
        <v>74</v>
      </c>
      <c r="R1531" t="s">
        <v>74</v>
      </c>
      <c r="S1531" t="s">
        <v>74</v>
      </c>
      <c r="T1531" t="s">
        <v>25787</v>
      </c>
      <c r="U1531" t="s">
        <v>25788</v>
      </c>
      <c r="V1531" t="s">
        <v>25789</v>
      </c>
      <c r="W1531" t="s">
        <v>25790</v>
      </c>
      <c r="X1531" t="s">
        <v>25791</v>
      </c>
      <c r="Y1531" t="s">
        <v>25792</v>
      </c>
      <c r="Z1531" t="s">
        <v>25793</v>
      </c>
      <c r="AA1531" t="s">
        <v>25794</v>
      </c>
      <c r="AB1531" t="s">
        <v>74</v>
      </c>
      <c r="AC1531" t="s">
        <v>74</v>
      </c>
      <c r="AD1531" t="s">
        <v>74</v>
      </c>
      <c r="AE1531" t="s">
        <v>74</v>
      </c>
      <c r="AF1531" t="s">
        <v>74</v>
      </c>
      <c r="AG1531">
        <v>59</v>
      </c>
      <c r="AH1531">
        <v>0</v>
      </c>
      <c r="AI1531">
        <v>0</v>
      </c>
      <c r="AJ1531">
        <v>0</v>
      </c>
      <c r="AK1531">
        <v>0</v>
      </c>
      <c r="AL1531" t="s">
        <v>25795</v>
      </c>
      <c r="AM1531" t="s">
        <v>227</v>
      </c>
      <c r="AN1531" t="s">
        <v>25796</v>
      </c>
      <c r="AO1531" t="s">
        <v>74</v>
      </c>
      <c r="AP1531" t="s">
        <v>25797</v>
      </c>
      <c r="AQ1531" t="s">
        <v>74</v>
      </c>
      <c r="AR1531" t="s">
        <v>25798</v>
      </c>
      <c r="AS1531" t="s">
        <v>25799</v>
      </c>
      <c r="AT1531" t="s">
        <v>25800</v>
      </c>
      <c r="AU1531">
        <v>2024</v>
      </c>
      <c r="AV1531">
        <v>10</v>
      </c>
      <c r="AW1531" t="s">
        <v>74</v>
      </c>
      <c r="AX1531" t="s">
        <v>74</v>
      </c>
      <c r="AY1531" t="s">
        <v>74</v>
      </c>
      <c r="AZ1531" t="s">
        <v>74</v>
      </c>
      <c r="BA1531" t="s">
        <v>74</v>
      </c>
      <c r="BB1531" t="s">
        <v>74</v>
      </c>
      <c r="BC1531" t="s">
        <v>74</v>
      </c>
      <c r="BD1531" t="s">
        <v>25801</v>
      </c>
      <c r="BE1531" t="s">
        <v>25802</v>
      </c>
      <c r="BF1531" t="str">
        <f>HYPERLINK("http://dx.doi.org/10.7717/peerj-cs.2398","http://dx.doi.org/10.7717/peerj-cs.2398")</f>
        <v>http://dx.doi.org/10.7717/peerj-cs.2398</v>
      </c>
      <c r="BG1531" t="s">
        <v>74</v>
      </c>
      <c r="BH1531" t="s">
        <v>74</v>
      </c>
      <c r="BI1531">
        <v>29</v>
      </c>
      <c r="BJ1531" t="s">
        <v>894</v>
      </c>
      <c r="BK1531" t="s">
        <v>209</v>
      </c>
      <c r="BL1531" t="s">
        <v>210</v>
      </c>
      <c r="BM1531" t="s">
        <v>25803</v>
      </c>
      <c r="BN1531" t="s">
        <v>74</v>
      </c>
      <c r="BO1531" t="s">
        <v>235</v>
      </c>
      <c r="BP1531" t="s">
        <v>74</v>
      </c>
      <c r="BQ1531" t="s">
        <v>74</v>
      </c>
      <c r="BR1531" t="s">
        <v>102</v>
      </c>
      <c r="BS1531" t="s">
        <v>25804</v>
      </c>
      <c r="BT1531" t="str">
        <f>HYPERLINK("https%3A%2F%2Fwww.webofscience.com%2Fwos%2Fwoscc%2Ffull-record%2FWOS:001349573500002","View Full Record in Web of Science")</f>
        <v>View Full Record in Web of Science</v>
      </c>
    </row>
    <row r="1532" spans="1:72" x14ac:dyDescent="0.35">
      <c r="A1532" t="s">
        <v>72</v>
      </c>
      <c r="B1532" t="s">
        <v>25805</v>
      </c>
      <c r="C1532" t="s">
        <v>74</v>
      </c>
      <c r="D1532" t="s">
        <v>74</v>
      </c>
      <c r="E1532" t="s">
        <v>74</v>
      </c>
      <c r="F1532" t="s">
        <v>25806</v>
      </c>
      <c r="G1532" t="s">
        <v>74</v>
      </c>
      <c r="H1532" t="s">
        <v>74</v>
      </c>
      <c r="I1532" t="s">
        <v>25807</v>
      </c>
      <c r="J1532" t="s">
        <v>17555</v>
      </c>
      <c r="K1532" t="s">
        <v>74</v>
      </c>
      <c r="L1532" t="s">
        <v>74</v>
      </c>
      <c r="M1532" t="s">
        <v>78</v>
      </c>
      <c r="N1532" t="s">
        <v>79</v>
      </c>
      <c r="O1532" t="s">
        <v>74</v>
      </c>
      <c r="P1532" t="s">
        <v>74</v>
      </c>
      <c r="Q1532" t="s">
        <v>74</v>
      </c>
      <c r="R1532" t="s">
        <v>74</v>
      </c>
      <c r="S1532" t="s">
        <v>74</v>
      </c>
      <c r="T1532" t="s">
        <v>25808</v>
      </c>
      <c r="U1532" t="s">
        <v>25809</v>
      </c>
      <c r="V1532" t="s">
        <v>25810</v>
      </c>
      <c r="W1532" t="s">
        <v>25811</v>
      </c>
      <c r="X1532" t="s">
        <v>25812</v>
      </c>
      <c r="Y1532" t="s">
        <v>25813</v>
      </c>
      <c r="Z1532" t="s">
        <v>25814</v>
      </c>
      <c r="AA1532" t="s">
        <v>25815</v>
      </c>
      <c r="AB1532" t="s">
        <v>25816</v>
      </c>
      <c r="AC1532" t="s">
        <v>74</v>
      </c>
      <c r="AD1532" t="s">
        <v>74</v>
      </c>
      <c r="AE1532" t="s">
        <v>74</v>
      </c>
      <c r="AF1532" t="s">
        <v>74</v>
      </c>
      <c r="AG1532">
        <v>109</v>
      </c>
      <c r="AH1532">
        <v>0</v>
      </c>
      <c r="AI1532">
        <v>0</v>
      </c>
      <c r="AJ1532">
        <v>14</v>
      </c>
      <c r="AK1532">
        <v>14</v>
      </c>
      <c r="AL1532" t="s">
        <v>251</v>
      </c>
      <c r="AM1532" t="s">
        <v>252</v>
      </c>
      <c r="AN1532" t="s">
        <v>253</v>
      </c>
      <c r="AO1532" t="s">
        <v>17565</v>
      </c>
      <c r="AP1532" t="s">
        <v>17566</v>
      </c>
      <c r="AQ1532" t="s">
        <v>74</v>
      </c>
      <c r="AR1532" t="s">
        <v>17567</v>
      </c>
      <c r="AS1532" t="s">
        <v>17568</v>
      </c>
      <c r="AT1532" t="s">
        <v>3340</v>
      </c>
      <c r="AU1532">
        <v>2024</v>
      </c>
      <c r="AV1532" t="s">
        <v>74</v>
      </c>
      <c r="AW1532" t="s">
        <v>74</v>
      </c>
      <c r="AX1532" t="s">
        <v>74</v>
      </c>
      <c r="AY1532" t="s">
        <v>74</v>
      </c>
      <c r="AZ1532" t="s">
        <v>74</v>
      </c>
      <c r="BA1532" t="s">
        <v>74</v>
      </c>
      <c r="BB1532" t="s">
        <v>74</v>
      </c>
      <c r="BC1532" t="s">
        <v>74</v>
      </c>
      <c r="BD1532" t="s">
        <v>74</v>
      </c>
      <c r="BE1532" t="s">
        <v>25817</v>
      </c>
      <c r="BF1532" t="str">
        <f>HYPERLINK("http://dx.doi.org/10.1002/mar.22133","http://dx.doi.org/10.1002/mar.22133")</f>
        <v>http://dx.doi.org/10.1002/mar.22133</v>
      </c>
      <c r="BG1532" t="s">
        <v>74</v>
      </c>
      <c r="BH1532" t="s">
        <v>1721</v>
      </c>
      <c r="BI1532">
        <v>17</v>
      </c>
      <c r="BJ1532" t="s">
        <v>17570</v>
      </c>
      <c r="BK1532" t="s">
        <v>99</v>
      </c>
      <c r="BL1532" t="s">
        <v>5507</v>
      </c>
      <c r="BM1532" t="s">
        <v>25818</v>
      </c>
      <c r="BN1532" t="s">
        <v>74</v>
      </c>
      <c r="BO1532" t="s">
        <v>74</v>
      </c>
      <c r="BP1532" t="s">
        <v>74</v>
      </c>
      <c r="BQ1532" t="s">
        <v>74</v>
      </c>
      <c r="BR1532" t="s">
        <v>102</v>
      </c>
      <c r="BS1532" t="s">
        <v>25819</v>
      </c>
      <c r="BT1532" t="str">
        <f>HYPERLINK("https%3A%2F%2Fwww.webofscience.com%2Fwos%2Fwoscc%2Ffull-record%2FWOS:001327641500001","View Full Record in Web of Science")</f>
        <v>View Full Record in Web of Science</v>
      </c>
    </row>
    <row r="1533" spans="1:72" x14ac:dyDescent="0.35">
      <c r="A1533" t="s">
        <v>72</v>
      </c>
      <c r="B1533" t="s">
        <v>25820</v>
      </c>
      <c r="C1533" t="s">
        <v>74</v>
      </c>
      <c r="D1533" t="s">
        <v>74</v>
      </c>
      <c r="E1533" t="s">
        <v>74</v>
      </c>
      <c r="F1533" t="s">
        <v>25821</v>
      </c>
      <c r="G1533" t="s">
        <v>74</v>
      </c>
      <c r="H1533" t="s">
        <v>74</v>
      </c>
      <c r="I1533" t="s">
        <v>25822</v>
      </c>
      <c r="J1533" t="s">
        <v>25823</v>
      </c>
      <c r="K1533" t="s">
        <v>74</v>
      </c>
      <c r="L1533" t="s">
        <v>74</v>
      </c>
      <c r="M1533" t="s">
        <v>78</v>
      </c>
      <c r="N1533" t="s">
        <v>108</v>
      </c>
      <c r="O1533" t="s">
        <v>74</v>
      </c>
      <c r="P1533" t="s">
        <v>74</v>
      </c>
      <c r="Q1533" t="s">
        <v>74</v>
      </c>
      <c r="R1533" t="s">
        <v>74</v>
      </c>
      <c r="S1533" t="s">
        <v>74</v>
      </c>
      <c r="T1533" t="s">
        <v>25824</v>
      </c>
      <c r="U1533" t="s">
        <v>25825</v>
      </c>
      <c r="V1533" t="s">
        <v>25826</v>
      </c>
      <c r="W1533" t="s">
        <v>25827</v>
      </c>
      <c r="X1533" t="s">
        <v>25828</v>
      </c>
      <c r="Y1533" t="s">
        <v>25829</v>
      </c>
      <c r="Z1533" t="s">
        <v>25830</v>
      </c>
      <c r="AA1533" t="s">
        <v>74</v>
      </c>
      <c r="AB1533" t="s">
        <v>74</v>
      </c>
      <c r="AC1533" t="s">
        <v>74</v>
      </c>
      <c r="AD1533" t="s">
        <v>74</v>
      </c>
      <c r="AE1533" t="s">
        <v>74</v>
      </c>
      <c r="AF1533" t="s">
        <v>74</v>
      </c>
      <c r="AG1533">
        <v>29</v>
      </c>
      <c r="AH1533">
        <v>0</v>
      </c>
      <c r="AI1533">
        <v>0</v>
      </c>
      <c r="AJ1533">
        <v>0</v>
      </c>
      <c r="AK1533">
        <v>1</v>
      </c>
      <c r="AL1533" t="s">
        <v>1901</v>
      </c>
      <c r="AM1533" t="s">
        <v>995</v>
      </c>
      <c r="AN1533" t="s">
        <v>1902</v>
      </c>
      <c r="AO1533" t="s">
        <v>25831</v>
      </c>
      <c r="AP1533" t="s">
        <v>25832</v>
      </c>
      <c r="AQ1533" t="s">
        <v>74</v>
      </c>
      <c r="AR1533" t="s">
        <v>25833</v>
      </c>
      <c r="AS1533" t="s">
        <v>25834</v>
      </c>
      <c r="AT1533" t="s">
        <v>2032</v>
      </c>
      <c r="AU1533">
        <v>2023</v>
      </c>
      <c r="AV1533">
        <v>34</v>
      </c>
      <c r="AW1533">
        <v>6</v>
      </c>
      <c r="AX1533" t="s">
        <v>74</v>
      </c>
      <c r="AY1533" t="s">
        <v>74</v>
      </c>
      <c r="AZ1533" t="s">
        <v>74</v>
      </c>
      <c r="BA1533" t="s">
        <v>74</v>
      </c>
      <c r="BB1533">
        <v>296</v>
      </c>
      <c r="BC1533">
        <v>301</v>
      </c>
      <c r="BD1533" t="s">
        <v>74</v>
      </c>
      <c r="BE1533" t="s">
        <v>25835</v>
      </c>
      <c r="BF1533" t="str">
        <f>HYPERLINK("http://dx.doi.org/10.1097/BCO.0000000000001229","http://dx.doi.org/10.1097/BCO.0000000000001229")</f>
        <v>http://dx.doi.org/10.1097/BCO.0000000000001229</v>
      </c>
      <c r="BG1533" t="s">
        <v>74</v>
      </c>
      <c r="BH1533" t="s">
        <v>74</v>
      </c>
      <c r="BI1533">
        <v>6</v>
      </c>
      <c r="BJ1533" t="s">
        <v>9734</v>
      </c>
      <c r="BK1533" t="s">
        <v>125</v>
      </c>
      <c r="BL1533" t="s">
        <v>9734</v>
      </c>
      <c r="BM1533" t="s">
        <v>25836</v>
      </c>
      <c r="BN1533" t="s">
        <v>74</v>
      </c>
      <c r="BO1533" t="s">
        <v>74</v>
      </c>
      <c r="BP1533" t="s">
        <v>74</v>
      </c>
      <c r="BQ1533" t="s">
        <v>74</v>
      </c>
      <c r="BR1533" t="s">
        <v>102</v>
      </c>
      <c r="BS1533" t="s">
        <v>25837</v>
      </c>
      <c r="BT1533" t="str">
        <f>HYPERLINK("https%3A%2F%2Fwww.webofscience.com%2Fwos%2Fwoscc%2Ffull-record%2FWOS:001124056300004","View Full Record in Web of Science")</f>
        <v>View Full Record in Web of Science</v>
      </c>
    </row>
    <row r="1534" spans="1:72" x14ac:dyDescent="0.35">
      <c r="A1534" t="s">
        <v>72</v>
      </c>
      <c r="B1534" t="s">
        <v>25838</v>
      </c>
      <c r="C1534" t="s">
        <v>74</v>
      </c>
      <c r="D1534" t="s">
        <v>74</v>
      </c>
      <c r="E1534" t="s">
        <v>74</v>
      </c>
      <c r="F1534" t="s">
        <v>25839</v>
      </c>
      <c r="G1534" t="s">
        <v>74</v>
      </c>
      <c r="H1534" t="s">
        <v>74</v>
      </c>
      <c r="I1534" t="s">
        <v>25840</v>
      </c>
      <c r="J1534" t="s">
        <v>793</v>
      </c>
      <c r="K1534" t="s">
        <v>74</v>
      </c>
      <c r="L1534" t="s">
        <v>74</v>
      </c>
      <c r="M1534" t="s">
        <v>78</v>
      </c>
      <c r="N1534" t="s">
        <v>108</v>
      </c>
      <c r="O1534" t="s">
        <v>74</v>
      </c>
      <c r="P1534" t="s">
        <v>74</v>
      </c>
      <c r="Q1534" t="s">
        <v>74</v>
      </c>
      <c r="R1534" t="s">
        <v>74</v>
      </c>
      <c r="S1534" t="s">
        <v>74</v>
      </c>
      <c r="T1534" t="s">
        <v>25841</v>
      </c>
      <c r="U1534" t="s">
        <v>25842</v>
      </c>
      <c r="V1534" t="s">
        <v>25843</v>
      </c>
      <c r="W1534" t="s">
        <v>25844</v>
      </c>
      <c r="X1534" t="s">
        <v>12856</v>
      </c>
      <c r="Y1534" t="s">
        <v>25845</v>
      </c>
      <c r="Z1534" t="s">
        <v>25846</v>
      </c>
      <c r="AA1534" t="s">
        <v>25847</v>
      </c>
      <c r="AB1534" t="s">
        <v>74</v>
      </c>
      <c r="AC1534" t="s">
        <v>74</v>
      </c>
      <c r="AD1534" t="s">
        <v>74</v>
      </c>
      <c r="AE1534" t="s">
        <v>74</v>
      </c>
      <c r="AF1534" t="s">
        <v>74</v>
      </c>
      <c r="AG1534">
        <v>16</v>
      </c>
      <c r="AH1534">
        <v>1</v>
      </c>
      <c r="AI1534">
        <v>1</v>
      </c>
      <c r="AJ1534">
        <v>1</v>
      </c>
      <c r="AK1534">
        <v>16</v>
      </c>
      <c r="AL1534" t="s">
        <v>803</v>
      </c>
      <c r="AM1534" t="s">
        <v>227</v>
      </c>
      <c r="AN1534" t="s">
        <v>804</v>
      </c>
      <c r="AO1534" t="s">
        <v>74</v>
      </c>
      <c r="AP1534" t="s">
        <v>805</v>
      </c>
      <c r="AQ1534" t="s">
        <v>74</v>
      </c>
      <c r="AR1534" t="s">
        <v>806</v>
      </c>
      <c r="AS1534" t="s">
        <v>807</v>
      </c>
      <c r="AT1534" t="s">
        <v>15537</v>
      </c>
      <c r="AU1534">
        <v>2021</v>
      </c>
      <c r="AV1534">
        <v>13</v>
      </c>
      <c r="AW1534">
        <v>7</v>
      </c>
      <c r="AX1534" t="s">
        <v>74</v>
      </c>
      <c r="AY1534" t="s">
        <v>74</v>
      </c>
      <c r="AZ1534" t="s">
        <v>74</v>
      </c>
      <c r="BA1534" t="s">
        <v>74</v>
      </c>
      <c r="BB1534" t="s">
        <v>74</v>
      </c>
      <c r="BC1534" t="s">
        <v>74</v>
      </c>
      <c r="BD1534" t="s">
        <v>25848</v>
      </c>
      <c r="BE1534" t="s">
        <v>25849</v>
      </c>
      <c r="BF1534" t="str">
        <f>HYPERLINK("http://dx.doi.org/10.7759/cureus.16780","http://dx.doi.org/10.7759/cureus.16780")</f>
        <v>http://dx.doi.org/10.7759/cureus.16780</v>
      </c>
      <c r="BG1534" t="s">
        <v>74</v>
      </c>
      <c r="BH1534" t="s">
        <v>74</v>
      </c>
      <c r="BI1534">
        <v>7</v>
      </c>
      <c r="BJ1534" t="s">
        <v>811</v>
      </c>
      <c r="BK1534" t="s">
        <v>125</v>
      </c>
      <c r="BL1534" t="s">
        <v>812</v>
      </c>
      <c r="BM1534" t="s">
        <v>25850</v>
      </c>
      <c r="BN1534">
        <v>34513387</v>
      </c>
      <c r="BO1534" t="s">
        <v>552</v>
      </c>
      <c r="BP1534" t="s">
        <v>74</v>
      </c>
      <c r="BQ1534" t="s">
        <v>74</v>
      </c>
      <c r="BR1534" t="s">
        <v>102</v>
      </c>
      <c r="BS1534" t="s">
        <v>25851</v>
      </c>
      <c r="BT1534" t="str">
        <f>HYPERLINK("https%3A%2F%2Fwww.webofscience.com%2Fwos%2Fwoscc%2Ffull-record%2FWOS:000685037500010","View Full Record in Web of Science")</f>
        <v>View Full Record in Web of Science</v>
      </c>
    </row>
    <row r="1535" spans="1:72" x14ac:dyDescent="0.35">
      <c r="A1535" t="s">
        <v>72</v>
      </c>
      <c r="B1535" t="s">
        <v>25852</v>
      </c>
      <c r="C1535" t="s">
        <v>74</v>
      </c>
      <c r="D1535" t="s">
        <v>74</v>
      </c>
      <c r="E1535" t="s">
        <v>74</v>
      </c>
      <c r="F1535" t="s">
        <v>25853</v>
      </c>
      <c r="G1535" t="s">
        <v>74</v>
      </c>
      <c r="H1535" t="s">
        <v>74</v>
      </c>
      <c r="I1535" t="s">
        <v>25854</v>
      </c>
      <c r="J1535" t="s">
        <v>3687</v>
      </c>
      <c r="K1535" t="s">
        <v>74</v>
      </c>
      <c r="L1535" t="s">
        <v>74</v>
      </c>
      <c r="M1535" t="s">
        <v>78</v>
      </c>
      <c r="N1535" t="s">
        <v>108</v>
      </c>
      <c r="O1535" t="s">
        <v>74</v>
      </c>
      <c r="P1535" t="s">
        <v>74</v>
      </c>
      <c r="Q1535" t="s">
        <v>74</v>
      </c>
      <c r="R1535" t="s">
        <v>74</v>
      </c>
      <c r="S1535" t="s">
        <v>74</v>
      </c>
      <c r="T1535" t="s">
        <v>74</v>
      </c>
      <c r="U1535" t="s">
        <v>25855</v>
      </c>
      <c r="V1535" t="s">
        <v>25856</v>
      </c>
      <c r="W1535" t="s">
        <v>25857</v>
      </c>
      <c r="X1535" t="s">
        <v>25858</v>
      </c>
      <c r="Y1535" t="s">
        <v>25859</v>
      </c>
      <c r="Z1535" t="s">
        <v>25860</v>
      </c>
      <c r="AA1535" t="s">
        <v>25861</v>
      </c>
      <c r="AB1535" t="s">
        <v>25862</v>
      </c>
      <c r="AC1535" t="s">
        <v>74</v>
      </c>
      <c r="AD1535" t="s">
        <v>74</v>
      </c>
      <c r="AE1535" t="s">
        <v>74</v>
      </c>
      <c r="AF1535" t="s">
        <v>74</v>
      </c>
      <c r="AG1535">
        <v>37</v>
      </c>
      <c r="AH1535">
        <v>3</v>
      </c>
      <c r="AI1535">
        <v>3</v>
      </c>
      <c r="AJ1535">
        <v>1</v>
      </c>
      <c r="AK1535">
        <v>13</v>
      </c>
      <c r="AL1535" t="s">
        <v>88</v>
      </c>
      <c r="AM1535" t="s">
        <v>89</v>
      </c>
      <c r="AN1535" t="s">
        <v>90</v>
      </c>
      <c r="AO1535" t="s">
        <v>3695</v>
      </c>
      <c r="AP1535" t="s">
        <v>3696</v>
      </c>
      <c r="AQ1535" t="s">
        <v>74</v>
      </c>
      <c r="AR1535" t="s">
        <v>3697</v>
      </c>
      <c r="AS1535" t="s">
        <v>3698</v>
      </c>
      <c r="AT1535" t="s">
        <v>498</v>
      </c>
      <c r="AU1535">
        <v>2024</v>
      </c>
      <c r="AV1535">
        <v>39</v>
      </c>
      <c r="AW1535">
        <v>8</v>
      </c>
      <c r="AX1535" t="s">
        <v>74</v>
      </c>
      <c r="AY1535" t="s">
        <v>74</v>
      </c>
      <c r="AZ1535" t="s">
        <v>74</v>
      </c>
      <c r="BA1535" t="s">
        <v>74</v>
      </c>
      <c r="BB1535">
        <v>1594</v>
      </c>
      <c r="BC1535">
        <v>1605</v>
      </c>
      <c r="BD1535" t="s">
        <v>74</v>
      </c>
      <c r="BE1535" t="s">
        <v>25863</v>
      </c>
      <c r="BF1535" t="str">
        <f>HYPERLINK("http://dx.doi.org/10.1080/10410236.2023.2227431","http://dx.doi.org/10.1080/10410236.2023.2227431")</f>
        <v>http://dx.doi.org/10.1080/10410236.2023.2227431</v>
      </c>
      <c r="BG1535" t="s">
        <v>74</v>
      </c>
      <c r="BH1535" t="s">
        <v>1954</v>
      </c>
      <c r="BI1535">
        <v>12</v>
      </c>
      <c r="BJ1535" t="s">
        <v>3701</v>
      </c>
      <c r="BK1535" t="s">
        <v>99</v>
      </c>
      <c r="BL1535" t="s">
        <v>3702</v>
      </c>
      <c r="BM1535" t="s">
        <v>25864</v>
      </c>
      <c r="BN1535">
        <v>37345468</v>
      </c>
      <c r="BO1535" t="s">
        <v>74</v>
      </c>
      <c r="BP1535" t="s">
        <v>74</v>
      </c>
      <c r="BQ1535" t="s">
        <v>74</v>
      </c>
      <c r="BR1535" t="s">
        <v>102</v>
      </c>
      <c r="BS1535" t="s">
        <v>25865</v>
      </c>
      <c r="BT1535" t="str">
        <f>HYPERLINK("https%3A%2F%2Fwww.webofscience.com%2Fwos%2Fwoscc%2Ffull-record%2FWOS:001011938400001","View Full Record in Web of Science")</f>
        <v>View Full Record in Web of Science</v>
      </c>
    </row>
    <row r="1536" spans="1:72" x14ac:dyDescent="0.35">
      <c r="A1536" t="s">
        <v>72</v>
      </c>
      <c r="B1536" t="s">
        <v>25866</v>
      </c>
      <c r="C1536" t="s">
        <v>74</v>
      </c>
      <c r="D1536" t="s">
        <v>74</v>
      </c>
      <c r="E1536" t="s">
        <v>74</v>
      </c>
      <c r="F1536" t="s">
        <v>25867</v>
      </c>
      <c r="G1536" t="s">
        <v>74</v>
      </c>
      <c r="H1536" t="s">
        <v>74</v>
      </c>
      <c r="I1536" t="s">
        <v>25868</v>
      </c>
      <c r="J1536" t="s">
        <v>373</v>
      </c>
      <c r="K1536" t="s">
        <v>74</v>
      </c>
      <c r="L1536" t="s">
        <v>74</v>
      </c>
      <c r="M1536" t="s">
        <v>78</v>
      </c>
      <c r="N1536" t="s">
        <v>108</v>
      </c>
      <c r="O1536" t="s">
        <v>74</v>
      </c>
      <c r="P1536" t="s">
        <v>74</v>
      </c>
      <c r="Q1536" t="s">
        <v>74</v>
      </c>
      <c r="R1536" t="s">
        <v>74</v>
      </c>
      <c r="S1536" t="s">
        <v>74</v>
      </c>
      <c r="T1536" t="s">
        <v>25869</v>
      </c>
      <c r="U1536" t="s">
        <v>74</v>
      </c>
      <c r="V1536" t="s">
        <v>25870</v>
      </c>
      <c r="W1536" t="s">
        <v>25871</v>
      </c>
      <c r="X1536" t="s">
        <v>25872</v>
      </c>
      <c r="Y1536" t="s">
        <v>25873</v>
      </c>
      <c r="Z1536" t="s">
        <v>25874</v>
      </c>
      <c r="AA1536" t="s">
        <v>25875</v>
      </c>
      <c r="AB1536" t="s">
        <v>25876</v>
      </c>
      <c r="AC1536" t="s">
        <v>74</v>
      </c>
      <c r="AD1536" t="s">
        <v>74</v>
      </c>
      <c r="AE1536" t="s">
        <v>74</v>
      </c>
      <c r="AF1536" t="s">
        <v>74</v>
      </c>
      <c r="AG1536">
        <v>73</v>
      </c>
      <c r="AH1536">
        <v>0</v>
      </c>
      <c r="AI1536">
        <v>0</v>
      </c>
      <c r="AJ1536">
        <v>2</v>
      </c>
      <c r="AK1536">
        <v>3</v>
      </c>
      <c r="AL1536" t="s">
        <v>384</v>
      </c>
      <c r="AM1536" t="s">
        <v>385</v>
      </c>
      <c r="AN1536" t="s">
        <v>386</v>
      </c>
      <c r="AO1536" t="s">
        <v>74</v>
      </c>
      <c r="AP1536" t="s">
        <v>387</v>
      </c>
      <c r="AQ1536" t="s">
        <v>74</v>
      </c>
      <c r="AR1536" t="s">
        <v>388</v>
      </c>
      <c r="AS1536" t="s">
        <v>389</v>
      </c>
      <c r="AT1536" t="s">
        <v>12973</v>
      </c>
      <c r="AU1536">
        <v>2024</v>
      </c>
      <c r="AV1536">
        <v>12</v>
      </c>
      <c r="AW1536" t="s">
        <v>74</v>
      </c>
      <c r="AX1536" t="s">
        <v>74</v>
      </c>
      <c r="AY1536" t="s">
        <v>74</v>
      </c>
      <c r="AZ1536" t="s">
        <v>74</v>
      </c>
      <c r="BA1536" t="s">
        <v>74</v>
      </c>
      <c r="BB1536" t="s">
        <v>74</v>
      </c>
      <c r="BC1536" t="s">
        <v>74</v>
      </c>
      <c r="BD1536">
        <v>1378412</v>
      </c>
      <c r="BE1536" t="s">
        <v>25877</v>
      </c>
      <c r="BF1536" t="str">
        <f>HYPERLINK("http://dx.doi.org/10.3389/fpubh.2024.1378412","http://dx.doi.org/10.3389/fpubh.2024.1378412")</f>
        <v>http://dx.doi.org/10.3389/fpubh.2024.1378412</v>
      </c>
      <c r="BG1536" t="s">
        <v>74</v>
      </c>
      <c r="BH1536" t="s">
        <v>74</v>
      </c>
      <c r="BI1536">
        <v>6</v>
      </c>
      <c r="BJ1536" t="s">
        <v>392</v>
      </c>
      <c r="BK1536" t="s">
        <v>182</v>
      </c>
      <c r="BL1536" t="s">
        <v>392</v>
      </c>
      <c r="BM1536" t="s">
        <v>25878</v>
      </c>
      <c r="BN1536">
        <v>38651120</v>
      </c>
      <c r="BO1536" t="s">
        <v>394</v>
      </c>
      <c r="BP1536" t="s">
        <v>74</v>
      </c>
      <c r="BQ1536" t="s">
        <v>74</v>
      </c>
      <c r="BR1536" t="s">
        <v>102</v>
      </c>
      <c r="BS1536" t="s">
        <v>25879</v>
      </c>
      <c r="BT1536" t="str">
        <f>HYPERLINK("https%3A%2F%2Fwww.webofscience.com%2Fwos%2Fwoscc%2Ffull-record%2FWOS:001206667400001","View Full Record in Web of Science")</f>
        <v>View Full Record in Web of Science</v>
      </c>
    </row>
    <row r="1537" spans="1:72" x14ac:dyDescent="0.35">
      <c r="A1537" t="s">
        <v>72</v>
      </c>
      <c r="B1537" t="s">
        <v>25880</v>
      </c>
      <c r="C1537" t="s">
        <v>74</v>
      </c>
      <c r="D1537" t="s">
        <v>74</v>
      </c>
      <c r="E1537" t="s">
        <v>74</v>
      </c>
      <c r="F1537" t="s">
        <v>25881</v>
      </c>
      <c r="G1537" t="s">
        <v>74</v>
      </c>
      <c r="H1537" t="s">
        <v>74</v>
      </c>
      <c r="I1537" t="s">
        <v>25882</v>
      </c>
      <c r="J1537" t="s">
        <v>25883</v>
      </c>
      <c r="K1537" t="s">
        <v>74</v>
      </c>
      <c r="L1537" t="s">
        <v>74</v>
      </c>
      <c r="M1537" t="s">
        <v>78</v>
      </c>
      <c r="N1537" t="s">
        <v>108</v>
      </c>
      <c r="O1537" t="s">
        <v>74</v>
      </c>
      <c r="P1537" t="s">
        <v>74</v>
      </c>
      <c r="Q1537" t="s">
        <v>74</v>
      </c>
      <c r="R1537" t="s">
        <v>74</v>
      </c>
      <c r="S1537" t="s">
        <v>74</v>
      </c>
      <c r="T1537" t="s">
        <v>25884</v>
      </c>
      <c r="U1537" t="s">
        <v>25885</v>
      </c>
      <c r="V1537" t="s">
        <v>25886</v>
      </c>
      <c r="W1537" t="s">
        <v>25887</v>
      </c>
      <c r="X1537" t="s">
        <v>25888</v>
      </c>
      <c r="Y1537" t="s">
        <v>25889</v>
      </c>
      <c r="Z1537" t="s">
        <v>25890</v>
      </c>
      <c r="AA1537" t="s">
        <v>25891</v>
      </c>
      <c r="AB1537" t="s">
        <v>25892</v>
      </c>
      <c r="AC1537" t="s">
        <v>74</v>
      </c>
      <c r="AD1537" t="s">
        <v>74</v>
      </c>
      <c r="AE1537" t="s">
        <v>74</v>
      </c>
      <c r="AF1537" t="s">
        <v>74</v>
      </c>
      <c r="AG1537">
        <v>20</v>
      </c>
      <c r="AH1537">
        <v>0</v>
      </c>
      <c r="AI1537">
        <v>0</v>
      </c>
      <c r="AJ1537">
        <v>1</v>
      </c>
      <c r="AK1537">
        <v>1</v>
      </c>
      <c r="AL1537" t="s">
        <v>516</v>
      </c>
      <c r="AM1537" t="s">
        <v>25893</v>
      </c>
      <c r="AN1537" t="s">
        <v>25894</v>
      </c>
      <c r="AO1537" t="s">
        <v>25895</v>
      </c>
      <c r="AP1537" t="s">
        <v>25896</v>
      </c>
      <c r="AQ1537" t="s">
        <v>74</v>
      </c>
      <c r="AR1537" t="s">
        <v>25897</v>
      </c>
      <c r="AS1537" t="s">
        <v>25898</v>
      </c>
      <c r="AT1537" t="s">
        <v>455</v>
      </c>
      <c r="AU1537">
        <v>2024</v>
      </c>
      <c r="AV1537">
        <v>69</v>
      </c>
      <c r="AW1537">
        <v>5</v>
      </c>
      <c r="AX1537" t="s">
        <v>74</v>
      </c>
      <c r="AY1537" t="s">
        <v>74</v>
      </c>
      <c r="AZ1537" t="s">
        <v>74</v>
      </c>
      <c r="BA1537" t="s">
        <v>74</v>
      </c>
      <c r="BB1537">
        <v>442</v>
      </c>
      <c r="BC1537">
        <v>448</v>
      </c>
      <c r="BD1537" t="s">
        <v>74</v>
      </c>
      <c r="BE1537" t="s">
        <v>25899</v>
      </c>
      <c r="BF1537" t="str">
        <f>HYPERLINK("http://dx.doi.org/10.1016/j.anplas.2024.05.006","http://dx.doi.org/10.1016/j.anplas.2024.05.006")</f>
        <v>http://dx.doi.org/10.1016/j.anplas.2024.05.006</v>
      </c>
      <c r="BG1537" t="s">
        <v>74</v>
      </c>
      <c r="BH1537" t="s">
        <v>2444</v>
      </c>
      <c r="BI1537">
        <v>7</v>
      </c>
      <c r="BJ1537" t="s">
        <v>4994</v>
      </c>
      <c r="BK1537" t="s">
        <v>209</v>
      </c>
      <c r="BL1537" t="s">
        <v>4994</v>
      </c>
      <c r="BM1537" t="s">
        <v>25900</v>
      </c>
      <c r="BN1537">
        <v>39030126</v>
      </c>
      <c r="BO1537" t="s">
        <v>74</v>
      </c>
      <c r="BP1537" t="s">
        <v>74</v>
      </c>
      <c r="BQ1537" t="s">
        <v>74</v>
      </c>
      <c r="BR1537" t="s">
        <v>102</v>
      </c>
      <c r="BS1537" t="s">
        <v>25901</v>
      </c>
      <c r="BT1537" t="str">
        <f>HYPERLINK("https%3A%2F%2Fwww.webofscience.com%2Fwos%2Fwoscc%2Ffull-record%2FWOS:001303133700001","View Full Record in Web of Science")</f>
        <v>View Full Record in Web of Science</v>
      </c>
    </row>
    <row r="1538" spans="1:72" x14ac:dyDescent="0.35">
      <c r="A1538" t="s">
        <v>72</v>
      </c>
      <c r="B1538" t="s">
        <v>25902</v>
      </c>
      <c r="C1538" t="s">
        <v>74</v>
      </c>
      <c r="D1538" t="s">
        <v>74</v>
      </c>
      <c r="E1538" t="s">
        <v>74</v>
      </c>
      <c r="F1538" t="s">
        <v>25903</v>
      </c>
      <c r="G1538" t="s">
        <v>74</v>
      </c>
      <c r="H1538" t="s">
        <v>74</v>
      </c>
      <c r="I1538" t="s">
        <v>25904</v>
      </c>
      <c r="J1538" t="s">
        <v>1282</v>
      </c>
      <c r="K1538" t="s">
        <v>74</v>
      </c>
      <c r="L1538" t="s">
        <v>74</v>
      </c>
      <c r="M1538" t="s">
        <v>78</v>
      </c>
      <c r="N1538" t="s">
        <v>108</v>
      </c>
      <c r="O1538" t="s">
        <v>74</v>
      </c>
      <c r="P1538" t="s">
        <v>74</v>
      </c>
      <c r="Q1538" t="s">
        <v>74</v>
      </c>
      <c r="R1538" t="s">
        <v>74</v>
      </c>
      <c r="S1538" t="s">
        <v>74</v>
      </c>
      <c r="T1538" t="s">
        <v>25905</v>
      </c>
      <c r="U1538" t="s">
        <v>25906</v>
      </c>
      <c r="V1538" t="s">
        <v>25907</v>
      </c>
      <c r="W1538" t="s">
        <v>25908</v>
      </c>
      <c r="X1538" t="s">
        <v>13381</v>
      </c>
      <c r="Y1538" t="s">
        <v>25909</v>
      </c>
      <c r="Z1538" t="s">
        <v>25910</v>
      </c>
      <c r="AA1538" t="s">
        <v>25911</v>
      </c>
      <c r="AB1538" t="s">
        <v>25912</v>
      </c>
      <c r="AC1538" t="s">
        <v>74</v>
      </c>
      <c r="AD1538" t="s">
        <v>74</v>
      </c>
      <c r="AE1538" t="s">
        <v>74</v>
      </c>
      <c r="AF1538" t="s">
        <v>74</v>
      </c>
      <c r="AG1538">
        <v>188</v>
      </c>
      <c r="AH1538">
        <v>2</v>
      </c>
      <c r="AI1538">
        <v>2</v>
      </c>
      <c r="AJ1538">
        <v>7</v>
      </c>
      <c r="AK1538">
        <v>22</v>
      </c>
      <c r="AL1538" t="s">
        <v>1294</v>
      </c>
      <c r="AM1538" t="s">
        <v>1062</v>
      </c>
      <c r="AN1538" t="s">
        <v>1295</v>
      </c>
      <c r="AO1538" t="s">
        <v>74</v>
      </c>
      <c r="AP1538" t="s">
        <v>1296</v>
      </c>
      <c r="AQ1538" t="s">
        <v>74</v>
      </c>
      <c r="AR1538" t="s">
        <v>1282</v>
      </c>
      <c r="AS1538" t="s">
        <v>1297</v>
      </c>
      <c r="AT1538" t="s">
        <v>273</v>
      </c>
      <c r="AU1538">
        <v>2023</v>
      </c>
      <c r="AV1538">
        <v>9</v>
      </c>
      <c r="AW1538">
        <v>7</v>
      </c>
      <c r="AX1538" t="s">
        <v>74</v>
      </c>
      <c r="AY1538" t="s">
        <v>74</v>
      </c>
      <c r="AZ1538" t="s">
        <v>74</v>
      </c>
      <c r="BA1538" t="s">
        <v>74</v>
      </c>
      <c r="BB1538" t="s">
        <v>74</v>
      </c>
      <c r="BC1538" t="s">
        <v>74</v>
      </c>
      <c r="BD1538" t="s">
        <v>25913</v>
      </c>
      <c r="BE1538" t="s">
        <v>25914</v>
      </c>
      <c r="BF1538" t="str">
        <f>HYPERLINK("http://dx.doi.org/10.1016/j.heliyon.2023.e17195","http://dx.doi.org/10.1016/j.heliyon.2023.e17195")</f>
        <v>http://dx.doi.org/10.1016/j.heliyon.2023.e17195</v>
      </c>
      <c r="BG1538" t="s">
        <v>74</v>
      </c>
      <c r="BH1538" t="s">
        <v>1954</v>
      </c>
      <c r="BI1538">
        <v>20</v>
      </c>
      <c r="BJ1538" t="s">
        <v>1301</v>
      </c>
      <c r="BK1538" t="s">
        <v>209</v>
      </c>
      <c r="BL1538" t="s">
        <v>1302</v>
      </c>
      <c r="BM1538" t="s">
        <v>25915</v>
      </c>
      <c r="BN1538">
        <v>37449111</v>
      </c>
      <c r="BO1538" t="s">
        <v>394</v>
      </c>
      <c r="BP1538" t="s">
        <v>74</v>
      </c>
      <c r="BQ1538" t="s">
        <v>74</v>
      </c>
      <c r="BR1538" t="s">
        <v>102</v>
      </c>
      <c r="BS1538" t="s">
        <v>25916</v>
      </c>
      <c r="BT1538" t="str">
        <f>HYPERLINK("https%3A%2F%2Fwww.webofscience.com%2Fwos%2Fwoscc%2Ffull-record%2FWOS:001055703000001","View Full Record in Web of Science")</f>
        <v>View Full Record in Web of Science</v>
      </c>
    </row>
    <row r="1539" spans="1:72" x14ac:dyDescent="0.35">
      <c r="A1539" t="s">
        <v>72</v>
      </c>
      <c r="B1539" t="s">
        <v>25917</v>
      </c>
      <c r="C1539" t="s">
        <v>74</v>
      </c>
      <c r="D1539" t="s">
        <v>74</v>
      </c>
      <c r="E1539" t="s">
        <v>74</v>
      </c>
      <c r="F1539" t="s">
        <v>25918</v>
      </c>
      <c r="G1539" t="s">
        <v>74</v>
      </c>
      <c r="H1539" t="s">
        <v>74</v>
      </c>
      <c r="I1539" t="s">
        <v>25919</v>
      </c>
      <c r="J1539" t="s">
        <v>280</v>
      </c>
      <c r="K1539" t="s">
        <v>74</v>
      </c>
      <c r="L1539" t="s">
        <v>74</v>
      </c>
      <c r="M1539" t="s">
        <v>78</v>
      </c>
      <c r="N1539" t="s">
        <v>108</v>
      </c>
      <c r="O1539" t="s">
        <v>74</v>
      </c>
      <c r="P1539" t="s">
        <v>74</v>
      </c>
      <c r="Q1539" t="s">
        <v>74</v>
      </c>
      <c r="R1539" t="s">
        <v>74</v>
      </c>
      <c r="S1539" t="s">
        <v>74</v>
      </c>
      <c r="T1539" t="s">
        <v>25920</v>
      </c>
      <c r="U1539" t="s">
        <v>25921</v>
      </c>
      <c r="V1539" t="s">
        <v>25922</v>
      </c>
      <c r="W1539" t="s">
        <v>25923</v>
      </c>
      <c r="X1539" t="s">
        <v>25924</v>
      </c>
      <c r="Y1539" t="s">
        <v>25925</v>
      </c>
      <c r="Z1539" t="s">
        <v>25926</v>
      </c>
      <c r="AA1539" t="s">
        <v>25927</v>
      </c>
      <c r="AB1539" t="s">
        <v>25928</v>
      </c>
      <c r="AC1539" t="s">
        <v>74</v>
      </c>
      <c r="AD1539" t="s">
        <v>74</v>
      </c>
      <c r="AE1539" t="s">
        <v>74</v>
      </c>
      <c r="AF1539" t="s">
        <v>74</v>
      </c>
      <c r="AG1539">
        <v>47</v>
      </c>
      <c r="AH1539">
        <v>2</v>
      </c>
      <c r="AI1539">
        <v>2</v>
      </c>
      <c r="AJ1539">
        <v>133</v>
      </c>
      <c r="AK1539">
        <v>218</v>
      </c>
      <c r="AL1539" t="s">
        <v>290</v>
      </c>
      <c r="AM1539" t="s">
        <v>291</v>
      </c>
      <c r="AN1539" t="s">
        <v>292</v>
      </c>
      <c r="AO1539" t="s">
        <v>293</v>
      </c>
      <c r="AP1539" t="s">
        <v>294</v>
      </c>
      <c r="AQ1539" t="s">
        <v>74</v>
      </c>
      <c r="AR1539" t="s">
        <v>295</v>
      </c>
      <c r="AS1539" t="s">
        <v>296</v>
      </c>
      <c r="AT1539" t="s">
        <v>178</v>
      </c>
      <c r="AU1539">
        <v>2024</v>
      </c>
      <c r="AV1539">
        <v>151</v>
      </c>
      <c r="AW1539" t="s">
        <v>74</v>
      </c>
      <c r="AX1539" t="s">
        <v>74</v>
      </c>
      <c r="AY1539" t="s">
        <v>74</v>
      </c>
      <c r="AZ1539" t="s">
        <v>74</v>
      </c>
      <c r="BA1539" t="s">
        <v>74</v>
      </c>
      <c r="BB1539" t="s">
        <v>74</v>
      </c>
      <c r="BC1539" t="s">
        <v>74</v>
      </c>
      <c r="BD1539">
        <v>108009</v>
      </c>
      <c r="BE1539" t="s">
        <v>25929</v>
      </c>
      <c r="BF1539" t="str">
        <f>HYPERLINK("http://dx.doi.org/10.1016/j.chb.2023.108009","http://dx.doi.org/10.1016/j.chb.2023.108009")</f>
        <v>http://dx.doi.org/10.1016/j.chb.2023.108009</v>
      </c>
      <c r="BG1539" t="s">
        <v>74</v>
      </c>
      <c r="BH1539" t="s">
        <v>674</v>
      </c>
      <c r="BI1539">
        <v>10</v>
      </c>
      <c r="BJ1539" t="s">
        <v>300</v>
      </c>
      <c r="BK1539" t="s">
        <v>99</v>
      </c>
      <c r="BL1539" t="s">
        <v>301</v>
      </c>
      <c r="BM1539" t="s">
        <v>25930</v>
      </c>
      <c r="BN1539" t="s">
        <v>74</v>
      </c>
      <c r="BO1539" t="s">
        <v>74</v>
      </c>
      <c r="BP1539" t="s">
        <v>74</v>
      </c>
      <c r="BQ1539" t="s">
        <v>74</v>
      </c>
      <c r="BR1539" t="s">
        <v>102</v>
      </c>
      <c r="BS1539" t="s">
        <v>25931</v>
      </c>
      <c r="BT1539" t="str">
        <f>HYPERLINK("https%3A%2F%2Fwww.webofscience.com%2Fwos%2Fwoscc%2Ffull-record%2FWOS:001114848400001","View Full Record in Web of Science")</f>
        <v>View Full Record in Web of Science</v>
      </c>
    </row>
    <row r="1540" spans="1:72" x14ac:dyDescent="0.35">
      <c r="A1540" t="s">
        <v>72</v>
      </c>
      <c r="B1540" t="s">
        <v>25932</v>
      </c>
      <c r="C1540" t="s">
        <v>74</v>
      </c>
      <c r="D1540" t="s">
        <v>74</v>
      </c>
      <c r="E1540" t="s">
        <v>74</v>
      </c>
      <c r="F1540" t="s">
        <v>25933</v>
      </c>
      <c r="G1540" t="s">
        <v>74</v>
      </c>
      <c r="H1540" t="s">
        <v>74</v>
      </c>
      <c r="I1540" t="s">
        <v>25934</v>
      </c>
      <c r="J1540" t="s">
        <v>14123</v>
      </c>
      <c r="K1540" t="s">
        <v>74</v>
      </c>
      <c r="L1540" t="s">
        <v>74</v>
      </c>
      <c r="M1540" t="s">
        <v>78</v>
      </c>
      <c r="N1540" t="s">
        <v>108</v>
      </c>
      <c r="O1540" t="s">
        <v>74</v>
      </c>
      <c r="P1540" t="s">
        <v>74</v>
      </c>
      <c r="Q1540" t="s">
        <v>74</v>
      </c>
      <c r="R1540" t="s">
        <v>74</v>
      </c>
      <c r="S1540" t="s">
        <v>74</v>
      </c>
      <c r="T1540" t="s">
        <v>25935</v>
      </c>
      <c r="U1540" t="s">
        <v>25936</v>
      </c>
      <c r="V1540" t="s">
        <v>25937</v>
      </c>
      <c r="W1540" t="s">
        <v>25938</v>
      </c>
      <c r="X1540" t="s">
        <v>25939</v>
      </c>
      <c r="Y1540" t="s">
        <v>25940</v>
      </c>
      <c r="Z1540" t="s">
        <v>25941</v>
      </c>
      <c r="AA1540" t="s">
        <v>74</v>
      </c>
      <c r="AB1540" t="s">
        <v>74</v>
      </c>
      <c r="AC1540" t="s">
        <v>25942</v>
      </c>
      <c r="AD1540" t="s">
        <v>25943</v>
      </c>
      <c r="AE1540" t="s">
        <v>25944</v>
      </c>
      <c r="AF1540" t="s">
        <v>74</v>
      </c>
      <c r="AG1540">
        <v>31</v>
      </c>
      <c r="AH1540">
        <v>0</v>
      </c>
      <c r="AI1540">
        <v>0</v>
      </c>
      <c r="AJ1540">
        <v>5</v>
      </c>
      <c r="AK1540">
        <v>19</v>
      </c>
      <c r="AL1540" t="s">
        <v>14132</v>
      </c>
      <c r="AM1540" t="s">
        <v>14133</v>
      </c>
      <c r="AN1540" t="s">
        <v>14134</v>
      </c>
      <c r="AO1540" t="s">
        <v>14135</v>
      </c>
      <c r="AP1540" t="s">
        <v>74</v>
      </c>
      <c r="AQ1540" t="s">
        <v>74</v>
      </c>
      <c r="AR1540" t="s">
        <v>14136</v>
      </c>
      <c r="AS1540" t="s">
        <v>14137</v>
      </c>
      <c r="AT1540" t="s">
        <v>74</v>
      </c>
      <c r="AU1540">
        <v>2023</v>
      </c>
      <c r="AV1540">
        <v>36</v>
      </c>
      <c r="AW1540">
        <v>2</v>
      </c>
      <c r="AX1540" t="s">
        <v>74</v>
      </c>
      <c r="AY1540" t="s">
        <v>74</v>
      </c>
      <c r="AZ1540" t="s">
        <v>456</v>
      </c>
      <c r="BA1540" t="s">
        <v>74</v>
      </c>
      <c r="BB1540">
        <v>97</v>
      </c>
      <c r="BC1540">
        <v>113</v>
      </c>
      <c r="BD1540" t="s">
        <v>74</v>
      </c>
      <c r="BE1540" t="s">
        <v>25945</v>
      </c>
      <c r="BF1540" t="str">
        <f>HYPERLINK("http://dx.doi.org/10.15581/003.36.2.97-113","http://dx.doi.org/10.15581/003.36.2.97-113")</f>
        <v>http://dx.doi.org/10.15581/003.36.2.97-113</v>
      </c>
      <c r="BG1540" t="s">
        <v>74</v>
      </c>
      <c r="BH1540" t="s">
        <v>74</v>
      </c>
      <c r="BI1540">
        <v>17</v>
      </c>
      <c r="BJ1540" t="s">
        <v>124</v>
      </c>
      <c r="BK1540" t="s">
        <v>125</v>
      </c>
      <c r="BL1540" t="s">
        <v>124</v>
      </c>
      <c r="BM1540" t="s">
        <v>25946</v>
      </c>
      <c r="BN1540" t="s">
        <v>74</v>
      </c>
      <c r="BO1540" t="s">
        <v>235</v>
      </c>
      <c r="BP1540" t="s">
        <v>74</v>
      </c>
      <c r="BQ1540" t="s">
        <v>74</v>
      </c>
      <c r="BR1540" t="s">
        <v>102</v>
      </c>
      <c r="BS1540" t="s">
        <v>25947</v>
      </c>
      <c r="BT1540" t="str">
        <f>HYPERLINK("https%3A%2F%2Fwww.webofscience.com%2Fwos%2Fwoscc%2Ffull-record%2FWOS:001089511800007","View Full Record in Web of Science")</f>
        <v>View Full Record in Web of Science</v>
      </c>
    </row>
    <row r="1541" spans="1:72" x14ac:dyDescent="0.35">
      <c r="A1541" t="s">
        <v>72</v>
      </c>
      <c r="B1541" t="s">
        <v>25948</v>
      </c>
      <c r="C1541" t="s">
        <v>74</v>
      </c>
      <c r="D1541" t="s">
        <v>74</v>
      </c>
      <c r="E1541" t="s">
        <v>74</v>
      </c>
      <c r="F1541" t="s">
        <v>25949</v>
      </c>
      <c r="G1541" t="s">
        <v>74</v>
      </c>
      <c r="H1541" t="s">
        <v>74</v>
      </c>
      <c r="I1541" t="s">
        <v>25950</v>
      </c>
      <c r="J1541" t="s">
        <v>25951</v>
      </c>
      <c r="K1541" t="s">
        <v>74</v>
      </c>
      <c r="L1541" t="s">
        <v>74</v>
      </c>
      <c r="M1541" t="s">
        <v>78</v>
      </c>
      <c r="N1541" t="s">
        <v>108</v>
      </c>
      <c r="O1541" t="s">
        <v>74</v>
      </c>
      <c r="P1541" t="s">
        <v>74</v>
      </c>
      <c r="Q1541" t="s">
        <v>74</v>
      </c>
      <c r="R1541" t="s">
        <v>74</v>
      </c>
      <c r="S1541" t="s">
        <v>74</v>
      </c>
      <c r="T1541" t="s">
        <v>25952</v>
      </c>
      <c r="U1541" t="s">
        <v>25953</v>
      </c>
      <c r="V1541" t="s">
        <v>25954</v>
      </c>
      <c r="W1541" t="s">
        <v>25955</v>
      </c>
      <c r="X1541" t="s">
        <v>25956</v>
      </c>
      <c r="Y1541" t="s">
        <v>25957</v>
      </c>
      <c r="Z1541" t="s">
        <v>25958</v>
      </c>
      <c r="AA1541" t="s">
        <v>74</v>
      </c>
      <c r="AB1541" t="s">
        <v>74</v>
      </c>
      <c r="AC1541" t="s">
        <v>25959</v>
      </c>
      <c r="AD1541" t="s">
        <v>25960</v>
      </c>
      <c r="AE1541" t="s">
        <v>25961</v>
      </c>
      <c r="AF1541" t="s">
        <v>74</v>
      </c>
      <c r="AG1541">
        <v>27</v>
      </c>
      <c r="AH1541">
        <v>0</v>
      </c>
      <c r="AI1541">
        <v>0</v>
      </c>
      <c r="AJ1541">
        <v>6</v>
      </c>
      <c r="AK1541">
        <v>6</v>
      </c>
      <c r="AL1541" t="s">
        <v>25962</v>
      </c>
      <c r="AM1541" t="s">
        <v>25963</v>
      </c>
      <c r="AN1541" t="s">
        <v>25964</v>
      </c>
      <c r="AO1541" t="s">
        <v>25965</v>
      </c>
      <c r="AP1541" t="s">
        <v>74</v>
      </c>
      <c r="AQ1541" t="s">
        <v>74</v>
      </c>
      <c r="AR1541" t="s">
        <v>25966</v>
      </c>
      <c r="AS1541" t="s">
        <v>25967</v>
      </c>
      <c r="AT1541" t="s">
        <v>25968</v>
      </c>
      <c r="AU1541">
        <v>2024</v>
      </c>
      <c r="AV1541">
        <v>14</v>
      </c>
      <c r="AW1541">
        <v>7</v>
      </c>
      <c r="AX1541" t="s">
        <v>74</v>
      </c>
      <c r="AY1541" t="s">
        <v>74</v>
      </c>
      <c r="AZ1541" t="s">
        <v>74</v>
      </c>
      <c r="BA1541" t="s">
        <v>74</v>
      </c>
      <c r="BB1541" t="s">
        <v>74</v>
      </c>
      <c r="BC1541" t="s">
        <v>74</v>
      </c>
      <c r="BD1541" t="s">
        <v>74</v>
      </c>
      <c r="BE1541" t="s">
        <v>25969</v>
      </c>
      <c r="BF1541" t="str">
        <f>HYPERLINK("http://dx.doi.org/10.5498/wjp.v14.i7.1068","http://dx.doi.org/10.5498/wjp.v14.i7.1068")</f>
        <v>http://dx.doi.org/10.5498/wjp.v14.i7.1068</v>
      </c>
      <c r="BG1541" t="s">
        <v>74</v>
      </c>
      <c r="BH1541" t="s">
        <v>74</v>
      </c>
      <c r="BI1541">
        <v>13</v>
      </c>
      <c r="BJ1541" t="s">
        <v>1847</v>
      </c>
      <c r="BK1541" t="s">
        <v>209</v>
      </c>
      <c r="BL1541" t="s">
        <v>1847</v>
      </c>
      <c r="BM1541" t="s">
        <v>25970</v>
      </c>
      <c r="BN1541">
        <v>39050196</v>
      </c>
      <c r="BO1541" t="s">
        <v>552</v>
      </c>
      <c r="BP1541" t="s">
        <v>74</v>
      </c>
      <c r="BQ1541" t="s">
        <v>74</v>
      </c>
      <c r="BR1541" t="s">
        <v>102</v>
      </c>
      <c r="BS1541" t="s">
        <v>25971</v>
      </c>
      <c r="BT1541" t="str">
        <f>HYPERLINK("https%3A%2F%2Fwww.webofscience.com%2Fwos%2Fwoscc%2Ffull-record%2FWOS:001273842600013","View Full Record in Web of Science")</f>
        <v>View Full Record in Web of Science</v>
      </c>
    </row>
    <row r="1542" spans="1:72" x14ac:dyDescent="0.35">
      <c r="A1542" t="s">
        <v>72</v>
      </c>
      <c r="B1542" t="s">
        <v>25972</v>
      </c>
      <c r="C1542" t="s">
        <v>74</v>
      </c>
      <c r="D1542" t="s">
        <v>74</v>
      </c>
      <c r="E1542" t="s">
        <v>74</v>
      </c>
      <c r="F1542" t="s">
        <v>25973</v>
      </c>
      <c r="G1542" t="s">
        <v>74</v>
      </c>
      <c r="H1542" t="s">
        <v>74</v>
      </c>
      <c r="I1542" t="s">
        <v>25974</v>
      </c>
      <c r="J1542" t="s">
        <v>25975</v>
      </c>
      <c r="K1542" t="s">
        <v>74</v>
      </c>
      <c r="L1542" t="s">
        <v>74</v>
      </c>
      <c r="M1542" t="s">
        <v>78</v>
      </c>
      <c r="N1542" t="s">
        <v>108</v>
      </c>
      <c r="O1542" t="s">
        <v>74</v>
      </c>
      <c r="P1542" t="s">
        <v>74</v>
      </c>
      <c r="Q1542" t="s">
        <v>74</v>
      </c>
      <c r="R1542" t="s">
        <v>74</v>
      </c>
      <c r="S1542" t="s">
        <v>74</v>
      </c>
      <c r="T1542" t="s">
        <v>25976</v>
      </c>
      <c r="U1542" t="s">
        <v>74</v>
      </c>
      <c r="V1542" t="s">
        <v>25977</v>
      </c>
      <c r="W1542" t="s">
        <v>25978</v>
      </c>
      <c r="X1542" t="s">
        <v>5567</v>
      </c>
      <c r="Y1542" t="s">
        <v>25979</v>
      </c>
      <c r="Z1542" t="s">
        <v>25980</v>
      </c>
      <c r="AA1542" t="s">
        <v>25981</v>
      </c>
      <c r="AB1542" t="s">
        <v>25982</v>
      </c>
      <c r="AC1542" t="s">
        <v>74</v>
      </c>
      <c r="AD1542" t="s">
        <v>74</v>
      </c>
      <c r="AE1542" t="s">
        <v>74</v>
      </c>
      <c r="AF1542" t="s">
        <v>74</v>
      </c>
      <c r="AG1542">
        <v>47</v>
      </c>
      <c r="AH1542">
        <v>1</v>
      </c>
      <c r="AI1542">
        <v>1</v>
      </c>
      <c r="AJ1542">
        <v>3</v>
      </c>
      <c r="AK1542">
        <v>10</v>
      </c>
      <c r="AL1542" t="s">
        <v>665</v>
      </c>
      <c r="AM1542" t="s">
        <v>666</v>
      </c>
      <c r="AN1542" t="s">
        <v>667</v>
      </c>
      <c r="AO1542" t="s">
        <v>25983</v>
      </c>
      <c r="AP1542" t="s">
        <v>25984</v>
      </c>
      <c r="AQ1542" t="s">
        <v>74</v>
      </c>
      <c r="AR1542" t="s">
        <v>25985</v>
      </c>
      <c r="AS1542" t="s">
        <v>25986</v>
      </c>
      <c r="AT1542" t="s">
        <v>455</v>
      </c>
      <c r="AU1542">
        <v>2023</v>
      </c>
      <c r="AV1542">
        <v>39</v>
      </c>
      <c r="AW1542">
        <v>3</v>
      </c>
      <c r="AX1542" t="s">
        <v>74</v>
      </c>
      <c r="AY1542" t="s">
        <v>74</v>
      </c>
      <c r="AZ1542" t="s">
        <v>74</v>
      </c>
      <c r="BA1542" t="s">
        <v>74</v>
      </c>
      <c r="BB1542">
        <v>234</v>
      </c>
      <c r="BC1542">
        <v>248</v>
      </c>
      <c r="BD1542" t="s">
        <v>74</v>
      </c>
      <c r="BE1542" t="s">
        <v>25987</v>
      </c>
      <c r="BF1542" t="str">
        <f>HYPERLINK("http://dx.doi.org/10.1007/s12109-023-09958-w","http://dx.doi.org/10.1007/s12109-023-09958-w")</f>
        <v>http://dx.doi.org/10.1007/s12109-023-09958-w</v>
      </c>
      <c r="BG1542" t="s">
        <v>74</v>
      </c>
      <c r="BH1542" t="s">
        <v>1180</v>
      </c>
      <c r="BI1542">
        <v>15</v>
      </c>
      <c r="BJ1542" t="s">
        <v>1162</v>
      </c>
      <c r="BK1542" t="s">
        <v>125</v>
      </c>
      <c r="BL1542" t="s">
        <v>1162</v>
      </c>
      <c r="BM1542" t="s">
        <v>25988</v>
      </c>
      <c r="BN1542" t="s">
        <v>74</v>
      </c>
      <c r="BO1542" t="s">
        <v>74</v>
      </c>
      <c r="BP1542" t="s">
        <v>74</v>
      </c>
      <c r="BQ1542" t="s">
        <v>74</v>
      </c>
      <c r="BR1542" t="s">
        <v>102</v>
      </c>
      <c r="BS1542" t="s">
        <v>25989</v>
      </c>
      <c r="BT1542" t="str">
        <f>HYPERLINK("https%3A%2F%2Fwww.webofscience.com%2Fwos%2Fwoscc%2Ffull-record%2FWOS:001028413100002","View Full Record in Web of Science")</f>
        <v>View Full Record in Web of Science</v>
      </c>
    </row>
    <row r="1543" spans="1:72" x14ac:dyDescent="0.35">
      <c r="A1543" t="s">
        <v>72</v>
      </c>
      <c r="B1543" t="s">
        <v>25990</v>
      </c>
      <c r="C1543" t="s">
        <v>74</v>
      </c>
      <c r="D1543" t="s">
        <v>74</v>
      </c>
      <c r="E1543" t="s">
        <v>74</v>
      </c>
      <c r="F1543" t="s">
        <v>25991</v>
      </c>
      <c r="G1543" t="s">
        <v>74</v>
      </c>
      <c r="H1543" t="s">
        <v>74</v>
      </c>
      <c r="I1543" t="s">
        <v>25992</v>
      </c>
      <c r="J1543" t="s">
        <v>25993</v>
      </c>
      <c r="K1543" t="s">
        <v>74</v>
      </c>
      <c r="L1543" t="s">
        <v>74</v>
      </c>
      <c r="M1543" t="s">
        <v>78</v>
      </c>
      <c r="N1543" t="s">
        <v>108</v>
      </c>
      <c r="O1543" t="s">
        <v>74</v>
      </c>
      <c r="P1543" t="s">
        <v>74</v>
      </c>
      <c r="Q1543" t="s">
        <v>74</v>
      </c>
      <c r="R1543" t="s">
        <v>74</v>
      </c>
      <c r="S1543" t="s">
        <v>74</v>
      </c>
      <c r="T1543" t="s">
        <v>25994</v>
      </c>
      <c r="U1543" t="s">
        <v>25995</v>
      </c>
      <c r="V1543" t="s">
        <v>25996</v>
      </c>
      <c r="W1543" t="s">
        <v>25997</v>
      </c>
      <c r="X1543" t="s">
        <v>25998</v>
      </c>
      <c r="Y1543" t="s">
        <v>25999</v>
      </c>
      <c r="Z1543" t="s">
        <v>26000</v>
      </c>
      <c r="AA1543" t="s">
        <v>74</v>
      </c>
      <c r="AB1543" t="s">
        <v>74</v>
      </c>
      <c r="AC1543" t="s">
        <v>74</v>
      </c>
      <c r="AD1543" t="s">
        <v>74</v>
      </c>
      <c r="AE1543" t="s">
        <v>74</v>
      </c>
      <c r="AF1543" t="s">
        <v>74</v>
      </c>
      <c r="AG1543">
        <v>56</v>
      </c>
      <c r="AH1543">
        <v>4</v>
      </c>
      <c r="AI1543">
        <v>4</v>
      </c>
      <c r="AJ1543">
        <v>1</v>
      </c>
      <c r="AK1543">
        <v>2</v>
      </c>
      <c r="AL1543" t="s">
        <v>665</v>
      </c>
      <c r="AM1543" t="s">
        <v>666</v>
      </c>
      <c r="AN1543" t="s">
        <v>667</v>
      </c>
      <c r="AO1543" t="s">
        <v>26001</v>
      </c>
      <c r="AP1543" t="s">
        <v>74</v>
      </c>
      <c r="AQ1543" t="s">
        <v>74</v>
      </c>
      <c r="AR1543" t="s">
        <v>26002</v>
      </c>
      <c r="AS1543" t="s">
        <v>26003</v>
      </c>
      <c r="AT1543" t="s">
        <v>273</v>
      </c>
      <c r="AU1543">
        <v>2024</v>
      </c>
      <c r="AV1543">
        <v>12</v>
      </c>
      <c r="AW1543">
        <v>7</v>
      </c>
      <c r="AX1543" t="s">
        <v>74</v>
      </c>
      <c r="AY1543" t="s">
        <v>74</v>
      </c>
      <c r="AZ1543" t="s">
        <v>74</v>
      </c>
      <c r="BA1543" t="s">
        <v>74</v>
      </c>
      <c r="BB1543">
        <v>205</v>
      </c>
      <c r="BC1543">
        <v>212</v>
      </c>
      <c r="BD1543" t="s">
        <v>74</v>
      </c>
      <c r="BE1543" t="s">
        <v>26004</v>
      </c>
      <c r="BF1543" t="str">
        <f>HYPERLINK("http://dx.doi.org/10.1007/s40137-023-00366-9","http://dx.doi.org/10.1007/s40137-023-00366-9")</f>
        <v>http://dx.doi.org/10.1007/s40137-023-00366-9</v>
      </c>
      <c r="BG1543" t="s">
        <v>74</v>
      </c>
      <c r="BH1543" t="s">
        <v>180</v>
      </c>
      <c r="BI1543">
        <v>8</v>
      </c>
      <c r="BJ1543" t="s">
        <v>4994</v>
      </c>
      <c r="BK1543" t="s">
        <v>125</v>
      </c>
      <c r="BL1543" t="s">
        <v>4994</v>
      </c>
      <c r="BM1543" t="s">
        <v>26005</v>
      </c>
      <c r="BN1543">
        <v>37361025</v>
      </c>
      <c r="BO1543" t="s">
        <v>3747</v>
      </c>
      <c r="BP1543" t="s">
        <v>74</v>
      </c>
      <c r="BQ1543" t="s">
        <v>74</v>
      </c>
      <c r="BR1543" t="s">
        <v>102</v>
      </c>
      <c r="BS1543" t="s">
        <v>26006</v>
      </c>
      <c r="BT1543" t="str">
        <f>HYPERLINK("https%3A%2F%2Fwww.webofscience.com%2Fwos%2Fwoscc%2Ffull-record%2FWOS:000991156800001","View Full Record in Web of Science")</f>
        <v>View Full Record in Web of Science</v>
      </c>
    </row>
    <row r="1544" spans="1:72" x14ac:dyDescent="0.35">
      <c r="A1544" t="s">
        <v>72</v>
      </c>
      <c r="B1544" t="s">
        <v>26007</v>
      </c>
      <c r="C1544" t="s">
        <v>74</v>
      </c>
      <c r="D1544" t="s">
        <v>74</v>
      </c>
      <c r="E1544" t="s">
        <v>74</v>
      </c>
      <c r="F1544" t="s">
        <v>26008</v>
      </c>
      <c r="G1544" t="s">
        <v>74</v>
      </c>
      <c r="H1544" t="s">
        <v>74</v>
      </c>
      <c r="I1544" t="s">
        <v>26009</v>
      </c>
      <c r="J1544" t="s">
        <v>2649</v>
      </c>
      <c r="K1544" t="s">
        <v>74</v>
      </c>
      <c r="L1544" t="s">
        <v>74</v>
      </c>
      <c r="M1544" t="s">
        <v>78</v>
      </c>
      <c r="N1544" t="s">
        <v>2042</v>
      </c>
      <c r="O1544" t="s">
        <v>74</v>
      </c>
      <c r="P1544" t="s">
        <v>74</v>
      </c>
      <c r="Q1544" t="s">
        <v>74</v>
      </c>
      <c r="R1544" t="s">
        <v>74</v>
      </c>
      <c r="S1544" t="s">
        <v>74</v>
      </c>
      <c r="T1544" t="s">
        <v>26010</v>
      </c>
      <c r="U1544" t="s">
        <v>74</v>
      </c>
      <c r="V1544" t="s">
        <v>26011</v>
      </c>
      <c r="W1544" t="s">
        <v>26012</v>
      </c>
      <c r="X1544" t="s">
        <v>26013</v>
      </c>
      <c r="Y1544" t="s">
        <v>26014</v>
      </c>
      <c r="Z1544" t="s">
        <v>26015</v>
      </c>
      <c r="AA1544" t="s">
        <v>26016</v>
      </c>
      <c r="AB1544" t="s">
        <v>26017</v>
      </c>
      <c r="AC1544" t="s">
        <v>74</v>
      </c>
      <c r="AD1544" t="s">
        <v>74</v>
      </c>
      <c r="AE1544" t="s">
        <v>74</v>
      </c>
      <c r="AF1544" t="s">
        <v>74</v>
      </c>
      <c r="AG1544">
        <v>23</v>
      </c>
      <c r="AH1544">
        <v>1</v>
      </c>
      <c r="AI1544">
        <v>1</v>
      </c>
      <c r="AJ1544">
        <v>6</v>
      </c>
      <c r="AK1544">
        <v>9</v>
      </c>
      <c r="AL1544" t="s">
        <v>2662</v>
      </c>
      <c r="AM1544" t="s">
        <v>2663</v>
      </c>
      <c r="AN1544" t="s">
        <v>2664</v>
      </c>
      <c r="AO1544" t="s">
        <v>2665</v>
      </c>
      <c r="AP1544" t="s">
        <v>74</v>
      </c>
      <c r="AQ1544" t="s">
        <v>74</v>
      </c>
      <c r="AR1544" t="s">
        <v>2666</v>
      </c>
      <c r="AS1544" t="s">
        <v>2667</v>
      </c>
      <c r="AT1544" t="s">
        <v>74</v>
      </c>
      <c r="AU1544">
        <v>2023</v>
      </c>
      <c r="AV1544">
        <v>11</v>
      </c>
      <c r="AW1544">
        <v>1</v>
      </c>
      <c r="AX1544" t="s">
        <v>74</v>
      </c>
      <c r="AY1544" t="s">
        <v>74</v>
      </c>
      <c r="AZ1544" t="s">
        <v>74</v>
      </c>
      <c r="BA1544" t="s">
        <v>74</v>
      </c>
      <c r="BB1544">
        <v>212</v>
      </c>
      <c r="BC1544">
        <v>216</v>
      </c>
      <c r="BD1544" t="s">
        <v>74</v>
      </c>
      <c r="BE1544" t="s">
        <v>26018</v>
      </c>
      <c r="BF1544" t="str">
        <f>HYPERLINK("http://dx.doi.org/10.17645/mac.v11i1.6905","http://dx.doi.org/10.17645/mac.v11i1.6905")</f>
        <v>http://dx.doi.org/10.17645/mac.v11i1.6905</v>
      </c>
      <c r="BG1544" t="s">
        <v>74</v>
      </c>
      <c r="BH1544" t="s">
        <v>74</v>
      </c>
      <c r="BI1544">
        <v>5</v>
      </c>
      <c r="BJ1544" t="s">
        <v>124</v>
      </c>
      <c r="BK1544" t="s">
        <v>99</v>
      </c>
      <c r="BL1544" t="s">
        <v>124</v>
      </c>
      <c r="BM1544" t="s">
        <v>8609</v>
      </c>
      <c r="BN1544" t="s">
        <v>74</v>
      </c>
      <c r="BO1544" t="s">
        <v>394</v>
      </c>
      <c r="BP1544" t="s">
        <v>74</v>
      </c>
      <c r="BQ1544" t="s">
        <v>74</v>
      </c>
      <c r="BR1544" t="s">
        <v>102</v>
      </c>
      <c r="BS1544" t="s">
        <v>26019</v>
      </c>
      <c r="BT1544" t="str">
        <f>HYPERLINK("https%3A%2F%2Fwww.webofscience.com%2Fwos%2Fwoscc%2Ffull-record%2FWOS:001042747900001","View Full Record in Web of Science")</f>
        <v>View Full Record in Web of Science</v>
      </c>
    </row>
    <row r="1545" spans="1:72" x14ac:dyDescent="0.35">
      <c r="A1545" t="s">
        <v>72</v>
      </c>
      <c r="B1545" t="s">
        <v>26020</v>
      </c>
      <c r="C1545" t="s">
        <v>74</v>
      </c>
      <c r="D1545" t="s">
        <v>74</v>
      </c>
      <c r="E1545" t="s">
        <v>74</v>
      </c>
      <c r="F1545" t="s">
        <v>26021</v>
      </c>
      <c r="G1545" t="s">
        <v>74</v>
      </c>
      <c r="H1545" t="s">
        <v>74</v>
      </c>
      <c r="I1545" t="s">
        <v>26022</v>
      </c>
      <c r="J1545" t="s">
        <v>26023</v>
      </c>
      <c r="K1545" t="s">
        <v>74</v>
      </c>
      <c r="L1545" t="s">
        <v>74</v>
      </c>
      <c r="M1545" t="s">
        <v>78</v>
      </c>
      <c r="N1545" t="s">
        <v>108</v>
      </c>
      <c r="O1545" t="s">
        <v>74</v>
      </c>
      <c r="P1545" t="s">
        <v>74</v>
      </c>
      <c r="Q1545" t="s">
        <v>74</v>
      </c>
      <c r="R1545" t="s">
        <v>74</v>
      </c>
      <c r="S1545" t="s">
        <v>74</v>
      </c>
      <c r="T1545" t="s">
        <v>26024</v>
      </c>
      <c r="U1545" t="s">
        <v>26025</v>
      </c>
      <c r="V1545" t="s">
        <v>26026</v>
      </c>
      <c r="W1545" t="s">
        <v>26027</v>
      </c>
      <c r="X1545" t="s">
        <v>26028</v>
      </c>
      <c r="Y1545" t="s">
        <v>26029</v>
      </c>
      <c r="Z1545" t="s">
        <v>26030</v>
      </c>
      <c r="AA1545" t="s">
        <v>26031</v>
      </c>
      <c r="AB1545" t="s">
        <v>26032</v>
      </c>
      <c r="AC1545" t="s">
        <v>26033</v>
      </c>
      <c r="AD1545" t="s">
        <v>26034</v>
      </c>
      <c r="AE1545" t="s">
        <v>26035</v>
      </c>
      <c r="AF1545" t="s">
        <v>74</v>
      </c>
      <c r="AG1545">
        <v>48</v>
      </c>
      <c r="AH1545">
        <v>0</v>
      </c>
      <c r="AI1545">
        <v>0</v>
      </c>
      <c r="AJ1545">
        <v>8</v>
      </c>
      <c r="AK1545">
        <v>8</v>
      </c>
      <c r="AL1545" t="s">
        <v>11128</v>
      </c>
      <c r="AM1545" t="s">
        <v>666</v>
      </c>
      <c r="AN1545" t="s">
        <v>11129</v>
      </c>
      <c r="AO1545" t="s">
        <v>26036</v>
      </c>
      <c r="AP1545" t="s">
        <v>26037</v>
      </c>
      <c r="AQ1545" t="s">
        <v>74</v>
      </c>
      <c r="AR1545" t="s">
        <v>26038</v>
      </c>
      <c r="AS1545" t="s">
        <v>26039</v>
      </c>
      <c r="AT1545" t="s">
        <v>594</v>
      </c>
      <c r="AU1545">
        <v>2024</v>
      </c>
      <c r="AV1545">
        <v>47</v>
      </c>
      <c r="AW1545">
        <v>5</v>
      </c>
      <c r="AX1545" t="s">
        <v>74</v>
      </c>
      <c r="AY1545" t="s">
        <v>74</v>
      </c>
      <c r="AZ1545" t="s">
        <v>74</v>
      </c>
      <c r="BA1545" t="s">
        <v>74</v>
      </c>
      <c r="BB1545">
        <v>770</v>
      </c>
      <c r="BC1545">
        <v>781</v>
      </c>
      <c r="BD1545" t="s">
        <v>74</v>
      </c>
      <c r="BE1545" t="s">
        <v>26040</v>
      </c>
      <c r="BF1545" t="str">
        <f>HYPERLINK("http://dx.doi.org/10.1007/s10865-024-00499-x","http://dx.doi.org/10.1007/s10865-024-00499-x")</f>
        <v>http://dx.doi.org/10.1007/s10865-024-00499-x</v>
      </c>
      <c r="BG1545" t="s">
        <v>74</v>
      </c>
      <c r="BH1545" t="s">
        <v>500</v>
      </c>
      <c r="BI1545">
        <v>12</v>
      </c>
      <c r="BJ1545" t="s">
        <v>6370</v>
      </c>
      <c r="BK1545" t="s">
        <v>99</v>
      </c>
      <c r="BL1545" t="s">
        <v>301</v>
      </c>
      <c r="BM1545" t="s">
        <v>26041</v>
      </c>
      <c r="BN1545">
        <v>38824462</v>
      </c>
      <c r="BO1545" t="s">
        <v>74</v>
      </c>
      <c r="BP1545" t="s">
        <v>74</v>
      </c>
      <c r="BQ1545" t="s">
        <v>74</v>
      </c>
      <c r="BR1545" t="s">
        <v>102</v>
      </c>
      <c r="BS1545" t="s">
        <v>26042</v>
      </c>
      <c r="BT1545" t="str">
        <f>HYPERLINK("https%3A%2F%2Fwww.webofscience.com%2Fwos%2Fwoscc%2Ffull-record%2FWOS:001236833600001","View Full Record in Web of Science")</f>
        <v>View Full Record in Web of Science</v>
      </c>
    </row>
    <row r="1546" spans="1:72" x14ac:dyDescent="0.35">
      <c r="A1546" t="s">
        <v>72</v>
      </c>
      <c r="B1546" t="s">
        <v>26043</v>
      </c>
      <c r="C1546" t="s">
        <v>74</v>
      </c>
      <c r="D1546" t="s">
        <v>74</v>
      </c>
      <c r="E1546" t="s">
        <v>74</v>
      </c>
      <c r="F1546" t="s">
        <v>26044</v>
      </c>
      <c r="G1546" t="s">
        <v>74</v>
      </c>
      <c r="H1546" t="s">
        <v>74</v>
      </c>
      <c r="I1546" t="s">
        <v>26045</v>
      </c>
      <c r="J1546" t="s">
        <v>10612</v>
      </c>
      <c r="K1546" t="s">
        <v>74</v>
      </c>
      <c r="L1546" t="s">
        <v>74</v>
      </c>
      <c r="M1546" t="s">
        <v>78</v>
      </c>
      <c r="N1546" t="s">
        <v>108</v>
      </c>
      <c r="O1546" t="s">
        <v>74</v>
      </c>
      <c r="P1546" t="s">
        <v>74</v>
      </c>
      <c r="Q1546" t="s">
        <v>74</v>
      </c>
      <c r="R1546" t="s">
        <v>74</v>
      </c>
      <c r="S1546" t="s">
        <v>74</v>
      </c>
      <c r="T1546" t="s">
        <v>74</v>
      </c>
      <c r="U1546" t="s">
        <v>26046</v>
      </c>
      <c r="V1546" t="s">
        <v>26047</v>
      </c>
      <c r="W1546" t="s">
        <v>26048</v>
      </c>
      <c r="X1546" t="s">
        <v>74</v>
      </c>
      <c r="Y1546" t="s">
        <v>26049</v>
      </c>
      <c r="Z1546" t="s">
        <v>26050</v>
      </c>
      <c r="AA1546" t="s">
        <v>26051</v>
      </c>
      <c r="AB1546" t="s">
        <v>74</v>
      </c>
      <c r="AC1546" t="s">
        <v>74</v>
      </c>
      <c r="AD1546" t="s">
        <v>74</v>
      </c>
      <c r="AE1546" t="s">
        <v>74</v>
      </c>
      <c r="AF1546" t="s">
        <v>74</v>
      </c>
      <c r="AG1546">
        <v>12</v>
      </c>
      <c r="AH1546">
        <v>1</v>
      </c>
      <c r="AI1546">
        <v>1</v>
      </c>
      <c r="AJ1546">
        <v>1</v>
      </c>
      <c r="AK1546">
        <v>1</v>
      </c>
      <c r="AL1546" t="s">
        <v>1901</v>
      </c>
      <c r="AM1546" t="s">
        <v>995</v>
      </c>
      <c r="AN1546" t="s">
        <v>1902</v>
      </c>
      <c r="AO1546" t="s">
        <v>10620</v>
      </c>
      <c r="AP1546" t="s">
        <v>74</v>
      </c>
      <c r="AQ1546" t="s">
        <v>74</v>
      </c>
      <c r="AR1546" t="s">
        <v>10621</v>
      </c>
      <c r="AS1546" t="s">
        <v>10622</v>
      </c>
      <c r="AT1546" t="s">
        <v>232</v>
      </c>
      <c r="AU1546">
        <v>2024</v>
      </c>
      <c r="AV1546">
        <v>12</v>
      </c>
      <c r="AW1546">
        <v>1</v>
      </c>
      <c r="AX1546" t="s">
        <v>74</v>
      </c>
      <c r="AY1546" t="s">
        <v>74</v>
      </c>
      <c r="AZ1546" t="s">
        <v>74</v>
      </c>
      <c r="BA1546" t="s">
        <v>74</v>
      </c>
      <c r="BB1546" t="s">
        <v>74</v>
      </c>
      <c r="BC1546" t="s">
        <v>74</v>
      </c>
      <c r="BD1546" t="s">
        <v>26052</v>
      </c>
      <c r="BE1546" t="s">
        <v>26053</v>
      </c>
      <c r="BF1546" t="str">
        <f>HYPERLINK("http://dx.doi.org/10.1097/GOX.0000000000005458","http://dx.doi.org/10.1097/GOX.0000000000005458")</f>
        <v>http://dx.doi.org/10.1097/GOX.0000000000005458</v>
      </c>
      <c r="BG1546" t="s">
        <v>74</v>
      </c>
      <c r="BH1546" t="s">
        <v>74</v>
      </c>
      <c r="BI1546">
        <v>7</v>
      </c>
      <c r="BJ1546" t="s">
        <v>4994</v>
      </c>
      <c r="BK1546" t="s">
        <v>125</v>
      </c>
      <c r="BL1546" t="s">
        <v>4994</v>
      </c>
      <c r="BM1546" t="s">
        <v>26054</v>
      </c>
      <c r="BN1546">
        <v>38250206</v>
      </c>
      <c r="BO1546" t="s">
        <v>552</v>
      </c>
      <c r="BP1546" t="s">
        <v>74</v>
      </c>
      <c r="BQ1546" t="s">
        <v>74</v>
      </c>
      <c r="BR1546" t="s">
        <v>102</v>
      </c>
      <c r="BS1546" t="s">
        <v>26055</v>
      </c>
      <c r="BT1546" t="str">
        <f>HYPERLINK("https%3A%2F%2Fwww.webofscience.com%2Fwos%2Fwoscc%2Ffull-record%2FWOS:001144702800005","View Full Record in Web of Science")</f>
        <v>View Full Record in Web of Science</v>
      </c>
    </row>
    <row r="1547" spans="1:72" x14ac:dyDescent="0.35">
      <c r="A1547" t="s">
        <v>72</v>
      </c>
      <c r="B1547" t="s">
        <v>26056</v>
      </c>
      <c r="C1547" t="s">
        <v>74</v>
      </c>
      <c r="D1547" t="s">
        <v>74</v>
      </c>
      <c r="E1547" t="s">
        <v>74</v>
      </c>
      <c r="F1547" t="s">
        <v>26057</v>
      </c>
      <c r="G1547" t="s">
        <v>74</v>
      </c>
      <c r="H1547" t="s">
        <v>74</v>
      </c>
      <c r="I1547" t="s">
        <v>26058</v>
      </c>
      <c r="J1547" t="s">
        <v>2649</v>
      </c>
      <c r="K1547" t="s">
        <v>74</v>
      </c>
      <c r="L1547" t="s">
        <v>74</v>
      </c>
      <c r="M1547" t="s">
        <v>78</v>
      </c>
      <c r="N1547" t="s">
        <v>2042</v>
      </c>
      <c r="O1547" t="s">
        <v>74</v>
      </c>
      <c r="P1547" t="s">
        <v>74</v>
      </c>
      <c r="Q1547" t="s">
        <v>74</v>
      </c>
      <c r="R1547" t="s">
        <v>74</v>
      </c>
      <c r="S1547" t="s">
        <v>74</v>
      </c>
      <c r="T1547" t="s">
        <v>26059</v>
      </c>
      <c r="U1547" t="s">
        <v>26060</v>
      </c>
      <c r="V1547" t="s">
        <v>26061</v>
      </c>
      <c r="W1547" t="s">
        <v>26062</v>
      </c>
      <c r="X1547" t="s">
        <v>26063</v>
      </c>
      <c r="Y1547" t="s">
        <v>26064</v>
      </c>
      <c r="Z1547" t="s">
        <v>26065</v>
      </c>
      <c r="AA1547" t="s">
        <v>26066</v>
      </c>
      <c r="AB1547" t="s">
        <v>26067</v>
      </c>
      <c r="AC1547" t="s">
        <v>26068</v>
      </c>
      <c r="AD1547" t="s">
        <v>26069</v>
      </c>
      <c r="AE1547" t="s">
        <v>26070</v>
      </c>
      <c r="AF1547" t="s">
        <v>74</v>
      </c>
      <c r="AG1547">
        <v>25</v>
      </c>
      <c r="AH1547">
        <v>3</v>
      </c>
      <c r="AI1547">
        <v>3</v>
      </c>
      <c r="AJ1547">
        <v>1</v>
      </c>
      <c r="AK1547">
        <v>31</v>
      </c>
      <c r="AL1547" t="s">
        <v>2662</v>
      </c>
      <c r="AM1547" t="s">
        <v>2663</v>
      </c>
      <c r="AN1547" t="s">
        <v>2664</v>
      </c>
      <c r="AO1547" t="s">
        <v>2665</v>
      </c>
      <c r="AP1547" t="s">
        <v>74</v>
      </c>
      <c r="AQ1547" t="s">
        <v>74</v>
      </c>
      <c r="AR1547" t="s">
        <v>2666</v>
      </c>
      <c r="AS1547" t="s">
        <v>2667</v>
      </c>
      <c r="AT1547" t="s">
        <v>74</v>
      </c>
      <c r="AU1547">
        <v>2022</v>
      </c>
      <c r="AV1547">
        <v>10</v>
      </c>
      <c r="AW1547">
        <v>1</v>
      </c>
      <c r="AX1547" t="s">
        <v>74</v>
      </c>
      <c r="AY1547" t="s">
        <v>74</v>
      </c>
      <c r="AZ1547" t="s">
        <v>74</v>
      </c>
      <c r="BA1547" t="s">
        <v>74</v>
      </c>
      <c r="BB1547">
        <v>120</v>
      </c>
      <c r="BC1547">
        <v>123</v>
      </c>
      <c r="BD1547" t="s">
        <v>74</v>
      </c>
      <c r="BE1547" t="s">
        <v>26071</v>
      </c>
      <c r="BF1547" t="str">
        <f>HYPERLINK("http://dx.doi.org/10.17645/mac.v10i1.5050","http://dx.doi.org/10.17645/mac.v10i1.5050")</f>
        <v>http://dx.doi.org/10.17645/mac.v10i1.5050</v>
      </c>
      <c r="BG1547" t="s">
        <v>74</v>
      </c>
      <c r="BH1547" t="s">
        <v>74</v>
      </c>
      <c r="BI1547">
        <v>4</v>
      </c>
      <c r="BJ1547" t="s">
        <v>124</v>
      </c>
      <c r="BK1547" t="s">
        <v>99</v>
      </c>
      <c r="BL1547" t="s">
        <v>124</v>
      </c>
      <c r="BM1547" t="s">
        <v>3104</v>
      </c>
      <c r="BN1547" t="s">
        <v>74</v>
      </c>
      <c r="BO1547" t="s">
        <v>394</v>
      </c>
      <c r="BP1547" t="s">
        <v>74</v>
      </c>
      <c r="BQ1547" t="s">
        <v>74</v>
      </c>
      <c r="BR1547" t="s">
        <v>102</v>
      </c>
      <c r="BS1547" t="s">
        <v>26072</v>
      </c>
      <c r="BT1547" t="str">
        <f>HYPERLINK("https%3A%2F%2Fwww.webofscience.com%2Fwos%2Fwoscc%2Ffull-record%2FWOS:000762434300001","View Full Record in Web of Science")</f>
        <v>View Full Record in Web of Science</v>
      </c>
    </row>
    <row r="1548" spans="1:72" x14ac:dyDescent="0.35">
      <c r="A1548" t="s">
        <v>72</v>
      </c>
      <c r="B1548" t="s">
        <v>26073</v>
      </c>
      <c r="C1548" t="s">
        <v>74</v>
      </c>
      <c r="D1548" t="s">
        <v>74</v>
      </c>
      <c r="E1548" t="s">
        <v>74</v>
      </c>
      <c r="F1548" t="s">
        <v>26074</v>
      </c>
      <c r="G1548" t="s">
        <v>74</v>
      </c>
      <c r="H1548" t="s">
        <v>74</v>
      </c>
      <c r="I1548" t="s">
        <v>26075</v>
      </c>
      <c r="J1548" t="s">
        <v>8715</v>
      </c>
      <c r="K1548" t="s">
        <v>74</v>
      </c>
      <c r="L1548" t="s">
        <v>74</v>
      </c>
      <c r="M1548" t="s">
        <v>78</v>
      </c>
      <c r="N1548" t="s">
        <v>79</v>
      </c>
      <c r="O1548" t="s">
        <v>74</v>
      </c>
      <c r="P1548" t="s">
        <v>74</v>
      </c>
      <c r="Q1548" t="s">
        <v>74</v>
      </c>
      <c r="R1548" t="s">
        <v>74</v>
      </c>
      <c r="S1548" t="s">
        <v>74</v>
      </c>
      <c r="T1548" t="s">
        <v>26076</v>
      </c>
      <c r="U1548" t="s">
        <v>795</v>
      </c>
      <c r="V1548" t="s">
        <v>26077</v>
      </c>
      <c r="W1548" t="s">
        <v>26078</v>
      </c>
      <c r="X1548" t="s">
        <v>26079</v>
      </c>
      <c r="Y1548" t="s">
        <v>26080</v>
      </c>
      <c r="Z1548" t="s">
        <v>26081</v>
      </c>
      <c r="AA1548" t="s">
        <v>74</v>
      </c>
      <c r="AB1548" t="s">
        <v>74</v>
      </c>
      <c r="AC1548" t="s">
        <v>74</v>
      </c>
      <c r="AD1548" t="s">
        <v>74</v>
      </c>
      <c r="AE1548" t="s">
        <v>74</v>
      </c>
      <c r="AF1548" t="s">
        <v>74</v>
      </c>
      <c r="AG1548">
        <v>22</v>
      </c>
      <c r="AH1548">
        <v>0</v>
      </c>
      <c r="AI1548">
        <v>0</v>
      </c>
      <c r="AJ1548">
        <v>2</v>
      </c>
      <c r="AK1548">
        <v>2</v>
      </c>
      <c r="AL1548" t="s">
        <v>226</v>
      </c>
      <c r="AM1548" t="s">
        <v>227</v>
      </c>
      <c r="AN1548" t="s">
        <v>228</v>
      </c>
      <c r="AO1548" t="s">
        <v>8724</v>
      </c>
      <c r="AP1548" t="s">
        <v>8725</v>
      </c>
      <c r="AQ1548" t="s">
        <v>74</v>
      </c>
      <c r="AR1548" t="s">
        <v>8726</v>
      </c>
      <c r="AS1548" t="s">
        <v>8727</v>
      </c>
      <c r="AT1548" t="s">
        <v>3340</v>
      </c>
      <c r="AU1548">
        <v>2024</v>
      </c>
      <c r="AV1548" t="s">
        <v>74</v>
      </c>
      <c r="AW1548" t="s">
        <v>74</v>
      </c>
      <c r="AX1548" t="s">
        <v>74</v>
      </c>
      <c r="AY1548" t="s">
        <v>74</v>
      </c>
      <c r="AZ1548" t="s">
        <v>74</v>
      </c>
      <c r="BA1548" t="s">
        <v>74</v>
      </c>
      <c r="BB1548" t="s">
        <v>74</v>
      </c>
      <c r="BC1548" t="s">
        <v>74</v>
      </c>
      <c r="BD1548" t="s">
        <v>74</v>
      </c>
      <c r="BE1548" t="s">
        <v>26082</v>
      </c>
      <c r="BF1548" t="str">
        <f>HYPERLINK("http://dx.doi.org/10.1177/00178969241288956","http://dx.doi.org/10.1177/00178969241288956")</f>
        <v>http://dx.doi.org/10.1177/00178969241288956</v>
      </c>
      <c r="BG1548" t="s">
        <v>74</v>
      </c>
      <c r="BH1548" t="s">
        <v>1721</v>
      </c>
      <c r="BI1548">
        <v>10</v>
      </c>
      <c r="BJ1548" t="s">
        <v>8464</v>
      </c>
      <c r="BK1548" t="s">
        <v>99</v>
      </c>
      <c r="BL1548" t="s">
        <v>8464</v>
      </c>
      <c r="BM1548" t="s">
        <v>26083</v>
      </c>
      <c r="BN1548" t="s">
        <v>74</v>
      </c>
      <c r="BO1548" t="s">
        <v>74</v>
      </c>
      <c r="BP1548" t="s">
        <v>74</v>
      </c>
      <c r="BQ1548" t="s">
        <v>74</v>
      </c>
      <c r="BR1548" t="s">
        <v>102</v>
      </c>
      <c r="BS1548" t="s">
        <v>26084</v>
      </c>
      <c r="BT1548" t="str">
        <f>HYPERLINK("https%3A%2F%2Fwww.webofscience.com%2Fwos%2Fwoscc%2Ffull-record%2FWOS:001333982400001","View Full Record in Web of Science")</f>
        <v>View Full Record in Web of Science</v>
      </c>
    </row>
    <row r="1549" spans="1:72" x14ac:dyDescent="0.35">
      <c r="A1549" t="s">
        <v>72</v>
      </c>
      <c r="B1549" t="s">
        <v>26085</v>
      </c>
      <c r="C1549" t="s">
        <v>74</v>
      </c>
      <c r="D1549" t="s">
        <v>74</v>
      </c>
      <c r="E1549" t="s">
        <v>74</v>
      </c>
      <c r="F1549" t="s">
        <v>26086</v>
      </c>
      <c r="G1549" t="s">
        <v>74</v>
      </c>
      <c r="H1549" t="s">
        <v>74</v>
      </c>
      <c r="I1549" t="s">
        <v>26087</v>
      </c>
      <c r="J1549" t="s">
        <v>26088</v>
      </c>
      <c r="K1549" t="s">
        <v>74</v>
      </c>
      <c r="L1549" t="s">
        <v>74</v>
      </c>
      <c r="M1549" t="s">
        <v>78</v>
      </c>
      <c r="N1549" t="s">
        <v>108</v>
      </c>
      <c r="O1549" t="s">
        <v>74</v>
      </c>
      <c r="P1549" t="s">
        <v>74</v>
      </c>
      <c r="Q1549" t="s">
        <v>74</v>
      </c>
      <c r="R1549" t="s">
        <v>74</v>
      </c>
      <c r="S1549" t="s">
        <v>74</v>
      </c>
      <c r="T1549" t="s">
        <v>26089</v>
      </c>
      <c r="U1549" t="s">
        <v>26090</v>
      </c>
      <c r="V1549" t="s">
        <v>26091</v>
      </c>
      <c r="W1549" t="s">
        <v>26092</v>
      </c>
      <c r="X1549" t="s">
        <v>26093</v>
      </c>
      <c r="Y1549" t="s">
        <v>26094</v>
      </c>
      <c r="Z1549" t="s">
        <v>26095</v>
      </c>
      <c r="AA1549" t="s">
        <v>26096</v>
      </c>
      <c r="AB1549" t="s">
        <v>26097</v>
      </c>
      <c r="AC1549" t="s">
        <v>74</v>
      </c>
      <c r="AD1549" t="s">
        <v>74</v>
      </c>
      <c r="AE1549" t="s">
        <v>74</v>
      </c>
      <c r="AF1549" t="s">
        <v>74</v>
      </c>
      <c r="AG1549">
        <v>46</v>
      </c>
      <c r="AH1549">
        <v>7</v>
      </c>
      <c r="AI1549">
        <v>7</v>
      </c>
      <c r="AJ1549">
        <v>21</v>
      </c>
      <c r="AK1549">
        <v>100</v>
      </c>
      <c r="AL1549" t="s">
        <v>290</v>
      </c>
      <c r="AM1549" t="s">
        <v>291</v>
      </c>
      <c r="AN1549" t="s">
        <v>292</v>
      </c>
      <c r="AO1549" t="s">
        <v>26098</v>
      </c>
      <c r="AP1549" t="s">
        <v>26099</v>
      </c>
      <c r="AQ1549" t="s">
        <v>74</v>
      </c>
      <c r="AR1549" t="s">
        <v>26100</v>
      </c>
      <c r="AS1549" t="s">
        <v>26101</v>
      </c>
      <c r="AT1549" t="s">
        <v>594</v>
      </c>
      <c r="AU1549">
        <v>2023</v>
      </c>
      <c r="AV1549">
        <v>125</v>
      </c>
      <c r="AW1549" t="s">
        <v>74</v>
      </c>
      <c r="AX1549" t="s">
        <v>74</v>
      </c>
      <c r="AY1549" t="s">
        <v>74</v>
      </c>
      <c r="AZ1549" t="s">
        <v>74</v>
      </c>
      <c r="BA1549" t="s">
        <v>74</v>
      </c>
      <c r="BB1549" t="s">
        <v>74</v>
      </c>
      <c r="BC1549" t="s">
        <v>74</v>
      </c>
      <c r="BD1549">
        <v>106719</v>
      </c>
      <c r="BE1549" t="s">
        <v>26102</v>
      </c>
      <c r="BF1549" t="str">
        <f>HYPERLINK("http://dx.doi.org/10.1016/j.engappai.2023.106719","http://dx.doi.org/10.1016/j.engappai.2023.106719")</f>
        <v>http://dx.doi.org/10.1016/j.engappai.2023.106719</v>
      </c>
      <c r="BG1549" t="s">
        <v>74</v>
      </c>
      <c r="BH1549" t="s">
        <v>1180</v>
      </c>
      <c r="BI1549">
        <v>15</v>
      </c>
      <c r="BJ1549" t="s">
        <v>26103</v>
      </c>
      <c r="BK1549" t="s">
        <v>209</v>
      </c>
      <c r="BL1549" t="s">
        <v>26104</v>
      </c>
      <c r="BM1549" t="s">
        <v>26105</v>
      </c>
      <c r="BN1549" t="s">
        <v>74</v>
      </c>
      <c r="BO1549" t="s">
        <v>74</v>
      </c>
      <c r="BP1549" t="s">
        <v>74</v>
      </c>
      <c r="BQ1549" t="s">
        <v>74</v>
      </c>
      <c r="BR1549" t="s">
        <v>102</v>
      </c>
      <c r="BS1549" t="s">
        <v>26106</v>
      </c>
      <c r="BT1549" t="str">
        <f>HYPERLINK("https%3A%2F%2Fwww.webofscience.com%2Fwos%2Fwoscc%2Ffull-record%2FWOS:001041161200001","View Full Record in Web of Science")</f>
        <v>View Full Record in Web of Science</v>
      </c>
    </row>
    <row r="1550" spans="1:72" x14ac:dyDescent="0.35">
      <c r="A1550" t="s">
        <v>72</v>
      </c>
      <c r="B1550" t="s">
        <v>26107</v>
      </c>
      <c r="C1550" t="s">
        <v>74</v>
      </c>
      <c r="D1550" t="s">
        <v>74</v>
      </c>
      <c r="E1550" t="s">
        <v>74</v>
      </c>
      <c r="F1550" t="s">
        <v>26108</v>
      </c>
      <c r="G1550" t="s">
        <v>74</v>
      </c>
      <c r="H1550" t="s">
        <v>74</v>
      </c>
      <c r="I1550" t="s">
        <v>26109</v>
      </c>
      <c r="J1550" t="s">
        <v>26110</v>
      </c>
      <c r="K1550" t="s">
        <v>74</v>
      </c>
      <c r="L1550" t="s">
        <v>74</v>
      </c>
      <c r="M1550" t="s">
        <v>78</v>
      </c>
      <c r="N1550" t="s">
        <v>108</v>
      </c>
      <c r="O1550" t="s">
        <v>74</v>
      </c>
      <c r="P1550" t="s">
        <v>74</v>
      </c>
      <c r="Q1550" t="s">
        <v>74</v>
      </c>
      <c r="R1550" t="s">
        <v>74</v>
      </c>
      <c r="S1550" t="s">
        <v>74</v>
      </c>
      <c r="T1550" t="s">
        <v>26111</v>
      </c>
      <c r="U1550" t="s">
        <v>26112</v>
      </c>
      <c r="V1550" t="s">
        <v>26113</v>
      </c>
      <c r="W1550" t="s">
        <v>26114</v>
      </c>
      <c r="X1550" t="s">
        <v>562</v>
      </c>
      <c r="Y1550" t="s">
        <v>26115</v>
      </c>
      <c r="Z1550" t="s">
        <v>26116</v>
      </c>
      <c r="AA1550" t="s">
        <v>74</v>
      </c>
      <c r="AB1550" t="s">
        <v>26117</v>
      </c>
      <c r="AC1550" t="s">
        <v>74</v>
      </c>
      <c r="AD1550" t="s">
        <v>74</v>
      </c>
      <c r="AE1550" t="s">
        <v>74</v>
      </c>
      <c r="AF1550" t="s">
        <v>74</v>
      </c>
      <c r="AG1550">
        <v>27</v>
      </c>
      <c r="AH1550">
        <v>0</v>
      </c>
      <c r="AI1550">
        <v>0</v>
      </c>
      <c r="AJ1550">
        <v>2</v>
      </c>
      <c r="AK1550">
        <v>16</v>
      </c>
      <c r="AL1550" t="s">
        <v>516</v>
      </c>
      <c r="AM1550" t="s">
        <v>517</v>
      </c>
      <c r="AN1550" t="s">
        <v>518</v>
      </c>
      <c r="AO1550" t="s">
        <v>26118</v>
      </c>
      <c r="AP1550" t="s">
        <v>26119</v>
      </c>
      <c r="AQ1550" t="s">
        <v>74</v>
      </c>
      <c r="AR1550" t="s">
        <v>26120</v>
      </c>
      <c r="AS1550" t="s">
        <v>26121</v>
      </c>
      <c r="AT1550" t="s">
        <v>232</v>
      </c>
      <c r="AU1550">
        <v>2021</v>
      </c>
      <c r="AV1550">
        <v>145</v>
      </c>
      <c r="AW1550" t="s">
        <v>74</v>
      </c>
      <c r="AX1550" t="s">
        <v>74</v>
      </c>
      <c r="AY1550" t="s">
        <v>74</v>
      </c>
      <c r="AZ1550" t="s">
        <v>74</v>
      </c>
      <c r="BA1550" t="s">
        <v>74</v>
      </c>
      <c r="BB1550" t="s">
        <v>74</v>
      </c>
      <c r="BC1550" t="s">
        <v>74</v>
      </c>
      <c r="BD1550">
        <v>102148</v>
      </c>
      <c r="BE1550" t="s">
        <v>26122</v>
      </c>
      <c r="BF1550" t="str">
        <f>HYPERLINK("http://dx.doi.org/10.1016/j.peva.2020.102148","http://dx.doi.org/10.1016/j.peva.2020.102148")</f>
        <v>http://dx.doi.org/10.1016/j.peva.2020.102148</v>
      </c>
      <c r="BG1550" t="s">
        <v>74</v>
      </c>
      <c r="BH1550" t="s">
        <v>74</v>
      </c>
      <c r="BI1550">
        <v>22</v>
      </c>
      <c r="BJ1550" t="s">
        <v>26123</v>
      </c>
      <c r="BK1550" t="s">
        <v>209</v>
      </c>
      <c r="BL1550" t="s">
        <v>210</v>
      </c>
      <c r="BM1550" t="s">
        <v>26124</v>
      </c>
      <c r="BN1550" t="s">
        <v>74</v>
      </c>
      <c r="BO1550" t="s">
        <v>74</v>
      </c>
      <c r="BP1550" t="s">
        <v>74</v>
      </c>
      <c r="BQ1550" t="s">
        <v>74</v>
      </c>
      <c r="BR1550" t="s">
        <v>102</v>
      </c>
      <c r="BS1550" t="s">
        <v>26125</v>
      </c>
      <c r="BT1550" t="str">
        <f>HYPERLINK("https%3A%2F%2Fwww.webofscience.com%2Fwos%2Fwoscc%2Ffull-record%2FWOS:000602308900008","View Full Record in Web of Science")</f>
        <v>View Full Record in Web of Science</v>
      </c>
    </row>
    <row r="1551" spans="1:72" x14ac:dyDescent="0.35">
      <c r="A1551" t="s">
        <v>128</v>
      </c>
      <c r="B1551" t="s">
        <v>26126</v>
      </c>
      <c r="C1551" t="s">
        <v>74</v>
      </c>
      <c r="D1551" t="s">
        <v>74</v>
      </c>
      <c r="E1551" t="s">
        <v>1990</v>
      </c>
      <c r="F1551" t="s">
        <v>26127</v>
      </c>
      <c r="G1551" t="s">
        <v>74</v>
      </c>
      <c r="H1551" t="s">
        <v>74</v>
      </c>
      <c r="I1551" t="s">
        <v>26128</v>
      </c>
      <c r="J1551" t="s">
        <v>26129</v>
      </c>
      <c r="K1551" t="s">
        <v>74</v>
      </c>
      <c r="L1551" t="s">
        <v>74</v>
      </c>
      <c r="M1551" t="s">
        <v>78</v>
      </c>
      <c r="N1551" t="s">
        <v>135</v>
      </c>
      <c r="O1551" t="s">
        <v>26130</v>
      </c>
      <c r="P1551" t="s">
        <v>26131</v>
      </c>
      <c r="Q1551" t="s">
        <v>26132</v>
      </c>
      <c r="R1551" t="s">
        <v>26133</v>
      </c>
      <c r="S1551" t="s">
        <v>26134</v>
      </c>
      <c r="T1551" t="s">
        <v>26135</v>
      </c>
      <c r="U1551" t="s">
        <v>74</v>
      </c>
      <c r="V1551" t="s">
        <v>26136</v>
      </c>
      <c r="W1551" t="s">
        <v>26137</v>
      </c>
      <c r="X1551" t="s">
        <v>26138</v>
      </c>
      <c r="Y1551" t="s">
        <v>26139</v>
      </c>
      <c r="Z1551" t="s">
        <v>74</v>
      </c>
      <c r="AA1551" t="s">
        <v>74</v>
      </c>
      <c r="AB1551" t="s">
        <v>26140</v>
      </c>
      <c r="AC1551" t="s">
        <v>26141</v>
      </c>
      <c r="AD1551" t="s">
        <v>26142</v>
      </c>
      <c r="AE1551" t="s">
        <v>26143</v>
      </c>
      <c r="AF1551" t="s">
        <v>74</v>
      </c>
      <c r="AG1551">
        <v>38</v>
      </c>
      <c r="AH1551">
        <v>0</v>
      </c>
      <c r="AI1551">
        <v>0</v>
      </c>
      <c r="AJ1551">
        <v>4</v>
      </c>
      <c r="AK1551">
        <v>4</v>
      </c>
      <c r="AL1551" t="s">
        <v>718</v>
      </c>
      <c r="AM1551" t="s">
        <v>666</v>
      </c>
      <c r="AN1551" t="s">
        <v>719</v>
      </c>
      <c r="AO1551" t="s">
        <v>74</v>
      </c>
      <c r="AP1551" t="s">
        <v>74</v>
      </c>
      <c r="AQ1551" t="s">
        <v>26144</v>
      </c>
      <c r="AR1551" t="s">
        <v>74</v>
      </c>
      <c r="AS1551" t="s">
        <v>74</v>
      </c>
      <c r="AT1551" t="s">
        <v>74</v>
      </c>
      <c r="AU1551">
        <v>2024</v>
      </c>
      <c r="AV1551" t="s">
        <v>74</v>
      </c>
      <c r="AW1551" t="s">
        <v>74</v>
      </c>
      <c r="AX1551" t="s">
        <v>74</v>
      </c>
      <c r="AY1551" t="s">
        <v>74</v>
      </c>
      <c r="AZ1551" t="s">
        <v>74</v>
      </c>
      <c r="BA1551" t="s">
        <v>74</v>
      </c>
      <c r="BB1551">
        <v>349</v>
      </c>
      <c r="BC1551">
        <v>353</v>
      </c>
      <c r="BD1551" t="s">
        <v>74</v>
      </c>
      <c r="BE1551" t="s">
        <v>26145</v>
      </c>
      <c r="BF1551" t="str">
        <f>HYPERLINK("http://dx.doi.org/10.1145/3639701.3663636","http://dx.doi.org/10.1145/3639701.3663636")</f>
        <v>http://dx.doi.org/10.1145/3639701.3663636</v>
      </c>
      <c r="BG1551" t="s">
        <v>74</v>
      </c>
      <c r="BH1551" t="s">
        <v>74</v>
      </c>
      <c r="BI1551">
        <v>5</v>
      </c>
      <c r="BJ1551" t="s">
        <v>26146</v>
      </c>
      <c r="BK1551" t="s">
        <v>723</v>
      </c>
      <c r="BL1551" t="s">
        <v>210</v>
      </c>
      <c r="BM1551" t="s">
        <v>26147</v>
      </c>
      <c r="BN1551" t="s">
        <v>74</v>
      </c>
      <c r="BO1551" t="s">
        <v>767</v>
      </c>
      <c r="BP1551" t="s">
        <v>74</v>
      </c>
      <c r="BQ1551" t="s">
        <v>74</v>
      </c>
      <c r="BR1551" t="s">
        <v>102</v>
      </c>
      <c r="BS1551" t="s">
        <v>26148</v>
      </c>
      <c r="BT1551" t="str">
        <f>HYPERLINK("https%3A%2F%2Fwww.webofscience.com%2Fwos%2Fwoscc%2Ffull-record%2FWOS:001244673200031","View Full Record in Web of Science")</f>
        <v>View Full Record in Web of Science</v>
      </c>
    </row>
    <row r="1552" spans="1:72" x14ac:dyDescent="0.35">
      <c r="A1552" t="s">
        <v>72</v>
      </c>
      <c r="B1552" t="s">
        <v>25972</v>
      </c>
      <c r="C1552" t="s">
        <v>74</v>
      </c>
      <c r="D1552" t="s">
        <v>74</v>
      </c>
      <c r="E1552" t="s">
        <v>74</v>
      </c>
      <c r="F1552" t="s">
        <v>25973</v>
      </c>
      <c r="G1552" t="s">
        <v>74</v>
      </c>
      <c r="H1552" t="s">
        <v>74</v>
      </c>
      <c r="I1552" t="s">
        <v>26149</v>
      </c>
      <c r="J1552" t="s">
        <v>25975</v>
      </c>
      <c r="K1552" t="s">
        <v>74</v>
      </c>
      <c r="L1552" t="s">
        <v>74</v>
      </c>
      <c r="M1552" t="s">
        <v>78</v>
      </c>
      <c r="N1552" t="s">
        <v>108</v>
      </c>
      <c r="O1552" t="s">
        <v>74</v>
      </c>
      <c r="P1552" t="s">
        <v>74</v>
      </c>
      <c r="Q1552" t="s">
        <v>74</v>
      </c>
      <c r="R1552" t="s">
        <v>74</v>
      </c>
      <c r="S1552" t="s">
        <v>74</v>
      </c>
      <c r="T1552" t="s">
        <v>25976</v>
      </c>
      <c r="U1552" t="s">
        <v>74</v>
      </c>
      <c r="V1552" t="s">
        <v>26150</v>
      </c>
      <c r="W1552" t="s">
        <v>26151</v>
      </c>
      <c r="X1552" t="s">
        <v>26152</v>
      </c>
      <c r="Y1552" t="s">
        <v>26153</v>
      </c>
      <c r="Z1552" t="s">
        <v>25980</v>
      </c>
      <c r="AA1552" t="s">
        <v>25981</v>
      </c>
      <c r="AB1552" t="s">
        <v>25982</v>
      </c>
      <c r="AC1552" t="s">
        <v>74</v>
      </c>
      <c r="AD1552" t="s">
        <v>74</v>
      </c>
      <c r="AE1552" t="s">
        <v>74</v>
      </c>
      <c r="AF1552" t="s">
        <v>74</v>
      </c>
      <c r="AG1552">
        <v>41</v>
      </c>
      <c r="AH1552">
        <v>1</v>
      </c>
      <c r="AI1552">
        <v>1</v>
      </c>
      <c r="AJ1552">
        <v>4</v>
      </c>
      <c r="AK1552">
        <v>12</v>
      </c>
      <c r="AL1552" t="s">
        <v>665</v>
      </c>
      <c r="AM1552" t="s">
        <v>666</v>
      </c>
      <c r="AN1552" t="s">
        <v>667</v>
      </c>
      <c r="AO1552" t="s">
        <v>25983</v>
      </c>
      <c r="AP1552" t="s">
        <v>25984</v>
      </c>
      <c r="AQ1552" t="s">
        <v>74</v>
      </c>
      <c r="AR1552" t="s">
        <v>25985</v>
      </c>
      <c r="AS1552" t="s">
        <v>25986</v>
      </c>
      <c r="AT1552" t="s">
        <v>257</v>
      </c>
      <c r="AU1552">
        <v>2023</v>
      </c>
      <c r="AV1552">
        <v>39</v>
      </c>
      <c r="AW1552">
        <v>2</v>
      </c>
      <c r="AX1552" t="s">
        <v>74</v>
      </c>
      <c r="AY1552" t="s">
        <v>74</v>
      </c>
      <c r="AZ1552" t="s">
        <v>74</v>
      </c>
      <c r="BA1552" t="s">
        <v>74</v>
      </c>
      <c r="BB1552">
        <v>147</v>
      </c>
      <c r="BC1552">
        <v>161</v>
      </c>
      <c r="BD1552" t="s">
        <v>74</v>
      </c>
      <c r="BE1552" t="s">
        <v>26154</v>
      </c>
      <c r="BF1552" t="str">
        <f>HYPERLINK("http://dx.doi.org/10.1007/s12109-023-09948-y","http://dx.doi.org/10.1007/s12109-023-09948-y")</f>
        <v>http://dx.doi.org/10.1007/s12109-023-09948-y</v>
      </c>
      <c r="BG1552" t="s">
        <v>74</v>
      </c>
      <c r="BH1552" t="s">
        <v>6895</v>
      </c>
      <c r="BI1552">
        <v>15</v>
      </c>
      <c r="BJ1552" t="s">
        <v>1162</v>
      </c>
      <c r="BK1552" t="s">
        <v>125</v>
      </c>
      <c r="BL1552" t="s">
        <v>1162</v>
      </c>
      <c r="BM1552" t="s">
        <v>26155</v>
      </c>
      <c r="BN1552" t="s">
        <v>74</v>
      </c>
      <c r="BO1552" t="s">
        <v>74</v>
      </c>
      <c r="BP1552" t="s">
        <v>74</v>
      </c>
      <c r="BQ1552" t="s">
        <v>74</v>
      </c>
      <c r="BR1552" t="s">
        <v>102</v>
      </c>
      <c r="BS1552" t="s">
        <v>26156</v>
      </c>
      <c r="BT1552" t="str">
        <f>HYPERLINK("https%3A%2F%2Fwww.webofscience.com%2Fwos%2Fwoscc%2Ffull-record%2FWOS:000945060000001","View Full Record in Web of Science")</f>
        <v>View Full Record in Web of Science</v>
      </c>
    </row>
    <row r="1553" spans="1:72" x14ac:dyDescent="0.35">
      <c r="A1553" t="s">
        <v>72</v>
      </c>
      <c r="B1553" t="s">
        <v>26157</v>
      </c>
      <c r="C1553" t="s">
        <v>74</v>
      </c>
      <c r="D1553" t="s">
        <v>74</v>
      </c>
      <c r="E1553" t="s">
        <v>74</v>
      </c>
      <c r="F1553" t="s">
        <v>26158</v>
      </c>
      <c r="G1553" t="s">
        <v>74</v>
      </c>
      <c r="H1553" t="s">
        <v>74</v>
      </c>
      <c r="I1553" t="s">
        <v>26159</v>
      </c>
      <c r="J1553" t="s">
        <v>9905</v>
      </c>
      <c r="K1553" t="s">
        <v>74</v>
      </c>
      <c r="L1553" t="s">
        <v>74</v>
      </c>
      <c r="M1553" t="s">
        <v>78</v>
      </c>
      <c r="N1553" t="s">
        <v>108</v>
      </c>
      <c r="O1553" t="s">
        <v>74</v>
      </c>
      <c r="P1553" t="s">
        <v>74</v>
      </c>
      <c r="Q1553" t="s">
        <v>74</v>
      </c>
      <c r="R1553" t="s">
        <v>74</v>
      </c>
      <c r="S1553" t="s">
        <v>74</v>
      </c>
      <c r="T1553" t="s">
        <v>26160</v>
      </c>
      <c r="U1553" t="s">
        <v>74</v>
      </c>
      <c r="V1553" t="s">
        <v>26161</v>
      </c>
      <c r="W1553" t="s">
        <v>26162</v>
      </c>
      <c r="X1553" t="s">
        <v>26163</v>
      </c>
      <c r="Y1553" t="s">
        <v>26164</v>
      </c>
      <c r="Z1553" t="s">
        <v>26165</v>
      </c>
      <c r="AA1553" t="s">
        <v>26166</v>
      </c>
      <c r="AB1553" t="s">
        <v>74</v>
      </c>
      <c r="AC1553" t="s">
        <v>74</v>
      </c>
      <c r="AD1553" t="s">
        <v>74</v>
      </c>
      <c r="AE1553" t="s">
        <v>74</v>
      </c>
      <c r="AF1553" t="s">
        <v>74</v>
      </c>
      <c r="AG1553">
        <v>13</v>
      </c>
      <c r="AH1553">
        <v>2</v>
      </c>
      <c r="AI1553">
        <v>2</v>
      </c>
      <c r="AJ1553">
        <v>1</v>
      </c>
      <c r="AK1553">
        <v>20</v>
      </c>
      <c r="AL1553" t="s">
        <v>171</v>
      </c>
      <c r="AM1553" t="s">
        <v>172</v>
      </c>
      <c r="AN1553" t="s">
        <v>173</v>
      </c>
      <c r="AO1553" t="s">
        <v>9908</v>
      </c>
      <c r="AP1553" t="s">
        <v>9909</v>
      </c>
      <c r="AQ1553" t="s">
        <v>74</v>
      </c>
      <c r="AR1553" t="s">
        <v>9905</v>
      </c>
      <c r="AS1553" t="s">
        <v>9910</v>
      </c>
      <c r="AT1553" t="s">
        <v>930</v>
      </c>
      <c r="AU1553">
        <v>2023</v>
      </c>
      <c r="AV1553">
        <v>104</v>
      </c>
      <c r="AW1553">
        <v>7</v>
      </c>
      <c r="AX1553" t="s">
        <v>74</v>
      </c>
      <c r="AY1553" t="s">
        <v>74</v>
      </c>
      <c r="AZ1553" t="s">
        <v>74</v>
      </c>
      <c r="BA1553" t="s">
        <v>74</v>
      </c>
      <c r="BB1553">
        <v>42</v>
      </c>
      <c r="BC1553">
        <v>46</v>
      </c>
      <c r="BD1553" t="s">
        <v>74</v>
      </c>
      <c r="BE1553" t="s">
        <v>26167</v>
      </c>
      <c r="BF1553" t="str">
        <f>HYPERLINK("http://dx.doi.org/10.1177/00317217231168262","http://dx.doi.org/10.1177/00317217231168262")</f>
        <v>http://dx.doi.org/10.1177/00317217231168262</v>
      </c>
      <c r="BG1553" t="s">
        <v>74</v>
      </c>
      <c r="BH1553" t="s">
        <v>74</v>
      </c>
      <c r="BI1553">
        <v>5</v>
      </c>
      <c r="BJ1553" t="s">
        <v>787</v>
      </c>
      <c r="BK1553" t="s">
        <v>99</v>
      </c>
      <c r="BL1553" t="s">
        <v>787</v>
      </c>
      <c r="BM1553" t="s">
        <v>26168</v>
      </c>
      <c r="BN1553" t="s">
        <v>74</v>
      </c>
      <c r="BO1553" t="s">
        <v>74</v>
      </c>
      <c r="BP1553" t="s">
        <v>74</v>
      </c>
      <c r="BQ1553" t="s">
        <v>74</v>
      </c>
      <c r="BR1553" t="s">
        <v>102</v>
      </c>
      <c r="BS1553" t="s">
        <v>26169</v>
      </c>
      <c r="BT1553" t="str">
        <f>HYPERLINK("https%3A%2F%2Fwww.webofscience.com%2Fwos%2Fwoscc%2Ffull-record%2FWOS:001002441600008","View Full Record in Web of Science")</f>
        <v>View Full Record in Web of Science</v>
      </c>
    </row>
    <row r="1554" spans="1:72" x14ac:dyDescent="0.35">
      <c r="A1554" t="s">
        <v>72</v>
      </c>
      <c r="B1554" t="s">
        <v>26170</v>
      </c>
      <c r="C1554" t="s">
        <v>74</v>
      </c>
      <c r="D1554" t="s">
        <v>74</v>
      </c>
      <c r="E1554" t="s">
        <v>74</v>
      </c>
      <c r="F1554" t="s">
        <v>26171</v>
      </c>
      <c r="G1554" t="s">
        <v>74</v>
      </c>
      <c r="H1554" t="s">
        <v>74</v>
      </c>
      <c r="I1554" t="s">
        <v>26172</v>
      </c>
      <c r="J1554" t="s">
        <v>26173</v>
      </c>
      <c r="K1554" t="s">
        <v>74</v>
      </c>
      <c r="L1554" t="s">
        <v>74</v>
      </c>
      <c r="M1554" t="s">
        <v>78</v>
      </c>
      <c r="N1554" t="s">
        <v>79</v>
      </c>
      <c r="O1554" t="s">
        <v>74</v>
      </c>
      <c r="P1554" t="s">
        <v>74</v>
      </c>
      <c r="Q1554" t="s">
        <v>74</v>
      </c>
      <c r="R1554" t="s">
        <v>74</v>
      </c>
      <c r="S1554" t="s">
        <v>74</v>
      </c>
      <c r="T1554" t="s">
        <v>26174</v>
      </c>
      <c r="U1554" t="s">
        <v>26175</v>
      </c>
      <c r="V1554" t="s">
        <v>26176</v>
      </c>
      <c r="W1554" t="s">
        <v>26177</v>
      </c>
      <c r="X1554" t="s">
        <v>26178</v>
      </c>
      <c r="Y1554" t="s">
        <v>26179</v>
      </c>
      <c r="Z1554" t="s">
        <v>26180</v>
      </c>
      <c r="AA1554" t="s">
        <v>26181</v>
      </c>
      <c r="AB1554" t="s">
        <v>26182</v>
      </c>
      <c r="AC1554" t="s">
        <v>26183</v>
      </c>
      <c r="AD1554" t="s">
        <v>26183</v>
      </c>
      <c r="AE1554" t="s">
        <v>26184</v>
      </c>
      <c r="AF1554" t="s">
        <v>74</v>
      </c>
      <c r="AG1554">
        <v>57</v>
      </c>
      <c r="AH1554">
        <v>0</v>
      </c>
      <c r="AI1554">
        <v>0</v>
      </c>
      <c r="AJ1554">
        <v>3</v>
      </c>
      <c r="AK1554">
        <v>3</v>
      </c>
      <c r="AL1554" t="s">
        <v>4165</v>
      </c>
      <c r="AM1554" t="s">
        <v>640</v>
      </c>
      <c r="AN1554" t="s">
        <v>641</v>
      </c>
      <c r="AO1554" t="s">
        <v>26185</v>
      </c>
      <c r="AP1554" t="s">
        <v>26186</v>
      </c>
      <c r="AQ1554" t="s">
        <v>74</v>
      </c>
      <c r="AR1554" t="s">
        <v>26187</v>
      </c>
      <c r="AS1554" t="s">
        <v>26188</v>
      </c>
      <c r="AT1554" t="s">
        <v>26189</v>
      </c>
      <c r="AU1554">
        <v>2024</v>
      </c>
      <c r="AV1554" t="s">
        <v>74</v>
      </c>
      <c r="AW1554" t="s">
        <v>74</v>
      </c>
      <c r="AX1554" t="s">
        <v>74</v>
      </c>
      <c r="AY1554" t="s">
        <v>74</v>
      </c>
      <c r="AZ1554" t="s">
        <v>74</v>
      </c>
      <c r="BA1554" t="s">
        <v>74</v>
      </c>
      <c r="BB1554" t="s">
        <v>74</v>
      </c>
      <c r="BC1554" t="s">
        <v>74</v>
      </c>
      <c r="BD1554" t="s">
        <v>74</v>
      </c>
      <c r="BE1554" t="s">
        <v>26190</v>
      </c>
      <c r="BF1554" t="str">
        <f>HYPERLINK("http://dx.doi.org/10.1007/s40615-024-02150-6","http://dx.doi.org/10.1007/s40615-024-02150-6")</f>
        <v>http://dx.doi.org/10.1007/s40615-024-02150-6</v>
      </c>
      <c r="BG1554" t="s">
        <v>74</v>
      </c>
      <c r="BH1554" t="s">
        <v>337</v>
      </c>
      <c r="BI1554">
        <v>19</v>
      </c>
      <c r="BJ1554" t="s">
        <v>392</v>
      </c>
      <c r="BK1554" t="s">
        <v>99</v>
      </c>
      <c r="BL1554" t="s">
        <v>392</v>
      </c>
      <c r="BM1554" t="s">
        <v>26191</v>
      </c>
      <c r="BN1554">
        <v>39225965</v>
      </c>
      <c r="BO1554" t="s">
        <v>156</v>
      </c>
      <c r="BP1554" t="s">
        <v>74</v>
      </c>
      <c r="BQ1554" t="s">
        <v>74</v>
      </c>
      <c r="BR1554" t="s">
        <v>102</v>
      </c>
      <c r="BS1554" t="s">
        <v>26192</v>
      </c>
      <c r="BT1554" t="str">
        <f>HYPERLINK("https%3A%2F%2Fwww.webofscience.com%2Fwos%2Fwoscc%2Ffull-record%2FWOS:001304671400005","View Full Record in Web of Science")</f>
        <v>View Full Record in Web of Science</v>
      </c>
    </row>
    <row r="1555" spans="1:72" x14ac:dyDescent="0.35">
      <c r="A1555" t="s">
        <v>72</v>
      </c>
      <c r="B1555" t="s">
        <v>26193</v>
      </c>
      <c r="C1555" t="s">
        <v>74</v>
      </c>
      <c r="D1555" t="s">
        <v>74</v>
      </c>
      <c r="E1555" t="s">
        <v>74</v>
      </c>
      <c r="F1555" t="s">
        <v>26194</v>
      </c>
      <c r="G1555" t="s">
        <v>74</v>
      </c>
      <c r="H1555" t="s">
        <v>74</v>
      </c>
      <c r="I1555" t="s">
        <v>26195</v>
      </c>
      <c r="J1555" t="s">
        <v>216</v>
      </c>
      <c r="K1555" t="s">
        <v>74</v>
      </c>
      <c r="L1555" t="s">
        <v>74</v>
      </c>
      <c r="M1555" t="s">
        <v>78</v>
      </c>
      <c r="N1555" t="s">
        <v>108</v>
      </c>
      <c r="O1555" t="s">
        <v>74</v>
      </c>
      <c r="P1555" t="s">
        <v>74</v>
      </c>
      <c r="Q1555" t="s">
        <v>74</v>
      </c>
      <c r="R1555" t="s">
        <v>74</v>
      </c>
      <c r="S1555" t="s">
        <v>74</v>
      </c>
      <c r="T1555" t="s">
        <v>26196</v>
      </c>
      <c r="U1555" t="s">
        <v>26197</v>
      </c>
      <c r="V1555" t="s">
        <v>26198</v>
      </c>
      <c r="W1555" t="s">
        <v>26199</v>
      </c>
      <c r="X1555" t="s">
        <v>26200</v>
      </c>
      <c r="Y1555" t="s">
        <v>26201</v>
      </c>
      <c r="Z1555" t="s">
        <v>26202</v>
      </c>
      <c r="AA1555" t="s">
        <v>26203</v>
      </c>
      <c r="AB1555" t="s">
        <v>26204</v>
      </c>
      <c r="AC1555" t="s">
        <v>74</v>
      </c>
      <c r="AD1555" t="s">
        <v>74</v>
      </c>
      <c r="AE1555" t="s">
        <v>74</v>
      </c>
      <c r="AF1555" t="s">
        <v>74</v>
      </c>
      <c r="AG1555">
        <v>109</v>
      </c>
      <c r="AH1555">
        <v>0</v>
      </c>
      <c r="AI1555">
        <v>0</v>
      </c>
      <c r="AJ1555">
        <v>7</v>
      </c>
      <c r="AK1555">
        <v>9</v>
      </c>
      <c r="AL1555" t="s">
        <v>226</v>
      </c>
      <c r="AM1555" t="s">
        <v>227</v>
      </c>
      <c r="AN1555" t="s">
        <v>228</v>
      </c>
      <c r="AO1555" t="s">
        <v>229</v>
      </c>
      <c r="AP1555" t="s">
        <v>74</v>
      </c>
      <c r="AQ1555" t="s">
        <v>74</v>
      </c>
      <c r="AR1555" t="s">
        <v>230</v>
      </c>
      <c r="AS1555" t="s">
        <v>231</v>
      </c>
      <c r="AT1555" t="s">
        <v>930</v>
      </c>
      <c r="AU1555">
        <v>2024</v>
      </c>
      <c r="AV1555">
        <v>10</v>
      </c>
      <c r="AW1555">
        <v>2</v>
      </c>
      <c r="AX1555" t="s">
        <v>74</v>
      </c>
      <c r="AY1555" t="s">
        <v>74</v>
      </c>
      <c r="AZ1555" t="s">
        <v>74</v>
      </c>
      <c r="BA1555" t="s">
        <v>74</v>
      </c>
      <c r="BB1555" t="s">
        <v>74</v>
      </c>
      <c r="BC1555" t="s">
        <v>74</v>
      </c>
      <c r="BD1555">
        <v>2.0563051241242796E+16</v>
      </c>
      <c r="BE1555" t="s">
        <v>26205</v>
      </c>
      <c r="BF1555" t="str">
        <f>HYPERLINK("http://dx.doi.org/10.1177/20563051241242797","http://dx.doi.org/10.1177/20563051241242797")</f>
        <v>http://dx.doi.org/10.1177/20563051241242797</v>
      </c>
      <c r="BG1555" t="s">
        <v>74</v>
      </c>
      <c r="BH1555" t="s">
        <v>74</v>
      </c>
      <c r="BI1555">
        <v>16</v>
      </c>
      <c r="BJ1555" t="s">
        <v>124</v>
      </c>
      <c r="BK1555" t="s">
        <v>99</v>
      </c>
      <c r="BL1555" t="s">
        <v>124</v>
      </c>
      <c r="BM1555" t="s">
        <v>26206</v>
      </c>
      <c r="BN1555" t="s">
        <v>74</v>
      </c>
      <c r="BO1555" t="s">
        <v>235</v>
      </c>
      <c r="BP1555" t="s">
        <v>74</v>
      </c>
      <c r="BQ1555" t="s">
        <v>74</v>
      </c>
      <c r="BR1555" t="s">
        <v>102</v>
      </c>
      <c r="BS1555" t="s">
        <v>26207</v>
      </c>
      <c r="BT1555" t="str">
        <f>HYPERLINK("https%3A%2F%2Fwww.webofscience.com%2Fwos%2Fwoscc%2Ffull-record%2FWOS:001206382200001","View Full Record in Web of Science")</f>
        <v>View Full Record in Web of Science</v>
      </c>
    </row>
    <row r="1556" spans="1:72" x14ac:dyDescent="0.35">
      <c r="A1556" t="s">
        <v>128</v>
      </c>
      <c r="B1556" t="s">
        <v>26208</v>
      </c>
      <c r="C1556" t="s">
        <v>74</v>
      </c>
      <c r="D1556" t="s">
        <v>74</v>
      </c>
      <c r="E1556" t="s">
        <v>1677</v>
      </c>
      <c r="F1556" t="s">
        <v>26209</v>
      </c>
      <c r="G1556" t="s">
        <v>74</v>
      </c>
      <c r="H1556" t="s">
        <v>74</v>
      </c>
      <c r="I1556" t="s">
        <v>26210</v>
      </c>
      <c r="J1556" t="s">
        <v>26211</v>
      </c>
      <c r="K1556" t="s">
        <v>26212</v>
      </c>
      <c r="L1556" t="s">
        <v>74</v>
      </c>
      <c r="M1556" t="s">
        <v>78</v>
      </c>
      <c r="N1556" t="s">
        <v>135</v>
      </c>
      <c r="O1556" t="s">
        <v>26213</v>
      </c>
      <c r="P1556" t="s">
        <v>26214</v>
      </c>
      <c r="Q1556" t="s">
        <v>138</v>
      </c>
      <c r="R1556" t="s">
        <v>1677</v>
      </c>
      <c r="S1556" t="s">
        <v>74</v>
      </c>
      <c r="T1556" t="s">
        <v>26215</v>
      </c>
      <c r="U1556" t="s">
        <v>74</v>
      </c>
      <c r="V1556" t="s">
        <v>26216</v>
      </c>
      <c r="W1556" t="s">
        <v>26217</v>
      </c>
      <c r="X1556" t="s">
        <v>26218</v>
      </c>
      <c r="Y1556" t="s">
        <v>26219</v>
      </c>
      <c r="Z1556" t="s">
        <v>26220</v>
      </c>
      <c r="AA1556" t="s">
        <v>26221</v>
      </c>
      <c r="AB1556" t="s">
        <v>26222</v>
      </c>
      <c r="AC1556" t="s">
        <v>26223</v>
      </c>
      <c r="AD1556" t="s">
        <v>26224</v>
      </c>
      <c r="AE1556" t="s">
        <v>26225</v>
      </c>
      <c r="AF1556" t="s">
        <v>74</v>
      </c>
      <c r="AG1556">
        <v>11</v>
      </c>
      <c r="AH1556">
        <v>3</v>
      </c>
      <c r="AI1556">
        <v>3</v>
      </c>
      <c r="AJ1556">
        <v>6</v>
      </c>
      <c r="AK1556">
        <v>22</v>
      </c>
      <c r="AL1556" t="s">
        <v>1677</v>
      </c>
      <c r="AM1556" t="s">
        <v>666</v>
      </c>
      <c r="AN1556" t="s">
        <v>1692</v>
      </c>
      <c r="AO1556" t="s">
        <v>26226</v>
      </c>
      <c r="AP1556" t="s">
        <v>74</v>
      </c>
      <c r="AQ1556" t="s">
        <v>26227</v>
      </c>
      <c r="AR1556" t="s">
        <v>26228</v>
      </c>
      <c r="AS1556" t="s">
        <v>74</v>
      </c>
      <c r="AT1556" t="s">
        <v>74</v>
      </c>
      <c r="AU1556">
        <v>2022</v>
      </c>
      <c r="AV1556" t="s">
        <v>74</v>
      </c>
      <c r="AW1556" t="s">
        <v>74</v>
      </c>
      <c r="AX1556" t="s">
        <v>74</v>
      </c>
      <c r="AY1556" t="s">
        <v>74</v>
      </c>
      <c r="AZ1556" t="s">
        <v>74</v>
      </c>
      <c r="BA1556" t="s">
        <v>74</v>
      </c>
      <c r="BB1556" t="s">
        <v>74</v>
      </c>
      <c r="BC1556" t="s">
        <v>74</v>
      </c>
      <c r="BD1556" t="s">
        <v>74</v>
      </c>
      <c r="BE1556" t="s">
        <v>26229</v>
      </c>
      <c r="BF1556" t="str">
        <f>HYPERLINK("http://dx.doi.org/10.1109/MMSP55362.2022.9948738","http://dx.doi.org/10.1109/MMSP55362.2022.9948738")</f>
        <v>http://dx.doi.org/10.1109/MMSP55362.2022.9948738</v>
      </c>
      <c r="BG1556" t="s">
        <v>74</v>
      </c>
      <c r="BH1556" t="s">
        <v>74</v>
      </c>
      <c r="BI1556">
        <v>5</v>
      </c>
      <c r="BJ1556" t="s">
        <v>26230</v>
      </c>
      <c r="BK1556" t="s">
        <v>723</v>
      </c>
      <c r="BL1556" t="s">
        <v>26231</v>
      </c>
      <c r="BM1556" t="s">
        <v>26232</v>
      </c>
      <c r="BN1556" t="s">
        <v>74</v>
      </c>
      <c r="BO1556" t="s">
        <v>2738</v>
      </c>
      <c r="BP1556" t="s">
        <v>74</v>
      </c>
      <c r="BQ1556" t="s">
        <v>74</v>
      </c>
      <c r="BR1556" t="s">
        <v>102</v>
      </c>
      <c r="BS1556" t="s">
        <v>26233</v>
      </c>
      <c r="BT1556" t="str">
        <f>HYPERLINK("https%3A%2F%2Fwww.webofscience.com%2Fwos%2Fwoscc%2Ffull-record%2FWOS:000893205800011","View Full Record in Web of Science")</f>
        <v>View Full Record in Web of Science</v>
      </c>
    </row>
    <row r="1557" spans="1:72" x14ac:dyDescent="0.35">
      <c r="A1557" t="s">
        <v>72</v>
      </c>
      <c r="B1557" t="s">
        <v>26234</v>
      </c>
      <c r="C1557" t="s">
        <v>74</v>
      </c>
      <c r="D1557" t="s">
        <v>74</v>
      </c>
      <c r="E1557" t="s">
        <v>74</v>
      </c>
      <c r="F1557" t="s">
        <v>26235</v>
      </c>
      <c r="G1557" t="s">
        <v>74</v>
      </c>
      <c r="H1557" t="s">
        <v>74</v>
      </c>
      <c r="I1557" t="s">
        <v>26236</v>
      </c>
      <c r="J1557" t="s">
        <v>9514</v>
      </c>
      <c r="K1557" t="s">
        <v>74</v>
      </c>
      <c r="L1557" t="s">
        <v>74</v>
      </c>
      <c r="M1557" t="s">
        <v>78</v>
      </c>
      <c r="N1557" t="s">
        <v>374</v>
      </c>
      <c r="O1557" t="s">
        <v>74</v>
      </c>
      <c r="P1557" t="s">
        <v>74</v>
      </c>
      <c r="Q1557" t="s">
        <v>74</v>
      </c>
      <c r="R1557" t="s">
        <v>74</v>
      </c>
      <c r="S1557" t="s">
        <v>74</v>
      </c>
      <c r="T1557" t="s">
        <v>74</v>
      </c>
      <c r="U1557" t="s">
        <v>26237</v>
      </c>
      <c r="V1557" t="s">
        <v>26238</v>
      </c>
      <c r="W1557" t="s">
        <v>26239</v>
      </c>
      <c r="X1557" t="s">
        <v>9093</v>
      </c>
      <c r="Y1557" t="s">
        <v>26240</v>
      </c>
      <c r="Z1557" t="s">
        <v>26241</v>
      </c>
      <c r="AA1557" t="s">
        <v>74</v>
      </c>
      <c r="AB1557" t="s">
        <v>26242</v>
      </c>
      <c r="AC1557" t="s">
        <v>74</v>
      </c>
      <c r="AD1557" t="s">
        <v>74</v>
      </c>
      <c r="AE1557" t="s">
        <v>74</v>
      </c>
      <c r="AF1557" t="s">
        <v>74</v>
      </c>
      <c r="AG1557">
        <v>18</v>
      </c>
      <c r="AH1557">
        <v>12</v>
      </c>
      <c r="AI1557">
        <v>12</v>
      </c>
      <c r="AJ1557">
        <v>4</v>
      </c>
      <c r="AK1557">
        <v>7</v>
      </c>
      <c r="AL1557" t="s">
        <v>8334</v>
      </c>
      <c r="AM1557" t="s">
        <v>291</v>
      </c>
      <c r="AN1557" t="s">
        <v>8335</v>
      </c>
      <c r="AO1557" t="s">
        <v>74</v>
      </c>
      <c r="AP1557" t="s">
        <v>9522</v>
      </c>
      <c r="AQ1557" t="s">
        <v>74</v>
      </c>
      <c r="AR1557" t="s">
        <v>9523</v>
      </c>
      <c r="AS1557" t="s">
        <v>9524</v>
      </c>
      <c r="AT1557" t="s">
        <v>9525</v>
      </c>
      <c r="AU1557">
        <v>2023</v>
      </c>
      <c r="AV1557">
        <v>5</v>
      </c>
      <c r="AW1557" t="s">
        <v>74</v>
      </c>
      <c r="AX1557" t="s">
        <v>74</v>
      </c>
      <c r="AY1557" t="s">
        <v>74</v>
      </c>
      <c r="AZ1557" t="s">
        <v>74</v>
      </c>
      <c r="BA1557" t="s">
        <v>74</v>
      </c>
      <c r="BB1557" t="s">
        <v>74</v>
      </c>
      <c r="BC1557" t="s">
        <v>74</v>
      </c>
      <c r="BD1557" t="s">
        <v>26243</v>
      </c>
      <c r="BE1557" t="s">
        <v>26244</v>
      </c>
      <c r="BF1557" t="str">
        <f>HYPERLINK("http://dx.doi.org/10.1093/asjof/ojad024","http://dx.doi.org/10.1093/asjof/ojad024")</f>
        <v>http://dx.doi.org/10.1093/asjof/ojad024</v>
      </c>
      <c r="BG1557" t="s">
        <v>74</v>
      </c>
      <c r="BH1557" t="s">
        <v>299</v>
      </c>
      <c r="BI1557">
        <v>9</v>
      </c>
      <c r="BJ1557" t="s">
        <v>4994</v>
      </c>
      <c r="BK1557" t="s">
        <v>125</v>
      </c>
      <c r="BL1557" t="s">
        <v>4994</v>
      </c>
      <c r="BM1557" t="s">
        <v>9528</v>
      </c>
      <c r="BN1557">
        <v>37033450</v>
      </c>
      <c r="BO1557" t="s">
        <v>394</v>
      </c>
      <c r="BP1557" t="s">
        <v>74</v>
      </c>
      <c r="BQ1557" t="s">
        <v>74</v>
      </c>
      <c r="BR1557" t="s">
        <v>102</v>
      </c>
      <c r="BS1557" t="s">
        <v>26245</v>
      </c>
      <c r="BT1557" t="str">
        <f>HYPERLINK("https%3A%2F%2Fwww.webofscience.com%2Fwos%2Fwoscc%2Ffull-record%2FWOS:001133595800035","View Full Record in Web of Science")</f>
        <v>View Full Record in Web of Science</v>
      </c>
    </row>
    <row r="1558" spans="1:72" x14ac:dyDescent="0.35">
      <c r="A1558" t="s">
        <v>72</v>
      </c>
      <c r="B1558" t="s">
        <v>26246</v>
      </c>
      <c r="C1558" t="s">
        <v>74</v>
      </c>
      <c r="D1558" t="s">
        <v>74</v>
      </c>
      <c r="E1558" t="s">
        <v>74</v>
      </c>
      <c r="F1558" t="s">
        <v>26247</v>
      </c>
      <c r="G1558" t="s">
        <v>74</v>
      </c>
      <c r="H1558" t="s">
        <v>74</v>
      </c>
      <c r="I1558" t="s">
        <v>26248</v>
      </c>
      <c r="J1558" t="s">
        <v>20665</v>
      </c>
      <c r="K1558" t="s">
        <v>74</v>
      </c>
      <c r="L1558" t="s">
        <v>74</v>
      </c>
      <c r="M1558" t="s">
        <v>78</v>
      </c>
      <c r="N1558" t="s">
        <v>108</v>
      </c>
      <c r="O1558" t="s">
        <v>74</v>
      </c>
      <c r="P1558" t="s">
        <v>74</v>
      </c>
      <c r="Q1558" t="s">
        <v>74</v>
      </c>
      <c r="R1558" t="s">
        <v>74</v>
      </c>
      <c r="S1558" t="s">
        <v>74</v>
      </c>
      <c r="T1558" t="s">
        <v>26249</v>
      </c>
      <c r="U1558" t="s">
        <v>74</v>
      </c>
      <c r="V1558" t="s">
        <v>26250</v>
      </c>
      <c r="W1558" t="s">
        <v>26251</v>
      </c>
      <c r="X1558" t="s">
        <v>13900</v>
      </c>
      <c r="Y1558" t="s">
        <v>26252</v>
      </c>
      <c r="Z1558" t="s">
        <v>26253</v>
      </c>
      <c r="AA1558" t="s">
        <v>74</v>
      </c>
      <c r="AB1558" t="s">
        <v>74</v>
      </c>
      <c r="AC1558" t="s">
        <v>74</v>
      </c>
      <c r="AD1558" t="s">
        <v>74</v>
      </c>
      <c r="AE1558" t="s">
        <v>74</v>
      </c>
      <c r="AF1558" t="s">
        <v>74</v>
      </c>
      <c r="AG1558">
        <v>36</v>
      </c>
      <c r="AH1558">
        <v>2</v>
      </c>
      <c r="AI1558">
        <v>3</v>
      </c>
      <c r="AJ1558">
        <v>0</v>
      </c>
      <c r="AK1558">
        <v>0</v>
      </c>
      <c r="AL1558" t="s">
        <v>20673</v>
      </c>
      <c r="AM1558" t="s">
        <v>20674</v>
      </c>
      <c r="AN1558" t="s">
        <v>20675</v>
      </c>
      <c r="AO1558" t="s">
        <v>20676</v>
      </c>
      <c r="AP1558" t="s">
        <v>20677</v>
      </c>
      <c r="AQ1558" t="s">
        <v>74</v>
      </c>
      <c r="AR1558" t="s">
        <v>20678</v>
      </c>
      <c r="AS1558" t="s">
        <v>20679</v>
      </c>
      <c r="AT1558" t="s">
        <v>1484</v>
      </c>
      <c r="AU1558">
        <v>2022</v>
      </c>
      <c r="AV1558">
        <v>15</v>
      </c>
      <c r="AW1558">
        <v>1</v>
      </c>
      <c r="AX1558" t="s">
        <v>74</v>
      </c>
      <c r="AY1558" t="s">
        <v>74</v>
      </c>
      <c r="AZ1558" t="s">
        <v>74</v>
      </c>
      <c r="BA1558" t="s">
        <v>74</v>
      </c>
      <c r="BB1558">
        <v>1</v>
      </c>
      <c r="BC1558">
        <v>16</v>
      </c>
      <c r="BD1558" t="s">
        <v>74</v>
      </c>
      <c r="BE1558" t="s">
        <v>26254</v>
      </c>
      <c r="BF1558" t="str">
        <f>HYPERLINK("http://dx.doi.org/10.3167/ghs.2022.150102","http://dx.doi.org/10.3167/ghs.2022.150102")</f>
        <v>http://dx.doi.org/10.3167/ghs.2022.150102</v>
      </c>
      <c r="BG1558" t="s">
        <v>74</v>
      </c>
      <c r="BH1558" t="s">
        <v>74</v>
      </c>
      <c r="BI1558">
        <v>16</v>
      </c>
      <c r="BJ1558" t="s">
        <v>98</v>
      </c>
      <c r="BK1558" t="s">
        <v>125</v>
      </c>
      <c r="BL1558" t="s">
        <v>100</v>
      </c>
      <c r="BM1558" t="s">
        <v>26255</v>
      </c>
      <c r="BN1558" t="s">
        <v>74</v>
      </c>
      <c r="BO1558" t="s">
        <v>74</v>
      </c>
      <c r="BP1558" t="s">
        <v>74</v>
      </c>
      <c r="BQ1558" t="s">
        <v>74</v>
      </c>
      <c r="BR1558" t="s">
        <v>102</v>
      </c>
      <c r="BS1558" t="s">
        <v>26256</v>
      </c>
      <c r="BT1558" t="str">
        <f>HYPERLINK("https%3A%2F%2Fwww.webofscience.com%2Fwos%2Fwoscc%2Ffull-record%2FWOS:000760475200002","View Full Record in Web of Science")</f>
        <v>View Full Record in Web of Science</v>
      </c>
    </row>
    <row r="1559" spans="1:72" x14ac:dyDescent="0.35">
      <c r="A1559" t="s">
        <v>72</v>
      </c>
      <c r="B1559" t="s">
        <v>26257</v>
      </c>
      <c r="C1559" t="s">
        <v>74</v>
      </c>
      <c r="D1559" t="s">
        <v>74</v>
      </c>
      <c r="E1559" t="s">
        <v>74</v>
      </c>
      <c r="F1559" t="s">
        <v>26258</v>
      </c>
      <c r="G1559" t="s">
        <v>74</v>
      </c>
      <c r="H1559" t="s">
        <v>74</v>
      </c>
      <c r="I1559" t="s">
        <v>26259</v>
      </c>
      <c r="J1559" t="s">
        <v>26260</v>
      </c>
      <c r="K1559" t="s">
        <v>74</v>
      </c>
      <c r="L1559" t="s">
        <v>74</v>
      </c>
      <c r="M1559" t="s">
        <v>78</v>
      </c>
      <c r="N1559" t="s">
        <v>108</v>
      </c>
      <c r="O1559" t="s">
        <v>74</v>
      </c>
      <c r="P1559" t="s">
        <v>74</v>
      </c>
      <c r="Q1559" t="s">
        <v>74</v>
      </c>
      <c r="R1559" t="s">
        <v>74</v>
      </c>
      <c r="S1559" t="s">
        <v>74</v>
      </c>
      <c r="T1559" t="s">
        <v>26261</v>
      </c>
      <c r="U1559" t="s">
        <v>26262</v>
      </c>
      <c r="V1559" t="s">
        <v>26263</v>
      </c>
      <c r="W1559" t="s">
        <v>26264</v>
      </c>
      <c r="X1559" t="s">
        <v>74</v>
      </c>
      <c r="Y1559" t="s">
        <v>26265</v>
      </c>
      <c r="Z1559" t="s">
        <v>26266</v>
      </c>
      <c r="AA1559" t="s">
        <v>26267</v>
      </c>
      <c r="AB1559" t="s">
        <v>26268</v>
      </c>
      <c r="AC1559" t="s">
        <v>74</v>
      </c>
      <c r="AD1559" t="s">
        <v>74</v>
      </c>
      <c r="AE1559" t="s">
        <v>74</v>
      </c>
      <c r="AF1559" t="s">
        <v>74</v>
      </c>
      <c r="AG1559">
        <v>69</v>
      </c>
      <c r="AH1559">
        <v>0</v>
      </c>
      <c r="AI1559">
        <v>0</v>
      </c>
      <c r="AJ1559">
        <v>0</v>
      </c>
      <c r="AK1559">
        <v>0</v>
      </c>
      <c r="AL1559" t="s">
        <v>1061</v>
      </c>
      <c r="AM1559" t="s">
        <v>1062</v>
      </c>
      <c r="AN1559" t="s">
        <v>1063</v>
      </c>
      <c r="AO1559" t="s">
        <v>26269</v>
      </c>
      <c r="AP1559" t="s">
        <v>26270</v>
      </c>
      <c r="AQ1559" t="s">
        <v>74</v>
      </c>
      <c r="AR1559" t="s">
        <v>26271</v>
      </c>
      <c r="AS1559" t="s">
        <v>26272</v>
      </c>
      <c r="AT1559" t="s">
        <v>257</v>
      </c>
      <c r="AU1559">
        <v>2024</v>
      </c>
      <c r="AV1559">
        <v>67</v>
      </c>
      <c r="AW1559">
        <v>2</v>
      </c>
      <c r="AX1559" t="s">
        <v>74</v>
      </c>
      <c r="AY1559" t="s">
        <v>74</v>
      </c>
      <c r="AZ1559" t="s">
        <v>74</v>
      </c>
      <c r="BA1559" t="s">
        <v>74</v>
      </c>
      <c r="BB1559">
        <v>351</v>
      </c>
      <c r="BC1559">
        <v>371</v>
      </c>
      <c r="BD1559" t="s">
        <v>74</v>
      </c>
      <c r="BE1559" t="s">
        <v>26273</v>
      </c>
      <c r="BF1559" t="str">
        <f>HYPERLINK("http://dx.doi.org/10.1017/asr.2024.47","http://dx.doi.org/10.1017/asr.2024.47")</f>
        <v>http://dx.doi.org/10.1017/asr.2024.47</v>
      </c>
      <c r="BG1559" t="s">
        <v>74</v>
      </c>
      <c r="BH1559" t="s">
        <v>1467</v>
      </c>
      <c r="BI1559">
        <v>21</v>
      </c>
      <c r="BJ1559" t="s">
        <v>5420</v>
      </c>
      <c r="BK1559" t="s">
        <v>99</v>
      </c>
      <c r="BL1559" t="s">
        <v>5420</v>
      </c>
      <c r="BM1559" t="s">
        <v>26274</v>
      </c>
      <c r="BN1559" t="s">
        <v>74</v>
      </c>
      <c r="BO1559" t="s">
        <v>74</v>
      </c>
      <c r="BP1559" t="s">
        <v>74</v>
      </c>
      <c r="BQ1559" t="s">
        <v>74</v>
      </c>
      <c r="BR1559" t="s">
        <v>102</v>
      </c>
      <c r="BS1559" t="s">
        <v>26275</v>
      </c>
      <c r="BT1559" t="str">
        <f>HYPERLINK("https%3A%2F%2Fwww.webofscience.com%2Fwos%2Fwoscc%2Ffull-record%2FWOS:001220625400001","View Full Record in Web of Science")</f>
        <v>View Full Record in Web of Science</v>
      </c>
    </row>
    <row r="1560" spans="1:72" x14ac:dyDescent="0.35">
      <c r="A1560" t="s">
        <v>72</v>
      </c>
      <c r="B1560" t="s">
        <v>26276</v>
      </c>
      <c r="C1560" t="s">
        <v>74</v>
      </c>
      <c r="D1560" t="s">
        <v>74</v>
      </c>
      <c r="E1560" t="s">
        <v>74</v>
      </c>
      <c r="F1560" t="s">
        <v>26277</v>
      </c>
      <c r="G1560" t="s">
        <v>74</v>
      </c>
      <c r="H1560" t="s">
        <v>74</v>
      </c>
      <c r="I1560" t="s">
        <v>26278</v>
      </c>
      <c r="J1560" t="s">
        <v>26279</v>
      </c>
      <c r="K1560" t="s">
        <v>74</v>
      </c>
      <c r="L1560" t="s">
        <v>74</v>
      </c>
      <c r="M1560" t="s">
        <v>7332</v>
      </c>
      <c r="N1560" t="s">
        <v>108</v>
      </c>
      <c r="O1560" t="s">
        <v>74</v>
      </c>
      <c r="P1560" t="s">
        <v>74</v>
      </c>
      <c r="Q1560" t="s">
        <v>74</v>
      </c>
      <c r="R1560" t="s">
        <v>74</v>
      </c>
      <c r="S1560" t="s">
        <v>74</v>
      </c>
      <c r="T1560" t="s">
        <v>26280</v>
      </c>
      <c r="U1560" t="s">
        <v>74</v>
      </c>
      <c r="V1560" t="s">
        <v>26281</v>
      </c>
      <c r="W1560" t="s">
        <v>26282</v>
      </c>
      <c r="X1560" t="s">
        <v>26283</v>
      </c>
      <c r="Y1560" t="s">
        <v>26284</v>
      </c>
      <c r="Z1560" t="s">
        <v>26285</v>
      </c>
      <c r="AA1560" t="s">
        <v>26286</v>
      </c>
      <c r="AB1560" t="s">
        <v>26287</v>
      </c>
      <c r="AC1560" t="s">
        <v>74</v>
      </c>
      <c r="AD1560" t="s">
        <v>74</v>
      </c>
      <c r="AE1560" t="s">
        <v>74</v>
      </c>
      <c r="AF1560" t="s">
        <v>74</v>
      </c>
      <c r="AG1560">
        <v>34</v>
      </c>
      <c r="AH1560">
        <v>1</v>
      </c>
      <c r="AI1560">
        <v>1</v>
      </c>
      <c r="AJ1560">
        <v>1</v>
      </c>
      <c r="AK1560">
        <v>13</v>
      </c>
      <c r="AL1560" t="s">
        <v>26288</v>
      </c>
      <c r="AM1560" t="s">
        <v>26289</v>
      </c>
      <c r="AN1560" t="s">
        <v>26290</v>
      </c>
      <c r="AO1560" t="s">
        <v>26291</v>
      </c>
      <c r="AP1560" t="s">
        <v>74</v>
      </c>
      <c r="AQ1560" t="s">
        <v>74</v>
      </c>
      <c r="AR1560" t="s">
        <v>26279</v>
      </c>
      <c r="AS1560" t="s">
        <v>26279</v>
      </c>
      <c r="AT1560" t="s">
        <v>8630</v>
      </c>
      <c r="AU1560">
        <v>2022</v>
      </c>
      <c r="AV1560">
        <v>24</v>
      </c>
      <c r="AW1560">
        <v>2</v>
      </c>
      <c r="AX1560" t="s">
        <v>74</v>
      </c>
      <c r="AY1560" t="s">
        <v>74</v>
      </c>
      <c r="AZ1560" t="s">
        <v>74</v>
      </c>
      <c r="BA1560" t="s">
        <v>74</v>
      </c>
      <c r="BB1560">
        <v>47</v>
      </c>
      <c r="BC1560">
        <v>64</v>
      </c>
      <c r="BD1560" t="s">
        <v>74</v>
      </c>
      <c r="BE1560" t="s">
        <v>74</v>
      </c>
      <c r="BF1560" t="s">
        <v>74</v>
      </c>
      <c r="BG1560" t="s">
        <v>74</v>
      </c>
      <c r="BH1560" t="s">
        <v>74</v>
      </c>
      <c r="BI1560">
        <v>18</v>
      </c>
      <c r="BJ1560" t="s">
        <v>675</v>
      </c>
      <c r="BK1560" t="s">
        <v>125</v>
      </c>
      <c r="BL1560" t="s">
        <v>480</v>
      </c>
      <c r="BM1560" t="s">
        <v>26292</v>
      </c>
      <c r="BN1560" t="s">
        <v>74</v>
      </c>
      <c r="BO1560" t="s">
        <v>74</v>
      </c>
      <c r="BP1560" t="s">
        <v>74</v>
      </c>
      <c r="BQ1560" t="s">
        <v>74</v>
      </c>
      <c r="BR1560" t="s">
        <v>102</v>
      </c>
      <c r="BS1560" t="s">
        <v>26293</v>
      </c>
      <c r="BT1560" t="str">
        <f>HYPERLINK("https%3A%2F%2Fwww.webofscience.com%2Fwos%2Fwoscc%2Ffull-record%2FWOS:000879937600004","View Full Record in Web of Science")</f>
        <v>View Full Record in Web of Science</v>
      </c>
    </row>
    <row r="1561" spans="1:72" x14ac:dyDescent="0.35">
      <c r="A1561" t="s">
        <v>128</v>
      </c>
      <c r="B1561" t="s">
        <v>26294</v>
      </c>
      <c r="C1561" t="s">
        <v>74</v>
      </c>
      <c r="D1561" t="s">
        <v>26295</v>
      </c>
      <c r="E1561" t="s">
        <v>74</v>
      </c>
      <c r="F1561" t="s">
        <v>26296</v>
      </c>
      <c r="G1561" t="s">
        <v>74</v>
      </c>
      <c r="H1561" t="s">
        <v>74</v>
      </c>
      <c r="I1561" t="s">
        <v>26297</v>
      </c>
      <c r="J1561" t="s">
        <v>26298</v>
      </c>
      <c r="K1561" t="s">
        <v>26299</v>
      </c>
      <c r="L1561" t="s">
        <v>74</v>
      </c>
      <c r="M1561" t="s">
        <v>78</v>
      </c>
      <c r="N1561" t="s">
        <v>135</v>
      </c>
      <c r="O1561" t="s">
        <v>26300</v>
      </c>
      <c r="P1561" t="s">
        <v>26301</v>
      </c>
      <c r="Q1561" t="s">
        <v>26302</v>
      </c>
      <c r="R1561" t="s">
        <v>26303</v>
      </c>
      <c r="S1561" t="s">
        <v>74</v>
      </c>
      <c r="T1561" t="s">
        <v>74</v>
      </c>
      <c r="U1561" t="s">
        <v>74</v>
      </c>
      <c r="V1561" t="s">
        <v>26304</v>
      </c>
      <c r="W1561" t="s">
        <v>26305</v>
      </c>
      <c r="X1561" t="s">
        <v>74</v>
      </c>
      <c r="Y1561" t="s">
        <v>26306</v>
      </c>
      <c r="Z1561" t="s">
        <v>26307</v>
      </c>
      <c r="AA1561" t="s">
        <v>74</v>
      </c>
      <c r="AB1561" t="s">
        <v>74</v>
      </c>
      <c r="AC1561" t="s">
        <v>74</v>
      </c>
      <c r="AD1561" t="s">
        <v>74</v>
      </c>
      <c r="AE1561" t="s">
        <v>74</v>
      </c>
      <c r="AF1561" t="s">
        <v>74</v>
      </c>
      <c r="AG1561">
        <v>7</v>
      </c>
      <c r="AH1561">
        <v>0</v>
      </c>
      <c r="AI1561">
        <v>0</v>
      </c>
      <c r="AJ1561">
        <v>0</v>
      </c>
      <c r="AK1561">
        <v>0</v>
      </c>
      <c r="AL1561" t="s">
        <v>1677</v>
      </c>
      <c r="AM1561" t="s">
        <v>666</v>
      </c>
      <c r="AN1561" t="s">
        <v>1692</v>
      </c>
      <c r="AO1561" t="s">
        <v>26308</v>
      </c>
      <c r="AP1561" t="s">
        <v>74</v>
      </c>
      <c r="AQ1561" t="s">
        <v>26309</v>
      </c>
      <c r="AR1561" t="s">
        <v>26310</v>
      </c>
      <c r="AS1561" t="s">
        <v>74</v>
      </c>
      <c r="AT1561" t="s">
        <v>74</v>
      </c>
      <c r="AU1561">
        <v>2023</v>
      </c>
      <c r="AV1561" t="s">
        <v>74</v>
      </c>
      <c r="AW1561" t="s">
        <v>74</v>
      </c>
      <c r="AX1561" t="s">
        <v>74</v>
      </c>
      <c r="AY1561" t="s">
        <v>74</v>
      </c>
      <c r="AZ1561" t="s">
        <v>74</v>
      </c>
      <c r="BA1561" t="s">
        <v>74</v>
      </c>
      <c r="BB1561">
        <v>180</v>
      </c>
      <c r="BC1561">
        <v>181</v>
      </c>
      <c r="BD1561" t="s">
        <v>74</v>
      </c>
      <c r="BE1561" t="s">
        <v>26311</v>
      </c>
      <c r="BF1561" t="str">
        <f>HYPERLINK("http://dx.doi.org/10.1109/NFV-SDN59219.2023.10329599","http://dx.doi.org/10.1109/NFV-SDN59219.2023.10329599")</f>
        <v>http://dx.doi.org/10.1109/NFV-SDN59219.2023.10329599</v>
      </c>
      <c r="BG1561" t="s">
        <v>74</v>
      </c>
      <c r="BH1561" t="s">
        <v>74</v>
      </c>
      <c r="BI1561">
        <v>2</v>
      </c>
      <c r="BJ1561" t="s">
        <v>26312</v>
      </c>
      <c r="BK1561" t="s">
        <v>723</v>
      </c>
      <c r="BL1561" t="s">
        <v>25130</v>
      </c>
      <c r="BM1561" t="s">
        <v>26313</v>
      </c>
      <c r="BN1561" t="s">
        <v>74</v>
      </c>
      <c r="BO1561" t="s">
        <v>74</v>
      </c>
      <c r="BP1561" t="s">
        <v>74</v>
      </c>
      <c r="BQ1561" t="s">
        <v>74</v>
      </c>
      <c r="BR1561" t="s">
        <v>102</v>
      </c>
      <c r="BS1561" t="s">
        <v>26314</v>
      </c>
      <c r="BT1561" t="str">
        <f>HYPERLINK("https%3A%2F%2Fwww.webofscience.com%2Fwos%2Fwoscc%2Ffull-record%2FWOS:001117716300031","View Full Record in Web of Science")</f>
        <v>View Full Record in Web of Science</v>
      </c>
    </row>
    <row r="1562" spans="1:72" x14ac:dyDescent="0.35">
      <c r="A1562" t="s">
        <v>72</v>
      </c>
      <c r="B1562" t="s">
        <v>26315</v>
      </c>
      <c r="C1562" t="s">
        <v>74</v>
      </c>
      <c r="D1562" t="s">
        <v>74</v>
      </c>
      <c r="E1562" t="s">
        <v>74</v>
      </c>
      <c r="F1562" t="s">
        <v>26316</v>
      </c>
      <c r="G1562" t="s">
        <v>74</v>
      </c>
      <c r="H1562" t="s">
        <v>74</v>
      </c>
      <c r="I1562" t="s">
        <v>26317</v>
      </c>
      <c r="J1562" t="s">
        <v>8277</v>
      </c>
      <c r="K1562" t="s">
        <v>74</v>
      </c>
      <c r="L1562" t="s">
        <v>74</v>
      </c>
      <c r="M1562" t="s">
        <v>18284</v>
      </c>
      <c r="N1562" t="s">
        <v>108</v>
      </c>
      <c r="O1562" t="s">
        <v>74</v>
      </c>
      <c r="P1562" t="s">
        <v>74</v>
      </c>
      <c r="Q1562" t="s">
        <v>74</v>
      </c>
      <c r="R1562" t="s">
        <v>74</v>
      </c>
      <c r="S1562" t="s">
        <v>74</v>
      </c>
      <c r="T1562" t="s">
        <v>26318</v>
      </c>
      <c r="U1562" t="s">
        <v>26319</v>
      </c>
      <c r="V1562" t="s">
        <v>26320</v>
      </c>
      <c r="W1562" t="s">
        <v>26321</v>
      </c>
      <c r="X1562" t="s">
        <v>26322</v>
      </c>
      <c r="Y1562" t="s">
        <v>26323</v>
      </c>
      <c r="Z1562" t="s">
        <v>26324</v>
      </c>
      <c r="AA1562" t="s">
        <v>74</v>
      </c>
      <c r="AB1562" t="s">
        <v>74</v>
      </c>
      <c r="AC1562" t="s">
        <v>74</v>
      </c>
      <c r="AD1562" t="s">
        <v>74</v>
      </c>
      <c r="AE1562" t="s">
        <v>74</v>
      </c>
      <c r="AF1562" t="s">
        <v>74</v>
      </c>
      <c r="AG1562">
        <v>103</v>
      </c>
      <c r="AH1562">
        <v>0</v>
      </c>
      <c r="AI1562">
        <v>0</v>
      </c>
      <c r="AJ1562">
        <v>0</v>
      </c>
      <c r="AK1562">
        <v>0</v>
      </c>
      <c r="AL1562" t="s">
        <v>8286</v>
      </c>
      <c r="AM1562" t="s">
        <v>544</v>
      </c>
      <c r="AN1562" t="s">
        <v>8287</v>
      </c>
      <c r="AO1562" t="s">
        <v>8288</v>
      </c>
      <c r="AP1562" t="s">
        <v>8289</v>
      </c>
      <c r="AQ1562" t="s">
        <v>74</v>
      </c>
      <c r="AR1562" t="s">
        <v>8290</v>
      </c>
      <c r="AS1562" t="s">
        <v>8291</v>
      </c>
      <c r="AT1562" t="s">
        <v>8292</v>
      </c>
      <c r="AU1562">
        <v>2024</v>
      </c>
      <c r="AV1562">
        <v>49</v>
      </c>
      <c r="AW1562">
        <v>3</v>
      </c>
      <c r="AX1562" t="s">
        <v>74</v>
      </c>
      <c r="AY1562" t="s">
        <v>74</v>
      </c>
      <c r="AZ1562" t="s">
        <v>74</v>
      </c>
      <c r="BA1562" t="s">
        <v>74</v>
      </c>
      <c r="BB1562">
        <v>456</v>
      </c>
      <c r="BC1562">
        <v>485</v>
      </c>
      <c r="BD1562" t="s">
        <v>74</v>
      </c>
      <c r="BE1562" t="s">
        <v>26325</v>
      </c>
      <c r="BF1562" t="str">
        <f>HYPERLINK("http://dx.doi.org/10.3138/cjc-2023-0036","http://dx.doi.org/10.3138/cjc-2023-0036")</f>
        <v>http://dx.doi.org/10.3138/cjc-2023-0036</v>
      </c>
      <c r="BG1562" t="s">
        <v>74</v>
      </c>
      <c r="BH1562" t="s">
        <v>74</v>
      </c>
      <c r="BI1562">
        <v>30</v>
      </c>
      <c r="BJ1562" t="s">
        <v>124</v>
      </c>
      <c r="BK1562" t="s">
        <v>125</v>
      </c>
      <c r="BL1562" t="s">
        <v>124</v>
      </c>
      <c r="BM1562" t="s">
        <v>8294</v>
      </c>
      <c r="BN1562" t="s">
        <v>74</v>
      </c>
      <c r="BO1562" t="s">
        <v>74</v>
      </c>
      <c r="BP1562" t="s">
        <v>74</v>
      </c>
      <c r="BQ1562" t="s">
        <v>74</v>
      </c>
      <c r="BR1562" t="s">
        <v>102</v>
      </c>
      <c r="BS1562" t="s">
        <v>26326</v>
      </c>
      <c r="BT1562" t="str">
        <f>HYPERLINK("https%3A%2F%2Fwww.webofscience.com%2Fwos%2Fwoscc%2Ffull-record%2FWOS:001320348100007","View Full Record in Web of Science")</f>
        <v>View Full Record in Web of Science</v>
      </c>
    </row>
    <row r="1563" spans="1:72" x14ac:dyDescent="0.35">
      <c r="A1563" t="s">
        <v>72</v>
      </c>
      <c r="B1563" t="s">
        <v>26327</v>
      </c>
      <c r="C1563" t="s">
        <v>74</v>
      </c>
      <c r="D1563" t="s">
        <v>74</v>
      </c>
      <c r="E1563" t="s">
        <v>74</v>
      </c>
      <c r="F1563" t="s">
        <v>26328</v>
      </c>
      <c r="G1563" t="s">
        <v>74</v>
      </c>
      <c r="H1563" t="s">
        <v>74</v>
      </c>
      <c r="I1563" t="s">
        <v>26329</v>
      </c>
      <c r="J1563" t="s">
        <v>26330</v>
      </c>
      <c r="K1563" t="s">
        <v>74</v>
      </c>
      <c r="L1563" t="s">
        <v>74</v>
      </c>
      <c r="M1563" t="s">
        <v>78</v>
      </c>
      <c r="N1563" t="s">
        <v>2042</v>
      </c>
      <c r="O1563" t="s">
        <v>74</v>
      </c>
      <c r="P1563" t="s">
        <v>74</v>
      </c>
      <c r="Q1563" t="s">
        <v>74</v>
      </c>
      <c r="R1563" t="s">
        <v>74</v>
      </c>
      <c r="S1563" t="s">
        <v>74</v>
      </c>
      <c r="T1563" t="s">
        <v>26331</v>
      </c>
      <c r="U1563" t="s">
        <v>26332</v>
      </c>
      <c r="V1563" t="s">
        <v>26333</v>
      </c>
      <c r="W1563" t="s">
        <v>26334</v>
      </c>
      <c r="X1563" t="s">
        <v>26335</v>
      </c>
      <c r="Y1563" t="s">
        <v>26336</v>
      </c>
      <c r="Z1563" t="s">
        <v>26337</v>
      </c>
      <c r="AA1563" t="s">
        <v>26338</v>
      </c>
      <c r="AB1563" t="s">
        <v>26339</v>
      </c>
      <c r="AC1563" t="s">
        <v>74</v>
      </c>
      <c r="AD1563" t="s">
        <v>74</v>
      </c>
      <c r="AE1563" t="s">
        <v>74</v>
      </c>
      <c r="AF1563" t="s">
        <v>74</v>
      </c>
      <c r="AG1563">
        <v>24</v>
      </c>
      <c r="AH1563">
        <v>22</v>
      </c>
      <c r="AI1563">
        <v>23</v>
      </c>
      <c r="AJ1563">
        <v>2</v>
      </c>
      <c r="AK1563">
        <v>151</v>
      </c>
      <c r="AL1563" t="s">
        <v>516</v>
      </c>
      <c r="AM1563" t="s">
        <v>517</v>
      </c>
      <c r="AN1563" t="s">
        <v>518</v>
      </c>
      <c r="AO1563" t="s">
        <v>26340</v>
      </c>
      <c r="AP1563" t="s">
        <v>26341</v>
      </c>
      <c r="AQ1563" t="s">
        <v>74</v>
      </c>
      <c r="AR1563" t="s">
        <v>26342</v>
      </c>
      <c r="AS1563" t="s">
        <v>26343</v>
      </c>
      <c r="AT1563" t="s">
        <v>232</v>
      </c>
      <c r="AU1563">
        <v>2021</v>
      </c>
      <c r="AV1563">
        <v>114</v>
      </c>
      <c r="AW1563" t="s">
        <v>74</v>
      </c>
      <c r="AX1563" t="s">
        <v>74</v>
      </c>
      <c r="AY1563" t="s">
        <v>74</v>
      </c>
      <c r="AZ1563" t="s">
        <v>74</v>
      </c>
      <c r="BA1563" t="s">
        <v>74</v>
      </c>
      <c r="BB1563">
        <v>290</v>
      </c>
      <c r="BC1563">
        <v>293</v>
      </c>
      <c r="BD1563" t="s">
        <v>74</v>
      </c>
      <c r="BE1563" t="s">
        <v>26344</v>
      </c>
      <c r="BF1563" t="str">
        <f>HYPERLINK("http://dx.doi.org/10.1016/j.future.2020.08.006","http://dx.doi.org/10.1016/j.future.2020.08.006")</f>
        <v>http://dx.doi.org/10.1016/j.future.2020.08.006</v>
      </c>
      <c r="BG1563" t="s">
        <v>74</v>
      </c>
      <c r="BH1563" t="s">
        <v>74</v>
      </c>
      <c r="BI1563">
        <v>4</v>
      </c>
      <c r="BJ1563" t="s">
        <v>6668</v>
      </c>
      <c r="BK1563" t="s">
        <v>209</v>
      </c>
      <c r="BL1563" t="s">
        <v>210</v>
      </c>
      <c r="BM1563" t="s">
        <v>26345</v>
      </c>
      <c r="BN1563" t="s">
        <v>74</v>
      </c>
      <c r="BO1563" t="s">
        <v>74</v>
      </c>
      <c r="BP1563" t="s">
        <v>74</v>
      </c>
      <c r="BQ1563" t="s">
        <v>74</v>
      </c>
      <c r="BR1563" t="s">
        <v>102</v>
      </c>
      <c r="BS1563" t="s">
        <v>26346</v>
      </c>
      <c r="BT1563" t="str">
        <f>HYPERLINK("https%3A%2F%2Fwww.webofscience.com%2Fwos%2Fwoscc%2Ffull-record%2FWOS:000579186700024","View Full Record in Web of Science")</f>
        <v>View Full Record in Web of Science</v>
      </c>
    </row>
    <row r="1564" spans="1:72" x14ac:dyDescent="0.35">
      <c r="A1564" t="s">
        <v>72</v>
      </c>
      <c r="B1564" t="s">
        <v>26347</v>
      </c>
      <c r="C1564" t="s">
        <v>74</v>
      </c>
      <c r="D1564" t="s">
        <v>74</v>
      </c>
      <c r="E1564" t="s">
        <v>74</v>
      </c>
      <c r="F1564" t="s">
        <v>26348</v>
      </c>
      <c r="G1564" t="s">
        <v>74</v>
      </c>
      <c r="H1564" t="s">
        <v>74</v>
      </c>
      <c r="I1564" t="s">
        <v>26349</v>
      </c>
      <c r="J1564" t="s">
        <v>793</v>
      </c>
      <c r="K1564" t="s">
        <v>74</v>
      </c>
      <c r="L1564" t="s">
        <v>74</v>
      </c>
      <c r="M1564" t="s">
        <v>78</v>
      </c>
      <c r="N1564" t="s">
        <v>108</v>
      </c>
      <c r="O1564" t="s">
        <v>74</v>
      </c>
      <c r="P1564" t="s">
        <v>74</v>
      </c>
      <c r="Q1564" t="s">
        <v>74</v>
      </c>
      <c r="R1564" t="s">
        <v>74</v>
      </c>
      <c r="S1564" t="s">
        <v>74</v>
      </c>
      <c r="T1564" t="s">
        <v>26350</v>
      </c>
      <c r="U1564" t="s">
        <v>26351</v>
      </c>
      <c r="V1564" t="s">
        <v>26352</v>
      </c>
      <c r="W1564" t="s">
        <v>26353</v>
      </c>
      <c r="X1564" t="s">
        <v>26354</v>
      </c>
      <c r="Y1564" t="s">
        <v>26355</v>
      </c>
      <c r="Z1564" t="s">
        <v>26356</v>
      </c>
      <c r="AA1564" t="s">
        <v>74</v>
      </c>
      <c r="AB1564" t="s">
        <v>74</v>
      </c>
      <c r="AC1564" t="s">
        <v>74</v>
      </c>
      <c r="AD1564" t="s">
        <v>74</v>
      </c>
      <c r="AE1564" t="s">
        <v>74</v>
      </c>
      <c r="AF1564" t="s">
        <v>74</v>
      </c>
      <c r="AG1564">
        <v>35</v>
      </c>
      <c r="AH1564">
        <v>2</v>
      </c>
      <c r="AI1564">
        <v>2</v>
      </c>
      <c r="AJ1564">
        <v>79</v>
      </c>
      <c r="AK1564">
        <v>79</v>
      </c>
      <c r="AL1564" t="s">
        <v>803</v>
      </c>
      <c r="AM1564" t="s">
        <v>227</v>
      </c>
      <c r="AN1564" t="s">
        <v>804</v>
      </c>
      <c r="AO1564" t="s">
        <v>74</v>
      </c>
      <c r="AP1564" t="s">
        <v>805</v>
      </c>
      <c r="AQ1564" t="s">
        <v>74</v>
      </c>
      <c r="AR1564" t="s">
        <v>806</v>
      </c>
      <c r="AS1564" t="s">
        <v>807</v>
      </c>
      <c r="AT1564" t="s">
        <v>7324</v>
      </c>
      <c r="AU1564">
        <v>2024</v>
      </c>
      <c r="AV1564">
        <v>16</v>
      </c>
      <c r="AW1564">
        <v>4</v>
      </c>
      <c r="AX1564" t="s">
        <v>74</v>
      </c>
      <c r="AY1564" t="s">
        <v>74</v>
      </c>
      <c r="AZ1564" t="s">
        <v>74</v>
      </c>
      <c r="BA1564" t="s">
        <v>74</v>
      </c>
      <c r="BB1564" t="s">
        <v>74</v>
      </c>
      <c r="BC1564" t="s">
        <v>74</v>
      </c>
      <c r="BD1564" t="s">
        <v>26357</v>
      </c>
      <c r="BE1564" t="s">
        <v>26358</v>
      </c>
      <c r="BF1564" t="str">
        <f>HYPERLINK("http://dx.doi.org/10.7759/cureus.58674","http://dx.doi.org/10.7759/cureus.58674")</f>
        <v>http://dx.doi.org/10.7759/cureus.58674</v>
      </c>
      <c r="BG1564" t="s">
        <v>74</v>
      </c>
      <c r="BH1564" t="s">
        <v>74</v>
      </c>
      <c r="BI1564">
        <v>11</v>
      </c>
      <c r="BJ1564" t="s">
        <v>811</v>
      </c>
      <c r="BK1564" t="s">
        <v>125</v>
      </c>
      <c r="BL1564" t="s">
        <v>812</v>
      </c>
      <c r="BM1564" t="s">
        <v>26359</v>
      </c>
      <c r="BN1564">
        <v>38770510</v>
      </c>
      <c r="BO1564" t="s">
        <v>552</v>
      </c>
      <c r="BP1564" t="s">
        <v>74</v>
      </c>
      <c r="BQ1564" t="s">
        <v>74</v>
      </c>
      <c r="BR1564" t="s">
        <v>102</v>
      </c>
      <c r="BS1564" t="s">
        <v>26360</v>
      </c>
      <c r="BT1564" t="str">
        <f>HYPERLINK("https%3A%2F%2Fwww.webofscience.com%2Fwos%2Fwoscc%2Ffull-record%2FWOS:001223302700033","View Full Record in Web of Science")</f>
        <v>View Full Record in Web of Science</v>
      </c>
    </row>
    <row r="1565" spans="1:72" x14ac:dyDescent="0.35">
      <c r="A1565" t="s">
        <v>72</v>
      </c>
      <c r="B1565" t="s">
        <v>26361</v>
      </c>
      <c r="C1565" t="s">
        <v>74</v>
      </c>
      <c r="D1565" t="s">
        <v>74</v>
      </c>
      <c r="E1565" t="s">
        <v>74</v>
      </c>
      <c r="F1565" t="s">
        <v>26362</v>
      </c>
      <c r="G1565" t="s">
        <v>74</v>
      </c>
      <c r="H1565" t="s">
        <v>74</v>
      </c>
      <c r="I1565" t="s">
        <v>26363</v>
      </c>
      <c r="J1565" t="s">
        <v>772</v>
      </c>
      <c r="K1565" t="s">
        <v>74</v>
      </c>
      <c r="L1565" t="s">
        <v>74</v>
      </c>
      <c r="M1565" t="s">
        <v>78</v>
      </c>
      <c r="N1565" t="s">
        <v>108</v>
      </c>
      <c r="O1565" t="s">
        <v>74</v>
      </c>
      <c r="P1565" t="s">
        <v>74</v>
      </c>
      <c r="Q1565" t="s">
        <v>74</v>
      </c>
      <c r="R1565" t="s">
        <v>74</v>
      </c>
      <c r="S1565" t="s">
        <v>74</v>
      </c>
      <c r="T1565" t="s">
        <v>26364</v>
      </c>
      <c r="U1565" t="s">
        <v>26365</v>
      </c>
      <c r="V1565" t="s">
        <v>26366</v>
      </c>
      <c r="W1565" t="s">
        <v>26367</v>
      </c>
      <c r="X1565" t="s">
        <v>4452</v>
      </c>
      <c r="Y1565" t="s">
        <v>26368</v>
      </c>
      <c r="Z1565" t="s">
        <v>26369</v>
      </c>
      <c r="AA1565" t="s">
        <v>74</v>
      </c>
      <c r="AB1565" t="s">
        <v>26370</v>
      </c>
      <c r="AC1565" t="s">
        <v>74</v>
      </c>
      <c r="AD1565" t="s">
        <v>74</v>
      </c>
      <c r="AE1565" t="s">
        <v>26371</v>
      </c>
      <c r="AF1565" t="s">
        <v>74</v>
      </c>
      <c r="AG1565">
        <v>79</v>
      </c>
      <c r="AH1565">
        <v>0</v>
      </c>
      <c r="AI1565">
        <v>0</v>
      </c>
      <c r="AJ1565">
        <v>7</v>
      </c>
      <c r="AK1565">
        <v>7</v>
      </c>
      <c r="AL1565" t="s">
        <v>290</v>
      </c>
      <c r="AM1565" t="s">
        <v>291</v>
      </c>
      <c r="AN1565" t="s">
        <v>292</v>
      </c>
      <c r="AO1565" t="s">
        <v>781</v>
      </c>
      <c r="AP1565" t="s">
        <v>782</v>
      </c>
      <c r="AQ1565" t="s">
        <v>74</v>
      </c>
      <c r="AR1565" t="s">
        <v>783</v>
      </c>
      <c r="AS1565" t="s">
        <v>784</v>
      </c>
      <c r="AT1565" t="s">
        <v>455</v>
      </c>
      <c r="AU1565">
        <v>2024</v>
      </c>
      <c r="AV1565">
        <v>147</v>
      </c>
      <c r="AW1565" t="s">
        <v>74</v>
      </c>
      <c r="AX1565" t="s">
        <v>74</v>
      </c>
      <c r="AY1565" t="s">
        <v>74</v>
      </c>
      <c r="AZ1565" t="s">
        <v>74</v>
      </c>
      <c r="BA1565" t="s">
        <v>74</v>
      </c>
      <c r="BB1565" t="s">
        <v>74</v>
      </c>
      <c r="BC1565" t="s">
        <v>74</v>
      </c>
      <c r="BD1565">
        <v>104655</v>
      </c>
      <c r="BE1565" t="s">
        <v>26372</v>
      </c>
      <c r="BF1565" t="str">
        <f>HYPERLINK("http://dx.doi.org/10.1016/j.tate.2024.104655","http://dx.doi.org/10.1016/j.tate.2024.104655")</f>
        <v>http://dx.doi.org/10.1016/j.tate.2024.104655</v>
      </c>
      <c r="BG1565" t="s">
        <v>74</v>
      </c>
      <c r="BH1565" t="s">
        <v>500</v>
      </c>
      <c r="BI1565">
        <v>11</v>
      </c>
      <c r="BJ1565" t="s">
        <v>787</v>
      </c>
      <c r="BK1565" t="s">
        <v>99</v>
      </c>
      <c r="BL1565" t="s">
        <v>787</v>
      </c>
      <c r="BM1565" t="s">
        <v>26373</v>
      </c>
      <c r="BN1565" t="s">
        <v>74</v>
      </c>
      <c r="BO1565" t="s">
        <v>74</v>
      </c>
      <c r="BP1565" t="s">
        <v>74</v>
      </c>
      <c r="BQ1565" t="s">
        <v>74</v>
      </c>
      <c r="BR1565" t="s">
        <v>102</v>
      </c>
      <c r="BS1565" t="s">
        <v>26374</v>
      </c>
      <c r="BT1565" t="str">
        <f>HYPERLINK("https%3A%2F%2Fwww.webofscience.com%2Fwos%2Fwoscc%2Ffull-record%2FWOS:001257865700001","View Full Record in Web of Science")</f>
        <v>View Full Record in Web of Science</v>
      </c>
    </row>
    <row r="1566" spans="1:72" x14ac:dyDescent="0.35">
      <c r="A1566" t="s">
        <v>128</v>
      </c>
      <c r="B1566" t="s">
        <v>26375</v>
      </c>
      <c r="C1566" t="s">
        <v>74</v>
      </c>
      <c r="D1566" t="s">
        <v>26376</v>
      </c>
      <c r="E1566" t="s">
        <v>74</v>
      </c>
      <c r="F1566" t="s">
        <v>26377</v>
      </c>
      <c r="G1566" t="s">
        <v>74</v>
      </c>
      <c r="H1566" t="s">
        <v>74</v>
      </c>
      <c r="I1566" t="s">
        <v>26378</v>
      </c>
      <c r="J1566" t="s">
        <v>26379</v>
      </c>
      <c r="K1566" t="s">
        <v>26380</v>
      </c>
      <c r="L1566" t="s">
        <v>74</v>
      </c>
      <c r="M1566" t="s">
        <v>78</v>
      </c>
      <c r="N1566" t="s">
        <v>135</v>
      </c>
      <c r="O1566" t="s">
        <v>26381</v>
      </c>
      <c r="P1566" t="s">
        <v>26382</v>
      </c>
      <c r="Q1566" t="s">
        <v>26383</v>
      </c>
      <c r="R1566" t="s">
        <v>74</v>
      </c>
      <c r="S1566" t="s">
        <v>74</v>
      </c>
      <c r="T1566" t="s">
        <v>26384</v>
      </c>
      <c r="U1566" t="s">
        <v>74</v>
      </c>
      <c r="V1566" t="s">
        <v>26385</v>
      </c>
      <c r="W1566" t="s">
        <v>26386</v>
      </c>
      <c r="X1566" t="s">
        <v>6742</v>
      </c>
      <c r="Y1566" t="s">
        <v>26387</v>
      </c>
      <c r="Z1566" t="s">
        <v>26388</v>
      </c>
      <c r="AA1566" t="s">
        <v>26389</v>
      </c>
      <c r="AB1566" t="s">
        <v>26390</v>
      </c>
      <c r="AC1566" t="s">
        <v>74</v>
      </c>
      <c r="AD1566" t="s">
        <v>74</v>
      </c>
      <c r="AE1566" t="s">
        <v>74</v>
      </c>
      <c r="AF1566" t="s">
        <v>74</v>
      </c>
      <c r="AG1566">
        <v>32</v>
      </c>
      <c r="AH1566">
        <v>9</v>
      </c>
      <c r="AI1566">
        <v>9</v>
      </c>
      <c r="AJ1566">
        <v>0</v>
      </c>
      <c r="AK1566">
        <v>0</v>
      </c>
      <c r="AL1566" t="s">
        <v>639</v>
      </c>
      <c r="AM1566" t="s">
        <v>640</v>
      </c>
      <c r="AN1566" t="s">
        <v>641</v>
      </c>
      <c r="AO1566" t="s">
        <v>26391</v>
      </c>
      <c r="AP1566" t="s">
        <v>8381</v>
      </c>
      <c r="AQ1566" t="s">
        <v>26392</v>
      </c>
      <c r="AR1566" t="s">
        <v>26393</v>
      </c>
      <c r="AS1566" t="s">
        <v>74</v>
      </c>
      <c r="AT1566" t="s">
        <v>74</v>
      </c>
      <c r="AU1566">
        <v>2021</v>
      </c>
      <c r="AV1566">
        <v>12798</v>
      </c>
      <c r="AW1566" t="s">
        <v>74</v>
      </c>
      <c r="AX1566" t="s">
        <v>74</v>
      </c>
      <c r="AY1566" t="s">
        <v>74</v>
      </c>
      <c r="AZ1566" t="s">
        <v>74</v>
      </c>
      <c r="BA1566" t="s">
        <v>74</v>
      </c>
      <c r="BB1566">
        <v>415</v>
      </c>
      <c r="BC1566">
        <v>426</v>
      </c>
      <c r="BD1566" t="s">
        <v>74</v>
      </c>
      <c r="BE1566" t="s">
        <v>26394</v>
      </c>
      <c r="BF1566" t="str">
        <f>HYPERLINK("http://dx.doi.org/10.1007/978-3-030-79457-6_35","http://dx.doi.org/10.1007/978-3-030-79457-6_35")</f>
        <v>http://dx.doi.org/10.1007/978-3-030-79457-6_35</v>
      </c>
      <c r="BG1566" t="s">
        <v>74</v>
      </c>
      <c r="BH1566" t="s">
        <v>74</v>
      </c>
      <c r="BI1566">
        <v>12</v>
      </c>
      <c r="BJ1566" t="s">
        <v>10459</v>
      </c>
      <c r="BK1566" t="s">
        <v>723</v>
      </c>
      <c r="BL1566" t="s">
        <v>210</v>
      </c>
      <c r="BM1566" t="s">
        <v>26395</v>
      </c>
      <c r="BN1566" t="s">
        <v>74</v>
      </c>
      <c r="BO1566" t="s">
        <v>74</v>
      </c>
      <c r="BP1566" t="s">
        <v>74</v>
      </c>
      <c r="BQ1566" t="s">
        <v>74</v>
      </c>
      <c r="BR1566" t="s">
        <v>102</v>
      </c>
      <c r="BS1566" t="s">
        <v>26396</v>
      </c>
      <c r="BT1566" t="str">
        <f>HYPERLINK("https%3A%2F%2Fwww.webofscience.com%2Fwos%2Fwoscc%2Ffull-record%2FWOS:001327645500035","View Full Record in Web of Science")</f>
        <v>View Full Record in Web of Science</v>
      </c>
    </row>
    <row r="1567" spans="1:72" x14ac:dyDescent="0.35">
      <c r="A1567" t="s">
        <v>128</v>
      </c>
      <c r="B1567" t="s">
        <v>26397</v>
      </c>
      <c r="C1567" t="s">
        <v>74</v>
      </c>
      <c r="D1567" t="s">
        <v>74</v>
      </c>
      <c r="E1567" t="s">
        <v>26398</v>
      </c>
      <c r="F1567" t="s">
        <v>26399</v>
      </c>
      <c r="G1567" t="s">
        <v>74</v>
      </c>
      <c r="H1567" t="s">
        <v>74</v>
      </c>
      <c r="I1567" t="s">
        <v>26400</v>
      </c>
      <c r="J1567" t="s">
        <v>26401</v>
      </c>
      <c r="K1567" t="s">
        <v>26402</v>
      </c>
      <c r="L1567" t="s">
        <v>74</v>
      </c>
      <c r="M1567" t="s">
        <v>78</v>
      </c>
      <c r="N1567" t="s">
        <v>135</v>
      </c>
      <c r="O1567" t="s">
        <v>26403</v>
      </c>
      <c r="P1567" t="s">
        <v>26404</v>
      </c>
      <c r="Q1567" t="s">
        <v>26405</v>
      </c>
      <c r="R1567" t="s">
        <v>74</v>
      </c>
      <c r="S1567" t="s">
        <v>26406</v>
      </c>
      <c r="T1567" t="s">
        <v>74</v>
      </c>
      <c r="U1567" t="s">
        <v>74</v>
      </c>
      <c r="V1567" t="s">
        <v>26407</v>
      </c>
      <c r="W1567" t="s">
        <v>26408</v>
      </c>
      <c r="X1567" t="s">
        <v>74</v>
      </c>
      <c r="Y1567" t="s">
        <v>26409</v>
      </c>
      <c r="Z1567" t="s">
        <v>26410</v>
      </c>
      <c r="AA1567" t="s">
        <v>26411</v>
      </c>
      <c r="AB1567" t="s">
        <v>26412</v>
      </c>
      <c r="AC1567" t="s">
        <v>74</v>
      </c>
      <c r="AD1567" t="s">
        <v>74</v>
      </c>
      <c r="AE1567" t="s">
        <v>74</v>
      </c>
      <c r="AF1567" t="s">
        <v>74</v>
      </c>
      <c r="AG1567">
        <v>5</v>
      </c>
      <c r="AH1567">
        <v>0</v>
      </c>
      <c r="AI1567">
        <v>0</v>
      </c>
      <c r="AJ1567">
        <v>0</v>
      </c>
      <c r="AK1567">
        <v>18</v>
      </c>
      <c r="AL1567" t="s">
        <v>26413</v>
      </c>
      <c r="AM1567" t="s">
        <v>871</v>
      </c>
      <c r="AN1567" t="s">
        <v>26414</v>
      </c>
      <c r="AO1567" t="s">
        <v>26415</v>
      </c>
      <c r="AP1567" t="s">
        <v>26416</v>
      </c>
      <c r="AQ1567" t="s">
        <v>74</v>
      </c>
      <c r="AR1567" t="s">
        <v>26417</v>
      </c>
      <c r="AS1567" t="s">
        <v>74</v>
      </c>
      <c r="AT1567" t="s">
        <v>74</v>
      </c>
      <c r="AU1567">
        <v>2019</v>
      </c>
      <c r="AV1567">
        <v>1187</v>
      </c>
      <c r="AW1567" t="s">
        <v>74</v>
      </c>
      <c r="AX1567" t="s">
        <v>74</v>
      </c>
      <c r="AY1567" t="s">
        <v>74</v>
      </c>
      <c r="AZ1567" t="s">
        <v>74</v>
      </c>
      <c r="BA1567" t="s">
        <v>74</v>
      </c>
      <c r="BB1567" t="s">
        <v>74</v>
      </c>
      <c r="BC1567" t="s">
        <v>74</v>
      </c>
      <c r="BD1567">
        <v>52077</v>
      </c>
      <c r="BE1567" t="s">
        <v>26418</v>
      </c>
      <c r="BF1567" t="str">
        <f>HYPERLINK("http://dx.doi.org/10.1088/1742-6596/1187/5/052077","http://dx.doi.org/10.1088/1742-6596/1187/5/052077")</f>
        <v>http://dx.doi.org/10.1088/1742-6596/1187/5/052077</v>
      </c>
      <c r="BG1567" t="s">
        <v>74</v>
      </c>
      <c r="BH1567" t="s">
        <v>74</v>
      </c>
      <c r="BI1567">
        <v>6</v>
      </c>
      <c r="BJ1567" t="s">
        <v>26419</v>
      </c>
      <c r="BK1567" t="s">
        <v>723</v>
      </c>
      <c r="BL1567" t="s">
        <v>26420</v>
      </c>
      <c r="BM1567" t="s">
        <v>26421</v>
      </c>
      <c r="BN1567" t="s">
        <v>74</v>
      </c>
      <c r="BO1567" t="s">
        <v>235</v>
      </c>
      <c r="BP1567" t="s">
        <v>74</v>
      </c>
      <c r="BQ1567" t="s">
        <v>74</v>
      </c>
      <c r="BR1567" t="s">
        <v>102</v>
      </c>
      <c r="BS1567" t="s">
        <v>26422</v>
      </c>
      <c r="BT1567" t="str">
        <f>HYPERLINK("https%3A%2F%2Fwww.webofscience.com%2Fwos%2Fwoscc%2Ffull-record%2FWOS:000481622603007","View Full Record in Web of Science")</f>
        <v>View Full Record in Web of Science</v>
      </c>
    </row>
    <row r="1568" spans="1:72" x14ac:dyDescent="0.35">
      <c r="A1568" t="s">
        <v>72</v>
      </c>
      <c r="B1568" t="s">
        <v>1008</v>
      </c>
      <c r="C1568" t="s">
        <v>74</v>
      </c>
      <c r="D1568" t="s">
        <v>74</v>
      </c>
      <c r="E1568" t="s">
        <v>74</v>
      </c>
      <c r="F1568" t="s">
        <v>1009</v>
      </c>
      <c r="G1568" t="s">
        <v>74</v>
      </c>
      <c r="H1568" t="s">
        <v>74</v>
      </c>
      <c r="I1568" t="s">
        <v>26423</v>
      </c>
      <c r="J1568" t="s">
        <v>1011</v>
      </c>
      <c r="K1568" t="s">
        <v>74</v>
      </c>
      <c r="L1568" t="s">
        <v>74</v>
      </c>
      <c r="M1568" t="s">
        <v>1012</v>
      </c>
      <c r="N1568" t="s">
        <v>79</v>
      </c>
      <c r="O1568" t="s">
        <v>74</v>
      </c>
      <c r="P1568" t="s">
        <v>74</v>
      </c>
      <c r="Q1568" t="s">
        <v>74</v>
      </c>
      <c r="R1568" t="s">
        <v>74</v>
      </c>
      <c r="S1568" t="s">
        <v>74</v>
      </c>
      <c r="T1568" t="s">
        <v>26424</v>
      </c>
      <c r="U1568" t="s">
        <v>74</v>
      </c>
      <c r="V1568" t="s">
        <v>26425</v>
      </c>
      <c r="W1568" t="s">
        <v>1016</v>
      </c>
      <c r="X1568" t="s">
        <v>1017</v>
      </c>
      <c r="Y1568" t="s">
        <v>1018</v>
      </c>
      <c r="Z1568" t="s">
        <v>1019</v>
      </c>
      <c r="AA1568" t="s">
        <v>74</v>
      </c>
      <c r="AB1568" t="s">
        <v>74</v>
      </c>
      <c r="AC1568" t="s">
        <v>74</v>
      </c>
      <c r="AD1568" t="s">
        <v>74</v>
      </c>
      <c r="AE1568" t="s">
        <v>74</v>
      </c>
      <c r="AF1568" t="s">
        <v>74</v>
      </c>
      <c r="AG1568">
        <v>41</v>
      </c>
      <c r="AH1568">
        <v>0</v>
      </c>
      <c r="AI1568">
        <v>0</v>
      </c>
      <c r="AJ1568">
        <v>3</v>
      </c>
      <c r="AK1568">
        <v>3</v>
      </c>
      <c r="AL1568" t="s">
        <v>1021</v>
      </c>
      <c r="AM1568" t="s">
        <v>1022</v>
      </c>
      <c r="AN1568" t="s">
        <v>1023</v>
      </c>
      <c r="AO1568" t="s">
        <v>1024</v>
      </c>
      <c r="AP1568" t="s">
        <v>1025</v>
      </c>
      <c r="AQ1568" t="s">
        <v>74</v>
      </c>
      <c r="AR1568" t="s">
        <v>1026</v>
      </c>
      <c r="AS1568" t="s">
        <v>1027</v>
      </c>
      <c r="AT1568" t="s">
        <v>26426</v>
      </c>
      <c r="AU1568">
        <v>2024</v>
      </c>
      <c r="AV1568" t="s">
        <v>74</v>
      </c>
      <c r="AW1568" t="s">
        <v>74</v>
      </c>
      <c r="AX1568" t="s">
        <v>74</v>
      </c>
      <c r="AY1568" t="s">
        <v>74</v>
      </c>
      <c r="AZ1568" t="s">
        <v>74</v>
      </c>
      <c r="BA1568" t="s">
        <v>74</v>
      </c>
      <c r="BB1568" t="s">
        <v>74</v>
      </c>
      <c r="BC1568" t="s">
        <v>74</v>
      </c>
      <c r="BD1568" t="s">
        <v>74</v>
      </c>
      <c r="BE1568" t="s">
        <v>26427</v>
      </c>
      <c r="BF1568" t="str">
        <f>HYPERLINK("http://dx.doi.org/10.1055/a-2422-1227","http://dx.doi.org/10.1055/a-2422-1227")</f>
        <v>http://dx.doi.org/10.1055/a-2422-1227</v>
      </c>
      <c r="BG1568" t="s">
        <v>74</v>
      </c>
      <c r="BH1568" t="s">
        <v>1721</v>
      </c>
      <c r="BI1568">
        <v>7</v>
      </c>
      <c r="BJ1568" t="s">
        <v>1029</v>
      </c>
      <c r="BK1568" t="s">
        <v>99</v>
      </c>
      <c r="BL1568" t="s">
        <v>1030</v>
      </c>
      <c r="BM1568" t="s">
        <v>26428</v>
      </c>
      <c r="BN1568" t="s">
        <v>74</v>
      </c>
      <c r="BO1568" t="s">
        <v>767</v>
      </c>
      <c r="BP1568" t="s">
        <v>74</v>
      </c>
      <c r="BQ1568" t="s">
        <v>74</v>
      </c>
      <c r="BR1568" t="s">
        <v>102</v>
      </c>
      <c r="BS1568" t="s">
        <v>26429</v>
      </c>
      <c r="BT1568" t="str">
        <f>HYPERLINK("https%3A%2F%2Fwww.webofscience.com%2Fwos%2Fwoscc%2Ffull-record%2FWOS:001341142200001","View Full Record in Web of Science")</f>
        <v>View Full Record in Web of Science</v>
      </c>
    </row>
    <row r="1569" spans="1:72" x14ac:dyDescent="0.35">
      <c r="A1569" t="s">
        <v>72</v>
      </c>
      <c r="B1569" t="s">
        <v>26430</v>
      </c>
      <c r="C1569" t="s">
        <v>74</v>
      </c>
      <c r="D1569" t="s">
        <v>74</v>
      </c>
      <c r="E1569" t="s">
        <v>74</v>
      </c>
      <c r="F1569" t="s">
        <v>26431</v>
      </c>
      <c r="G1569" t="s">
        <v>74</v>
      </c>
      <c r="H1569" t="s">
        <v>74</v>
      </c>
      <c r="I1569" t="s">
        <v>26432</v>
      </c>
      <c r="J1569" t="s">
        <v>26433</v>
      </c>
      <c r="K1569" t="s">
        <v>74</v>
      </c>
      <c r="L1569" t="s">
        <v>74</v>
      </c>
      <c r="M1569" t="s">
        <v>78</v>
      </c>
      <c r="N1569" t="s">
        <v>108</v>
      </c>
      <c r="O1569" t="s">
        <v>74</v>
      </c>
      <c r="P1569" t="s">
        <v>74</v>
      </c>
      <c r="Q1569" t="s">
        <v>74</v>
      </c>
      <c r="R1569" t="s">
        <v>74</v>
      </c>
      <c r="S1569" t="s">
        <v>74</v>
      </c>
      <c r="T1569" t="s">
        <v>26434</v>
      </c>
      <c r="U1569" t="s">
        <v>74</v>
      </c>
      <c r="V1569" t="s">
        <v>26435</v>
      </c>
      <c r="W1569" t="s">
        <v>26436</v>
      </c>
      <c r="X1569" t="s">
        <v>74</v>
      </c>
      <c r="Y1569" t="s">
        <v>26437</v>
      </c>
      <c r="Z1569" t="s">
        <v>26438</v>
      </c>
      <c r="AA1569" t="s">
        <v>74</v>
      </c>
      <c r="AB1569" t="s">
        <v>74</v>
      </c>
      <c r="AC1569" t="s">
        <v>74</v>
      </c>
      <c r="AD1569" t="s">
        <v>74</v>
      </c>
      <c r="AE1569" t="s">
        <v>74</v>
      </c>
      <c r="AF1569" t="s">
        <v>74</v>
      </c>
      <c r="AG1569">
        <v>21</v>
      </c>
      <c r="AH1569">
        <v>0</v>
      </c>
      <c r="AI1569">
        <v>0</v>
      </c>
      <c r="AJ1569">
        <v>1</v>
      </c>
      <c r="AK1569">
        <v>1</v>
      </c>
      <c r="AL1569" t="s">
        <v>665</v>
      </c>
      <c r="AM1569" t="s">
        <v>666</v>
      </c>
      <c r="AN1569" t="s">
        <v>667</v>
      </c>
      <c r="AO1569" t="s">
        <v>26439</v>
      </c>
      <c r="AP1569" t="s">
        <v>26440</v>
      </c>
      <c r="AQ1569" t="s">
        <v>74</v>
      </c>
      <c r="AR1569" t="s">
        <v>26441</v>
      </c>
      <c r="AS1569" t="s">
        <v>26442</v>
      </c>
      <c r="AT1569" t="s">
        <v>297</v>
      </c>
      <c r="AU1569">
        <v>2024</v>
      </c>
      <c r="AV1569">
        <v>73</v>
      </c>
      <c r="AW1569">
        <v>4</v>
      </c>
      <c r="AX1569" t="s">
        <v>74</v>
      </c>
      <c r="AY1569" t="s">
        <v>74</v>
      </c>
      <c r="AZ1569" t="s">
        <v>456</v>
      </c>
      <c r="BA1569" t="s">
        <v>74</v>
      </c>
      <c r="BB1569">
        <v>509</v>
      </c>
      <c r="BC1569">
        <v>519</v>
      </c>
      <c r="BD1569" t="s">
        <v>74</v>
      </c>
      <c r="BE1569" t="s">
        <v>26443</v>
      </c>
      <c r="BF1569" t="str">
        <f>HYPERLINK("http://dx.doi.org/10.1007/s11089-024-01122-1","http://dx.doi.org/10.1007/s11089-024-01122-1")</f>
        <v>http://dx.doi.org/10.1007/s11089-024-01122-1</v>
      </c>
      <c r="BG1569" t="s">
        <v>74</v>
      </c>
      <c r="BH1569" t="s">
        <v>1377</v>
      </c>
      <c r="BI1569">
        <v>11</v>
      </c>
      <c r="BJ1569" t="s">
        <v>26444</v>
      </c>
      <c r="BK1569" t="s">
        <v>125</v>
      </c>
      <c r="BL1569" t="s">
        <v>26445</v>
      </c>
      <c r="BM1569" t="s">
        <v>26446</v>
      </c>
      <c r="BN1569" t="s">
        <v>74</v>
      </c>
      <c r="BO1569" t="s">
        <v>74</v>
      </c>
      <c r="BP1569" t="s">
        <v>74</v>
      </c>
      <c r="BQ1569" t="s">
        <v>74</v>
      </c>
      <c r="BR1569" t="s">
        <v>102</v>
      </c>
      <c r="BS1569" t="s">
        <v>26447</v>
      </c>
      <c r="BT1569" t="str">
        <f>HYPERLINK("https%3A%2F%2Fwww.webofscience.com%2Fwos%2Fwoscc%2Ffull-record%2FWOS:001149187400001","View Full Record in Web of Science")</f>
        <v>View Full Record in Web of Science</v>
      </c>
    </row>
    <row r="1570" spans="1:72" x14ac:dyDescent="0.35">
      <c r="A1570" t="s">
        <v>72</v>
      </c>
      <c r="B1570" t="s">
        <v>26448</v>
      </c>
      <c r="C1570" t="s">
        <v>74</v>
      </c>
      <c r="D1570" t="s">
        <v>74</v>
      </c>
      <c r="E1570" t="s">
        <v>74</v>
      </c>
      <c r="F1570" t="s">
        <v>26449</v>
      </c>
      <c r="G1570" t="s">
        <v>74</v>
      </c>
      <c r="H1570" t="s">
        <v>74</v>
      </c>
      <c r="I1570" t="s">
        <v>26450</v>
      </c>
      <c r="J1570" t="s">
        <v>26451</v>
      </c>
      <c r="K1570" t="s">
        <v>74</v>
      </c>
      <c r="L1570" t="s">
        <v>74</v>
      </c>
      <c r="M1570" t="s">
        <v>78</v>
      </c>
      <c r="N1570" t="s">
        <v>108</v>
      </c>
      <c r="O1570" t="s">
        <v>74</v>
      </c>
      <c r="P1570" t="s">
        <v>74</v>
      </c>
      <c r="Q1570" t="s">
        <v>74</v>
      </c>
      <c r="R1570" t="s">
        <v>74</v>
      </c>
      <c r="S1570" t="s">
        <v>74</v>
      </c>
      <c r="T1570" t="s">
        <v>74</v>
      </c>
      <c r="U1570" t="s">
        <v>74</v>
      </c>
      <c r="V1570" t="s">
        <v>26452</v>
      </c>
      <c r="W1570" t="s">
        <v>74</v>
      </c>
      <c r="X1570" t="s">
        <v>74</v>
      </c>
      <c r="Y1570" t="s">
        <v>74</v>
      </c>
      <c r="Z1570" t="s">
        <v>26453</v>
      </c>
      <c r="AA1570" t="s">
        <v>74</v>
      </c>
      <c r="AB1570" t="s">
        <v>74</v>
      </c>
      <c r="AC1570" t="s">
        <v>74</v>
      </c>
      <c r="AD1570" t="s">
        <v>74</v>
      </c>
      <c r="AE1570" t="s">
        <v>74</v>
      </c>
      <c r="AF1570" t="s">
        <v>74</v>
      </c>
      <c r="AG1570">
        <v>32</v>
      </c>
      <c r="AH1570">
        <v>0</v>
      </c>
      <c r="AI1570">
        <v>0</v>
      </c>
      <c r="AJ1570">
        <v>1</v>
      </c>
      <c r="AK1570">
        <v>1</v>
      </c>
      <c r="AL1570" t="s">
        <v>1061</v>
      </c>
      <c r="AM1570" t="s">
        <v>1062</v>
      </c>
      <c r="AN1570" t="s">
        <v>1063</v>
      </c>
      <c r="AO1570" t="s">
        <v>26454</v>
      </c>
      <c r="AP1570" t="s">
        <v>26455</v>
      </c>
      <c r="AQ1570" t="s">
        <v>74</v>
      </c>
      <c r="AR1570" t="s">
        <v>26456</v>
      </c>
      <c r="AS1570" t="s">
        <v>26457</v>
      </c>
      <c r="AT1570" t="s">
        <v>1275</v>
      </c>
      <c r="AU1570">
        <v>2023</v>
      </c>
      <c r="AV1570">
        <v>28</v>
      </c>
      <c r="AW1570">
        <v>3</v>
      </c>
      <c r="AX1570" t="s">
        <v>74</v>
      </c>
      <c r="AY1570" t="s">
        <v>74</v>
      </c>
      <c r="AZ1570" t="s">
        <v>456</v>
      </c>
      <c r="BA1570" t="s">
        <v>74</v>
      </c>
      <c r="BB1570">
        <v>352</v>
      </c>
      <c r="BC1570">
        <v>361</v>
      </c>
      <c r="BD1570" t="s">
        <v>74</v>
      </c>
      <c r="BE1570" t="s">
        <v>26458</v>
      </c>
      <c r="BF1570" t="str">
        <f>HYPERLINK("http://dx.doi.org/10.1017/S1355771823000626","http://dx.doi.org/10.1017/S1355771823000626")</f>
        <v>http://dx.doi.org/10.1017/S1355771823000626</v>
      </c>
      <c r="BG1570" t="s">
        <v>74</v>
      </c>
      <c r="BH1570" t="s">
        <v>74</v>
      </c>
      <c r="BI1570">
        <v>10</v>
      </c>
      <c r="BJ1570" t="s">
        <v>6991</v>
      </c>
      <c r="BK1570" t="s">
        <v>316</v>
      </c>
      <c r="BL1570" t="s">
        <v>6991</v>
      </c>
      <c r="BM1570" t="s">
        <v>26459</v>
      </c>
      <c r="BN1570" t="s">
        <v>74</v>
      </c>
      <c r="BO1570" t="s">
        <v>74</v>
      </c>
      <c r="BP1570" t="s">
        <v>74</v>
      </c>
      <c r="BQ1570" t="s">
        <v>74</v>
      </c>
      <c r="BR1570" t="s">
        <v>102</v>
      </c>
      <c r="BS1570" t="s">
        <v>26460</v>
      </c>
      <c r="BT1570" t="str">
        <f>HYPERLINK("https%3A%2F%2Fwww.webofscience.com%2Fwos%2Fwoscc%2Ffull-record%2FWOS:001169412100010","View Full Record in Web of Science")</f>
        <v>View Full Record in Web of Science</v>
      </c>
    </row>
    <row r="1571" spans="1:72" x14ac:dyDescent="0.35">
      <c r="A1571" t="s">
        <v>72</v>
      </c>
      <c r="B1571" t="s">
        <v>8846</v>
      </c>
      <c r="C1571" t="s">
        <v>74</v>
      </c>
      <c r="D1571" t="s">
        <v>74</v>
      </c>
      <c r="E1571" t="s">
        <v>74</v>
      </c>
      <c r="F1571" t="s">
        <v>8848</v>
      </c>
      <c r="G1571" t="s">
        <v>74</v>
      </c>
      <c r="H1571" t="s">
        <v>74</v>
      </c>
      <c r="I1571" t="s">
        <v>26461</v>
      </c>
      <c r="J1571" t="s">
        <v>19776</v>
      </c>
      <c r="K1571" t="s">
        <v>74</v>
      </c>
      <c r="L1571" t="s">
        <v>74</v>
      </c>
      <c r="M1571" t="s">
        <v>78</v>
      </c>
      <c r="N1571" t="s">
        <v>108</v>
      </c>
      <c r="O1571" t="s">
        <v>74</v>
      </c>
      <c r="P1571" t="s">
        <v>74</v>
      </c>
      <c r="Q1571" t="s">
        <v>74</v>
      </c>
      <c r="R1571" t="s">
        <v>74</v>
      </c>
      <c r="S1571" t="s">
        <v>74</v>
      </c>
      <c r="T1571" t="s">
        <v>26462</v>
      </c>
      <c r="U1571" t="s">
        <v>26463</v>
      </c>
      <c r="V1571" t="s">
        <v>26464</v>
      </c>
      <c r="W1571" t="s">
        <v>26465</v>
      </c>
      <c r="X1571" t="s">
        <v>8853</v>
      </c>
      <c r="Y1571" t="s">
        <v>26466</v>
      </c>
      <c r="Z1571" t="s">
        <v>2516</v>
      </c>
      <c r="AA1571" t="s">
        <v>2517</v>
      </c>
      <c r="AB1571" t="s">
        <v>2518</v>
      </c>
      <c r="AC1571" t="s">
        <v>26467</v>
      </c>
      <c r="AD1571" t="s">
        <v>26468</v>
      </c>
      <c r="AE1571" t="s">
        <v>26469</v>
      </c>
      <c r="AF1571" t="s">
        <v>74</v>
      </c>
      <c r="AG1571">
        <v>63</v>
      </c>
      <c r="AH1571">
        <v>12</v>
      </c>
      <c r="AI1571">
        <v>13</v>
      </c>
      <c r="AJ1571">
        <v>13</v>
      </c>
      <c r="AK1571">
        <v>120</v>
      </c>
      <c r="AL1571" t="s">
        <v>171</v>
      </c>
      <c r="AM1571" t="s">
        <v>172</v>
      </c>
      <c r="AN1571" t="s">
        <v>173</v>
      </c>
      <c r="AO1571" t="s">
        <v>19786</v>
      </c>
      <c r="AP1571" t="s">
        <v>19787</v>
      </c>
      <c r="AQ1571" t="s">
        <v>74</v>
      </c>
      <c r="AR1571" t="s">
        <v>19788</v>
      </c>
      <c r="AS1571" t="s">
        <v>19789</v>
      </c>
      <c r="AT1571" t="s">
        <v>178</v>
      </c>
      <c r="AU1571">
        <v>2023</v>
      </c>
      <c r="AV1571">
        <v>24</v>
      </c>
      <c r="AW1571">
        <v>2</v>
      </c>
      <c r="AX1571" t="s">
        <v>74</v>
      </c>
      <c r="AY1571" t="s">
        <v>74</v>
      </c>
      <c r="AZ1571" t="s">
        <v>74</v>
      </c>
      <c r="BA1571" t="s">
        <v>74</v>
      </c>
      <c r="BB1571">
        <v>173</v>
      </c>
      <c r="BC1571">
        <v>189</v>
      </c>
      <c r="BD1571">
        <v>1.5274764221087994E+16</v>
      </c>
      <c r="BE1571" t="s">
        <v>26470</v>
      </c>
      <c r="BF1571" t="str">
        <f>HYPERLINK("http://dx.doi.org/10.1177/15274764221087994","http://dx.doi.org/10.1177/15274764221087994")</f>
        <v>http://dx.doi.org/10.1177/15274764221087994</v>
      </c>
      <c r="BG1571" t="s">
        <v>74</v>
      </c>
      <c r="BH1571" t="s">
        <v>4941</v>
      </c>
      <c r="BI1571">
        <v>17</v>
      </c>
      <c r="BJ1571" t="s">
        <v>9507</v>
      </c>
      <c r="BK1571" t="s">
        <v>2125</v>
      </c>
      <c r="BL1571" t="s">
        <v>9508</v>
      </c>
      <c r="BM1571" t="s">
        <v>26471</v>
      </c>
      <c r="BN1571" t="s">
        <v>74</v>
      </c>
      <c r="BO1571" t="s">
        <v>74</v>
      </c>
      <c r="BP1571" t="s">
        <v>74</v>
      </c>
      <c r="BQ1571" t="s">
        <v>74</v>
      </c>
      <c r="BR1571" t="s">
        <v>102</v>
      </c>
      <c r="BS1571" t="s">
        <v>26472</v>
      </c>
      <c r="BT1571" t="str">
        <f>HYPERLINK("https%3A%2F%2Fwww.webofscience.com%2Fwos%2Fwoscc%2Ffull-record%2FWOS:000787262900001","View Full Record in Web of Science")</f>
        <v>View Full Record in Web of Science</v>
      </c>
    </row>
    <row r="1572" spans="1:72" x14ac:dyDescent="0.35">
      <c r="A1572" t="s">
        <v>72</v>
      </c>
      <c r="B1572" t="s">
        <v>26473</v>
      </c>
      <c r="C1572" t="s">
        <v>74</v>
      </c>
      <c r="D1572" t="s">
        <v>74</v>
      </c>
      <c r="E1572" t="s">
        <v>74</v>
      </c>
      <c r="F1572" t="s">
        <v>26474</v>
      </c>
      <c r="G1572" t="s">
        <v>74</v>
      </c>
      <c r="H1572" t="s">
        <v>74</v>
      </c>
      <c r="I1572" t="s">
        <v>26475</v>
      </c>
      <c r="J1572" t="s">
        <v>26476</v>
      </c>
      <c r="K1572" t="s">
        <v>74</v>
      </c>
      <c r="L1572" t="s">
        <v>74</v>
      </c>
      <c r="M1572" t="s">
        <v>78</v>
      </c>
      <c r="N1572" t="s">
        <v>108</v>
      </c>
      <c r="O1572" t="s">
        <v>74</v>
      </c>
      <c r="P1572" t="s">
        <v>74</v>
      </c>
      <c r="Q1572" t="s">
        <v>74</v>
      </c>
      <c r="R1572" t="s">
        <v>74</v>
      </c>
      <c r="S1572" t="s">
        <v>74</v>
      </c>
      <c r="T1572" t="s">
        <v>26477</v>
      </c>
      <c r="U1572" t="s">
        <v>74</v>
      </c>
      <c r="V1572" t="s">
        <v>26478</v>
      </c>
      <c r="W1572" t="s">
        <v>26479</v>
      </c>
      <c r="X1572" t="s">
        <v>74</v>
      </c>
      <c r="Y1572" t="s">
        <v>26480</v>
      </c>
      <c r="Z1572" t="s">
        <v>26481</v>
      </c>
      <c r="AA1572" t="s">
        <v>26482</v>
      </c>
      <c r="AB1572" t="s">
        <v>26483</v>
      </c>
      <c r="AC1572" t="s">
        <v>74</v>
      </c>
      <c r="AD1572" t="s">
        <v>74</v>
      </c>
      <c r="AE1572" t="s">
        <v>74</v>
      </c>
      <c r="AF1572" t="s">
        <v>74</v>
      </c>
      <c r="AG1572">
        <v>21</v>
      </c>
      <c r="AH1572">
        <v>3</v>
      </c>
      <c r="AI1572">
        <v>4</v>
      </c>
      <c r="AJ1572">
        <v>4</v>
      </c>
      <c r="AK1572">
        <v>60</v>
      </c>
      <c r="AL1572" t="s">
        <v>26484</v>
      </c>
      <c r="AM1572" t="s">
        <v>26485</v>
      </c>
      <c r="AN1572" t="s">
        <v>26486</v>
      </c>
      <c r="AO1572" t="s">
        <v>26487</v>
      </c>
      <c r="AP1572" t="s">
        <v>26488</v>
      </c>
      <c r="AQ1572" t="s">
        <v>74</v>
      </c>
      <c r="AR1572" t="s">
        <v>26489</v>
      </c>
      <c r="AS1572" t="s">
        <v>26490</v>
      </c>
      <c r="AT1572" t="s">
        <v>74</v>
      </c>
      <c r="AU1572">
        <v>2021</v>
      </c>
      <c r="AV1572">
        <v>7</v>
      </c>
      <c r="AW1572">
        <v>2</v>
      </c>
      <c r="AX1572" t="s">
        <v>74</v>
      </c>
      <c r="AY1572" t="s">
        <v>74</v>
      </c>
      <c r="AZ1572" t="s">
        <v>74</v>
      </c>
      <c r="BA1572" t="s">
        <v>74</v>
      </c>
      <c r="BB1572">
        <v>179</v>
      </c>
      <c r="BC1572">
        <v>187</v>
      </c>
      <c r="BD1572" t="s">
        <v>74</v>
      </c>
      <c r="BE1572" t="s">
        <v>26491</v>
      </c>
      <c r="BF1572" t="str">
        <f>HYPERLINK("http://dx.doi.org/10.30525/2256-0742/2021-7-2-179-187","http://dx.doi.org/10.30525/2256-0742/2021-7-2-179-187")</f>
        <v>http://dx.doi.org/10.30525/2256-0742/2021-7-2-179-187</v>
      </c>
      <c r="BG1572" t="s">
        <v>74</v>
      </c>
      <c r="BH1572" t="s">
        <v>74</v>
      </c>
      <c r="BI1572">
        <v>9</v>
      </c>
      <c r="BJ1572" t="s">
        <v>675</v>
      </c>
      <c r="BK1572" t="s">
        <v>125</v>
      </c>
      <c r="BL1572" t="s">
        <v>480</v>
      </c>
      <c r="BM1572" t="s">
        <v>26492</v>
      </c>
      <c r="BN1572" t="s">
        <v>74</v>
      </c>
      <c r="BO1572" t="s">
        <v>235</v>
      </c>
      <c r="BP1572" t="s">
        <v>74</v>
      </c>
      <c r="BQ1572" t="s">
        <v>74</v>
      </c>
      <c r="BR1572" t="s">
        <v>102</v>
      </c>
      <c r="BS1572" t="s">
        <v>26493</v>
      </c>
      <c r="BT1572" t="str">
        <f>HYPERLINK("https%3A%2F%2Fwww.webofscience.com%2Fwos%2Fwoscc%2Ffull-record%2FWOS:000656755200019","View Full Record in Web of Science")</f>
        <v>View Full Record in Web of Science</v>
      </c>
    </row>
    <row r="1573" spans="1:72" x14ac:dyDescent="0.35">
      <c r="A1573" t="s">
        <v>128</v>
      </c>
      <c r="B1573" t="s">
        <v>26494</v>
      </c>
      <c r="C1573" t="s">
        <v>74</v>
      </c>
      <c r="D1573" t="s">
        <v>26495</v>
      </c>
      <c r="E1573" t="s">
        <v>74</v>
      </c>
      <c r="F1573" t="s">
        <v>26496</v>
      </c>
      <c r="G1573" t="s">
        <v>74</v>
      </c>
      <c r="H1573" t="s">
        <v>74</v>
      </c>
      <c r="I1573" t="s">
        <v>26497</v>
      </c>
      <c r="J1573" t="s">
        <v>26498</v>
      </c>
      <c r="K1573" t="s">
        <v>8364</v>
      </c>
      <c r="L1573" t="s">
        <v>74</v>
      </c>
      <c r="M1573" t="s">
        <v>78</v>
      </c>
      <c r="N1573" t="s">
        <v>135</v>
      </c>
      <c r="O1573" t="s">
        <v>26499</v>
      </c>
      <c r="P1573" t="s">
        <v>26500</v>
      </c>
      <c r="Q1573" t="s">
        <v>26501</v>
      </c>
      <c r="R1573" t="s">
        <v>26502</v>
      </c>
      <c r="S1573" t="s">
        <v>74</v>
      </c>
      <c r="T1573" t="s">
        <v>26503</v>
      </c>
      <c r="U1573" t="s">
        <v>26504</v>
      </c>
      <c r="V1573" t="s">
        <v>26505</v>
      </c>
      <c r="W1573" t="s">
        <v>26506</v>
      </c>
      <c r="X1573" t="s">
        <v>26507</v>
      </c>
      <c r="Y1573" t="s">
        <v>26508</v>
      </c>
      <c r="Z1573" t="s">
        <v>26509</v>
      </c>
      <c r="AA1573" t="s">
        <v>74</v>
      </c>
      <c r="AB1573" t="s">
        <v>74</v>
      </c>
      <c r="AC1573" t="s">
        <v>74</v>
      </c>
      <c r="AD1573" t="s">
        <v>74</v>
      </c>
      <c r="AE1573" t="s">
        <v>74</v>
      </c>
      <c r="AF1573" t="s">
        <v>74</v>
      </c>
      <c r="AG1573">
        <v>57</v>
      </c>
      <c r="AH1573">
        <v>0</v>
      </c>
      <c r="AI1573">
        <v>0</v>
      </c>
      <c r="AJ1573">
        <v>0</v>
      </c>
      <c r="AK1573">
        <v>0</v>
      </c>
      <c r="AL1573" t="s">
        <v>639</v>
      </c>
      <c r="AM1573" t="s">
        <v>640</v>
      </c>
      <c r="AN1573" t="s">
        <v>641</v>
      </c>
      <c r="AO1573" t="s">
        <v>8380</v>
      </c>
      <c r="AP1573" t="s">
        <v>8381</v>
      </c>
      <c r="AQ1573" t="s">
        <v>26510</v>
      </c>
      <c r="AR1573" t="s">
        <v>8383</v>
      </c>
      <c r="AS1573" t="s">
        <v>74</v>
      </c>
      <c r="AT1573" t="s">
        <v>74</v>
      </c>
      <c r="AU1573">
        <v>2023</v>
      </c>
      <c r="AV1573">
        <v>14135</v>
      </c>
      <c r="AW1573" t="s">
        <v>74</v>
      </c>
      <c r="AX1573" t="s">
        <v>74</v>
      </c>
      <c r="AY1573" t="s">
        <v>74</v>
      </c>
      <c r="AZ1573" t="s">
        <v>74</v>
      </c>
      <c r="BA1573" t="s">
        <v>74</v>
      </c>
      <c r="BB1573">
        <v>52</v>
      </c>
      <c r="BC1573">
        <v>65</v>
      </c>
      <c r="BD1573" t="s">
        <v>74</v>
      </c>
      <c r="BE1573" t="s">
        <v>26511</v>
      </c>
      <c r="BF1573" t="str">
        <f>HYPERLINK("http://dx.doi.org/10.1007/978-3-031-43078-7_5","http://dx.doi.org/10.1007/978-3-031-43078-7_5")</f>
        <v>http://dx.doi.org/10.1007/978-3-031-43078-7_5</v>
      </c>
      <c r="BG1573" t="s">
        <v>74</v>
      </c>
      <c r="BH1573" t="s">
        <v>74</v>
      </c>
      <c r="BI1573">
        <v>14</v>
      </c>
      <c r="BJ1573" t="s">
        <v>26512</v>
      </c>
      <c r="BK1573" t="s">
        <v>723</v>
      </c>
      <c r="BL1573" t="s">
        <v>210</v>
      </c>
      <c r="BM1573" t="s">
        <v>26513</v>
      </c>
      <c r="BN1573" t="s">
        <v>74</v>
      </c>
      <c r="BO1573" t="s">
        <v>74</v>
      </c>
      <c r="BP1573" t="s">
        <v>74</v>
      </c>
      <c r="BQ1573" t="s">
        <v>74</v>
      </c>
      <c r="BR1573" t="s">
        <v>102</v>
      </c>
      <c r="BS1573" t="s">
        <v>26514</v>
      </c>
      <c r="BT1573" t="str">
        <f>HYPERLINK("https%3A%2F%2Fwww.webofscience.com%2Fwos%2Fwoscc%2Ffull-record%2FWOS:001155317100005","View Full Record in Web of Science")</f>
        <v>View Full Record in Web of Science</v>
      </c>
    </row>
    <row r="1574" spans="1:72" x14ac:dyDescent="0.35">
      <c r="A1574" t="s">
        <v>72</v>
      </c>
      <c r="B1574" t="s">
        <v>26515</v>
      </c>
      <c r="C1574" t="s">
        <v>74</v>
      </c>
      <c r="D1574" t="s">
        <v>74</v>
      </c>
      <c r="E1574" t="s">
        <v>74</v>
      </c>
      <c r="F1574" t="s">
        <v>26516</v>
      </c>
      <c r="G1574" t="s">
        <v>74</v>
      </c>
      <c r="H1574" t="s">
        <v>74</v>
      </c>
      <c r="I1574" t="s">
        <v>26517</v>
      </c>
      <c r="J1574" t="s">
        <v>26518</v>
      </c>
      <c r="K1574" t="s">
        <v>74</v>
      </c>
      <c r="L1574" t="s">
        <v>74</v>
      </c>
      <c r="M1574" t="s">
        <v>1012</v>
      </c>
      <c r="N1574" t="s">
        <v>108</v>
      </c>
      <c r="O1574" t="s">
        <v>74</v>
      </c>
      <c r="P1574" t="s">
        <v>74</v>
      </c>
      <c r="Q1574" t="s">
        <v>74</v>
      </c>
      <c r="R1574" t="s">
        <v>74</v>
      </c>
      <c r="S1574" t="s">
        <v>74</v>
      </c>
      <c r="T1574" t="s">
        <v>26519</v>
      </c>
      <c r="U1574" t="s">
        <v>1036</v>
      </c>
      <c r="V1574" t="s">
        <v>26520</v>
      </c>
      <c r="W1574" t="s">
        <v>26521</v>
      </c>
      <c r="X1574" t="s">
        <v>14302</v>
      </c>
      <c r="Y1574" t="s">
        <v>26522</v>
      </c>
      <c r="Z1574" t="s">
        <v>26523</v>
      </c>
      <c r="AA1574" t="s">
        <v>26524</v>
      </c>
      <c r="AB1574" t="s">
        <v>74</v>
      </c>
      <c r="AC1574" t="s">
        <v>74</v>
      </c>
      <c r="AD1574" t="s">
        <v>74</v>
      </c>
      <c r="AE1574" t="s">
        <v>74</v>
      </c>
      <c r="AF1574" t="s">
        <v>74</v>
      </c>
      <c r="AG1574">
        <v>27</v>
      </c>
      <c r="AH1574">
        <v>0</v>
      </c>
      <c r="AI1574">
        <v>0</v>
      </c>
      <c r="AJ1574">
        <v>2</v>
      </c>
      <c r="AK1574">
        <v>16</v>
      </c>
      <c r="AL1574" t="s">
        <v>25443</v>
      </c>
      <c r="AM1574" t="s">
        <v>4435</v>
      </c>
      <c r="AN1574" t="s">
        <v>25444</v>
      </c>
      <c r="AO1574" t="s">
        <v>26525</v>
      </c>
      <c r="AP1574" t="s">
        <v>26526</v>
      </c>
      <c r="AQ1574" t="s">
        <v>74</v>
      </c>
      <c r="AR1574" t="s">
        <v>26527</v>
      </c>
      <c r="AS1574" t="s">
        <v>26528</v>
      </c>
      <c r="AT1574" t="s">
        <v>273</v>
      </c>
      <c r="AU1574">
        <v>2020</v>
      </c>
      <c r="AV1574">
        <v>71</v>
      </c>
      <c r="AW1574">
        <v>4</v>
      </c>
      <c r="AX1574" t="s">
        <v>74</v>
      </c>
      <c r="AY1574" t="s">
        <v>74</v>
      </c>
      <c r="AZ1574" t="s">
        <v>74</v>
      </c>
      <c r="BA1574" t="s">
        <v>74</v>
      </c>
      <c r="BB1574">
        <v>216</v>
      </c>
      <c r="BC1574">
        <v>226</v>
      </c>
      <c r="BD1574" t="s">
        <v>74</v>
      </c>
      <c r="BE1574" t="s">
        <v>26529</v>
      </c>
      <c r="BF1574" t="str">
        <f>HYPERLINK("http://dx.doi.org/10.1515/iwp-2020-2092","http://dx.doi.org/10.1515/iwp-2020-2092")</f>
        <v>http://dx.doi.org/10.1515/iwp-2020-2092</v>
      </c>
      <c r="BG1574" t="s">
        <v>74</v>
      </c>
      <c r="BH1574" t="s">
        <v>74</v>
      </c>
      <c r="BI1574">
        <v>11</v>
      </c>
      <c r="BJ1574" t="s">
        <v>5995</v>
      </c>
      <c r="BK1574" t="s">
        <v>125</v>
      </c>
      <c r="BL1574" t="s">
        <v>5996</v>
      </c>
      <c r="BM1574" t="s">
        <v>26530</v>
      </c>
      <c r="BN1574" t="s">
        <v>74</v>
      </c>
      <c r="BO1574" t="s">
        <v>767</v>
      </c>
      <c r="BP1574" t="s">
        <v>74</v>
      </c>
      <c r="BQ1574" t="s">
        <v>74</v>
      </c>
      <c r="BR1574" t="s">
        <v>102</v>
      </c>
      <c r="BS1574" t="s">
        <v>26531</v>
      </c>
      <c r="BT1574" t="str">
        <f>HYPERLINK("https%3A%2F%2Fwww.webofscience.com%2Fwos%2Fwoscc%2Ffull-record%2FWOS:000594865700008","View Full Record in Web of Science")</f>
        <v>View Full Record in Web of Science</v>
      </c>
    </row>
    <row r="1575" spans="1:72" x14ac:dyDescent="0.35">
      <c r="A1575" t="s">
        <v>72</v>
      </c>
      <c r="B1575" t="s">
        <v>26532</v>
      </c>
      <c r="C1575" t="s">
        <v>74</v>
      </c>
      <c r="D1575" t="s">
        <v>74</v>
      </c>
      <c r="E1575" t="s">
        <v>74</v>
      </c>
      <c r="F1575" t="s">
        <v>26533</v>
      </c>
      <c r="G1575" t="s">
        <v>74</v>
      </c>
      <c r="H1575" t="s">
        <v>74</v>
      </c>
      <c r="I1575" t="s">
        <v>26534</v>
      </c>
      <c r="J1575" t="s">
        <v>19602</v>
      </c>
      <c r="K1575" t="s">
        <v>74</v>
      </c>
      <c r="L1575" t="s">
        <v>74</v>
      </c>
      <c r="M1575" t="s">
        <v>78</v>
      </c>
      <c r="N1575" t="s">
        <v>108</v>
      </c>
      <c r="O1575" t="s">
        <v>74</v>
      </c>
      <c r="P1575" t="s">
        <v>74</v>
      </c>
      <c r="Q1575" t="s">
        <v>74</v>
      </c>
      <c r="R1575" t="s">
        <v>74</v>
      </c>
      <c r="S1575" t="s">
        <v>74</v>
      </c>
      <c r="T1575" t="s">
        <v>26535</v>
      </c>
      <c r="U1575" t="s">
        <v>74</v>
      </c>
      <c r="V1575" t="s">
        <v>26536</v>
      </c>
      <c r="W1575" t="s">
        <v>26537</v>
      </c>
      <c r="X1575" t="s">
        <v>26538</v>
      </c>
      <c r="Y1575" t="s">
        <v>19608</v>
      </c>
      <c r="Z1575" t="s">
        <v>19609</v>
      </c>
      <c r="AA1575" t="s">
        <v>23120</v>
      </c>
      <c r="AB1575" t="s">
        <v>26539</v>
      </c>
      <c r="AC1575" t="s">
        <v>74</v>
      </c>
      <c r="AD1575" t="s">
        <v>74</v>
      </c>
      <c r="AE1575" t="s">
        <v>74</v>
      </c>
      <c r="AF1575" t="s">
        <v>74</v>
      </c>
      <c r="AG1575">
        <v>22</v>
      </c>
      <c r="AH1575">
        <v>10</v>
      </c>
      <c r="AI1575">
        <v>10</v>
      </c>
      <c r="AJ1575">
        <v>3</v>
      </c>
      <c r="AK1575">
        <v>20</v>
      </c>
      <c r="AL1575" t="s">
        <v>3489</v>
      </c>
      <c r="AM1575" t="s">
        <v>3490</v>
      </c>
      <c r="AN1575" t="s">
        <v>3491</v>
      </c>
      <c r="AO1575" t="s">
        <v>19615</v>
      </c>
      <c r="AP1575" t="s">
        <v>19616</v>
      </c>
      <c r="AQ1575" t="s">
        <v>74</v>
      </c>
      <c r="AR1575" t="s">
        <v>19617</v>
      </c>
      <c r="AS1575" t="s">
        <v>19618</v>
      </c>
      <c r="AT1575" t="s">
        <v>1484</v>
      </c>
      <c r="AU1575">
        <v>2024</v>
      </c>
      <c r="AV1575">
        <v>32</v>
      </c>
      <c r="AW1575">
        <v>3</v>
      </c>
      <c r="AX1575" t="s">
        <v>74</v>
      </c>
      <c r="AY1575" t="s">
        <v>74</v>
      </c>
      <c r="AZ1575" t="s">
        <v>74</v>
      </c>
      <c r="BA1575" t="s">
        <v>74</v>
      </c>
      <c r="BB1575">
        <v>509</v>
      </c>
      <c r="BC1575">
        <v>528</v>
      </c>
      <c r="BD1575" t="s">
        <v>74</v>
      </c>
      <c r="BE1575" t="s">
        <v>26540</v>
      </c>
      <c r="BF1575" t="str">
        <f>HYPERLINK("http://dx.doi.org/10.1007/s10389-023-01833-4","http://dx.doi.org/10.1007/s10389-023-01833-4")</f>
        <v>http://dx.doi.org/10.1007/s10389-023-01833-4</v>
      </c>
      <c r="BG1575" t="s">
        <v>74</v>
      </c>
      <c r="BH1575" t="s">
        <v>3638</v>
      </c>
      <c r="BI1575">
        <v>20</v>
      </c>
      <c r="BJ1575" t="s">
        <v>392</v>
      </c>
      <c r="BK1575" t="s">
        <v>125</v>
      </c>
      <c r="BL1575" t="s">
        <v>392</v>
      </c>
      <c r="BM1575" t="s">
        <v>26541</v>
      </c>
      <c r="BN1575">
        <v>36744108</v>
      </c>
      <c r="BO1575" t="s">
        <v>3747</v>
      </c>
      <c r="BP1575" t="s">
        <v>74</v>
      </c>
      <c r="BQ1575" t="s">
        <v>74</v>
      </c>
      <c r="BR1575" t="s">
        <v>102</v>
      </c>
      <c r="BS1575" t="s">
        <v>26542</v>
      </c>
      <c r="BT1575" t="str">
        <f>HYPERLINK("https%3A%2F%2Fwww.webofscience.com%2Fwos%2Fwoscc%2Ffull-record%2FWOS:000918286000001","View Full Record in Web of Science")</f>
        <v>View Full Record in Web of Science</v>
      </c>
    </row>
    <row r="1576" spans="1:72" x14ac:dyDescent="0.35">
      <c r="A1576" t="s">
        <v>128</v>
      </c>
      <c r="B1576" t="s">
        <v>26543</v>
      </c>
      <c r="C1576" t="s">
        <v>74</v>
      </c>
      <c r="D1576" t="s">
        <v>74</v>
      </c>
      <c r="E1576" t="s">
        <v>702</v>
      </c>
      <c r="F1576" t="s">
        <v>26544</v>
      </c>
      <c r="G1576" t="s">
        <v>74</v>
      </c>
      <c r="H1576" t="s">
        <v>74</v>
      </c>
      <c r="I1576" t="s">
        <v>26545</v>
      </c>
      <c r="J1576" t="s">
        <v>26546</v>
      </c>
      <c r="K1576" t="s">
        <v>74</v>
      </c>
      <c r="L1576" t="s">
        <v>74</v>
      </c>
      <c r="M1576" t="s">
        <v>78</v>
      </c>
      <c r="N1576" t="s">
        <v>135</v>
      </c>
      <c r="O1576" t="s">
        <v>26547</v>
      </c>
      <c r="P1576" t="s">
        <v>26548</v>
      </c>
      <c r="Q1576" t="s">
        <v>26549</v>
      </c>
      <c r="R1576" t="s">
        <v>1098</v>
      </c>
      <c r="S1576" t="s">
        <v>74</v>
      </c>
      <c r="T1576" t="s">
        <v>26550</v>
      </c>
      <c r="U1576" t="s">
        <v>74</v>
      </c>
      <c r="V1576" t="s">
        <v>26551</v>
      </c>
      <c r="W1576" t="s">
        <v>26552</v>
      </c>
      <c r="X1576" t="s">
        <v>26553</v>
      </c>
      <c r="Y1576" t="s">
        <v>26554</v>
      </c>
      <c r="Z1576" t="s">
        <v>26555</v>
      </c>
      <c r="AA1576" t="s">
        <v>26556</v>
      </c>
      <c r="AB1576" t="s">
        <v>74</v>
      </c>
      <c r="AC1576" t="s">
        <v>26557</v>
      </c>
      <c r="AD1576" t="s">
        <v>26558</v>
      </c>
      <c r="AE1576" t="s">
        <v>26559</v>
      </c>
      <c r="AF1576" t="s">
        <v>74</v>
      </c>
      <c r="AG1576">
        <v>7</v>
      </c>
      <c r="AH1576">
        <v>2</v>
      </c>
      <c r="AI1576">
        <v>2</v>
      </c>
      <c r="AJ1576">
        <v>1</v>
      </c>
      <c r="AK1576">
        <v>1</v>
      </c>
      <c r="AL1576" t="s">
        <v>718</v>
      </c>
      <c r="AM1576" t="s">
        <v>666</v>
      </c>
      <c r="AN1576" t="s">
        <v>719</v>
      </c>
      <c r="AO1576" t="s">
        <v>74</v>
      </c>
      <c r="AP1576" t="s">
        <v>74</v>
      </c>
      <c r="AQ1576" t="s">
        <v>26560</v>
      </c>
      <c r="AR1576" t="s">
        <v>74</v>
      </c>
      <c r="AS1576" t="s">
        <v>74</v>
      </c>
      <c r="AT1576" t="s">
        <v>74</v>
      </c>
      <c r="AU1576">
        <v>2022</v>
      </c>
      <c r="AV1576" t="s">
        <v>74</v>
      </c>
      <c r="AW1576" t="s">
        <v>74</v>
      </c>
      <c r="AX1576" t="s">
        <v>74</v>
      </c>
      <c r="AY1576" t="s">
        <v>74</v>
      </c>
      <c r="AZ1576" t="s">
        <v>74</v>
      </c>
      <c r="BA1576" t="s">
        <v>74</v>
      </c>
      <c r="BB1576">
        <v>658</v>
      </c>
      <c r="BC1576">
        <v>660</v>
      </c>
      <c r="BD1576" t="s">
        <v>74</v>
      </c>
      <c r="BE1576" t="s">
        <v>26561</v>
      </c>
      <c r="BF1576" t="str">
        <f>HYPERLINK("http://dx.doi.org/10.1145/3523227.3547410","http://dx.doi.org/10.1145/3523227.3547410")</f>
        <v>http://dx.doi.org/10.1145/3523227.3547410</v>
      </c>
      <c r="BG1576" t="s">
        <v>74</v>
      </c>
      <c r="BH1576" t="s">
        <v>74</v>
      </c>
      <c r="BI1576">
        <v>3</v>
      </c>
      <c r="BJ1576" t="s">
        <v>894</v>
      </c>
      <c r="BK1576" t="s">
        <v>723</v>
      </c>
      <c r="BL1576" t="s">
        <v>210</v>
      </c>
      <c r="BM1576" t="s">
        <v>26562</v>
      </c>
      <c r="BN1576" t="s">
        <v>74</v>
      </c>
      <c r="BO1576" t="s">
        <v>767</v>
      </c>
      <c r="BP1576" t="s">
        <v>74</v>
      </c>
      <c r="BQ1576" t="s">
        <v>74</v>
      </c>
      <c r="BR1576" t="s">
        <v>102</v>
      </c>
      <c r="BS1576" t="s">
        <v>26563</v>
      </c>
      <c r="BT1576" t="str">
        <f>HYPERLINK("https%3A%2F%2Fwww.webofscience.com%2Fwos%2Fwoscc%2Ffull-record%2FWOS:001139226600096","View Full Record in Web of Science")</f>
        <v>View Full Record in Web of Science</v>
      </c>
    </row>
    <row r="1577" spans="1:72" x14ac:dyDescent="0.35">
      <c r="A1577" t="s">
        <v>72</v>
      </c>
      <c r="B1577" t="s">
        <v>26564</v>
      </c>
      <c r="C1577" t="s">
        <v>74</v>
      </c>
      <c r="D1577" t="s">
        <v>74</v>
      </c>
      <c r="E1577" t="s">
        <v>74</v>
      </c>
      <c r="F1577" t="s">
        <v>26565</v>
      </c>
      <c r="G1577" t="s">
        <v>74</v>
      </c>
      <c r="H1577" t="s">
        <v>74</v>
      </c>
      <c r="I1577" t="s">
        <v>26566</v>
      </c>
      <c r="J1577" t="s">
        <v>15242</v>
      </c>
      <c r="K1577" t="s">
        <v>74</v>
      </c>
      <c r="L1577" t="s">
        <v>74</v>
      </c>
      <c r="M1577" t="s">
        <v>78</v>
      </c>
      <c r="N1577" t="s">
        <v>108</v>
      </c>
      <c r="O1577" t="s">
        <v>74</v>
      </c>
      <c r="P1577" t="s">
        <v>74</v>
      </c>
      <c r="Q1577" t="s">
        <v>74</v>
      </c>
      <c r="R1577" t="s">
        <v>74</v>
      </c>
      <c r="S1577" t="s">
        <v>74</v>
      </c>
      <c r="T1577" t="s">
        <v>26567</v>
      </c>
      <c r="U1577" t="s">
        <v>26568</v>
      </c>
      <c r="V1577" t="s">
        <v>26569</v>
      </c>
      <c r="W1577" t="s">
        <v>26570</v>
      </c>
      <c r="X1577" t="s">
        <v>26571</v>
      </c>
      <c r="Y1577" t="s">
        <v>26572</v>
      </c>
      <c r="Z1577" t="s">
        <v>26573</v>
      </c>
      <c r="AA1577" t="s">
        <v>74</v>
      </c>
      <c r="AB1577" t="s">
        <v>26574</v>
      </c>
      <c r="AC1577" t="s">
        <v>74</v>
      </c>
      <c r="AD1577" t="s">
        <v>74</v>
      </c>
      <c r="AE1577" t="s">
        <v>74</v>
      </c>
      <c r="AF1577" t="s">
        <v>74</v>
      </c>
      <c r="AG1577">
        <v>21</v>
      </c>
      <c r="AH1577">
        <v>6</v>
      </c>
      <c r="AI1577">
        <v>6</v>
      </c>
      <c r="AJ1577">
        <v>0</v>
      </c>
      <c r="AK1577">
        <v>1</v>
      </c>
      <c r="AL1577" t="s">
        <v>1901</v>
      </c>
      <c r="AM1577" t="s">
        <v>995</v>
      </c>
      <c r="AN1577" t="s">
        <v>1902</v>
      </c>
      <c r="AO1577" t="s">
        <v>15254</v>
      </c>
      <c r="AP1577" t="s">
        <v>15255</v>
      </c>
      <c r="AQ1577" t="s">
        <v>74</v>
      </c>
      <c r="AR1577" t="s">
        <v>15256</v>
      </c>
      <c r="AS1577" t="s">
        <v>15257</v>
      </c>
      <c r="AT1577" t="s">
        <v>2032</v>
      </c>
      <c r="AU1577">
        <v>2022</v>
      </c>
      <c r="AV1577">
        <v>42</v>
      </c>
      <c r="AW1577">
        <v>10</v>
      </c>
      <c r="AX1577" t="s">
        <v>74</v>
      </c>
      <c r="AY1577" t="s">
        <v>74</v>
      </c>
      <c r="AZ1577" t="s">
        <v>74</v>
      </c>
      <c r="BA1577" t="s">
        <v>74</v>
      </c>
      <c r="BB1577">
        <v>627</v>
      </c>
      <c r="BC1577">
        <v>630</v>
      </c>
      <c r="BD1577" t="s">
        <v>74</v>
      </c>
      <c r="BE1577" t="s">
        <v>26575</v>
      </c>
      <c r="BF1577" t="str">
        <f>HYPERLINK("http://dx.doi.org/10.1097/BPO.0000000000002244","http://dx.doi.org/10.1097/BPO.0000000000002244")</f>
        <v>http://dx.doi.org/10.1097/BPO.0000000000002244</v>
      </c>
      <c r="BG1577" t="s">
        <v>74</v>
      </c>
      <c r="BH1577" t="s">
        <v>74</v>
      </c>
      <c r="BI1577">
        <v>4</v>
      </c>
      <c r="BJ1577" t="s">
        <v>15259</v>
      </c>
      <c r="BK1577" t="s">
        <v>209</v>
      </c>
      <c r="BL1577" t="s">
        <v>15259</v>
      </c>
      <c r="BM1577" t="s">
        <v>26576</v>
      </c>
      <c r="BN1577">
        <v>36037441</v>
      </c>
      <c r="BO1577" t="s">
        <v>74</v>
      </c>
      <c r="BP1577" t="s">
        <v>74</v>
      </c>
      <c r="BQ1577" t="s">
        <v>74</v>
      </c>
      <c r="BR1577" t="s">
        <v>102</v>
      </c>
      <c r="BS1577" t="s">
        <v>26577</v>
      </c>
      <c r="BT1577" t="str">
        <f>HYPERLINK("https%3A%2F%2Fwww.webofscience.com%2Fwos%2Fwoscc%2Ffull-record%2FWOS:000865982000015","View Full Record in Web of Science")</f>
        <v>View Full Record in Web of Science</v>
      </c>
    </row>
    <row r="1578" spans="1:72" x14ac:dyDescent="0.35">
      <c r="A1578" t="s">
        <v>72</v>
      </c>
      <c r="B1578" t="s">
        <v>26578</v>
      </c>
      <c r="C1578" t="s">
        <v>74</v>
      </c>
      <c r="D1578" t="s">
        <v>74</v>
      </c>
      <c r="E1578" t="s">
        <v>74</v>
      </c>
      <c r="F1578" t="s">
        <v>26579</v>
      </c>
      <c r="G1578" t="s">
        <v>74</v>
      </c>
      <c r="H1578" t="s">
        <v>74</v>
      </c>
      <c r="I1578" t="s">
        <v>26580</v>
      </c>
      <c r="J1578" t="s">
        <v>26581</v>
      </c>
      <c r="K1578" t="s">
        <v>74</v>
      </c>
      <c r="L1578" t="s">
        <v>74</v>
      </c>
      <c r="M1578" t="s">
        <v>78</v>
      </c>
      <c r="N1578" t="s">
        <v>108</v>
      </c>
      <c r="O1578" t="s">
        <v>74</v>
      </c>
      <c r="P1578" t="s">
        <v>74</v>
      </c>
      <c r="Q1578" t="s">
        <v>74</v>
      </c>
      <c r="R1578" t="s">
        <v>74</v>
      </c>
      <c r="S1578" t="s">
        <v>74</v>
      </c>
      <c r="T1578" t="s">
        <v>26582</v>
      </c>
      <c r="U1578" t="s">
        <v>26583</v>
      </c>
      <c r="V1578" t="s">
        <v>26584</v>
      </c>
      <c r="W1578" t="s">
        <v>26585</v>
      </c>
      <c r="X1578" t="s">
        <v>26586</v>
      </c>
      <c r="Y1578" t="s">
        <v>26587</v>
      </c>
      <c r="Z1578" t="s">
        <v>26588</v>
      </c>
      <c r="AA1578" t="s">
        <v>74</v>
      </c>
      <c r="AB1578" t="s">
        <v>74</v>
      </c>
      <c r="AC1578" t="s">
        <v>74</v>
      </c>
      <c r="AD1578" t="s">
        <v>74</v>
      </c>
      <c r="AE1578" t="s">
        <v>74</v>
      </c>
      <c r="AF1578" t="s">
        <v>74</v>
      </c>
      <c r="AG1578">
        <v>66</v>
      </c>
      <c r="AH1578">
        <v>0</v>
      </c>
      <c r="AI1578">
        <v>0</v>
      </c>
      <c r="AJ1578">
        <v>1</v>
      </c>
      <c r="AK1578">
        <v>6</v>
      </c>
      <c r="AL1578" t="s">
        <v>26589</v>
      </c>
      <c r="AM1578" t="s">
        <v>9610</v>
      </c>
      <c r="AN1578" t="s">
        <v>26590</v>
      </c>
      <c r="AO1578" t="s">
        <v>26591</v>
      </c>
      <c r="AP1578" t="s">
        <v>74</v>
      </c>
      <c r="AQ1578" t="s">
        <v>74</v>
      </c>
      <c r="AR1578" t="s">
        <v>26592</v>
      </c>
      <c r="AS1578" t="s">
        <v>26593</v>
      </c>
      <c r="AT1578" t="s">
        <v>74</v>
      </c>
      <c r="AU1578">
        <v>2022</v>
      </c>
      <c r="AV1578">
        <v>29</v>
      </c>
      <c r="AW1578">
        <v>3</v>
      </c>
      <c r="AX1578" t="s">
        <v>74</v>
      </c>
      <c r="AY1578" t="s">
        <v>74</v>
      </c>
      <c r="AZ1578" t="s">
        <v>74</v>
      </c>
      <c r="BA1578" t="s">
        <v>74</v>
      </c>
      <c r="BB1578">
        <v>471</v>
      </c>
      <c r="BC1578">
        <v>495</v>
      </c>
      <c r="BD1578" t="s">
        <v>74</v>
      </c>
      <c r="BE1578" t="s">
        <v>26594</v>
      </c>
      <c r="BF1578" t="str">
        <f>HYPERLINK("http://dx.doi.org/10.3935/ljsr.v29i3.498","http://dx.doi.org/10.3935/ljsr.v29i3.498")</f>
        <v>http://dx.doi.org/10.3935/ljsr.v29i3.498</v>
      </c>
      <c r="BG1578" t="s">
        <v>74</v>
      </c>
      <c r="BH1578" t="s">
        <v>74</v>
      </c>
      <c r="BI1578">
        <v>25</v>
      </c>
      <c r="BJ1578" t="s">
        <v>26595</v>
      </c>
      <c r="BK1578" t="s">
        <v>99</v>
      </c>
      <c r="BL1578" t="s">
        <v>26595</v>
      </c>
      <c r="BM1578" t="s">
        <v>26596</v>
      </c>
      <c r="BN1578" t="s">
        <v>74</v>
      </c>
      <c r="BO1578" t="s">
        <v>235</v>
      </c>
      <c r="BP1578" t="s">
        <v>74</v>
      </c>
      <c r="BQ1578" t="s">
        <v>74</v>
      </c>
      <c r="BR1578" t="s">
        <v>102</v>
      </c>
      <c r="BS1578" t="s">
        <v>26597</v>
      </c>
      <c r="BT1578" t="str">
        <f>HYPERLINK("https%3A%2F%2Fwww.webofscience.com%2Fwos%2Fwoscc%2Ffull-record%2FWOS:001024089300006","View Full Record in Web of Science")</f>
        <v>View Full Record in Web of Science</v>
      </c>
    </row>
    <row r="1579" spans="1:72" x14ac:dyDescent="0.35">
      <c r="A1579" t="s">
        <v>72</v>
      </c>
      <c r="B1579" t="s">
        <v>26598</v>
      </c>
      <c r="C1579" t="s">
        <v>74</v>
      </c>
      <c r="D1579" t="s">
        <v>74</v>
      </c>
      <c r="E1579" t="s">
        <v>74</v>
      </c>
      <c r="F1579" t="s">
        <v>26599</v>
      </c>
      <c r="G1579" t="s">
        <v>74</v>
      </c>
      <c r="H1579" t="s">
        <v>74</v>
      </c>
      <c r="I1579" t="s">
        <v>26600</v>
      </c>
      <c r="J1579" t="s">
        <v>26601</v>
      </c>
      <c r="K1579" t="s">
        <v>74</v>
      </c>
      <c r="L1579" t="s">
        <v>74</v>
      </c>
      <c r="M1579" t="s">
        <v>78</v>
      </c>
      <c r="N1579" t="s">
        <v>79</v>
      </c>
      <c r="O1579" t="s">
        <v>74</v>
      </c>
      <c r="P1579" t="s">
        <v>74</v>
      </c>
      <c r="Q1579" t="s">
        <v>74</v>
      </c>
      <c r="R1579" t="s">
        <v>74</v>
      </c>
      <c r="S1579" t="s">
        <v>74</v>
      </c>
      <c r="T1579" t="s">
        <v>26602</v>
      </c>
      <c r="U1579" t="s">
        <v>26603</v>
      </c>
      <c r="V1579" t="s">
        <v>26604</v>
      </c>
      <c r="W1579" t="s">
        <v>26605</v>
      </c>
      <c r="X1579" t="s">
        <v>26606</v>
      </c>
      <c r="Y1579" t="s">
        <v>26607</v>
      </c>
      <c r="Z1579" t="s">
        <v>26608</v>
      </c>
      <c r="AA1579" t="s">
        <v>74</v>
      </c>
      <c r="AB1579" t="s">
        <v>74</v>
      </c>
      <c r="AC1579" t="s">
        <v>26609</v>
      </c>
      <c r="AD1579" t="s">
        <v>26609</v>
      </c>
      <c r="AE1579" t="s">
        <v>26610</v>
      </c>
      <c r="AF1579" t="s">
        <v>74</v>
      </c>
      <c r="AG1579">
        <v>68</v>
      </c>
      <c r="AH1579">
        <v>0</v>
      </c>
      <c r="AI1579">
        <v>0</v>
      </c>
      <c r="AJ1579">
        <v>1</v>
      </c>
      <c r="AK1579">
        <v>1</v>
      </c>
      <c r="AL1579" t="s">
        <v>171</v>
      </c>
      <c r="AM1579" t="s">
        <v>172</v>
      </c>
      <c r="AN1579" t="s">
        <v>173</v>
      </c>
      <c r="AO1579" t="s">
        <v>26611</v>
      </c>
      <c r="AP1579" t="s">
        <v>26612</v>
      </c>
      <c r="AQ1579" t="s">
        <v>74</v>
      </c>
      <c r="AR1579" t="s">
        <v>26613</v>
      </c>
      <c r="AS1579" t="s">
        <v>26614</v>
      </c>
      <c r="AT1579" t="s">
        <v>26615</v>
      </c>
      <c r="AU1579">
        <v>2024</v>
      </c>
      <c r="AV1579" t="s">
        <v>74</v>
      </c>
      <c r="AW1579" t="s">
        <v>74</v>
      </c>
      <c r="AX1579" t="s">
        <v>74</v>
      </c>
      <c r="AY1579" t="s">
        <v>74</v>
      </c>
      <c r="AZ1579" t="s">
        <v>74</v>
      </c>
      <c r="BA1579" t="s">
        <v>74</v>
      </c>
      <c r="BB1579" t="s">
        <v>74</v>
      </c>
      <c r="BC1579" t="s">
        <v>74</v>
      </c>
      <c r="BD1579" t="s">
        <v>74</v>
      </c>
      <c r="BE1579" t="s">
        <v>26616</v>
      </c>
      <c r="BF1579" t="str">
        <f>HYPERLINK("http://dx.doi.org/10.1177/15570851241268187","http://dx.doi.org/10.1177/15570851241268187")</f>
        <v>http://dx.doi.org/10.1177/15570851241268187</v>
      </c>
      <c r="BG1579" t="s">
        <v>74</v>
      </c>
      <c r="BH1579" t="s">
        <v>478</v>
      </c>
      <c r="BI1579">
        <v>30</v>
      </c>
      <c r="BJ1579" t="s">
        <v>7688</v>
      </c>
      <c r="BK1579" t="s">
        <v>99</v>
      </c>
      <c r="BL1579" t="s">
        <v>7688</v>
      </c>
      <c r="BM1579" t="s">
        <v>26617</v>
      </c>
      <c r="BN1579" t="s">
        <v>74</v>
      </c>
      <c r="BO1579" t="s">
        <v>74</v>
      </c>
      <c r="BP1579" t="s">
        <v>74</v>
      </c>
      <c r="BQ1579" t="s">
        <v>74</v>
      </c>
      <c r="BR1579" t="s">
        <v>102</v>
      </c>
      <c r="BS1579" t="s">
        <v>26618</v>
      </c>
      <c r="BT1579" t="str">
        <f>HYPERLINK("https%3A%2F%2Fwww.webofscience.com%2Fwos%2Fwoscc%2Ffull-record%2FWOS:001279795400001","View Full Record in Web of Science")</f>
        <v>View Full Record in Web of Science</v>
      </c>
    </row>
    <row r="1580" spans="1:72" x14ac:dyDescent="0.35">
      <c r="A1580" t="s">
        <v>72</v>
      </c>
      <c r="B1580" t="s">
        <v>26619</v>
      </c>
      <c r="C1580" t="s">
        <v>74</v>
      </c>
      <c r="D1580" t="s">
        <v>74</v>
      </c>
      <c r="E1580" t="s">
        <v>74</v>
      </c>
      <c r="F1580" t="s">
        <v>26620</v>
      </c>
      <c r="G1580" t="s">
        <v>74</v>
      </c>
      <c r="H1580" t="s">
        <v>74</v>
      </c>
      <c r="I1580" t="s">
        <v>26621</v>
      </c>
      <c r="J1580" t="s">
        <v>1011</v>
      </c>
      <c r="K1580" t="s">
        <v>74</v>
      </c>
      <c r="L1580" t="s">
        <v>74</v>
      </c>
      <c r="M1580" t="s">
        <v>1012</v>
      </c>
      <c r="N1580" t="s">
        <v>108</v>
      </c>
      <c r="O1580" t="s">
        <v>74</v>
      </c>
      <c r="P1580" t="s">
        <v>74</v>
      </c>
      <c r="Q1580" t="s">
        <v>74</v>
      </c>
      <c r="R1580" t="s">
        <v>74</v>
      </c>
      <c r="S1580" t="s">
        <v>74</v>
      </c>
      <c r="T1580" t="s">
        <v>26622</v>
      </c>
      <c r="U1580" t="s">
        <v>26623</v>
      </c>
      <c r="V1580" t="s">
        <v>26624</v>
      </c>
      <c r="W1580" t="s">
        <v>26625</v>
      </c>
      <c r="X1580" t="s">
        <v>1017</v>
      </c>
      <c r="Y1580" t="s">
        <v>1018</v>
      </c>
      <c r="Z1580" t="s">
        <v>1019</v>
      </c>
      <c r="AA1580" t="s">
        <v>74</v>
      </c>
      <c r="AB1580" t="s">
        <v>74</v>
      </c>
      <c r="AC1580" t="s">
        <v>74</v>
      </c>
      <c r="AD1580" t="s">
        <v>74</v>
      </c>
      <c r="AE1580" t="s">
        <v>74</v>
      </c>
      <c r="AF1580" t="s">
        <v>74</v>
      </c>
      <c r="AG1580">
        <v>42</v>
      </c>
      <c r="AH1580">
        <v>1</v>
      </c>
      <c r="AI1580">
        <v>1</v>
      </c>
      <c r="AJ1580">
        <v>4</v>
      </c>
      <c r="AK1580">
        <v>22</v>
      </c>
      <c r="AL1580" t="s">
        <v>1021</v>
      </c>
      <c r="AM1580" t="s">
        <v>1022</v>
      </c>
      <c r="AN1580" t="s">
        <v>1023</v>
      </c>
      <c r="AO1580" t="s">
        <v>1024</v>
      </c>
      <c r="AP1580" t="s">
        <v>1025</v>
      </c>
      <c r="AQ1580" t="s">
        <v>74</v>
      </c>
      <c r="AR1580" t="s">
        <v>1026</v>
      </c>
      <c r="AS1580" t="s">
        <v>1027</v>
      </c>
      <c r="AT1580" t="s">
        <v>257</v>
      </c>
      <c r="AU1580">
        <v>2023</v>
      </c>
      <c r="AV1580">
        <v>36</v>
      </c>
      <c r="AW1580">
        <v>2</v>
      </c>
      <c r="AX1580" t="s">
        <v>74</v>
      </c>
      <c r="AY1580" t="s">
        <v>74</v>
      </c>
      <c r="AZ1580" t="s">
        <v>74</v>
      </c>
      <c r="BA1580" t="s">
        <v>74</v>
      </c>
      <c r="BB1580">
        <v>66</v>
      </c>
      <c r="BC1580">
        <v>75</v>
      </c>
      <c r="BD1580" t="s">
        <v>74</v>
      </c>
      <c r="BE1580" t="s">
        <v>26626</v>
      </c>
      <c r="BF1580" t="str">
        <f>HYPERLINK("http://dx.doi.org/10.1055/a-2055-3160","http://dx.doi.org/10.1055/a-2055-3160")</f>
        <v>http://dx.doi.org/10.1055/a-2055-3160</v>
      </c>
      <c r="BG1580" t="s">
        <v>74</v>
      </c>
      <c r="BH1580" t="s">
        <v>299</v>
      </c>
      <c r="BI1580">
        <v>10</v>
      </c>
      <c r="BJ1580" t="s">
        <v>1029</v>
      </c>
      <c r="BK1580" t="s">
        <v>99</v>
      </c>
      <c r="BL1580" t="s">
        <v>1030</v>
      </c>
      <c r="BM1580" t="s">
        <v>26627</v>
      </c>
      <c r="BN1580" t="s">
        <v>74</v>
      </c>
      <c r="BO1580" t="s">
        <v>74</v>
      </c>
      <c r="BP1580" t="s">
        <v>74</v>
      </c>
      <c r="BQ1580" t="s">
        <v>74</v>
      </c>
      <c r="BR1580" t="s">
        <v>102</v>
      </c>
      <c r="BS1580" t="s">
        <v>26628</v>
      </c>
      <c r="BT1580" t="str">
        <f>HYPERLINK("https%3A%2F%2Fwww.webofscience.com%2Fwos%2Fwoscc%2Ffull-record%2FWOS:000996487400001","View Full Record in Web of Science")</f>
        <v>View Full Record in Web of Science</v>
      </c>
    </row>
    <row r="1581" spans="1:72" x14ac:dyDescent="0.35">
      <c r="A1581" t="s">
        <v>128</v>
      </c>
      <c r="B1581" t="s">
        <v>26629</v>
      </c>
      <c r="C1581" t="s">
        <v>74</v>
      </c>
      <c r="D1581" t="s">
        <v>74</v>
      </c>
      <c r="E1581" t="s">
        <v>702</v>
      </c>
      <c r="F1581" t="s">
        <v>26630</v>
      </c>
      <c r="G1581" t="s">
        <v>74</v>
      </c>
      <c r="H1581" t="s">
        <v>74</v>
      </c>
      <c r="I1581" t="s">
        <v>26631</v>
      </c>
      <c r="J1581" t="s">
        <v>26632</v>
      </c>
      <c r="K1581" t="s">
        <v>74</v>
      </c>
      <c r="L1581" t="s">
        <v>74</v>
      </c>
      <c r="M1581" t="s">
        <v>78</v>
      </c>
      <c r="N1581" t="s">
        <v>135</v>
      </c>
      <c r="O1581" t="s">
        <v>21967</v>
      </c>
      <c r="P1581" t="s">
        <v>1096</v>
      </c>
      <c r="Q1581" t="s">
        <v>26633</v>
      </c>
      <c r="R1581" t="s">
        <v>1098</v>
      </c>
      <c r="S1581" t="s">
        <v>26634</v>
      </c>
      <c r="T1581" t="s">
        <v>26635</v>
      </c>
      <c r="U1581" t="s">
        <v>74</v>
      </c>
      <c r="V1581" t="s">
        <v>26636</v>
      </c>
      <c r="W1581" t="s">
        <v>26637</v>
      </c>
      <c r="X1581" t="s">
        <v>26638</v>
      </c>
      <c r="Y1581" t="s">
        <v>26639</v>
      </c>
      <c r="Z1581" t="s">
        <v>26640</v>
      </c>
      <c r="AA1581" t="s">
        <v>26641</v>
      </c>
      <c r="AB1581" t="s">
        <v>26642</v>
      </c>
      <c r="AC1581" t="s">
        <v>74</v>
      </c>
      <c r="AD1581" t="s">
        <v>74</v>
      </c>
      <c r="AE1581" t="s">
        <v>74</v>
      </c>
      <c r="AF1581" t="s">
        <v>74</v>
      </c>
      <c r="AG1581">
        <v>25</v>
      </c>
      <c r="AH1581">
        <v>0</v>
      </c>
      <c r="AI1581">
        <v>0</v>
      </c>
      <c r="AJ1581">
        <v>1</v>
      </c>
      <c r="AK1581">
        <v>4</v>
      </c>
      <c r="AL1581" t="s">
        <v>718</v>
      </c>
      <c r="AM1581" t="s">
        <v>666</v>
      </c>
      <c r="AN1581" t="s">
        <v>719</v>
      </c>
      <c r="AO1581" t="s">
        <v>74</v>
      </c>
      <c r="AP1581" t="s">
        <v>74</v>
      </c>
      <c r="AQ1581" t="s">
        <v>74</v>
      </c>
      <c r="AR1581" t="s">
        <v>74</v>
      </c>
      <c r="AS1581" t="s">
        <v>74</v>
      </c>
      <c r="AT1581" t="s">
        <v>74</v>
      </c>
      <c r="AU1581">
        <v>2023</v>
      </c>
      <c r="AV1581" t="s">
        <v>74</v>
      </c>
      <c r="AW1581" t="s">
        <v>74</v>
      </c>
      <c r="AX1581" t="s">
        <v>74</v>
      </c>
      <c r="AY1581" t="s">
        <v>74</v>
      </c>
      <c r="AZ1581" t="s">
        <v>74</v>
      </c>
      <c r="BA1581" t="s">
        <v>74</v>
      </c>
      <c r="BB1581">
        <v>121</v>
      </c>
      <c r="BC1581">
        <v>123</v>
      </c>
      <c r="BD1581" t="s">
        <v>74</v>
      </c>
      <c r="BE1581" t="s">
        <v>26643</v>
      </c>
      <c r="BF1581" t="str">
        <f>HYPERLINK("http://dx.doi.org/10.1145/3563703.3591461","http://dx.doi.org/10.1145/3563703.3591461")</f>
        <v>http://dx.doi.org/10.1145/3563703.3591461</v>
      </c>
      <c r="BG1581" t="s">
        <v>74</v>
      </c>
      <c r="BH1581" t="s">
        <v>74</v>
      </c>
      <c r="BI1581">
        <v>3</v>
      </c>
      <c r="BJ1581" t="s">
        <v>1112</v>
      </c>
      <c r="BK1581" t="s">
        <v>648</v>
      </c>
      <c r="BL1581" t="s">
        <v>1113</v>
      </c>
      <c r="BM1581" t="s">
        <v>26644</v>
      </c>
      <c r="BN1581" t="s">
        <v>74</v>
      </c>
      <c r="BO1581" t="s">
        <v>74</v>
      </c>
      <c r="BP1581" t="s">
        <v>74</v>
      </c>
      <c r="BQ1581" t="s">
        <v>74</v>
      </c>
      <c r="BR1581" t="s">
        <v>102</v>
      </c>
      <c r="BS1581" t="s">
        <v>26645</v>
      </c>
      <c r="BT1581" t="str">
        <f>HYPERLINK("https%3A%2F%2Fwww.webofscience.com%2Fwos%2Fwoscc%2Ffull-record%2FWOS:001031537800029","View Full Record in Web of Science")</f>
        <v>View Full Record in Web of Science</v>
      </c>
    </row>
    <row r="1582" spans="1:72" x14ac:dyDescent="0.35">
      <c r="A1582" t="s">
        <v>72</v>
      </c>
      <c r="B1582" t="s">
        <v>26646</v>
      </c>
      <c r="C1582" t="s">
        <v>74</v>
      </c>
      <c r="D1582" t="s">
        <v>74</v>
      </c>
      <c r="E1582" t="s">
        <v>74</v>
      </c>
      <c r="F1582" t="s">
        <v>26647</v>
      </c>
      <c r="G1582" t="s">
        <v>74</v>
      </c>
      <c r="H1582" t="s">
        <v>74</v>
      </c>
      <c r="I1582" t="s">
        <v>26648</v>
      </c>
      <c r="J1582" t="s">
        <v>6063</v>
      </c>
      <c r="K1582" t="s">
        <v>74</v>
      </c>
      <c r="L1582" t="s">
        <v>74</v>
      </c>
      <c r="M1582" t="s">
        <v>78</v>
      </c>
      <c r="N1582" t="s">
        <v>79</v>
      </c>
      <c r="O1582" t="s">
        <v>74</v>
      </c>
      <c r="P1582" t="s">
        <v>74</v>
      </c>
      <c r="Q1582" t="s">
        <v>74</v>
      </c>
      <c r="R1582" t="s">
        <v>74</v>
      </c>
      <c r="S1582" t="s">
        <v>74</v>
      </c>
      <c r="T1582" t="s">
        <v>74</v>
      </c>
      <c r="U1582" t="s">
        <v>26649</v>
      </c>
      <c r="V1582" t="s">
        <v>26650</v>
      </c>
      <c r="W1582" t="s">
        <v>26651</v>
      </c>
      <c r="X1582" t="s">
        <v>26652</v>
      </c>
      <c r="Y1582" t="s">
        <v>26653</v>
      </c>
      <c r="Z1582" t="s">
        <v>20641</v>
      </c>
      <c r="AA1582" t="s">
        <v>26654</v>
      </c>
      <c r="AB1582" t="s">
        <v>26655</v>
      </c>
      <c r="AC1582" t="s">
        <v>74</v>
      </c>
      <c r="AD1582" t="s">
        <v>74</v>
      </c>
      <c r="AE1582" t="s">
        <v>74</v>
      </c>
      <c r="AF1582" t="s">
        <v>74</v>
      </c>
      <c r="AG1582">
        <v>23</v>
      </c>
      <c r="AH1582">
        <v>0</v>
      </c>
      <c r="AI1582">
        <v>0</v>
      </c>
      <c r="AJ1582">
        <v>0</v>
      </c>
      <c r="AK1582">
        <v>0</v>
      </c>
      <c r="AL1582" t="s">
        <v>803</v>
      </c>
      <c r="AM1582" t="s">
        <v>227</v>
      </c>
      <c r="AN1582" t="s">
        <v>804</v>
      </c>
      <c r="AO1582" t="s">
        <v>6071</v>
      </c>
      <c r="AP1582" t="s">
        <v>6072</v>
      </c>
      <c r="AQ1582" t="s">
        <v>74</v>
      </c>
      <c r="AR1582" t="s">
        <v>6073</v>
      </c>
      <c r="AS1582" t="s">
        <v>6074</v>
      </c>
      <c r="AT1582" t="s">
        <v>26656</v>
      </c>
      <c r="AU1582">
        <v>2024</v>
      </c>
      <c r="AV1582" t="s">
        <v>74</v>
      </c>
      <c r="AW1582" t="s">
        <v>74</v>
      </c>
      <c r="AX1582" t="s">
        <v>74</v>
      </c>
      <c r="AY1582" t="s">
        <v>74</v>
      </c>
      <c r="AZ1582" t="s">
        <v>74</v>
      </c>
      <c r="BA1582" t="s">
        <v>74</v>
      </c>
      <c r="BB1582" t="s">
        <v>74</v>
      </c>
      <c r="BC1582" t="s">
        <v>74</v>
      </c>
      <c r="BD1582" t="s">
        <v>74</v>
      </c>
      <c r="BE1582" t="s">
        <v>26657</v>
      </c>
      <c r="BF1582" t="str">
        <f>HYPERLINK("http://dx.doi.org/10.1038/s41443-024-00931-5","http://dx.doi.org/10.1038/s41443-024-00931-5")</f>
        <v>http://dx.doi.org/10.1038/s41443-024-00931-5</v>
      </c>
      <c r="BG1582" t="s">
        <v>74</v>
      </c>
      <c r="BH1582" t="s">
        <v>500</v>
      </c>
      <c r="BI1582">
        <v>4</v>
      </c>
      <c r="BJ1582" t="s">
        <v>1908</v>
      </c>
      <c r="BK1582" t="s">
        <v>209</v>
      </c>
      <c r="BL1582" t="s">
        <v>1908</v>
      </c>
      <c r="BM1582" t="s">
        <v>26658</v>
      </c>
      <c r="BN1582">
        <v>38877106</v>
      </c>
      <c r="BO1582" t="s">
        <v>74</v>
      </c>
      <c r="BP1582" t="s">
        <v>74</v>
      </c>
      <c r="BQ1582" t="s">
        <v>74</v>
      </c>
      <c r="BR1582" t="s">
        <v>102</v>
      </c>
      <c r="BS1582" t="s">
        <v>26659</v>
      </c>
      <c r="BT1582" t="str">
        <f>HYPERLINK("https%3A%2F%2Fwww.webofscience.com%2Fwos%2Fwoscc%2Ffull-record%2FWOS:001246511600001","View Full Record in Web of Science")</f>
        <v>View Full Record in Web of Science</v>
      </c>
    </row>
    <row r="1583" spans="1:72" x14ac:dyDescent="0.35">
      <c r="A1583" t="s">
        <v>72</v>
      </c>
      <c r="B1583" t="s">
        <v>26660</v>
      </c>
      <c r="C1583" t="s">
        <v>74</v>
      </c>
      <c r="D1583" t="s">
        <v>74</v>
      </c>
      <c r="E1583" t="s">
        <v>74</v>
      </c>
      <c r="F1583" t="s">
        <v>26661</v>
      </c>
      <c r="G1583" t="s">
        <v>74</v>
      </c>
      <c r="H1583" t="s">
        <v>74</v>
      </c>
      <c r="I1583" t="s">
        <v>26662</v>
      </c>
      <c r="J1583" t="s">
        <v>26663</v>
      </c>
      <c r="K1583" t="s">
        <v>74</v>
      </c>
      <c r="L1583" t="s">
        <v>74</v>
      </c>
      <c r="M1583" t="s">
        <v>78</v>
      </c>
      <c r="N1583" t="s">
        <v>108</v>
      </c>
      <c r="O1583" t="s">
        <v>74</v>
      </c>
      <c r="P1583" t="s">
        <v>74</v>
      </c>
      <c r="Q1583" t="s">
        <v>74</v>
      </c>
      <c r="R1583" t="s">
        <v>74</v>
      </c>
      <c r="S1583" t="s">
        <v>74</v>
      </c>
      <c r="T1583" t="s">
        <v>26664</v>
      </c>
      <c r="U1583" t="s">
        <v>26665</v>
      </c>
      <c r="V1583" t="s">
        <v>26666</v>
      </c>
      <c r="W1583" t="s">
        <v>26667</v>
      </c>
      <c r="X1583" t="s">
        <v>26668</v>
      </c>
      <c r="Y1583" t="s">
        <v>26669</v>
      </c>
      <c r="Z1583" t="s">
        <v>26670</v>
      </c>
      <c r="AA1583" t="s">
        <v>74</v>
      </c>
      <c r="AB1583" t="s">
        <v>74</v>
      </c>
      <c r="AC1583" t="s">
        <v>26671</v>
      </c>
      <c r="AD1583" t="s">
        <v>26672</v>
      </c>
      <c r="AE1583" t="s">
        <v>26673</v>
      </c>
      <c r="AF1583" t="s">
        <v>74</v>
      </c>
      <c r="AG1583">
        <v>40</v>
      </c>
      <c r="AH1583">
        <v>1</v>
      </c>
      <c r="AI1583">
        <v>1</v>
      </c>
      <c r="AJ1583">
        <v>2</v>
      </c>
      <c r="AK1583">
        <v>2</v>
      </c>
      <c r="AL1583" t="s">
        <v>23721</v>
      </c>
      <c r="AM1583" t="s">
        <v>23722</v>
      </c>
      <c r="AN1583" t="s">
        <v>23723</v>
      </c>
      <c r="AO1583" t="s">
        <v>26674</v>
      </c>
      <c r="AP1583" t="s">
        <v>74</v>
      </c>
      <c r="AQ1583" t="s">
        <v>74</v>
      </c>
      <c r="AR1583" t="s">
        <v>26675</v>
      </c>
      <c r="AS1583" t="s">
        <v>26676</v>
      </c>
      <c r="AT1583" t="s">
        <v>74</v>
      </c>
      <c r="AU1583">
        <v>2024</v>
      </c>
      <c r="AV1583">
        <v>18</v>
      </c>
      <c r="AW1583" t="s">
        <v>74</v>
      </c>
      <c r="AX1583" t="s">
        <v>74</v>
      </c>
      <c r="AY1583" t="s">
        <v>74</v>
      </c>
      <c r="AZ1583" t="s">
        <v>74</v>
      </c>
      <c r="BA1583" t="s">
        <v>74</v>
      </c>
      <c r="BB1583">
        <v>787</v>
      </c>
      <c r="BC1583">
        <v>796</v>
      </c>
      <c r="BD1583" t="s">
        <v>74</v>
      </c>
      <c r="BE1583" t="s">
        <v>26677</v>
      </c>
      <c r="BF1583" t="str">
        <f>HYPERLINK("http://dx.doi.org/10.2147/PPA.S451654","http://dx.doi.org/10.2147/PPA.S451654")</f>
        <v>http://dx.doi.org/10.2147/PPA.S451654</v>
      </c>
      <c r="BG1583" t="s">
        <v>74</v>
      </c>
      <c r="BH1583" t="s">
        <v>74</v>
      </c>
      <c r="BI1583">
        <v>10</v>
      </c>
      <c r="BJ1583" t="s">
        <v>811</v>
      </c>
      <c r="BK1583" t="s">
        <v>209</v>
      </c>
      <c r="BL1583" t="s">
        <v>812</v>
      </c>
      <c r="BM1583" t="s">
        <v>26678</v>
      </c>
      <c r="BN1583">
        <v>38572223</v>
      </c>
      <c r="BO1583" t="s">
        <v>235</v>
      </c>
      <c r="BP1583" t="s">
        <v>74</v>
      </c>
      <c r="BQ1583" t="s">
        <v>74</v>
      </c>
      <c r="BR1583" t="s">
        <v>102</v>
      </c>
      <c r="BS1583" t="s">
        <v>26679</v>
      </c>
      <c r="BT1583" t="str">
        <f>HYPERLINK("https%3A%2F%2Fwww.webofscience.com%2Fwos%2Fwoscc%2Ffull-record%2FWOS:001194284000001","View Full Record in Web of Science")</f>
        <v>View Full Record in Web of Science</v>
      </c>
    </row>
    <row r="1584" spans="1:72" x14ac:dyDescent="0.35">
      <c r="A1584" t="s">
        <v>72</v>
      </c>
      <c r="B1584" t="s">
        <v>26680</v>
      </c>
      <c r="C1584" t="s">
        <v>74</v>
      </c>
      <c r="D1584" t="s">
        <v>74</v>
      </c>
      <c r="E1584" t="s">
        <v>74</v>
      </c>
      <c r="F1584" t="s">
        <v>26681</v>
      </c>
      <c r="G1584" t="s">
        <v>74</v>
      </c>
      <c r="H1584" t="s">
        <v>74</v>
      </c>
      <c r="I1584" t="s">
        <v>26682</v>
      </c>
      <c r="J1584" t="s">
        <v>793</v>
      </c>
      <c r="K1584" t="s">
        <v>74</v>
      </c>
      <c r="L1584" t="s">
        <v>74</v>
      </c>
      <c r="M1584" t="s">
        <v>78</v>
      </c>
      <c r="N1584" t="s">
        <v>108</v>
      </c>
      <c r="O1584" t="s">
        <v>74</v>
      </c>
      <c r="P1584" t="s">
        <v>74</v>
      </c>
      <c r="Q1584" t="s">
        <v>74</v>
      </c>
      <c r="R1584" t="s">
        <v>74</v>
      </c>
      <c r="S1584" t="s">
        <v>74</v>
      </c>
      <c r="T1584" t="s">
        <v>26683</v>
      </c>
      <c r="U1584" t="s">
        <v>26684</v>
      </c>
      <c r="V1584" t="s">
        <v>26685</v>
      </c>
      <c r="W1584" t="s">
        <v>26686</v>
      </c>
      <c r="X1584" t="s">
        <v>26687</v>
      </c>
      <c r="Y1584" t="s">
        <v>13554</v>
      </c>
      <c r="Z1584" t="s">
        <v>13555</v>
      </c>
      <c r="AA1584" t="s">
        <v>74</v>
      </c>
      <c r="AB1584" t="s">
        <v>26688</v>
      </c>
      <c r="AC1584" t="s">
        <v>74</v>
      </c>
      <c r="AD1584" t="s">
        <v>74</v>
      </c>
      <c r="AE1584" t="s">
        <v>74</v>
      </c>
      <c r="AF1584" t="s">
        <v>74</v>
      </c>
      <c r="AG1584">
        <v>18</v>
      </c>
      <c r="AH1584">
        <v>4</v>
      </c>
      <c r="AI1584">
        <v>4</v>
      </c>
      <c r="AJ1584">
        <v>1</v>
      </c>
      <c r="AK1584">
        <v>5</v>
      </c>
      <c r="AL1584" t="s">
        <v>803</v>
      </c>
      <c r="AM1584" t="s">
        <v>227</v>
      </c>
      <c r="AN1584" t="s">
        <v>804</v>
      </c>
      <c r="AO1584" t="s">
        <v>74</v>
      </c>
      <c r="AP1584" t="s">
        <v>805</v>
      </c>
      <c r="AQ1584" t="s">
        <v>74</v>
      </c>
      <c r="AR1584" t="s">
        <v>806</v>
      </c>
      <c r="AS1584" t="s">
        <v>807</v>
      </c>
      <c r="AT1584" t="s">
        <v>26689</v>
      </c>
      <c r="AU1584">
        <v>2023</v>
      </c>
      <c r="AV1584">
        <v>15</v>
      </c>
      <c r="AW1584">
        <v>12</v>
      </c>
      <c r="AX1584" t="s">
        <v>74</v>
      </c>
      <c r="AY1584" t="s">
        <v>74</v>
      </c>
      <c r="AZ1584" t="s">
        <v>74</v>
      </c>
      <c r="BA1584" t="s">
        <v>74</v>
      </c>
      <c r="BB1584" t="s">
        <v>74</v>
      </c>
      <c r="BC1584" t="s">
        <v>74</v>
      </c>
      <c r="BD1584" t="s">
        <v>26690</v>
      </c>
      <c r="BE1584" t="s">
        <v>26691</v>
      </c>
      <c r="BF1584" t="str">
        <f>HYPERLINK("http://dx.doi.org/10.7759/cureus.49946","http://dx.doi.org/10.7759/cureus.49946")</f>
        <v>http://dx.doi.org/10.7759/cureus.49946</v>
      </c>
      <c r="BG1584" t="s">
        <v>74</v>
      </c>
      <c r="BH1584" t="s">
        <v>74</v>
      </c>
      <c r="BI1584">
        <v>10</v>
      </c>
      <c r="BJ1584" t="s">
        <v>811</v>
      </c>
      <c r="BK1584" t="s">
        <v>125</v>
      </c>
      <c r="BL1584" t="s">
        <v>812</v>
      </c>
      <c r="BM1584" t="s">
        <v>26692</v>
      </c>
      <c r="BN1584">
        <v>38058527</v>
      </c>
      <c r="BO1584" t="s">
        <v>235</v>
      </c>
      <c r="BP1584" t="s">
        <v>74</v>
      </c>
      <c r="BQ1584" t="s">
        <v>74</v>
      </c>
      <c r="BR1584" t="s">
        <v>102</v>
      </c>
      <c r="BS1584" t="s">
        <v>26693</v>
      </c>
      <c r="BT1584" t="str">
        <f>HYPERLINK("https%3A%2F%2Fwww.webofscience.com%2Fwos%2Fwoscc%2Ffull-record%2FWOS:001123851700023","View Full Record in Web of Science")</f>
        <v>View Full Record in Web of Science</v>
      </c>
    </row>
    <row r="1585" spans="1:72" x14ac:dyDescent="0.35">
      <c r="A1585" t="s">
        <v>72</v>
      </c>
      <c r="B1585" t="s">
        <v>26694</v>
      </c>
      <c r="C1585" t="s">
        <v>74</v>
      </c>
      <c r="D1585" t="s">
        <v>74</v>
      </c>
      <c r="E1585" t="s">
        <v>74</v>
      </c>
      <c r="F1585" t="s">
        <v>26695</v>
      </c>
      <c r="G1585" t="s">
        <v>74</v>
      </c>
      <c r="H1585" t="s">
        <v>74</v>
      </c>
      <c r="I1585" t="s">
        <v>26696</v>
      </c>
      <c r="J1585" t="s">
        <v>5527</v>
      </c>
      <c r="K1585" t="s">
        <v>74</v>
      </c>
      <c r="L1585" t="s">
        <v>74</v>
      </c>
      <c r="M1585" t="s">
        <v>78</v>
      </c>
      <c r="N1585" t="s">
        <v>108</v>
      </c>
      <c r="O1585" t="s">
        <v>74</v>
      </c>
      <c r="P1585" t="s">
        <v>74</v>
      </c>
      <c r="Q1585" t="s">
        <v>74</v>
      </c>
      <c r="R1585" t="s">
        <v>74</v>
      </c>
      <c r="S1585" t="s">
        <v>74</v>
      </c>
      <c r="T1585" t="s">
        <v>74</v>
      </c>
      <c r="U1585" t="s">
        <v>795</v>
      </c>
      <c r="V1585" t="s">
        <v>26697</v>
      </c>
      <c r="W1585" t="s">
        <v>26698</v>
      </c>
      <c r="X1585" t="s">
        <v>26699</v>
      </c>
      <c r="Y1585" t="s">
        <v>26700</v>
      </c>
      <c r="Z1585" t="s">
        <v>26701</v>
      </c>
      <c r="AA1585" t="s">
        <v>26702</v>
      </c>
      <c r="AB1585" t="s">
        <v>26703</v>
      </c>
      <c r="AC1585" t="s">
        <v>74</v>
      </c>
      <c r="AD1585" t="s">
        <v>74</v>
      </c>
      <c r="AE1585" t="s">
        <v>74</v>
      </c>
      <c r="AF1585" t="s">
        <v>74</v>
      </c>
      <c r="AG1585">
        <v>27</v>
      </c>
      <c r="AH1585">
        <v>2</v>
      </c>
      <c r="AI1585">
        <v>2</v>
      </c>
      <c r="AJ1585">
        <v>0</v>
      </c>
      <c r="AK1585">
        <v>5</v>
      </c>
      <c r="AL1585" t="s">
        <v>5533</v>
      </c>
      <c r="AM1585" t="s">
        <v>5534</v>
      </c>
      <c r="AN1585" t="s">
        <v>5535</v>
      </c>
      <c r="AO1585" t="s">
        <v>5536</v>
      </c>
      <c r="AP1585" t="s">
        <v>5537</v>
      </c>
      <c r="AQ1585" t="s">
        <v>74</v>
      </c>
      <c r="AR1585" t="s">
        <v>5538</v>
      </c>
      <c r="AS1585" t="s">
        <v>5539</v>
      </c>
      <c r="AT1585" t="s">
        <v>18579</v>
      </c>
      <c r="AU1585">
        <v>2024</v>
      </c>
      <c r="AV1585">
        <v>61</v>
      </c>
      <c r="AW1585">
        <v>2</v>
      </c>
      <c r="AX1585" t="s">
        <v>74</v>
      </c>
      <c r="AY1585" t="s">
        <v>74</v>
      </c>
      <c r="AZ1585" t="s">
        <v>74</v>
      </c>
      <c r="BA1585" t="s">
        <v>74</v>
      </c>
      <c r="BB1585">
        <v>90</v>
      </c>
      <c r="BC1585">
        <v>97</v>
      </c>
      <c r="BD1585" t="s">
        <v>74</v>
      </c>
      <c r="BE1585" t="s">
        <v>26704</v>
      </c>
      <c r="BF1585" t="str">
        <f>HYPERLINK("http://dx.doi.org/10.3928/01913913-20230627-01","http://dx.doi.org/10.3928/01913913-20230627-01")</f>
        <v>http://dx.doi.org/10.3928/01913913-20230627-01</v>
      </c>
      <c r="BG1585" t="s">
        <v>74</v>
      </c>
      <c r="BH1585" t="s">
        <v>1180</v>
      </c>
      <c r="BI1585">
        <v>8</v>
      </c>
      <c r="BJ1585" t="s">
        <v>5541</v>
      </c>
      <c r="BK1585" t="s">
        <v>209</v>
      </c>
      <c r="BL1585" t="s">
        <v>5541</v>
      </c>
      <c r="BM1585" t="s">
        <v>26705</v>
      </c>
      <c r="BN1585">
        <v>37489626</v>
      </c>
      <c r="BO1585" t="s">
        <v>74</v>
      </c>
      <c r="BP1585" t="s">
        <v>74</v>
      </c>
      <c r="BQ1585" t="s">
        <v>74</v>
      </c>
      <c r="BR1585" t="s">
        <v>102</v>
      </c>
      <c r="BS1585" t="s">
        <v>26706</v>
      </c>
      <c r="BT1585" t="str">
        <f>HYPERLINK("https%3A%2F%2Fwww.webofscience.com%2Fwos%2Fwoscc%2Ffull-record%2FWOS:001040710400001","View Full Record in Web of Science")</f>
        <v>View Full Record in Web of Science</v>
      </c>
    </row>
    <row r="1586" spans="1:72" x14ac:dyDescent="0.35">
      <c r="A1586" t="s">
        <v>72</v>
      </c>
      <c r="B1586" t="s">
        <v>26707</v>
      </c>
      <c r="C1586" t="s">
        <v>74</v>
      </c>
      <c r="D1586" t="s">
        <v>74</v>
      </c>
      <c r="E1586" t="s">
        <v>74</v>
      </c>
      <c r="F1586" t="s">
        <v>26708</v>
      </c>
      <c r="G1586" t="s">
        <v>74</v>
      </c>
      <c r="H1586" t="s">
        <v>74</v>
      </c>
      <c r="I1586" t="s">
        <v>26709</v>
      </c>
      <c r="J1586" t="s">
        <v>26710</v>
      </c>
      <c r="K1586" t="s">
        <v>74</v>
      </c>
      <c r="L1586" t="s">
        <v>74</v>
      </c>
      <c r="M1586" t="s">
        <v>78</v>
      </c>
      <c r="N1586" t="s">
        <v>79</v>
      </c>
      <c r="O1586" t="s">
        <v>74</v>
      </c>
      <c r="P1586" t="s">
        <v>74</v>
      </c>
      <c r="Q1586" t="s">
        <v>74</v>
      </c>
      <c r="R1586" t="s">
        <v>74</v>
      </c>
      <c r="S1586" t="s">
        <v>74</v>
      </c>
      <c r="T1586" t="s">
        <v>26711</v>
      </c>
      <c r="U1586" t="s">
        <v>74</v>
      </c>
      <c r="V1586" t="s">
        <v>26712</v>
      </c>
      <c r="W1586" t="s">
        <v>26713</v>
      </c>
      <c r="X1586" t="s">
        <v>26714</v>
      </c>
      <c r="Y1586" t="s">
        <v>26715</v>
      </c>
      <c r="Z1586" t="s">
        <v>26716</v>
      </c>
      <c r="AA1586" t="s">
        <v>74</v>
      </c>
      <c r="AB1586" t="s">
        <v>74</v>
      </c>
      <c r="AC1586" t="s">
        <v>74</v>
      </c>
      <c r="AD1586" t="s">
        <v>74</v>
      </c>
      <c r="AE1586" t="s">
        <v>74</v>
      </c>
      <c r="AF1586" t="s">
        <v>74</v>
      </c>
      <c r="AG1586">
        <v>98</v>
      </c>
      <c r="AH1586">
        <v>0</v>
      </c>
      <c r="AI1586">
        <v>0</v>
      </c>
      <c r="AJ1586">
        <v>3</v>
      </c>
      <c r="AK1586">
        <v>3</v>
      </c>
      <c r="AL1586" t="s">
        <v>88</v>
      </c>
      <c r="AM1586" t="s">
        <v>89</v>
      </c>
      <c r="AN1586" t="s">
        <v>90</v>
      </c>
      <c r="AO1586" t="s">
        <v>26717</v>
      </c>
      <c r="AP1586" t="s">
        <v>26718</v>
      </c>
      <c r="AQ1586" t="s">
        <v>74</v>
      </c>
      <c r="AR1586" t="s">
        <v>26719</v>
      </c>
      <c r="AS1586" t="s">
        <v>26720</v>
      </c>
      <c r="AT1586" t="s">
        <v>26721</v>
      </c>
      <c r="AU1586">
        <v>2024</v>
      </c>
      <c r="AV1586" t="s">
        <v>74</v>
      </c>
      <c r="AW1586" t="s">
        <v>74</v>
      </c>
      <c r="AX1586" t="s">
        <v>74</v>
      </c>
      <c r="AY1586" t="s">
        <v>74</v>
      </c>
      <c r="AZ1586" t="s">
        <v>74</v>
      </c>
      <c r="BA1586" t="s">
        <v>74</v>
      </c>
      <c r="BB1586" t="s">
        <v>74</v>
      </c>
      <c r="BC1586" t="s">
        <v>74</v>
      </c>
      <c r="BD1586" t="s">
        <v>74</v>
      </c>
      <c r="BE1586" t="s">
        <v>26722</v>
      </c>
      <c r="BF1586" t="str">
        <f>HYPERLINK("http://dx.doi.org/10.1080/1362704X.2024.2389595","http://dx.doi.org/10.1080/1362704X.2024.2389595")</f>
        <v>http://dx.doi.org/10.1080/1362704X.2024.2389595</v>
      </c>
      <c r="BG1586" t="s">
        <v>74</v>
      </c>
      <c r="BH1586" t="s">
        <v>2444</v>
      </c>
      <c r="BI1586">
        <v>27</v>
      </c>
      <c r="BJ1586" t="s">
        <v>4461</v>
      </c>
      <c r="BK1586" t="s">
        <v>316</v>
      </c>
      <c r="BL1586" t="s">
        <v>4462</v>
      </c>
      <c r="BM1586" t="s">
        <v>26723</v>
      </c>
      <c r="BN1586" t="s">
        <v>74</v>
      </c>
      <c r="BO1586" t="s">
        <v>156</v>
      </c>
      <c r="BP1586" t="s">
        <v>74</v>
      </c>
      <c r="BQ1586" t="s">
        <v>74</v>
      </c>
      <c r="BR1586" t="s">
        <v>102</v>
      </c>
      <c r="BS1586" t="s">
        <v>26724</v>
      </c>
      <c r="BT1586" t="str">
        <f>HYPERLINK("https%3A%2F%2Fwww.webofscience.com%2Fwos%2Fwoscc%2Ffull-record%2FWOS:001296749800001","View Full Record in Web of Science")</f>
        <v>View Full Record in Web of Science</v>
      </c>
    </row>
    <row r="1587" spans="1:72" x14ac:dyDescent="0.35">
      <c r="A1587" t="s">
        <v>72</v>
      </c>
      <c r="B1587" t="s">
        <v>26725</v>
      </c>
      <c r="C1587" t="s">
        <v>74</v>
      </c>
      <c r="D1587" t="s">
        <v>74</v>
      </c>
      <c r="E1587" t="s">
        <v>74</v>
      </c>
      <c r="F1587" t="s">
        <v>26726</v>
      </c>
      <c r="G1587" t="s">
        <v>74</v>
      </c>
      <c r="H1587" t="s">
        <v>74</v>
      </c>
      <c r="I1587" t="s">
        <v>26727</v>
      </c>
      <c r="J1587" t="s">
        <v>1282</v>
      </c>
      <c r="K1587" t="s">
        <v>74</v>
      </c>
      <c r="L1587" t="s">
        <v>74</v>
      </c>
      <c r="M1587" t="s">
        <v>78</v>
      </c>
      <c r="N1587" t="s">
        <v>108</v>
      </c>
      <c r="O1587" t="s">
        <v>74</v>
      </c>
      <c r="P1587" t="s">
        <v>74</v>
      </c>
      <c r="Q1587" t="s">
        <v>74</v>
      </c>
      <c r="R1587" t="s">
        <v>74</v>
      </c>
      <c r="S1587" t="s">
        <v>74</v>
      </c>
      <c r="T1587" t="s">
        <v>26728</v>
      </c>
      <c r="U1587" t="s">
        <v>26729</v>
      </c>
      <c r="V1587" t="s">
        <v>26730</v>
      </c>
      <c r="W1587" t="s">
        <v>26731</v>
      </c>
      <c r="X1587" t="s">
        <v>17116</v>
      </c>
      <c r="Y1587" t="s">
        <v>26732</v>
      </c>
      <c r="Z1587" t="s">
        <v>26733</v>
      </c>
      <c r="AA1587" t="s">
        <v>26734</v>
      </c>
      <c r="AB1587" t="s">
        <v>26735</v>
      </c>
      <c r="AC1587" t="s">
        <v>26736</v>
      </c>
      <c r="AD1587" t="s">
        <v>26737</v>
      </c>
      <c r="AE1587" t="s">
        <v>26738</v>
      </c>
      <c r="AF1587" t="s">
        <v>74</v>
      </c>
      <c r="AG1587">
        <v>43</v>
      </c>
      <c r="AH1587">
        <v>1</v>
      </c>
      <c r="AI1587">
        <v>1</v>
      </c>
      <c r="AJ1587">
        <v>4</v>
      </c>
      <c r="AK1587">
        <v>5</v>
      </c>
      <c r="AL1587" t="s">
        <v>1294</v>
      </c>
      <c r="AM1587" t="s">
        <v>1062</v>
      </c>
      <c r="AN1587" t="s">
        <v>1295</v>
      </c>
      <c r="AO1587" t="s">
        <v>74</v>
      </c>
      <c r="AP1587" t="s">
        <v>1296</v>
      </c>
      <c r="AQ1587" t="s">
        <v>74</v>
      </c>
      <c r="AR1587" t="s">
        <v>1282</v>
      </c>
      <c r="AS1587" t="s">
        <v>1297</v>
      </c>
      <c r="AT1587" t="s">
        <v>26739</v>
      </c>
      <c r="AU1587">
        <v>2024</v>
      </c>
      <c r="AV1587">
        <v>10</v>
      </c>
      <c r="AW1587">
        <v>7</v>
      </c>
      <c r="AX1587" t="s">
        <v>74</v>
      </c>
      <c r="AY1587" t="s">
        <v>74</v>
      </c>
      <c r="AZ1587" t="s">
        <v>74</v>
      </c>
      <c r="BA1587" t="s">
        <v>74</v>
      </c>
      <c r="BB1587" t="s">
        <v>74</v>
      </c>
      <c r="BC1587" t="s">
        <v>74</v>
      </c>
      <c r="BD1587" t="s">
        <v>26740</v>
      </c>
      <c r="BE1587" t="s">
        <v>26741</v>
      </c>
      <c r="BF1587" t="str">
        <f>HYPERLINK("http://dx.doi.org/10.1016/j.heliyon.2024.e29020","http://dx.doi.org/10.1016/j.heliyon.2024.e29020")</f>
        <v>http://dx.doi.org/10.1016/j.heliyon.2024.e29020</v>
      </c>
      <c r="BG1587" t="s">
        <v>74</v>
      </c>
      <c r="BH1587" t="s">
        <v>74</v>
      </c>
      <c r="BI1587">
        <v>11</v>
      </c>
      <c r="BJ1587" t="s">
        <v>1301</v>
      </c>
      <c r="BK1587" t="s">
        <v>209</v>
      </c>
      <c r="BL1587" t="s">
        <v>1302</v>
      </c>
      <c r="BM1587" t="s">
        <v>26742</v>
      </c>
      <c r="BN1587">
        <v>38617917</v>
      </c>
      <c r="BO1587" t="s">
        <v>235</v>
      </c>
      <c r="BP1587" t="s">
        <v>74</v>
      </c>
      <c r="BQ1587" t="s">
        <v>74</v>
      </c>
      <c r="BR1587" t="s">
        <v>102</v>
      </c>
      <c r="BS1587" t="s">
        <v>26743</v>
      </c>
      <c r="BT1587" t="str">
        <f>HYPERLINK("https%3A%2F%2Fwww.webofscience.com%2Fwos%2Fwoscc%2Ffull-record%2FWOS:001227517000001","View Full Record in Web of Science")</f>
        <v>View Full Record in Web of Science</v>
      </c>
    </row>
    <row r="1588" spans="1:72" x14ac:dyDescent="0.35">
      <c r="A1588" t="s">
        <v>72</v>
      </c>
      <c r="B1588" t="s">
        <v>26744</v>
      </c>
      <c r="C1588" t="s">
        <v>74</v>
      </c>
      <c r="D1588" t="s">
        <v>74</v>
      </c>
      <c r="E1588" t="s">
        <v>74</v>
      </c>
      <c r="F1588" t="s">
        <v>26745</v>
      </c>
      <c r="G1588" t="s">
        <v>74</v>
      </c>
      <c r="H1588" t="s">
        <v>74</v>
      </c>
      <c r="I1588" t="s">
        <v>26746</v>
      </c>
      <c r="J1588" t="s">
        <v>10062</v>
      </c>
      <c r="K1588" t="s">
        <v>74</v>
      </c>
      <c r="L1588" t="s">
        <v>74</v>
      </c>
      <c r="M1588" t="s">
        <v>78</v>
      </c>
      <c r="N1588" t="s">
        <v>108</v>
      </c>
      <c r="O1588" t="s">
        <v>74</v>
      </c>
      <c r="P1588" t="s">
        <v>74</v>
      </c>
      <c r="Q1588" t="s">
        <v>74</v>
      </c>
      <c r="R1588" t="s">
        <v>74</v>
      </c>
      <c r="S1588" t="s">
        <v>74</v>
      </c>
      <c r="T1588" t="s">
        <v>26747</v>
      </c>
      <c r="U1588" t="s">
        <v>26748</v>
      </c>
      <c r="V1588" t="s">
        <v>26749</v>
      </c>
      <c r="W1588" t="s">
        <v>26750</v>
      </c>
      <c r="X1588" t="s">
        <v>26751</v>
      </c>
      <c r="Y1588" t="s">
        <v>26752</v>
      </c>
      <c r="Z1588" t="s">
        <v>74</v>
      </c>
      <c r="AA1588" t="s">
        <v>74</v>
      </c>
      <c r="AB1588" t="s">
        <v>74</v>
      </c>
      <c r="AC1588" t="s">
        <v>74</v>
      </c>
      <c r="AD1588" t="s">
        <v>74</v>
      </c>
      <c r="AE1588" t="s">
        <v>74</v>
      </c>
      <c r="AF1588" t="s">
        <v>74</v>
      </c>
      <c r="AG1588">
        <v>26</v>
      </c>
      <c r="AH1588">
        <v>0</v>
      </c>
      <c r="AI1588">
        <v>0</v>
      </c>
      <c r="AJ1588">
        <v>4</v>
      </c>
      <c r="AK1588">
        <v>7</v>
      </c>
      <c r="AL1588" t="s">
        <v>10071</v>
      </c>
      <c r="AM1588" t="s">
        <v>10072</v>
      </c>
      <c r="AN1588" t="s">
        <v>10073</v>
      </c>
      <c r="AO1588" t="s">
        <v>10074</v>
      </c>
      <c r="AP1588" t="s">
        <v>10075</v>
      </c>
      <c r="AQ1588" t="s">
        <v>74</v>
      </c>
      <c r="AR1588" t="s">
        <v>10076</v>
      </c>
      <c r="AS1588" t="s">
        <v>10077</v>
      </c>
      <c r="AT1588" t="s">
        <v>232</v>
      </c>
      <c r="AU1588">
        <v>2024</v>
      </c>
      <c r="AV1588">
        <v>15</v>
      </c>
      <c r="AW1588">
        <v>1</v>
      </c>
      <c r="AX1588" t="s">
        <v>74</v>
      </c>
      <c r="AY1588" t="s">
        <v>74</v>
      </c>
      <c r="AZ1588" t="s">
        <v>74</v>
      </c>
      <c r="BA1588" t="s">
        <v>74</v>
      </c>
      <c r="BB1588">
        <v>1073</v>
      </c>
      <c r="BC1588">
        <v>1083</v>
      </c>
      <c r="BD1588" t="s">
        <v>74</v>
      </c>
      <c r="BE1588" t="s">
        <v>74</v>
      </c>
      <c r="BF1588" t="s">
        <v>74</v>
      </c>
      <c r="BG1588" t="s">
        <v>74</v>
      </c>
      <c r="BH1588" t="s">
        <v>74</v>
      </c>
      <c r="BI1588">
        <v>11</v>
      </c>
      <c r="BJ1588" t="s">
        <v>6668</v>
      </c>
      <c r="BK1588" t="s">
        <v>125</v>
      </c>
      <c r="BL1588" t="s">
        <v>210</v>
      </c>
      <c r="BM1588" t="s">
        <v>26753</v>
      </c>
      <c r="BN1588" t="s">
        <v>74</v>
      </c>
      <c r="BO1588" t="s">
        <v>74</v>
      </c>
      <c r="BP1588" t="s">
        <v>74</v>
      </c>
      <c r="BQ1588" t="s">
        <v>74</v>
      </c>
      <c r="BR1588" t="s">
        <v>102</v>
      </c>
      <c r="BS1588" t="s">
        <v>26754</v>
      </c>
      <c r="BT1588" t="str">
        <f>HYPERLINK("https%3A%2F%2Fwww.webofscience.com%2Fwos%2Fwoscc%2Ffull-record%2FWOS:001250863900033","View Full Record in Web of Science")</f>
        <v>View Full Record in Web of Science</v>
      </c>
    </row>
    <row r="1589" spans="1:72" x14ac:dyDescent="0.35">
      <c r="A1589" t="s">
        <v>72</v>
      </c>
      <c r="B1589" t="s">
        <v>26755</v>
      </c>
      <c r="C1589" t="s">
        <v>74</v>
      </c>
      <c r="D1589" t="s">
        <v>74</v>
      </c>
      <c r="E1589" t="s">
        <v>74</v>
      </c>
      <c r="F1589" t="s">
        <v>26756</v>
      </c>
      <c r="G1589" t="s">
        <v>74</v>
      </c>
      <c r="H1589" t="s">
        <v>74</v>
      </c>
      <c r="I1589" t="s">
        <v>26757</v>
      </c>
      <c r="J1589" t="s">
        <v>26758</v>
      </c>
      <c r="K1589" t="s">
        <v>74</v>
      </c>
      <c r="L1589" t="s">
        <v>74</v>
      </c>
      <c r="M1589" t="s">
        <v>78</v>
      </c>
      <c r="N1589" t="s">
        <v>108</v>
      </c>
      <c r="O1589" t="s">
        <v>74</v>
      </c>
      <c r="P1589" t="s">
        <v>74</v>
      </c>
      <c r="Q1589" t="s">
        <v>74</v>
      </c>
      <c r="R1589" t="s">
        <v>74</v>
      </c>
      <c r="S1589" t="s">
        <v>74</v>
      </c>
      <c r="T1589" t="s">
        <v>26759</v>
      </c>
      <c r="U1589" t="s">
        <v>26760</v>
      </c>
      <c r="V1589" t="s">
        <v>26761</v>
      </c>
      <c r="W1589" t="s">
        <v>26762</v>
      </c>
      <c r="X1589" t="s">
        <v>26763</v>
      </c>
      <c r="Y1589" t="s">
        <v>26764</v>
      </c>
      <c r="Z1589" t="s">
        <v>26765</v>
      </c>
      <c r="AA1589" t="s">
        <v>26766</v>
      </c>
      <c r="AB1589" t="s">
        <v>26767</v>
      </c>
      <c r="AC1589" t="s">
        <v>74</v>
      </c>
      <c r="AD1589" t="s">
        <v>74</v>
      </c>
      <c r="AE1589" t="s">
        <v>74</v>
      </c>
      <c r="AF1589" t="s">
        <v>74</v>
      </c>
      <c r="AG1589">
        <v>91</v>
      </c>
      <c r="AH1589">
        <v>0</v>
      </c>
      <c r="AI1589">
        <v>0</v>
      </c>
      <c r="AJ1589">
        <v>6</v>
      </c>
      <c r="AK1589">
        <v>9</v>
      </c>
      <c r="AL1589" t="s">
        <v>88</v>
      </c>
      <c r="AM1589" t="s">
        <v>89</v>
      </c>
      <c r="AN1589" t="s">
        <v>90</v>
      </c>
      <c r="AO1589" t="s">
        <v>26768</v>
      </c>
      <c r="AP1589" t="s">
        <v>26769</v>
      </c>
      <c r="AQ1589" t="s">
        <v>74</v>
      </c>
      <c r="AR1589" t="s">
        <v>26770</v>
      </c>
      <c r="AS1589" t="s">
        <v>26771</v>
      </c>
      <c r="AT1589" t="s">
        <v>26772</v>
      </c>
      <c r="AU1589">
        <v>2024</v>
      </c>
      <c r="AV1589">
        <v>41</v>
      </c>
      <c r="AW1589">
        <v>5</v>
      </c>
      <c r="AX1589" t="s">
        <v>74</v>
      </c>
      <c r="AY1589" t="s">
        <v>74</v>
      </c>
      <c r="AZ1589" t="s">
        <v>74</v>
      </c>
      <c r="BA1589" t="s">
        <v>74</v>
      </c>
      <c r="BB1589">
        <v>689</v>
      </c>
      <c r="BC1589">
        <v>704</v>
      </c>
      <c r="BD1589" t="s">
        <v>74</v>
      </c>
      <c r="BE1589" t="s">
        <v>26773</v>
      </c>
      <c r="BF1589" t="str">
        <f>HYPERLINK("http://dx.doi.org/10.1080/10548408.2024.2332274","http://dx.doi.org/10.1080/10548408.2024.2332274")</f>
        <v>http://dx.doi.org/10.1080/10548408.2024.2332274</v>
      </c>
      <c r="BG1589" t="s">
        <v>74</v>
      </c>
      <c r="BH1589" t="s">
        <v>74</v>
      </c>
      <c r="BI1589">
        <v>16</v>
      </c>
      <c r="BJ1589" t="s">
        <v>574</v>
      </c>
      <c r="BK1589" t="s">
        <v>99</v>
      </c>
      <c r="BL1589" t="s">
        <v>100</v>
      </c>
      <c r="BM1589" t="s">
        <v>26774</v>
      </c>
      <c r="BN1589" t="s">
        <v>74</v>
      </c>
      <c r="BO1589" t="s">
        <v>74</v>
      </c>
      <c r="BP1589" t="s">
        <v>74</v>
      </c>
      <c r="BQ1589" t="s">
        <v>74</v>
      </c>
      <c r="BR1589" t="s">
        <v>102</v>
      </c>
      <c r="BS1589" t="s">
        <v>26775</v>
      </c>
      <c r="BT1589" t="str">
        <f>HYPERLINK("https%3A%2F%2Fwww.webofscience.com%2Fwos%2Fwoscc%2Ffull-record%2FWOS:001195886600001","View Full Record in Web of Science")</f>
        <v>View Full Record in Web of Science</v>
      </c>
    </row>
    <row r="1590" spans="1:72" x14ac:dyDescent="0.35">
      <c r="A1590" t="s">
        <v>72</v>
      </c>
      <c r="B1590" t="s">
        <v>26776</v>
      </c>
      <c r="C1590" t="s">
        <v>74</v>
      </c>
      <c r="D1590" t="s">
        <v>74</v>
      </c>
      <c r="E1590" t="s">
        <v>74</v>
      </c>
      <c r="F1590" t="s">
        <v>26777</v>
      </c>
      <c r="G1590" t="s">
        <v>74</v>
      </c>
      <c r="H1590" t="s">
        <v>74</v>
      </c>
      <c r="I1590" t="s">
        <v>26778</v>
      </c>
      <c r="J1590" t="s">
        <v>5120</v>
      </c>
      <c r="K1590" t="s">
        <v>74</v>
      </c>
      <c r="L1590" t="s">
        <v>74</v>
      </c>
      <c r="M1590" t="s">
        <v>78</v>
      </c>
      <c r="N1590" t="s">
        <v>108</v>
      </c>
      <c r="O1590" t="s">
        <v>74</v>
      </c>
      <c r="P1590" t="s">
        <v>74</v>
      </c>
      <c r="Q1590" t="s">
        <v>74</v>
      </c>
      <c r="R1590" t="s">
        <v>74</v>
      </c>
      <c r="S1590" t="s">
        <v>74</v>
      </c>
      <c r="T1590" t="s">
        <v>26779</v>
      </c>
      <c r="U1590" t="s">
        <v>74</v>
      </c>
      <c r="V1590" t="s">
        <v>26780</v>
      </c>
      <c r="W1590" t="s">
        <v>26781</v>
      </c>
      <c r="X1590" t="s">
        <v>23692</v>
      </c>
      <c r="Y1590" t="s">
        <v>26782</v>
      </c>
      <c r="Z1590" t="s">
        <v>26783</v>
      </c>
      <c r="AA1590" t="s">
        <v>74</v>
      </c>
      <c r="AB1590" t="s">
        <v>74</v>
      </c>
      <c r="AC1590" t="s">
        <v>74</v>
      </c>
      <c r="AD1590" t="s">
        <v>74</v>
      </c>
      <c r="AE1590" t="s">
        <v>74</v>
      </c>
      <c r="AF1590" t="s">
        <v>74</v>
      </c>
      <c r="AG1590">
        <v>32</v>
      </c>
      <c r="AH1590">
        <v>0</v>
      </c>
      <c r="AI1590">
        <v>0</v>
      </c>
      <c r="AJ1590">
        <v>5</v>
      </c>
      <c r="AK1590">
        <v>26</v>
      </c>
      <c r="AL1590" t="s">
        <v>5127</v>
      </c>
      <c r="AM1590" t="s">
        <v>5128</v>
      </c>
      <c r="AN1590" t="s">
        <v>5129</v>
      </c>
      <c r="AO1590" t="s">
        <v>5130</v>
      </c>
      <c r="AP1590" t="s">
        <v>5131</v>
      </c>
      <c r="AQ1590" t="s">
        <v>74</v>
      </c>
      <c r="AR1590" t="s">
        <v>5132</v>
      </c>
      <c r="AS1590" t="s">
        <v>5133</v>
      </c>
      <c r="AT1590" t="s">
        <v>455</v>
      </c>
      <c r="AU1590">
        <v>2023</v>
      </c>
      <c r="AV1590">
        <v>34</v>
      </c>
      <c r="AW1590">
        <v>1</v>
      </c>
      <c r="AX1590" t="s">
        <v>74</v>
      </c>
      <c r="AY1590" t="s">
        <v>74</v>
      </c>
      <c r="AZ1590" t="s">
        <v>74</v>
      </c>
      <c r="BA1590" t="s">
        <v>74</v>
      </c>
      <c r="BB1590">
        <v>38</v>
      </c>
      <c r="BC1590">
        <v>43</v>
      </c>
      <c r="BD1590" t="s">
        <v>74</v>
      </c>
      <c r="BE1590" t="s">
        <v>26784</v>
      </c>
      <c r="BF1590" t="str">
        <f>HYPERLINK("http://dx.doi.org/10.1163/18784712-03104057","http://dx.doi.org/10.1163/18784712-03104057")</f>
        <v>http://dx.doi.org/10.1163/18784712-03104057</v>
      </c>
      <c r="BG1590" t="s">
        <v>74</v>
      </c>
      <c r="BH1590" t="s">
        <v>74</v>
      </c>
      <c r="BI1590">
        <v>6</v>
      </c>
      <c r="BJ1590" t="s">
        <v>4461</v>
      </c>
      <c r="BK1590" t="s">
        <v>125</v>
      </c>
      <c r="BL1590" t="s">
        <v>4462</v>
      </c>
      <c r="BM1590" t="s">
        <v>5135</v>
      </c>
      <c r="BN1590" t="s">
        <v>74</v>
      </c>
      <c r="BO1590" t="s">
        <v>74</v>
      </c>
      <c r="BP1590" t="s">
        <v>74</v>
      </c>
      <c r="BQ1590" t="s">
        <v>74</v>
      </c>
      <c r="BR1590" t="s">
        <v>102</v>
      </c>
      <c r="BS1590" t="s">
        <v>26785</v>
      </c>
      <c r="BT1590" t="str">
        <f>HYPERLINK("https%3A%2F%2Fwww.webofscience.com%2Fwos%2Fwoscc%2Ffull-record%2FWOS:001095703900003","View Full Record in Web of Science")</f>
        <v>View Full Record in Web of Science</v>
      </c>
    </row>
    <row r="1591" spans="1:72" x14ac:dyDescent="0.35">
      <c r="A1591" t="s">
        <v>72</v>
      </c>
      <c r="B1591" t="s">
        <v>26786</v>
      </c>
      <c r="C1591" t="s">
        <v>74</v>
      </c>
      <c r="D1591" t="s">
        <v>74</v>
      </c>
      <c r="E1591" t="s">
        <v>74</v>
      </c>
      <c r="F1591" t="s">
        <v>26787</v>
      </c>
      <c r="G1591" t="s">
        <v>74</v>
      </c>
      <c r="H1591" t="s">
        <v>74</v>
      </c>
      <c r="I1591" t="s">
        <v>26788</v>
      </c>
      <c r="J1591" t="s">
        <v>26789</v>
      </c>
      <c r="K1591" t="s">
        <v>74</v>
      </c>
      <c r="L1591" t="s">
        <v>74</v>
      </c>
      <c r="M1591" t="s">
        <v>78</v>
      </c>
      <c r="N1591" t="s">
        <v>108</v>
      </c>
      <c r="O1591" t="s">
        <v>74</v>
      </c>
      <c r="P1591" t="s">
        <v>74</v>
      </c>
      <c r="Q1591" t="s">
        <v>74</v>
      </c>
      <c r="R1591" t="s">
        <v>74</v>
      </c>
      <c r="S1591" t="s">
        <v>74</v>
      </c>
      <c r="T1591" t="s">
        <v>26790</v>
      </c>
      <c r="U1591" t="s">
        <v>26791</v>
      </c>
      <c r="V1591" t="s">
        <v>26792</v>
      </c>
      <c r="W1591" t="s">
        <v>26793</v>
      </c>
      <c r="X1591" t="s">
        <v>74</v>
      </c>
      <c r="Y1591" t="s">
        <v>26794</v>
      </c>
      <c r="Z1591" t="s">
        <v>26795</v>
      </c>
      <c r="AA1591" t="s">
        <v>74</v>
      </c>
      <c r="AB1591" t="s">
        <v>26796</v>
      </c>
      <c r="AC1591" t="s">
        <v>74</v>
      </c>
      <c r="AD1591" t="s">
        <v>74</v>
      </c>
      <c r="AE1591" t="s">
        <v>74</v>
      </c>
      <c r="AF1591" t="s">
        <v>74</v>
      </c>
      <c r="AG1591">
        <v>49</v>
      </c>
      <c r="AH1591">
        <v>3</v>
      </c>
      <c r="AI1591">
        <v>4</v>
      </c>
      <c r="AJ1591">
        <v>7</v>
      </c>
      <c r="AK1591">
        <v>29</v>
      </c>
      <c r="AL1591" t="s">
        <v>88</v>
      </c>
      <c r="AM1591" t="s">
        <v>89</v>
      </c>
      <c r="AN1591" t="s">
        <v>90</v>
      </c>
      <c r="AO1591" t="s">
        <v>26797</v>
      </c>
      <c r="AP1591" t="s">
        <v>26798</v>
      </c>
      <c r="AQ1591" t="s">
        <v>74</v>
      </c>
      <c r="AR1591" t="s">
        <v>26799</v>
      </c>
      <c r="AS1591" t="s">
        <v>26800</v>
      </c>
      <c r="AT1591" t="s">
        <v>26801</v>
      </c>
      <c r="AU1591">
        <v>2023</v>
      </c>
      <c r="AV1591">
        <v>98</v>
      </c>
      <c r="AW1591">
        <v>4</v>
      </c>
      <c r="AX1591" t="s">
        <v>74</v>
      </c>
      <c r="AY1591" t="s">
        <v>74</v>
      </c>
      <c r="AZ1591" t="s">
        <v>74</v>
      </c>
      <c r="BA1591" t="s">
        <v>74</v>
      </c>
      <c r="BB1591">
        <v>175</v>
      </c>
      <c r="BC1591">
        <v>185</v>
      </c>
      <c r="BD1591" t="s">
        <v>74</v>
      </c>
      <c r="BE1591" t="s">
        <v>26802</v>
      </c>
      <c r="BF1591" t="str">
        <f>HYPERLINK("http://dx.doi.org/10.1080/08832323.2022.2103489","http://dx.doi.org/10.1080/08832323.2022.2103489")</f>
        <v>http://dx.doi.org/10.1080/08832323.2022.2103489</v>
      </c>
      <c r="BG1591" t="s">
        <v>74</v>
      </c>
      <c r="BH1591" t="s">
        <v>598</v>
      </c>
      <c r="BI1591">
        <v>11</v>
      </c>
      <c r="BJ1591" t="s">
        <v>787</v>
      </c>
      <c r="BK1591" t="s">
        <v>125</v>
      </c>
      <c r="BL1591" t="s">
        <v>787</v>
      </c>
      <c r="BM1591" t="s">
        <v>26803</v>
      </c>
      <c r="BN1591" t="s">
        <v>74</v>
      </c>
      <c r="BO1591" t="s">
        <v>74</v>
      </c>
      <c r="BP1591" t="s">
        <v>74</v>
      </c>
      <c r="BQ1591" t="s">
        <v>74</v>
      </c>
      <c r="BR1591" t="s">
        <v>102</v>
      </c>
      <c r="BS1591" t="s">
        <v>26804</v>
      </c>
      <c r="BT1591" t="str">
        <f>HYPERLINK("https%3A%2F%2Fwww.webofscience.com%2Fwos%2Fwoscc%2Ffull-record%2FWOS:000861344900001","View Full Record in Web of Science")</f>
        <v>View Full Record in Web of Science</v>
      </c>
    </row>
    <row r="1592" spans="1:72" x14ac:dyDescent="0.35">
      <c r="A1592" t="s">
        <v>128</v>
      </c>
      <c r="B1592" t="s">
        <v>26805</v>
      </c>
      <c r="C1592" t="s">
        <v>74</v>
      </c>
      <c r="D1592" t="s">
        <v>74</v>
      </c>
      <c r="E1592" t="s">
        <v>1677</v>
      </c>
      <c r="F1592" t="s">
        <v>26806</v>
      </c>
      <c r="G1592" t="s">
        <v>74</v>
      </c>
      <c r="H1592" t="s">
        <v>74</v>
      </c>
      <c r="I1592" t="s">
        <v>26807</v>
      </c>
      <c r="J1592" t="s">
        <v>26808</v>
      </c>
      <c r="K1592" t="s">
        <v>26809</v>
      </c>
      <c r="L1592" t="s">
        <v>74</v>
      </c>
      <c r="M1592" t="s">
        <v>78</v>
      </c>
      <c r="N1592" t="s">
        <v>135</v>
      </c>
      <c r="O1592" t="s">
        <v>26810</v>
      </c>
      <c r="P1592" t="s">
        <v>26811</v>
      </c>
      <c r="Q1592" t="s">
        <v>2783</v>
      </c>
      <c r="R1592" t="s">
        <v>26812</v>
      </c>
      <c r="S1592" t="s">
        <v>74</v>
      </c>
      <c r="T1592" t="s">
        <v>26813</v>
      </c>
      <c r="U1592" t="s">
        <v>26814</v>
      </c>
      <c r="V1592" t="s">
        <v>26815</v>
      </c>
      <c r="W1592" t="s">
        <v>26816</v>
      </c>
      <c r="X1592" t="s">
        <v>26817</v>
      </c>
      <c r="Y1592" t="s">
        <v>26818</v>
      </c>
      <c r="Z1592" t="s">
        <v>26819</v>
      </c>
      <c r="AA1592" t="s">
        <v>26820</v>
      </c>
      <c r="AB1592" t="s">
        <v>26821</v>
      </c>
      <c r="AC1592" t="s">
        <v>26822</v>
      </c>
      <c r="AD1592" t="s">
        <v>26823</v>
      </c>
      <c r="AE1592" t="s">
        <v>26824</v>
      </c>
      <c r="AF1592" t="s">
        <v>74</v>
      </c>
      <c r="AG1592">
        <v>23</v>
      </c>
      <c r="AH1592">
        <v>0</v>
      </c>
      <c r="AI1592">
        <v>0</v>
      </c>
      <c r="AJ1592">
        <v>0</v>
      </c>
      <c r="AK1592">
        <v>0</v>
      </c>
      <c r="AL1592" t="s">
        <v>1677</v>
      </c>
      <c r="AM1592" t="s">
        <v>666</v>
      </c>
      <c r="AN1592" t="s">
        <v>1692</v>
      </c>
      <c r="AO1592" t="s">
        <v>26825</v>
      </c>
      <c r="AP1592" t="s">
        <v>74</v>
      </c>
      <c r="AQ1592" t="s">
        <v>26826</v>
      </c>
      <c r="AR1592" t="s">
        <v>26827</v>
      </c>
      <c r="AS1592" t="s">
        <v>74</v>
      </c>
      <c r="AT1592" t="s">
        <v>74</v>
      </c>
      <c r="AU1592">
        <v>2022</v>
      </c>
      <c r="AV1592" t="s">
        <v>74</v>
      </c>
      <c r="AW1592" t="s">
        <v>74</v>
      </c>
      <c r="AX1592" t="s">
        <v>74</v>
      </c>
      <c r="AY1592" t="s">
        <v>74</v>
      </c>
      <c r="AZ1592" t="s">
        <v>74</v>
      </c>
      <c r="BA1592" t="s">
        <v>74</v>
      </c>
      <c r="BB1592">
        <v>2675</v>
      </c>
      <c r="BC1592">
        <v>2679</v>
      </c>
      <c r="BD1592" t="s">
        <v>74</v>
      </c>
      <c r="BE1592" t="s">
        <v>26828</v>
      </c>
      <c r="BF1592" t="str">
        <f>HYPERLINK("http://dx.doi.org/10.1109/ISCAS48785.2022.9937302","http://dx.doi.org/10.1109/ISCAS48785.2022.9937302")</f>
        <v>http://dx.doi.org/10.1109/ISCAS48785.2022.9937302</v>
      </c>
      <c r="BG1592" t="s">
        <v>74</v>
      </c>
      <c r="BH1592" t="s">
        <v>74</v>
      </c>
      <c r="BI1592">
        <v>5</v>
      </c>
      <c r="BJ1592" t="s">
        <v>20731</v>
      </c>
      <c r="BK1592" t="s">
        <v>723</v>
      </c>
      <c r="BL1592" t="s">
        <v>20474</v>
      </c>
      <c r="BM1592" t="s">
        <v>26829</v>
      </c>
      <c r="BN1592" t="s">
        <v>74</v>
      </c>
      <c r="BO1592" t="s">
        <v>74</v>
      </c>
      <c r="BP1592" t="s">
        <v>74</v>
      </c>
      <c r="BQ1592" t="s">
        <v>74</v>
      </c>
      <c r="BR1592" t="s">
        <v>102</v>
      </c>
      <c r="BS1592" t="s">
        <v>26830</v>
      </c>
      <c r="BT1592" t="str">
        <f>HYPERLINK("https%3A%2F%2Fwww.webofscience.com%2Fwos%2Fwoscc%2Ffull-record%2FWOS:000946638602185","View Full Record in Web of Science")</f>
        <v>View Full Record in Web of Science</v>
      </c>
    </row>
    <row r="1593" spans="1:72" x14ac:dyDescent="0.35">
      <c r="A1593" t="s">
        <v>72</v>
      </c>
      <c r="B1593" t="s">
        <v>26831</v>
      </c>
      <c r="C1593" t="s">
        <v>74</v>
      </c>
      <c r="D1593" t="s">
        <v>74</v>
      </c>
      <c r="E1593" t="s">
        <v>74</v>
      </c>
      <c r="F1593" t="s">
        <v>26832</v>
      </c>
      <c r="G1593" t="s">
        <v>74</v>
      </c>
      <c r="H1593" t="s">
        <v>74</v>
      </c>
      <c r="I1593" t="s">
        <v>26833</v>
      </c>
      <c r="J1593" t="s">
        <v>7029</v>
      </c>
      <c r="K1593" t="s">
        <v>74</v>
      </c>
      <c r="L1593" t="s">
        <v>74</v>
      </c>
      <c r="M1593" t="s">
        <v>78</v>
      </c>
      <c r="N1593" t="s">
        <v>79</v>
      </c>
      <c r="O1593" t="s">
        <v>74</v>
      </c>
      <c r="P1593" t="s">
        <v>74</v>
      </c>
      <c r="Q1593" t="s">
        <v>74</v>
      </c>
      <c r="R1593" t="s">
        <v>74</v>
      </c>
      <c r="S1593" t="s">
        <v>74</v>
      </c>
      <c r="T1593" t="s">
        <v>26834</v>
      </c>
      <c r="U1593" t="s">
        <v>218</v>
      </c>
      <c r="V1593" t="s">
        <v>26835</v>
      </c>
      <c r="W1593" t="s">
        <v>26836</v>
      </c>
      <c r="X1593" t="s">
        <v>26837</v>
      </c>
      <c r="Y1593" t="s">
        <v>26838</v>
      </c>
      <c r="Z1593" t="s">
        <v>26839</v>
      </c>
      <c r="AA1593" t="s">
        <v>74</v>
      </c>
      <c r="AB1593" t="s">
        <v>26840</v>
      </c>
      <c r="AC1593" t="s">
        <v>74</v>
      </c>
      <c r="AD1593" t="s">
        <v>74</v>
      </c>
      <c r="AE1593" t="s">
        <v>74</v>
      </c>
      <c r="AF1593" t="s">
        <v>74</v>
      </c>
      <c r="AG1593">
        <v>22</v>
      </c>
      <c r="AH1593">
        <v>0</v>
      </c>
      <c r="AI1593">
        <v>0</v>
      </c>
      <c r="AJ1593">
        <v>0</v>
      </c>
      <c r="AK1593">
        <v>0</v>
      </c>
      <c r="AL1593" t="s">
        <v>665</v>
      </c>
      <c r="AM1593" t="s">
        <v>666</v>
      </c>
      <c r="AN1593" t="s">
        <v>667</v>
      </c>
      <c r="AO1593" t="s">
        <v>7036</v>
      </c>
      <c r="AP1593" t="s">
        <v>7037</v>
      </c>
      <c r="AQ1593" t="s">
        <v>74</v>
      </c>
      <c r="AR1593" t="s">
        <v>7038</v>
      </c>
      <c r="AS1593" t="s">
        <v>7039</v>
      </c>
      <c r="AT1593" t="s">
        <v>23867</v>
      </c>
      <c r="AU1593">
        <v>2024</v>
      </c>
      <c r="AV1593" t="s">
        <v>74</v>
      </c>
      <c r="AW1593" t="s">
        <v>74</v>
      </c>
      <c r="AX1593" t="s">
        <v>74</v>
      </c>
      <c r="AY1593" t="s">
        <v>74</v>
      </c>
      <c r="AZ1593" t="s">
        <v>74</v>
      </c>
      <c r="BA1593" t="s">
        <v>74</v>
      </c>
      <c r="BB1593" t="s">
        <v>74</v>
      </c>
      <c r="BC1593" t="s">
        <v>74</v>
      </c>
      <c r="BD1593" t="s">
        <v>74</v>
      </c>
      <c r="BE1593" t="s">
        <v>26841</v>
      </c>
      <c r="BF1593" t="str">
        <f>HYPERLINK("http://dx.doi.org/10.1007/s00266-024-04279-5","http://dx.doi.org/10.1007/s00266-024-04279-5")</f>
        <v>http://dx.doi.org/10.1007/s00266-024-04279-5</v>
      </c>
      <c r="BG1593" t="s">
        <v>74</v>
      </c>
      <c r="BH1593" t="s">
        <v>1721</v>
      </c>
      <c r="BI1593">
        <v>9</v>
      </c>
      <c r="BJ1593" t="s">
        <v>4994</v>
      </c>
      <c r="BK1593" t="s">
        <v>209</v>
      </c>
      <c r="BL1593" t="s">
        <v>4994</v>
      </c>
      <c r="BM1593" t="s">
        <v>26842</v>
      </c>
      <c r="BN1593">
        <v>39352500</v>
      </c>
      <c r="BO1593" t="s">
        <v>74</v>
      </c>
      <c r="BP1593" t="s">
        <v>74</v>
      </c>
      <c r="BQ1593" t="s">
        <v>74</v>
      </c>
      <c r="BR1593" t="s">
        <v>102</v>
      </c>
      <c r="BS1593" t="s">
        <v>26843</v>
      </c>
      <c r="BT1593" t="str">
        <f>HYPERLINK("https%3A%2F%2Fwww.webofscience.com%2Fwos%2Fwoscc%2Ffull-record%2FWOS:001326690100004","View Full Record in Web of Science")</f>
        <v>View Full Record in Web of Science</v>
      </c>
    </row>
    <row r="1594" spans="1:72" x14ac:dyDescent="0.35">
      <c r="A1594" t="s">
        <v>72</v>
      </c>
      <c r="B1594" t="s">
        <v>26844</v>
      </c>
      <c r="C1594" t="s">
        <v>74</v>
      </c>
      <c r="D1594" t="s">
        <v>74</v>
      </c>
      <c r="E1594" t="s">
        <v>74</v>
      </c>
      <c r="F1594" t="s">
        <v>26845</v>
      </c>
      <c r="G1594" t="s">
        <v>74</v>
      </c>
      <c r="H1594" t="s">
        <v>74</v>
      </c>
      <c r="I1594" t="s">
        <v>26846</v>
      </c>
      <c r="J1594" t="s">
        <v>4135</v>
      </c>
      <c r="K1594" t="s">
        <v>74</v>
      </c>
      <c r="L1594" t="s">
        <v>74</v>
      </c>
      <c r="M1594" t="s">
        <v>78</v>
      </c>
      <c r="N1594" t="s">
        <v>108</v>
      </c>
      <c r="O1594" t="s">
        <v>74</v>
      </c>
      <c r="P1594" t="s">
        <v>74</v>
      </c>
      <c r="Q1594" t="s">
        <v>74</v>
      </c>
      <c r="R1594" t="s">
        <v>74</v>
      </c>
      <c r="S1594" t="s">
        <v>74</v>
      </c>
      <c r="T1594" t="s">
        <v>26847</v>
      </c>
      <c r="U1594" t="s">
        <v>26848</v>
      </c>
      <c r="V1594" t="s">
        <v>26849</v>
      </c>
      <c r="W1594" t="s">
        <v>26850</v>
      </c>
      <c r="X1594" t="s">
        <v>26851</v>
      </c>
      <c r="Y1594" t="s">
        <v>26852</v>
      </c>
      <c r="Z1594" t="s">
        <v>26853</v>
      </c>
      <c r="AA1594" t="s">
        <v>74</v>
      </c>
      <c r="AB1594" t="s">
        <v>20443</v>
      </c>
      <c r="AC1594" t="s">
        <v>74</v>
      </c>
      <c r="AD1594" t="s">
        <v>74</v>
      </c>
      <c r="AE1594" t="s">
        <v>74</v>
      </c>
      <c r="AF1594" t="s">
        <v>74</v>
      </c>
      <c r="AG1594">
        <v>77</v>
      </c>
      <c r="AH1594">
        <v>0</v>
      </c>
      <c r="AI1594">
        <v>0</v>
      </c>
      <c r="AJ1594">
        <v>39</v>
      </c>
      <c r="AK1594">
        <v>39</v>
      </c>
      <c r="AL1594" t="s">
        <v>3632</v>
      </c>
      <c r="AM1594" t="s">
        <v>148</v>
      </c>
      <c r="AN1594" t="s">
        <v>5053</v>
      </c>
      <c r="AO1594" t="s">
        <v>4148</v>
      </c>
      <c r="AP1594" t="s">
        <v>4149</v>
      </c>
      <c r="AQ1594" t="s">
        <v>74</v>
      </c>
      <c r="AR1594" t="s">
        <v>4150</v>
      </c>
      <c r="AS1594" t="s">
        <v>4151</v>
      </c>
      <c r="AT1594" t="s">
        <v>523</v>
      </c>
      <c r="AU1594">
        <v>2024</v>
      </c>
      <c r="AV1594">
        <v>81</v>
      </c>
      <c r="AW1594" t="s">
        <v>74</v>
      </c>
      <c r="AX1594" t="s">
        <v>74</v>
      </c>
      <c r="AY1594" t="s">
        <v>74</v>
      </c>
      <c r="AZ1594" t="s">
        <v>74</v>
      </c>
      <c r="BA1594" t="s">
        <v>74</v>
      </c>
      <c r="BB1594" t="s">
        <v>74</v>
      </c>
      <c r="BC1594" t="s">
        <v>74</v>
      </c>
      <c r="BD1594">
        <v>104031</v>
      </c>
      <c r="BE1594" t="s">
        <v>26854</v>
      </c>
      <c r="BF1594" t="str">
        <f>HYPERLINK("http://dx.doi.org/10.1016/j.jretconser.2024.104031","http://dx.doi.org/10.1016/j.jretconser.2024.104031")</f>
        <v>http://dx.doi.org/10.1016/j.jretconser.2024.104031</v>
      </c>
      <c r="BG1594" t="s">
        <v>74</v>
      </c>
      <c r="BH1594" t="s">
        <v>2444</v>
      </c>
      <c r="BI1594">
        <v>14</v>
      </c>
      <c r="BJ1594" t="s">
        <v>1597</v>
      </c>
      <c r="BK1594" t="s">
        <v>99</v>
      </c>
      <c r="BL1594" t="s">
        <v>480</v>
      </c>
      <c r="BM1594" t="s">
        <v>26855</v>
      </c>
      <c r="BN1594" t="s">
        <v>74</v>
      </c>
      <c r="BO1594" t="s">
        <v>74</v>
      </c>
      <c r="BP1594" t="s">
        <v>74</v>
      </c>
      <c r="BQ1594" t="s">
        <v>74</v>
      </c>
      <c r="BR1594" t="s">
        <v>102</v>
      </c>
      <c r="BS1594" t="s">
        <v>26856</v>
      </c>
      <c r="BT1594" t="str">
        <f>HYPERLINK("https%3A%2F%2Fwww.webofscience.com%2Fwos%2Fwoscc%2Ffull-record%2FWOS:001291531600001","View Full Record in Web of Science")</f>
        <v>View Full Record in Web of Science</v>
      </c>
    </row>
    <row r="1595" spans="1:72" x14ac:dyDescent="0.35">
      <c r="A1595" t="s">
        <v>72</v>
      </c>
      <c r="B1595" t="s">
        <v>26857</v>
      </c>
      <c r="C1595" t="s">
        <v>74</v>
      </c>
      <c r="D1595" t="s">
        <v>74</v>
      </c>
      <c r="E1595" t="s">
        <v>74</v>
      </c>
      <c r="F1595" t="s">
        <v>26858</v>
      </c>
      <c r="G1595" t="s">
        <v>74</v>
      </c>
      <c r="H1595" t="s">
        <v>74</v>
      </c>
      <c r="I1595" t="s">
        <v>26859</v>
      </c>
      <c r="J1595" t="s">
        <v>26860</v>
      </c>
      <c r="K1595" t="s">
        <v>74</v>
      </c>
      <c r="L1595" t="s">
        <v>74</v>
      </c>
      <c r="M1595" t="s">
        <v>78</v>
      </c>
      <c r="N1595" t="s">
        <v>108</v>
      </c>
      <c r="O1595" t="s">
        <v>74</v>
      </c>
      <c r="P1595" t="s">
        <v>74</v>
      </c>
      <c r="Q1595" t="s">
        <v>74</v>
      </c>
      <c r="R1595" t="s">
        <v>74</v>
      </c>
      <c r="S1595" t="s">
        <v>74</v>
      </c>
      <c r="T1595" t="s">
        <v>26861</v>
      </c>
      <c r="U1595" t="s">
        <v>26862</v>
      </c>
      <c r="V1595" t="s">
        <v>26863</v>
      </c>
      <c r="W1595" t="s">
        <v>26864</v>
      </c>
      <c r="X1595" t="s">
        <v>26865</v>
      </c>
      <c r="Y1595" t="s">
        <v>26866</v>
      </c>
      <c r="Z1595" t="s">
        <v>26867</v>
      </c>
      <c r="AA1595" t="s">
        <v>26868</v>
      </c>
      <c r="AB1595" t="s">
        <v>26869</v>
      </c>
      <c r="AC1595" t="s">
        <v>26870</v>
      </c>
      <c r="AD1595" t="s">
        <v>26870</v>
      </c>
      <c r="AE1595" t="s">
        <v>26871</v>
      </c>
      <c r="AF1595" t="s">
        <v>74</v>
      </c>
      <c r="AG1595">
        <v>23</v>
      </c>
      <c r="AH1595">
        <v>3</v>
      </c>
      <c r="AI1595">
        <v>3</v>
      </c>
      <c r="AJ1595">
        <v>19</v>
      </c>
      <c r="AK1595">
        <v>37</v>
      </c>
      <c r="AL1595" t="s">
        <v>516</v>
      </c>
      <c r="AM1595" t="s">
        <v>517</v>
      </c>
      <c r="AN1595" t="s">
        <v>518</v>
      </c>
      <c r="AO1595" t="s">
        <v>26872</v>
      </c>
      <c r="AP1595" t="s">
        <v>26873</v>
      </c>
      <c r="AQ1595" t="s">
        <v>74</v>
      </c>
      <c r="AR1595" t="s">
        <v>26874</v>
      </c>
      <c r="AS1595" t="s">
        <v>26875</v>
      </c>
      <c r="AT1595" t="s">
        <v>1484</v>
      </c>
      <c r="AU1595">
        <v>2023</v>
      </c>
      <c r="AV1595">
        <v>31</v>
      </c>
      <c r="AW1595" t="s">
        <v>74</v>
      </c>
      <c r="AX1595" t="s">
        <v>74</v>
      </c>
      <c r="AY1595" t="s">
        <v>74</v>
      </c>
      <c r="AZ1595" t="s">
        <v>74</v>
      </c>
      <c r="BA1595" t="s">
        <v>74</v>
      </c>
      <c r="BB1595" t="s">
        <v>74</v>
      </c>
      <c r="BC1595" t="s">
        <v>74</v>
      </c>
      <c r="BD1595">
        <v>100678</v>
      </c>
      <c r="BE1595" t="s">
        <v>26876</v>
      </c>
      <c r="BF1595" t="str">
        <f>HYPERLINK("http://dx.doi.org/10.1016/j.ijgfs.2023.100678","http://dx.doi.org/10.1016/j.ijgfs.2023.100678")</f>
        <v>http://dx.doi.org/10.1016/j.ijgfs.2023.100678</v>
      </c>
      <c r="BG1595" t="s">
        <v>74</v>
      </c>
      <c r="BH1595" t="s">
        <v>6895</v>
      </c>
      <c r="BI1595">
        <v>7</v>
      </c>
      <c r="BJ1595" t="s">
        <v>26877</v>
      </c>
      <c r="BK1595" t="s">
        <v>209</v>
      </c>
      <c r="BL1595" t="s">
        <v>26877</v>
      </c>
      <c r="BM1595" t="s">
        <v>26878</v>
      </c>
      <c r="BN1595" t="s">
        <v>74</v>
      </c>
      <c r="BO1595" t="s">
        <v>767</v>
      </c>
      <c r="BP1595" t="s">
        <v>74</v>
      </c>
      <c r="BQ1595" t="s">
        <v>74</v>
      </c>
      <c r="BR1595" t="s">
        <v>102</v>
      </c>
      <c r="BS1595" t="s">
        <v>26879</v>
      </c>
      <c r="BT1595" t="str">
        <f>HYPERLINK("https%3A%2F%2Fwww.webofscience.com%2Fwos%2Fwoscc%2Ffull-record%2FWOS:000944407300001","View Full Record in Web of Science")</f>
        <v>View Full Record in Web of Science</v>
      </c>
    </row>
    <row r="1596" spans="1:72" x14ac:dyDescent="0.35">
      <c r="A1596" t="s">
        <v>72</v>
      </c>
      <c r="B1596" t="s">
        <v>26880</v>
      </c>
      <c r="C1596" t="s">
        <v>74</v>
      </c>
      <c r="D1596" t="s">
        <v>74</v>
      </c>
      <c r="E1596" t="s">
        <v>74</v>
      </c>
      <c r="F1596" t="s">
        <v>26881</v>
      </c>
      <c r="G1596" t="s">
        <v>74</v>
      </c>
      <c r="H1596" t="s">
        <v>74</v>
      </c>
      <c r="I1596" t="s">
        <v>26882</v>
      </c>
      <c r="J1596" t="s">
        <v>2110</v>
      </c>
      <c r="K1596" t="s">
        <v>74</v>
      </c>
      <c r="L1596" t="s">
        <v>74</v>
      </c>
      <c r="M1596" t="s">
        <v>78</v>
      </c>
      <c r="N1596" t="s">
        <v>79</v>
      </c>
      <c r="O1596" t="s">
        <v>74</v>
      </c>
      <c r="P1596" t="s">
        <v>74</v>
      </c>
      <c r="Q1596" t="s">
        <v>74</v>
      </c>
      <c r="R1596" t="s">
        <v>74</v>
      </c>
      <c r="S1596" t="s">
        <v>74</v>
      </c>
      <c r="T1596" t="s">
        <v>26883</v>
      </c>
      <c r="U1596" t="s">
        <v>74</v>
      </c>
      <c r="V1596" t="s">
        <v>26884</v>
      </c>
      <c r="W1596" t="s">
        <v>26885</v>
      </c>
      <c r="X1596" t="s">
        <v>26886</v>
      </c>
      <c r="Y1596" t="s">
        <v>26887</v>
      </c>
      <c r="Z1596" t="s">
        <v>26888</v>
      </c>
      <c r="AA1596" t="s">
        <v>74</v>
      </c>
      <c r="AB1596" t="s">
        <v>74</v>
      </c>
      <c r="AC1596" t="s">
        <v>74</v>
      </c>
      <c r="AD1596" t="s">
        <v>74</v>
      </c>
      <c r="AE1596" t="s">
        <v>74</v>
      </c>
      <c r="AF1596" t="s">
        <v>74</v>
      </c>
      <c r="AG1596">
        <v>42</v>
      </c>
      <c r="AH1596">
        <v>0</v>
      </c>
      <c r="AI1596">
        <v>0</v>
      </c>
      <c r="AJ1596">
        <v>0</v>
      </c>
      <c r="AK1596">
        <v>0</v>
      </c>
      <c r="AL1596" t="s">
        <v>226</v>
      </c>
      <c r="AM1596" t="s">
        <v>227</v>
      </c>
      <c r="AN1596" t="s">
        <v>228</v>
      </c>
      <c r="AO1596" t="s">
        <v>2118</v>
      </c>
      <c r="AP1596" t="s">
        <v>2119</v>
      </c>
      <c r="AQ1596" t="s">
        <v>74</v>
      </c>
      <c r="AR1596" t="s">
        <v>2120</v>
      </c>
      <c r="AS1596" t="s">
        <v>2121</v>
      </c>
      <c r="AT1596" t="s">
        <v>11199</v>
      </c>
      <c r="AU1596">
        <v>2024</v>
      </c>
      <c r="AV1596" t="s">
        <v>74</v>
      </c>
      <c r="AW1596" t="s">
        <v>74</v>
      </c>
      <c r="AX1596" t="s">
        <v>74</v>
      </c>
      <c r="AY1596" t="s">
        <v>74</v>
      </c>
      <c r="AZ1596" t="s">
        <v>74</v>
      </c>
      <c r="BA1596" t="s">
        <v>74</v>
      </c>
      <c r="BB1596" t="s">
        <v>74</v>
      </c>
      <c r="BC1596" t="s">
        <v>74</v>
      </c>
      <c r="BD1596" t="s">
        <v>74</v>
      </c>
      <c r="BE1596" t="s">
        <v>26889</v>
      </c>
      <c r="BF1596" t="str">
        <f>HYPERLINK("http://dx.doi.org/10.1177/13675494241293731","http://dx.doi.org/10.1177/13675494241293731")</f>
        <v>http://dx.doi.org/10.1177/13675494241293731</v>
      </c>
      <c r="BG1596" t="s">
        <v>74</v>
      </c>
      <c r="BH1596" t="s">
        <v>4092</v>
      </c>
      <c r="BI1596">
        <v>19</v>
      </c>
      <c r="BJ1596" t="s">
        <v>2124</v>
      </c>
      <c r="BK1596" t="s">
        <v>2125</v>
      </c>
      <c r="BL1596" t="s">
        <v>2124</v>
      </c>
      <c r="BM1596" t="s">
        <v>26890</v>
      </c>
      <c r="BN1596" t="s">
        <v>74</v>
      </c>
      <c r="BO1596" t="s">
        <v>156</v>
      </c>
      <c r="BP1596" t="s">
        <v>74</v>
      </c>
      <c r="BQ1596" t="s">
        <v>74</v>
      </c>
      <c r="BR1596" t="s">
        <v>102</v>
      </c>
      <c r="BS1596" t="s">
        <v>26891</v>
      </c>
      <c r="BT1596" t="str">
        <f>HYPERLINK("https%3A%2F%2Fwww.webofscience.com%2Fwos%2Fwoscc%2Ffull-record%2FWOS:001350406300001","View Full Record in Web of Science")</f>
        <v>View Full Record in Web of Science</v>
      </c>
    </row>
    <row r="1597" spans="1:72" x14ac:dyDescent="0.35">
      <c r="A1597" t="s">
        <v>128</v>
      </c>
      <c r="B1597" t="s">
        <v>26892</v>
      </c>
      <c r="C1597" t="s">
        <v>74</v>
      </c>
      <c r="D1597" t="s">
        <v>26893</v>
      </c>
      <c r="E1597" t="s">
        <v>74</v>
      </c>
      <c r="F1597" t="s">
        <v>26894</v>
      </c>
      <c r="G1597" t="s">
        <v>74</v>
      </c>
      <c r="H1597" t="s">
        <v>74</v>
      </c>
      <c r="I1597" t="s">
        <v>26895</v>
      </c>
      <c r="J1597" t="s">
        <v>26896</v>
      </c>
      <c r="K1597" t="s">
        <v>628</v>
      </c>
      <c r="L1597" t="s">
        <v>74</v>
      </c>
      <c r="M1597" t="s">
        <v>78</v>
      </c>
      <c r="N1597" t="s">
        <v>135</v>
      </c>
      <c r="O1597" t="s">
        <v>26897</v>
      </c>
      <c r="P1597" t="s">
        <v>26898</v>
      </c>
      <c r="Q1597" t="s">
        <v>26899</v>
      </c>
      <c r="R1597" t="s">
        <v>74</v>
      </c>
      <c r="S1597" t="s">
        <v>74</v>
      </c>
      <c r="T1597" t="s">
        <v>26900</v>
      </c>
      <c r="U1597" t="s">
        <v>74</v>
      </c>
      <c r="V1597" t="s">
        <v>26901</v>
      </c>
      <c r="W1597" t="s">
        <v>26902</v>
      </c>
      <c r="X1597" t="s">
        <v>26903</v>
      </c>
      <c r="Y1597" t="s">
        <v>26904</v>
      </c>
      <c r="Z1597" t="s">
        <v>26905</v>
      </c>
      <c r="AA1597" t="s">
        <v>74</v>
      </c>
      <c r="AB1597" t="s">
        <v>74</v>
      </c>
      <c r="AC1597" t="s">
        <v>74</v>
      </c>
      <c r="AD1597" t="s">
        <v>74</v>
      </c>
      <c r="AE1597" t="s">
        <v>74</v>
      </c>
      <c r="AF1597" t="s">
        <v>74</v>
      </c>
      <c r="AG1597">
        <v>12</v>
      </c>
      <c r="AH1597">
        <v>0</v>
      </c>
      <c r="AI1597">
        <v>0</v>
      </c>
      <c r="AJ1597">
        <v>1</v>
      </c>
      <c r="AK1597">
        <v>1</v>
      </c>
      <c r="AL1597" t="s">
        <v>639</v>
      </c>
      <c r="AM1597" t="s">
        <v>640</v>
      </c>
      <c r="AN1597" t="s">
        <v>641</v>
      </c>
      <c r="AO1597" t="s">
        <v>642</v>
      </c>
      <c r="AP1597" t="s">
        <v>643</v>
      </c>
      <c r="AQ1597" t="s">
        <v>26906</v>
      </c>
      <c r="AR1597" t="s">
        <v>645</v>
      </c>
      <c r="AS1597" t="s">
        <v>74</v>
      </c>
      <c r="AT1597" t="s">
        <v>74</v>
      </c>
      <c r="AU1597">
        <v>2023</v>
      </c>
      <c r="AV1597" t="s">
        <v>74</v>
      </c>
      <c r="AW1597" t="s">
        <v>74</v>
      </c>
      <c r="AX1597" t="s">
        <v>74</v>
      </c>
      <c r="AY1597" t="s">
        <v>74</v>
      </c>
      <c r="AZ1597" t="s">
        <v>74</v>
      </c>
      <c r="BA1597" t="s">
        <v>74</v>
      </c>
      <c r="BB1597">
        <v>283</v>
      </c>
      <c r="BC1597">
        <v>292</v>
      </c>
      <c r="BD1597" t="s">
        <v>74</v>
      </c>
      <c r="BE1597" t="s">
        <v>26907</v>
      </c>
      <c r="BF1597" t="str">
        <f>HYPERLINK("http://dx.doi.org/10.1007/978-3-031-23844-4_20","http://dx.doi.org/10.1007/978-3-031-23844-4_20")</f>
        <v>http://dx.doi.org/10.1007/978-3-031-23844-4_20</v>
      </c>
      <c r="BG1597" t="s">
        <v>74</v>
      </c>
      <c r="BH1597" t="s">
        <v>74</v>
      </c>
      <c r="BI1597">
        <v>10</v>
      </c>
      <c r="BJ1597" t="s">
        <v>26908</v>
      </c>
      <c r="BK1597" t="s">
        <v>648</v>
      </c>
      <c r="BL1597" t="s">
        <v>649</v>
      </c>
      <c r="BM1597" t="s">
        <v>26909</v>
      </c>
      <c r="BN1597" t="s">
        <v>74</v>
      </c>
      <c r="BO1597" t="s">
        <v>74</v>
      </c>
      <c r="BP1597" t="s">
        <v>74</v>
      </c>
      <c r="BQ1597" t="s">
        <v>74</v>
      </c>
      <c r="BR1597" t="s">
        <v>102</v>
      </c>
      <c r="BS1597" t="s">
        <v>26910</v>
      </c>
      <c r="BT1597" t="str">
        <f>HYPERLINK("https%3A%2F%2Fwww.webofscience.com%2Fwos%2Fwoscc%2Ffull-record%2FWOS:001000772400020","View Full Record in Web of Science")</f>
        <v>View Full Record in Web of Science</v>
      </c>
    </row>
    <row r="1598" spans="1:72" x14ac:dyDescent="0.35">
      <c r="A1598" t="s">
        <v>72</v>
      </c>
      <c r="B1598" t="s">
        <v>26911</v>
      </c>
      <c r="C1598" t="s">
        <v>74</v>
      </c>
      <c r="D1598" t="s">
        <v>74</v>
      </c>
      <c r="E1598" t="s">
        <v>74</v>
      </c>
      <c r="F1598" t="s">
        <v>26912</v>
      </c>
      <c r="G1598" t="s">
        <v>74</v>
      </c>
      <c r="H1598" t="s">
        <v>74</v>
      </c>
      <c r="I1598" t="s">
        <v>26913</v>
      </c>
      <c r="J1598" t="s">
        <v>2450</v>
      </c>
      <c r="K1598" t="s">
        <v>74</v>
      </c>
      <c r="L1598" t="s">
        <v>74</v>
      </c>
      <c r="M1598" t="s">
        <v>78</v>
      </c>
      <c r="N1598" t="s">
        <v>108</v>
      </c>
      <c r="O1598" t="s">
        <v>74</v>
      </c>
      <c r="P1598" t="s">
        <v>74</v>
      </c>
      <c r="Q1598" t="s">
        <v>74</v>
      </c>
      <c r="R1598" t="s">
        <v>74</v>
      </c>
      <c r="S1598" t="s">
        <v>74</v>
      </c>
      <c r="T1598" t="s">
        <v>74</v>
      </c>
      <c r="U1598" t="s">
        <v>26914</v>
      </c>
      <c r="V1598" t="s">
        <v>26915</v>
      </c>
      <c r="W1598" t="s">
        <v>26916</v>
      </c>
      <c r="X1598" t="s">
        <v>26917</v>
      </c>
      <c r="Y1598" t="s">
        <v>26918</v>
      </c>
      <c r="Z1598" t="s">
        <v>26919</v>
      </c>
      <c r="AA1598" t="s">
        <v>26920</v>
      </c>
      <c r="AB1598" t="s">
        <v>26921</v>
      </c>
      <c r="AC1598" t="s">
        <v>26922</v>
      </c>
      <c r="AD1598" t="s">
        <v>26922</v>
      </c>
      <c r="AE1598" t="s">
        <v>26923</v>
      </c>
      <c r="AF1598" t="s">
        <v>74</v>
      </c>
      <c r="AG1598">
        <v>42</v>
      </c>
      <c r="AH1598">
        <v>4</v>
      </c>
      <c r="AI1598">
        <v>4</v>
      </c>
      <c r="AJ1598">
        <v>0</v>
      </c>
      <c r="AK1598">
        <v>2</v>
      </c>
      <c r="AL1598" t="s">
        <v>2458</v>
      </c>
      <c r="AM1598" t="s">
        <v>2459</v>
      </c>
      <c r="AN1598" t="s">
        <v>2460</v>
      </c>
      <c r="AO1598" t="s">
        <v>2461</v>
      </c>
      <c r="AP1598" t="s">
        <v>74</v>
      </c>
      <c r="AQ1598" t="s">
        <v>74</v>
      </c>
      <c r="AR1598" t="s">
        <v>2450</v>
      </c>
      <c r="AS1598" t="s">
        <v>2462</v>
      </c>
      <c r="AT1598" t="s">
        <v>26924</v>
      </c>
      <c r="AU1598">
        <v>2023</v>
      </c>
      <c r="AV1598">
        <v>18</v>
      </c>
      <c r="AW1598">
        <v>9</v>
      </c>
      <c r="AX1598" t="s">
        <v>74</v>
      </c>
      <c r="AY1598" t="s">
        <v>74</v>
      </c>
      <c r="AZ1598" t="s">
        <v>74</v>
      </c>
      <c r="BA1598" t="s">
        <v>74</v>
      </c>
      <c r="BB1598" t="s">
        <v>74</v>
      </c>
      <c r="BC1598" t="s">
        <v>74</v>
      </c>
      <c r="BD1598" t="s">
        <v>26925</v>
      </c>
      <c r="BE1598" t="s">
        <v>26926</v>
      </c>
      <c r="BF1598" t="str">
        <f>HYPERLINK("http://dx.doi.org/10.1371/journal.pone.0291392","http://dx.doi.org/10.1371/journal.pone.0291392")</f>
        <v>http://dx.doi.org/10.1371/journal.pone.0291392</v>
      </c>
      <c r="BG1598" t="s">
        <v>74</v>
      </c>
      <c r="BH1598" t="s">
        <v>74</v>
      </c>
      <c r="BI1598">
        <v>16</v>
      </c>
      <c r="BJ1598" t="s">
        <v>1301</v>
      </c>
      <c r="BK1598" t="s">
        <v>209</v>
      </c>
      <c r="BL1598" t="s">
        <v>1302</v>
      </c>
      <c r="BM1598" t="s">
        <v>26927</v>
      </c>
      <c r="BN1598">
        <v>37682967</v>
      </c>
      <c r="BO1598" t="s">
        <v>552</v>
      </c>
      <c r="BP1598" t="s">
        <v>74</v>
      </c>
      <c r="BQ1598" t="s">
        <v>74</v>
      </c>
      <c r="BR1598" t="s">
        <v>102</v>
      </c>
      <c r="BS1598" t="s">
        <v>26928</v>
      </c>
      <c r="BT1598" t="str">
        <f>HYPERLINK("https%3A%2F%2Fwww.webofscience.com%2Fwos%2Fwoscc%2Ffull-record%2FWOS:001091871500159","View Full Record in Web of Science")</f>
        <v>View Full Record in Web of Science</v>
      </c>
    </row>
    <row r="1599" spans="1:72" x14ac:dyDescent="0.35">
      <c r="A1599" t="s">
        <v>72</v>
      </c>
      <c r="B1599" t="s">
        <v>26929</v>
      </c>
      <c r="C1599" t="s">
        <v>74</v>
      </c>
      <c r="D1599" t="s">
        <v>74</v>
      </c>
      <c r="E1599" t="s">
        <v>74</v>
      </c>
      <c r="F1599" t="s">
        <v>26930</v>
      </c>
      <c r="G1599" t="s">
        <v>74</v>
      </c>
      <c r="H1599" t="s">
        <v>74</v>
      </c>
      <c r="I1599" t="s">
        <v>26931</v>
      </c>
      <c r="J1599" t="s">
        <v>25111</v>
      </c>
      <c r="K1599" t="s">
        <v>74</v>
      </c>
      <c r="L1599" t="s">
        <v>74</v>
      </c>
      <c r="M1599" t="s">
        <v>78</v>
      </c>
      <c r="N1599" t="s">
        <v>108</v>
      </c>
      <c r="O1599" t="s">
        <v>74</v>
      </c>
      <c r="P1599" t="s">
        <v>74</v>
      </c>
      <c r="Q1599" t="s">
        <v>74</v>
      </c>
      <c r="R1599" t="s">
        <v>74</v>
      </c>
      <c r="S1599" t="s">
        <v>74</v>
      </c>
      <c r="T1599" t="s">
        <v>26932</v>
      </c>
      <c r="U1599" t="s">
        <v>26933</v>
      </c>
      <c r="V1599" t="s">
        <v>26934</v>
      </c>
      <c r="W1599" t="s">
        <v>26935</v>
      </c>
      <c r="X1599" t="s">
        <v>26936</v>
      </c>
      <c r="Y1599" t="s">
        <v>26937</v>
      </c>
      <c r="Z1599" t="s">
        <v>26938</v>
      </c>
      <c r="AA1599" t="s">
        <v>26939</v>
      </c>
      <c r="AB1599" t="s">
        <v>26940</v>
      </c>
      <c r="AC1599" t="s">
        <v>26941</v>
      </c>
      <c r="AD1599" t="s">
        <v>26941</v>
      </c>
      <c r="AE1599" t="s">
        <v>26942</v>
      </c>
      <c r="AF1599" t="s">
        <v>74</v>
      </c>
      <c r="AG1599">
        <v>31</v>
      </c>
      <c r="AH1599">
        <v>9</v>
      </c>
      <c r="AI1599">
        <v>9</v>
      </c>
      <c r="AJ1599">
        <v>1</v>
      </c>
      <c r="AK1599">
        <v>11</v>
      </c>
      <c r="AL1599" t="s">
        <v>25124</v>
      </c>
      <c r="AM1599" t="s">
        <v>18022</v>
      </c>
      <c r="AN1599" t="s">
        <v>25125</v>
      </c>
      <c r="AO1599" t="s">
        <v>25126</v>
      </c>
      <c r="AP1599" t="s">
        <v>74</v>
      </c>
      <c r="AQ1599" t="s">
        <v>74</v>
      </c>
      <c r="AR1599" t="s">
        <v>25111</v>
      </c>
      <c r="AS1599" t="s">
        <v>25127</v>
      </c>
      <c r="AT1599" t="s">
        <v>74</v>
      </c>
      <c r="AU1599">
        <v>2020</v>
      </c>
      <c r="AV1599">
        <v>8</v>
      </c>
      <c r="AW1599" t="s">
        <v>74</v>
      </c>
      <c r="AX1599" t="s">
        <v>74</v>
      </c>
      <c r="AY1599" t="s">
        <v>74</v>
      </c>
      <c r="AZ1599" t="s">
        <v>74</v>
      </c>
      <c r="BA1599" t="s">
        <v>74</v>
      </c>
      <c r="BB1599">
        <v>73665</v>
      </c>
      <c r="BC1599">
        <v>73676</v>
      </c>
      <c r="BD1599" t="s">
        <v>74</v>
      </c>
      <c r="BE1599" t="s">
        <v>26943</v>
      </c>
      <c r="BF1599" t="str">
        <f>HYPERLINK("http://dx.doi.org/10.1109/ACCESS.2020.2988728","http://dx.doi.org/10.1109/ACCESS.2020.2988728")</f>
        <v>http://dx.doi.org/10.1109/ACCESS.2020.2988728</v>
      </c>
      <c r="BG1599" t="s">
        <v>74</v>
      </c>
      <c r="BH1599" t="s">
        <v>74</v>
      </c>
      <c r="BI1599">
        <v>12</v>
      </c>
      <c r="BJ1599" t="s">
        <v>25129</v>
      </c>
      <c r="BK1599" t="s">
        <v>209</v>
      </c>
      <c r="BL1599" t="s">
        <v>25130</v>
      </c>
      <c r="BM1599" t="s">
        <v>26944</v>
      </c>
      <c r="BN1599" t="s">
        <v>74</v>
      </c>
      <c r="BO1599" t="s">
        <v>235</v>
      </c>
      <c r="BP1599" t="s">
        <v>74</v>
      </c>
      <c r="BQ1599" t="s">
        <v>74</v>
      </c>
      <c r="BR1599" t="s">
        <v>102</v>
      </c>
      <c r="BS1599" t="s">
        <v>26945</v>
      </c>
      <c r="BT1599" t="str">
        <f>HYPERLINK("https%3A%2F%2Fwww.webofscience.com%2Fwos%2Fwoscc%2Ffull-record%2FWOS:000530830800019","View Full Record in Web of Science")</f>
        <v>View Full Record in Web of Science</v>
      </c>
    </row>
    <row r="1600" spans="1:72" x14ac:dyDescent="0.35">
      <c r="A1600" t="s">
        <v>72</v>
      </c>
      <c r="B1600" t="s">
        <v>26946</v>
      </c>
      <c r="C1600" t="s">
        <v>74</v>
      </c>
      <c r="D1600" t="s">
        <v>74</v>
      </c>
      <c r="E1600" t="s">
        <v>74</v>
      </c>
      <c r="F1600" t="s">
        <v>26947</v>
      </c>
      <c r="G1600" t="s">
        <v>74</v>
      </c>
      <c r="H1600" t="s">
        <v>74</v>
      </c>
      <c r="I1600" t="s">
        <v>26948</v>
      </c>
      <c r="J1600" t="s">
        <v>26949</v>
      </c>
      <c r="K1600" t="s">
        <v>74</v>
      </c>
      <c r="L1600" t="s">
        <v>74</v>
      </c>
      <c r="M1600" t="s">
        <v>78</v>
      </c>
      <c r="N1600" t="s">
        <v>374</v>
      </c>
      <c r="O1600" t="s">
        <v>74</v>
      </c>
      <c r="P1600" t="s">
        <v>74</v>
      </c>
      <c r="Q1600" t="s">
        <v>74</v>
      </c>
      <c r="R1600" t="s">
        <v>74</v>
      </c>
      <c r="S1600" t="s">
        <v>74</v>
      </c>
      <c r="T1600" t="s">
        <v>74</v>
      </c>
      <c r="U1600" t="s">
        <v>26950</v>
      </c>
      <c r="V1600" t="s">
        <v>26951</v>
      </c>
      <c r="W1600" t="s">
        <v>26952</v>
      </c>
      <c r="X1600" t="s">
        <v>26953</v>
      </c>
      <c r="Y1600" t="s">
        <v>26954</v>
      </c>
      <c r="Z1600" t="s">
        <v>26955</v>
      </c>
      <c r="AA1600" t="s">
        <v>26956</v>
      </c>
      <c r="AB1600" t="s">
        <v>26957</v>
      </c>
      <c r="AC1600" t="s">
        <v>74</v>
      </c>
      <c r="AD1600" t="s">
        <v>74</v>
      </c>
      <c r="AE1600" t="s">
        <v>74</v>
      </c>
      <c r="AF1600" t="s">
        <v>74</v>
      </c>
      <c r="AG1600">
        <v>131</v>
      </c>
      <c r="AH1600">
        <v>15</v>
      </c>
      <c r="AI1600">
        <v>16</v>
      </c>
      <c r="AJ1600">
        <v>22</v>
      </c>
      <c r="AK1600">
        <v>40</v>
      </c>
      <c r="AL1600" t="s">
        <v>1294</v>
      </c>
      <c r="AM1600" t="s">
        <v>1062</v>
      </c>
      <c r="AN1600" t="s">
        <v>1295</v>
      </c>
      <c r="AO1600" t="s">
        <v>26958</v>
      </c>
      <c r="AP1600" t="s">
        <v>26959</v>
      </c>
      <c r="AQ1600" t="s">
        <v>74</v>
      </c>
      <c r="AR1600" t="s">
        <v>26960</v>
      </c>
      <c r="AS1600" t="s">
        <v>26961</v>
      </c>
      <c r="AT1600" t="s">
        <v>594</v>
      </c>
      <c r="AU1600">
        <v>2023</v>
      </c>
      <c r="AV1600">
        <v>27</v>
      </c>
      <c r="AW1600">
        <v>10</v>
      </c>
      <c r="AX1600" t="s">
        <v>74</v>
      </c>
      <c r="AY1600" t="s">
        <v>74</v>
      </c>
      <c r="AZ1600" t="s">
        <v>74</v>
      </c>
      <c r="BA1600" t="s">
        <v>74</v>
      </c>
      <c r="BB1600">
        <v>947</v>
      </c>
      <c r="BC1600">
        <v>960</v>
      </c>
      <c r="BD1600" t="s">
        <v>74</v>
      </c>
      <c r="BE1600" t="s">
        <v>26962</v>
      </c>
      <c r="BF1600" t="str">
        <f>HYPERLINK("http://dx.doi.org/10.1016/j.tics.2023.06.008","http://dx.doi.org/10.1016/j.tics.2023.06.008")</f>
        <v>http://dx.doi.org/10.1016/j.tics.2023.06.008</v>
      </c>
      <c r="BG1600" t="s">
        <v>74</v>
      </c>
      <c r="BH1600" t="s">
        <v>2929</v>
      </c>
      <c r="BI1600">
        <v>14</v>
      </c>
      <c r="BJ1600" t="s">
        <v>26963</v>
      </c>
      <c r="BK1600" t="s">
        <v>182</v>
      </c>
      <c r="BL1600" t="s">
        <v>26964</v>
      </c>
      <c r="BM1600" t="s">
        <v>26965</v>
      </c>
      <c r="BN1600">
        <v>37543440</v>
      </c>
      <c r="BO1600" t="s">
        <v>5037</v>
      </c>
      <c r="BP1600" t="s">
        <v>74</v>
      </c>
      <c r="BQ1600" t="s">
        <v>74</v>
      </c>
      <c r="BR1600" t="s">
        <v>102</v>
      </c>
      <c r="BS1600" t="s">
        <v>26966</v>
      </c>
      <c r="BT1600" t="str">
        <f>HYPERLINK("https%3A%2F%2Fwww.webofscience.com%2Fwos%2Fwoscc%2Ffull-record%2FWOS:001155192800001","View Full Record in Web of Science")</f>
        <v>View Full Record in Web of Science</v>
      </c>
    </row>
    <row r="1601" spans="1:72" x14ac:dyDescent="0.35">
      <c r="A1601" t="s">
        <v>72</v>
      </c>
      <c r="B1601" t="s">
        <v>26967</v>
      </c>
      <c r="C1601" t="s">
        <v>74</v>
      </c>
      <c r="D1601" t="s">
        <v>74</v>
      </c>
      <c r="E1601" t="s">
        <v>74</v>
      </c>
      <c r="F1601" t="s">
        <v>26968</v>
      </c>
      <c r="G1601" t="s">
        <v>74</v>
      </c>
      <c r="H1601" t="s">
        <v>74</v>
      </c>
      <c r="I1601" t="s">
        <v>26969</v>
      </c>
      <c r="J1601" t="s">
        <v>25288</v>
      </c>
      <c r="K1601" t="s">
        <v>74</v>
      </c>
      <c r="L1601" t="s">
        <v>74</v>
      </c>
      <c r="M1601" t="s">
        <v>78</v>
      </c>
      <c r="N1601" t="s">
        <v>108</v>
      </c>
      <c r="O1601" t="s">
        <v>74</v>
      </c>
      <c r="P1601" t="s">
        <v>74</v>
      </c>
      <c r="Q1601" t="s">
        <v>74</v>
      </c>
      <c r="R1601" t="s">
        <v>74</v>
      </c>
      <c r="S1601" t="s">
        <v>74</v>
      </c>
      <c r="T1601" t="s">
        <v>74</v>
      </c>
      <c r="U1601" t="s">
        <v>26970</v>
      </c>
      <c r="V1601" t="s">
        <v>26971</v>
      </c>
      <c r="W1601" t="s">
        <v>26972</v>
      </c>
      <c r="X1601" t="s">
        <v>26973</v>
      </c>
      <c r="Y1601" t="s">
        <v>26974</v>
      </c>
      <c r="Z1601" t="s">
        <v>26975</v>
      </c>
      <c r="AA1601" t="s">
        <v>26976</v>
      </c>
      <c r="AB1601" t="s">
        <v>26977</v>
      </c>
      <c r="AC1601" t="s">
        <v>74</v>
      </c>
      <c r="AD1601" t="s">
        <v>74</v>
      </c>
      <c r="AE1601" t="s">
        <v>74</v>
      </c>
      <c r="AF1601" t="s">
        <v>74</v>
      </c>
      <c r="AG1601">
        <v>28</v>
      </c>
      <c r="AH1601">
        <v>0</v>
      </c>
      <c r="AI1601">
        <v>0</v>
      </c>
      <c r="AJ1601">
        <v>16</v>
      </c>
      <c r="AK1601">
        <v>21</v>
      </c>
      <c r="AL1601" t="s">
        <v>25299</v>
      </c>
      <c r="AM1601" t="s">
        <v>25300</v>
      </c>
      <c r="AN1601" t="s">
        <v>25301</v>
      </c>
      <c r="AO1601" t="s">
        <v>25302</v>
      </c>
      <c r="AP1601" t="s">
        <v>25303</v>
      </c>
      <c r="AQ1601" t="s">
        <v>74</v>
      </c>
      <c r="AR1601" t="s">
        <v>25304</v>
      </c>
      <c r="AS1601" t="s">
        <v>25305</v>
      </c>
      <c r="AT1601" t="s">
        <v>273</v>
      </c>
      <c r="AU1601">
        <v>2024</v>
      </c>
      <c r="AV1601">
        <v>45</v>
      </c>
      <c r="AW1601">
        <v>5</v>
      </c>
      <c r="AX1601" t="s">
        <v>74</v>
      </c>
      <c r="AY1601" t="s">
        <v>74</v>
      </c>
      <c r="AZ1601" t="s">
        <v>74</v>
      </c>
      <c r="BA1601" t="s">
        <v>74</v>
      </c>
      <c r="BB1601">
        <v>2854</v>
      </c>
      <c r="BC1601">
        <v>2867</v>
      </c>
      <c r="BD1601" t="s">
        <v>74</v>
      </c>
      <c r="BE1601" t="s">
        <v>26978</v>
      </c>
      <c r="BF1601" t="str">
        <f>HYPERLINK("http://dx.doi.org/10.1002/mde.4178","http://dx.doi.org/10.1002/mde.4178")</f>
        <v>http://dx.doi.org/10.1002/mde.4178</v>
      </c>
      <c r="BG1601" t="s">
        <v>74</v>
      </c>
      <c r="BH1601" t="s">
        <v>123</v>
      </c>
      <c r="BI1601">
        <v>14</v>
      </c>
      <c r="BJ1601" t="s">
        <v>16106</v>
      </c>
      <c r="BK1601" t="s">
        <v>99</v>
      </c>
      <c r="BL1601" t="s">
        <v>480</v>
      </c>
      <c r="BM1601" t="s">
        <v>26979</v>
      </c>
      <c r="BN1601" t="s">
        <v>74</v>
      </c>
      <c r="BO1601" t="s">
        <v>74</v>
      </c>
      <c r="BP1601" t="s">
        <v>74</v>
      </c>
      <c r="BQ1601" t="s">
        <v>74</v>
      </c>
      <c r="BR1601" t="s">
        <v>102</v>
      </c>
      <c r="BS1601" t="s">
        <v>26980</v>
      </c>
      <c r="BT1601" t="str">
        <f>HYPERLINK("https%3A%2F%2Fwww.webofscience.com%2Fwos%2Fwoscc%2Ffull-record%2FWOS:001186252200001","View Full Record in Web of Science")</f>
        <v>View Full Record in Web of Science</v>
      </c>
    </row>
    <row r="1602" spans="1:72" x14ac:dyDescent="0.35">
      <c r="A1602" t="s">
        <v>72</v>
      </c>
      <c r="B1602" t="s">
        <v>26981</v>
      </c>
      <c r="C1602" t="s">
        <v>74</v>
      </c>
      <c r="D1602" t="s">
        <v>74</v>
      </c>
      <c r="E1602" t="s">
        <v>74</v>
      </c>
      <c r="F1602" t="s">
        <v>26982</v>
      </c>
      <c r="G1602" t="s">
        <v>74</v>
      </c>
      <c r="H1602" t="s">
        <v>74</v>
      </c>
      <c r="I1602" t="s">
        <v>26983</v>
      </c>
      <c r="J1602" t="s">
        <v>26984</v>
      </c>
      <c r="K1602" t="s">
        <v>74</v>
      </c>
      <c r="L1602" t="s">
        <v>74</v>
      </c>
      <c r="M1602" t="s">
        <v>78</v>
      </c>
      <c r="N1602" t="s">
        <v>108</v>
      </c>
      <c r="O1602" t="s">
        <v>74</v>
      </c>
      <c r="P1602" t="s">
        <v>74</v>
      </c>
      <c r="Q1602" t="s">
        <v>74</v>
      </c>
      <c r="R1602" t="s">
        <v>74</v>
      </c>
      <c r="S1602" t="s">
        <v>74</v>
      </c>
      <c r="T1602" t="s">
        <v>74</v>
      </c>
      <c r="U1602" t="s">
        <v>74</v>
      </c>
      <c r="V1602" t="s">
        <v>26985</v>
      </c>
      <c r="W1602" t="s">
        <v>26986</v>
      </c>
      <c r="X1602" t="s">
        <v>26987</v>
      </c>
      <c r="Y1602" t="s">
        <v>26988</v>
      </c>
      <c r="Z1602" t="s">
        <v>74</v>
      </c>
      <c r="AA1602" t="s">
        <v>26989</v>
      </c>
      <c r="AB1602" t="s">
        <v>74</v>
      </c>
      <c r="AC1602" t="s">
        <v>74</v>
      </c>
      <c r="AD1602" t="s">
        <v>74</v>
      </c>
      <c r="AE1602" t="s">
        <v>74</v>
      </c>
      <c r="AF1602" t="s">
        <v>74</v>
      </c>
      <c r="AG1602">
        <v>6</v>
      </c>
      <c r="AH1602">
        <v>0</v>
      </c>
      <c r="AI1602">
        <v>0</v>
      </c>
      <c r="AJ1602">
        <v>2</v>
      </c>
      <c r="AK1602">
        <v>23</v>
      </c>
      <c r="AL1602" t="s">
        <v>718</v>
      </c>
      <c r="AM1602" t="s">
        <v>666</v>
      </c>
      <c r="AN1602" t="s">
        <v>26990</v>
      </c>
      <c r="AO1602" t="s">
        <v>26991</v>
      </c>
      <c r="AP1602" t="s">
        <v>26992</v>
      </c>
      <c r="AQ1602" t="s">
        <v>74</v>
      </c>
      <c r="AR1602" t="s">
        <v>26993</v>
      </c>
      <c r="AS1602" t="s">
        <v>26994</v>
      </c>
      <c r="AT1602" t="s">
        <v>1275</v>
      </c>
      <c r="AU1602">
        <v>2021</v>
      </c>
      <c r="AV1602">
        <v>64</v>
      </c>
      <c r="AW1602">
        <v>12</v>
      </c>
      <c r="AX1602" t="s">
        <v>74</v>
      </c>
      <c r="AY1602" t="s">
        <v>74</v>
      </c>
      <c r="AZ1602" t="s">
        <v>74</v>
      </c>
      <c r="BA1602" t="s">
        <v>74</v>
      </c>
      <c r="BB1602">
        <v>44</v>
      </c>
      <c r="BC1602">
        <v>47</v>
      </c>
      <c r="BD1602" t="s">
        <v>74</v>
      </c>
      <c r="BE1602" t="s">
        <v>26995</v>
      </c>
      <c r="BF1602" t="str">
        <f>HYPERLINK("http://dx.doi.org/10.1145/3475161","http://dx.doi.org/10.1145/3475161")</f>
        <v>http://dx.doi.org/10.1145/3475161</v>
      </c>
      <c r="BG1602" t="s">
        <v>74</v>
      </c>
      <c r="BH1602" t="s">
        <v>74</v>
      </c>
      <c r="BI1602">
        <v>4</v>
      </c>
      <c r="BJ1602" t="s">
        <v>26996</v>
      </c>
      <c r="BK1602" t="s">
        <v>209</v>
      </c>
      <c r="BL1602" t="s">
        <v>210</v>
      </c>
      <c r="BM1602" t="s">
        <v>26997</v>
      </c>
      <c r="BN1602" t="s">
        <v>74</v>
      </c>
      <c r="BO1602" t="s">
        <v>767</v>
      </c>
      <c r="BP1602" t="s">
        <v>74</v>
      </c>
      <c r="BQ1602" t="s">
        <v>74</v>
      </c>
      <c r="BR1602" t="s">
        <v>102</v>
      </c>
      <c r="BS1602" t="s">
        <v>26998</v>
      </c>
      <c r="BT1602" t="str">
        <f>HYPERLINK("https%3A%2F%2Fwww.webofscience.com%2Fwos%2Fwoscc%2Ffull-record%2FWOS:000721705800027","View Full Record in Web of Science")</f>
        <v>View Full Record in Web of Science</v>
      </c>
    </row>
    <row r="1603" spans="1:72" x14ac:dyDescent="0.35">
      <c r="A1603" t="s">
        <v>72</v>
      </c>
      <c r="B1603" t="s">
        <v>26999</v>
      </c>
      <c r="C1603" t="s">
        <v>74</v>
      </c>
      <c r="D1603" t="s">
        <v>74</v>
      </c>
      <c r="E1603" t="s">
        <v>74</v>
      </c>
      <c r="F1603" t="s">
        <v>27000</v>
      </c>
      <c r="G1603" t="s">
        <v>74</v>
      </c>
      <c r="H1603" t="s">
        <v>74</v>
      </c>
      <c r="I1603" t="s">
        <v>27001</v>
      </c>
      <c r="J1603" t="s">
        <v>27002</v>
      </c>
      <c r="K1603" t="s">
        <v>74</v>
      </c>
      <c r="L1603" t="s">
        <v>74</v>
      </c>
      <c r="M1603" t="s">
        <v>78</v>
      </c>
      <c r="N1603" t="s">
        <v>79</v>
      </c>
      <c r="O1603" t="s">
        <v>74</v>
      </c>
      <c r="P1603" t="s">
        <v>74</v>
      </c>
      <c r="Q1603" t="s">
        <v>74</v>
      </c>
      <c r="R1603" t="s">
        <v>74</v>
      </c>
      <c r="S1603" t="s">
        <v>74</v>
      </c>
      <c r="T1603" t="s">
        <v>27003</v>
      </c>
      <c r="U1603" t="s">
        <v>74</v>
      </c>
      <c r="V1603" t="s">
        <v>27004</v>
      </c>
      <c r="W1603" t="s">
        <v>27005</v>
      </c>
      <c r="X1603" t="s">
        <v>19036</v>
      </c>
      <c r="Y1603" t="s">
        <v>27006</v>
      </c>
      <c r="Z1603" t="s">
        <v>27007</v>
      </c>
      <c r="AA1603" t="s">
        <v>74</v>
      </c>
      <c r="AB1603" t="s">
        <v>27008</v>
      </c>
      <c r="AC1603" t="s">
        <v>74</v>
      </c>
      <c r="AD1603" t="s">
        <v>74</v>
      </c>
      <c r="AE1603" t="s">
        <v>74</v>
      </c>
      <c r="AF1603" t="s">
        <v>74</v>
      </c>
      <c r="AG1603">
        <v>8</v>
      </c>
      <c r="AH1603">
        <v>0</v>
      </c>
      <c r="AI1603">
        <v>0</v>
      </c>
      <c r="AJ1603">
        <v>1</v>
      </c>
      <c r="AK1603">
        <v>1</v>
      </c>
      <c r="AL1603" t="s">
        <v>665</v>
      </c>
      <c r="AM1603" t="s">
        <v>666</v>
      </c>
      <c r="AN1603" t="s">
        <v>667</v>
      </c>
      <c r="AO1603" t="s">
        <v>27009</v>
      </c>
      <c r="AP1603" t="s">
        <v>27010</v>
      </c>
      <c r="AQ1603" t="s">
        <v>74</v>
      </c>
      <c r="AR1603" t="s">
        <v>27011</v>
      </c>
      <c r="AS1603" t="s">
        <v>27012</v>
      </c>
      <c r="AT1603" t="s">
        <v>27013</v>
      </c>
      <c r="AU1603">
        <v>2024</v>
      </c>
      <c r="AV1603" t="s">
        <v>74</v>
      </c>
      <c r="AW1603" t="s">
        <v>74</v>
      </c>
      <c r="AX1603" t="s">
        <v>74</v>
      </c>
      <c r="AY1603" t="s">
        <v>74</v>
      </c>
      <c r="AZ1603" t="s">
        <v>74</v>
      </c>
      <c r="BA1603" t="s">
        <v>74</v>
      </c>
      <c r="BB1603" t="s">
        <v>74</v>
      </c>
      <c r="BC1603" t="s">
        <v>74</v>
      </c>
      <c r="BD1603" t="s">
        <v>74</v>
      </c>
      <c r="BE1603" t="s">
        <v>27014</v>
      </c>
      <c r="BF1603" t="str">
        <f>HYPERLINK("http://dx.doi.org/10.1007/s10912-023-09835-9","http://dx.doi.org/10.1007/s10912-023-09835-9")</f>
        <v>http://dx.doi.org/10.1007/s10912-023-09835-9</v>
      </c>
      <c r="BG1603" t="s">
        <v>74</v>
      </c>
      <c r="BH1603" t="s">
        <v>786</v>
      </c>
      <c r="BI1603">
        <v>6</v>
      </c>
      <c r="BJ1603" t="s">
        <v>4461</v>
      </c>
      <c r="BK1603" t="s">
        <v>125</v>
      </c>
      <c r="BL1603" t="s">
        <v>4462</v>
      </c>
      <c r="BM1603" t="s">
        <v>27015</v>
      </c>
      <c r="BN1603">
        <v>38347386</v>
      </c>
      <c r="BO1603" t="s">
        <v>156</v>
      </c>
      <c r="BP1603" t="s">
        <v>74</v>
      </c>
      <c r="BQ1603" t="s">
        <v>74</v>
      </c>
      <c r="BR1603" t="s">
        <v>102</v>
      </c>
      <c r="BS1603" t="s">
        <v>27016</v>
      </c>
      <c r="BT1603" t="str">
        <f>HYPERLINK("https%3A%2F%2Fwww.webofscience.com%2Fwos%2Fwoscc%2Ffull-record%2FWOS:001160304200001","View Full Record in Web of Science")</f>
        <v>View Full Record in Web of Science</v>
      </c>
    </row>
    <row r="1604" spans="1:72" x14ac:dyDescent="0.35">
      <c r="A1604" t="s">
        <v>128</v>
      </c>
      <c r="B1604" t="s">
        <v>27017</v>
      </c>
      <c r="C1604" t="s">
        <v>74</v>
      </c>
      <c r="D1604" t="s">
        <v>27018</v>
      </c>
      <c r="E1604" t="s">
        <v>74</v>
      </c>
      <c r="F1604" t="s">
        <v>27019</v>
      </c>
      <c r="G1604" t="s">
        <v>74</v>
      </c>
      <c r="H1604" t="s">
        <v>74</v>
      </c>
      <c r="I1604" t="s">
        <v>27020</v>
      </c>
      <c r="J1604" t="s">
        <v>27021</v>
      </c>
      <c r="K1604" t="s">
        <v>74</v>
      </c>
      <c r="L1604" t="s">
        <v>74</v>
      </c>
      <c r="M1604" t="s">
        <v>78</v>
      </c>
      <c r="N1604" t="s">
        <v>135</v>
      </c>
      <c r="O1604" t="s">
        <v>27022</v>
      </c>
      <c r="P1604" t="s">
        <v>27023</v>
      </c>
      <c r="Q1604" t="s">
        <v>27024</v>
      </c>
      <c r="R1604" t="s">
        <v>27025</v>
      </c>
      <c r="S1604" t="s">
        <v>74</v>
      </c>
      <c r="T1604" t="s">
        <v>27026</v>
      </c>
      <c r="U1604" t="s">
        <v>27027</v>
      </c>
      <c r="V1604" t="s">
        <v>27028</v>
      </c>
      <c r="W1604" t="s">
        <v>27029</v>
      </c>
      <c r="X1604" t="s">
        <v>27030</v>
      </c>
      <c r="Y1604" t="s">
        <v>27031</v>
      </c>
      <c r="Z1604" t="s">
        <v>27032</v>
      </c>
      <c r="AA1604" t="s">
        <v>27033</v>
      </c>
      <c r="AB1604" t="s">
        <v>27034</v>
      </c>
      <c r="AC1604" t="s">
        <v>74</v>
      </c>
      <c r="AD1604" t="s">
        <v>74</v>
      </c>
      <c r="AE1604" t="s">
        <v>74</v>
      </c>
      <c r="AF1604" t="s">
        <v>74</v>
      </c>
      <c r="AG1604">
        <v>27</v>
      </c>
      <c r="AH1604">
        <v>0</v>
      </c>
      <c r="AI1604">
        <v>0</v>
      </c>
      <c r="AJ1604">
        <v>0</v>
      </c>
      <c r="AK1604">
        <v>0</v>
      </c>
      <c r="AL1604" t="s">
        <v>1677</v>
      </c>
      <c r="AM1604" t="s">
        <v>666</v>
      </c>
      <c r="AN1604" t="s">
        <v>1692</v>
      </c>
      <c r="AO1604" t="s">
        <v>74</v>
      </c>
      <c r="AP1604" t="s">
        <v>74</v>
      </c>
      <c r="AQ1604" t="s">
        <v>27035</v>
      </c>
      <c r="AR1604" t="s">
        <v>74</v>
      </c>
      <c r="AS1604" t="s">
        <v>74</v>
      </c>
      <c r="AT1604" t="s">
        <v>74</v>
      </c>
      <c r="AU1604">
        <v>2024</v>
      </c>
      <c r="AV1604" t="s">
        <v>74</v>
      </c>
      <c r="AW1604" t="s">
        <v>74</v>
      </c>
      <c r="AX1604" t="s">
        <v>74</v>
      </c>
      <c r="AY1604" t="s">
        <v>74</v>
      </c>
      <c r="AZ1604" t="s">
        <v>74</v>
      </c>
      <c r="BA1604" t="s">
        <v>74</v>
      </c>
      <c r="BB1604">
        <v>160</v>
      </c>
      <c r="BC1604">
        <v>166</v>
      </c>
      <c r="BD1604" t="s">
        <v>74</v>
      </c>
      <c r="BE1604" t="s">
        <v>27036</v>
      </c>
      <c r="BF1604" t="str">
        <f>HYPERLINK("http://dx.doi.org/10.1109/CITS61189.2024.10607983","http://dx.doi.org/10.1109/CITS61189.2024.10607983")</f>
        <v>http://dx.doi.org/10.1109/CITS61189.2024.10607983</v>
      </c>
      <c r="BG1604" t="s">
        <v>74</v>
      </c>
      <c r="BH1604" t="s">
        <v>74</v>
      </c>
      <c r="BI1604">
        <v>7</v>
      </c>
      <c r="BJ1604" t="s">
        <v>1698</v>
      </c>
      <c r="BK1604" t="s">
        <v>723</v>
      </c>
      <c r="BL1604" t="s">
        <v>1699</v>
      </c>
      <c r="BM1604" t="s">
        <v>27037</v>
      </c>
      <c r="BN1604" t="s">
        <v>74</v>
      </c>
      <c r="BO1604" t="s">
        <v>74</v>
      </c>
      <c r="BP1604" t="s">
        <v>74</v>
      </c>
      <c r="BQ1604" t="s">
        <v>74</v>
      </c>
      <c r="BR1604" t="s">
        <v>102</v>
      </c>
      <c r="BS1604" t="s">
        <v>27038</v>
      </c>
      <c r="BT1604" t="str">
        <f>HYPERLINK("https%3A%2F%2Fwww.webofscience.com%2Fwos%2Fwoscc%2Ffull-record%2FWOS:001292768200023","View Full Record in Web of Science")</f>
        <v>View Full Record in Web of Science</v>
      </c>
    </row>
    <row r="1605" spans="1:72" x14ac:dyDescent="0.35">
      <c r="A1605" t="s">
        <v>128</v>
      </c>
      <c r="B1605" t="s">
        <v>27039</v>
      </c>
      <c r="C1605" t="s">
        <v>74</v>
      </c>
      <c r="D1605" t="s">
        <v>74</v>
      </c>
      <c r="E1605" t="s">
        <v>718</v>
      </c>
      <c r="F1605" t="s">
        <v>27040</v>
      </c>
      <c r="G1605" t="s">
        <v>74</v>
      </c>
      <c r="H1605" t="s">
        <v>74</v>
      </c>
      <c r="I1605" t="s">
        <v>27041</v>
      </c>
      <c r="J1605" t="s">
        <v>827</v>
      </c>
      <c r="K1605" t="s">
        <v>74</v>
      </c>
      <c r="L1605" t="s">
        <v>74</v>
      </c>
      <c r="M1605" t="s">
        <v>78</v>
      </c>
      <c r="N1605" t="s">
        <v>135</v>
      </c>
      <c r="O1605" t="s">
        <v>828</v>
      </c>
      <c r="P1605" t="s">
        <v>829</v>
      </c>
      <c r="Q1605" t="s">
        <v>830</v>
      </c>
      <c r="R1605" t="s">
        <v>831</v>
      </c>
      <c r="S1605" t="s">
        <v>74</v>
      </c>
      <c r="T1605" t="s">
        <v>27042</v>
      </c>
      <c r="U1605" t="s">
        <v>74</v>
      </c>
      <c r="V1605" t="s">
        <v>27043</v>
      </c>
      <c r="W1605" t="s">
        <v>27044</v>
      </c>
      <c r="X1605" t="s">
        <v>27045</v>
      </c>
      <c r="Y1605" t="s">
        <v>20656</v>
      </c>
      <c r="Z1605" t="s">
        <v>27046</v>
      </c>
      <c r="AA1605" t="s">
        <v>27047</v>
      </c>
      <c r="AB1605" t="s">
        <v>27048</v>
      </c>
      <c r="AC1605" t="s">
        <v>74</v>
      </c>
      <c r="AD1605" t="s">
        <v>74</v>
      </c>
      <c r="AE1605" t="s">
        <v>74</v>
      </c>
      <c r="AF1605" t="s">
        <v>74</v>
      </c>
      <c r="AG1605">
        <v>36</v>
      </c>
      <c r="AH1605">
        <v>0</v>
      </c>
      <c r="AI1605">
        <v>0</v>
      </c>
      <c r="AJ1605">
        <v>4</v>
      </c>
      <c r="AK1605">
        <v>4</v>
      </c>
      <c r="AL1605" t="s">
        <v>718</v>
      </c>
      <c r="AM1605" t="s">
        <v>666</v>
      </c>
      <c r="AN1605" t="s">
        <v>719</v>
      </c>
      <c r="AO1605" t="s">
        <v>74</v>
      </c>
      <c r="AP1605" t="s">
        <v>74</v>
      </c>
      <c r="AQ1605" t="s">
        <v>838</v>
      </c>
      <c r="AR1605" t="s">
        <v>74</v>
      </c>
      <c r="AS1605" t="s">
        <v>74</v>
      </c>
      <c r="AT1605" t="s">
        <v>74</v>
      </c>
      <c r="AU1605">
        <v>2024</v>
      </c>
      <c r="AV1605" t="s">
        <v>74</v>
      </c>
      <c r="AW1605" t="s">
        <v>74</v>
      </c>
      <c r="AX1605" t="s">
        <v>74</v>
      </c>
      <c r="AY1605" t="s">
        <v>74</v>
      </c>
      <c r="AZ1605" t="s">
        <v>74</v>
      </c>
      <c r="BA1605" t="s">
        <v>74</v>
      </c>
      <c r="BB1605" t="s">
        <v>74</v>
      </c>
      <c r="BC1605" t="s">
        <v>74</v>
      </c>
      <c r="BD1605" t="s">
        <v>74</v>
      </c>
      <c r="BE1605" t="s">
        <v>27049</v>
      </c>
      <c r="BF1605" t="str">
        <f>HYPERLINK("http://dx.doi.org/10.1145/3613905.3651057","http://dx.doi.org/10.1145/3613905.3651057")</f>
        <v>http://dx.doi.org/10.1145/3613905.3651057</v>
      </c>
      <c r="BG1605" t="s">
        <v>74</v>
      </c>
      <c r="BH1605" t="s">
        <v>74</v>
      </c>
      <c r="BI1605">
        <v>7</v>
      </c>
      <c r="BJ1605" t="s">
        <v>840</v>
      </c>
      <c r="BK1605" t="s">
        <v>723</v>
      </c>
      <c r="BL1605" t="s">
        <v>210</v>
      </c>
      <c r="BM1605" t="s">
        <v>841</v>
      </c>
      <c r="BN1605" t="s">
        <v>74</v>
      </c>
      <c r="BO1605" t="s">
        <v>5037</v>
      </c>
      <c r="BP1605" t="s">
        <v>74</v>
      </c>
      <c r="BQ1605" t="s">
        <v>74</v>
      </c>
      <c r="BR1605" t="s">
        <v>102</v>
      </c>
      <c r="BS1605" t="s">
        <v>27050</v>
      </c>
      <c r="BT1605" t="str">
        <f>HYPERLINK("https%3A%2F%2Fwww.webofscience.com%2Fwos%2Fwoscc%2Ffull-record%2FWOS:001227587704020","View Full Record in Web of Science")</f>
        <v>View Full Record in Web of Science</v>
      </c>
    </row>
    <row r="1606" spans="1:72" x14ac:dyDescent="0.35">
      <c r="A1606" t="s">
        <v>72</v>
      </c>
      <c r="B1606" t="s">
        <v>2554</v>
      </c>
      <c r="C1606" t="s">
        <v>74</v>
      </c>
      <c r="D1606" t="s">
        <v>74</v>
      </c>
      <c r="E1606" t="s">
        <v>74</v>
      </c>
      <c r="F1606" t="s">
        <v>2555</v>
      </c>
      <c r="G1606" t="s">
        <v>74</v>
      </c>
      <c r="H1606" t="s">
        <v>74</v>
      </c>
      <c r="I1606" t="s">
        <v>27051</v>
      </c>
      <c r="J1606" t="s">
        <v>27052</v>
      </c>
      <c r="K1606" t="s">
        <v>74</v>
      </c>
      <c r="L1606" t="s">
        <v>74</v>
      </c>
      <c r="M1606" t="s">
        <v>78</v>
      </c>
      <c r="N1606" t="s">
        <v>108</v>
      </c>
      <c r="O1606" t="s">
        <v>74</v>
      </c>
      <c r="P1606" t="s">
        <v>74</v>
      </c>
      <c r="Q1606" t="s">
        <v>74</v>
      </c>
      <c r="R1606" t="s">
        <v>74</v>
      </c>
      <c r="S1606" t="s">
        <v>74</v>
      </c>
      <c r="T1606" t="s">
        <v>27053</v>
      </c>
      <c r="U1606" t="s">
        <v>27054</v>
      </c>
      <c r="V1606" t="s">
        <v>27055</v>
      </c>
      <c r="W1606" t="s">
        <v>27056</v>
      </c>
      <c r="X1606" t="s">
        <v>2562</v>
      </c>
      <c r="Y1606" t="s">
        <v>27057</v>
      </c>
      <c r="Z1606" t="s">
        <v>7123</v>
      </c>
      <c r="AA1606" t="s">
        <v>2565</v>
      </c>
      <c r="AB1606" t="s">
        <v>27058</v>
      </c>
      <c r="AC1606" t="s">
        <v>2567</v>
      </c>
      <c r="AD1606" t="s">
        <v>2568</v>
      </c>
      <c r="AE1606" t="s">
        <v>27059</v>
      </c>
      <c r="AF1606" t="s">
        <v>74</v>
      </c>
      <c r="AG1606">
        <v>88</v>
      </c>
      <c r="AH1606">
        <v>0</v>
      </c>
      <c r="AI1606">
        <v>0</v>
      </c>
      <c r="AJ1606">
        <v>10</v>
      </c>
      <c r="AK1606">
        <v>10</v>
      </c>
      <c r="AL1606" t="s">
        <v>516</v>
      </c>
      <c r="AM1606" t="s">
        <v>517</v>
      </c>
      <c r="AN1606" t="s">
        <v>518</v>
      </c>
      <c r="AO1606" t="s">
        <v>27060</v>
      </c>
      <c r="AP1606" t="s">
        <v>27061</v>
      </c>
      <c r="AQ1606" t="s">
        <v>74</v>
      </c>
      <c r="AR1606" t="s">
        <v>27062</v>
      </c>
      <c r="AS1606" t="s">
        <v>27063</v>
      </c>
      <c r="AT1606" t="s">
        <v>1275</v>
      </c>
      <c r="AU1606">
        <v>2024</v>
      </c>
      <c r="AV1606">
        <v>61</v>
      </c>
      <c r="AW1606">
        <v>8</v>
      </c>
      <c r="AX1606" t="s">
        <v>74</v>
      </c>
      <c r="AY1606" t="s">
        <v>74</v>
      </c>
      <c r="AZ1606" t="s">
        <v>74</v>
      </c>
      <c r="BA1606" t="s">
        <v>74</v>
      </c>
      <c r="BB1606" t="s">
        <v>74</v>
      </c>
      <c r="BC1606" t="s">
        <v>74</v>
      </c>
      <c r="BD1606">
        <v>104050</v>
      </c>
      <c r="BE1606" t="s">
        <v>27064</v>
      </c>
      <c r="BF1606" t="str">
        <f>HYPERLINK("http://dx.doi.org/10.1016/j.im.2024.104050","http://dx.doi.org/10.1016/j.im.2024.104050")</f>
        <v>http://dx.doi.org/10.1016/j.im.2024.104050</v>
      </c>
      <c r="BG1606" t="s">
        <v>74</v>
      </c>
      <c r="BH1606" t="s">
        <v>337</v>
      </c>
      <c r="BI1606">
        <v>19</v>
      </c>
      <c r="BJ1606" t="s">
        <v>27065</v>
      </c>
      <c r="BK1606" t="s">
        <v>182</v>
      </c>
      <c r="BL1606" t="s">
        <v>27066</v>
      </c>
      <c r="BM1606" t="s">
        <v>27067</v>
      </c>
      <c r="BN1606" t="s">
        <v>74</v>
      </c>
      <c r="BO1606" t="s">
        <v>74</v>
      </c>
      <c r="BP1606" t="s">
        <v>74</v>
      </c>
      <c r="BQ1606" t="s">
        <v>74</v>
      </c>
      <c r="BR1606" t="s">
        <v>102</v>
      </c>
      <c r="BS1606" t="s">
        <v>27068</v>
      </c>
      <c r="BT1606" t="str">
        <f>HYPERLINK("https%3A%2F%2Fwww.webofscience.com%2Fwos%2Fwoscc%2Ffull-record%2FWOS:001320189100001","View Full Record in Web of Science")</f>
        <v>View Full Record in Web of Science</v>
      </c>
    </row>
    <row r="1607" spans="1:72" x14ac:dyDescent="0.35">
      <c r="A1607" t="s">
        <v>72</v>
      </c>
      <c r="B1607" t="s">
        <v>27069</v>
      </c>
      <c r="C1607" t="s">
        <v>74</v>
      </c>
      <c r="D1607" t="s">
        <v>74</v>
      </c>
      <c r="E1607" t="s">
        <v>74</v>
      </c>
      <c r="F1607" t="s">
        <v>27070</v>
      </c>
      <c r="G1607" t="s">
        <v>74</v>
      </c>
      <c r="H1607" t="s">
        <v>74</v>
      </c>
      <c r="I1607" t="s">
        <v>27071</v>
      </c>
      <c r="J1607" t="s">
        <v>27072</v>
      </c>
      <c r="K1607" t="s">
        <v>74</v>
      </c>
      <c r="L1607" t="s">
        <v>74</v>
      </c>
      <c r="M1607" t="s">
        <v>78</v>
      </c>
      <c r="N1607" t="s">
        <v>108</v>
      </c>
      <c r="O1607" t="s">
        <v>74</v>
      </c>
      <c r="P1607" t="s">
        <v>74</v>
      </c>
      <c r="Q1607" t="s">
        <v>74</v>
      </c>
      <c r="R1607" t="s">
        <v>74</v>
      </c>
      <c r="S1607" t="s">
        <v>74</v>
      </c>
      <c r="T1607" t="s">
        <v>27073</v>
      </c>
      <c r="U1607" t="s">
        <v>74</v>
      </c>
      <c r="V1607" t="s">
        <v>27074</v>
      </c>
      <c r="W1607" t="s">
        <v>27075</v>
      </c>
      <c r="X1607" t="s">
        <v>74</v>
      </c>
      <c r="Y1607" t="s">
        <v>27076</v>
      </c>
      <c r="Z1607" t="s">
        <v>27077</v>
      </c>
      <c r="AA1607" t="s">
        <v>74</v>
      </c>
      <c r="AB1607" t="s">
        <v>74</v>
      </c>
      <c r="AC1607" t="s">
        <v>74</v>
      </c>
      <c r="AD1607" t="s">
        <v>74</v>
      </c>
      <c r="AE1607" t="s">
        <v>74</v>
      </c>
      <c r="AF1607" t="s">
        <v>74</v>
      </c>
      <c r="AG1607">
        <v>14</v>
      </c>
      <c r="AH1607">
        <v>0</v>
      </c>
      <c r="AI1607">
        <v>0</v>
      </c>
      <c r="AJ1607">
        <v>5</v>
      </c>
      <c r="AK1607">
        <v>13</v>
      </c>
      <c r="AL1607" t="s">
        <v>27078</v>
      </c>
      <c r="AM1607" t="s">
        <v>27079</v>
      </c>
      <c r="AN1607" t="s">
        <v>27080</v>
      </c>
      <c r="AO1607" t="s">
        <v>74</v>
      </c>
      <c r="AP1607" t="s">
        <v>27081</v>
      </c>
      <c r="AQ1607" t="s">
        <v>74</v>
      </c>
      <c r="AR1607" t="s">
        <v>27082</v>
      </c>
      <c r="AS1607" t="s">
        <v>27083</v>
      </c>
      <c r="AT1607" t="s">
        <v>74</v>
      </c>
      <c r="AU1607">
        <v>2023</v>
      </c>
      <c r="AV1607">
        <v>15</v>
      </c>
      <c r="AW1607">
        <v>2</v>
      </c>
      <c r="AX1607" t="s">
        <v>74</v>
      </c>
      <c r="AY1607" t="s">
        <v>74</v>
      </c>
      <c r="AZ1607" t="s">
        <v>74</v>
      </c>
      <c r="BA1607" t="s">
        <v>74</v>
      </c>
      <c r="BB1607">
        <v>170</v>
      </c>
      <c r="BC1607">
        <v>178</v>
      </c>
      <c r="BD1607" t="s">
        <v>74</v>
      </c>
      <c r="BE1607" t="s">
        <v>74</v>
      </c>
      <c r="BF1607" t="s">
        <v>74</v>
      </c>
      <c r="BG1607" t="s">
        <v>74</v>
      </c>
      <c r="BH1607" t="s">
        <v>74</v>
      </c>
      <c r="BI1607">
        <v>9</v>
      </c>
      <c r="BJ1607" t="s">
        <v>6776</v>
      </c>
      <c r="BK1607" t="s">
        <v>125</v>
      </c>
      <c r="BL1607" t="s">
        <v>6776</v>
      </c>
      <c r="BM1607" t="s">
        <v>27084</v>
      </c>
      <c r="BN1607" t="s">
        <v>74</v>
      </c>
      <c r="BO1607" t="s">
        <v>74</v>
      </c>
      <c r="BP1607" t="s">
        <v>74</v>
      </c>
      <c r="BQ1607" t="s">
        <v>74</v>
      </c>
      <c r="BR1607" t="s">
        <v>102</v>
      </c>
      <c r="BS1607" t="s">
        <v>27085</v>
      </c>
      <c r="BT1607" t="str">
        <f>HYPERLINK("https%3A%2F%2Fwww.webofscience.com%2Fwos%2Fwoscc%2Ffull-record%2FWOS:001041754900008","View Full Record in Web of Science")</f>
        <v>View Full Record in Web of Science</v>
      </c>
    </row>
    <row r="1608" spans="1:72" x14ac:dyDescent="0.35">
      <c r="A1608" t="s">
        <v>72</v>
      </c>
      <c r="B1608" t="s">
        <v>27086</v>
      </c>
      <c r="C1608" t="s">
        <v>74</v>
      </c>
      <c r="D1608" t="s">
        <v>74</v>
      </c>
      <c r="E1608" t="s">
        <v>74</v>
      </c>
      <c r="F1608" t="s">
        <v>27087</v>
      </c>
      <c r="G1608" t="s">
        <v>74</v>
      </c>
      <c r="H1608" t="s">
        <v>74</v>
      </c>
      <c r="I1608" t="s">
        <v>27088</v>
      </c>
      <c r="J1608" t="s">
        <v>5911</v>
      </c>
      <c r="K1608" t="s">
        <v>74</v>
      </c>
      <c r="L1608" t="s">
        <v>74</v>
      </c>
      <c r="M1608" t="s">
        <v>78</v>
      </c>
      <c r="N1608" t="s">
        <v>108</v>
      </c>
      <c r="O1608" t="s">
        <v>74</v>
      </c>
      <c r="P1608" t="s">
        <v>74</v>
      </c>
      <c r="Q1608" t="s">
        <v>74</v>
      </c>
      <c r="R1608" t="s">
        <v>74</v>
      </c>
      <c r="S1608" t="s">
        <v>74</v>
      </c>
      <c r="T1608" t="s">
        <v>27089</v>
      </c>
      <c r="U1608" t="s">
        <v>27090</v>
      </c>
      <c r="V1608" t="s">
        <v>27091</v>
      </c>
      <c r="W1608" t="s">
        <v>27092</v>
      </c>
      <c r="X1608" t="s">
        <v>27093</v>
      </c>
      <c r="Y1608" t="s">
        <v>27094</v>
      </c>
      <c r="Z1608" t="s">
        <v>27095</v>
      </c>
      <c r="AA1608" t="s">
        <v>74</v>
      </c>
      <c r="AB1608" t="s">
        <v>27096</v>
      </c>
      <c r="AC1608" t="s">
        <v>27097</v>
      </c>
      <c r="AD1608" t="s">
        <v>17211</v>
      </c>
      <c r="AE1608" t="s">
        <v>27098</v>
      </c>
      <c r="AF1608" t="s">
        <v>74</v>
      </c>
      <c r="AG1608">
        <v>38</v>
      </c>
      <c r="AH1608">
        <v>1</v>
      </c>
      <c r="AI1608">
        <v>1</v>
      </c>
      <c r="AJ1608">
        <v>21</v>
      </c>
      <c r="AK1608">
        <v>38</v>
      </c>
      <c r="AL1608" t="s">
        <v>226</v>
      </c>
      <c r="AM1608" t="s">
        <v>227</v>
      </c>
      <c r="AN1608" t="s">
        <v>228</v>
      </c>
      <c r="AO1608" t="s">
        <v>5919</v>
      </c>
      <c r="AP1608" t="s">
        <v>5920</v>
      </c>
      <c r="AQ1608" t="s">
        <v>74</v>
      </c>
      <c r="AR1608" t="s">
        <v>5921</v>
      </c>
      <c r="AS1608" t="s">
        <v>5922</v>
      </c>
      <c r="AT1608" t="s">
        <v>273</v>
      </c>
      <c r="AU1608">
        <v>2024</v>
      </c>
      <c r="AV1608">
        <v>35</v>
      </c>
      <c r="AW1608">
        <v>4</v>
      </c>
      <c r="AX1608" t="s">
        <v>74</v>
      </c>
      <c r="AY1608" t="s">
        <v>74</v>
      </c>
      <c r="AZ1608" t="s">
        <v>74</v>
      </c>
      <c r="BA1608" t="s">
        <v>74</v>
      </c>
      <c r="BB1608">
        <v>518</v>
      </c>
      <c r="BC1608">
        <v>534</v>
      </c>
      <c r="BD1608" t="s">
        <v>74</v>
      </c>
      <c r="BE1608" t="s">
        <v>27099</v>
      </c>
      <c r="BF1608" t="str">
        <f>HYPERLINK("http://dx.doi.org/10.1177/09579265231225434","http://dx.doi.org/10.1177/09579265231225434")</f>
        <v>http://dx.doi.org/10.1177/09579265231225434</v>
      </c>
      <c r="BG1608" t="s">
        <v>74</v>
      </c>
      <c r="BH1608" t="s">
        <v>786</v>
      </c>
      <c r="BI1608">
        <v>17</v>
      </c>
      <c r="BJ1608" t="s">
        <v>5924</v>
      </c>
      <c r="BK1608" t="s">
        <v>99</v>
      </c>
      <c r="BL1608" t="s">
        <v>5925</v>
      </c>
      <c r="BM1608" t="s">
        <v>27100</v>
      </c>
      <c r="BN1608" t="s">
        <v>74</v>
      </c>
      <c r="BO1608" t="s">
        <v>74</v>
      </c>
      <c r="BP1608" t="s">
        <v>74</v>
      </c>
      <c r="BQ1608" t="s">
        <v>74</v>
      </c>
      <c r="BR1608" t="s">
        <v>102</v>
      </c>
      <c r="BS1608" t="s">
        <v>27101</v>
      </c>
      <c r="BT1608" t="str">
        <f>HYPERLINK("https%3A%2F%2Fwww.webofscience.com%2Fwos%2Fwoscc%2Ffull-record%2FWOS:001155366900001","View Full Record in Web of Science")</f>
        <v>View Full Record in Web of Science</v>
      </c>
    </row>
    <row r="1609" spans="1:72" x14ac:dyDescent="0.35">
      <c r="A1609" t="s">
        <v>72</v>
      </c>
      <c r="B1609" t="s">
        <v>27102</v>
      </c>
      <c r="C1609" t="s">
        <v>74</v>
      </c>
      <c r="D1609" t="s">
        <v>74</v>
      </c>
      <c r="E1609" t="s">
        <v>74</v>
      </c>
      <c r="F1609" t="s">
        <v>27103</v>
      </c>
      <c r="G1609" t="s">
        <v>74</v>
      </c>
      <c r="H1609" t="s">
        <v>74</v>
      </c>
      <c r="I1609" t="s">
        <v>27104</v>
      </c>
      <c r="J1609" t="s">
        <v>4192</v>
      </c>
      <c r="K1609" t="s">
        <v>74</v>
      </c>
      <c r="L1609" t="s">
        <v>74</v>
      </c>
      <c r="M1609" t="s">
        <v>3503</v>
      </c>
      <c r="N1609" t="s">
        <v>108</v>
      </c>
      <c r="O1609" t="s">
        <v>74</v>
      </c>
      <c r="P1609" t="s">
        <v>74</v>
      </c>
      <c r="Q1609" t="s">
        <v>74</v>
      </c>
      <c r="R1609" t="s">
        <v>74</v>
      </c>
      <c r="S1609" t="s">
        <v>74</v>
      </c>
      <c r="T1609" t="s">
        <v>27105</v>
      </c>
      <c r="U1609" t="s">
        <v>27106</v>
      </c>
      <c r="V1609" t="s">
        <v>27107</v>
      </c>
      <c r="W1609" t="s">
        <v>27108</v>
      </c>
      <c r="X1609" t="s">
        <v>9809</v>
      </c>
      <c r="Y1609" t="s">
        <v>27109</v>
      </c>
      <c r="Z1609" t="s">
        <v>27110</v>
      </c>
      <c r="AA1609" t="s">
        <v>27111</v>
      </c>
      <c r="AB1609" t="s">
        <v>74</v>
      </c>
      <c r="AC1609" t="s">
        <v>74</v>
      </c>
      <c r="AD1609" t="s">
        <v>74</v>
      </c>
      <c r="AE1609" t="s">
        <v>74</v>
      </c>
      <c r="AF1609" t="s">
        <v>74</v>
      </c>
      <c r="AG1609">
        <v>46</v>
      </c>
      <c r="AH1609">
        <v>2</v>
      </c>
      <c r="AI1609">
        <v>3</v>
      </c>
      <c r="AJ1609">
        <v>4</v>
      </c>
      <c r="AK1609">
        <v>8</v>
      </c>
      <c r="AL1609" t="s">
        <v>4200</v>
      </c>
      <c r="AM1609" t="s">
        <v>4201</v>
      </c>
      <c r="AN1609" t="s">
        <v>4202</v>
      </c>
      <c r="AO1609" t="s">
        <v>4203</v>
      </c>
      <c r="AP1609" t="s">
        <v>4204</v>
      </c>
      <c r="AQ1609" t="s">
        <v>74</v>
      </c>
      <c r="AR1609" t="s">
        <v>4205</v>
      </c>
      <c r="AS1609" t="s">
        <v>4206</v>
      </c>
      <c r="AT1609" t="s">
        <v>523</v>
      </c>
      <c r="AU1609">
        <v>2022</v>
      </c>
      <c r="AV1609" t="s">
        <v>74</v>
      </c>
      <c r="AW1609" t="s">
        <v>74</v>
      </c>
      <c r="AX1609" t="s">
        <v>74</v>
      </c>
      <c r="AY1609" t="s">
        <v>74</v>
      </c>
      <c r="AZ1609" t="s">
        <v>456</v>
      </c>
      <c r="BA1609" t="s">
        <v>74</v>
      </c>
      <c r="BB1609">
        <v>113</v>
      </c>
      <c r="BC1609">
        <v>130</v>
      </c>
      <c r="BD1609" t="s">
        <v>74</v>
      </c>
      <c r="BE1609" t="s">
        <v>27112</v>
      </c>
      <c r="BF1609" t="str">
        <f>HYPERLINK("http://dx.doi.org/10.5565/rev/analisi.3531","http://dx.doi.org/10.5565/rev/analisi.3531")</f>
        <v>http://dx.doi.org/10.5565/rev/analisi.3531</v>
      </c>
      <c r="BG1609" t="s">
        <v>74</v>
      </c>
      <c r="BH1609" t="s">
        <v>74</v>
      </c>
      <c r="BI1609">
        <v>18</v>
      </c>
      <c r="BJ1609" t="s">
        <v>124</v>
      </c>
      <c r="BK1609" t="s">
        <v>125</v>
      </c>
      <c r="BL1609" t="s">
        <v>124</v>
      </c>
      <c r="BM1609" t="s">
        <v>27113</v>
      </c>
      <c r="BN1609" t="s">
        <v>74</v>
      </c>
      <c r="BO1609" t="s">
        <v>3287</v>
      </c>
      <c r="BP1609" t="s">
        <v>74</v>
      </c>
      <c r="BQ1609" t="s">
        <v>74</v>
      </c>
      <c r="BR1609" t="s">
        <v>102</v>
      </c>
      <c r="BS1609" t="s">
        <v>27114</v>
      </c>
      <c r="BT1609" t="str">
        <f>HYPERLINK("https%3A%2F%2Fwww.webofscience.com%2Fwos%2Fwoscc%2Ffull-record%2FWOS:000897909700008","View Full Record in Web of Science")</f>
        <v>View Full Record in Web of Science</v>
      </c>
    </row>
    <row r="1610" spans="1:72" x14ac:dyDescent="0.35">
      <c r="A1610" t="s">
        <v>72</v>
      </c>
      <c r="B1610" t="s">
        <v>27115</v>
      </c>
      <c r="C1610" t="s">
        <v>74</v>
      </c>
      <c r="D1610" t="s">
        <v>74</v>
      </c>
      <c r="E1610" t="s">
        <v>74</v>
      </c>
      <c r="F1610" t="s">
        <v>27116</v>
      </c>
      <c r="G1610" t="s">
        <v>74</v>
      </c>
      <c r="H1610" t="s">
        <v>74</v>
      </c>
      <c r="I1610" t="s">
        <v>27117</v>
      </c>
      <c r="J1610" t="s">
        <v>27118</v>
      </c>
      <c r="K1610" t="s">
        <v>74</v>
      </c>
      <c r="L1610" t="s">
        <v>74</v>
      </c>
      <c r="M1610" t="s">
        <v>78</v>
      </c>
      <c r="N1610" t="s">
        <v>108</v>
      </c>
      <c r="O1610" t="s">
        <v>74</v>
      </c>
      <c r="P1610" t="s">
        <v>74</v>
      </c>
      <c r="Q1610" t="s">
        <v>74</v>
      </c>
      <c r="R1610" t="s">
        <v>74</v>
      </c>
      <c r="S1610" t="s">
        <v>74</v>
      </c>
      <c r="T1610" t="s">
        <v>74</v>
      </c>
      <c r="U1610" t="s">
        <v>74</v>
      </c>
      <c r="V1610" t="s">
        <v>27119</v>
      </c>
      <c r="W1610" t="s">
        <v>27120</v>
      </c>
      <c r="X1610" t="s">
        <v>27121</v>
      </c>
      <c r="Y1610" t="s">
        <v>27122</v>
      </c>
      <c r="Z1610" t="s">
        <v>27123</v>
      </c>
      <c r="AA1610" t="s">
        <v>27124</v>
      </c>
      <c r="AB1610" t="s">
        <v>74</v>
      </c>
      <c r="AC1610" t="s">
        <v>74</v>
      </c>
      <c r="AD1610" t="s">
        <v>74</v>
      </c>
      <c r="AE1610" t="s">
        <v>74</v>
      </c>
      <c r="AF1610" t="s">
        <v>74</v>
      </c>
      <c r="AG1610">
        <v>55</v>
      </c>
      <c r="AH1610">
        <v>1</v>
      </c>
      <c r="AI1610">
        <v>1</v>
      </c>
      <c r="AJ1610">
        <v>3</v>
      </c>
      <c r="AK1610">
        <v>3</v>
      </c>
      <c r="AL1610" t="s">
        <v>27125</v>
      </c>
      <c r="AM1610" t="s">
        <v>27126</v>
      </c>
      <c r="AN1610" t="s">
        <v>27127</v>
      </c>
      <c r="AO1610" t="s">
        <v>27128</v>
      </c>
      <c r="AP1610" t="s">
        <v>27129</v>
      </c>
      <c r="AQ1610" t="s">
        <v>74</v>
      </c>
      <c r="AR1610" t="s">
        <v>27130</v>
      </c>
      <c r="AS1610" t="s">
        <v>27131</v>
      </c>
      <c r="AT1610" t="s">
        <v>74</v>
      </c>
      <c r="AU1610">
        <v>2023</v>
      </c>
      <c r="AV1610">
        <v>81</v>
      </c>
      <c r="AW1610">
        <v>3</v>
      </c>
      <c r="AX1610" t="s">
        <v>74</v>
      </c>
      <c r="AY1610" t="s">
        <v>74</v>
      </c>
      <c r="AZ1610" t="s">
        <v>74</v>
      </c>
      <c r="BA1610" t="s">
        <v>74</v>
      </c>
      <c r="BB1610">
        <v>110</v>
      </c>
      <c r="BC1610">
        <v>141</v>
      </c>
      <c r="BD1610" t="s">
        <v>74</v>
      </c>
      <c r="BE1610" t="s">
        <v>27132</v>
      </c>
      <c r="BF1610" t="str">
        <f>HYPERLINK("http://dx.doi.org/10.3917/poeu.081.0110","http://dx.doi.org/10.3917/poeu.081.0110")</f>
        <v>http://dx.doi.org/10.3917/poeu.081.0110</v>
      </c>
      <c r="BG1610" t="s">
        <v>74</v>
      </c>
      <c r="BH1610" t="s">
        <v>74</v>
      </c>
      <c r="BI1610">
        <v>32</v>
      </c>
      <c r="BJ1610" t="s">
        <v>8014</v>
      </c>
      <c r="BK1610" t="s">
        <v>125</v>
      </c>
      <c r="BL1610" t="s">
        <v>8015</v>
      </c>
      <c r="BM1610" t="s">
        <v>27133</v>
      </c>
      <c r="BN1610" t="s">
        <v>74</v>
      </c>
      <c r="BO1610" t="s">
        <v>74</v>
      </c>
      <c r="BP1610" t="s">
        <v>74</v>
      </c>
      <c r="BQ1610" t="s">
        <v>74</v>
      </c>
      <c r="BR1610" t="s">
        <v>102</v>
      </c>
      <c r="BS1610" t="s">
        <v>27134</v>
      </c>
      <c r="BT1610" t="str">
        <f>HYPERLINK("https%3A%2F%2Fwww.webofscience.com%2Fwos%2Fwoscc%2Ffull-record%2FWOS:001197306600005","View Full Record in Web of Science")</f>
        <v>View Full Record in Web of Science</v>
      </c>
    </row>
    <row r="1611" spans="1:72" x14ac:dyDescent="0.35">
      <c r="A1611" t="s">
        <v>72</v>
      </c>
      <c r="B1611" t="s">
        <v>27135</v>
      </c>
      <c r="C1611" t="s">
        <v>74</v>
      </c>
      <c r="D1611" t="s">
        <v>74</v>
      </c>
      <c r="E1611" t="s">
        <v>74</v>
      </c>
      <c r="F1611" t="s">
        <v>27136</v>
      </c>
      <c r="G1611" t="s">
        <v>74</v>
      </c>
      <c r="H1611" t="s">
        <v>74</v>
      </c>
      <c r="I1611" t="s">
        <v>27137</v>
      </c>
      <c r="J1611" t="s">
        <v>27138</v>
      </c>
      <c r="K1611" t="s">
        <v>74</v>
      </c>
      <c r="L1611" t="s">
        <v>74</v>
      </c>
      <c r="M1611" t="s">
        <v>78</v>
      </c>
      <c r="N1611" t="s">
        <v>108</v>
      </c>
      <c r="O1611" t="s">
        <v>74</v>
      </c>
      <c r="P1611" t="s">
        <v>74</v>
      </c>
      <c r="Q1611" t="s">
        <v>74</v>
      </c>
      <c r="R1611" t="s">
        <v>74</v>
      </c>
      <c r="S1611" t="s">
        <v>74</v>
      </c>
      <c r="T1611" t="s">
        <v>74</v>
      </c>
      <c r="U1611" t="s">
        <v>27139</v>
      </c>
      <c r="V1611" t="s">
        <v>27140</v>
      </c>
      <c r="W1611" t="s">
        <v>27141</v>
      </c>
      <c r="X1611" t="s">
        <v>27142</v>
      </c>
      <c r="Y1611" t="s">
        <v>27143</v>
      </c>
      <c r="Z1611" t="s">
        <v>27144</v>
      </c>
      <c r="AA1611" t="s">
        <v>27145</v>
      </c>
      <c r="AB1611" t="s">
        <v>27146</v>
      </c>
      <c r="AC1611" t="s">
        <v>27147</v>
      </c>
      <c r="AD1611" t="s">
        <v>27148</v>
      </c>
      <c r="AE1611" t="s">
        <v>27149</v>
      </c>
      <c r="AF1611" t="s">
        <v>74</v>
      </c>
      <c r="AG1611">
        <v>52</v>
      </c>
      <c r="AH1611">
        <v>10</v>
      </c>
      <c r="AI1611">
        <v>11</v>
      </c>
      <c r="AJ1611">
        <v>17</v>
      </c>
      <c r="AK1611">
        <v>177</v>
      </c>
      <c r="AL1611" t="s">
        <v>88</v>
      </c>
      <c r="AM1611" t="s">
        <v>89</v>
      </c>
      <c r="AN1611" t="s">
        <v>90</v>
      </c>
      <c r="AO1611" t="s">
        <v>27150</v>
      </c>
      <c r="AP1611" t="s">
        <v>27151</v>
      </c>
      <c r="AQ1611" t="s">
        <v>74</v>
      </c>
      <c r="AR1611" t="s">
        <v>27152</v>
      </c>
      <c r="AS1611" t="s">
        <v>27153</v>
      </c>
      <c r="AT1611" t="s">
        <v>19024</v>
      </c>
      <c r="AU1611">
        <v>2022</v>
      </c>
      <c r="AV1611">
        <v>51</v>
      </c>
      <c r="AW1611">
        <v>4</v>
      </c>
      <c r="AX1611" t="s">
        <v>74</v>
      </c>
      <c r="AY1611" t="s">
        <v>74</v>
      </c>
      <c r="AZ1611" t="s">
        <v>74</v>
      </c>
      <c r="BA1611" t="s">
        <v>74</v>
      </c>
      <c r="BB1611">
        <v>486</v>
      </c>
      <c r="BC1611">
        <v>501</v>
      </c>
      <c r="BD1611" t="s">
        <v>74</v>
      </c>
      <c r="BE1611" t="s">
        <v>27154</v>
      </c>
      <c r="BF1611" t="str">
        <f>HYPERLINK("http://dx.doi.org/10.1080/00913367.2021.1990811","http://dx.doi.org/10.1080/00913367.2021.1990811")</f>
        <v>http://dx.doi.org/10.1080/00913367.2021.1990811</v>
      </c>
      <c r="BG1611" t="s">
        <v>74</v>
      </c>
      <c r="BH1611" t="s">
        <v>9169</v>
      </c>
      <c r="BI1611">
        <v>16</v>
      </c>
      <c r="BJ1611" t="s">
        <v>1722</v>
      </c>
      <c r="BK1611" t="s">
        <v>99</v>
      </c>
      <c r="BL1611" t="s">
        <v>1723</v>
      </c>
      <c r="BM1611" t="s">
        <v>27155</v>
      </c>
      <c r="BN1611" t="s">
        <v>74</v>
      </c>
      <c r="BO1611" t="s">
        <v>74</v>
      </c>
      <c r="BP1611" t="s">
        <v>74</v>
      </c>
      <c r="BQ1611" t="s">
        <v>74</v>
      </c>
      <c r="BR1611" t="s">
        <v>102</v>
      </c>
      <c r="BS1611" t="s">
        <v>27156</v>
      </c>
      <c r="BT1611" t="str">
        <f>HYPERLINK("https%3A%2F%2Fwww.webofscience.com%2Fwos%2Fwoscc%2Ffull-record%2FWOS:000719653700001","View Full Record in Web of Science")</f>
        <v>View Full Record in Web of Science</v>
      </c>
    </row>
    <row r="1612" spans="1:72" x14ac:dyDescent="0.35">
      <c r="A1612" t="s">
        <v>72</v>
      </c>
      <c r="B1612" t="s">
        <v>27157</v>
      </c>
      <c r="C1612" t="s">
        <v>74</v>
      </c>
      <c r="D1612" t="s">
        <v>74</v>
      </c>
      <c r="E1612" t="s">
        <v>74</v>
      </c>
      <c r="F1612" t="s">
        <v>27158</v>
      </c>
      <c r="G1612" t="s">
        <v>74</v>
      </c>
      <c r="H1612" t="s">
        <v>74</v>
      </c>
      <c r="I1612" t="s">
        <v>27159</v>
      </c>
      <c r="J1612" t="s">
        <v>27160</v>
      </c>
      <c r="K1612" t="s">
        <v>74</v>
      </c>
      <c r="L1612" t="s">
        <v>74</v>
      </c>
      <c r="M1612" t="s">
        <v>78</v>
      </c>
      <c r="N1612" t="s">
        <v>108</v>
      </c>
      <c r="O1612" t="s">
        <v>74</v>
      </c>
      <c r="P1612" t="s">
        <v>74</v>
      </c>
      <c r="Q1612" t="s">
        <v>74</v>
      </c>
      <c r="R1612" t="s">
        <v>74</v>
      </c>
      <c r="S1612" t="s">
        <v>74</v>
      </c>
      <c r="T1612" t="s">
        <v>74</v>
      </c>
      <c r="U1612" t="s">
        <v>74</v>
      </c>
      <c r="V1612" t="s">
        <v>27161</v>
      </c>
      <c r="W1612" t="s">
        <v>74</v>
      </c>
      <c r="X1612" t="s">
        <v>74</v>
      </c>
      <c r="Y1612" t="s">
        <v>74</v>
      </c>
      <c r="Z1612" t="s">
        <v>74</v>
      </c>
      <c r="AA1612" t="s">
        <v>74</v>
      </c>
      <c r="AB1612" t="s">
        <v>74</v>
      </c>
      <c r="AC1612" t="s">
        <v>74</v>
      </c>
      <c r="AD1612" t="s">
        <v>74</v>
      </c>
      <c r="AE1612" t="s">
        <v>74</v>
      </c>
      <c r="AF1612" t="s">
        <v>74</v>
      </c>
      <c r="AG1612">
        <v>28</v>
      </c>
      <c r="AH1612">
        <v>0</v>
      </c>
      <c r="AI1612">
        <v>0</v>
      </c>
      <c r="AJ1612">
        <v>5</v>
      </c>
      <c r="AK1612">
        <v>5</v>
      </c>
      <c r="AL1612" t="s">
        <v>27162</v>
      </c>
      <c r="AM1612" t="s">
        <v>27163</v>
      </c>
      <c r="AN1612" t="s">
        <v>27164</v>
      </c>
      <c r="AO1612" t="s">
        <v>27165</v>
      </c>
      <c r="AP1612" t="s">
        <v>27166</v>
      </c>
      <c r="AQ1612" t="s">
        <v>74</v>
      </c>
      <c r="AR1612" t="s">
        <v>27160</v>
      </c>
      <c r="AS1612" t="s">
        <v>27167</v>
      </c>
      <c r="AT1612" t="s">
        <v>74</v>
      </c>
      <c r="AU1612">
        <v>2024</v>
      </c>
      <c r="AV1612">
        <v>29</v>
      </c>
      <c r="AW1612" t="s">
        <v>74</v>
      </c>
      <c r="AX1612" t="s">
        <v>74</v>
      </c>
      <c r="AY1612" t="s">
        <v>74</v>
      </c>
      <c r="AZ1612" t="s">
        <v>74</v>
      </c>
      <c r="BA1612" t="s">
        <v>74</v>
      </c>
      <c r="BB1612">
        <v>48</v>
      </c>
      <c r="BC1612">
        <v>62</v>
      </c>
      <c r="BD1612" t="s">
        <v>74</v>
      </c>
      <c r="BE1612" t="s">
        <v>74</v>
      </c>
      <c r="BF1612" t="s">
        <v>74</v>
      </c>
      <c r="BG1612" t="s">
        <v>74</v>
      </c>
      <c r="BH1612" t="s">
        <v>74</v>
      </c>
      <c r="BI1612">
        <v>15</v>
      </c>
      <c r="BJ1612" t="s">
        <v>10320</v>
      </c>
      <c r="BK1612" t="s">
        <v>125</v>
      </c>
      <c r="BL1612" t="s">
        <v>8015</v>
      </c>
      <c r="BM1612" t="s">
        <v>27168</v>
      </c>
      <c r="BN1612" t="s">
        <v>74</v>
      </c>
      <c r="BO1612" t="s">
        <v>74</v>
      </c>
      <c r="BP1612" t="s">
        <v>74</v>
      </c>
      <c r="BQ1612" t="s">
        <v>74</v>
      </c>
      <c r="BR1612" t="s">
        <v>102</v>
      </c>
      <c r="BS1612" t="s">
        <v>27169</v>
      </c>
      <c r="BT1612" t="str">
        <f>HYPERLINK("https%3A%2F%2Fwww.webofscience.com%2Fwos%2Fwoscc%2Ffull-record%2FWOS:001208464400004","View Full Record in Web of Science")</f>
        <v>View Full Record in Web of Science</v>
      </c>
    </row>
    <row r="1613" spans="1:72" x14ac:dyDescent="0.35">
      <c r="A1613" t="s">
        <v>72</v>
      </c>
      <c r="B1613" t="s">
        <v>27170</v>
      </c>
      <c r="C1613" t="s">
        <v>74</v>
      </c>
      <c r="D1613" t="s">
        <v>74</v>
      </c>
      <c r="E1613" t="s">
        <v>74</v>
      </c>
      <c r="F1613" t="s">
        <v>27171</v>
      </c>
      <c r="G1613" t="s">
        <v>74</v>
      </c>
      <c r="H1613" t="s">
        <v>74</v>
      </c>
      <c r="I1613" t="s">
        <v>27172</v>
      </c>
      <c r="J1613" t="s">
        <v>2159</v>
      </c>
      <c r="K1613" t="s">
        <v>74</v>
      </c>
      <c r="L1613" t="s">
        <v>74</v>
      </c>
      <c r="M1613" t="s">
        <v>78</v>
      </c>
      <c r="N1613" t="s">
        <v>15499</v>
      </c>
      <c r="O1613" t="s">
        <v>74</v>
      </c>
      <c r="P1613" t="s">
        <v>74</v>
      </c>
      <c r="Q1613" t="s">
        <v>74</v>
      </c>
      <c r="R1613" t="s">
        <v>74</v>
      </c>
      <c r="S1613" t="s">
        <v>74</v>
      </c>
      <c r="T1613" t="s">
        <v>27173</v>
      </c>
      <c r="U1613" t="s">
        <v>74</v>
      </c>
      <c r="V1613" t="s">
        <v>27174</v>
      </c>
      <c r="W1613" t="s">
        <v>27175</v>
      </c>
      <c r="X1613" t="s">
        <v>27176</v>
      </c>
      <c r="Y1613" t="s">
        <v>27177</v>
      </c>
      <c r="Z1613" t="s">
        <v>27178</v>
      </c>
      <c r="AA1613" t="s">
        <v>27179</v>
      </c>
      <c r="AB1613" t="s">
        <v>27180</v>
      </c>
      <c r="AC1613" t="s">
        <v>74</v>
      </c>
      <c r="AD1613" t="s">
        <v>74</v>
      </c>
      <c r="AE1613" t="s">
        <v>74</v>
      </c>
      <c r="AF1613" t="s">
        <v>74</v>
      </c>
      <c r="AG1613">
        <v>4</v>
      </c>
      <c r="AH1613">
        <v>0</v>
      </c>
      <c r="AI1613">
        <v>0</v>
      </c>
      <c r="AJ1613">
        <v>6</v>
      </c>
      <c r="AK1613">
        <v>7</v>
      </c>
      <c r="AL1613" t="s">
        <v>88</v>
      </c>
      <c r="AM1613" t="s">
        <v>89</v>
      </c>
      <c r="AN1613" t="s">
        <v>90</v>
      </c>
      <c r="AO1613" t="s">
        <v>2169</v>
      </c>
      <c r="AP1613" t="s">
        <v>2170</v>
      </c>
      <c r="AQ1613" t="s">
        <v>74</v>
      </c>
      <c r="AR1613" t="s">
        <v>2171</v>
      </c>
      <c r="AS1613" t="s">
        <v>2172</v>
      </c>
      <c r="AT1613" t="s">
        <v>27181</v>
      </c>
      <c r="AU1613">
        <v>2024</v>
      </c>
      <c r="AV1613" t="s">
        <v>74</v>
      </c>
      <c r="AW1613" t="s">
        <v>74</v>
      </c>
      <c r="AX1613" t="s">
        <v>74</v>
      </c>
      <c r="AY1613" t="s">
        <v>74</v>
      </c>
      <c r="AZ1613" t="s">
        <v>74</v>
      </c>
      <c r="BA1613" t="s">
        <v>74</v>
      </c>
      <c r="BB1613" t="s">
        <v>74</v>
      </c>
      <c r="BC1613" t="s">
        <v>74</v>
      </c>
      <c r="BD1613" t="s">
        <v>74</v>
      </c>
      <c r="BE1613" t="s">
        <v>27182</v>
      </c>
      <c r="BF1613" t="str">
        <f>HYPERLINK("http://dx.doi.org/10.1080/14680777.2024.2344101","http://dx.doi.org/10.1080/14680777.2024.2344101")</f>
        <v>http://dx.doi.org/10.1080/14680777.2024.2344101</v>
      </c>
      <c r="BG1613" t="s">
        <v>74</v>
      </c>
      <c r="BH1613" t="s">
        <v>2410</v>
      </c>
      <c r="BI1613">
        <v>7</v>
      </c>
      <c r="BJ1613" t="s">
        <v>2176</v>
      </c>
      <c r="BK1613" t="s">
        <v>99</v>
      </c>
      <c r="BL1613" t="s">
        <v>2176</v>
      </c>
      <c r="BM1613" t="s">
        <v>27183</v>
      </c>
      <c r="BN1613" t="s">
        <v>74</v>
      </c>
      <c r="BO1613" t="s">
        <v>74</v>
      </c>
      <c r="BP1613" t="s">
        <v>74</v>
      </c>
      <c r="BQ1613" t="s">
        <v>74</v>
      </c>
      <c r="BR1613" t="s">
        <v>102</v>
      </c>
      <c r="BS1613" t="s">
        <v>27184</v>
      </c>
      <c r="BT1613" t="str">
        <f>HYPERLINK("https%3A%2F%2Fwww.webofscience.com%2Fwos%2Fwoscc%2Ffull-record%2FWOS:001205391700001","View Full Record in Web of Science")</f>
        <v>View Full Record in Web of Science</v>
      </c>
    </row>
    <row r="1614" spans="1:72" x14ac:dyDescent="0.35">
      <c r="A1614" t="s">
        <v>72</v>
      </c>
      <c r="B1614" t="s">
        <v>27185</v>
      </c>
      <c r="C1614" t="s">
        <v>74</v>
      </c>
      <c r="D1614" t="s">
        <v>74</v>
      </c>
      <c r="E1614" t="s">
        <v>74</v>
      </c>
      <c r="F1614" t="s">
        <v>27186</v>
      </c>
      <c r="G1614" t="s">
        <v>74</v>
      </c>
      <c r="H1614" t="s">
        <v>74</v>
      </c>
      <c r="I1614" t="s">
        <v>27187</v>
      </c>
      <c r="J1614" t="s">
        <v>793</v>
      </c>
      <c r="K1614" t="s">
        <v>74</v>
      </c>
      <c r="L1614" t="s">
        <v>74</v>
      </c>
      <c r="M1614" t="s">
        <v>78</v>
      </c>
      <c r="N1614" t="s">
        <v>108</v>
      </c>
      <c r="O1614" t="s">
        <v>74</v>
      </c>
      <c r="P1614" t="s">
        <v>74</v>
      </c>
      <c r="Q1614" t="s">
        <v>74</v>
      </c>
      <c r="R1614" t="s">
        <v>74</v>
      </c>
      <c r="S1614" t="s">
        <v>74</v>
      </c>
      <c r="T1614" t="s">
        <v>27188</v>
      </c>
      <c r="U1614" t="s">
        <v>74</v>
      </c>
      <c r="V1614" t="s">
        <v>27189</v>
      </c>
      <c r="W1614" t="s">
        <v>27190</v>
      </c>
      <c r="X1614" t="s">
        <v>27191</v>
      </c>
      <c r="Y1614" t="s">
        <v>27192</v>
      </c>
      <c r="Z1614" t="s">
        <v>27193</v>
      </c>
      <c r="AA1614" t="s">
        <v>27194</v>
      </c>
      <c r="AB1614" t="s">
        <v>74</v>
      </c>
      <c r="AC1614" t="s">
        <v>74</v>
      </c>
      <c r="AD1614" t="s">
        <v>74</v>
      </c>
      <c r="AE1614" t="s">
        <v>74</v>
      </c>
      <c r="AF1614" t="s">
        <v>74</v>
      </c>
      <c r="AG1614">
        <v>17</v>
      </c>
      <c r="AH1614">
        <v>0</v>
      </c>
      <c r="AI1614">
        <v>0</v>
      </c>
      <c r="AJ1614">
        <v>0</v>
      </c>
      <c r="AK1614">
        <v>0</v>
      </c>
      <c r="AL1614" t="s">
        <v>803</v>
      </c>
      <c r="AM1614" t="s">
        <v>227</v>
      </c>
      <c r="AN1614" t="s">
        <v>804</v>
      </c>
      <c r="AO1614" t="s">
        <v>74</v>
      </c>
      <c r="AP1614" t="s">
        <v>805</v>
      </c>
      <c r="AQ1614" t="s">
        <v>74</v>
      </c>
      <c r="AR1614" t="s">
        <v>806</v>
      </c>
      <c r="AS1614" t="s">
        <v>807</v>
      </c>
      <c r="AT1614" t="s">
        <v>4398</v>
      </c>
      <c r="AU1614">
        <v>2024</v>
      </c>
      <c r="AV1614">
        <v>16</v>
      </c>
      <c r="AW1614">
        <v>9</v>
      </c>
      <c r="AX1614" t="s">
        <v>74</v>
      </c>
      <c r="AY1614" t="s">
        <v>74</v>
      </c>
      <c r="AZ1614" t="s">
        <v>74</v>
      </c>
      <c r="BA1614" t="s">
        <v>74</v>
      </c>
      <c r="BB1614" t="s">
        <v>74</v>
      </c>
      <c r="BC1614" t="s">
        <v>74</v>
      </c>
      <c r="BD1614" t="s">
        <v>27195</v>
      </c>
      <c r="BE1614" t="s">
        <v>27196</v>
      </c>
      <c r="BF1614" t="str">
        <f>HYPERLINK("http://dx.doi.org/10.7759/cureus.68643","http://dx.doi.org/10.7759/cureus.68643")</f>
        <v>http://dx.doi.org/10.7759/cureus.68643</v>
      </c>
      <c r="BG1614" t="s">
        <v>74</v>
      </c>
      <c r="BH1614" t="s">
        <v>74</v>
      </c>
      <c r="BI1614">
        <v>9</v>
      </c>
      <c r="BJ1614" t="s">
        <v>811</v>
      </c>
      <c r="BK1614" t="s">
        <v>125</v>
      </c>
      <c r="BL1614" t="s">
        <v>812</v>
      </c>
      <c r="BM1614" t="s">
        <v>27197</v>
      </c>
      <c r="BN1614" t="s">
        <v>74</v>
      </c>
      <c r="BO1614" t="s">
        <v>19365</v>
      </c>
      <c r="BP1614" t="s">
        <v>74</v>
      </c>
      <c r="BQ1614" t="s">
        <v>74</v>
      </c>
      <c r="BR1614" t="s">
        <v>102</v>
      </c>
      <c r="BS1614" t="s">
        <v>27198</v>
      </c>
      <c r="BT1614" t="str">
        <f>HYPERLINK("https%3A%2F%2Fwww.webofscience.com%2Fwos%2Fwoscc%2Ffull-record%2FWOS:001309925800009","View Full Record in Web of Science")</f>
        <v>View Full Record in Web of Science</v>
      </c>
    </row>
    <row r="1615" spans="1:72" x14ac:dyDescent="0.35">
      <c r="A1615" t="s">
        <v>72</v>
      </c>
      <c r="B1615" t="s">
        <v>27199</v>
      </c>
      <c r="C1615" t="s">
        <v>74</v>
      </c>
      <c r="D1615" t="s">
        <v>74</v>
      </c>
      <c r="E1615" t="s">
        <v>74</v>
      </c>
      <c r="F1615" t="s">
        <v>27200</v>
      </c>
      <c r="G1615" t="s">
        <v>74</v>
      </c>
      <c r="H1615" t="s">
        <v>74</v>
      </c>
      <c r="I1615" t="s">
        <v>27201</v>
      </c>
      <c r="J1615" t="s">
        <v>15052</v>
      </c>
      <c r="K1615" t="s">
        <v>74</v>
      </c>
      <c r="L1615" t="s">
        <v>74</v>
      </c>
      <c r="M1615" t="s">
        <v>78</v>
      </c>
      <c r="N1615" t="s">
        <v>108</v>
      </c>
      <c r="O1615" t="s">
        <v>74</v>
      </c>
      <c r="P1615" t="s">
        <v>74</v>
      </c>
      <c r="Q1615" t="s">
        <v>74</v>
      </c>
      <c r="R1615" t="s">
        <v>74</v>
      </c>
      <c r="S1615" t="s">
        <v>74</v>
      </c>
      <c r="T1615" t="s">
        <v>27202</v>
      </c>
      <c r="U1615" t="s">
        <v>74</v>
      </c>
      <c r="V1615" t="s">
        <v>27203</v>
      </c>
      <c r="W1615" t="s">
        <v>27204</v>
      </c>
      <c r="X1615" t="s">
        <v>27205</v>
      </c>
      <c r="Y1615" t="s">
        <v>27206</v>
      </c>
      <c r="Z1615" t="s">
        <v>27207</v>
      </c>
      <c r="AA1615" t="s">
        <v>27208</v>
      </c>
      <c r="AB1615" t="s">
        <v>27209</v>
      </c>
      <c r="AC1615" t="s">
        <v>27210</v>
      </c>
      <c r="AD1615" t="s">
        <v>27211</v>
      </c>
      <c r="AE1615" t="s">
        <v>27212</v>
      </c>
      <c r="AF1615" t="s">
        <v>74</v>
      </c>
      <c r="AG1615">
        <v>49</v>
      </c>
      <c r="AH1615">
        <v>36</v>
      </c>
      <c r="AI1615">
        <v>38</v>
      </c>
      <c r="AJ1615">
        <v>2</v>
      </c>
      <c r="AK1615">
        <v>14</v>
      </c>
      <c r="AL1615" t="s">
        <v>9222</v>
      </c>
      <c r="AM1615" t="s">
        <v>227</v>
      </c>
      <c r="AN1615" t="s">
        <v>9223</v>
      </c>
      <c r="AO1615" t="s">
        <v>15060</v>
      </c>
      <c r="AP1615" t="s">
        <v>15061</v>
      </c>
      <c r="AQ1615" t="s">
        <v>74</v>
      </c>
      <c r="AR1615" t="s">
        <v>15062</v>
      </c>
      <c r="AS1615" t="s">
        <v>15063</v>
      </c>
      <c r="AT1615" t="s">
        <v>745</v>
      </c>
      <c r="AU1615">
        <v>2024</v>
      </c>
      <c r="AV1615">
        <v>33</v>
      </c>
      <c r="AW1615">
        <v>3</v>
      </c>
      <c r="AX1615" t="s">
        <v>74</v>
      </c>
      <c r="AY1615" t="s">
        <v>74</v>
      </c>
      <c r="AZ1615" t="s">
        <v>74</v>
      </c>
      <c r="BA1615" t="s">
        <v>74</v>
      </c>
      <c r="BB1615">
        <v>398</v>
      </c>
      <c r="BC1615">
        <v>403</v>
      </c>
      <c r="BD1615" t="s">
        <v>74</v>
      </c>
      <c r="BE1615" t="s">
        <v>27213</v>
      </c>
      <c r="BF1615" t="str">
        <f>HYPERLINK("http://dx.doi.org/10.1136/tc-2022-057348","http://dx.doi.org/10.1136/tc-2022-057348")</f>
        <v>http://dx.doi.org/10.1136/tc-2022-057348</v>
      </c>
      <c r="BG1615" t="s">
        <v>74</v>
      </c>
      <c r="BH1615" t="s">
        <v>366</v>
      </c>
      <c r="BI1615">
        <v>6</v>
      </c>
      <c r="BJ1615" t="s">
        <v>8342</v>
      </c>
      <c r="BK1615" t="s">
        <v>182</v>
      </c>
      <c r="BL1615" t="s">
        <v>8342</v>
      </c>
      <c r="BM1615" t="s">
        <v>27214</v>
      </c>
      <c r="BN1615">
        <v>36328589</v>
      </c>
      <c r="BO1615" t="s">
        <v>1343</v>
      </c>
      <c r="BP1615" t="s">
        <v>74</v>
      </c>
      <c r="BQ1615" t="s">
        <v>74</v>
      </c>
      <c r="BR1615" t="s">
        <v>102</v>
      </c>
      <c r="BS1615" t="s">
        <v>27215</v>
      </c>
      <c r="BT1615" t="str">
        <f>HYPERLINK("https%3A%2F%2Fwww.webofscience.com%2Fwos%2Fwoscc%2Ffull-record%2FWOS:000881774900001","View Full Record in Web of Science")</f>
        <v>View Full Record in Web of Science</v>
      </c>
    </row>
    <row r="1616" spans="1:72" x14ac:dyDescent="0.35">
      <c r="A1616" t="s">
        <v>72</v>
      </c>
      <c r="B1616" t="s">
        <v>27216</v>
      </c>
      <c r="C1616" t="s">
        <v>74</v>
      </c>
      <c r="D1616" t="s">
        <v>74</v>
      </c>
      <c r="E1616" t="s">
        <v>74</v>
      </c>
      <c r="F1616" t="s">
        <v>27217</v>
      </c>
      <c r="G1616" t="s">
        <v>74</v>
      </c>
      <c r="H1616" t="s">
        <v>74</v>
      </c>
      <c r="I1616" t="s">
        <v>27218</v>
      </c>
      <c r="J1616" t="s">
        <v>20876</v>
      </c>
      <c r="K1616" t="s">
        <v>74</v>
      </c>
      <c r="L1616" t="s">
        <v>74</v>
      </c>
      <c r="M1616" t="s">
        <v>78</v>
      </c>
      <c r="N1616" t="s">
        <v>79</v>
      </c>
      <c r="O1616" t="s">
        <v>74</v>
      </c>
      <c r="P1616" t="s">
        <v>74</v>
      </c>
      <c r="Q1616" t="s">
        <v>74</v>
      </c>
      <c r="R1616" t="s">
        <v>74</v>
      </c>
      <c r="S1616" t="s">
        <v>74</v>
      </c>
      <c r="T1616" t="s">
        <v>27219</v>
      </c>
      <c r="U1616" t="s">
        <v>74</v>
      </c>
      <c r="V1616" t="s">
        <v>27220</v>
      </c>
      <c r="W1616" t="s">
        <v>27221</v>
      </c>
      <c r="X1616" t="s">
        <v>6656</v>
      </c>
      <c r="Y1616" t="s">
        <v>27222</v>
      </c>
      <c r="Z1616" t="s">
        <v>27223</v>
      </c>
      <c r="AA1616" t="s">
        <v>74</v>
      </c>
      <c r="AB1616" t="s">
        <v>27224</v>
      </c>
      <c r="AC1616" t="s">
        <v>27225</v>
      </c>
      <c r="AD1616" t="s">
        <v>27225</v>
      </c>
      <c r="AE1616" t="s">
        <v>27226</v>
      </c>
      <c r="AF1616" t="s">
        <v>74</v>
      </c>
      <c r="AG1616">
        <v>40</v>
      </c>
      <c r="AH1616">
        <v>0</v>
      </c>
      <c r="AI1616">
        <v>0</v>
      </c>
      <c r="AJ1616">
        <v>2</v>
      </c>
      <c r="AK1616">
        <v>11</v>
      </c>
      <c r="AL1616" t="s">
        <v>88</v>
      </c>
      <c r="AM1616" t="s">
        <v>89</v>
      </c>
      <c r="AN1616" t="s">
        <v>90</v>
      </c>
      <c r="AO1616" t="s">
        <v>20887</v>
      </c>
      <c r="AP1616" t="s">
        <v>20888</v>
      </c>
      <c r="AQ1616" t="s">
        <v>74</v>
      </c>
      <c r="AR1616" t="s">
        <v>20889</v>
      </c>
      <c r="AS1616" t="s">
        <v>20890</v>
      </c>
      <c r="AT1616" t="s">
        <v>27227</v>
      </c>
      <c r="AU1616">
        <v>2023</v>
      </c>
      <c r="AV1616" t="s">
        <v>74</v>
      </c>
      <c r="AW1616" t="s">
        <v>74</v>
      </c>
      <c r="AX1616" t="s">
        <v>74</v>
      </c>
      <c r="AY1616" t="s">
        <v>74</v>
      </c>
      <c r="AZ1616" t="s">
        <v>74</v>
      </c>
      <c r="BA1616" t="s">
        <v>74</v>
      </c>
      <c r="BB1616" t="s">
        <v>74</v>
      </c>
      <c r="BC1616" t="s">
        <v>74</v>
      </c>
      <c r="BD1616" t="s">
        <v>74</v>
      </c>
      <c r="BE1616" t="s">
        <v>27228</v>
      </c>
      <c r="BF1616" t="str">
        <f>HYPERLINK("http://dx.doi.org/10.1080/17439884.2023.2235279","http://dx.doi.org/10.1080/17439884.2023.2235279")</f>
        <v>http://dx.doi.org/10.1080/17439884.2023.2235279</v>
      </c>
      <c r="BG1616" t="s">
        <v>74</v>
      </c>
      <c r="BH1616" t="s">
        <v>1180</v>
      </c>
      <c r="BI1616">
        <v>14</v>
      </c>
      <c r="BJ1616" t="s">
        <v>787</v>
      </c>
      <c r="BK1616" t="s">
        <v>99</v>
      </c>
      <c r="BL1616" t="s">
        <v>787</v>
      </c>
      <c r="BM1616" t="s">
        <v>27229</v>
      </c>
      <c r="BN1616" t="s">
        <v>74</v>
      </c>
      <c r="BO1616" t="s">
        <v>74</v>
      </c>
      <c r="BP1616" t="s">
        <v>74</v>
      </c>
      <c r="BQ1616" t="s">
        <v>74</v>
      </c>
      <c r="BR1616" t="s">
        <v>102</v>
      </c>
      <c r="BS1616" t="s">
        <v>27230</v>
      </c>
      <c r="BT1616" t="str">
        <f>HYPERLINK("https%3A%2F%2Fwww.webofscience.com%2Fwos%2Fwoscc%2Ffull-record%2FWOS:001024646300001","View Full Record in Web of Science")</f>
        <v>View Full Record in Web of Science</v>
      </c>
    </row>
    <row r="1617" spans="1:72" x14ac:dyDescent="0.35">
      <c r="A1617" t="s">
        <v>128</v>
      </c>
      <c r="B1617" t="s">
        <v>27231</v>
      </c>
      <c r="C1617" t="s">
        <v>74</v>
      </c>
      <c r="D1617" t="s">
        <v>74</v>
      </c>
      <c r="E1617" t="s">
        <v>702</v>
      </c>
      <c r="F1617" t="s">
        <v>27232</v>
      </c>
      <c r="G1617" t="s">
        <v>74</v>
      </c>
      <c r="H1617" t="s">
        <v>74</v>
      </c>
      <c r="I1617" t="s">
        <v>27233</v>
      </c>
      <c r="J1617" t="s">
        <v>27234</v>
      </c>
      <c r="K1617" t="s">
        <v>74</v>
      </c>
      <c r="L1617" t="s">
        <v>74</v>
      </c>
      <c r="M1617" t="s">
        <v>78</v>
      </c>
      <c r="N1617" t="s">
        <v>135</v>
      </c>
      <c r="O1617" t="s">
        <v>18492</v>
      </c>
      <c r="P1617" t="s">
        <v>18493</v>
      </c>
      <c r="Q1617" t="s">
        <v>138</v>
      </c>
      <c r="R1617" t="s">
        <v>18494</v>
      </c>
      <c r="S1617" t="s">
        <v>74</v>
      </c>
      <c r="T1617" t="s">
        <v>27235</v>
      </c>
      <c r="U1617" t="s">
        <v>74</v>
      </c>
      <c r="V1617" t="s">
        <v>27236</v>
      </c>
      <c r="W1617" t="s">
        <v>27237</v>
      </c>
      <c r="X1617" t="s">
        <v>27238</v>
      </c>
      <c r="Y1617" t="s">
        <v>27239</v>
      </c>
      <c r="Z1617" t="s">
        <v>74</v>
      </c>
      <c r="AA1617" t="s">
        <v>27240</v>
      </c>
      <c r="AB1617" t="s">
        <v>27241</v>
      </c>
      <c r="AC1617" t="s">
        <v>74</v>
      </c>
      <c r="AD1617" t="s">
        <v>74</v>
      </c>
      <c r="AE1617" t="s">
        <v>74</v>
      </c>
      <c r="AF1617" t="s">
        <v>74</v>
      </c>
      <c r="AG1617">
        <v>21</v>
      </c>
      <c r="AH1617">
        <v>1</v>
      </c>
      <c r="AI1617">
        <v>1</v>
      </c>
      <c r="AJ1617">
        <v>0</v>
      </c>
      <c r="AK1617">
        <v>2</v>
      </c>
      <c r="AL1617" t="s">
        <v>718</v>
      </c>
      <c r="AM1617" t="s">
        <v>666</v>
      </c>
      <c r="AN1617" t="s">
        <v>719</v>
      </c>
      <c r="AO1617" t="s">
        <v>74</v>
      </c>
      <c r="AP1617" t="s">
        <v>74</v>
      </c>
      <c r="AQ1617" t="s">
        <v>27242</v>
      </c>
      <c r="AR1617" t="s">
        <v>74</v>
      </c>
      <c r="AS1617" t="s">
        <v>74</v>
      </c>
      <c r="AT1617" t="s">
        <v>74</v>
      </c>
      <c r="AU1617">
        <v>2021</v>
      </c>
      <c r="AV1617" t="s">
        <v>74</v>
      </c>
      <c r="AW1617" t="s">
        <v>74</v>
      </c>
      <c r="AX1617" t="s">
        <v>74</v>
      </c>
      <c r="AY1617" t="s">
        <v>74</v>
      </c>
      <c r="AZ1617" t="s">
        <v>74</v>
      </c>
      <c r="BA1617" t="s">
        <v>74</v>
      </c>
      <c r="BB1617" t="s">
        <v>74</v>
      </c>
      <c r="BC1617" t="s">
        <v>74</v>
      </c>
      <c r="BD1617" t="s">
        <v>74</v>
      </c>
      <c r="BE1617" t="s">
        <v>27243</v>
      </c>
      <c r="BF1617" t="str">
        <f>HYPERLINK("http://dx.doi.org/10.1145/3411763.3441311","http://dx.doi.org/10.1145/3411763.3441311")</f>
        <v>http://dx.doi.org/10.1145/3411763.3441311</v>
      </c>
      <c r="BG1617" t="s">
        <v>74</v>
      </c>
      <c r="BH1617" t="s">
        <v>74</v>
      </c>
      <c r="BI1617">
        <v>5</v>
      </c>
      <c r="BJ1617" t="s">
        <v>840</v>
      </c>
      <c r="BK1617" t="s">
        <v>723</v>
      </c>
      <c r="BL1617" t="s">
        <v>210</v>
      </c>
      <c r="BM1617" t="s">
        <v>27244</v>
      </c>
      <c r="BN1617" t="s">
        <v>74</v>
      </c>
      <c r="BO1617" t="s">
        <v>74</v>
      </c>
      <c r="BP1617" t="s">
        <v>74</v>
      </c>
      <c r="BQ1617" t="s">
        <v>74</v>
      </c>
      <c r="BR1617" t="s">
        <v>102</v>
      </c>
      <c r="BS1617" t="s">
        <v>27245</v>
      </c>
      <c r="BT1617" t="str">
        <f>HYPERLINK("https%3A%2F%2Fwww.webofscience.com%2Fwos%2Fwoscc%2Ffull-record%2FWOS:000759178500003","View Full Record in Web of Science")</f>
        <v>View Full Record in Web of Science</v>
      </c>
    </row>
    <row r="1618" spans="1:72" x14ac:dyDescent="0.35">
      <c r="A1618" t="s">
        <v>72</v>
      </c>
      <c r="B1618" t="s">
        <v>27246</v>
      </c>
      <c r="C1618" t="s">
        <v>74</v>
      </c>
      <c r="D1618" t="s">
        <v>74</v>
      </c>
      <c r="E1618" t="s">
        <v>74</v>
      </c>
      <c r="F1618" t="s">
        <v>27247</v>
      </c>
      <c r="G1618" t="s">
        <v>74</v>
      </c>
      <c r="H1618" t="s">
        <v>74</v>
      </c>
      <c r="I1618" t="s">
        <v>27248</v>
      </c>
      <c r="J1618" t="s">
        <v>1774</v>
      </c>
      <c r="K1618" t="s">
        <v>74</v>
      </c>
      <c r="L1618" t="s">
        <v>74</v>
      </c>
      <c r="M1618" t="s">
        <v>78</v>
      </c>
      <c r="N1618" t="s">
        <v>108</v>
      </c>
      <c r="O1618" t="s">
        <v>74</v>
      </c>
      <c r="P1618" t="s">
        <v>74</v>
      </c>
      <c r="Q1618" t="s">
        <v>74</v>
      </c>
      <c r="R1618" t="s">
        <v>74</v>
      </c>
      <c r="S1618" t="s">
        <v>74</v>
      </c>
      <c r="T1618" t="s">
        <v>27249</v>
      </c>
      <c r="U1618" t="s">
        <v>27250</v>
      </c>
      <c r="V1618" t="s">
        <v>27251</v>
      </c>
      <c r="W1618" t="s">
        <v>27252</v>
      </c>
      <c r="X1618" t="s">
        <v>27253</v>
      </c>
      <c r="Y1618" t="s">
        <v>27254</v>
      </c>
      <c r="Z1618" t="s">
        <v>25770</v>
      </c>
      <c r="AA1618" t="s">
        <v>27255</v>
      </c>
      <c r="AB1618" t="s">
        <v>27256</v>
      </c>
      <c r="AC1618" t="s">
        <v>27257</v>
      </c>
      <c r="AD1618" t="s">
        <v>27258</v>
      </c>
      <c r="AE1618" t="s">
        <v>27259</v>
      </c>
      <c r="AF1618" t="s">
        <v>74</v>
      </c>
      <c r="AG1618">
        <v>91</v>
      </c>
      <c r="AH1618">
        <v>15</v>
      </c>
      <c r="AI1618">
        <v>15</v>
      </c>
      <c r="AJ1618">
        <v>35</v>
      </c>
      <c r="AK1618">
        <v>142</v>
      </c>
      <c r="AL1618" t="s">
        <v>88</v>
      </c>
      <c r="AM1618" t="s">
        <v>89</v>
      </c>
      <c r="AN1618" t="s">
        <v>90</v>
      </c>
      <c r="AO1618" t="s">
        <v>1783</v>
      </c>
      <c r="AP1618" t="s">
        <v>1784</v>
      </c>
      <c r="AQ1618" t="s">
        <v>74</v>
      </c>
      <c r="AR1618" t="s">
        <v>1785</v>
      </c>
      <c r="AS1618" t="s">
        <v>1786</v>
      </c>
      <c r="AT1618" t="s">
        <v>2323</v>
      </c>
      <c r="AU1618">
        <v>2024</v>
      </c>
      <c r="AV1618">
        <v>27</v>
      </c>
      <c r="AW1618">
        <v>1</v>
      </c>
      <c r="AX1618" t="s">
        <v>74</v>
      </c>
      <c r="AY1618" t="s">
        <v>74</v>
      </c>
      <c r="AZ1618" t="s">
        <v>74</v>
      </c>
      <c r="BA1618" t="s">
        <v>74</v>
      </c>
      <c r="BB1618">
        <v>73</v>
      </c>
      <c r="BC1618">
        <v>91</v>
      </c>
      <c r="BD1618" t="s">
        <v>74</v>
      </c>
      <c r="BE1618" t="s">
        <v>27260</v>
      </c>
      <c r="BF1618" t="str">
        <f>HYPERLINK("http://dx.doi.org/10.1080/1369118X.2023.2174790","http://dx.doi.org/10.1080/1369118X.2023.2174790")</f>
        <v>http://dx.doi.org/10.1080/1369118X.2023.2174790</v>
      </c>
      <c r="BG1618" t="s">
        <v>74</v>
      </c>
      <c r="BH1618" t="s">
        <v>6895</v>
      </c>
      <c r="BI1618">
        <v>19</v>
      </c>
      <c r="BJ1618" t="s">
        <v>1047</v>
      </c>
      <c r="BK1618" t="s">
        <v>99</v>
      </c>
      <c r="BL1618" t="s">
        <v>1047</v>
      </c>
      <c r="BM1618" t="s">
        <v>27261</v>
      </c>
      <c r="BN1618" t="s">
        <v>74</v>
      </c>
      <c r="BO1618" t="s">
        <v>1343</v>
      </c>
      <c r="BP1618" t="s">
        <v>74</v>
      </c>
      <c r="BQ1618" t="s">
        <v>74</v>
      </c>
      <c r="BR1618" t="s">
        <v>102</v>
      </c>
      <c r="BS1618" t="s">
        <v>27262</v>
      </c>
      <c r="BT1618" t="str">
        <f>HYPERLINK("https%3A%2F%2Fwww.webofscience.com%2Fwos%2Fwoscc%2Ffull-record%2FWOS:000932256800001","View Full Record in Web of Science")</f>
        <v>View Full Record in Web of Science</v>
      </c>
    </row>
    <row r="1619" spans="1:72" x14ac:dyDescent="0.35">
      <c r="A1619" t="s">
        <v>72</v>
      </c>
      <c r="B1619" t="s">
        <v>27263</v>
      </c>
      <c r="C1619" t="s">
        <v>74</v>
      </c>
      <c r="D1619" t="s">
        <v>74</v>
      </c>
      <c r="E1619" t="s">
        <v>74</v>
      </c>
      <c r="F1619" t="s">
        <v>27264</v>
      </c>
      <c r="G1619" t="s">
        <v>74</v>
      </c>
      <c r="H1619" t="s">
        <v>74</v>
      </c>
      <c r="I1619" t="s">
        <v>27265</v>
      </c>
      <c r="J1619" t="s">
        <v>27266</v>
      </c>
      <c r="K1619" t="s">
        <v>74</v>
      </c>
      <c r="L1619" t="s">
        <v>74</v>
      </c>
      <c r="M1619" t="s">
        <v>78</v>
      </c>
      <c r="N1619" t="s">
        <v>108</v>
      </c>
      <c r="O1619" t="s">
        <v>74</v>
      </c>
      <c r="P1619" t="s">
        <v>74</v>
      </c>
      <c r="Q1619" t="s">
        <v>74</v>
      </c>
      <c r="R1619" t="s">
        <v>74</v>
      </c>
      <c r="S1619" t="s">
        <v>74</v>
      </c>
      <c r="T1619" t="s">
        <v>74</v>
      </c>
      <c r="U1619" t="s">
        <v>27267</v>
      </c>
      <c r="V1619" t="s">
        <v>27268</v>
      </c>
      <c r="W1619" t="s">
        <v>74</v>
      </c>
      <c r="X1619" t="s">
        <v>74</v>
      </c>
      <c r="Y1619" t="s">
        <v>74</v>
      </c>
      <c r="Z1619" t="s">
        <v>27269</v>
      </c>
      <c r="AA1619" t="s">
        <v>74</v>
      </c>
      <c r="AB1619" t="s">
        <v>27270</v>
      </c>
      <c r="AC1619" t="s">
        <v>74</v>
      </c>
      <c r="AD1619" t="s">
        <v>74</v>
      </c>
      <c r="AE1619" t="s">
        <v>74</v>
      </c>
      <c r="AF1619" t="s">
        <v>74</v>
      </c>
      <c r="AG1619">
        <v>54</v>
      </c>
      <c r="AH1619">
        <v>1</v>
      </c>
      <c r="AI1619">
        <v>1</v>
      </c>
      <c r="AJ1619">
        <v>2</v>
      </c>
      <c r="AK1619">
        <v>10</v>
      </c>
      <c r="AL1619" t="s">
        <v>1061</v>
      </c>
      <c r="AM1619" t="s">
        <v>1062</v>
      </c>
      <c r="AN1619" t="s">
        <v>1063</v>
      </c>
      <c r="AO1619" t="s">
        <v>27271</v>
      </c>
      <c r="AP1619" t="s">
        <v>27272</v>
      </c>
      <c r="AQ1619" t="s">
        <v>74</v>
      </c>
      <c r="AR1619" t="s">
        <v>27273</v>
      </c>
      <c r="AS1619" t="s">
        <v>27274</v>
      </c>
      <c r="AT1619" t="s">
        <v>594</v>
      </c>
      <c r="AU1619">
        <v>2022</v>
      </c>
      <c r="AV1619">
        <v>19</v>
      </c>
      <c r="AW1619">
        <v>3</v>
      </c>
      <c r="AX1619" t="s">
        <v>74</v>
      </c>
      <c r="AY1619" t="s">
        <v>74</v>
      </c>
      <c r="AZ1619" t="s">
        <v>456</v>
      </c>
      <c r="BA1619" t="s">
        <v>74</v>
      </c>
      <c r="BB1619">
        <v>495</v>
      </c>
      <c r="BC1619">
        <v>516</v>
      </c>
      <c r="BD1619" t="s">
        <v>27275</v>
      </c>
      <c r="BE1619" t="s">
        <v>27276</v>
      </c>
      <c r="BF1619" t="str">
        <f>HYPERLINK("http://dx.doi.org/10.1017/S1478572222000317","http://dx.doi.org/10.1017/S1478572222000317")</f>
        <v>http://dx.doi.org/10.1017/S1478572222000317</v>
      </c>
      <c r="BG1619" t="s">
        <v>74</v>
      </c>
      <c r="BH1619" t="s">
        <v>74</v>
      </c>
      <c r="BI1619">
        <v>22</v>
      </c>
      <c r="BJ1619" t="s">
        <v>6991</v>
      </c>
      <c r="BK1619" t="s">
        <v>316</v>
      </c>
      <c r="BL1619" t="s">
        <v>6991</v>
      </c>
      <c r="BM1619" t="s">
        <v>27277</v>
      </c>
      <c r="BN1619" t="s">
        <v>74</v>
      </c>
      <c r="BO1619" t="s">
        <v>74</v>
      </c>
      <c r="BP1619" t="s">
        <v>74</v>
      </c>
      <c r="BQ1619" t="s">
        <v>74</v>
      </c>
      <c r="BR1619" t="s">
        <v>102</v>
      </c>
      <c r="BS1619" t="s">
        <v>27278</v>
      </c>
      <c r="BT1619" t="str">
        <f>HYPERLINK("https%3A%2F%2Fwww.webofscience.com%2Fwos%2Fwoscc%2Ffull-record%2FWOS:000891448600010","View Full Record in Web of Science")</f>
        <v>View Full Record in Web of Science</v>
      </c>
    </row>
    <row r="1620" spans="1:72" x14ac:dyDescent="0.35">
      <c r="A1620" t="s">
        <v>72</v>
      </c>
      <c r="B1620" t="s">
        <v>27279</v>
      </c>
      <c r="C1620" t="s">
        <v>74</v>
      </c>
      <c r="D1620" t="s">
        <v>74</v>
      </c>
      <c r="E1620" t="s">
        <v>74</v>
      </c>
      <c r="F1620" t="s">
        <v>27280</v>
      </c>
      <c r="G1620" t="s">
        <v>74</v>
      </c>
      <c r="H1620" t="s">
        <v>74</v>
      </c>
      <c r="I1620" t="s">
        <v>27281</v>
      </c>
      <c r="J1620" t="s">
        <v>4384</v>
      </c>
      <c r="K1620" t="s">
        <v>74</v>
      </c>
      <c r="L1620" t="s">
        <v>74</v>
      </c>
      <c r="M1620" t="s">
        <v>78</v>
      </c>
      <c r="N1620" t="s">
        <v>108</v>
      </c>
      <c r="O1620" t="s">
        <v>74</v>
      </c>
      <c r="P1620" t="s">
        <v>74</v>
      </c>
      <c r="Q1620" t="s">
        <v>74</v>
      </c>
      <c r="R1620" t="s">
        <v>74</v>
      </c>
      <c r="S1620" t="s">
        <v>74</v>
      </c>
      <c r="T1620" t="s">
        <v>74</v>
      </c>
      <c r="U1620" t="s">
        <v>74</v>
      </c>
      <c r="V1620" t="s">
        <v>27282</v>
      </c>
      <c r="W1620" t="s">
        <v>27283</v>
      </c>
      <c r="X1620" t="s">
        <v>27284</v>
      </c>
      <c r="Y1620" t="s">
        <v>27285</v>
      </c>
      <c r="Z1620" t="s">
        <v>27286</v>
      </c>
      <c r="AA1620" t="s">
        <v>74</v>
      </c>
      <c r="AB1620" t="s">
        <v>27287</v>
      </c>
      <c r="AC1620" t="s">
        <v>27288</v>
      </c>
      <c r="AD1620" t="s">
        <v>27289</v>
      </c>
      <c r="AE1620" t="s">
        <v>27290</v>
      </c>
      <c r="AF1620" t="s">
        <v>74</v>
      </c>
      <c r="AG1620">
        <v>32</v>
      </c>
      <c r="AH1620">
        <v>0</v>
      </c>
      <c r="AI1620">
        <v>0</v>
      </c>
      <c r="AJ1620">
        <v>7</v>
      </c>
      <c r="AK1620">
        <v>24</v>
      </c>
      <c r="AL1620" t="s">
        <v>803</v>
      </c>
      <c r="AM1620" t="s">
        <v>227</v>
      </c>
      <c r="AN1620" t="s">
        <v>804</v>
      </c>
      <c r="AO1620" t="s">
        <v>74</v>
      </c>
      <c r="AP1620" t="s">
        <v>4395</v>
      </c>
      <c r="AQ1620" t="s">
        <v>74</v>
      </c>
      <c r="AR1620" t="s">
        <v>4396</v>
      </c>
      <c r="AS1620" t="s">
        <v>4397</v>
      </c>
      <c r="AT1620" t="s">
        <v>27291</v>
      </c>
      <c r="AU1620">
        <v>2022</v>
      </c>
      <c r="AV1620">
        <v>9</v>
      </c>
      <c r="AW1620">
        <v>1</v>
      </c>
      <c r="AX1620" t="s">
        <v>74</v>
      </c>
      <c r="AY1620" t="s">
        <v>74</v>
      </c>
      <c r="AZ1620" t="s">
        <v>74</v>
      </c>
      <c r="BA1620" t="s">
        <v>74</v>
      </c>
      <c r="BB1620" t="s">
        <v>74</v>
      </c>
      <c r="BC1620" t="s">
        <v>74</v>
      </c>
      <c r="BD1620">
        <v>378</v>
      </c>
      <c r="BE1620" t="s">
        <v>27292</v>
      </c>
      <c r="BF1620" t="str">
        <f>HYPERLINK("http://dx.doi.org/10.1057/s41599-022-01397-w","http://dx.doi.org/10.1057/s41599-022-01397-w")</f>
        <v>http://dx.doi.org/10.1057/s41599-022-01397-w</v>
      </c>
      <c r="BG1620" t="s">
        <v>74</v>
      </c>
      <c r="BH1620" t="s">
        <v>74</v>
      </c>
      <c r="BI1620">
        <v>10</v>
      </c>
      <c r="BJ1620" t="s">
        <v>4400</v>
      </c>
      <c r="BK1620" t="s">
        <v>2125</v>
      </c>
      <c r="BL1620" t="s">
        <v>4401</v>
      </c>
      <c r="BM1620" t="s">
        <v>27293</v>
      </c>
      <c r="BN1620">
        <v>36276917</v>
      </c>
      <c r="BO1620" t="s">
        <v>394</v>
      </c>
      <c r="BP1620" t="s">
        <v>74</v>
      </c>
      <c r="BQ1620" t="s">
        <v>74</v>
      </c>
      <c r="BR1620" t="s">
        <v>102</v>
      </c>
      <c r="BS1620" t="s">
        <v>27294</v>
      </c>
      <c r="BT1620" t="str">
        <f>HYPERLINK("https%3A%2F%2Fwww.webofscience.com%2Fwos%2Fwoscc%2Ffull-record%2FWOS:000869244500001","View Full Record in Web of Science")</f>
        <v>View Full Record in Web of Science</v>
      </c>
    </row>
    <row r="1621" spans="1:72" x14ac:dyDescent="0.35">
      <c r="A1621" t="s">
        <v>72</v>
      </c>
      <c r="B1621" t="s">
        <v>27295</v>
      </c>
      <c r="C1621" t="s">
        <v>74</v>
      </c>
      <c r="D1621" t="s">
        <v>74</v>
      </c>
      <c r="E1621" t="s">
        <v>74</v>
      </c>
      <c r="F1621" t="s">
        <v>27296</v>
      </c>
      <c r="G1621" t="s">
        <v>74</v>
      </c>
      <c r="H1621" t="s">
        <v>74</v>
      </c>
      <c r="I1621" t="s">
        <v>27297</v>
      </c>
      <c r="J1621" t="s">
        <v>27298</v>
      </c>
      <c r="K1621" t="s">
        <v>74</v>
      </c>
      <c r="L1621" t="s">
        <v>74</v>
      </c>
      <c r="M1621" t="s">
        <v>78</v>
      </c>
      <c r="N1621" t="s">
        <v>108</v>
      </c>
      <c r="O1621" t="s">
        <v>74</v>
      </c>
      <c r="P1621" t="s">
        <v>74</v>
      </c>
      <c r="Q1621" t="s">
        <v>74</v>
      </c>
      <c r="R1621" t="s">
        <v>74</v>
      </c>
      <c r="S1621" t="s">
        <v>74</v>
      </c>
      <c r="T1621" t="s">
        <v>27299</v>
      </c>
      <c r="U1621" t="s">
        <v>74</v>
      </c>
      <c r="V1621" t="s">
        <v>27300</v>
      </c>
      <c r="W1621" t="s">
        <v>27301</v>
      </c>
      <c r="X1621" t="s">
        <v>27302</v>
      </c>
      <c r="Y1621" t="s">
        <v>27303</v>
      </c>
      <c r="Z1621" t="s">
        <v>27304</v>
      </c>
      <c r="AA1621" t="s">
        <v>74</v>
      </c>
      <c r="AB1621" t="s">
        <v>74</v>
      </c>
      <c r="AC1621" t="s">
        <v>27305</v>
      </c>
      <c r="AD1621" t="s">
        <v>27306</v>
      </c>
      <c r="AE1621" t="s">
        <v>27307</v>
      </c>
      <c r="AF1621" t="s">
        <v>74</v>
      </c>
      <c r="AG1621">
        <v>0</v>
      </c>
      <c r="AH1621">
        <v>2</v>
      </c>
      <c r="AI1621">
        <v>2</v>
      </c>
      <c r="AJ1621">
        <v>11</v>
      </c>
      <c r="AK1621">
        <v>25</v>
      </c>
      <c r="AL1621" t="s">
        <v>1061</v>
      </c>
      <c r="AM1621" t="s">
        <v>1062</v>
      </c>
      <c r="AN1621" t="s">
        <v>1063</v>
      </c>
      <c r="AO1621" t="s">
        <v>27308</v>
      </c>
      <c r="AP1621" t="s">
        <v>27309</v>
      </c>
      <c r="AQ1621" t="s">
        <v>74</v>
      </c>
      <c r="AR1621" t="s">
        <v>27310</v>
      </c>
      <c r="AS1621" t="s">
        <v>27311</v>
      </c>
      <c r="AT1621" t="s">
        <v>273</v>
      </c>
      <c r="AU1621">
        <v>2023</v>
      </c>
      <c r="AV1621">
        <v>49</v>
      </c>
      <c r="AW1621" t="s">
        <v>27312</v>
      </c>
      <c r="AX1621" t="s">
        <v>74</v>
      </c>
      <c r="AY1621" t="s">
        <v>74</v>
      </c>
      <c r="AZ1621" t="s">
        <v>74</v>
      </c>
      <c r="BA1621" t="s">
        <v>74</v>
      </c>
      <c r="BB1621">
        <v>135</v>
      </c>
      <c r="BC1621">
        <v>172</v>
      </c>
      <c r="BD1621" t="s">
        <v>74</v>
      </c>
      <c r="BE1621" t="s">
        <v>27313</v>
      </c>
      <c r="BF1621" t="str">
        <f>HYPERLINK("http://dx.doi.org/10.1017/amj.2023.25","http://dx.doi.org/10.1017/amj.2023.25")</f>
        <v>http://dx.doi.org/10.1017/amj.2023.25</v>
      </c>
      <c r="BG1621" t="s">
        <v>74</v>
      </c>
      <c r="BH1621" t="s">
        <v>74</v>
      </c>
      <c r="BI1621">
        <v>38</v>
      </c>
      <c r="BJ1621" t="s">
        <v>10320</v>
      </c>
      <c r="BK1621" t="s">
        <v>99</v>
      </c>
      <c r="BL1621" t="s">
        <v>8015</v>
      </c>
      <c r="BM1621" t="s">
        <v>27314</v>
      </c>
      <c r="BN1621">
        <v>38344782</v>
      </c>
      <c r="BO1621" t="s">
        <v>74</v>
      </c>
      <c r="BP1621" t="s">
        <v>74</v>
      </c>
      <c r="BQ1621" t="s">
        <v>74</v>
      </c>
      <c r="BR1621" t="s">
        <v>102</v>
      </c>
      <c r="BS1621" t="s">
        <v>27315</v>
      </c>
      <c r="BT1621" t="str">
        <f>HYPERLINK("https%3A%2F%2Fwww.webofscience.com%2Fwos%2Fwoscc%2Ffull-record%2FWOS:001160948700005","View Full Record in Web of Science")</f>
        <v>View Full Record in Web of Science</v>
      </c>
    </row>
    <row r="1622" spans="1:72" x14ac:dyDescent="0.35">
      <c r="A1622" t="s">
        <v>72</v>
      </c>
      <c r="B1622" t="s">
        <v>27316</v>
      </c>
      <c r="C1622" t="s">
        <v>74</v>
      </c>
      <c r="D1622" t="s">
        <v>74</v>
      </c>
      <c r="E1622" t="s">
        <v>74</v>
      </c>
      <c r="F1622" t="s">
        <v>27317</v>
      </c>
      <c r="G1622" t="s">
        <v>74</v>
      </c>
      <c r="H1622" t="s">
        <v>74</v>
      </c>
      <c r="I1622" t="s">
        <v>27318</v>
      </c>
      <c r="J1622" t="s">
        <v>27319</v>
      </c>
      <c r="K1622" t="s">
        <v>74</v>
      </c>
      <c r="L1622" t="s">
        <v>74</v>
      </c>
      <c r="M1622" t="s">
        <v>78</v>
      </c>
      <c r="N1622" t="s">
        <v>108</v>
      </c>
      <c r="O1622" t="s">
        <v>74</v>
      </c>
      <c r="P1622" t="s">
        <v>74</v>
      </c>
      <c r="Q1622" t="s">
        <v>74</v>
      </c>
      <c r="R1622" t="s">
        <v>74</v>
      </c>
      <c r="S1622" t="s">
        <v>74</v>
      </c>
      <c r="T1622" t="s">
        <v>27320</v>
      </c>
      <c r="U1622" t="s">
        <v>20777</v>
      </c>
      <c r="V1622" t="s">
        <v>27321</v>
      </c>
      <c r="W1622" t="s">
        <v>27322</v>
      </c>
      <c r="X1622" t="s">
        <v>27323</v>
      </c>
      <c r="Y1622" t="s">
        <v>27324</v>
      </c>
      <c r="Z1622" t="s">
        <v>27325</v>
      </c>
      <c r="AA1622" t="s">
        <v>74</v>
      </c>
      <c r="AB1622" t="s">
        <v>27326</v>
      </c>
      <c r="AC1622" t="s">
        <v>27327</v>
      </c>
      <c r="AD1622" t="s">
        <v>27327</v>
      </c>
      <c r="AE1622" t="s">
        <v>27328</v>
      </c>
      <c r="AF1622" t="s">
        <v>74</v>
      </c>
      <c r="AG1622">
        <v>17</v>
      </c>
      <c r="AH1622">
        <v>7</v>
      </c>
      <c r="AI1622">
        <v>7</v>
      </c>
      <c r="AJ1622">
        <v>5</v>
      </c>
      <c r="AK1622">
        <v>31</v>
      </c>
      <c r="AL1622" t="s">
        <v>18678</v>
      </c>
      <c r="AM1622" t="s">
        <v>2853</v>
      </c>
      <c r="AN1622" t="s">
        <v>18679</v>
      </c>
      <c r="AO1622" t="s">
        <v>27329</v>
      </c>
      <c r="AP1622" t="s">
        <v>27330</v>
      </c>
      <c r="AQ1622" t="s">
        <v>74</v>
      </c>
      <c r="AR1622" t="s">
        <v>27331</v>
      </c>
      <c r="AS1622" t="s">
        <v>27332</v>
      </c>
      <c r="AT1622" t="s">
        <v>273</v>
      </c>
      <c r="AU1622">
        <v>2022</v>
      </c>
      <c r="AV1622">
        <v>11</v>
      </c>
      <c r="AW1622">
        <v>3</v>
      </c>
      <c r="AX1622" t="s">
        <v>74</v>
      </c>
      <c r="AY1622" t="s">
        <v>74</v>
      </c>
      <c r="AZ1622" t="s">
        <v>456</v>
      </c>
      <c r="BA1622" t="s">
        <v>74</v>
      </c>
      <c r="BB1622">
        <v>311</v>
      </c>
      <c r="BC1622">
        <v>315</v>
      </c>
      <c r="BD1622" t="s">
        <v>74</v>
      </c>
      <c r="BE1622" t="s">
        <v>27333</v>
      </c>
      <c r="BF1622" t="str">
        <f>HYPERLINK("http://dx.doi.org/10.1037/ppm0000376","http://dx.doi.org/10.1037/ppm0000376")</f>
        <v>http://dx.doi.org/10.1037/ppm0000376</v>
      </c>
      <c r="BG1622" t="s">
        <v>74</v>
      </c>
      <c r="BH1622" t="s">
        <v>747</v>
      </c>
      <c r="BI1622">
        <v>5</v>
      </c>
      <c r="BJ1622" t="s">
        <v>19238</v>
      </c>
      <c r="BK1622" t="s">
        <v>99</v>
      </c>
      <c r="BL1622" t="s">
        <v>19239</v>
      </c>
      <c r="BM1622" t="s">
        <v>27334</v>
      </c>
      <c r="BN1622" t="s">
        <v>74</v>
      </c>
      <c r="BO1622" t="s">
        <v>74</v>
      </c>
      <c r="BP1622" t="s">
        <v>74</v>
      </c>
      <c r="BQ1622" t="s">
        <v>74</v>
      </c>
      <c r="BR1622" t="s">
        <v>102</v>
      </c>
      <c r="BS1622" t="s">
        <v>27335</v>
      </c>
      <c r="BT1622" t="str">
        <f>HYPERLINK("https%3A%2F%2Fwww.webofscience.com%2Fwos%2Fwoscc%2Ffull-record%2FWOS:000733218900001","View Full Record in Web of Science")</f>
        <v>View Full Record in Web of Science</v>
      </c>
    </row>
    <row r="1623" spans="1:72" x14ac:dyDescent="0.35">
      <c r="A1623" t="s">
        <v>128</v>
      </c>
      <c r="B1623" t="s">
        <v>27336</v>
      </c>
      <c r="C1623" t="s">
        <v>74</v>
      </c>
      <c r="D1623" t="s">
        <v>27337</v>
      </c>
      <c r="E1623" t="s">
        <v>74</v>
      </c>
      <c r="F1623" t="s">
        <v>27338</v>
      </c>
      <c r="G1623" t="s">
        <v>74</v>
      </c>
      <c r="H1623" t="s">
        <v>74</v>
      </c>
      <c r="I1623" t="s">
        <v>27339</v>
      </c>
      <c r="J1623" t="s">
        <v>27340</v>
      </c>
      <c r="K1623" t="s">
        <v>27341</v>
      </c>
      <c r="L1623" t="s">
        <v>74</v>
      </c>
      <c r="M1623" t="s">
        <v>78</v>
      </c>
      <c r="N1623" t="s">
        <v>135</v>
      </c>
      <c r="O1623" t="s">
        <v>27342</v>
      </c>
      <c r="P1623" t="s">
        <v>27343</v>
      </c>
      <c r="Q1623" t="s">
        <v>27344</v>
      </c>
      <c r="R1623" t="s">
        <v>74</v>
      </c>
      <c r="S1623" t="s">
        <v>27345</v>
      </c>
      <c r="T1623" t="s">
        <v>27346</v>
      </c>
      <c r="U1623" t="s">
        <v>15802</v>
      </c>
      <c r="V1623" t="s">
        <v>27347</v>
      </c>
      <c r="W1623" t="s">
        <v>27348</v>
      </c>
      <c r="X1623" t="s">
        <v>27349</v>
      </c>
      <c r="Y1623" t="s">
        <v>27350</v>
      </c>
      <c r="Z1623" t="s">
        <v>27351</v>
      </c>
      <c r="AA1623" t="s">
        <v>74</v>
      </c>
      <c r="AB1623" t="s">
        <v>74</v>
      </c>
      <c r="AC1623" t="s">
        <v>74</v>
      </c>
      <c r="AD1623" t="s">
        <v>74</v>
      </c>
      <c r="AE1623" t="s">
        <v>74</v>
      </c>
      <c r="AF1623" t="s">
        <v>74</v>
      </c>
      <c r="AG1623">
        <v>18</v>
      </c>
      <c r="AH1623">
        <v>1</v>
      </c>
      <c r="AI1623">
        <v>1</v>
      </c>
      <c r="AJ1623">
        <v>1</v>
      </c>
      <c r="AK1623">
        <v>26</v>
      </c>
      <c r="AL1623" t="s">
        <v>7289</v>
      </c>
      <c r="AM1623" t="s">
        <v>7290</v>
      </c>
      <c r="AN1623" t="s">
        <v>27352</v>
      </c>
      <c r="AO1623" t="s">
        <v>27353</v>
      </c>
      <c r="AP1623" t="s">
        <v>74</v>
      </c>
      <c r="AQ1623" t="s">
        <v>27354</v>
      </c>
      <c r="AR1623" t="s">
        <v>27355</v>
      </c>
      <c r="AS1623" t="s">
        <v>74</v>
      </c>
      <c r="AT1623" t="s">
        <v>74</v>
      </c>
      <c r="AU1623">
        <v>2021</v>
      </c>
      <c r="AV1623" t="s">
        <v>74</v>
      </c>
      <c r="AW1623" t="s">
        <v>74</v>
      </c>
      <c r="AX1623" t="s">
        <v>74</v>
      </c>
      <c r="AY1623" t="s">
        <v>74</v>
      </c>
      <c r="AZ1623" t="s">
        <v>74</v>
      </c>
      <c r="BA1623" t="s">
        <v>74</v>
      </c>
      <c r="BB1623">
        <v>167</v>
      </c>
      <c r="BC1623">
        <v>178</v>
      </c>
      <c r="BD1623" t="s">
        <v>74</v>
      </c>
      <c r="BE1623" t="s">
        <v>27356</v>
      </c>
      <c r="BF1623" t="str">
        <f>HYPERLINK("http://dx.doi.org/10.2478/9788366675704-018","http://dx.doi.org/10.2478/9788366675704-018")</f>
        <v>http://dx.doi.org/10.2478/9788366675704-018</v>
      </c>
      <c r="BG1623" t="s">
        <v>74</v>
      </c>
      <c r="BH1623" t="s">
        <v>74</v>
      </c>
      <c r="BI1623">
        <v>12</v>
      </c>
      <c r="BJ1623" t="s">
        <v>27357</v>
      </c>
      <c r="BK1623" t="s">
        <v>154</v>
      </c>
      <c r="BL1623" t="s">
        <v>27358</v>
      </c>
      <c r="BM1623" t="s">
        <v>27359</v>
      </c>
      <c r="BN1623" t="s">
        <v>74</v>
      </c>
      <c r="BO1623" t="s">
        <v>156</v>
      </c>
      <c r="BP1623" t="s">
        <v>74</v>
      </c>
      <c r="BQ1623" t="s">
        <v>74</v>
      </c>
      <c r="BR1623" t="s">
        <v>102</v>
      </c>
      <c r="BS1623" t="s">
        <v>27360</v>
      </c>
      <c r="BT1623" t="str">
        <f>HYPERLINK("https%3A%2F%2Fwww.webofscience.com%2Fwos%2Fwoscc%2Ffull-record%2FWOS:000766030100017","View Full Record in Web of Science")</f>
        <v>View Full Record in Web of Science</v>
      </c>
    </row>
    <row r="1624" spans="1:72" x14ac:dyDescent="0.35">
      <c r="A1624" t="s">
        <v>72</v>
      </c>
      <c r="B1624" t="s">
        <v>27361</v>
      </c>
      <c r="C1624" t="s">
        <v>74</v>
      </c>
      <c r="D1624" t="s">
        <v>74</v>
      </c>
      <c r="E1624" t="s">
        <v>74</v>
      </c>
      <c r="F1624" t="s">
        <v>27362</v>
      </c>
      <c r="G1624" t="s">
        <v>74</v>
      </c>
      <c r="H1624" t="s">
        <v>74</v>
      </c>
      <c r="I1624" t="s">
        <v>27363</v>
      </c>
      <c r="J1624" t="s">
        <v>20554</v>
      </c>
      <c r="K1624" t="s">
        <v>74</v>
      </c>
      <c r="L1624" t="s">
        <v>74</v>
      </c>
      <c r="M1624" t="s">
        <v>78</v>
      </c>
      <c r="N1624" t="s">
        <v>108</v>
      </c>
      <c r="O1624" t="s">
        <v>74</v>
      </c>
      <c r="P1624" t="s">
        <v>74</v>
      </c>
      <c r="Q1624" t="s">
        <v>74</v>
      </c>
      <c r="R1624" t="s">
        <v>74</v>
      </c>
      <c r="S1624" t="s">
        <v>74</v>
      </c>
      <c r="T1624" t="s">
        <v>27364</v>
      </c>
      <c r="U1624" t="s">
        <v>27365</v>
      </c>
      <c r="V1624" t="s">
        <v>27366</v>
      </c>
      <c r="W1624" t="s">
        <v>27367</v>
      </c>
      <c r="X1624" t="s">
        <v>27368</v>
      </c>
      <c r="Y1624" t="s">
        <v>27369</v>
      </c>
      <c r="Z1624" t="s">
        <v>27370</v>
      </c>
      <c r="AA1624" t="s">
        <v>74</v>
      </c>
      <c r="AB1624" t="s">
        <v>27371</v>
      </c>
      <c r="AC1624" t="s">
        <v>74</v>
      </c>
      <c r="AD1624" t="s">
        <v>74</v>
      </c>
      <c r="AE1624" t="s">
        <v>74</v>
      </c>
      <c r="AF1624" t="s">
        <v>74</v>
      </c>
      <c r="AG1624">
        <v>27</v>
      </c>
      <c r="AH1624">
        <v>4</v>
      </c>
      <c r="AI1624">
        <v>4</v>
      </c>
      <c r="AJ1624">
        <v>3</v>
      </c>
      <c r="AK1624">
        <v>13</v>
      </c>
      <c r="AL1624" t="s">
        <v>543</v>
      </c>
      <c r="AM1624" t="s">
        <v>544</v>
      </c>
      <c r="AN1624" t="s">
        <v>545</v>
      </c>
      <c r="AO1624" t="s">
        <v>20559</v>
      </c>
      <c r="AP1624" t="s">
        <v>74</v>
      </c>
      <c r="AQ1624" t="s">
        <v>74</v>
      </c>
      <c r="AR1624" t="s">
        <v>20560</v>
      </c>
      <c r="AS1624" t="s">
        <v>20561</v>
      </c>
      <c r="AT1624" t="s">
        <v>74</v>
      </c>
      <c r="AU1624">
        <v>2023</v>
      </c>
      <c r="AV1624">
        <v>6</v>
      </c>
      <c r="AW1624" t="s">
        <v>74</v>
      </c>
      <c r="AX1624" t="s">
        <v>74</v>
      </c>
      <c r="AY1624" t="s">
        <v>74</v>
      </c>
      <c r="AZ1624" t="s">
        <v>74</v>
      </c>
      <c r="BA1624" t="s">
        <v>74</v>
      </c>
      <c r="BB1624" t="s">
        <v>74</v>
      </c>
      <c r="BC1624" t="s">
        <v>74</v>
      </c>
      <c r="BD1624" t="s">
        <v>27372</v>
      </c>
      <c r="BE1624" t="s">
        <v>27373</v>
      </c>
      <c r="BF1624" t="str">
        <f>HYPERLINK("http://dx.doi.org/10.2196/43961","http://dx.doi.org/10.2196/43961")</f>
        <v>http://dx.doi.org/10.2196/43961</v>
      </c>
      <c r="BG1624" t="s">
        <v>74</v>
      </c>
      <c r="BH1624" t="s">
        <v>74</v>
      </c>
      <c r="BI1624">
        <v>11</v>
      </c>
      <c r="BJ1624" t="s">
        <v>6641</v>
      </c>
      <c r="BK1624" t="s">
        <v>125</v>
      </c>
      <c r="BL1624" t="s">
        <v>6641</v>
      </c>
      <c r="BM1624" t="s">
        <v>27374</v>
      </c>
      <c r="BN1624">
        <v>37155230</v>
      </c>
      <c r="BO1624" t="s">
        <v>394</v>
      </c>
      <c r="BP1624" t="s">
        <v>74</v>
      </c>
      <c r="BQ1624" t="s">
        <v>74</v>
      </c>
      <c r="BR1624" t="s">
        <v>102</v>
      </c>
      <c r="BS1624" t="s">
        <v>27375</v>
      </c>
      <c r="BT1624" t="str">
        <f>HYPERLINK("https%3A%2F%2Fwww.webofscience.com%2Fwos%2Fwoscc%2Ffull-record%2FWOS:000996481000007","View Full Record in Web of Science")</f>
        <v>View Full Record in Web of Science</v>
      </c>
    </row>
    <row r="1625" spans="1:72" x14ac:dyDescent="0.35">
      <c r="A1625" t="s">
        <v>72</v>
      </c>
      <c r="B1625" t="s">
        <v>27376</v>
      </c>
      <c r="C1625" t="s">
        <v>74</v>
      </c>
      <c r="D1625" t="s">
        <v>74</v>
      </c>
      <c r="E1625" t="s">
        <v>74</v>
      </c>
      <c r="F1625" t="s">
        <v>27377</v>
      </c>
      <c r="G1625" t="s">
        <v>74</v>
      </c>
      <c r="H1625" t="s">
        <v>74</v>
      </c>
      <c r="I1625" t="s">
        <v>27378</v>
      </c>
      <c r="J1625" t="s">
        <v>27052</v>
      </c>
      <c r="K1625" t="s">
        <v>74</v>
      </c>
      <c r="L1625" t="s">
        <v>74</v>
      </c>
      <c r="M1625" t="s">
        <v>78</v>
      </c>
      <c r="N1625" t="s">
        <v>108</v>
      </c>
      <c r="O1625" t="s">
        <v>74</v>
      </c>
      <c r="P1625" t="s">
        <v>74</v>
      </c>
      <c r="Q1625" t="s">
        <v>74</v>
      </c>
      <c r="R1625" t="s">
        <v>74</v>
      </c>
      <c r="S1625" t="s">
        <v>74</v>
      </c>
      <c r="T1625" t="s">
        <v>27379</v>
      </c>
      <c r="U1625" t="s">
        <v>27380</v>
      </c>
      <c r="V1625" t="s">
        <v>27381</v>
      </c>
      <c r="W1625" t="s">
        <v>27382</v>
      </c>
      <c r="X1625" t="s">
        <v>27383</v>
      </c>
      <c r="Y1625" t="s">
        <v>27384</v>
      </c>
      <c r="Z1625" t="s">
        <v>27385</v>
      </c>
      <c r="AA1625" t="s">
        <v>27386</v>
      </c>
      <c r="AB1625" t="s">
        <v>27387</v>
      </c>
      <c r="AC1625" t="s">
        <v>27388</v>
      </c>
      <c r="AD1625" t="s">
        <v>27389</v>
      </c>
      <c r="AE1625" t="s">
        <v>27390</v>
      </c>
      <c r="AF1625" t="s">
        <v>74</v>
      </c>
      <c r="AG1625">
        <v>120</v>
      </c>
      <c r="AH1625">
        <v>0</v>
      </c>
      <c r="AI1625">
        <v>0</v>
      </c>
      <c r="AJ1625">
        <v>45</v>
      </c>
      <c r="AK1625">
        <v>45</v>
      </c>
      <c r="AL1625" t="s">
        <v>516</v>
      </c>
      <c r="AM1625" t="s">
        <v>517</v>
      </c>
      <c r="AN1625" t="s">
        <v>518</v>
      </c>
      <c r="AO1625" t="s">
        <v>27060</v>
      </c>
      <c r="AP1625" t="s">
        <v>27061</v>
      </c>
      <c r="AQ1625" t="s">
        <v>74</v>
      </c>
      <c r="AR1625" t="s">
        <v>27062</v>
      </c>
      <c r="AS1625" t="s">
        <v>27063</v>
      </c>
      <c r="AT1625" t="s">
        <v>455</v>
      </c>
      <c r="AU1625">
        <v>2024</v>
      </c>
      <c r="AV1625">
        <v>61</v>
      </c>
      <c r="AW1625">
        <v>6</v>
      </c>
      <c r="AX1625" t="s">
        <v>74</v>
      </c>
      <c r="AY1625" t="s">
        <v>74</v>
      </c>
      <c r="AZ1625" t="s">
        <v>74</v>
      </c>
      <c r="BA1625" t="s">
        <v>74</v>
      </c>
      <c r="BB1625" t="s">
        <v>74</v>
      </c>
      <c r="BC1625" t="s">
        <v>74</v>
      </c>
      <c r="BD1625">
        <v>104018</v>
      </c>
      <c r="BE1625" t="s">
        <v>27391</v>
      </c>
      <c r="BF1625" t="str">
        <f>HYPERLINK("http://dx.doi.org/10.1016/j.im.2024.104018","http://dx.doi.org/10.1016/j.im.2024.104018")</f>
        <v>http://dx.doi.org/10.1016/j.im.2024.104018</v>
      </c>
      <c r="BG1625" t="s">
        <v>74</v>
      </c>
      <c r="BH1625" t="s">
        <v>2444</v>
      </c>
      <c r="BI1625">
        <v>18</v>
      </c>
      <c r="BJ1625" t="s">
        <v>27065</v>
      </c>
      <c r="BK1625" t="s">
        <v>182</v>
      </c>
      <c r="BL1625" t="s">
        <v>27066</v>
      </c>
      <c r="BM1625" t="s">
        <v>27392</v>
      </c>
      <c r="BN1625" t="s">
        <v>74</v>
      </c>
      <c r="BO1625" t="s">
        <v>74</v>
      </c>
      <c r="BP1625" t="s">
        <v>74</v>
      </c>
      <c r="BQ1625" t="s">
        <v>74</v>
      </c>
      <c r="BR1625" t="s">
        <v>102</v>
      </c>
      <c r="BS1625" t="s">
        <v>27393</v>
      </c>
      <c r="BT1625" t="str">
        <f>HYPERLINK("https%3A%2F%2Fwww.webofscience.com%2Fwos%2Fwoscc%2Ffull-record%2FWOS:001292564100001","View Full Record in Web of Science")</f>
        <v>View Full Record in Web of Science</v>
      </c>
    </row>
    <row r="1626" spans="1:72" x14ac:dyDescent="0.35">
      <c r="A1626" t="s">
        <v>72</v>
      </c>
      <c r="B1626" t="s">
        <v>27394</v>
      </c>
      <c r="C1626" t="s">
        <v>74</v>
      </c>
      <c r="D1626" t="s">
        <v>74</v>
      </c>
      <c r="E1626" t="s">
        <v>74</v>
      </c>
      <c r="F1626" t="s">
        <v>27395</v>
      </c>
      <c r="G1626" t="s">
        <v>74</v>
      </c>
      <c r="H1626" t="s">
        <v>74</v>
      </c>
      <c r="I1626" t="s">
        <v>27396</v>
      </c>
      <c r="J1626" t="s">
        <v>27397</v>
      </c>
      <c r="K1626" t="s">
        <v>74</v>
      </c>
      <c r="L1626" t="s">
        <v>74</v>
      </c>
      <c r="M1626" t="s">
        <v>78</v>
      </c>
      <c r="N1626" t="s">
        <v>108</v>
      </c>
      <c r="O1626" t="s">
        <v>74</v>
      </c>
      <c r="P1626" t="s">
        <v>74</v>
      </c>
      <c r="Q1626" t="s">
        <v>74</v>
      </c>
      <c r="R1626" t="s">
        <v>74</v>
      </c>
      <c r="S1626" t="s">
        <v>74</v>
      </c>
      <c r="T1626" t="s">
        <v>27398</v>
      </c>
      <c r="U1626" t="s">
        <v>74</v>
      </c>
      <c r="V1626" t="s">
        <v>27399</v>
      </c>
      <c r="W1626" t="s">
        <v>27400</v>
      </c>
      <c r="X1626" t="s">
        <v>27401</v>
      </c>
      <c r="Y1626" t="s">
        <v>27402</v>
      </c>
      <c r="Z1626" t="s">
        <v>27403</v>
      </c>
      <c r="AA1626" t="s">
        <v>74</v>
      </c>
      <c r="AB1626" t="s">
        <v>27404</v>
      </c>
      <c r="AC1626" t="s">
        <v>27405</v>
      </c>
      <c r="AD1626" t="s">
        <v>27405</v>
      </c>
      <c r="AE1626" t="s">
        <v>27406</v>
      </c>
      <c r="AF1626" t="s">
        <v>74</v>
      </c>
      <c r="AG1626">
        <v>57</v>
      </c>
      <c r="AH1626">
        <v>2</v>
      </c>
      <c r="AI1626">
        <v>2</v>
      </c>
      <c r="AJ1626">
        <v>4</v>
      </c>
      <c r="AK1626">
        <v>5</v>
      </c>
      <c r="AL1626" t="s">
        <v>1129</v>
      </c>
      <c r="AM1626" t="s">
        <v>89</v>
      </c>
      <c r="AN1626" t="s">
        <v>1130</v>
      </c>
      <c r="AO1626" t="s">
        <v>27407</v>
      </c>
      <c r="AP1626" t="s">
        <v>27408</v>
      </c>
      <c r="AQ1626" t="s">
        <v>74</v>
      </c>
      <c r="AR1626" t="s">
        <v>27409</v>
      </c>
      <c r="AS1626" t="s">
        <v>27410</v>
      </c>
      <c r="AT1626" t="s">
        <v>13174</v>
      </c>
      <c r="AU1626">
        <v>2023</v>
      </c>
      <c r="AV1626">
        <v>40</v>
      </c>
      <c r="AW1626">
        <v>4</v>
      </c>
      <c r="AX1626" t="s">
        <v>74</v>
      </c>
      <c r="AY1626" t="s">
        <v>74</v>
      </c>
      <c r="AZ1626" t="s">
        <v>74</v>
      </c>
      <c r="BA1626" t="s">
        <v>74</v>
      </c>
      <c r="BB1626">
        <v>415</v>
      </c>
      <c r="BC1626">
        <v>433</v>
      </c>
      <c r="BD1626" t="s">
        <v>74</v>
      </c>
      <c r="BE1626" t="s">
        <v>27411</v>
      </c>
      <c r="BF1626" t="str">
        <f>HYPERLINK("http://dx.doi.org/10.1080/07359683.2023.2193076","http://dx.doi.org/10.1080/07359683.2023.2193076")</f>
        <v>http://dx.doi.org/10.1080/07359683.2023.2193076</v>
      </c>
      <c r="BG1626" t="s">
        <v>74</v>
      </c>
      <c r="BH1626" t="s">
        <v>74</v>
      </c>
      <c r="BI1626">
        <v>19</v>
      </c>
      <c r="BJ1626" t="s">
        <v>27412</v>
      </c>
      <c r="BK1626" t="s">
        <v>125</v>
      </c>
      <c r="BL1626" t="s">
        <v>27413</v>
      </c>
      <c r="BM1626" t="s">
        <v>27414</v>
      </c>
      <c r="BN1626">
        <v>37021625</v>
      </c>
      <c r="BO1626" t="s">
        <v>156</v>
      </c>
      <c r="BP1626" t="s">
        <v>74</v>
      </c>
      <c r="BQ1626" t="s">
        <v>74</v>
      </c>
      <c r="BR1626" t="s">
        <v>102</v>
      </c>
      <c r="BS1626" t="s">
        <v>27415</v>
      </c>
      <c r="BT1626" t="str">
        <f>HYPERLINK("https%3A%2F%2Fwww.webofscience.com%2Fwos%2Fwoscc%2Ffull-record%2FWOS:001241289100005","View Full Record in Web of Science")</f>
        <v>View Full Record in Web of Science</v>
      </c>
    </row>
    <row r="1627" spans="1:72" x14ac:dyDescent="0.35">
      <c r="A1627" t="s">
        <v>72</v>
      </c>
      <c r="B1627" t="s">
        <v>27416</v>
      </c>
      <c r="C1627" t="s">
        <v>74</v>
      </c>
      <c r="D1627" t="s">
        <v>74</v>
      </c>
      <c r="E1627" t="s">
        <v>74</v>
      </c>
      <c r="F1627" t="s">
        <v>27417</v>
      </c>
      <c r="G1627" t="s">
        <v>74</v>
      </c>
      <c r="H1627" t="s">
        <v>74</v>
      </c>
      <c r="I1627" t="s">
        <v>27418</v>
      </c>
      <c r="J1627" t="s">
        <v>988</v>
      </c>
      <c r="K1627" t="s">
        <v>74</v>
      </c>
      <c r="L1627" t="s">
        <v>74</v>
      </c>
      <c r="M1627" t="s">
        <v>78</v>
      </c>
      <c r="N1627" t="s">
        <v>79</v>
      </c>
      <c r="O1627" t="s">
        <v>74</v>
      </c>
      <c r="P1627" t="s">
        <v>74</v>
      </c>
      <c r="Q1627" t="s">
        <v>74</v>
      </c>
      <c r="R1627" t="s">
        <v>74</v>
      </c>
      <c r="S1627" t="s">
        <v>74</v>
      </c>
      <c r="T1627" t="s">
        <v>74</v>
      </c>
      <c r="U1627" t="s">
        <v>27419</v>
      </c>
      <c r="V1627" t="s">
        <v>27420</v>
      </c>
      <c r="W1627" t="s">
        <v>27421</v>
      </c>
      <c r="X1627" t="s">
        <v>27422</v>
      </c>
      <c r="Y1627" t="s">
        <v>27423</v>
      </c>
      <c r="Z1627" t="s">
        <v>27424</v>
      </c>
      <c r="AA1627" t="s">
        <v>74</v>
      </c>
      <c r="AB1627" t="s">
        <v>74</v>
      </c>
      <c r="AC1627" t="s">
        <v>74</v>
      </c>
      <c r="AD1627" t="s">
        <v>74</v>
      </c>
      <c r="AE1627" t="s">
        <v>74</v>
      </c>
      <c r="AF1627" t="s">
        <v>74</v>
      </c>
      <c r="AG1627">
        <v>48</v>
      </c>
      <c r="AH1627">
        <v>2</v>
      </c>
      <c r="AI1627">
        <v>2</v>
      </c>
      <c r="AJ1627">
        <v>2</v>
      </c>
      <c r="AK1627">
        <v>6</v>
      </c>
      <c r="AL1627" t="s">
        <v>994</v>
      </c>
      <c r="AM1627" t="s">
        <v>995</v>
      </c>
      <c r="AN1627" t="s">
        <v>996</v>
      </c>
      <c r="AO1627" t="s">
        <v>997</v>
      </c>
      <c r="AP1627" t="s">
        <v>998</v>
      </c>
      <c r="AQ1627" t="s">
        <v>74</v>
      </c>
      <c r="AR1627" t="s">
        <v>999</v>
      </c>
      <c r="AS1627" t="s">
        <v>1000</v>
      </c>
      <c r="AT1627" t="s">
        <v>27425</v>
      </c>
      <c r="AU1627">
        <v>2023</v>
      </c>
      <c r="AV1627" t="s">
        <v>74</v>
      </c>
      <c r="AW1627" t="s">
        <v>74</v>
      </c>
      <c r="AX1627" t="s">
        <v>74</v>
      </c>
      <c r="AY1627" t="s">
        <v>74</v>
      </c>
      <c r="AZ1627" t="s">
        <v>74</v>
      </c>
      <c r="BA1627" t="s">
        <v>74</v>
      </c>
      <c r="BB1627" t="s">
        <v>74</v>
      </c>
      <c r="BC1627" t="s">
        <v>74</v>
      </c>
      <c r="BD1627" t="s">
        <v>74</v>
      </c>
      <c r="BE1627" t="s">
        <v>27426</v>
      </c>
      <c r="BF1627" t="str">
        <f>HYPERLINK("http://dx.doi.org/10.1080/1057610X.2023.2225275","http://dx.doi.org/10.1080/1057610X.2023.2225275")</f>
        <v>http://dx.doi.org/10.1080/1057610X.2023.2225275</v>
      </c>
      <c r="BG1627" t="s">
        <v>74</v>
      </c>
      <c r="BH1627" t="s">
        <v>1954</v>
      </c>
      <c r="BI1627">
        <v>16</v>
      </c>
      <c r="BJ1627" t="s">
        <v>1004</v>
      </c>
      <c r="BK1627" t="s">
        <v>99</v>
      </c>
      <c r="BL1627" t="s">
        <v>1005</v>
      </c>
      <c r="BM1627" t="s">
        <v>27427</v>
      </c>
      <c r="BN1627" t="s">
        <v>74</v>
      </c>
      <c r="BO1627" t="s">
        <v>156</v>
      </c>
      <c r="BP1627" t="s">
        <v>74</v>
      </c>
      <c r="BQ1627" t="s">
        <v>74</v>
      </c>
      <c r="BR1627" t="s">
        <v>102</v>
      </c>
      <c r="BS1627" t="s">
        <v>27428</v>
      </c>
      <c r="BT1627" t="str">
        <f>HYPERLINK("https%3A%2F%2Fwww.webofscience.com%2Fwos%2Fwoscc%2Ffull-record%2FWOS:001021174600001","View Full Record in Web of Science")</f>
        <v>View Full Record in Web of Science</v>
      </c>
    </row>
    <row r="1628" spans="1:72" x14ac:dyDescent="0.35">
      <c r="A1628" t="s">
        <v>72</v>
      </c>
      <c r="B1628" t="s">
        <v>27429</v>
      </c>
      <c r="C1628" t="s">
        <v>74</v>
      </c>
      <c r="D1628" t="s">
        <v>74</v>
      </c>
      <c r="E1628" t="s">
        <v>74</v>
      </c>
      <c r="F1628" t="s">
        <v>27430</v>
      </c>
      <c r="G1628" t="s">
        <v>74</v>
      </c>
      <c r="H1628" t="s">
        <v>74</v>
      </c>
      <c r="I1628" t="s">
        <v>27431</v>
      </c>
      <c r="J1628" t="s">
        <v>13233</v>
      </c>
      <c r="K1628" t="s">
        <v>74</v>
      </c>
      <c r="L1628" t="s">
        <v>74</v>
      </c>
      <c r="M1628" t="s">
        <v>78</v>
      </c>
      <c r="N1628" t="s">
        <v>108</v>
      </c>
      <c r="O1628" t="s">
        <v>74</v>
      </c>
      <c r="P1628" t="s">
        <v>74</v>
      </c>
      <c r="Q1628" t="s">
        <v>74</v>
      </c>
      <c r="R1628" t="s">
        <v>74</v>
      </c>
      <c r="S1628" t="s">
        <v>74</v>
      </c>
      <c r="T1628" t="s">
        <v>27432</v>
      </c>
      <c r="U1628" t="s">
        <v>27433</v>
      </c>
      <c r="V1628" t="s">
        <v>27434</v>
      </c>
      <c r="W1628" t="s">
        <v>27435</v>
      </c>
      <c r="X1628" t="s">
        <v>74</v>
      </c>
      <c r="Y1628" t="s">
        <v>27436</v>
      </c>
      <c r="Z1628" t="s">
        <v>27437</v>
      </c>
      <c r="AA1628" t="s">
        <v>27438</v>
      </c>
      <c r="AB1628" t="s">
        <v>27439</v>
      </c>
      <c r="AC1628" t="s">
        <v>74</v>
      </c>
      <c r="AD1628" t="s">
        <v>74</v>
      </c>
      <c r="AE1628" t="s">
        <v>27440</v>
      </c>
      <c r="AF1628" t="s">
        <v>74</v>
      </c>
      <c r="AG1628">
        <v>58</v>
      </c>
      <c r="AH1628">
        <v>0</v>
      </c>
      <c r="AI1628">
        <v>0</v>
      </c>
      <c r="AJ1628">
        <v>1</v>
      </c>
      <c r="AK1628">
        <v>1</v>
      </c>
      <c r="AL1628" t="s">
        <v>171</v>
      </c>
      <c r="AM1628" t="s">
        <v>172</v>
      </c>
      <c r="AN1628" t="s">
        <v>173</v>
      </c>
      <c r="AO1628" t="s">
        <v>13246</v>
      </c>
      <c r="AP1628" t="s">
        <v>74</v>
      </c>
      <c r="AQ1628" t="s">
        <v>74</v>
      </c>
      <c r="AR1628" t="s">
        <v>13233</v>
      </c>
      <c r="AS1628" t="s">
        <v>13247</v>
      </c>
      <c r="AT1628" t="s">
        <v>273</v>
      </c>
      <c r="AU1628">
        <v>2024</v>
      </c>
      <c r="AV1628">
        <v>14</v>
      </c>
      <c r="AW1628">
        <v>3</v>
      </c>
      <c r="AX1628" t="s">
        <v>74</v>
      </c>
      <c r="AY1628" t="s">
        <v>74</v>
      </c>
      <c r="AZ1628" t="s">
        <v>74</v>
      </c>
      <c r="BA1628" t="s">
        <v>74</v>
      </c>
      <c r="BB1628" t="s">
        <v>74</v>
      </c>
      <c r="BC1628" t="s">
        <v>74</v>
      </c>
      <c r="BD1628">
        <v>2.1582440241278544E+16</v>
      </c>
      <c r="BE1628" t="s">
        <v>27441</v>
      </c>
      <c r="BF1628" t="str">
        <f>HYPERLINK("http://dx.doi.org/10.1177/21582440241278546","http://dx.doi.org/10.1177/21582440241278546")</f>
        <v>http://dx.doi.org/10.1177/21582440241278546</v>
      </c>
      <c r="BG1628" t="s">
        <v>74</v>
      </c>
      <c r="BH1628" t="s">
        <v>74</v>
      </c>
      <c r="BI1628">
        <v>12</v>
      </c>
      <c r="BJ1628" t="s">
        <v>98</v>
      </c>
      <c r="BK1628" t="s">
        <v>99</v>
      </c>
      <c r="BL1628" t="s">
        <v>100</v>
      </c>
      <c r="BM1628" t="s">
        <v>27442</v>
      </c>
      <c r="BN1628" t="s">
        <v>74</v>
      </c>
      <c r="BO1628" t="s">
        <v>235</v>
      </c>
      <c r="BP1628" t="s">
        <v>74</v>
      </c>
      <c r="BQ1628" t="s">
        <v>74</v>
      </c>
      <c r="BR1628" t="s">
        <v>102</v>
      </c>
      <c r="BS1628" t="s">
        <v>27443</v>
      </c>
      <c r="BT1628" t="str">
        <f>HYPERLINK("https%3A%2F%2Fwww.webofscience.com%2Fwos%2Fwoscc%2Ffull-record%2FWOS:001304084600001","View Full Record in Web of Science")</f>
        <v>View Full Record in Web of Science</v>
      </c>
    </row>
    <row r="1629" spans="1:72" x14ac:dyDescent="0.35">
      <c r="A1629" t="s">
        <v>72</v>
      </c>
      <c r="B1629" t="s">
        <v>27444</v>
      </c>
      <c r="C1629" t="s">
        <v>74</v>
      </c>
      <c r="D1629" t="s">
        <v>74</v>
      </c>
      <c r="E1629" t="s">
        <v>74</v>
      </c>
      <c r="F1629" t="s">
        <v>27445</v>
      </c>
      <c r="G1629" t="s">
        <v>74</v>
      </c>
      <c r="H1629" t="s">
        <v>74</v>
      </c>
      <c r="I1629" t="s">
        <v>27446</v>
      </c>
      <c r="J1629" t="s">
        <v>27447</v>
      </c>
      <c r="K1629" t="s">
        <v>74</v>
      </c>
      <c r="L1629" t="s">
        <v>74</v>
      </c>
      <c r="M1629" t="s">
        <v>78</v>
      </c>
      <c r="N1629" t="s">
        <v>108</v>
      </c>
      <c r="O1629" t="s">
        <v>74</v>
      </c>
      <c r="P1629" t="s">
        <v>74</v>
      </c>
      <c r="Q1629" t="s">
        <v>74</v>
      </c>
      <c r="R1629" t="s">
        <v>74</v>
      </c>
      <c r="S1629" t="s">
        <v>74</v>
      </c>
      <c r="T1629" t="s">
        <v>27448</v>
      </c>
      <c r="U1629" t="s">
        <v>27449</v>
      </c>
      <c r="V1629" t="s">
        <v>27450</v>
      </c>
      <c r="W1629" t="s">
        <v>27451</v>
      </c>
      <c r="X1629" t="s">
        <v>27452</v>
      </c>
      <c r="Y1629" t="s">
        <v>27453</v>
      </c>
      <c r="Z1629" t="s">
        <v>27454</v>
      </c>
      <c r="AA1629" t="s">
        <v>74</v>
      </c>
      <c r="AB1629" t="s">
        <v>27455</v>
      </c>
      <c r="AC1629" t="s">
        <v>27456</v>
      </c>
      <c r="AD1629" t="s">
        <v>27457</v>
      </c>
      <c r="AE1629" t="s">
        <v>27458</v>
      </c>
      <c r="AF1629" t="s">
        <v>74</v>
      </c>
      <c r="AG1629">
        <v>51</v>
      </c>
      <c r="AH1629">
        <v>4</v>
      </c>
      <c r="AI1629">
        <v>4</v>
      </c>
      <c r="AJ1629">
        <v>2</v>
      </c>
      <c r="AK1629">
        <v>35</v>
      </c>
      <c r="AL1629" t="s">
        <v>1195</v>
      </c>
      <c r="AM1629" t="s">
        <v>1196</v>
      </c>
      <c r="AN1629" t="s">
        <v>1197</v>
      </c>
      <c r="AO1629" t="s">
        <v>74</v>
      </c>
      <c r="AP1629" t="s">
        <v>27459</v>
      </c>
      <c r="AQ1629" t="s">
        <v>74</v>
      </c>
      <c r="AR1629" t="s">
        <v>27460</v>
      </c>
      <c r="AS1629" t="s">
        <v>27461</v>
      </c>
      <c r="AT1629" t="s">
        <v>745</v>
      </c>
      <c r="AU1629">
        <v>2022</v>
      </c>
      <c r="AV1629">
        <v>12</v>
      </c>
      <c r="AW1629">
        <v>9</v>
      </c>
      <c r="AX1629" t="s">
        <v>74</v>
      </c>
      <c r="AY1629" t="s">
        <v>74</v>
      </c>
      <c r="AZ1629" t="s">
        <v>74</v>
      </c>
      <c r="BA1629" t="s">
        <v>74</v>
      </c>
      <c r="BB1629" t="s">
        <v>74</v>
      </c>
      <c r="BC1629" t="s">
        <v>74</v>
      </c>
      <c r="BD1629">
        <v>4669</v>
      </c>
      <c r="BE1629" t="s">
        <v>27462</v>
      </c>
      <c r="BF1629" t="str">
        <f>HYPERLINK("http://dx.doi.org/10.3390/app12094669","http://dx.doi.org/10.3390/app12094669")</f>
        <v>http://dx.doi.org/10.3390/app12094669</v>
      </c>
      <c r="BG1629" t="s">
        <v>74</v>
      </c>
      <c r="BH1629" t="s">
        <v>74</v>
      </c>
      <c r="BI1629">
        <v>22</v>
      </c>
      <c r="BJ1629" t="s">
        <v>27463</v>
      </c>
      <c r="BK1629" t="s">
        <v>209</v>
      </c>
      <c r="BL1629" t="s">
        <v>27464</v>
      </c>
      <c r="BM1629" t="s">
        <v>27465</v>
      </c>
      <c r="BN1629" t="s">
        <v>74</v>
      </c>
      <c r="BO1629" t="s">
        <v>235</v>
      </c>
      <c r="BP1629" t="s">
        <v>74</v>
      </c>
      <c r="BQ1629" t="s">
        <v>74</v>
      </c>
      <c r="BR1629" t="s">
        <v>102</v>
      </c>
      <c r="BS1629" t="s">
        <v>27466</v>
      </c>
      <c r="BT1629" t="str">
        <f>HYPERLINK("https%3A%2F%2Fwww.webofscience.com%2Fwos%2Fwoscc%2Ffull-record%2FWOS:000794398900001","View Full Record in Web of Science")</f>
        <v>View Full Record in Web of Science</v>
      </c>
    </row>
    <row r="1630" spans="1:72" x14ac:dyDescent="0.35">
      <c r="A1630" t="s">
        <v>72</v>
      </c>
      <c r="B1630" t="s">
        <v>27467</v>
      </c>
      <c r="C1630" t="s">
        <v>74</v>
      </c>
      <c r="D1630" t="s">
        <v>74</v>
      </c>
      <c r="E1630" t="s">
        <v>74</v>
      </c>
      <c r="F1630" t="s">
        <v>27468</v>
      </c>
      <c r="G1630" t="s">
        <v>74</v>
      </c>
      <c r="H1630" t="s">
        <v>74</v>
      </c>
      <c r="I1630" t="s">
        <v>27469</v>
      </c>
      <c r="J1630" t="s">
        <v>27470</v>
      </c>
      <c r="K1630" t="s">
        <v>74</v>
      </c>
      <c r="L1630" t="s">
        <v>74</v>
      </c>
      <c r="M1630" t="s">
        <v>78</v>
      </c>
      <c r="N1630" t="s">
        <v>108</v>
      </c>
      <c r="O1630" t="s">
        <v>74</v>
      </c>
      <c r="P1630" t="s">
        <v>74</v>
      </c>
      <c r="Q1630" t="s">
        <v>74</v>
      </c>
      <c r="R1630" t="s">
        <v>74</v>
      </c>
      <c r="S1630" t="s">
        <v>74</v>
      </c>
      <c r="T1630" t="s">
        <v>27471</v>
      </c>
      <c r="U1630" t="s">
        <v>27472</v>
      </c>
      <c r="V1630" t="s">
        <v>27473</v>
      </c>
      <c r="W1630" t="s">
        <v>27474</v>
      </c>
      <c r="X1630" t="s">
        <v>27475</v>
      </c>
      <c r="Y1630" t="s">
        <v>27476</v>
      </c>
      <c r="Z1630" t="s">
        <v>27477</v>
      </c>
      <c r="AA1630" t="s">
        <v>27478</v>
      </c>
      <c r="AB1630" t="s">
        <v>27479</v>
      </c>
      <c r="AC1630" t="s">
        <v>74</v>
      </c>
      <c r="AD1630" t="s">
        <v>74</v>
      </c>
      <c r="AE1630" t="s">
        <v>74</v>
      </c>
      <c r="AF1630" t="s">
        <v>74</v>
      </c>
      <c r="AG1630">
        <v>70</v>
      </c>
      <c r="AH1630">
        <v>25</v>
      </c>
      <c r="AI1630">
        <v>26</v>
      </c>
      <c r="AJ1630">
        <v>10</v>
      </c>
      <c r="AK1630">
        <v>143</v>
      </c>
      <c r="AL1630" t="s">
        <v>803</v>
      </c>
      <c r="AM1630" t="s">
        <v>227</v>
      </c>
      <c r="AN1630" t="s">
        <v>804</v>
      </c>
      <c r="AO1630" t="s">
        <v>74</v>
      </c>
      <c r="AP1630" t="s">
        <v>27480</v>
      </c>
      <c r="AQ1630" t="s">
        <v>74</v>
      </c>
      <c r="AR1630" t="s">
        <v>27481</v>
      </c>
      <c r="AS1630" t="s">
        <v>27482</v>
      </c>
      <c r="AT1630" t="s">
        <v>1484</v>
      </c>
      <c r="AU1630">
        <v>2021</v>
      </c>
      <c r="AV1630">
        <v>7</v>
      </c>
      <c r="AW1630">
        <v>1</v>
      </c>
      <c r="AX1630" t="s">
        <v>74</v>
      </c>
      <c r="AY1630" t="s">
        <v>74</v>
      </c>
      <c r="AZ1630" t="s">
        <v>74</v>
      </c>
      <c r="BA1630" t="s">
        <v>74</v>
      </c>
      <c r="BB1630">
        <v>39</v>
      </c>
      <c r="BC1630">
        <v>44</v>
      </c>
      <c r="BD1630" t="s">
        <v>74</v>
      </c>
      <c r="BE1630" t="s">
        <v>27483</v>
      </c>
      <c r="BF1630" t="str">
        <f>HYPERLINK("http://dx.doi.org/10.1007/s40806-020-00255-9","http://dx.doi.org/10.1007/s40806-020-00255-9")</f>
        <v>http://dx.doi.org/10.1007/s40806-020-00255-9</v>
      </c>
      <c r="BG1630" t="s">
        <v>74</v>
      </c>
      <c r="BH1630" t="s">
        <v>74</v>
      </c>
      <c r="BI1630">
        <v>6</v>
      </c>
      <c r="BJ1630" t="s">
        <v>698</v>
      </c>
      <c r="BK1630" t="s">
        <v>125</v>
      </c>
      <c r="BL1630" t="s">
        <v>301</v>
      </c>
      <c r="BM1630" t="s">
        <v>27484</v>
      </c>
      <c r="BN1630" t="s">
        <v>74</v>
      </c>
      <c r="BO1630" t="s">
        <v>74</v>
      </c>
      <c r="BP1630" t="s">
        <v>74</v>
      </c>
      <c r="BQ1630" t="s">
        <v>74</v>
      </c>
      <c r="BR1630" t="s">
        <v>102</v>
      </c>
      <c r="BS1630" t="s">
        <v>27485</v>
      </c>
      <c r="BT1630" t="str">
        <f>HYPERLINK("https%3A%2F%2Fwww.webofscience.com%2Fwos%2Fwoscc%2Ffull-record%2FWOS:000620090100004","View Full Record in Web of Science")</f>
        <v>View Full Record in Web of Science</v>
      </c>
    </row>
    <row r="1631" spans="1:72" x14ac:dyDescent="0.35">
      <c r="A1631" t="s">
        <v>72</v>
      </c>
      <c r="B1631" t="s">
        <v>27486</v>
      </c>
      <c r="C1631" t="s">
        <v>74</v>
      </c>
      <c r="D1631" t="s">
        <v>74</v>
      </c>
      <c r="E1631" t="s">
        <v>74</v>
      </c>
      <c r="F1631" t="s">
        <v>27487</v>
      </c>
      <c r="G1631" t="s">
        <v>74</v>
      </c>
      <c r="H1631" t="s">
        <v>74</v>
      </c>
      <c r="I1631" t="s">
        <v>27488</v>
      </c>
      <c r="J1631" t="s">
        <v>4384</v>
      </c>
      <c r="K1631" t="s">
        <v>74</v>
      </c>
      <c r="L1631" t="s">
        <v>74</v>
      </c>
      <c r="M1631" t="s">
        <v>78</v>
      </c>
      <c r="N1631" t="s">
        <v>108</v>
      </c>
      <c r="O1631" t="s">
        <v>74</v>
      </c>
      <c r="P1631" t="s">
        <v>74</v>
      </c>
      <c r="Q1631" t="s">
        <v>74</v>
      </c>
      <c r="R1631" t="s">
        <v>74</v>
      </c>
      <c r="S1631" t="s">
        <v>74</v>
      </c>
      <c r="T1631" t="s">
        <v>74</v>
      </c>
      <c r="U1631" t="s">
        <v>74</v>
      </c>
      <c r="V1631" t="s">
        <v>27489</v>
      </c>
      <c r="W1631" t="s">
        <v>27490</v>
      </c>
      <c r="X1631" t="s">
        <v>27491</v>
      </c>
      <c r="Y1631" t="s">
        <v>27492</v>
      </c>
      <c r="Z1631" t="s">
        <v>27493</v>
      </c>
      <c r="AA1631" t="s">
        <v>27494</v>
      </c>
      <c r="AB1631" t="s">
        <v>27495</v>
      </c>
      <c r="AC1631" t="s">
        <v>27496</v>
      </c>
      <c r="AD1631" t="s">
        <v>27497</v>
      </c>
      <c r="AE1631" t="s">
        <v>27498</v>
      </c>
      <c r="AF1631" t="s">
        <v>74</v>
      </c>
      <c r="AG1631">
        <v>50</v>
      </c>
      <c r="AH1631">
        <v>0</v>
      </c>
      <c r="AI1631">
        <v>0</v>
      </c>
      <c r="AJ1631">
        <v>6</v>
      </c>
      <c r="AK1631">
        <v>27</v>
      </c>
      <c r="AL1631" t="s">
        <v>803</v>
      </c>
      <c r="AM1631" t="s">
        <v>227</v>
      </c>
      <c r="AN1631" t="s">
        <v>804</v>
      </c>
      <c r="AO1631" t="s">
        <v>74</v>
      </c>
      <c r="AP1631" t="s">
        <v>4395</v>
      </c>
      <c r="AQ1631" t="s">
        <v>74</v>
      </c>
      <c r="AR1631" t="s">
        <v>4396</v>
      </c>
      <c r="AS1631" t="s">
        <v>4397</v>
      </c>
      <c r="AT1631" t="s">
        <v>27499</v>
      </c>
      <c r="AU1631">
        <v>2023</v>
      </c>
      <c r="AV1631">
        <v>10</v>
      </c>
      <c r="AW1631">
        <v>1</v>
      </c>
      <c r="AX1631" t="s">
        <v>74</v>
      </c>
      <c r="AY1631" t="s">
        <v>74</v>
      </c>
      <c r="AZ1631" t="s">
        <v>74</v>
      </c>
      <c r="BA1631" t="s">
        <v>74</v>
      </c>
      <c r="BB1631" t="s">
        <v>74</v>
      </c>
      <c r="BC1631" t="s">
        <v>74</v>
      </c>
      <c r="BD1631">
        <v>491</v>
      </c>
      <c r="BE1631" t="s">
        <v>27500</v>
      </c>
      <c r="BF1631" t="str">
        <f>HYPERLINK("http://dx.doi.org/10.1057/s41599-023-02006-0","http://dx.doi.org/10.1057/s41599-023-02006-0")</f>
        <v>http://dx.doi.org/10.1057/s41599-023-02006-0</v>
      </c>
      <c r="BG1631" t="s">
        <v>74</v>
      </c>
      <c r="BH1631" t="s">
        <v>74</v>
      </c>
      <c r="BI1631">
        <v>12</v>
      </c>
      <c r="BJ1631" t="s">
        <v>4400</v>
      </c>
      <c r="BK1631" t="s">
        <v>2125</v>
      </c>
      <c r="BL1631" t="s">
        <v>4401</v>
      </c>
      <c r="BM1631" t="s">
        <v>27501</v>
      </c>
      <c r="BN1631" t="s">
        <v>74</v>
      </c>
      <c r="BO1631" t="s">
        <v>235</v>
      </c>
      <c r="BP1631" t="s">
        <v>74</v>
      </c>
      <c r="BQ1631" t="s">
        <v>74</v>
      </c>
      <c r="BR1631" t="s">
        <v>102</v>
      </c>
      <c r="BS1631" t="s">
        <v>27502</v>
      </c>
      <c r="BT1631" t="str">
        <f>HYPERLINK("https%3A%2F%2Fwww.webofscience.com%2Fwos%2Fwoscc%2Ffull-record%2FWOS:001045161200004","View Full Record in Web of Science")</f>
        <v>View Full Record in Web of Science</v>
      </c>
    </row>
    <row r="1632" spans="1:72" x14ac:dyDescent="0.35">
      <c r="A1632" t="s">
        <v>72</v>
      </c>
      <c r="B1632" t="s">
        <v>27503</v>
      </c>
      <c r="C1632" t="s">
        <v>74</v>
      </c>
      <c r="D1632" t="s">
        <v>74</v>
      </c>
      <c r="E1632" t="s">
        <v>74</v>
      </c>
      <c r="F1632" t="s">
        <v>27504</v>
      </c>
      <c r="G1632" t="s">
        <v>74</v>
      </c>
      <c r="H1632" t="s">
        <v>74</v>
      </c>
      <c r="I1632" t="s">
        <v>27505</v>
      </c>
      <c r="J1632" t="s">
        <v>17652</v>
      </c>
      <c r="K1632" t="s">
        <v>74</v>
      </c>
      <c r="L1632" t="s">
        <v>74</v>
      </c>
      <c r="M1632" t="s">
        <v>78</v>
      </c>
      <c r="N1632" t="s">
        <v>108</v>
      </c>
      <c r="O1632" t="s">
        <v>74</v>
      </c>
      <c r="P1632" t="s">
        <v>74</v>
      </c>
      <c r="Q1632" t="s">
        <v>74</v>
      </c>
      <c r="R1632" t="s">
        <v>74</v>
      </c>
      <c r="S1632" t="s">
        <v>74</v>
      </c>
      <c r="T1632" t="s">
        <v>27506</v>
      </c>
      <c r="U1632" t="s">
        <v>27507</v>
      </c>
      <c r="V1632" t="s">
        <v>27508</v>
      </c>
      <c r="W1632" t="s">
        <v>27509</v>
      </c>
      <c r="X1632" t="s">
        <v>27510</v>
      </c>
      <c r="Y1632" t="s">
        <v>27511</v>
      </c>
      <c r="Z1632" t="s">
        <v>74</v>
      </c>
      <c r="AA1632" t="s">
        <v>27512</v>
      </c>
      <c r="AB1632" t="s">
        <v>27513</v>
      </c>
      <c r="AC1632" t="s">
        <v>27514</v>
      </c>
      <c r="AD1632" t="s">
        <v>27514</v>
      </c>
      <c r="AE1632" t="s">
        <v>27515</v>
      </c>
      <c r="AF1632" t="s">
        <v>74</v>
      </c>
      <c r="AG1632">
        <v>34</v>
      </c>
      <c r="AH1632">
        <v>0</v>
      </c>
      <c r="AI1632">
        <v>0</v>
      </c>
      <c r="AJ1632">
        <v>4</v>
      </c>
      <c r="AK1632">
        <v>7</v>
      </c>
      <c r="AL1632" t="s">
        <v>803</v>
      </c>
      <c r="AM1632" t="s">
        <v>227</v>
      </c>
      <c r="AN1632" t="s">
        <v>804</v>
      </c>
      <c r="AO1632" t="s">
        <v>17662</v>
      </c>
      <c r="AP1632" t="s">
        <v>17663</v>
      </c>
      <c r="AQ1632" t="s">
        <v>74</v>
      </c>
      <c r="AR1632" t="s">
        <v>17664</v>
      </c>
      <c r="AS1632" t="s">
        <v>17665</v>
      </c>
      <c r="AT1632" t="s">
        <v>257</v>
      </c>
      <c r="AU1632">
        <v>2023</v>
      </c>
      <c r="AV1632">
        <v>3</v>
      </c>
      <c r="AW1632">
        <v>2</v>
      </c>
      <c r="AX1632" t="s">
        <v>74</v>
      </c>
      <c r="AY1632" t="s">
        <v>74</v>
      </c>
      <c r="AZ1632" t="s">
        <v>74</v>
      </c>
      <c r="BA1632" t="s">
        <v>74</v>
      </c>
      <c r="BB1632">
        <v>180</v>
      </c>
      <c r="BC1632">
        <v>198</v>
      </c>
      <c r="BD1632" t="s">
        <v>74</v>
      </c>
      <c r="BE1632" t="s">
        <v>27516</v>
      </c>
      <c r="BF1632" t="str">
        <f>HYPERLINK("http://dx.doi.org/10.1007/s43508-023-00069-y","http://dx.doi.org/10.1007/s43508-023-00069-y")</f>
        <v>http://dx.doi.org/10.1007/s43508-023-00069-y</v>
      </c>
      <c r="BG1632" t="s">
        <v>74</v>
      </c>
      <c r="BH1632" t="s">
        <v>74</v>
      </c>
      <c r="BI1632">
        <v>19</v>
      </c>
      <c r="BJ1632" t="s">
        <v>4942</v>
      </c>
      <c r="BK1632" t="s">
        <v>125</v>
      </c>
      <c r="BL1632" t="s">
        <v>4943</v>
      </c>
      <c r="BM1632" t="s">
        <v>27517</v>
      </c>
      <c r="BN1632" t="s">
        <v>74</v>
      </c>
      <c r="BO1632" t="s">
        <v>156</v>
      </c>
      <c r="BP1632" t="s">
        <v>74</v>
      </c>
      <c r="BQ1632" t="s">
        <v>74</v>
      </c>
      <c r="BR1632" t="s">
        <v>102</v>
      </c>
      <c r="BS1632" t="s">
        <v>27518</v>
      </c>
      <c r="BT1632" t="str">
        <f>HYPERLINK("https%3A%2F%2Fwww.webofscience.com%2Fwos%2Fwoscc%2Ffull-record%2FWOS:001137772500002","View Full Record in Web of Science")</f>
        <v>View Full Record in Web of Science</v>
      </c>
    </row>
    <row r="1633" spans="1:72" x14ac:dyDescent="0.35">
      <c r="A1633" t="s">
        <v>72</v>
      </c>
      <c r="B1633" t="s">
        <v>27519</v>
      </c>
      <c r="C1633" t="s">
        <v>74</v>
      </c>
      <c r="D1633" t="s">
        <v>74</v>
      </c>
      <c r="E1633" t="s">
        <v>74</v>
      </c>
      <c r="F1633" t="s">
        <v>27520</v>
      </c>
      <c r="G1633" t="s">
        <v>74</v>
      </c>
      <c r="H1633" t="s">
        <v>74</v>
      </c>
      <c r="I1633" t="s">
        <v>27521</v>
      </c>
      <c r="J1633" t="s">
        <v>27522</v>
      </c>
      <c r="K1633" t="s">
        <v>74</v>
      </c>
      <c r="L1633" t="s">
        <v>74</v>
      </c>
      <c r="M1633" t="s">
        <v>78</v>
      </c>
      <c r="N1633" t="s">
        <v>108</v>
      </c>
      <c r="O1633" t="s">
        <v>74</v>
      </c>
      <c r="P1633" t="s">
        <v>74</v>
      </c>
      <c r="Q1633" t="s">
        <v>74</v>
      </c>
      <c r="R1633" t="s">
        <v>74</v>
      </c>
      <c r="S1633" t="s">
        <v>74</v>
      </c>
      <c r="T1633" t="s">
        <v>27523</v>
      </c>
      <c r="U1633" t="s">
        <v>74</v>
      </c>
      <c r="V1633" t="s">
        <v>27524</v>
      </c>
      <c r="W1633" t="s">
        <v>27525</v>
      </c>
      <c r="X1633" t="s">
        <v>27526</v>
      </c>
      <c r="Y1633" t="s">
        <v>27527</v>
      </c>
      <c r="Z1633" t="s">
        <v>27528</v>
      </c>
      <c r="AA1633" t="s">
        <v>27529</v>
      </c>
      <c r="AB1633" t="s">
        <v>74</v>
      </c>
      <c r="AC1633" t="s">
        <v>27530</v>
      </c>
      <c r="AD1633" t="s">
        <v>27531</v>
      </c>
      <c r="AE1633" t="s">
        <v>27532</v>
      </c>
      <c r="AF1633" t="s">
        <v>74</v>
      </c>
      <c r="AG1633">
        <v>42</v>
      </c>
      <c r="AH1633">
        <v>2</v>
      </c>
      <c r="AI1633">
        <v>2</v>
      </c>
      <c r="AJ1633">
        <v>5</v>
      </c>
      <c r="AK1633">
        <v>8</v>
      </c>
      <c r="AL1633" t="s">
        <v>27533</v>
      </c>
      <c r="AM1633" t="s">
        <v>27534</v>
      </c>
      <c r="AN1633" t="s">
        <v>27535</v>
      </c>
      <c r="AO1633" t="s">
        <v>27536</v>
      </c>
      <c r="AP1633" t="s">
        <v>74</v>
      </c>
      <c r="AQ1633" t="s">
        <v>74</v>
      </c>
      <c r="AR1633" t="s">
        <v>27537</v>
      </c>
      <c r="AS1633" t="s">
        <v>27538</v>
      </c>
      <c r="AT1633" t="s">
        <v>8762</v>
      </c>
      <c r="AU1633">
        <v>2023</v>
      </c>
      <c r="AV1633">
        <v>16</v>
      </c>
      <c r="AW1633">
        <v>2</v>
      </c>
      <c r="AX1633" t="s">
        <v>74</v>
      </c>
      <c r="AY1633" t="s">
        <v>74</v>
      </c>
      <c r="AZ1633" t="s">
        <v>74</v>
      </c>
      <c r="BA1633" t="s">
        <v>74</v>
      </c>
      <c r="BB1633" t="s">
        <v>74</v>
      </c>
      <c r="BC1633" t="s">
        <v>74</v>
      </c>
      <c r="BD1633">
        <v>3306</v>
      </c>
      <c r="BE1633" t="s">
        <v>27539</v>
      </c>
      <c r="BF1633" t="str">
        <f>HYPERLINK("http://dx.doi.org/10.56754/0718-4867.2023.3306","http://dx.doi.org/10.56754/0718-4867.2023.3306")</f>
        <v>http://dx.doi.org/10.56754/0718-4867.2023.3306</v>
      </c>
      <c r="BG1633" t="s">
        <v>74</v>
      </c>
      <c r="BH1633" t="s">
        <v>74</v>
      </c>
      <c r="BI1633">
        <v>22</v>
      </c>
      <c r="BJ1633" t="s">
        <v>124</v>
      </c>
      <c r="BK1633" t="s">
        <v>125</v>
      </c>
      <c r="BL1633" t="s">
        <v>124</v>
      </c>
      <c r="BM1633" t="s">
        <v>27540</v>
      </c>
      <c r="BN1633" t="s">
        <v>74</v>
      </c>
      <c r="BO1633" t="s">
        <v>5678</v>
      </c>
      <c r="BP1633" t="s">
        <v>74</v>
      </c>
      <c r="BQ1633" t="s">
        <v>74</v>
      </c>
      <c r="BR1633" t="s">
        <v>102</v>
      </c>
      <c r="BS1633" t="s">
        <v>27541</v>
      </c>
      <c r="BT1633" t="str">
        <f>HYPERLINK("https%3A%2F%2Fwww.webofscience.com%2Fwos%2Fwoscc%2Ffull-record%2FWOS:001144094900013","View Full Record in Web of Science")</f>
        <v>View Full Record in Web of Science</v>
      </c>
    </row>
    <row r="1634" spans="1:72" x14ac:dyDescent="0.35">
      <c r="A1634" t="s">
        <v>72</v>
      </c>
      <c r="B1634" t="s">
        <v>27542</v>
      </c>
      <c r="C1634" t="s">
        <v>74</v>
      </c>
      <c r="D1634" t="s">
        <v>74</v>
      </c>
      <c r="E1634" t="s">
        <v>74</v>
      </c>
      <c r="F1634" t="s">
        <v>27543</v>
      </c>
      <c r="G1634" t="s">
        <v>74</v>
      </c>
      <c r="H1634" t="s">
        <v>74</v>
      </c>
      <c r="I1634" t="s">
        <v>27544</v>
      </c>
      <c r="J1634" t="s">
        <v>27545</v>
      </c>
      <c r="K1634" t="s">
        <v>74</v>
      </c>
      <c r="L1634" t="s">
        <v>74</v>
      </c>
      <c r="M1634" t="s">
        <v>78</v>
      </c>
      <c r="N1634" t="s">
        <v>108</v>
      </c>
      <c r="O1634" t="s">
        <v>74</v>
      </c>
      <c r="P1634" t="s">
        <v>74</v>
      </c>
      <c r="Q1634" t="s">
        <v>74</v>
      </c>
      <c r="R1634" t="s">
        <v>74</v>
      </c>
      <c r="S1634" t="s">
        <v>74</v>
      </c>
      <c r="T1634" t="s">
        <v>27546</v>
      </c>
      <c r="U1634" t="s">
        <v>6171</v>
      </c>
      <c r="V1634" t="s">
        <v>27547</v>
      </c>
      <c r="W1634" t="s">
        <v>27548</v>
      </c>
      <c r="X1634" t="s">
        <v>27549</v>
      </c>
      <c r="Y1634" t="s">
        <v>27550</v>
      </c>
      <c r="Z1634" t="s">
        <v>27551</v>
      </c>
      <c r="AA1634" t="s">
        <v>27552</v>
      </c>
      <c r="AB1634" t="s">
        <v>74</v>
      </c>
      <c r="AC1634" t="s">
        <v>27553</v>
      </c>
      <c r="AD1634" t="s">
        <v>27554</v>
      </c>
      <c r="AE1634" t="s">
        <v>27555</v>
      </c>
      <c r="AF1634" t="s">
        <v>74</v>
      </c>
      <c r="AG1634">
        <v>31</v>
      </c>
      <c r="AH1634">
        <v>1</v>
      </c>
      <c r="AI1634">
        <v>1</v>
      </c>
      <c r="AJ1634">
        <v>5</v>
      </c>
      <c r="AK1634">
        <v>57</v>
      </c>
      <c r="AL1634" t="s">
        <v>384</v>
      </c>
      <c r="AM1634" t="s">
        <v>385</v>
      </c>
      <c r="AN1634" t="s">
        <v>386</v>
      </c>
      <c r="AO1634" t="s">
        <v>27556</v>
      </c>
      <c r="AP1634" t="s">
        <v>74</v>
      </c>
      <c r="AQ1634" t="s">
        <v>74</v>
      </c>
      <c r="AR1634" t="s">
        <v>27557</v>
      </c>
      <c r="AS1634" t="s">
        <v>27558</v>
      </c>
      <c r="AT1634" t="s">
        <v>6315</v>
      </c>
      <c r="AU1634">
        <v>2022</v>
      </c>
      <c r="AV1634">
        <v>10</v>
      </c>
      <c r="AW1634" t="s">
        <v>74</v>
      </c>
      <c r="AX1634" t="s">
        <v>74</v>
      </c>
      <c r="AY1634" t="s">
        <v>74</v>
      </c>
      <c r="AZ1634" t="s">
        <v>74</v>
      </c>
      <c r="BA1634" t="s">
        <v>74</v>
      </c>
      <c r="BB1634" t="s">
        <v>74</v>
      </c>
      <c r="BC1634" t="s">
        <v>74</v>
      </c>
      <c r="BD1634">
        <v>1018704</v>
      </c>
      <c r="BE1634" t="s">
        <v>27559</v>
      </c>
      <c r="BF1634" t="str">
        <f>HYPERLINK("http://dx.doi.org/10.3389/fphy.2022.1018704","http://dx.doi.org/10.3389/fphy.2022.1018704")</f>
        <v>http://dx.doi.org/10.3389/fphy.2022.1018704</v>
      </c>
      <c r="BG1634" t="s">
        <v>74</v>
      </c>
      <c r="BH1634" t="s">
        <v>74</v>
      </c>
      <c r="BI1634">
        <v>9</v>
      </c>
      <c r="BJ1634" t="s">
        <v>27560</v>
      </c>
      <c r="BK1634" t="s">
        <v>209</v>
      </c>
      <c r="BL1634" t="s">
        <v>27561</v>
      </c>
      <c r="BM1634" t="s">
        <v>27562</v>
      </c>
      <c r="BN1634" t="s">
        <v>74</v>
      </c>
      <c r="BO1634" t="s">
        <v>235</v>
      </c>
      <c r="BP1634" t="s">
        <v>74</v>
      </c>
      <c r="BQ1634" t="s">
        <v>74</v>
      </c>
      <c r="BR1634" t="s">
        <v>102</v>
      </c>
      <c r="BS1634" t="s">
        <v>27563</v>
      </c>
      <c r="BT1634" t="str">
        <f>HYPERLINK("https%3A%2F%2Fwww.webofscience.com%2Fwos%2Fwoscc%2Ffull-record%2FWOS:000885181400001","View Full Record in Web of Science")</f>
        <v>View Full Record in Web of Science</v>
      </c>
    </row>
    <row r="1635" spans="1:72" x14ac:dyDescent="0.35">
      <c r="A1635" t="s">
        <v>72</v>
      </c>
      <c r="B1635" t="s">
        <v>27564</v>
      </c>
      <c r="C1635" t="s">
        <v>74</v>
      </c>
      <c r="D1635" t="s">
        <v>74</v>
      </c>
      <c r="E1635" t="s">
        <v>74</v>
      </c>
      <c r="F1635" t="s">
        <v>27565</v>
      </c>
      <c r="G1635" t="s">
        <v>74</v>
      </c>
      <c r="H1635" t="s">
        <v>74</v>
      </c>
      <c r="I1635" t="s">
        <v>27566</v>
      </c>
      <c r="J1635" t="s">
        <v>27567</v>
      </c>
      <c r="K1635" t="s">
        <v>74</v>
      </c>
      <c r="L1635" t="s">
        <v>74</v>
      </c>
      <c r="M1635" t="s">
        <v>78</v>
      </c>
      <c r="N1635" t="s">
        <v>108</v>
      </c>
      <c r="O1635" t="s">
        <v>74</v>
      </c>
      <c r="P1635" t="s">
        <v>74</v>
      </c>
      <c r="Q1635" t="s">
        <v>74</v>
      </c>
      <c r="R1635" t="s">
        <v>74</v>
      </c>
      <c r="S1635" t="s">
        <v>74</v>
      </c>
      <c r="T1635" t="s">
        <v>74</v>
      </c>
      <c r="U1635" t="s">
        <v>27568</v>
      </c>
      <c r="V1635" t="s">
        <v>27569</v>
      </c>
      <c r="W1635" t="s">
        <v>27570</v>
      </c>
      <c r="X1635" t="s">
        <v>27571</v>
      </c>
      <c r="Y1635" t="s">
        <v>27572</v>
      </c>
      <c r="Z1635" t="s">
        <v>27573</v>
      </c>
      <c r="AA1635" t="s">
        <v>74</v>
      </c>
      <c r="AB1635" t="s">
        <v>74</v>
      </c>
      <c r="AC1635" t="s">
        <v>74</v>
      </c>
      <c r="AD1635" t="s">
        <v>74</v>
      </c>
      <c r="AE1635" t="s">
        <v>74</v>
      </c>
      <c r="AF1635" t="s">
        <v>74</v>
      </c>
      <c r="AG1635">
        <v>10</v>
      </c>
      <c r="AH1635">
        <v>1</v>
      </c>
      <c r="AI1635">
        <v>1</v>
      </c>
      <c r="AJ1635">
        <v>0</v>
      </c>
      <c r="AK1635">
        <v>0</v>
      </c>
      <c r="AL1635" t="s">
        <v>665</v>
      </c>
      <c r="AM1635" t="s">
        <v>666</v>
      </c>
      <c r="AN1635" t="s">
        <v>667</v>
      </c>
      <c r="AO1635" t="s">
        <v>27574</v>
      </c>
      <c r="AP1635" t="s">
        <v>27575</v>
      </c>
      <c r="AQ1635" t="s">
        <v>74</v>
      </c>
      <c r="AR1635" t="s">
        <v>27576</v>
      </c>
      <c r="AS1635" t="s">
        <v>27577</v>
      </c>
      <c r="AT1635" t="s">
        <v>1275</v>
      </c>
      <c r="AU1635">
        <v>2023</v>
      </c>
      <c r="AV1635">
        <v>38</v>
      </c>
      <c r="AW1635">
        <v>16</v>
      </c>
      <c r="AX1635" t="s">
        <v>74</v>
      </c>
      <c r="AY1635" t="s">
        <v>74</v>
      </c>
      <c r="AZ1635" t="s">
        <v>74</v>
      </c>
      <c r="BA1635" t="s">
        <v>74</v>
      </c>
      <c r="BB1635">
        <v>3633</v>
      </c>
      <c r="BC1635">
        <v>3635</v>
      </c>
      <c r="BD1635" t="s">
        <v>74</v>
      </c>
      <c r="BE1635" t="s">
        <v>27578</v>
      </c>
      <c r="BF1635" t="str">
        <f>HYPERLINK("http://dx.doi.org/10.1007/s11606-023-08432-9","http://dx.doi.org/10.1007/s11606-023-08432-9")</f>
        <v>http://dx.doi.org/10.1007/s11606-023-08432-9</v>
      </c>
      <c r="BG1635" t="s">
        <v>74</v>
      </c>
      <c r="BH1635" t="s">
        <v>2929</v>
      </c>
      <c r="BI1635">
        <v>3</v>
      </c>
      <c r="BJ1635" t="s">
        <v>27579</v>
      </c>
      <c r="BK1635" t="s">
        <v>209</v>
      </c>
      <c r="BL1635" t="s">
        <v>27580</v>
      </c>
      <c r="BM1635" t="s">
        <v>27581</v>
      </c>
      <c r="BN1635">
        <v>37758968</v>
      </c>
      <c r="BO1635" t="s">
        <v>74</v>
      </c>
      <c r="BP1635" t="s">
        <v>74</v>
      </c>
      <c r="BQ1635" t="s">
        <v>74</v>
      </c>
      <c r="BR1635" t="s">
        <v>102</v>
      </c>
      <c r="BS1635" t="s">
        <v>27582</v>
      </c>
      <c r="BT1635" t="str">
        <f>HYPERLINK("https%3A%2F%2Fwww.webofscience.com%2Fwos%2Fwoscc%2Ffull-record%2FWOS:001073929600001","View Full Record in Web of Science")</f>
        <v>View Full Record in Web of Science</v>
      </c>
    </row>
    <row r="1636" spans="1:72" x14ac:dyDescent="0.35">
      <c r="A1636" t="s">
        <v>72</v>
      </c>
      <c r="B1636" t="s">
        <v>27583</v>
      </c>
      <c r="C1636" t="s">
        <v>74</v>
      </c>
      <c r="D1636" t="s">
        <v>74</v>
      </c>
      <c r="E1636" t="s">
        <v>74</v>
      </c>
      <c r="F1636" t="s">
        <v>27584</v>
      </c>
      <c r="G1636" t="s">
        <v>74</v>
      </c>
      <c r="H1636" t="s">
        <v>74</v>
      </c>
      <c r="I1636" t="s">
        <v>27585</v>
      </c>
      <c r="J1636" t="s">
        <v>7101</v>
      </c>
      <c r="K1636" t="s">
        <v>74</v>
      </c>
      <c r="L1636" t="s">
        <v>74</v>
      </c>
      <c r="M1636" t="s">
        <v>78</v>
      </c>
      <c r="N1636" t="s">
        <v>108</v>
      </c>
      <c r="O1636" t="s">
        <v>74</v>
      </c>
      <c r="P1636" t="s">
        <v>74</v>
      </c>
      <c r="Q1636" t="s">
        <v>74</v>
      </c>
      <c r="R1636" t="s">
        <v>74</v>
      </c>
      <c r="S1636" t="s">
        <v>74</v>
      </c>
      <c r="T1636" t="s">
        <v>27586</v>
      </c>
      <c r="U1636" t="s">
        <v>27587</v>
      </c>
      <c r="V1636" t="s">
        <v>27588</v>
      </c>
      <c r="W1636" t="s">
        <v>27589</v>
      </c>
      <c r="X1636" t="s">
        <v>27590</v>
      </c>
      <c r="Y1636" t="s">
        <v>27591</v>
      </c>
      <c r="Z1636" t="s">
        <v>27592</v>
      </c>
      <c r="AA1636" t="s">
        <v>27593</v>
      </c>
      <c r="AB1636" t="s">
        <v>74</v>
      </c>
      <c r="AC1636" t="s">
        <v>74</v>
      </c>
      <c r="AD1636" t="s">
        <v>74</v>
      </c>
      <c r="AE1636" t="s">
        <v>74</v>
      </c>
      <c r="AF1636" t="s">
        <v>74</v>
      </c>
      <c r="AG1636">
        <v>31</v>
      </c>
      <c r="AH1636">
        <v>1</v>
      </c>
      <c r="AI1636">
        <v>1</v>
      </c>
      <c r="AJ1636">
        <v>8</v>
      </c>
      <c r="AK1636">
        <v>37</v>
      </c>
      <c r="AL1636" t="s">
        <v>2248</v>
      </c>
      <c r="AM1636" t="s">
        <v>2249</v>
      </c>
      <c r="AN1636" t="s">
        <v>2250</v>
      </c>
      <c r="AO1636" t="s">
        <v>7110</v>
      </c>
      <c r="AP1636" t="s">
        <v>74</v>
      </c>
      <c r="AQ1636" t="s">
        <v>74</v>
      </c>
      <c r="AR1636" t="s">
        <v>7111</v>
      </c>
      <c r="AS1636" t="s">
        <v>7112</v>
      </c>
      <c r="AT1636" t="s">
        <v>25624</v>
      </c>
      <c r="AU1636">
        <v>2023</v>
      </c>
      <c r="AV1636">
        <v>28</v>
      </c>
      <c r="AW1636">
        <v>6</v>
      </c>
      <c r="AX1636" t="s">
        <v>74</v>
      </c>
      <c r="AY1636" t="s">
        <v>74</v>
      </c>
      <c r="AZ1636" t="s">
        <v>74</v>
      </c>
      <c r="BA1636" t="s">
        <v>74</v>
      </c>
      <c r="BB1636" t="s">
        <v>74</v>
      </c>
      <c r="BC1636" t="s">
        <v>74</v>
      </c>
      <c r="BD1636" t="s">
        <v>27594</v>
      </c>
      <c r="BE1636" t="s">
        <v>27595</v>
      </c>
      <c r="BF1636" t="str">
        <f>HYPERLINK("http://dx.doi.org/10.1093/jcmc/zmad036","http://dx.doi.org/10.1093/jcmc/zmad036")</f>
        <v>http://dx.doi.org/10.1093/jcmc/zmad036</v>
      </c>
      <c r="BG1636" t="s">
        <v>74</v>
      </c>
      <c r="BH1636" t="s">
        <v>74</v>
      </c>
      <c r="BI1636">
        <v>12</v>
      </c>
      <c r="BJ1636" t="s">
        <v>5240</v>
      </c>
      <c r="BK1636" t="s">
        <v>99</v>
      </c>
      <c r="BL1636" t="s">
        <v>5240</v>
      </c>
      <c r="BM1636" t="s">
        <v>27596</v>
      </c>
      <c r="BN1636" t="s">
        <v>74</v>
      </c>
      <c r="BO1636" t="s">
        <v>235</v>
      </c>
      <c r="BP1636" t="s">
        <v>74</v>
      </c>
      <c r="BQ1636" t="s">
        <v>74</v>
      </c>
      <c r="BR1636" t="s">
        <v>102</v>
      </c>
      <c r="BS1636" t="s">
        <v>27597</v>
      </c>
      <c r="BT1636" t="str">
        <f>HYPERLINK("https%3A%2F%2Fwww.webofscience.com%2Fwos%2Fwoscc%2Ffull-record%2FWOS:001062942100001","View Full Record in Web of Science")</f>
        <v>View Full Record in Web of Science</v>
      </c>
    </row>
    <row r="1637" spans="1:72" x14ac:dyDescent="0.35">
      <c r="A1637" t="s">
        <v>72</v>
      </c>
      <c r="B1637" t="s">
        <v>27598</v>
      </c>
      <c r="C1637" t="s">
        <v>74</v>
      </c>
      <c r="D1637" t="s">
        <v>74</v>
      </c>
      <c r="E1637" t="s">
        <v>74</v>
      </c>
      <c r="F1637" t="s">
        <v>27599</v>
      </c>
      <c r="G1637" t="s">
        <v>74</v>
      </c>
      <c r="H1637" t="s">
        <v>74</v>
      </c>
      <c r="I1637" t="s">
        <v>27600</v>
      </c>
      <c r="J1637" t="s">
        <v>27601</v>
      </c>
      <c r="K1637" t="s">
        <v>74</v>
      </c>
      <c r="L1637" t="s">
        <v>74</v>
      </c>
      <c r="M1637" t="s">
        <v>3503</v>
      </c>
      <c r="N1637" t="s">
        <v>108</v>
      </c>
      <c r="O1637" t="s">
        <v>74</v>
      </c>
      <c r="P1637" t="s">
        <v>74</v>
      </c>
      <c r="Q1637" t="s">
        <v>74</v>
      </c>
      <c r="R1637" t="s">
        <v>74</v>
      </c>
      <c r="S1637" t="s">
        <v>74</v>
      </c>
      <c r="T1637" t="s">
        <v>27602</v>
      </c>
      <c r="U1637" t="s">
        <v>74</v>
      </c>
      <c r="V1637" t="s">
        <v>27603</v>
      </c>
      <c r="W1637" t="s">
        <v>27604</v>
      </c>
      <c r="X1637" t="s">
        <v>11432</v>
      </c>
      <c r="Y1637" t="s">
        <v>27605</v>
      </c>
      <c r="Z1637" t="s">
        <v>27606</v>
      </c>
      <c r="AA1637" t="s">
        <v>74</v>
      </c>
      <c r="AB1637" t="s">
        <v>74</v>
      </c>
      <c r="AC1637" t="s">
        <v>74</v>
      </c>
      <c r="AD1637" t="s">
        <v>74</v>
      </c>
      <c r="AE1637" t="s">
        <v>74</v>
      </c>
      <c r="AF1637" t="s">
        <v>74</v>
      </c>
      <c r="AG1637">
        <v>13</v>
      </c>
      <c r="AH1637">
        <v>0</v>
      </c>
      <c r="AI1637">
        <v>0</v>
      </c>
      <c r="AJ1637">
        <v>0</v>
      </c>
      <c r="AK1637">
        <v>0</v>
      </c>
      <c r="AL1637" t="s">
        <v>27607</v>
      </c>
      <c r="AM1637" t="s">
        <v>27126</v>
      </c>
      <c r="AN1637" t="s">
        <v>27608</v>
      </c>
      <c r="AO1637" t="s">
        <v>27609</v>
      </c>
      <c r="AP1637" t="s">
        <v>27610</v>
      </c>
      <c r="AQ1637" t="s">
        <v>74</v>
      </c>
      <c r="AR1637" t="s">
        <v>27601</v>
      </c>
      <c r="AS1637" t="s">
        <v>27611</v>
      </c>
      <c r="AT1637" t="s">
        <v>8762</v>
      </c>
      <c r="AU1637">
        <v>2024</v>
      </c>
      <c r="AV1637" t="s">
        <v>74</v>
      </c>
      <c r="AW1637">
        <v>41</v>
      </c>
      <c r="AX1637" t="s">
        <v>74</v>
      </c>
      <c r="AY1637" t="s">
        <v>74</v>
      </c>
      <c r="AZ1637" t="s">
        <v>74</v>
      </c>
      <c r="BA1637" t="s">
        <v>74</v>
      </c>
      <c r="BB1637">
        <v>77</v>
      </c>
      <c r="BC1637">
        <v>88</v>
      </c>
      <c r="BD1637" t="s">
        <v>74</v>
      </c>
      <c r="BE1637" t="s">
        <v>27612</v>
      </c>
      <c r="BF1637" t="str">
        <f>HYPERLINK("http://dx.doi.org/10.35659/designis.i41p77-88","http://dx.doi.org/10.35659/designis.i41p77-88")</f>
        <v>http://dx.doi.org/10.35659/designis.i41p77-88</v>
      </c>
      <c r="BG1637" t="s">
        <v>74</v>
      </c>
      <c r="BH1637" t="s">
        <v>74</v>
      </c>
      <c r="BI1637">
        <v>12</v>
      </c>
      <c r="BJ1637" t="s">
        <v>3285</v>
      </c>
      <c r="BK1637" t="s">
        <v>125</v>
      </c>
      <c r="BL1637" t="s">
        <v>3285</v>
      </c>
      <c r="BM1637" t="s">
        <v>27613</v>
      </c>
      <c r="BN1637" t="s">
        <v>74</v>
      </c>
      <c r="BO1637" t="s">
        <v>235</v>
      </c>
      <c r="BP1637" t="s">
        <v>74</v>
      </c>
      <c r="BQ1637" t="s">
        <v>74</v>
      </c>
      <c r="BR1637" t="s">
        <v>102</v>
      </c>
      <c r="BS1637" t="s">
        <v>27614</v>
      </c>
      <c r="BT1637" t="str">
        <f>HYPERLINK("https%3A%2F%2Fwww.webofscience.com%2Fwos%2Fwoscc%2Ffull-record%2FWOS:001352766500006","View Full Record in Web of Science")</f>
        <v>View Full Record in Web of Science</v>
      </c>
    </row>
    <row r="1638" spans="1:72" x14ac:dyDescent="0.35">
      <c r="A1638" t="s">
        <v>72</v>
      </c>
      <c r="B1638" t="s">
        <v>27615</v>
      </c>
      <c r="C1638" t="s">
        <v>74</v>
      </c>
      <c r="D1638" t="s">
        <v>74</v>
      </c>
      <c r="E1638" t="s">
        <v>74</v>
      </c>
      <c r="F1638" t="s">
        <v>27616</v>
      </c>
      <c r="G1638" t="s">
        <v>74</v>
      </c>
      <c r="H1638" t="s">
        <v>74</v>
      </c>
      <c r="I1638" t="s">
        <v>27617</v>
      </c>
      <c r="J1638" t="s">
        <v>27618</v>
      </c>
      <c r="K1638" t="s">
        <v>74</v>
      </c>
      <c r="L1638" t="s">
        <v>74</v>
      </c>
      <c r="M1638" t="s">
        <v>78</v>
      </c>
      <c r="N1638" t="s">
        <v>108</v>
      </c>
      <c r="O1638" t="s">
        <v>74</v>
      </c>
      <c r="P1638" t="s">
        <v>74</v>
      </c>
      <c r="Q1638" t="s">
        <v>74</v>
      </c>
      <c r="R1638" t="s">
        <v>74</v>
      </c>
      <c r="S1638" t="s">
        <v>74</v>
      </c>
      <c r="T1638" t="s">
        <v>27619</v>
      </c>
      <c r="U1638" t="s">
        <v>1036</v>
      </c>
      <c r="V1638" t="s">
        <v>27620</v>
      </c>
      <c r="W1638" t="s">
        <v>27621</v>
      </c>
      <c r="X1638" t="s">
        <v>27622</v>
      </c>
      <c r="Y1638" t="s">
        <v>27623</v>
      </c>
      <c r="Z1638" t="s">
        <v>27624</v>
      </c>
      <c r="AA1638" t="s">
        <v>27625</v>
      </c>
      <c r="AB1638" t="s">
        <v>27626</v>
      </c>
      <c r="AC1638" t="s">
        <v>74</v>
      </c>
      <c r="AD1638" t="s">
        <v>74</v>
      </c>
      <c r="AE1638" t="s">
        <v>74</v>
      </c>
      <c r="AF1638" t="s">
        <v>74</v>
      </c>
      <c r="AG1638">
        <v>74</v>
      </c>
      <c r="AH1638">
        <v>11</v>
      </c>
      <c r="AI1638">
        <v>11</v>
      </c>
      <c r="AJ1638">
        <v>22</v>
      </c>
      <c r="AK1638">
        <v>130</v>
      </c>
      <c r="AL1638" t="s">
        <v>2248</v>
      </c>
      <c r="AM1638" t="s">
        <v>2249</v>
      </c>
      <c r="AN1638" t="s">
        <v>2250</v>
      </c>
      <c r="AO1638" t="s">
        <v>27627</v>
      </c>
      <c r="AP1638" t="s">
        <v>27628</v>
      </c>
      <c r="AQ1638" t="s">
        <v>74</v>
      </c>
      <c r="AR1638" t="s">
        <v>27629</v>
      </c>
      <c r="AS1638" t="s">
        <v>27630</v>
      </c>
      <c r="AT1638" t="s">
        <v>17256</v>
      </c>
      <c r="AU1638">
        <v>2023</v>
      </c>
      <c r="AV1638">
        <v>33</v>
      </c>
      <c r="AW1638" t="s">
        <v>27312</v>
      </c>
      <c r="AX1638" t="s">
        <v>74</v>
      </c>
      <c r="AY1638" t="s">
        <v>74</v>
      </c>
      <c r="AZ1638" t="s">
        <v>456</v>
      </c>
      <c r="BA1638" t="s">
        <v>74</v>
      </c>
      <c r="BB1638">
        <v>164</v>
      </c>
      <c r="BC1638">
        <v>173</v>
      </c>
      <c r="BD1638" t="s">
        <v>74</v>
      </c>
      <c r="BE1638" t="s">
        <v>27631</v>
      </c>
      <c r="BF1638" t="str">
        <f>HYPERLINK("http://dx.doi.org/10.1093/ct/qtad006","http://dx.doi.org/10.1093/ct/qtad006")</f>
        <v>http://dx.doi.org/10.1093/ct/qtad006</v>
      </c>
      <c r="BG1638" t="s">
        <v>74</v>
      </c>
      <c r="BH1638" t="s">
        <v>1954</v>
      </c>
      <c r="BI1638">
        <v>10</v>
      </c>
      <c r="BJ1638" t="s">
        <v>124</v>
      </c>
      <c r="BK1638" t="s">
        <v>99</v>
      </c>
      <c r="BL1638" t="s">
        <v>124</v>
      </c>
      <c r="BM1638" t="s">
        <v>27632</v>
      </c>
      <c r="BN1638" t="s">
        <v>74</v>
      </c>
      <c r="BO1638" t="s">
        <v>156</v>
      </c>
      <c r="BP1638" t="s">
        <v>74</v>
      </c>
      <c r="BQ1638" t="s">
        <v>74</v>
      </c>
      <c r="BR1638" t="s">
        <v>102</v>
      </c>
      <c r="BS1638" t="s">
        <v>27633</v>
      </c>
      <c r="BT1638" t="str">
        <f>HYPERLINK("https%3A%2F%2Fwww.webofscience.com%2Fwos%2Fwoscc%2Ffull-record%2FWOS:001008157600001","View Full Record in Web of Science")</f>
        <v>View Full Record in Web of Science</v>
      </c>
    </row>
    <row r="1639" spans="1:72" x14ac:dyDescent="0.35">
      <c r="A1639" t="s">
        <v>72</v>
      </c>
      <c r="B1639" t="s">
        <v>27634</v>
      </c>
      <c r="C1639" t="s">
        <v>74</v>
      </c>
      <c r="D1639" t="s">
        <v>74</v>
      </c>
      <c r="E1639" t="s">
        <v>74</v>
      </c>
      <c r="F1639" t="s">
        <v>27635</v>
      </c>
      <c r="G1639" t="s">
        <v>74</v>
      </c>
      <c r="H1639" t="s">
        <v>74</v>
      </c>
      <c r="I1639" t="s">
        <v>27636</v>
      </c>
      <c r="J1639" t="s">
        <v>2159</v>
      </c>
      <c r="K1639" t="s">
        <v>74</v>
      </c>
      <c r="L1639" t="s">
        <v>74</v>
      </c>
      <c r="M1639" t="s">
        <v>78</v>
      </c>
      <c r="N1639" t="s">
        <v>108</v>
      </c>
      <c r="O1639" t="s">
        <v>74</v>
      </c>
      <c r="P1639" t="s">
        <v>74</v>
      </c>
      <c r="Q1639" t="s">
        <v>74</v>
      </c>
      <c r="R1639" t="s">
        <v>74</v>
      </c>
      <c r="S1639" t="s">
        <v>74</v>
      </c>
      <c r="T1639" t="s">
        <v>27637</v>
      </c>
      <c r="U1639" t="s">
        <v>27638</v>
      </c>
      <c r="V1639" t="s">
        <v>27639</v>
      </c>
      <c r="W1639" t="s">
        <v>27640</v>
      </c>
      <c r="X1639" t="s">
        <v>12189</v>
      </c>
      <c r="Y1639" t="s">
        <v>27641</v>
      </c>
      <c r="Z1639" t="s">
        <v>27642</v>
      </c>
      <c r="AA1639" t="s">
        <v>11092</v>
      </c>
      <c r="AB1639" t="s">
        <v>27643</v>
      </c>
      <c r="AC1639" t="s">
        <v>74</v>
      </c>
      <c r="AD1639" t="s">
        <v>74</v>
      </c>
      <c r="AE1639" t="s">
        <v>74</v>
      </c>
      <c r="AF1639" t="s">
        <v>74</v>
      </c>
      <c r="AG1639">
        <v>79</v>
      </c>
      <c r="AH1639">
        <v>0</v>
      </c>
      <c r="AI1639">
        <v>0</v>
      </c>
      <c r="AJ1639">
        <v>5</v>
      </c>
      <c r="AK1639">
        <v>23</v>
      </c>
      <c r="AL1639" t="s">
        <v>88</v>
      </c>
      <c r="AM1639" t="s">
        <v>89</v>
      </c>
      <c r="AN1639" t="s">
        <v>90</v>
      </c>
      <c r="AO1639" t="s">
        <v>2169</v>
      </c>
      <c r="AP1639" t="s">
        <v>2170</v>
      </c>
      <c r="AQ1639" t="s">
        <v>74</v>
      </c>
      <c r="AR1639" t="s">
        <v>2171</v>
      </c>
      <c r="AS1639" t="s">
        <v>2172</v>
      </c>
      <c r="AT1639" t="s">
        <v>2323</v>
      </c>
      <c r="AU1639">
        <v>2024</v>
      </c>
      <c r="AV1639">
        <v>24</v>
      </c>
      <c r="AW1639">
        <v>1</v>
      </c>
      <c r="AX1639" t="s">
        <v>74</v>
      </c>
      <c r="AY1639" t="s">
        <v>74</v>
      </c>
      <c r="AZ1639" t="s">
        <v>74</v>
      </c>
      <c r="BA1639" t="s">
        <v>74</v>
      </c>
      <c r="BB1639">
        <v>103</v>
      </c>
      <c r="BC1639">
        <v>118</v>
      </c>
      <c r="BD1639" t="s">
        <v>74</v>
      </c>
      <c r="BE1639" t="s">
        <v>27644</v>
      </c>
      <c r="BF1639" t="str">
        <f>HYPERLINK("http://dx.doi.org/10.1080/14680777.2023.2185564","http://dx.doi.org/10.1080/14680777.2023.2185564")</f>
        <v>http://dx.doi.org/10.1080/14680777.2023.2185564</v>
      </c>
      <c r="BG1639" t="s">
        <v>74</v>
      </c>
      <c r="BH1639" t="s">
        <v>1046</v>
      </c>
      <c r="BI1639">
        <v>16</v>
      </c>
      <c r="BJ1639" t="s">
        <v>2176</v>
      </c>
      <c r="BK1639" t="s">
        <v>99</v>
      </c>
      <c r="BL1639" t="s">
        <v>2176</v>
      </c>
      <c r="BM1639" t="s">
        <v>27645</v>
      </c>
      <c r="BN1639" t="s">
        <v>74</v>
      </c>
      <c r="BO1639" t="s">
        <v>74</v>
      </c>
      <c r="BP1639" t="s">
        <v>74</v>
      </c>
      <c r="BQ1639" t="s">
        <v>74</v>
      </c>
      <c r="BR1639" t="s">
        <v>102</v>
      </c>
      <c r="BS1639" t="s">
        <v>27646</v>
      </c>
      <c r="BT1639" t="str">
        <f>HYPERLINK("https%3A%2F%2Fwww.webofscience.com%2Fwos%2Fwoscc%2Ffull-record%2FWOS:000946333100001","View Full Record in Web of Science")</f>
        <v>View Full Record in Web of Science</v>
      </c>
    </row>
    <row r="1640" spans="1:72" x14ac:dyDescent="0.35">
      <c r="A1640" t="s">
        <v>128</v>
      </c>
      <c r="B1640" t="s">
        <v>27647</v>
      </c>
      <c r="C1640" t="s">
        <v>74</v>
      </c>
      <c r="D1640" t="s">
        <v>27648</v>
      </c>
      <c r="E1640" t="s">
        <v>74</v>
      </c>
      <c r="F1640" t="s">
        <v>27649</v>
      </c>
      <c r="G1640" t="s">
        <v>74</v>
      </c>
      <c r="H1640" t="s">
        <v>74</v>
      </c>
      <c r="I1640" t="s">
        <v>27650</v>
      </c>
      <c r="J1640" t="s">
        <v>27651</v>
      </c>
      <c r="K1640" t="s">
        <v>16296</v>
      </c>
      <c r="L1640" t="s">
        <v>74</v>
      </c>
      <c r="M1640" t="s">
        <v>78</v>
      </c>
      <c r="N1640" t="s">
        <v>135</v>
      </c>
      <c r="O1640" t="s">
        <v>27652</v>
      </c>
      <c r="P1640" t="s">
        <v>27653</v>
      </c>
      <c r="Q1640" t="s">
        <v>138</v>
      </c>
      <c r="R1640" t="s">
        <v>74</v>
      </c>
      <c r="S1640" t="s">
        <v>74</v>
      </c>
      <c r="T1640" t="s">
        <v>27654</v>
      </c>
      <c r="U1640" t="s">
        <v>74</v>
      </c>
      <c r="V1640" t="s">
        <v>27655</v>
      </c>
      <c r="W1640" t="s">
        <v>27656</v>
      </c>
      <c r="X1640" t="s">
        <v>27657</v>
      </c>
      <c r="Y1640" t="s">
        <v>27658</v>
      </c>
      <c r="Z1640" t="s">
        <v>27659</v>
      </c>
      <c r="AA1640" t="s">
        <v>74</v>
      </c>
      <c r="AB1640" t="s">
        <v>74</v>
      </c>
      <c r="AC1640" t="s">
        <v>74</v>
      </c>
      <c r="AD1640" t="s">
        <v>74</v>
      </c>
      <c r="AE1640" t="s">
        <v>74</v>
      </c>
      <c r="AF1640" t="s">
        <v>74</v>
      </c>
      <c r="AG1640">
        <v>20</v>
      </c>
      <c r="AH1640">
        <v>1</v>
      </c>
      <c r="AI1640">
        <v>1</v>
      </c>
      <c r="AJ1640">
        <v>8</v>
      </c>
      <c r="AK1640">
        <v>13</v>
      </c>
      <c r="AL1640" t="s">
        <v>639</v>
      </c>
      <c r="AM1640" t="s">
        <v>640</v>
      </c>
      <c r="AN1640" t="s">
        <v>641</v>
      </c>
      <c r="AO1640" t="s">
        <v>74</v>
      </c>
      <c r="AP1640" t="s">
        <v>74</v>
      </c>
      <c r="AQ1640" t="s">
        <v>27660</v>
      </c>
      <c r="AR1640" t="s">
        <v>16305</v>
      </c>
      <c r="AS1640" t="s">
        <v>74</v>
      </c>
      <c r="AT1640" t="s">
        <v>74</v>
      </c>
      <c r="AU1640">
        <v>2021</v>
      </c>
      <c r="AV1640">
        <v>12783</v>
      </c>
      <c r="AW1640" t="s">
        <v>74</v>
      </c>
      <c r="AX1640" t="s">
        <v>74</v>
      </c>
      <c r="AY1640" t="s">
        <v>74</v>
      </c>
      <c r="AZ1640" t="s">
        <v>74</v>
      </c>
      <c r="BA1640" t="s">
        <v>74</v>
      </c>
      <c r="BB1640">
        <v>22</v>
      </c>
      <c r="BC1640">
        <v>42</v>
      </c>
      <c r="BD1640" t="s">
        <v>74</v>
      </c>
      <c r="BE1640" t="s">
        <v>27661</v>
      </c>
      <c r="BF1640" t="str">
        <f>HYPERLINK("http://dx.doi.org/10.1007/978-3-030-77750-0_2","http://dx.doi.org/10.1007/978-3-030-77750-0_2")</f>
        <v>http://dx.doi.org/10.1007/978-3-030-77750-0_2</v>
      </c>
      <c r="BG1640" t="s">
        <v>74</v>
      </c>
      <c r="BH1640" t="s">
        <v>74</v>
      </c>
      <c r="BI1640">
        <v>21</v>
      </c>
      <c r="BJ1640" t="s">
        <v>27662</v>
      </c>
      <c r="BK1640" t="s">
        <v>648</v>
      </c>
      <c r="BL1640" t="s">
        <v>27663</v>
      </c>
      <c r="BM1640" t="s">
        <v>27664</v>
      </c>
      <c r="BN1640" t="s">
        <v>74</v>
      </c>
      <c r="BO1640" t="s">
        <v>74</v>
      </c>
      <c r="BP1640" t="s">
        <v>74</v>
      </c>
      <c r="BQ1640" t="s">
        <v>74</v>
      </c>
      <c r="BR1640" t="s">
        <v>102</v>
      </c>
      <c r="BS1640" t="s">
        <v>27665</v>
      </c>
      <c r="BT1640" t="str">
        <f>HYPERLINK("https%3A%2F%2Fwww.webofscience.com%2Fwos%2Fwoscc%2Ffull-record%2FWOS:001297300300002","View Full Record in Web of Science")</f>
        <v>View Full Record in Web of Science</v>
      </c>
    </row>
    <row r="1641" spans="1:72" x14ac:dyDescent="0.35">
      <c r="A1641" t="s">
        <v>72</v>
      </c>
      <c r="B1641" t="s">
        <v>27666</v>
      </c>
      <c r="C1641" t="s">
        <v>74</v>
      </c>
      <c r="D1641" t="s">
        <v>74</v>
      </c>
      <c r="E1641" t="s">
        <v>74</v>
      </c>
      <c r="F1641" t="s">
        <v>27667</v>
      </c>
      <c r="G1641" t="s">
        <v>74</v>
      </c>
      <c r="H1641" t="s">
        <v>74</v>
      </c>
      <c r="I1641" t="s">
        <v>27668</v>
      </c>
      <c r="J1641" t="s">
        <v>2450</v>
      </c>
      <c r="K1641" t="s">
        <v>74</v>
      </c>
      <c r="L1641" t="s">
        <v>74</v>
      </c>
      <c r="M1641" t="s">
        <v>78</v>
      </c>
      <c r="N1641" t="s">
        <v>108</v>
      </c>
      <c r="O1641" t="s">
        <v>74</v>
      </c>
      <c r="P1641" t="s">
        <v>74</v>
      </c>
      <c r="Q1641" t="s">
        <v>74</v>
      </c>
      <c r="R1641" t="s">
        <v>74</v>
      </c>
      <c r="S1641" t="s">
        <v>74</v>
      </c>
      <c r="T1641" t="s">
        <v>74</v>
      </c>
      <c r="U1641" t="s">
        <v>27669</v>
      </c>
      <c r="V1641" t="s">
        <v>27670</v>
      </c>
      <c r="W1641" t="s">
        <v>27671</v>
      </c>
      <c r="X1641" t="s">
        <v>27672</v>
      </c>
      <c r="Y1641" t="s">
        <v>27673</v>
      </c>
      <c r="Z1641" t="s">
        <v>27674</v>
      </c>
      <c r="AA1641" t="s">
        <v>27675</v>
      </c>
      <c r="AB1641" t="s">
        <v>27676</v>
      </c>
      <c r="AC1641" t="s">
        <v>27677</v>
      </c>
      <c r="AD1641" t="s">
        <v>27678</v>
      </c>
      <c r="AE1641" t="s">
        <v>27679</v>
      </c>
      <c r="AF1641" t="s">
        <v>74</v>
      </c>
      <c r="AG1641">
        <v>48</v>
      </c>
      <c r="AH1641">
        <v>0</v>
      </c>
      <c r="AI1641">
        <v>0</v>
      </c>
      <c r="AJ1641">
        <v>6</v>
      </c>
      <c r="AK1641">
        <v>10</v>
      </c>
      <c r="AL1641" t="s">
        <v>2458</v>
      </c>
      <c r="AM1641" t="s">
        <v>2459</v>
      </c>
      <c r="AN1641" t="s">
        <v>2460</v>
      </c>
      <c r="AO1641" t="s">
        <v>2461</v>
      </c>
      <c r="AP1641" t="s">
        <v>74</v>
      </c>
      <c r="AQ1641" t="s">
        <v>74</v>
      </c>
      <c r="AR1641" t="s">
        <v>2450</v>
      </c>
      <c r="AS1641" t="s">
        <v>2462</v>
      </c>
      <c r="AT1641" t="s">
        <v>12990</v>
      </c>
      <c r="AU1641">
        <v>2023</v>
      </c>
      <c r="AV1641">
        <v>18</v>
      </c>
      <c r="AW1641">
        <v>11</v>
      </c>
      <c r="AX1641" t="s">
        <v>74</v>
      </c>
      <c r="AY1641" t="s">
        <v>74</v>
      </c>
      <c r="AZ1641" t="s">
        <v>74</v>
      </c>
      <c r="BA1641" t="s">
        <v>74</v>
      </c>
      <c r="BB1641" t="s">
        <v>74</v>
      </c>
      <c r="BC1641" t="s">
        <v>74</v>
      </c>
      <c r="BD1641" t="s">
        <v>27680</v>
      </c>
      <c r="BE1641" t="s">
        <v>27681</v>
      </c>
      <c r="BF1641" t="str">
        <f>HYPERLINK("http://dx.doi.org/10.1371/journal.pone.0293805","http://dx.doi.org/10.1371/journal.pone.0293805")</f>
        <v>http://dx.doi.org/10.1371/journal.pone.0293805</v>
      </c>
      <c r="BG1641" t="s">
        <v>74</v>
      </c>
      <c r="BH1641" t="s">
        <v>74</v>
      </c>
      <c r="BI1641">
        <v>20</v>
      </c>
      <c r="BJ1641" t="s">
        <v>1301</v>
      </c>
      <c r="BK1641" t="s">
        <v>209</v>
      </c>
      <c r="BL1641" t="s">
        <v>1302</v>
      </c>
      <c r="BM1641" t="s">
        <v>27682</v>
      </c>
      <c r="BN1641">
        <v>37939070</v>
      </c>
      <c r="BO1641" t="s">
        <v>394</v>
      </c>
      <c r="BP1641" t="s">
        <v>74</v>
      </c>
      <c r="BQ1641" t="s">
        <v>74</v>
      </c>
      <c r="BR1641" t="s">
        <v>102</v>
      </c>
      <c r="BS1641" t="s">
        <v>27683</v>
      </c>
      <c r="BT1641" t="str">
        <f>HYPERLINK("https%3A%2F%2Fwww.webofscience.com%2Fwos%2Fwoscc%2Ffull-record%2FWOS:001123425300063","View Full Record in Web of Science")</f>
        <v>View Full Record in Web of Science</v>
      </c>
    </row>
    <row r="1642" spans="1:72" x14ac:dyDescent="0.35">
      <c r="A1642" t="s">
        <v>72</v>
      </c>
      <c r="B1642" t="s">
        <v>27684</v>
      </c>
      <c r="C1642" t="s">
        <v>74</v>
      </c>
      <c r="D1642" t="s">
        <v>74</v>
      </c>
      <c r="E1642" t="s">
        <v>74</v>
      </c>
      <c r="F1642" t="s">
        <v>27685</v>
      </c>
      <c r="G1642" t="s">
        <v>74</v>
      </c>
      <c r="H1642" t="s">
        <v>74</v>
      </c>
      <c r="I1642" t="s">
        <v>27686</v>
      </c>
      <c r="J1642" t="s">
        <v>27687</v>
      </c>
      <c r="K1642" t="s">
        <v>74</v>
      </c>
      <c r="L1642" t="s">
        <v>74</v>
      </c>
      <c r="M1642" t="s">
        <v>78</v>
      </c>
      <c r="N1642" t="s">
        <v>108</v>
      </c>
      <c r="O1642" t="s">
        <v>74</v>
      </c>
      <c r="P1642" t="s">
        <v>74</v>
      </c>
      <c r="Q1642" t="s">
        <v>74</v>
      </c>
      <c r="R1642" t="s">
        <v>74</v>
      </c>
      <c r="S1642" t="s">
        <v>74</v>
      </c>
      <c r="T1642" t="s">
        <v>27688</v>
      </c>
      <c r="U1642" t="s">
        <v>27689</v>
      </c>
      <c r="V1642" t="s">
        <v>27690</v>
      </c>
      <c r="W1642" t="s">
        <v>27691</v>
      </c>
      <c r="X1642" t="s">
        <v>27692</v>
      </c>
      <c r="Y1642" t="s">
        <v>27693</v>
      </c>
      <c r="Z1642" t="s">
        <v>27694</v>
      </c>
      <c r="AA1642" t="s">
        <v>74</v>
      </c>
      <c r="AB1642" t="s">
        <v>27695</v>
      </c>
      <c r="AC1642" t="s">
        <v>74</v>
      </c>
      <c r="AD1642" t="s">
        <v>74</v>
      </c>
      <c r="AE1642" t="s">
        <v>74</v>
      </c>
      <c r="AF1642" t="s">
        <v>74</v>
      </c>
      <c r="AG1642">
        <v>12</v>
      </c>
      <c r="AH1642">
        <v>13</v>
      </c>
      <c r="AI1642">
        <v>13</v>
      </c>
      <c r="AJ1642">
        <v>11</v>
      </c>
      <c r="AK1642">
        <v>46</v>
      </c>
      <c r="AL1642" t="s">
        <v>21162</v>
      </c>
      <c r="AM1642" t="s">
        <v>15140</v>
      </c>
      <c r="AN1642" t="s">
        <v>21163</v>
      </c>
      <c r="AO1642" t="s">
        <v>27696</v>
      </c>
      <c r="AP1642" t="s">
        <v>27697</v>
      </c>
      <c r="AQ1642" t="s">
        <v>74</v>
      </c>
      <c r="AR1642" t="s">
        <v>27698</v>
      </c>
      <c r="AS1642" t="s">
        <v>27699</v>
      </c>
      <c r="AT1642" t="s">
        <v>257</v>
      </c>
      <c r="AU1642">
        <v>2020</v>
      </c>
      <c r="AV1642">
        <v>5</v>
      </c>
      <c r="AW1642">
        <v>2</v>
      </c>
      <c r="AX1642" t="s">
        <v>74</v>
      </c>
      <c r="AY1642" t="s">
        <v>74</v>
      </c>
      <c r="AZ1642" t="s">
        <v>74</v>
      </c>
      <c r="BA1642" t="s">
        <v>74</v>
      </c>
      <c r="BB1642">
        <v>225</v>
      </c>
      <c r="BC1642">
        <v>233</v>
      </c>
      <c r="BD1642" t="s">
        <v>74</v>
      </c>
      <c r="BE1642" t="s">
        <v>27700</v>
      </c>
      <c r="BF1642" t="str">
        <f>HYPERLINK("http://dx.doi.org/10.1142/S2424862220500062","http://dx.doi.org/10.1142/S2424862220500062")</f>
        <v>http://dx.doi.org/10.1142/S2424862220500062</v>
      </c>
      <c r="BG1642" t="s">
        <v>74</v>
      </c>
      <c r="BH1642" t="s">
        <v>74</v>
      </c>
      <c r="BI1642">
        <v>9</v>
      </c>
      <c r="BJ1642" t="s">
        <v>1930</v>
      </c>
      <c r="BK1642" t="s">
        <v>125</v>
      </c>
      <c r="BL1642" t="s">
        <v>480</v>
      </c>
      <c r="BM1642" t="s">
        <v>27701</v>
      </c>
      <c r="BN1642" t="s">
        <v>74</v>
      </c>
      <c r="BO1642" t="s">
        <v>74</v>
      </c>
      <c r="BP1642" t="s">
        <v>74</v>
      </c>
      <c r="BQ1642" t="s">
        <v>74</v>
      </c>
      <c r="BR1642" t="s">
        <v>102</v>
      </c>
      <c r="BS1642" t="s">
        <v>27702</v>
      </c>
      <c r="BT1642" t="str">
        <f>HYPERLINK("https%3A%2F%2Fwww.webofscience.com%2Fwos%2Fwoscc%2Ffull-record%2FWOS:000543551900003","View Full Record in Web of Science")</f>
        <v>View Full Record in Web of Science</v>
      </c>
    </row>
    <row r="1643" spans="1:72" x14ac:dyDescent="0.35">
      <c r="A1643" t="s">
        <v>72</v>
      </c>
      <c r="B1643" t="s">
        <v>27703</v>
      </c>
      <c r="C1643" t="s">
        <v>74</v>
      </c>
      <c r="D1643" t="s">
        <v>74</v>
      </c>
      <c r="E1643" t="s">
        <v>74</v>
      </c>
      <c r="F1643" t="s">
        <v>27704</v>
      </c>
      <c r="G1643" t="s">
        <v>74</v>
      </c>
      <c r="H1643" t="s">
        <v>74</v>
      </c>
      <c r="I1643" t="s">
        <v>27705</v>
      </c>
      <c r="J1643" t="s">
        <v>793</v>
      </c>
      <c r="K1643" t="s">
        <v>74</v>
      </c>
      <c r="L1643" t="s">
        <v>74</v>
      </c>
      <c r="M1643" t="s">
        <v>78</v>
      </c>
      <c r="N1643" t="s">
        <v>108</v>
      </c>
      <c r="O1643" t="s">
        <v>74</v>
      </c>
      <c r="P1643" t="s">
        <v>74</v>
      </c>
      <c r="Q1643" t="s">
        <v>74</v>
      </c>
      <c r="R1643" t="s">
        <v>74</v>
      </c>
      <c r="S1643" t="s">
        <v>74</v>
      </c>
      <c r="T1643" t="s">
        <v>27706</v>
      </c>
      <c r="U1643" t="s">
        <v>74</v>
      </c>
      <c r="V1643" t="s">
        <v>27707</v>
      </c>
      <c r="W1643" t="s">
        <v>27708</v>
      </c>
      <c r="X1643" t="s">
        <v>27709</v>
      </c>
      <c r="Y1643" t="s">
        <v>27710</v>
      </c>
      <c r="Z1643" t="s">
        <v>27711</v>
      </c>
      <c r="AA1643" t="s">
        <v>74</v>
      </c>
      <c r="AB1643" t="s">
        <v>27712</v>
      </c>
      <c r="AC1643" t="s">
        <v>74</v>
      </c>
      <c r="AD1643" t="s">
        <v>74</v>
      </c>
      <c r="AE1643" t="s">
        <v>74</v>
      </c>
      <c r="AF1643" t="s">
        <v>74</v>
      </c>
      <c r="AG1643">
        <v>8</v>
      </c>
      <c r="AH1643">
        <v>0</v>
      </c>
      <c r="AI1643">
        <v>0</v>
      </c>
      <c r="AJ1643">
        <v>15</v>
      </c>
      <c r="AK1643">
        <v>18</v>
      </c>
      <c r="AL1643" t="s">
        <v>803</v>
      </c>
      <c r="AM1643" t="s">
        <v>227</v>
      </c>
      <c r="AN1643" t="s">
        <v>804</v>
      </c>
      <c r="AO1643" t="s">
        <v>74</v>
      </c>
      <c r="AP1643" t="s">
        <v>805</v>
      </c>
      <c r="AQ1643" t="s">
        <v>74</v>
      </c>
      <c r="AR1643" t="s">
        <v>806</v>
      </c>
      <c r="AS1643" t="s">
        <v>807</v>
      </c>
      <c r="AT1643" t="s">
        <v>27713</v>
      </c>
      <c r="AU1643">
        <v>2024</v>
      </c>
      <c r="AV1643">
        <v>16</v>
      </c>
      <c r="AW1643">
        <v>3</v>
      </c>
      <c r="AX1643" t="s">
        <v>74</v>
      </c>
      <c r="AY1643" t="s">
        <v>74</v>
      </c>
      <c r="AZ1643" t="s">
        <v>74</v>
      </c>
      <c r="BA1643" t="s">
        <v>74</v>
      </c>
      <c r="BB1643" t="s">
        <v>74</v>
      </c>
      <c r="BC1643" t="s">
        <v>74</v>
      </c>
      <c r="BD1643" t="s">
        <v>27714</v>
      </c>
      <c r="BE1643" t="s">
        <v>27715</v>
      </c>
      <c r="BF1643" t="str">
        <f>HYPERLINK("http://dx.doi.org/10.7759/cureus.56631","http://dx.doi.org/10.7759/cureus.56631")</f>
        <v>http://dx.doi.org/10.7759/cureus.56631</v>
      </c>
      <c r="BG1643" t="s">
        <v>74</v>
      </c>
      <c r="BH1643" t="s">
        <v>74</v>
      </c>
      <c r="BI1643">
        <v>3</v>
      </c>
      <c r="BJ1643" t="s">
        <v>811</v>
      </c>
      <c r="BK1643" t="s">
        <v>125</v>
      </c>
      <c r="BL1643" t="s">
        <v>812</v>
      </c>
      <c r="BM1643" t="s">
        <v>27716</v>
      </c>
      <c r="BN1643">
        <v>38646360</v>
      </c>
      <c r="BO1643" t="s">
        <v>394</v>
      </c>
      <c r="BP1643" t="s">
        <v>74</v>
      </c>
      <c r="BQ1643" t="s">
        <v>74</v>
      </c>
      <c r="BR1643" t="s">
        <v>102</v>
      </c>
      <c r="BS1643" t="s">
        <v>27717</v>
      </c>
      <c r="BT1643" t="str">
        <f>HYPERLINK("https%3A%2F%2Fwww.webofscience.com%2Fwos%2Fwoscc%2Ffull-record%2FWOS:001206999700029","View Full Record in Web of Science")</f>
        <v>View Full Record in Web of Science</v>
      </c>
    </row>
    <row r="1644" spans="1:72" x14ac:dyDescent="0.35">
      <c r="A1644" t="s">
        <v>72</v>
      </c>
      <c r="B1644" t="s">
        <v>27718</v>
      </c>
      <c r="C1644" t="s">
        <v>74</v>
      </c>
      <c r="D1644" t="s">
        <v>74</v>
      </c>
      <c r="E1644" t="s">
        <v>74</v>
      </c>
      <c r="F1644" t="s">
        <v>27719</v>
      </c>
      <c r="G1644" t="s">
        <v>74</v>
      </c>
      <c r="H1644" t="s">
        <v>74</v>
      </c>
      <c r="I1644" t="s">
        <v>27720</v>
      </c>
      <c r="J1644" t="s">
        <v>3182</v>
      </c>
      <c r="K1644" t="s">
        <v>74</v>
      </c>
      <c r="L1644" t="s">
        <v>74</v>
      </c>
      <c r="M1644" t="s">
        <v>78</v>
      </c>
      <c r="N1644" t="s">
        <v>108</v>
      </c>
      <c r="O1644" t="s">
        <v>74</v>
      </c>
      <c r="P1644" t="s">
        <v>74</v>
      </c>
      <c r="Q1644" t="s">
        <v>74</v>
      </c>
      <c r="R1644" t="s">
        <v>74</v>
      </c>
      <c r="S1644" t="s">
        <v>74</v>
      </c>
      <c r="T1644" t="s">
        <v>27721</v>
      </c>
      <c r="U1644" t="s">
        <v>27722</v>
      </c>
      <c r="V1644" t="s">
        <v>27723</v>
      </c>
      <c r="W1644" t="s">
        <v>27724</v>
      </c>
      <c r="X1644" t="s">
        <v>27725</v>
      </c>
      <c r="Y1644" t="s">
        <v>27726</v>
      </c>
      <c r="Z1644" t="s">
        <v>27727</v>
      </c>
      <c r="AA1644" t="s">
        <v>27728</v>
      </c>
      <c r="AB1644" t="s">
        <v>27729</v>
      </c>
      <c r="AC1644" t="s">
        <v>27730</v>
      </c>
      <c r="AD1644" t="s">
        <v>27731</v>
      </c>
      <c r="AE1644" t="s">
        <v>27732</v>
      </c>
      <c r="AF1644" t="s">
        <v>74</v>
      </c>
      <c r="AG1644">
        <v>33</v>
      </c>
      <c r="AH1644">
        <v>1</v>
      </c>
      <c r="AI1644">
        <v>1</v>
      </c>
      <c r="AJ1644">
        <v>9</v>
      </c>
      <c r="AK1644">
        <v>21</v>
      </c>
      <c r="AL1644" t="s">
        <v>3192</v>
      </c>
      <c r="AM1644" t="s">
        <v>2853</v>
      </c>
      <c r="AN1644" t="s">
        <v>3193</v>
      </c>
      <c r="AO1644" t="s">
        <v>3194</v>
      </c>
      <c r="AP1644" t="s">
        <v>3195</v>
      </c>
      <c r="AQ1644" t="s">
        <v>74</v>
      </c>
      <c r="AR1644" t="s">
        <v>3196</v>
      </c>
      <c r="AS1644" t="s">
        <v>3197</v>
      </c>
      <c r="AT1644" t="s">
        <v>27733</v>
      </c>
      <c r="AU1644">
        <v>2024</v>
      </c>
      <c r="AV1644">
        <v>101</v>
      </c>
      <c r="AW1644">
        <v>3</v>
      </c>
      <c r="AX1644" t="s">
        <v>74</v>
      </c>
      <c r="AY1644" t="s">
        <v>74</v>
      </c>
      <c r="AZ1644" t="s">
        <v>74</v>
      </c>
      <c r="BA1644" t="s">
        <v>74</v>
      </c>
      <c r="BB1644">
        <v>1319</v>
      </c>
      <c r="BC1644">
        <v>1324</v>
      </c>
      <c r="BD1644" t="s">
        <v>74</v>
      </c>
      <c r="BE1644" t="s">
        <v>27734</v>
      </c>
      <c r="BF1644" t="str">
        <f>HYPERLINK("http://dx.doi.org/10.1021/acs.jchemed.3c01185","http://dx.doi.org/10.1021/acs.jchemed.3c01185")</f>
        <v>http://dx.doi.org/10.1021/acs.jchemed.3c01185</v>
      </c>
      <c r="BG1644" t="s">
        <v>74</v>
      </c>
      <c r="BH1644" t="s">
        <v>786</v>
      </c>
      <c r="BI1644">
        <v>6</v>
      </c>
      <c r="BJ1644" t="s">
        <v>3200</v>
      </c>
      <c r="BK1644" t="s">
        <v>209</v>
      </c>
      <c r="BL1644" t="s">
        <v>3201</v>
      </c>
      <c r="BM1644" t="s">
        <v>27735</v>
      </c>
      <c r="BN1644" t="s">
        <v>74</v>
      </c>
      <c r="BO1644" t="s">
        <v>74</v>
      </c>
      <c r="BP1644" t="s">
        <v>74</v>
      </c>
      <c r="BQ1644" t="s">
        <v>74</v>
      </c>
      <c r="BR1644" t="s">
        <v>102</v>
      </c>
      <c r="BS1644" t="s">
        <v>27736</v>
      </c>
      <c r="BT1644" t="str">
        <f>HYPERLINK("https%3A%2F%2Fwww.webofscience.com%2Fwos%2Fwoscc%2Ffull-record%2FWOS:001166533800001","View Full Record in Web of Science")</f>
        <v>View Full Record in Web of Science</v>
      </c>
    </row>
    <row r="1645" spans="1:72" x14ac:dyDescent="0.35">
      <c r="A1645" t="s">
        <v>128</v>
      </c>
      <c r="B1645" t="s">
        <v>27737</v>
      </c>
      <c r="C1645" t="s">
        <v>74</v>
      </c>
      <c r="D1645" t="s">
        <v>74</v>
      </c>
      <c r="E1645" t="s">
        <v>702</v>
      </c>
      <c r="F1645" t="s">
        <v>27738</v>
      </c>
      <c r="G1645" t="s">
        <v>74</v>
      </c>
      <c r="H1645" t="s">
        <v>74</v>
      </c>
      <c r="I1645" t="s">
        <v>27739</v>
      </c>
      <c r="J1645" t="s">
        <v>27740</v>
      </c>
      <c r="K1645" t="s">
        <v>74</v>
      </c>
      <c r="L1645" t="s">
        <v>74</v>
      </c>
      <c r="M1645" t="s">
        <v>78</v>
      </c>
      <c r="N1645" t="s">
        <v>135</v>
      </c>
      <c r="O1645" t="s">
        <v>27741</v>
      </c>
      <c r="P1645" t="s">
        <v>27742</v>
      </c>
      <c r="Q1645" t="s">
        <v>27743</v>
      </c>
      <c r="R1645" t="s">
        <v>27744</v>
      </c>
      <c r="S1645" t="s">
        <v>74</v>
      </c>
      <c r="T1645" t="s">
        <v>27745</v>
      </c>
      <c r="U1645" t="s">
        <v>74</v>
      </c>
      <c r="V1645" t="s">
        <v>27746</v>
      </c>
      <c r="W1645" t="s">
        <v>27747</v>
      </c>
      <c r="X1645" t="s">
        <v>27748</v>
      </c>
      <c r="Y1645" t="s">
        <v>27749</v>
      </c>
      <c r="Z1645" t="s">
        <v>27750</v>
      </c>
      <c r="AA1645" t="s">
        <v>27751</v>
      </c>
      <c r="AB1645" t="s">
        <v>27752</v>
      </c>
      <c r="AC1645" t="s">
        <v>27753</v>
      </c>
      <c r="AD1645" t="s">
        <v>27753</v>
      </c>
      <c r="AE1645" t="s">
        <v>27754</v>
      </c>
      <c r="AF1645" t="s">
        <v>74</v>
      </c>
      <c r="AG1645">
        <v>24</v>
      </c>
      <c r="AH1645">
        <v>3</v>
      </c>
      <c r="AI1645">
        <v>3</v>
      </c>
      <c r="AJ1645">
        <v>3</v>
      </c>
      <c r="AK1645">
        <v>3</v>
      </c>
      <c r="AL1645" t="s">
        <v>718</v>
      </c>
      <c r="AM1645" t="s">
        <v>666</v>
      </c>
      <c r="AN1645" t="s">
        <v>719</v>
      </c>
      <c r="AO1645" t="s">
        <v>74</v>
      </c>
      <c r="AP1645" t="s">
        <v>74</v>
      </c>
      <c r="AQ1645" t="s">
        <v>27755</v>
      </c>
      <c r="AR1645" t="s">
        <v>74</v>
      </c>
      <c r="AS1645" t="s">
        <v>74</v>
      </c>
      <c r="AT1645" t="s">
        <v>74</v>
      </c>
      <c r="AU1645">
        <v>2023</v>
      </c>
      <c r="AV1645" t="s">
        <v>74</v>
      </c>
      <c r="AW1645" t="s">
        <v>74</v>
      </c>
      <c r="AX1645" t="s">
        <v>74</v>
      </c>
      <c r="AY1645" t="s">
        <v>74</v>
      </c>
      <c r="AZ1645" t="s">
        <v>74</v>
      </c>
      <c r="BA1645" t="s">
        <v>74</v>
      </c>
      <c r="BB1645">
        <v>5386</v>
      </c>
      <c r="BC1645">
        <v>5390</v>
      </c>
      <c r="BD1645" t="s">
        <v>74</v>
      </c>
      <c r="BE1645" t="s">
        <v>27756</v>
      </c>
      <c r="BF1645" t="str">
        <f>HYPERLINK("http://dx.doi.org/10.1145/3583780.3615121","http://dx.doi.org/10.1145/3583780.3615121")</f>
        <v>http://dx.doi.org/10.1145/3583780.3615121</v>
      </c>
      <c r="BG1645" t="s">
        <v>74</v>
      </c>
      <c r="BH1645" t="s">
        <v>74</v>
      </c>
      <c r="BI1645">
        <v>5</v>
      </c>
      <c r="BJ1645" t="s">
        <v>27757</v>
      </c>
      <c r="BK1645" t="s">
        <v>723</v>
      </c>
      <c r="BL1645" t="s">
        <v>210</v>
      </c>
      <c r="BM1645" t="s">
        <v>27758</v>
      </c>
      <c r="BN1645" t="s">
        <v>74</v>
      </c>
      <c r="BO1645" t="s">
        <v>896</v>
      </c>
      <c r="BP1645" t="s">
        <v>74</v>
      </c>
      <c r="BQ1645" t="s">
        <v>74</v>
      </c>
      <c r="BR1645" t="s">
        <v>102</v>
      </c>
      <c r="BS1645" t="s">
        <v>27759</v>
      </c>
      <c r="BT1645" t="str">
        <f>HYPERLINK("https%3A%2F%2Fwww.webofscience.com%2Fwos%2Fwoscc%2Ffull-record%2FWOS:001161549505094","View Full Record in Web of Science")</f>
        <v>View Full Record in Web of Science</v>
      </c>
    </row>
    <row r="1646" spans="1:72" x14ac:dyDescent="0.35">
      <c r="A1646" t="s">
        <v>128</v>
      </c>
      <c r="B1646" t="s">
        <v>27760</v>
      </c>
      <c r="C1646" t="s">
        <v>74</v>
      </c>
      <c r="D1646" t="s">
        <v>74</v>
      </c>
      <c r="E1646" t="s">
        <v>1677</v>
      </c>
      <c r="F1646" t="s">
        <v>27761</v>
      </c>
      <c r="G1646" t="s">
        <v>74</v>
      </c>
      <c r="H1646" t="s">
        <v>74</v>
      </c>
      <c r="I1646" t="s">
        <v>27762</v>
      </c>
      <c r="J1646" t="s">
        <v>27763</v>
      </c>
      <c r="K1646" t="s">
        <v>27764</v>
      </c>
      <c r="L1646" t="s">
        <v>74</v>
      </c>
      <c r="M1646" t="s">
        <v>78</v>
      </c>
      <c r="N1646" t="s">
        <v>135</v>
      </c>
      <c r="O1646" t="s">
        <v>27765</v>
      </c>
      <c r="P1646" t="s">
        <v>27766</v>
      </c>
      <c r="Q1646" t="s">
        <v>27767</v>
      </c>
      <c r="R1646" t="s">
        <v>27768</v>
      </c>
      <c r="S1646" t="s">
        <v>27769</v>
      </c>
      <c r="T1646" t="s">
        <v>27770</v>
      </c>
      <c r="U1646" t="s">
        <v>27771</v>
      </c>
      <c r="V1646" t="s">
        <v>27772</v>
      </c>
      <c r="W1646" t="s">
        <v>27773</v>
      </c>
      <c r="X1646" t="s">
        <v>27774</v>
      </c>
      <c r="Y1646" t="s">
        <v>27775</v>
      </c>
      <c r="Z1646" t="s">
        <v>27776</v>
      </c>
      <c r="AA1646" t="s">
        <v>74</v>
      </c>
      <c r="AB1646" t="s">
        <v>27777</v>
      </c>
      <c r="AC1646" t="s">
        <v>74</v>
      </c>
      <c r="AD1646" t="s">
        <v>74</v>
      </c>
      <c r="AE1646" t="s">
        <v>74</v>
      </c>
      <c r="AF1646" t="s">
        <v>74</v>
      </c>
      <c r="AG1646">
        <v>33</v>
      </c>
      <c r="AH1646">
        <v>1</v>
      </c>
      <c r="AI1646">
        <v>1</v>
      </c>
      <c r="AJ1646">
        <v>8</v>
      </c>
      <c r="AK1646">
        <v>27</v>
      </c>
      <c r="AL1646" t="s">
        <v>1677</v>
      </c>
      <c r="AM1646" t="s">
        <v>666</v>
      </c>
      <c r="AN1646" t="s">
        <v>1692</v>
      </c>
      <c r="AO1646" t="s">
        <v>74</v>
      </c>
      <c r="AP1646" t="s">
        <v>74</v>
      </c>
      <c r="AQ1646" t="s">
        <v>27778</v>
      </c>
      <c r="AR1646" t="s">
        <v>27779</v>
      </c>
      <c r="AS1646" t="s">
        <v>74</v>
      </c>
      <c r="AT1646" t="s">
        <v>74</v>
      </c>
      <c r="AU1646">
        <v>2021</v>
      </c>
      <c r="AV1646" t="s">
        <v>74</v>
      </c>
      <c r="AW1646" t="s">
        <v>74</v>
      </c>
      <c r="AX1646" t="s">
        <v>74</v>
      </c>
      <c r="AY1646" t="s">
        <v>74</v>
      </c>
      <c r="AZ1646" t="s">
        <v>74</v>
      </c>
      <c r="BA1646" t="s">
        <v>74</v>
      </c>
      <c r="BB1646">
        <v>144</v>
      </c>
      <c r="BC1646">
        <v>149</v>
      </c>
      <c r="BD1646" t="s">
        <v>74</v>
      </c>
      <c r="BE1646" t="s">
        <v>27780</v>
      </c>
      <c r="BF1646" t="str">
        <f>HYPERLINK("http://dx.doi.org/10.1109/ICEBE52470.2021.00017","http://dx.doi.org/10.1109/ICEBE52470.2021.00017")</f>
        <v>http://dx.doi.org/10.1109/ICEBE52470.2021.00017</v>
      </c>
      <c r="BG1646" t="s">
        <v>74</v>
      </c>
      <c r="BH1646" t="s">
        <v>74</v>
      </c>
      <c r="BI1646">
        <v>6</v>
      </c>
      <c r="BJ1646" t="s">
        <v>27781</v>
      </c>
      <c r="BK1646" t="s">
        <v>648</v>
      </c>
      <c r="BL1646" t="s">
        <v>649</v>
      </c>
      <c r="BM1646" t="s">
        <v>27782</v>
      </c>
      <c r="BN1646" t="s">
        <v>74</v>
      </c>
      <c r="BO1646" t="s">
        <v>74</v>
      </c>
      <c r="BP1646" t="s">
        <v>74</v>
      </c>
      <c r="BQ1646" t="s">
        <v>74</v>
      </c>
      <c r="BR1646" t="s">
        <v>102</v>
      </c>
      <c r="BS1646" t="s">
        <v>27783</v>
      </c>
      <c r="BT1646" t="str">
        <f>HYPERLINK("https%3A%2F%2Fwww.webofscience.com%2Fwos%2Fwoscc%2Ffull-record%2FWOS:000942017800024","View Full Record in Web of Science")</f>
        <v>View Full Record in Web of Science</v>
      </c>
    </row>
    <row r="1647" spans="1:72" x14ac:dyDescent="0.35">
      <c r="A1647" t="s">
        <v>72</v>
      </c>
      <c r="B1647" t="s">
        <v>27784</v>
      </c>
      <c r="C1647" t="s">
        <v>74</v>
      </c>
      <c r="D1647" t="s">
        <v>74</v>
      </c>
      <c r="E1647" t="s">
        <v>74</v>
      </c>
      <c r="F1647" t="s">
        <v>27785</v>
      </c>
      <c r="G1647" t="s">
        <v>74</v>
      </c>
      <c r="H1647" t="s">
        <v>74</v>
      </c>
      <c r="I1647" t="s">
        <v>27786</v>
      </c>
      <c r="J1647" t="s">
        <v>27787</v>
      </c>
      <c r="K1647" t="s">
        <v>74</v>
      </c>
      <c r="L1647" t="s">
        <v>74</v>
      </c>
      <c r="M1647" t="s">
        <v>18284</v>
      </c>
      <c r="N1647" t="s">
        <v>108</v>
      </c>
      <c r="O1647" t="s">
        <v>74</v>
      </c>
      <c r="P1647" t="s">
        <v>74</v>
      </c>
      <c r="Q1647" t="s">
        <v>74</v>
      </c>
      <c r="R1647" t="s">
        <v>74</v>
      </c>
      <c r="S1647" t="s">
        <v>74</v>
      </c>
      <c r="T1647" t="s">
        <v>27788</v>
      </c>
      <c r="U1647" t="s">
        <v>74</v>
      </c>
      <c r="V1647" t="s">
        <v>27789</v>
      </c>
      <c r="W1647" t="s">
        <v>27790</v>
      </c>
      <c r="X1647" t="s">
        <v>74</v>
      </c>
      <c r="Y1647" t="s">
        <v>27791</v>
      </c>
      <c r="Z1647" t="s">
        <v>27792</v>
      </c>
      <c r="AA1647" t="s">
        <v>27793</v>
      </c>
      <c r="AB1647" t="s">
        <v>74</v>
      </c>
      <c r="AC1647" t="s">
        <v>74</v>
      </c>
      <c r="AD1647" t="s">
        <v>74</v>
      </c>
      <c r="AE1647" t="s">
        <v>74</v>
      </c>
      <c r="AF1647" t="s">
        <v>74</v>
      </c>
      <c r="AG1647">
        <v>25</v>
      </c>
      <c r="AH1647">
        <v>0</v>
      </c>
      <c r="AI1647">
        <v>0</v>
      </c>
      <c r="AJ1647">
        <v>0</v>
      </c>
      <c r="AK1647">
        <v>0</v>
      </c>
      <c r="AL1647" t="s">
        <v>27794</v>
      </c>
      <c r="AM1647" t="s">
        <v>27795</v>
      </c>
      <c r="AN1647" t="s">
        <v>27796</v>
      </c>
      <c r="AO1647" t="s">
        <v>27797</v>
      </c>
      <c r="AP1647" t="s">
        <v>74</v>
      </c>
      <c r="AQ1647" t="s">
        <v>74</v>
      </c>
      <c r="AR1647" t="s">
        <v>27798</v>
      </c>
      <c r="AS1647" t="s">
        <v>27799</v>
      </c>
      <c r="AT1647" t="s">
        <v>3517</v>
      </c>
      <c r="AU1647">
        <v>2024</v>
      </c>
      <c r="AV1647">
        <v>53</v>
      </c>
      <c r="AW1647">
        <v>1</v>
      </c>
      <c r="AX1647" t="s">
        <v>74</v>
      </c>
      <c r="AY1647" t="s">
        <v>74</v>
      </c>
      <c r="AZ1647" t="s">
        <v>74</v>
      </c>
      <c r="BA1647" t="s">
        <v>74</v>
      </c>
      <c r="BB1647">
        <v>13</v>
      </c>
      <c r="BC1647">
        <v>24</v>
      </c>
      <c r="BD1647" t="s">
        <v>74</v>
      </c>
      <c r="BE1647" t="s">
        <v>74</v>
      </c>
      <c r="BF1647" t="s">
        <v>74</v>
      </c>
      <c r="BG1647" t="s">
        <v>74</v>
      </c>
      <c r="BH1647" t="s">
        <v>74</v>
      </c>
      <c r="BI1647">
        <v>12</v>
      </c>
      <c r="BJ1647" t="s">
        <v>4461</v>
      </c>
      <c r="BK1647" t="s">
        <v>125</v>
      </c>
      <c r="BL1647" t="s">
        <v>4462</v>
      </c>
      <c r="BM1647" t="s">
        <v>27800</v>
      </c>
      <c r="BN1647" t="s">
        <v>74</v>
      </c>
      <c r="BO1647" t="s">
        <v>74</v>
      </c>
      <c r="BP1647" t="s">
        <v>74</v>
      </c>
      <c r="BQ1647" t="s">
        <v>74</v>
      </c>
      <c r="BR1647" t="s">
        <v>102</v>
      </c>
      <c r="BS1647" t="s">
        <v>27801</v>
      </c>
      <c r="BT1647" t="str">
        <f>HYPERLINK("https%3A%2F%2Fwww.webofscience.com%2Fwos%2Fwoscc%2Ffull-record%2FWOS:001306748900002","View Full Record in Web of Science")</f>
        <v>View Full Record in Web of Science</v>
      </c>
    </row>
    <row r="1648" spans="1:72" x14ac:dyDescent="0.35">
      <c r="A1648" t="s">
        <v>72</v>
      </c>
      <c r="B1648" t="s">
        <v>27802</v>
      </c>
      <c r="C1648" t="s">
        <v>74</v>
      </c>
      <c r="D1648" t="s">
        <v>74</v>
      </c>
      <c r="E1648" t="s">
        <v>74</v>
      </c>
      <c r="F1648" t="s">
        <v>27803</v>
      </c>
      <c r="G1648" t="s">
        <v>74</v>
      </c>
      <c r="H1648" t="s">
        <v>74</v>
      </c>
      <c r="I1648" t="s">
        <v>27804</v>
      </c>
      <c r="J1648" t="s">
        <v>27805</v>
      </c>
      <c r="K1648" t="s">
        <v>74</v>
      </c>
      <c r="L1648" t="s">
        <v>74</v>
      </c>
      <c r="M1648" t="s">
        <v>78</v>
      </c>
      <c r="N1648" t="s">
        <v>108</v>
      </c>
      <c r="O1648" t="s">
        <v>74</v>
      </c>
      <c r="P1648" t="s">
        <v>74</v>
      </c>
      <c r="Q1648" t="s">
        <v>74</v>
      </c>
      <c r="R1648" t="s">
        <v>74</v>
      </c>
      <c r="S1648" t="s">
        <v>74</v>
      </c>
      <c r="T1648" t="s">
        <v>27806</v>
      </c>
      <c r="U1648" t="s">
        <v>27807</v>
      </c>
      <c r="V1648" t="s">
        <v>27808</v>
      </c>
      <c r="W1648" t="s">
        <v>27809</v>
      </c>
      <c r="X1648" t="s">
        <v>27810</v>
      </c>
      <c r="Y1648" t="s">
        <v>27811</v>
      </c>
      <c r="Z1648" t="s">
        <v>27812</v>
      </c>
      <c r="AA1648" t="s">
        <v>74</v>
      </c>
      <c r="AB1648" t="s">
        <v>27813</v>
      </c>
      <c r="AC1648" t="s">
        <v>74</v>
      </c>
      <c r="AD1648" t="s">
        <v>74</v>
      </c>
      <c r="AE1648" t="s">
        <v>74</v>
      </c>
      <c r="AF1648" t="s">
        <v>74</v>
      </c>
      <c r="AG1648">
        <v>79</v>
      </c>
      <c r="AH1648">
        <v>6</v>
      </c>
      <c r="AI1648">
        <v>6</v>
      </c>
      <c r="AJ1648">
        <v>1</v>
      </c>
      <c r="AK1648">
        <v>9</v>
      </c>
      <c r="AL1648" t="s">
        <v>88</v>
      </c>
      <c r="AM1648" t="s">
        <v>89</v>
      </c>
      <c r="AN1648" t="s">
        <v>90</v>
      </c>
      <c r="AO1648" t="s">
        <v>27814</v>
      </c>
      <c r="AP1648" t="s">
        <v>27815</v>
      </c>
      <c r="AQ1648" t="s">
        <v>74</v>
      </c>
      <c r="AR1648" t="s">
        <v>27816</v>
      </c>
      <c r="AS1648" t="s">
        <v>27817</v>
      </c>
      <c r="AT1648" t="s">
        <v>2323</v>
      </c>
      <c r="AU1648">
        <v>2024</v>
      </c>
      <c r="AV1648">
        <v>53</v>
      </c>
      <c r="AW1648">
        <v>1</v>
      </c>
      <c r="AX1648" t="s">
        <v>74</v>
      </c>
      <c r="AY1648" t="s">
        <v>74</v>
      </c>
      <c r="AZ1648" t="s">
        <v>456</v>
      </c>
      <c r="BA1648" t="s">
        <v>74</v>
      </c>
      <c r="BB1648">
        <v>56</v>
      </c>
      <c r="BC1648">
        <v>72</v>
      </c>
      <c r="BD1648" t="s">
        <v>74</v>
      </c>
      <c r="BE1648" t="s">
        <v>27818</v>
      </c>
      <c r="BF1648" t="str">
        <f>HYPERLINK("http://dx.doi.org/10.1080/03057240.2023.2225763","http://dx.doi.org/10.1080/03057240.2023.2225763")</f>
        <v>http://dx.doi.org/10.1080/03057240.2023.2225763</v>
      </c>
      <c r="BG1648" t="s">
        <v>74</v>
      </c>
      <c r="BH1648" t="s">
        <v>1180</v>
      </c>
      <c r="BI1648">
        <v>17</v>
      </c>
      <c r="BJ1648" t="s">
        <v>787</v>
      </c>
      <c r="BK1648" t="s">
        <v>99</v>
      </c>
      <c r="BL1648" t="s">
        <v>787</v>
      </c>
      <c r="BM1648" t="s">
        <v>27819</v>
      </c>
      <c r="BN1648" t="s">
        <v>74</v>
      </c>
      <c r="BO1648" t="s">
        <v>6425</v>
      </c>
      <c r="BP1648" t="s">
        <v>74</v>
      </c>
      <c r="BQ1648" t="s">
        <v>74</v>
      </c>
      <c r="BR1648" t="s">
        <v>102</v>
      </c>
      <c r="BS1648" t="s">
        <v>27820</v>
      </c>
      <c r="BT1648" t="str">
        <f>HYPERLINK("https%3A%2F%2Fwww.webofscience.com%2Fwos%2Fwoscc%2Ffull-record%2FWOS:001021430300001","View Full Record in Web of Science")</f>
        <v>View Full Record in Web of Science</v>
      </c>
    </row>
    <row r="1649" spans="1:72" x14ac:dyDescent="0.35">
      <c r="A1649" t="s">
        <v>128</v>
      </c>
      <c r="B1649" t="s">
        <v>27821</v>
      </c>
      <c r="C1649" t="s">
        <v>74</v>
      </c>
      <c r="D1649" t="s">
        <v>1677</v>
      </c>
      <c r="E1649" t="s">
        <v>74</v>
      </c>
      <c r="F1649" t="s">
        <v>27822</v>
      </c>
      <c r="G1649" t="s">
        <v>74</v>
      </c>
      <c r="H1649" t="s">
        <v>74</v>
      </c>
      <c r="I1649" t="s">
        <v>27823</v>
      </c>
      <c r="J1649" t="s">
        <v>27824</v>
      </c>
      <c r="K1649" t="s">
        <v>74</v>
      </c>
      <c r="L1649" t="s">
        <v>74</v>
      </c>
      <c r="M1649" t="s">
        <v>78</v>
      </c>
      <c r="N1649" t="s">
        <v>135</v>
      </c>
      <c r="O1649" t="s">
        <v>27825</v>
      </c>
      <c r="P1649" t="s">
        <v>27826</v>
      </c>
      <c r="Q1649" t="s">
        <v>138</v>
      </c>
      <c r="R1649" t="s">
        <v>1677</v>
      </c>
      <c r="S1649" t="s">
        <v>74</v>
      </c>
      <c r="T1649" t="s">
        <v>27827</v>
      </c>
      <c r="U1649" t="s">
        <v>74</v>
      </c>
      <c r="V1649" t="s">
        <v>27828</v>
      </c>
      <c r="W1649" t="s">
        <v>27829</v>
      </c>
      <c r="X1649" t="s">
        <v>74</v>
      </c>
      <c r="Y1649" t="s">
        <v>27830</v>
      </c>
      <c r="Z1649" t="s">
        <v>27831</v>
      </c>
      <c r="AA1649" t="s">
        <v>27832</v>
      </c>
      <c r="AB1649" t="s">
        <v>74</v>
      </c>
      <c r="AC1649" t="s">
        <v>74</v>
      </c>
      <c r="AD1649" t="s">
        <v>74</v>
      </c>
      <c r="AE1649" t="s">
        <v>74</v>
      </c>
      <c r="AF1649" t="s">
        <v>74</v>
      </c>
      <c r="AG1649">
        <v>40</v>
      </c>
      <c r="AH1649">
        <v>1</v>
      </c>
      <c r="AI1649">
        <v>1</v>
      </c>
      <c r="AJ1649">
        <v>0</v>
      </c>
      <c r="AK1649">
        <v>4</v>
      </c>
      <c r="AL1649" t="s">
        <v>1677</v>
      </c>
      <c r="AM1649" t="s">
        <v>666</v>
      </c>
      <c r="AN1649" t="s">
        <v>1692</v>
      </c>
      <c r="AO1649" t="s">
        <v>74</v>
      </c>
      <c r="AP1649" t="s">
        <v>74</v>
      </c>
      <c r="AQ1649" t="s">
        <v>27833</v>
      </c>
      <c r="AR1649" t="s">
        <v>74</v>
      </c>
      <c r="AS1649" t="s">
        <v>74</v>
      </c>
      <c r="AT1649" t="s">
        <v>74</v>
      </c>
      <c r="AU1649">
        <v>2022</v>
      </c>
      <c r="AV1649" t="s">
        <v>74</v>
      </c>
      <c r="AW1649" t="s">
        <v>74</v>
      </c>
      <c r="AX1649" t="s">
        <v>74</v>
      </c>
      <c r="AY1649" t="s">
        <v>74</v>
      </c>
      <c r="AZ1649" t="s">
        <v>74</v>
      </c>
      <c r="BA1649" t="s">
        <v>74</v>
      </c>
      <c r="BB1649">
        <v>633</v>
      </c>
      <c r="BC1649">
        <v>640</v>
      </c>
      <c r="BD1649" t="s">
        <v>74</v>
      </c>
      <c r="BE1649" t="s">
        <v>27834</v>
      </c>
      <c r="BF1649" t="str">
        <f>HYPERLINK("http://dx.doi.org/10.1109/IFEEA57288.2022.10038083","http://dx.doi.org/10.1109/IFEEA57288.2022.10038083")</f>
        <v>http://dx.doi.org/10.1109/IFEEA57288.2022.10038083</v>
      </c>
      <c r="BG1649" t="s">
        <v>74</v>
      </c>
      <c r="BH1649" t="s">
        <v>74</v>
      </c>
      <c r="BI1649">
        <v>8</v>
      </c>
      <c r="BJ1649" t="s">
        <v>27835</v>
      </c>
      <c r="BK1649" t="s">
        <v>723</v>
      </c>
      <c r="BL1649" t="s">
        <v>27836</v>
      </c>
      <c r="BM1649" t="s">
        <v>27837</v>
      </c>
      <c r="BN1649" t="s">
        <v>74</v>
      </c>
      <c r="BO1649" t="s">
        <v>2738</v>
      </c>
      <c r="BP1649" t="s">
        <v>74</v>
      </c>
      <c r="BQ1649" t="s">
        <v>74</v>
      </c>
      <c r="BR1649" t="s">
        <v>102</v>
      </c>
      <c r="BS1649" t="s">
        <v>27838</v>
      </c>
      <c r="BT1649" t="str">
        <f>HYPERLINK("https%3A%2F%2Fwww.webofscience.com%2Fwos%2Fwoscc%2Ffull-record%2FWOS:000976854200122","View Full Record in Web of Science")</f>
        <v>View Full Record in Web of Science</v>
      </c>
    </row>
    <row r="1650" spans="1:72" x14ac:dyDescent="0.35">
      <c r="A1650" t="s">
        <v>72</v>
      </c>
      <c r="B1650" t="s">
        <v>10774</v>
      </c>
      <c r="C1650" t="s">
        <v>74</v>
      </c>
      <c r="D1650" t="s">
        <v>74</v>
      </c>
      <c r="E1650" t="s">
        <v>74</v>
      </c>
      <c r="F1650" t="s">
        <v>10775</v>
      </c>
      <c r="G1650" t="s">
        <v>74</v>
      </c>
      <c r="H1650" t="s">
        <v>74</v>
      </c>
      <c r="I1650" t="s">
        <v>27839</v>
      </c>
      <c r="J1650" t="s">
        <v>19304</v>
      </c>
      <c r="K1650" t="s">
        <v>74</v>
      </c>
      <c r="L1650" t="s">
        <v>74</v>
      </c>
      <c r="M1650" t="s">
        <v>78</v>
      </c>
      <c r="N1650" t="s">
        <v>108</v>
      </c>
      <c r="O1650" t="s">
        <v>74</v>
      </c>
      <c r="P1650" t="s">
        <v>74</v>
      </c>
      <c r="Q1650" t="s">
        <v>74</v>
      </c>
      <c r="R1650" t="s">
        <v>74</v>
      </c>
      <c r="S1650" t="s">
        <v>74</v>
      </c>
      <c r="T1650" t="s">
        <v>27840</v>
      </c>
      <c r="U1650" t="s">
        <v>27841</v>
      </c>
      <c r="V1650" t="s">
        <v>27842</v>
      </c>
      <c r="W1650" t="s">
        <v>27843</v>
      </c>
      <c r="X1650" t="s">
        <v>3040</v>
      </c>
      <c r="Y1650" t="s">
        <v>27844</v>
      </c>
      <c r="Z1650" t="s">
        <v>27845</v>
      </c>
      <c r="AA1650" t="s">
        <v>10784</v>
      </c>
      <c r="AB1650" t="s">
        <v>10785</v>
      </c>
      <c r="AC1650" t="s">
        <v>74</v>
      </c>
      <c r="AD1650" t="s">
        <v>74</v>
      </c>
      <c r="AE1650" t="s">
        <v>74</v>
      </c>
      <c r="AF1650" t="s">
        <v>74</v>
      </c>
      <c r="AG1650">
        <v>47</v>
      </c>
      <c r="AH1650">
        <v>20</v>
      </c>
      <c r="AI1650">
        <v>21</v>
      </c>
      <c r="AJ1650">
        <v>6</v>
      </c>
      <c r="AK1650">
        <v>54</v>
      </c>
      <c r="AL1650" t="s">
        <v>88</v>
      </c>
      <c r="AM1650" t="s">
        <v>89</v>
      </c>
      <c r="AN1650" t="s">
        <v>90</v>
      </c>
      <c r="AO1650" t="s">
        <v>19316</v>
      </c>
      <c r="AP1650" t="s">
        <v>19317</v>
      </c>
      <c r="AQ1650" t="s">
        <v>74</v>
      </c>
      <c r="AR1650" t="s">
        <v>19318</v>
      </c>
      <c r="AS1650" t="s">
        <v>19319</v>
      </c>
      <c r="AT1650" t="s">
        <v>2599</v>
      </c>
      <c r="AU1650">
        <v>2023</v>
      </c>
      <c r="AV1650">
        <v>17</v>
      </c>
      <c r="AW1650">
        <v>8</v>
      </c>
      <c r="AX1650" t="s">
        <v>74</v>
      </c>
      <c r="AY1650" t="s">
        <v>74</v>
      </c>
      <c r="AZ1650" t="s">
        <v>74</v>
      </c>
      <c r="BA1650" t="s">
        <v>74</v>
      </c>
      <c r="BB1650">
        <v>1810</v>
      </c>
      <c r="BC1650">
        <v>1825</v>
      </c>
      <c r="BD1650" t="s">
        <v>74</v>
      </c>
      <c r="BE1650" t="s">
        <v>27846</v>
      </c>
      <c r="BF1650" t="str">
        <f>HYPERLINK("http://dx.doi.org/10.1080/17512786.2021.2012500","http://dx.doi.org/10.1080/17512786.2021.2012500")</f>
        <v>http://dx.doi.org/10.1080/17512786.2021.2012500</v>
      </c>
      <c r="BG1650" t="s">
        <v>74</v>
      </c>
      <c r="BH1650" t="s">
        <v>16152</v>
      </c>
      <c r="BI1650">
        <v>16</v>
      </c>
      <c r="BJ1650" t="s">
        <v>124</v>
      </c>
      <c r="BK1650" t="s">
        <v>99</v>
      </c>
      <c r="BL1650" t="s">
        <v>124</v>
      </c>
      <c r="BM1650" t="s">
        <v>27847</v>
      </c>
      <c r="BN1650" t="s">
        <v>74</v>
      </c>
      <c r="BO1650" t="s">
        <v>767</v>
      </c>
      <c r="BP1650" t="s">
        <v>74</v>
      </c>
      <c r="BQ1650" t="s">
        <v>74</v>
      </c>
      <c r="BR1650" t="s">
        <v>102</v>
      </c>
      <c r="BS1650" t="s">
        <v>27848</v>
      </c>
      <c r="BT1650" t="str">
        <f>HYPERLINK("https%3A%2F%2Fwww.webofscience.com%2Fwos%2Fwoscc%2Ffull-record%2FWOS:000731209600001","View Full Record in Web of Science")</f>
        <v>View Full Record in Web of Science</v>
      </c>
    </row>
    <row r="1651" spans="1:72" x14ac:dyDescent="0.35">
      <c r="A1651" t="s">
        <v>72</v>
      </c>
      <c r="B1651" t="s">
        <v>27849</v>
      </c>
      <c r="C1651" t="s">
        <v>74</v>
      </c>
      <c r="D1651" t="s">
        <v>74</v>
      </c>
      <c r="E1651" t="s">
        <v>74</v>
      </c>
      <c r="F1651" t="s">
        <v>27850</v>
      </c>
      <c r="G1651" t="s">
        <v>74</v>
      </c>
      <c r="H1651" t="s">
        <v>74</v>
      </c>
      <c r="I1651" t="s">
        <v>27851</v>
      </c>
      <c r="J1651" t="s">
        <v>8886</v>
      </c>
      <c r="K1651" t="s">
        <v>74</v>
      </c>
      <c r="L1651" t="s">
        <v>74</v>
      </c>
      <c r="M1651" t="s">
        <v>78</v>
      </c>
      <c r="N1651" t="s">
        <v>374</v>
      </c>
      <c r="O1651" t="s">
        <v>74</v>
      </c>
      <c r="P1651" t="s">
        <v>74</v>
      </c>
      <c r="Q1651" t="s">
        <v>74</v>
      </c>
      <c r="R1651" t="s">
        <v>74</v>
      </c>
      <c r="S1651" t="s">
        <v>74</v>
      </c>
      <c r="T1651" t="s">
        <v>27852</v>
      </c>
      <c r="U1651" t="s">
        <v>27853</v>
      </c>
      <c r="V1651" t="s">
        <v>27854</v>
      </c>
      <c r="W1651" t="s">
        <v>27855</v>
      </c>
      <c r="X1651" t="s">
        <v>27856</v>
      </c>
      <c r="Y1651" t="s">
        <v>27857</v>
      </c>
      <c r="Z1651" t="s">
        <v>27858</v>
      </c>
      <c r="AA1651" t="s">
        <v>27859</v>
      </c>
      <c r="AB1651" t="s">
        <v>74</v>
      </c>
      <c r="AC1651" t="s">
        <v>27860</v>
      </c>
      <c r="AD1651" t="s">
        <v>27861</v>
      </c>
      <c r="AE1651" t="s">
        <v>27862</v>
      </c>
      <c r="AF1651" t="s">
        <v>74</v>
      </c>
      <c r="AG1651">
        <v>145</v>
      </c>
      <c r="AH1651">
        <v>0</v>
      </c>
      <c r="AI1651">
        <v>0</v>
      </c>
      <c r="AJ1651">
        <v>8</v>
      </c>
      <c r="AK1651">
        <v>8</v>
      </c>
      <c r="AL1651" t="s">
        <v>384</v>
      </c>
      <c r="AM1651" t="s">
        <v>385</v>
      </c>
      <c r="AN1651" t="s">
        <v>386</v>
      </c>
      <c r="AO1651" t="s">
        <v>74</v>
      </c>
      <c r="AP1651" t="s">
        <v>8897</v>
      </c>
      <c r="AQ1651" t="s">
        <v>74</v>
      </c>
      <c r="AR1651" t="s">
        <v>8898</v>
      </c>
      <c r="AS1651" t="s">
        <v>8899</v>
      </c>
      <c r="AT1651" t="s">
        <v>5073</v>
      </c>
      <c r="AU1651">
        <v>2024</v>
      </c>
      <c r="AV1651">
        <v>9</v>
      </c>
      <c r="AW1651" t="s">
        <v>74</v>
      </c>
      <c r="AX1651" t="s">
        <v>74</v>
      </c>
      <c r="AY1651" t="s">
        <v>74</v>
      </c>
      <c r="AZ1651" t="s">
        <v>74</v>
      </c>
      <c r="BA1651" t="s">
        <v>74</v>
      </c>
      <c r="BB1651" t="s">
        <v>74</v>
      </c>
      <c r="BC1651" t="s">
        <v>74</v>
      </c>
      <c r="BD1651">
        <v>1447457</v>
      </c>
      <c r="BE1651" t="s">
        <v>27863</v>
      </c>
      <c r="BF1651" t="str">
        <f>HYPERLINK("http://dx.doi.org/10.3389/fcomm.2024.1447457","http://dx.doi.org/10.3389/fcomm.2024.1447457")</f>
        <v>http://dx.doi.org/10.3389/fcomm.2024.1447457</v>
      </c>
      <c r="BG1651" t="s">
        <v>74</v>
      </c>
      <c r="BH1651" t="s">
        <v>74</v>
      </c>
      <c r="BI1651">
        <v>14</v>
      </c>
      <c r="BJ1651" t="s">
        <v>124</v>
      </c>
      <c r="BK1651" t="s">
        <v>125</v>
      </c>
      <c r="BL1651" t="s">
        <v>124</v>
      </c>
      <c r="BM1651" t="s">
        <v>27864</v>
      </c>
      <c r="BN1651" t="s">
        <v>74</v>
      </c>
      <c r="BO1651" t="s">
        <v>552</v>
      </c>
      <c r="BP1651" t="s">
        <v>74</v>
      </c>
      <c r="BQ1651" t="s">
        <v>74</v>
      </c>
      <c r="BR1651" t="s">
        <v>102</v>
      </c>
      <c r="BS1651" t="s">
        <v>27865</v>
      </c>
      <c r="BT1651" t="str">
        <f>HYPERLINK("https%3A%2F%2Fwww.webofscience.com%2Fwos%2Fwoscc%2Ffull-record%2FWOS:001283741600001","View Full Record in Web of Science")</f>
        <v>View Full Record in Web of Science</v>
      </c>
    </row>
    <row r="1652" spans="1:72" x14ac:dyDescent="0.35">
      <c r="A1652" t="s">
        <v>128</v>
      </c>
      <c r="B1652" t="s">
        <v>27866</v>
      </c>
      <c r="C1652" t="s">
        <v>74</v>
      </c>
      <c r="D1652" t="s">
        <v>74</v>
      </c>
      <c r="E1652" t="s">
        <v>702</v>
      </c>
      <c r="F1652" t="s">
        <v>27867</v>
      </c>
      <c r="G1652" t="s">
        <v>74</v>
      </c>
      <c r="H1652" t="s">
        <v>74</v>
      </c>
      <c r="I1652" t="s">
        <v>27868</v>
      </c>
      <c r="J1652" t="s">
        <v>27869</v>
      </c>
      <c r="K1652" t="s">
        <v>74</v>
      </c>
      <c r="L1652" t="s">
        <v>74</v>
      </c>
      <c r="M1652" t="s">
        <v>78</v>
      </c>
      <c r="N1652" t="s">
        <v>135</v>
      </c>
      <c r="O1652" t="s">
        <v>21967</v>
      </c>
      <c r="P1652" t="s">
        <v>27870</v>
      </c>
      <c r="Q1652" t="s">
        <v>138</v>
      </c>
      <c r="R1652" t="s">
        <v>1098</v>
      </c>
      <c r="S1652" t="s">
        <v>74</v>
      </c>
      <c r="T1652" t="s">
        <v>27871</v>
      </c>
      <c r="U1652" t="s">
        <v>74</v>
      </c>
      <c r="V1652" t="s">
        <v>27872</v>
      </c>
      <c r="W1652" t="s">
        <v>27873</v>
      </c>
      <c r="X1652" t="s">
        <v>18499</v>
      </c>
      <c r="Y1652" t="s">
        <v>27874</v>
      </c>
      <c r="Z1652" t="s">
        <v>27875</v>
      </c>
      <c r="AA1652" t="s">
        <v>27876</v>
      </c>
      <c r="AB1652" t="s">
        <v>27877</v>
      </c>
      <c r="AC1652" t="s">
        <v>74</v>
      </c>
      <c r="AD1652" t="s">
        <v>74</v>
      </c>
      <c r="AE1652" t="s">
        <v>74</v>
      </c>
      <c r="AF1652" t="s">
        <v>74</v>
      </c>
      <c r="AG1652">
        <v>25</v>
      </c>
      <c r="AH1652">
        <v>5</v>
      </c>
      <c r="AI1652">
        <v>8</v>
      </c>
      <c r="AJ1652">
        <v>0</v>
      </c>
      <c r="AK1652">
        <v>0</v>
      </c>
      <c r="AL1652" t="s">
        <v>718</v>
      </c>
      <c r="AM1652" t="s">
        <v>666</v>
      </c>
      <c r="AN1652" t="s">
        <v>719</v>
      </c>
      <c r="AO1652" t="s">
        <v>74</v>
      </c>
      <c r="AP1652" t="s">
        <v>74</v>
      </c>
      <c r="AQ1652" t="s">
        <v>27878</v>
      </c>
      <c r="AR1652" t="s">
        <v>74</v>
      </c>
      <c r="AS1652" t="s">
        <v>74</v>
      </c>
      <c r="AT1652" t="s">
        <v>74</v>
      </c>
      <c r="AU1652">
        <v>2021</v>
      </c>
      <c r="AV1652" t="s">
        <v>74</v>
      </c>
      <c r="AW1652" t="s">
        <v>74</v>
      </c>
      <c r="AX1652" t="s">
        <v>74</v>
      </c>
      <c r="AY1652" t="s">
        <v>74</v>
      </c>
      <c r="AZ1652" t="s">
        <v>74</v>
      </c>
      <c r="BA1652" t="s">
        <v>74</v>
      </c>
      <c r="BB1652">
        <v>697</v>
      </c>
      <c r="BC1652">
        <v>706</v>
      </c>
      <c r="BD1652" t="s">
        <v>74</v>
      </c>
      <c r="BE1652" t="s">
        <v>27879</v>
      </c>
      <c r="BF1652" t="str">
        <f>HYPERLINK("http://dx.doi.org/10.1145/3461778.3462020","http://dx.doi.org/10.1145/3461778.3462020")</f>
        <v>http://dx.doi.org/10.1145/3461778.3462020</v>
      </c>
      <c r="BG1652" t="s">
        <v>74</v>
      </c>
      <c r="BH1652" t="s">
        <v>74</v>
      </c>
      <c r="BI1652">
        <v>10</v>
      </c>
      <c r="BJ1652" t="s">
        <v>27880</v>
      </c>
      <c r="BK1652" t="s">
        <v>648</v>
      </c>
      <c r="BL1652" t="s">
        <v>1113</v>
      </c>
      <c r="BM1652" t="s">
        <v>27881</v>
      </c>
      <c r="BN1652" t="s">
        <v>74</v>
      </c>
      <c r="BO1652" t="s">
        <v>767</v>
      </c>
      <c r="BP1652" t="s">
        <v>74</v>
      </c>
      <c r="BQ1652" t="s">
        <v>74</v>
      </c>
      <c r="BR1652" t="s">
        <v>102</v>
      </c>
      <c r="BS1652" t="s">
        <v>27882</v>
      </c>
      <c r="BT1652" t="str">
        <f>HYPERLINK("https%3A%2F%2Fwww.webofscience.com%2Fwos%2Fwoscc%2Ffull-record%2FWOS:000747486000051","View Full Record in Web of Science")</f>
        <v>View Full Record in Web of Science</v>
      </c>
    </row>
    <row r="1653" spans="1:72" x14ac:dyDescent="0.35">
      <c r="A1653" t="s">
        <v>128</v>
      </c>
      <c r="B1653" t="s">
        <v>27883</v>
      </c>
      <c r="C1653" t="s">
        <v>74</v>
      </c>
      <c r="D1653" t="s">
        <v>74</v>
      </c>
      <c r="E1653" t="s">
        <v>27884</v>
      </c>
      <c r="F1653" t="s">
        <v>27885</v>
      </c>
      <c r="G1653" t="s">
        <v>74</v>
      </c>
      <c r="H1653" t="s">
        <v>74</v>
      </c>
      <c r="I1653" t="s">
        <v>27886</v>
      </c>
      <c r="J1653" t="s">
        <v>27887</v>
      </c>
      <c r="K1653" t="s">
        <v>27888</v>
      </c>
      <c r="L1653" t="s">
        <v>74</v>
      </c>
      <c r="M1653" t="s">
        <v>78</v>
      </c>
      <c r="N1653" t="s">
        <v>135</v>
      </c>
      <c r="O1653" t="s">
        <v>27889</v>
      </c>
      <c r="P1653" t="s">
        <v>27890</v>
      </c>
      <c r="Q1653" t="s">
        <v>138</v>
      </c>
      <c r="R1653" t="s">
        <v>27891</v>
      </c>
      <c r="S1653" t="s">
        <v>74</v>
      </c>
      <c r="T1653" t="s">
        <v>74</v>
      </c>
      <c r="U1653" t="s">
        <v>27892</v>
      </c>
      <c r="V1653" t="s">
        <v>27893</v>
      </c>
      <c r="W1653" t="s">
        <v>27894</v>
      </c>
      <c r="X1653" t="s">
        <v>27895</v>
      </c>
      <c r="Y1653" t="s">
        <v>27896</v>
      </c>
      <c r="Z1653" t="s">
        <v>27897</v>
      </c>
      <c r="AA1653" t="s">
        <v>27898</v>
      </c>
      <c r="AB1653" t="s">
        <v>27899</v>
      </c>
      <c r="AC1653" t="s">
        <v>27900</v>
      </c>
      <c r="AD1653" t="s">
        <v>27901</v>
      </c>
      <c r="AE1653" t="s">
        <v>27902</v>
      </c>
      <c r="AF1653" t="s">
        <v>74</v>
      </c>
      <c r="AG1653">
        <v>30</v>
      </c>
      <c r="AH1653">
        <v>3</v>
      </c>
      <c r="AI1653">
        <v>3</v>
      </c>
      <c r="AJ1653">
        <v>0</v>
      </c>
      <c r="AK1653">
        <v>6</v>
      </c>
      <c r="AL1653" t="s">
        <v>758</v>
      </c>
      <c r="AM1653" t="s">
        <v>759</v>
      </c>
      <c r="AN1653" t="s">
        <v>2146</v>
      </c>
      <c r="AO1653" t="s">
        <v>27903</v>
      </c>
      <c r="AP1653" t="s">
        <v>74</v>
      </c>
      <c r="AQ1653" t="s">
        <v>27904</v>
      </c>
      <c r="AR1653" t="s">
        <v>27905</v>
      </c>
      <c r="AS1653" t="s">
        <v>74</v>
      </c>
      <c r="AT1653" t="s">
        <v>74</v>
      </c>
      <c r="AU1653">
        <v>2021</v>
      </c>
      <c r="AV1653" t="s">
        <v>74</v>
      </c>
      <c r="AW1653" t="s">
        <v>74</v>
      </c>
      <c r="AX1653" t="s">
        <v>74</v>
      </c>
      <c r="AY1653" t="s">
        <v>74</v>
      </c>
      <c r="AZ1653" t="s">
        <v>74</v>
      </c>
      <c r="BA1653" t="s">
        <v>74</v>
      </c>
      <c r="BB1653">
        <v>10026</v>
      </c>
      <c r="BC1653">
        <v>10033</v>
      </c>
      <c r="BD1653" t="s">
        <v>74</v>
      </c>
      <c r="BE1653" t="s">
        <v>27906</v>
      </c>
      <c r="BF1653" t="str">
        <f>HYPERLINK("http://dx.doi.org/10.1109/ICPR48806.2021.9413333","http://dx.doi.org/10.1109/ICPR48806.2021.9413333")</f>
        <v>http://dx.doi.org/10.1109/ICPR48806.2021.9413333</v>
      </c>
      <c r="BG1653" t="s">
        <v>74</v>
      </c>
      <c r="BH1653" t="s">
        <v>74</v>
      </c>
      <c r="BI1653">
        <v>8</v>
      </c>
      <c r="BJ1653" t="s">
        <v>27907</v>
      </c>
      <c r="BK1653" t="s">
        <v>723</v>
      </c>
      <c r="BL1653" t="s">
        <v>26231</v>
      </c>
      <c r="BM1653" t="s">
        <v>27908</v>
      </c>
      <c r="BN1653" t="s">
        <v>74</v>
      </c>
      <c r="BO1653" t="s">
        <v>74</v>
      </c>
      <c r="BP1653" t="s">
        <v>74</v>
      </c>
      <c r="BQ1653" t="s">
        <v>74</v>
      </c>
      <c r="BR1653" t="s">
        <v>102</v>
      </c>
      <c r="BS1653" t="s">
        <v>27909</v>
      </c>
      <c r="BT1653" t="str">
        <f>HYPERLINK("https%3A%2F%2Fwww.webofscience.com%2Fwos%2Fwoscc%2Ffull-record%2FWOS:000681331402071","View Full Record in Web of Science")</f>
        <v>View Full Record in Web of Science</v>
      </c>
    </row>
    <row r="1654" spans="1:72" x14ac:dyDescent="0.35">
      <c r="A1654" t="s">
        <v>72</v>
      </c>
      <c r="B1654" t="s">
        <v>27910</v>
      </c>
      <c r="C1654" t="s">
        <v>74</v>
      </c>
      <c r="D1654" t="s">
        <v>74</v>
      </c>
      <c r="E1654" t="s">
        <v>74</v>
      </c>
      <c r="F1654" t="s">
        <v>27911</v>
      </c>
      <c r="G1654" t="s">
        <v>74</v>
      </c>
      <c r="H1654" t="s">
        <v>74</v>
      </c>
      <c r="I1654" t="s">
        <v>27912</v>
      </c>
      <c r="J1654" t="s">
        <v>373</v>
      </c>
      <c r="K1654" t="s">
        <v>74</v>
      </c>
      <c r="L1654" t="s">
        <v>74</v>
      </c>
      <c r="M1654" t="s">
        <v>78</v>
      </c>
      <c r="N1654" t="s">
        <v>108</v>
      </c>
      <c r="O1654" t="s">
        <v>74</v>
      </c>
      <c r="P1654" t="s">
        <v>74</v>
      </c>
      <c r="Q1654" t="s">
        <v>74</v>
      </c>
      <c r="R1654" t="s">
        <v>74</v>
      </c>
      <c r="S1654" t="s">
        <v>74</v>
      </c>
      <c r="T1654" t="s">
        <v>27913</v>
      </c>
      <c r="U1654" t="s">
        <v>27914</v>
      </c>
      <c r="V1654" t="s">
        <v>27915</v>
      </c>
      <c r="W1654" t="s">
        <v>27916</v>
      </c>
      <c r="X1654" t="s">
        <v>27917</v>
      </c>
      <c r="Y1654" t="s">
        <v>27918</v>
      </c>
      <c r="Z1654" t="s">
        <v>27919</v>
      </c>
      <c r="AA1654" t="s">
        <v>27920</v>
      </c>
      <c r="AB1654" t="s">
        <v>74</v>
      </c>
      <c r="AC1654" t="s">
        <v>27921</v>
      </c>
      <c r="AD1654" t="s">
        <v>27921</v>
      </c>
      <c r="AE1654" t="s">
        <v>27922</v>
      </c>
      <c r="AF1654" t="s">
        <v>74</v>
      </c>
      <c r="AG1654">
        <v>37</v>
      </c>
      <c r="AH1654">
        <v>0</v>
      </c>
      <c r="AI1654">
        <v>0</v>
      </c>
      <c r="AJ1654">
        <v>2</v>
      </c>
      <c r="AK1654">
        <v>15</v>
      </c>
      <c r="AL1654" t="s">
        <v>384</v>
      </c>
      <c r="AM1654" t="s">
        <v>385</v>
      </c>
      <c r="AN1654" t="s">
        <v>386</v>
      </c>
      <c r="AO1654" t="s">
        <v>74</v>
      </c>
      <c r="AP1654" t="s">
        <v>387</v>
      </c>
      <c r="AQ1654" t="s">
        <v>74</v>
      </c>
      <c r="AR1654" t="s">
        <v>388</v>
      </c>
      <c r="AS1654" t="s">
        <v>389</v>
      </c>
      <c r="AT1654" t="s">
        <v>15641</v>
      </c>
      <c r="AU1654">
        <v>2024</v>
      </c>
      <c r="AV1654">
        <v>12</v>
      </c>
      <c r="AW1654" t="s">
        <v>74</v>
      </c>
      <c r="AX1654" t="s">
        <v>74</v>
      </c>
      <c r="AY1654" t="s">
        <v>74</v>
      </c>
      <c r="AZ1654" t="s">
        <v>74</v>
      </c>
      <c r="BA1654" t="s">
        <v>74</v>
      </c>
      <c r="BB1654" t="s">
        <v>74</v>
      </c>
      <c r="BC1654" t="s">
        <v>74</v>
      </c>
      <c r="BD1654">
        <v>1309632</v>
      </c>
      <c r="BE1654" t="s">
        <v>27923</v>
      </c>
      <c r="BF1654" t="str">
        <f>HYPERLINK("http://dx.doi.org/10.3389/fpubh.2024.1309632","http://dx.doi.org/10.3389/fpubh.2024.1309632")</f>
        <v>http://dx.doi.org/10.3389/fpubh.2024.1309632</v>
      </c>
      <c r="BG1654" t="s">
        <v>74</v>
      </c>
      <c r="BH1654" t="s">
        <v>74</v>
      </c>
      <c r="BI1654">
        <v>9</v>
      </c>
      <c r="BJ1654" t="s">
        <v>392</v>
      </c>
      <c r="BK1654" t="s">
        <v>182</v>
      </c>
      <c r="BL1654" t="s">
        <v>392</v>
      </c>
      <c r="BM1654" t="s">
        <v>27924</v>
      </c>
      <c r="BN1654">
        <v>38414898</v>
      </c>
      <c r="BO1654" t="s">
        <v>552</v>
      </c>
      <c r="BP1654" t="s">
        <v>74</v>
      </c>
      <c r="BQ1654" t="s">
        <v>74</v>
      </c>
      <c r="BR1654" t="s">
        <v>102</v>
      </c>
      <c r="BS1654" t="s">
        <v>27925</v>
      </c>
      <c r="BT1654" t="str">
        <f>HYPERLINK("https%3A%2F%2Fwww.webofscience.com%2Fwos%2Fwoscc%2Ffull-record%2FWOS:001171710900001","View Full Record in Web of Science")</f>
        <v>View Full Record in Web of Science</v>
      </c>
    </row>
    <row r="1655" spans="1:72" x14ac:dyDescent="0.35">
      <c r="A1655" t="s">
        <v>72</v>
      </c>
      <c r="B1655" t="s">
        <v>27926</v>
      </c>
      <c r="C1655" t="s">
        <v>74</v>
      </c>
      <c r="D1655" t="s">
        <v>74</v>
      </c>
      <c r="E1655" t="s">
        <v>74</v>
      </c>
      <c r="F1655" t="s">
        <v>27927</v>
      </c>
      <c r="G1655" t="s">
        <v>74</v>
      </c>
      <c r="H1655" t="s">
        <v>74</v>
      </c>
      <c r="I1655" t="s">
        <v>27928</v>
      </c>
      <c r="J1655" t="s">
        <v>27929</v>
      </c>
      <c r="K1655" t="s">
        <v>74</v>
      </c>
      <c r="L1655" t="s">
        <v>74</v>
      </c>
      <c r="M1655" t="s">
        <v>78</v>
      </c>
      <c r="N1655" t="s">
        <v>108</v>
      </c>
      <c r="O1655" t="s">
        <v>74</v>
      </c>
      <c r="P1655" t="s">
        <v>74</v>
      </c>
      <c r="Q1655" t="s">
        <v>74</v>
      </c>
      <c r="R1655" t="s">
        <v>74</v>
      </c>
      <c r="S1655" t="s">
        <v>74</v>
      </c>
      <c r="T1655" t="s">
        <v>27930</v>
      </c>
      <c r="U1655" t="s">
        <v>27931</v>
      </c>
      <c r="V1655" t="s">
        <v>27932</v>
      </c>
      <c r="W1655" t="s">
        <v>27933</v>
      </c>
      <c r="X1655" t="s">
        <v>27934</v>
      </c>
      <c r="Y1655" t="s">
        <v>27935</v>
      </c>
      <c r="Z1655" t="s">
        <v>27936</v>
      </c>
      <c r="AA1655" t="s">
        <v>74</v>
      </c>
      <c r="AB1655" t="s">
        <v>74</v>
      </c>
      <c r="AC1655" t="s">
        <v>27937</v>
      </c>
      <c r="AD1655" t="s">
        <v>27937</v>
      </c>
      <c r="AE1655" t="s">
        <v>27938</v>
      </c>
      <c r="AF1655" t="s">
        <v>74</v>
      </c>
      <c r="AG1655">
        <v>152</v>
      </c>
      <c r="AH1655">
        <v>0</v>
      </c>
      <c r="AI1655">
        <v>0</v>
      </c>
      <c r="AJ1655">
        <v>0</v>
      </c>
      <c r="AK1655">
        <v>0</v>
      </c>
      <c r="AL1655" t="s">
        <v>516</v>
      </c>
      <c r="AM1655" t="s">
        <v>517</v>
      </c>
      <c r="AN1655" t="s">
        <v>518</v>
      </c>
      <c r="AO1655" t="s">
        <v>74</v>
      </c>
      <c r="AP1655" t="s">
        <v>27939</v>
      </c>
      <c r="AQ1655" t="s">
        <v>74</v>
      </c>
      <c r="AR1655" t="s">
        <v>27940</v>
      </c>
      <c r="AS1655" t="s">
        <v>27941</v>
      </c>
      <c r="AT1655" t="s">
        <v>1275</v>
      </c>
      <c r="AU1655">
        <v>2024</v>
      </c>
      <c r="AV1655">
        <v>24</v>
      </c>
      <c r="AW1655" t="s">
        <v>74</v>
      </c>
      <c r="AX1655" t="s">
        <v>74</v>
      </c>
      <c r="AY1655" t="s">
        <v>74</v>
      </c>
      <c r="AZ1655" t="s">
        <v>74</v>
      </c>
      <c r="BA1655" t="s">
        <v>74</v>
      </c>
      <c r="BB1655" t="s">
        <v>74</v>
      </c>
      <c r="BC1655" t="s">
        <v>74</v>
      </c>
      <c r="BD1655">
        <v>200456</v>
      </c>
      <c r="BE1655" t="s">
        <v>27942</v>
      </c>
      <c r="BF1655" t="str">
        <f>HYPERLINK("http://dx.doi.org/10.1016/j.iswa.2024.200456","http://dx.doi.org/10.1016/j.iswa.2024.200456")</f>
        <v>http://dx.doi.org/10.1016/j.iswa.2024.200456</v>
      </c>
      <c r="BG1655" t="s">
        <v>74</v>
      </c>
      <c r="BH1655" t="s">
        <v>74</v>
      </c>
      <c r="BI1655">
        <v>22</v>
      </c>
      <c r="BJ1655" t="s">
        <v>8821</v>
      </c>
      <c r="BK1655" t="s">
        <v>125</v>
      </c>
      <c r="BL1655" t="s">
        <v>210</v>
      </c>
      <c r="BM1655" t="s">
        <v>27943</v>
      </c>
      <c r="BN1655" t="s">
        <v>74</v>
      </c>
      <c r="BO1655" t="s">
        <v>74</v>
      </c>
      <c r="BP1655" t="s">
        <v>74</v>
      </c>
      <c r="BQ1655" t="s">
        <v>74</v>
      </c>
      <c r="BR1655" t="s">
        <v>102</v>
      </c>
      <c r="BS1655" t="s">
        <v>27944</v>
      </c>
      <c r="BT1655" t="str">
        <f>HYPERLINK("https%3A%2F%2Fwww.webofscience.com%2Fwos%2Fwoscc%2Ffull-record%2FWOS:001356055300001","View Full Record in Web of Science")</f>
        <v>View Full Record in Web of Science</v>
      </c>
    </row>
    <row r="1656" spans="1:72" x14ac:dyDescent="0.35">
      <c r="A1656" t="s">
        <v>72</v>
      </c>
      <c r="B1656" t="s">
        <v>27945</v>
      </c>
      <c r="C1656" t="s">
        <v>74</v>
      </c>
      <c r="D1656" t="s">
        <v>74</v>
      </c>
      <c r="E1656" t="s">
        <v>74</v>
      </c>
      <c r="F1656" t="s">
        <v>27946</v>
      </c>
      <c r="G1656" t="s">
        <v>74</v>
      </c>
      <c r="H1656" t="s">
        <v>74</v>
      </c>
      <c r="I1656" t="s">
        <v>27947</v>
      </c>
      <c r="J1656" t="s">
        <v>8768</v>
      </c>
      <c r="K1656" t="s">
        <v>74</v>
      </c>
      <c r="L1656" t="s">
        <v>74</v>
      </c>
      <c r="M1656" t="s">
        <v>8769</v>
      </c>
      <c r="N1656" t="s">
        <v>108</v>
      </c>
      <c r="O1656" t="s">
        <v>74</v>
      </c>
      <c r="P1656" t="s">
        <v>74</v>
      </c>
      <c r="Q1656" t="s">
        <v>74</v>
      </c>
      <c r="R1656" t="s">
        <v>74</v>
      </c>
      <c r="S1656" t="s">
        <v>74</v>
      </c>
      <c r="T1656" t="s">
        <v>27948</v>
      </c>
      <c r="U1656" t="s">
        <v>74</v>
      </c>
      <c r="V1656" t="s">
        <v>27949</v>
      </c>
      <c r="W1656" t="s">
        <v>27950</v>
      </c>
      <c r="X1656" t="s">
        <v>2803</v>
      </c>
      <c r="Y1656" t="s">
        <v>27951</v>
      </c>
      <c r="Z1656" t="s">
        <v>27952</v>
      </c>
      <c r="AA1656" t="s">
        <v>74</v>
      </c>
      <c r="AB1656" t="s">
        <v>74</v>
      </c>
      <c r="AC1656" t="s">
        <v>74</v>
      </c>
      <c r="AD1656" t="s">
        <v>74</v>
      </c>
      <c r="AE1656" t="s">
        <v>74</v>
      </c>
      <c r="AF1656" t="s">
        <v>74</v>
      </c>
      <c r="AG1656">
        <v>17</v>
      </c>
      <c r="AH1656">
        <v>0</v>
      </c>
      <c r="AI1656">
        <v>0</v>
      </c>
      <c r="AJ1656">
        <v>0</v>
      </c>
      <c r="AK1656">
        <v>0</v>
      </c>
      <c r="AL1656" t="s">
        <v>8773</v>
      </c>
      <c r="AM1656" t="s">
        <v>8774</v>
      </c>
      <c r="AN1656" t="s">
        <v>8775</v>
      </c>
      <c r="AO1656" t="s">
        <v>8776</v>
      </c>
      <c r="AP1656" t="s">
        <v>74</v>
      </c>
      <c r="AQ1656" t="s">
        <v>74</v>
      </c>
      <c r="AR1656" t="s">
        <v>8777</v>
      </c>
      <c r="AS1656" t="s">
        <v>8778</v>
      </c>
      <c r="AT1656" t="s">
        <v>74</v>
      </c>
      <c r="AU1656">
        <v>2024</v>
      </c>
      <c r="AV1656" t="s">
        <v>74</v>
      </c>
      <c r="AW1656" t="s">
        <v>74</v>
      </c>
      <c r="AX1656" t="s">
        <v>74</v>
      </c>
      <c r="AY1656" t="s">
        <v>74</v>
      </c>
      <c r="AZ1656" t="s">
        <v>456</v>
      </c>
      <c r="BA1656" t="s">
        <v>74</v>
      </c>
      <c r="BB1656">
        <v>38</v>
      </c>
      <c r="BC1656">
        <v>55</v>
      </c>
      <c r="BD1656" t="s">
        <v>74</v>
      </c>
      <c r="BE1656" t="s">
        <v>74</v>
      </c>
      <c r="BF1656" t="s">
        <v>74</v>
      </c>
      <c r="BG1656" t="s">
        <v>74</v>
      </c>
      <c r="BH1656" t="s">
        <v>74</v>
      </c>
      <c r="BI1656">
        <v>18</v>
      </c>
      <c r="BJ1656" t="s">
        <v>2124</v>
      </c>
      <c r="BK1656" t="s">
        <v>125</v>
      </c>
      <c r="BL1656" t="s">
        <v>2124</v>
      </c>
      <c r="BM1656" t="s">
        <v>8779</v>
      </c>
      <c r="BN1656" t="s">
        <v>74</v>
      </c>
      <c r="BO1656" t="s">
        <v>74</v>
      </c>
      <c r="BP1656" t="s">
        <v>74</v>
      </c>
      <c r="BQ1656" t="s">
        <v>74</v>
      </c>
      <c r="BR1656" t="s">
        <v>102</v>
      </c>
      <c r="BS1656" t="s">
        <v>27953</v>
      </c>
      <c r="BT1656" t="str">
        <f>HYPERLINK("https%3A%2F%2Fwww.webofscience.com%2Fwos%2Fwoscc%2Ffull-record%2FWOS:001336390400005","View Full Record in Web of Science")</f>
        <v>View Full Record in Web of Science</v>
      </c>
    </row>
    <row r="1657" spans="1:72" x14ac:dyDescent="0.35">
      <c r="A1657" t="s">
        <v>128</v>
      </c>
      <c r="B1657" t="s">
        <v>27954</v>
      </c>
      <c r="C1657" t="s">
        <v>74</v>
      </c>
      <c r="D1657" t="s">
        <v>27955</v>
      </c>
      <c r="E1657" t="s">
        <v>74</v>
      </c>
      <c r="F1657" t="s">
        <v>27956</v>
      </c>
      <c r="G1657" t="s">
        <v>74</v>
      </c>
      <c r="H1657" t="s">
        <v>74</v>
      </c>
      <c r="I1657" t="s">
        <v>27957</v>
      </c>
      <c r="J1657" t="s">
        <v>27958</v>
      </c>
      <c r="K1657" t="s">
        <v>27959</v>
      </c>
      <c r="L1657" t="s">
        <v>74</v>
      </c>
      <c r="M1657" t="s">
        <v>3503</v>
      </c>
      <c r="N1657" t="s">
        <v>135</v>
      </c>
      <c r="O1657" t="s">
        <v>27960</v>
      </c>
      <c r="P1657" t="s">
        <v>27961</v>
      </c>
      <c r="Q1657" t="s">
        <v>27962</v>
      </c>
      <c r="R1657" t="s">
        <v>74</v>
      </c>
      <c r="S1657" t="s">
        <v>27963</v>
      </c>
      <c r="T1657" t="s">
        <v>27964</v>
      </c>
      <c r="U1657" t="s">
        <v>27965</v>
      </c>
      <c r="V1657" t="s">
        <v>27966</v>
      </c>
      <c r="W1657" t="s">
        <v>27967</v>
      </c>
      <c r="X1657" t="s">
        <v>8408</v>
      </c>
      <c r="Y1657" t="s">
        <v>27968</v>
      </c>
      <c r="Z1657" t="s">
        <v>27969</v>
      </c>
      <c r="AA1657" t="s">
        <v>27970</v>
      </c>
      <c r="AB1657" t="s">
        <v>74</v>
      </c>
      <c r="AC1657" t="s">
        <v>74</v>
      </c>
      <c r="AD1657" t="s">
        <v>74</v>
      </c>
      <c r="AE1657" t="s">
        <v>74</v>
      </c>
      <c r="AF1657" t="s">
        <v>74</v>
      </c>
      <c r="AG1657">
        <v>14</v>
      </c>
      <c r="AH1657">
        <v>0</v>
      </c>
      <c r="AI1657">
        <v>0</v>
      </c>
      <c r="AJ1657">
        <v>1</v>
      </c>
      <c r="AK1657">
        <v>1</v>
      </c>
      <c r="AL1657" t="s">
        <v>27971</v>
      </c>
      <c r="AM1657" t="s">
        <v>5232</v>
      </c>
      <c r="AN1657" t="s">
        <v>27972</v>
      </c>
      <c r="AO1657" t="s">
        <v>27973</v>
      </c>
      <c r="AP1657" t="s">
        <v>27974</v>
      </c>
      <c r="AQ1657" t="s">
        <v>74</v>
      </c>
      <c r="AR1657" t="s">
        <v>27975</v>
      </c>
      <c r="AS1657" t="s">
        <v>74</v>
      </c>
      <c r="AT1657" t="s">
        <v>74</v>
      </c>
      <c r="AU1657">
        <v>2023</v>
      </c>
      <c r="AV1657" t="s">
        <v>74</v>
      </c>
      <c r="AW1657" t="s">
        <v>74</v>
      </c>
      <c r="AX1657" t="s">
        <v>74</v>
      </c>
      <c r="AY1657" t="s">
        <v>74</v>
      </c>
      <c r="AZ1657" t="s">
        <v>74</v>
      </c>
      <c r="BA1657" t="s">
        <v>74</v>
      </c>
      <c r="BB1657">
        <v>49</v>
      </c>
      <c r="BC1657">
        <v>59</v>
      </c>
      <c r="BD1657" t="s">
        <v>74</v>
      </c>
      <c r="BE1657" t="s">
        <v>27976</v>
      </c>
      <c r="BF1657" t="str">
        <f>HYPERLINK("http://dx.doi.org/10.5821/jida.2023.12131","http://dx.doi.org/10.5821/jida.2023.12131")</f>
        <v>http://dx.doi.org/10.5821/jida.2023.12131</v>
      </c>
      <c r="BG1657" t="s">
        <v>74</v>
      </c>
      <c r="BH1657" t="s">
        <v>74</v>
      </c>
      <c r="BI1657">
        <v>11</v>
      </c>
      <c r="BJ1657" t="s">
        <v>27977</v>
      </c>
      <c r="BK1657" t="s">
        <v>154</v>
      </c>
      <c r="BL1657" t="s">
        <v>27977</v>
      </c>
      <c r="BM1657" t="s">
        <v>27978</v>
      </c>
      <c r="BN1657" t="s">
        <v>74</v>
      </c>
      <c r="BO1657" t="s">
        <v>156</v>
      </c>
      <c r="BP1657" t="s">
        <v>74</v>
      </c>
      <c r="BQ1657" t="s">
        <v>74</v>
      </c>
      <c r="BR1657" t="s">
        <v>102</v>
      </c>
      <c r="BS1657" t="s">
        <v>27979</v>
      </c>
      <c r="BT1657" t="str">
        <f>HYPERLINK("https%3A%2F%2Fwww.webofscience.com%2Fwos%2Fwoscc%2Ffull-record%2FWOS:001304108400004","View Full Record in Web of Science")</f>
        <v>View Full Record in Web of Science</v>
      </c>
    </row>
    <row r="1658" spans="1:72" x14ac:dyDescent="0.35">
      <c r="A1658" t="s">
        <v>72</v>
      </c>
      <c r="B1658" t="s">
        <v>27980</v>
      </c>
      <c r="C1658" t="s">
        <v>74</v>
      </c>
      <c r="D1658" t="s">
        <v>74</v>
      </c>
      <c r="E1658" t="s">
        <v>74</v>
      </c>
      <c r="F1658" t="s">
        <v>27981</v>
      </c>
      <c r="G1658" t="s">
        <v>74</v>
      </c>
      <c r="H1658" t="s">
        <v>74</v>
      </c>
      <c r="I1658" t="s">
        <v>27982</v>
      </c>
      <c r="J1658" t="s">
        <v>27983</v>
      </c>
      <c r="K1658" t="s">
        <v>74</v>
      </c>
      <c r="L1658" t="s">
        <v>74</v>
      </c>
      <c r="M1658" t="s">
        <v>78</v>
      </c>
      <c r="N1658" t="s">
        <v>108</v>
      </c>
      <c r="O1658" t="s">
        <v>74</v>
      </c>
      <c r="P1658" t="s">
        <v>74</v>
      </c>
      <c r="Q1658" t="s">
        <v>74</v>
      </c>
      <c r="R1658" t="s">
        <v>74</v>
      </c>
      <c r="S1658" t="s">
        <v>74</v>
      </c>
      <c r="T1658" t="s">
        <v>74</v>
      </c>
      <c r="U1658" t="s">
        <v>27984</v>
      </c>
      <c r="V1658" t="s">
        <v>27985</v>
      </c>
      <c r="W1658" t="s">
        <v>27986</v>
      </c>
      <c r="X1658" t="s">
        <v>27987</v>
      </c>
      <c r="Y1658" t="s">
        <v>27988</v>
      </c>
      <c r="Z1658" t="s">
        <v>27989</v>
      </c>
      <c r="AA1658" t="s">
        <v>27990</v>
      </c>
      <c r="AB1658" t="s">
        <v>74</v>
      </c>
      <c r="AC1658" t="s">
        <v>74</v>
      </c>
      <c r="AD1658" t="s">
        <v>74</v>
      </c>
      <c r="AE1658" t="s">
        <v>74</v>
      </c>
      <c r="AF1658" t="s">
        <v>74</v>
      </c>
      <c r="AG1658">
        <v>79</v>
      </c>
      <c r="AH1658">
        <v>23</v>
      </c>
      <c r="AI1658">
        <v>24</v>
      </c>
      <c r="AJ1658">
        <v>2</v>
      </c>
      <c r="AK1658">
        <v>23</v>
      </c>
      <c r="AL1658" t="s">
        <v>12528</v>
      </c>
      <c r="AM1658" t="s">
        <v>995</v>
      </c>
      <c r="AN1658" t="s">
        <v>12529</v>
      </c>
      <c r="AO1658" t="s">
        <v>27991</v>
      </c>
      <c r="AP1658" t="s">
        <v>27992</v>
      </c>
      <c r="AQ1658" t="s">
        <v>74</v>
      </c>
      <c r="AR1658" t="s">
        <v>27993</v>
      </c>
      <c r="AS1658" t="s">
        <v>27994</v>
      </c>
      <c r="AT1658" t="s">
        <v>178</v>
      </c>
      <c r="AU1658">
        <v>2023</v>
      </c>
      <c r="AV1658">
        <v>121</v>
      </c>
      <c r="AW1658" t="s">
        <v>74</v>
      </c>
      <c r="AX1658" t="s">
        <v>74</v>
      </c>
      <c r="AY1658" t="s">
        <v>74</v>
      </c>
      <c r="AZ1658" t="s">
        <v>74</v>
      </c>
      <c r="BA1658" t="s">
        <v>74</v>
      </c>
      <c r="BB1658" t="s">
        <v>74</v>
      </c>
      <c r="BC1658" t="s">
        <v>74</v>
      </c>
      <c r="BD1658">
        <v>152362</v>
      </c>
      <c r="BE1658" t="s">
        <v>27995</v>
      </c>
      <c r="BF1658" t="str">
        <f>HYPERLINK("http://dx.doi.org/10.1016/j.comppsych.2022.152362","http://dx.doi.org/10.1016/j.comppsych.2022.152362")</f>
        <v>http://dx.doi.org/10.1016/j.comppsych.2022.152362</v>
      </c>
      <c r="BG1658" t="s">
        <v>74</v>
      </c>
      <c r="BH1658" t="s">
        <v>3970</v>
      </c>
      <c r="BI1658">
        <v>5</v>
      </c>
      <c r="BJ1658" t="s">
        <v>1847</v>
      </c>
      <c r="BK1658" t="s">
        <v>182</v>
      </c>
      <c r="BL1658" t="s">
        <v>1847</v>
      </c>
      <c r="BM1658" t="s">
        <v>27996</v>
      </c>
      <c r="BN1658">
        <v>36571927</v>
      </c>
      <c r="BO1658" t="s">
        <v>235</v>
      </c>
      <c r="BP1658" t="s">
        <v>74</v>
      </c>
      <c r="BQ1658" t="s">
        <v>74</v>
      </c>
      <c r="BR1658" t="s">
        <v>102</v>
      </c>
      <c r="BS1658" t="s">
        <v>27997</v>
      </c>
      <c r="BT1658" t="str">
        <f>HYPERLINK("https%3A%2F%2Fwww.webofscience.com%2Fwos%2Fwoscc%2Ffull-record%2FWOS:000921114300001","View Full Record in Web of Science")</f>
        <v>View Full Record in Web of Science</v>
      </c>
    </row>
    <row r="1659" spans="1:72" x14ac:dyDescent="0.35">
      <c r="A1659" t="s">
        <v>72</v>
      </c>
      <c r="B1659" t="s">
        <v>27998</v>
      </c>
      <c r="C1659" t="s">
        <v>74</v>
      </c>
      <c r="D1659" t="s">
        <v>74</v>
      </c>
      <c r="E1659" t="s">
        <v>74</v>
      </c>
      <c r="F1659" t="s">
        <v>27999</v>
      </c>
      <c r="G1659" t="s">
        <v>74</v>
      </c>
      <c r="H1659" t="s">
        <v>74</v>
      </c>
      <c r="I1659" t="s">
        <v>28000</v>
      </c>
      <c r="J1659" t="s">
        <v>28001</v>
      </c>
      <c r="K1659" t="s">
        <v>74</v>
      </c>
      <c r="L1659" t="s">
        <v>74</v>
      </c>
      <c r="M1659" t="s">
        <v>78</v>
      </c>
      <c r="N1659" t="s">
        <v>374</v>
      </c>
      <c r="O1659" t="s">
        <v>74</v>
      </c>
      <c r="P1659" t="s">
        <v>74</v>
      </c>
      <c r="Q1659" t="s">
        <v>74</v>
      </c>
      <c r="R1659" t="s">
        <v>74</v>
      </c>
      <c r="S1659" t="s">
        <v>74</v>
      </c>
      <c r="T1659" t="s">
        <v>28002</v>
      </c>
      <c r="U1659" t="s">
        <v>74</v>
      </c>
      <c r="V1659" t="s">
        <v>28003</v>
      </c>
      <c r="W1659" t="s">
        <v>28004</v>
      </c>
      <c r="X1659" t="s">
        <v>28005</v>
      </c>
      <c r="Y1659" t="s">
        <v>28006</v>
      </c>
      <c r="Z1659" t="s">
        <v>28007</v>
      </c>
      <c r="AA1659" t="s">
        <v>28008</v>
      </c>
      <c r="AB1659" t="s">
        <v>74</v>
      </c>
      <c r="AC1659" t="s">
        <v>74</v>
      </c>
      <c r="AD1659" t="s">
        <v>74</v>
      </c>
      <c r="AE1659" t="s">
        <v>74</v>
      </c>
      <c r="AF1659" t="s">
        <v>74</v>
      </c>
      <c r="AG1659">
        <v>9</v>
      </c>
      <c r="AH1659">
        <v>0</v>
      </c>
      <c r="AI1659">
        <v>0</v>
      </c>
      <c r="AJ1659">
        <v>0</v>
      </c>
      <c r="AK1659">
        <v>5</v>
      </c>
      <c r="AL1659" t="s">
        <v>28009</v>
      </c>
      <c r="AM1659" t="s">
        <v>28010</v>
      </c>
      <c r="AN1659" t="s">
        <v>28011</v>
      </c>
      <c r="AO1659" t="s">
        <v>28012</v>
      </c>
      <c r="AP1659" t="s">
        <v>74</v>
      </c>
      <c r="AQ1659" t="s">
        <v>74</v>
      </c>
      <c r="AR1659" t="s">
        <v>28013</v>
      </c>
      <c r="AS1659" t="s">
        <v>28014</v>
      </c>
      <c r="AT1659" t="s">
        <v>11259</v>
      </c>
      <c r="AU1659">
        <v>2021</v>
      </c>
      <c r="AV1659">
        <v>34</v>
      </c>
      <c r="AW1659">
        <v>1</v>
      </c>
      <c r="AX1659" t="s">
        <v>74</v>
      </c>
      <c r="AY1659" t="s">
        <v>74</v>
      </c>
      <c r="AZ1659" t="s">
        <v>74</v>
      </c>
      <c r="BA1659" t="s">
        <v>74</v>
      </c>
      <c r="BB1659">
        <v>33</v>
      </c>
      <c r="BC1659">
        <v>37</v>
      </c>
      <c r="BD1659" t="s">
        <v>74</v>
      </c>
      <c r="BE1659" t="s">
        <v>74</v>
      </c>
      <c r="BF1659" t="s">
        <v>74</v>
      </c>
      <c r="BG1659" t="s">
        <v>74</v>
      </c>
      <c r="BH1659" t="s">
        <v>74</v>
      </c>
      <c r="BI1659">
        <v>5</v>
      </c>
      <c r="BJ1659" t="s">
        <v>28015</v>
      </c>
      <c r="BK1659" t="s">
        <v>125</v>
      </c>
      <c r="BL1659" t="s">
        <v>28015</v>
      </c>
      <c r="BM1659" t="s">
        <v>28016</v>
      </c>
      <c r="BN1659" t="s">
        <v>74</v>
      </c>
      <c r="BO1659" t="s">
        <v>74</v>
      </c>
      <c r="BP1659" t="s">
        <v>74</v>
      </c>
      <c r="BQ1659" t="s">
        <v>74</v>
      </c>
      <c r="BR1659" t="s">
        <v>102</v>
      </c>
      <c r="BS1659" t="s">
        <v>28017</v>
      </c>
      <c r="BT1659" t="str">
        <f>HYPERLINK("https%3A%2F%2Fwww.webofscience.com%2Fwos%2Fwoscc%2Ffull-record%2FWOS:000663566000007","View Full Record in Web of Science")</f>
        <v>View Full Record in Web of Science</v>
      </c>
    </row>
    <row r="1660" spans="1:72" x14ac:dyDescent="0.35">
      <c r="A1660" t="s">
        <v>72</v>
      </c>
      <c r="B1660" t="s">
        <v>28018</v>
      </c>
      <c r="C1660" t="s">
        <v>74</v>
      </c>
      <c r="D1660" t="s">
        <v>74</v>
      </c>
      <c r="E1660" t="s">
        <v>74</v>
      </c>
      <c r="F1660" t="s">
        <v>28019</v>
      </c>
      <c r="G1660" t="s">
        <v>74</v>
      </c>
      <c r="H1660" t="s">
        <v>74</v>
      </c>
      <c r="I1660" t="s">
        <v>28020</v>
      </c>
      <c r="J1660" t="s">
        <v>28021</v>
      </c>
      <c r="K1660" t="s">
        <v>74</v>
      </c>
      <c r="L1660" t="s">
        <v>74</v>
      </c>
      <c r="M1660" t="s">
        <v>3503</v>
      </c>
      <c r="N1660" t="s">
        <v>108</v>
      </c>
      <c r="O1660" t="s">
        <v>74</v>
      </c>
      <c r="P1660" t="s">
        <v>74</v>
      </c>
      <c r="Q1660" t="s">
        <v>74</v>
      </c>
      <c r="R1660" t="s">
        <v>74</v>
      </c>
      <c r="S1660" t="s">
        <v>74</v>
      </c>
      <c r="T1660" t="s">
        <v>28022</v>
      </c>
      <c r="U1660" t="s">
        <v>28023</v>
      </c>
      <c r="V1660" t="s">
        <v>28024</v>
      </c>
      <c r="W1660" t="s">
        <v>74</v>
      </c>
      <c r="X1660" t="s">
        <v>74</v>
      </c>
      <c r="Y1660" t="s">
        <v>74</v>
      </c>
      <c r="Z1660" t="s">
        <v>28025</v>
      </c>
      <c r="AA1660" t="s">
        <v>28026</v>
      </c>
      <c r="AB1660" t="s">
        <v>28027</v>
      </c>
      <c r="AC1660" t="s">
        <v>74</v>
      </c>
      <c r="AD1660" t="s">
        <v>74</v>
      </c>
      <c r="AE1660" t="s">
        <v>74</v>
      </c>
      <c r="AF1660" t="s">
        <v>74</v>
      </c>
      <c r="AG1660">
        <v>62</v>
      </c>
      <c r="AH1660">
        <v>2</v>
      </c>
      <c r="AI1660">
        <v>2</v>
      </c>
      <c r="AJ1660">
        <v>2</v>
      </c>
      <c r="AK1660">
        <v>35</v>
      </c>
      <c r="AL1660" t="s">
        <v>14437</v>
      </c>
      <c r="AM1660" t="s">
        <v>6529</v>
      </c>
      <c r="AN1660" t="s">
        <v>14438</v>
      </c>
      <c r="AO1660" t="s">
        <v>28028</v>
      </c>
      <c r="AP1660" t="s">
        <v>28029</v>
      </c>
      <c r="AQ1660" t="s">
        <v>74</v>
      </c>
      <c r="AR1660" t="s">
        <v>28030</v>
      </c>
      <c r="AS1660" t="s">
        <v>28031</v>
      </c>
      <c r="AT1660" t="s">
        <v>74</v>
      </c>
      <c r="AU1660">
        <v>2021</v>
      </c>
      <c r="AV1660">
        <v>26</v>
      </c>
      <c r="AW1660" t="s">
        <v>74</v>
      </c>
      <c r="AX1660" t="s">
        <v>74</v>
      </c>
      <c r="AY1660" t="s">
        <v>74</v>
      </c>
      <c r="AZ1660" t="s">
        <v>74</v>
      </c>
      <c r="BA1660" t="s">
        <v>74</v>
      </c>
      <c r="BB1660">
        <v>89</v>
      </c>
      <c r="BC1660">
        <v>105</v>
      </c>
      <c r="BD1660" t="s">
        <v>74</v>
      </c>
      <c r="BE1660" t="s">
        <v>28032</v>
      </c>
      <c r="BF1660" t="str">
        <f>HYPERLINK("http://dx.doi.org/10.5209/ciyc.75727","http://dx.doi.org/10.5209/ciyc.75727")</f>
        <v>http://dx.doi.org/10.5209/ciyc.75727</v>
      </c>
      <c r="BG1660" t="s">
        <v>74</v>
      </c>
      <c r="BH1660" t="s">
        <v>74</v>
      </c>
      <c r="BI1660">
        <v>17</v>
      </c>
      <c r="BJ1660" t="s">
        <v>124</v>
      </c>
      <c r="BK1660" t="s">
        <v>125</v>
      </c>
      <c r="BL1660" t="s">
        <v>124</v>
      </c>
      <c r="BM1660" t="s">
        <v>28033</v>
      </c>
      <c r="BN1660" t="s">
        <v>74</v>
      </c>
      <c r="BO1660" t="s">
        <v>235</v>
      </c>
      <c r="BP1660" t="s">
        <v>74</v>
      </c>
      <c r="BQ1660" t="s">
        <v>74</v>
      </c>
      <c r="BR1660" t="s">
        <v>102</v>
      </c>
      <c r="BS1660" t="s">
        <v>28034</v>
      </c>
      <c r="BT1660" t="str">
        <f>HYPERLINK("https%3A%2F%2Fwww.webofscience.com%2Fwos%2Fwoscc%2Ffull-record%2FWOS:000697163500008","View Full Record in Web of Science")</f>
        <v>View Full Record in Web of Science</v>
      </c>
    </row>
    <row r="1661" spans="1:72" x14ac:dyDescent="0.35">
      <c r="A1661" t="s">
        <v>72</v>
      </c>
      <c r="B1661" t="s">
        <v>28035</v>
      </c>
      <c r="C1661" t="s">
        <v>74</v>
      </c>
      <c r="D1661" t="s">
        <v>74</v>
      </c>
      <c r="E1661" t="s">
        <v>74</v>
      </c>
      <c r="F1661" t="s">
        <v>28036</v>
      </c>
      <c r="G1661" t="s">
        <v>74</v>
      </c>
      <c r="H1661" t="s">
        <v>74</v>
      </c>
      <c r="I1661" t="s">
        <v>28037</v>
      </c>
      <c r="J1661" t="s">
        <v>8063</v>
      </c>
      <c r="K1661" t="s">
        <v>74</v>
      </c>
      <c r="L1661" t="s">
        <v>74</v>
      </c>
      <c r="M1661" t="s">
        <v>78</v>
      </c>
      <c r="N1661" t="s">
        <v>79</v>
      </c>
      <c r="O1661" t="s">
        <v>74</v>
      </c>
      <c r="P1661" t="s">
        <v>74</v>
      </c>
      <c r="Q1661" t="s">
        <v>74</v>
      </c>
      <c r="R1661" t="s">
        <v>74</v>
      </c>
      <c r="S1661" t="s">
        <v>74</v>
      </c>
      <c r="T1661" t="s">
        <v>28038</v>
      </c>
      <c r="U1661" t="s">
        <v>28039</v>
      </c>
      <c r="V1661" t="s">
        <v>28040</v>
      </c>
      <c r="W1661" t="s">
        <v>28041</v>
      </c>
      <c r="X1661" t="s">
        <v>28042</v>
      </c>
      <c r="Y1661" t="s">
        <v>28043</v>
      </c>
      <c r="Z1661" t="s">
        <v>28044</v>
      </c>
      <c r="AA1661" t="s">
        <v>28045</v>
      </c>
      <c r="AB1661" t="s">
        <v>28046</v>
      </c>
      <c r="AC1661" t="s">
        <v>28047</v>
      </c>
      <c r="AD1661" t="s">
        <v>28048</v>
      </c>
      <c r="AE1661" t="s">
        <v>28049</v>
      </c>
      <c r="AF1661" t="s">
        <v>74</v>
      </c>
      <c r="AG1661">
        <v>40</v>
      </c>
      <c r="AH1661">
        <v>0</v>
      </c>
      <c r="AI1661">
        <v>0</v>
      </c>
      <c r="AJ1661">
        <v>2</v>
      </c>
      <c r="AK1661">
        <v>2</v>
      </c>
      <c r="AL1661" t="s">
        <v>251</v>
      </c>
      <c r="AM1661" t="s">
        <v>252</v>
      </c>
      <c r="AN1661" t="s">
        <v>253</v>
      </c>
      <c r="AO1661" t="s">
        <v>8072</v>
      </c>
      <c r="AP1661" t="s">
        <v>74</v>
      </c>
      <c r="AQ1661" t="s">
        <v>74</v>
      </c>
      <c r="AR1661" t="s">
        <v>8073</v>
      </c>
      <c r="AS1661" t="s">
        <v>8074</v>
      </c>
      <c r="AT1661" t="s">
        <v>8968</v>
      </c>
      <c r="AU1661">
        <v>2024</v>
      </c>
      <c r="AV1661" t="s">
        <v>74</v>
      </c>
      <c r="AW1661" t="s">
        <v>74</v>
      </c>
      <c r="AX1661" t="s">
        <v>74</v>
      </c>
      <c r="AY1661" t="s">
        <v>74</v>
      </c>
      <c r="AZ1661" t="s">
        <v>74</v>
      </c>
      <c r="BA1661" t="s">
        <v>74</v>
      </c>
      <c r="BB1661" t="s">
        <v>74</v>
      </c>
      <c r="BC1661" t="s">
        <v>74</v>
      </c>
      <c r="BD1661" t="s">
        <v>74</v>
      </c>
      <c r="BE1661" t="s">
        <v>28050</v>
      </c>
      <c r="BF1661" t="str">
        <f>HYPERLINK("http://dx.doi.org/10.1002/poi3.417","http://dx.doi.org/10.1002/poi3.417")</f>
        <v>http://dx.doi.org/10.1002/poi3.417</v>
      </c>
      <c r="BG1661" t="s">
        <v>74</v>
      </c>
      <c r="BH1661" t="s">
        <v>337</v>
      </c>
      <c r="BI1661">
        <v>21</v>
      </c>
      <c r="BJ1661" t="s">
        <v>1528</v>
      </c>
      <c r="BK1661" t="s">
        <v>99</v>
      </c>
      <c r="BL1661" t="s">
        <v>1529</v>
      </c>
      <c r="BM1661" t="s">
        <v>28051</v>
      </c>
      <c r="BN1661" t="s">
        <v>74</v>
      </c>
      <c r="BO1661" t="s">
        <v>156</v>
      </c>
      <c r="BP1661" t="s">
        <v>74</v>
      </c>
      <c r="BQ1661" t="s">
        <v>74</v>
      </c>
      <c r="BR1661" t="s">
        <v>102</v>
      </c>
      <c r="BS1661" t="s">
        <v>28052</v>
      </c>
      <c r="BT1661" t="str">
        <f>HYPERLINK("https%3A%2F%2Fwww.webofscience.com%2Fwos%2Fwoscc%2Ffull-record%2FWOS:001304099200001","View Full Record in Web of Science")</f>
        <v>View Full Record in Web of Science</v>
      </c>
    </row>
    <row r="1662" spans="1:72" x14ac:dyDescent="0.35">
      <c r="A1662" t="s">
        <v>72</v>
      </c>
      <c r="B1662" t="s">
        <v>28053</v>
      </c>
      <c r="C1662" t="s">
        <v>74</v>
      </c>
      <c r="D1662" t="s">
        <v>74</v>
      </c>
      <c r="E1662" t="s">
        <v>74</v>
      </c>
      <c r="F1662" t="s">
        <v>28054</v>
      </c>
      <c r="G1662" t="s">
        <v>74</v>
      </c>
      <c r="H1662" t="s">
        <v>74</v>
      </c>
      <c r="I1662" t="s">
        <v>28055</v>
      </c>
      <c r="J1662" t="s">
        <v>15052</v>
      </c>
      <c r="K1662" t="s">
        <v>74</v>
      </c>
      <c r="L1662" t="s">
        <v>74</v>
      </c>
      <c r="M1662" t="s">
        <v>78</v>
      </c>
      <c r="N1662" t="s">
        <v>79</v>
      </c>
      <c r="O1662" t="s">
        <v>74</v>
      </c>
      <c r="P1662" t="s">
        <v>74</v>
      </c>
      <c r="Q1662" t="s">
        <v>74</v>
      </c>
      <c r="R1662" t="s">
        <v>74</v>
      </c>
      <c r="S1662" t="s">
        <v>74</v>
      </c>
      <c r="T1662" t="s">
        <v>28056</v>
      </c>
      <c r="U1662" t="s">
        <v>74</v>
      </c>
      <c r="V1662" t="s">
        <v>28057</v>
      </c>
      <c r="W1662" t="s">
        <v>28058</v>
      </c>
      <c r="X1662" t="s">
        <v>28059</v>
      </c>
      <c r="Y1662" t="s">
        <v>28060</v>
      </c>
      <c r="Z1662" t="s">
        <v>28061</v>
      </c>
      <c r="AA1662" t="s">
        <v>74</v>
      </c>
      <c r="AB1662" t="s">
        <v>28062</v>
      </c>
      <c r="AC1662" t="s">
        <v>28063</v>
      </c>
      <c r="AD1662" t="s">
        <v>28063</v>
      </c>
      <c r="AE1662" t="s">
        <v>28064</v>
      </c>
      <c r="AF1662" t="s">
        <v>74</v>
      </c>
      <c r="AG1662">
        <v>24</v>
      </c>
      <c r="AH1662">
        <v>0</v>
      </c>
      <c r="AI1662">
        <v>0</v>
      </c>
      <c r="AJ1662">
        <v>1</v>
      </c>
      <c r="AK1662">
        <v>1</v>
      </c>
      <c r="AL1662" t="s">
        <v>9222</v>
      </c>
      <c r="AM1662" t="s">
        <v>227</v>
      </c>
      <c r="AN1662" t="s">
        <v>9223</v>
      </c>
      <c r="AO1662" t="s">
        <v>15060</v>
      </c>
      <c r="AP1662" t="s">
        <v>15061</v>
      </c>
      <c r="AQ1662" t="s">
        <v>74</v>
      </c>
      <c r="AR1662" t="s">
        <v>15062</v>
      </c>
      <c r="AS1662" t="s">
        <v>15063</v>
      </c>
      <c r="AT1662" t="s">
        <v>28065</v>
      </c>
      <c r="AU1662">
        <v>2024</v>
      </c>
      <c r="AV1662" t="s">
        <v>74</v>
      </c>
      <c r="AW1662" t="s">
        <v>74</v>
      </c>
      <c r="AX1662" t="s">
        <v>74</v>
      </c>
      <c r="AY1662" t="s">
        <v>74</v>
      </c>
      <c r="AZ1662" t="s">
        <v>74</v>
      </c>
      <c r="BA1662" t="s">
        <v>74</v>
      </c>
      <c r="BB1662" t="s">
        <v>74</v>
      </c>
      <c r="BC1662" t="s">
        <v>74</v>
      </c>
      <c r="BD1662" t="s">
        <v>74</v>
      </c>
      <c r="BE1662" t="s">
        <v>28066</v>
      </c>
      <c r="BF1662" t="str">
        <f>HYPERLINK("http://dx.doi.org/10.1136/tc-2024-058683","http://dx.doi.org/10.1136/tc-2024-058683")</f>
        <v>http://dx.doi.org/10.1136/tc-2024-058683</v>
      </c>
      <c r="BG1662" t="s">
        <v>74</v>
      </c>
      <c r="BH1662" t="s">
        <v>478</v>
      </c>
      <c r="BI1662">
        <v>3</v>
      </c>
      <c r="BJ1662" t="s">
        <v>8342</v>
      </c>
      <c r="BK1662" t="s">
        <v>182</v>
      </c>
      <c r="BL1662" t="s">
        <v>8342</v>
      </c>
      <c r="BM1662" t="s">
        <v>28067</v>
      </c>
      <c r="BN1662">
        <v>38991776</v>
      </c>
      <c r="BO1662" t="s">
        <v>74</v>
      </c>
      <c r="BP1662" t="s">
        <v>74</v>
      </c>
      <c r="BQ1662" t="s">
        <v>74</v>
      </c>
      <c r="BR1662" t="s">
        <v>102</v>
      </c>
      <c r="BS1662" t="s">
        <v>28068</v>
      </c>
      <c r="BT1662" t="str">
        <f>HYPERLINK("https%3A%2F%2Fwww.webofscience.com%2Fwos%2Fwoscc%2Ffull-record%2FWOS:001270957100001","View Full Record in Web of Science")</f>
        <v>View Full Record in Web of Science</v>
      </c>
    </row>
    <row r="1663" spans="1:72" x14ac:dyDescent="0.35">
      <c r="A1663" t="s">
        <v>72</v>
      </c>
      <c r="B1663" t="s">
        <v>28069</v>
      </c>
      <c r="C1663" t="s">
        <v>74</v>
      </c>
      <c r="D1663" t="s">
        <v>74</v>
      </c>
      <c r="E1663" t="s">
        <v>74</v>
      </c>
      <c r="F1663" t="s">
        <v>28070</v>
      </c>
      <c r="G1663" t="s">
        <v>74</v>
      </c>
      <c r="H1663" t="s">
        <v>74</v>
      </c>
      <c r="I1663" t="s">
        <v>28071</v>
      </c>
      <c r="J1663" t="s">
        <v>28072</v>
      </c>
      <c r="K1663" t="s">
        <v>74</v>
      </c>
      <c r="L1663" t="s">
        <v>74</v>
      </c>
      <c r="M1663" t="s">
        <v>78</v>
      </c>
      <c r="N1663" t="s">
        <v>108</v>
      </c>
      <c r="O1663" t="s">
        <v>74</v>
      </c>
      <c r="P1663" t="s">
        <v>74</v>
      </c>
      <c r="Q1663" t="s">
        <v>74</v>
      </c>
      <c r="R1663" t="s">
        <v>74</v>
      </c>
      <c r="S1663" t="s">
        <v>74</v>
      </c>
      <c r="T1663" t="s">
        <v>28073</v>
      </c>
      <c r="U1663" t="s">
        <v>74</v>
      </c>
      <c r="V1663" t="s">
        <v>28074</v>
      </c>
      <c r="W1663" t="s">
        <v>28075</v>
      </c>
      <c r="X1663" t="s">
        <v>28076</v>
      </c>
      <c r="Y1663" t="s">
        <v>28077</v>
      </c>
      <c r="Z1663" t="s">
        <v>28078</v>
      </c>
      <c r="AA1663" t="s">
        <v>74</v>
      </c>
      <c r="AB1663" t="s">
        <v>74</v>
      </c>
      <c r="AC1663" t="s">
        <v>74</v>
      </c>
      <c r="AD1663" t="s">
        <v>74</v>
      </c>
      <c r="AE1663" t="s">
        <v>74</v>
      </c>
      <c r="AF1663" t="s">
        <v>74</v>
      </c>
      <c r="AG1663">
        <v>21</v>
      </c>
      <c r="AH1663">
        <v>0</v>
      </c>
      <c r="AI1663">
        <v>0</v>
      </c>
      <c r="AJ1663">
        <v>0</v>
      </c>
      <c r="AK1663">
        <v>0</v>
      </c>
      <c r="AL1663" t="s">
        <v>28079</v>
      </c>
      <c r="AM1663" t="s">
        <v>28080</v>
      </c>
      <c r="AN1663" t="s">
        <v>28081</v>
      </c>
      <c r="AO1663" t="s">
        <v>28082</v>
      </c>
      <c r="AP1663" t="s">
        <v>74</v>
      </c>
      <c r="AQ1663" t="s">
        <v>74</v>
      </c>
      <c r="AR1663" t="s">
        <v>28083</v>
      </c>
      <c r="AS1663" t="s">
        <v>28084</v>
      </c>
      <c r="AT1663" t="s">
        <v>74</v>
      </c>
      <c r="AU1663">
        <v>2024</v>
      </c>
      <c r="AV1663">
        <v>15</v>
      </c>
      <c r="AW1663">
        <v>11</v>
      </c>
      <c r="AX1663" t="s">
        <v>74</v>
      </c>
      <c r="AY1663" t="s">
        <v>74</v>
      </c>
      <c r="AZ1663" t="s">
        <v>74</v>
      </c>
      <c r="BA1663" t="s">
        <v>74</v>
      </c>
      <c r="BB1663">
        <v>1236</v>
      </c>
      <c r="BC1663">
        <v>1241</v>
      </c>
      <c r="BD1663" t="s">
        <v>74</v>
      </c>
      <c r="BE1663" t="s">
        <v>28085</v>
      </c>
      <c r="BF1663" t="str">
        <f>HYPERLINK("http://dx.doi.org/10.12720/jait.15.11.1236-1241","http://dx.doi.org/10.12720/jait.15.11.1236-1241")</f>
        <v>http://dx.doi.org/10.12720/jait.15.11.1236-1241</v>
      </c>
      <c r="BG1663" t="s">
        <v>74</v>
      </c>
      <c r="BH1663" t="s">
        <v>74</v>
      </c>
      <c r="BI1663">
        <v>6</v>
      </c>
      <c r="BJ1663" t="s">
        <v>8385</v>
      </c>
      <c r="BK1663" t="s">
        <v>125</v>
      </c>
      <c r="BL1663" t="s">
        <v>210</v>
      </c>
      <c r="BM1663" t="s">
        <v>28086</v>
      </c>
      <c r="BN1663" t="s">
        <v>74</v>
      </c>
      <c r="BO1663" t="s">
        <v>74</v>
      </c>
      <c r="BP1663" t="s">
        <v>74</v>
      </c>
      <c r="BQ1663" t="s">
        <v>74</v>
      </c>
      <c r="BR1663" t="s">
        <v>102</v>
      </c>
      <c r="BS1663" t="s">
        <v>28087</v>
      </c>
      <c r="BT1663" t="str">
        <f>HYPERLINK("https%3A%2F%2Fwww.webofscience.com%2Fwos%2Fwoscc%2Ffull-record%2FWOS:001357141900005","View Full Record in Web of Science")</f>
        <v>View Full Record in Web of Science</v>
      </c>
    </row>
    <row r="1664" spans="1:72" x14ac:dyDescent="0.35">
      <c r="A1664" t="s">
        <v>72</v>
      </c>
      <c r="B1664" t="s">
        <v>28088</v>
      </c>
      <c r="C1664" t="s">
        <v>74</v>
      </c>
      <c r="D1664" t="s">
        <v>74</v>
      </c>
      <c r="E1664" t="s">
        <v>74</v>
      </c>
      <c r="F1664" t="s">
        <v>28089</v>
      </c>
      <c r="G1664" t="s">
        <v>74</v>
      </c>
      <c r="H1664" t="s">
        <v>74</v>
      </c>
      <c r="I1664" t="s">
        <v>28090</v>
      </c>
      <c r="J1664" t="s">
        <v>28091</v>
      </c>
      <c r="K1664" t="s">
        <v>74</v>
      </c>
      <c r="L1664" t="s">
        <v>74</v>
      </c>
      <c r="M1664" t="s">
        <v>3503</v>
      </c>
      <c r="N1664" t="s">
        <v>108</v>
      </c>
      <c r="O1664" t="s">
        <v>74</v>
      </c>
      <c r="P1664" t="s">
        <v>74</v>
      </c>
      <c r="Q1664" t="s">
        <v>74</v>
      </c>
      <c r="R1664" t="s">
        <v>74</v>
      </c>
      <c r="S1664" t="s">
        <v>74</v>
      </c>
      <c r="T1664" t="s">
        <v>28092</v>
      </c>
      <c r="U1664" t="s">
        <v>74</v>
      </c>
      <c r="V1664" t="s">
        <v>28093</v>
      </c>
      <c r="W1664" t="s">
        <v>28094</v>
      </c>
      <c r="X1664" t="s">
        <v>28095</v>
      </c>
      <c r="Y1664" t="s">
        <v>28096</v>
      </c>
      <c r="Z1664" t="s">
        <v>28097</v>
      </c>
      <c r="AA1664" t="s">
        <v>74</v>
      </c>
      <c r="AB1664" t="s">
        <v>74</v>
      </c>
      <c r="AC1664" t="s">
        <v>74</v>
      </c>
      <c r="AD1664" t="s">
        <v>74</v>
      </c>
      <c r="AE1664" t="s">
        <v>74</v>
      </c>
      <c r="AF1664" t="s">
        <v>74</v>
      </c>
      <c r="AG1664">
        <v>19</v>
      </c>
      <c r="AH1664">
        <v>0</v>
      </c>
      <c r="AI1664">
        <v>0</v>
      </c>
      <c r="AJ1664">
        <v>1</v>
      </c>
      <c r="AK1664">
        <v>2</v>
      </c>
      <c r="AL1664" t="s">
        <v>28098</v>
      </c>
      <c r="AM1664" t="s">
        <v>28099</v>
      </c>
      <c r="AN1664" t="s">
        <v>28100</v>
      </c>
      <c r="AO1664" t="s">
        <v>28101</v>
      </c>
      <c r="AP1664" t="s">
        <v>28102</v>
      </c>
      <c r="AQ1664" t="s">
        <v>74</v>
      </c>
      <c r="AR1664" t="s">
        <v>28091</v>
      </c>
      <c r="AS1664" t="s">
        <v>28103</v>
      </c>
      <c r="AT1664" t="s">
        <v>8762</v>
      </c>
      <c r="AU1664">
        <v>2023</v>
      </c>
      <c r="AV1664">
        <v>37</v>
      </c>
      <c r="AW1664">
        <v>2</v>
      </c>
      <c r="AX1664" t="s">
        <v>74</v>
      </c>
      <c r="AY1664" t="s">
        <v>74</v>
      </c>
      <c r="AZ1664" t="s">
        <v>74</v>
      </c>
      <c r="BA1664" t="s">
        <v>74</v>
      </c>
      <c r="BB1664">
        <v>69</v>
      </c>
      <c r="BC1664">
        <v>80</v>
      </c>
      <c r="BD1664" t="s">
        <v>74</v>
      </c>
      <c r="BE1664" t="s">
        <v>28104</v>
      </c>
      <c r="BF1664" t="str">
        <f>HYPERLINK("http://dx.doi.org/10.22235/d.v37i2.3352","http://dx.doi.org/10.22235/d.v37i2.3352")</f>
        <v>http://dx.doi.org/10.22235/d.v37i2.3352</v>
      </c>
      <c r="BG1664" t="s">
        <v>74</v>
      </c>
      <c r="BH1664" t="s">
        <v>74</v>
      </c>
      <c r="BI1664">
        <v>12</v>
      </c>
      <c r="BJ1664" t="s">
        <v>124</v>
      </c>
      <c r="BK1664" t="s">
        <v>125</v>
      </c>
      <c r="BL1664" t="s">
        <v>124</v>
      </c>
      <c r="BM1664" t="s">
        <v>28105</v>
      </c>
      <c r="BN1664" t="s">
        <v>74</v>
      </c>
      <c r="BO1664" t="s">
        <v>235</v>
      </c>
      <c r="BP1664" t="s">
        <v>74</v>
      </c>
      <c r="BQ1664" t="s">
        <v>74</v>
      </c>
      <c r="BR1664" t="s">
        <v>102</v>
      </c>
      <c r="BS1664" t="s">
        <v>28106</v>
      </c>
      <c r="BT1664" t="str">
        <f>HYPERLINK("https%3A%2F%2Fwww.webofscience.com%2Fwos%2Fwoscc%2Ffull-record%2FWOS:001146712300006","View Full Record in Web of Science")</f>
        <v>View Full Record in Web of Science</v>
      </c>
    </row>
    <row r="1665" spans="1:72" x14ac:dyDescent="0.35">
      <c r="A1665" t="s">
        <v>128</v>
      </c>
      <c r="B1665" t="s">
        <v>28107</v>
      </c>
      <c r="C1665" t="s">
        <v>74</v>
      </c>
      <c r="D1665" t="s">
        <v>74</v>
      </c>
      <c r="E1665" t="s">
        <v>1677</v>
      </c>
      <c r="F1665" t="s">
        <v>28108</v>
      </c>
      <c r="G1665" t="s">
        <v>74</v>
      </c>
      <c r="H1665" t="s">
        <v>74</v>
      </c>
      <c r="I1665" t="s">
        <v>28109</v>
      </c>
      <c r="J1665" t="s">
        <v>28110</v>
      </c>
      <c r="K1665" t="s">
        <v>74</v>
      </c>
      <c r="L1665" t="s">
        <v>74</v>
      </c>
      <c r="M1665" t="s">
        <v>78</v>
      </c>
      <c r="N1665" t="s">
        <v>135</v>
      </c>
      <c r="O1665" t="s">
        <v>28111</v>
      </c>
      <c r="P1665" t="s">
        <v>28112</v>
      </c>
      <c r="Q1665" t="s">
        <v>138</v>
      </c>
      <c r="R1665" t="s">
        <v>28113</v>
      </c>
      <c r="S1665" t="s">
        <v>74</v>
      </c>
      <c r="T1665" t="s">
        <v>28114</v>
      </c>
      <c r="U1665" t="s">
        <v>28115</v>
      </c>
      <c r="V1665" t="s">
        <v>28116</v>
      </c>
      <c r="W1665" t="s">
        <v>28117</v>
      </c>
      <c r="X1665" t="s">
        <v>28118</v>
      </c>
      <c r="Y1665" t="s">
        <v>28119</v>
      </c>
      <c r="Z1665" t="s">
        <v>74</v>
      </c>
      <c r="AA1665" t="s">
        <v>28120</v>
      </c>
      <c r="AB1665" t="s">
        <v>74</v>
      </c>
      <c r="AC1665" t="s">
        <v>28121</v>
      </c>
      <c r="AD1665" t="s">
        <v>28122</v>
      </c>
      <c r="AE1665" t="s">
        <v>28123</v>
      </c>
      <c r="AF1665" t="s">
        <v>74</v>
      </c>
      <c r="AG1665">
        <v>21</v>
      </c>
      <c r="AH1665">
        <v>15</v>
      </c>
      <c r="AI1665">
        <v>16</v>
      </c>
      <c r="AJ1665">
        <v>1</v>
      </c>
      <c r="AK1665">
        <v>32</v>
      </c>
      <c r="AL1665" t="s">
        <v>758</v>
      </c>
      <c r="AM1665" t="s">
        <v>759</v>
      </c>
      <c r="AN1665" t="s">
        <v>2146</v>
      </c>
      <c r="AO1665" t="s">
        <v>74</v>
      </c>
      <c r="AP1665" t="s">
        <v>74</v>
      </c>
      <c r="AQ1665" t="s">
        <v>28124</v>
      </c>
      <c r="AR1665" t="s">
        <v>74</v>
      </c>
      <c r="AS1665" t="s">
        <v>74</v>
      </c>
      <c r="AT1665" t="s">
        <v>74</v>
      </c>
      <c r="AU1665">
        <v>2020</v>
      </c>
      <c r="AV1665" t="s">
        <v>74</v>
      </c>
      <c r="AW1665" t="s">
        <v>74</v>
      </c>
      <c r="AX1665" t="s">
        <v>74</v>
      </c>
      <c r="AY1665" t="s">
        <v>74</v>
      </c>
      <c r="AZ1665" t="s">
        <v>74</v>
      </c>
      <c r="BA1665" t="s">
        <v>74</v>
      </c>
      <c r="BB1665">
        <v>35</v>
      </c>
      <c r="BC1665">
        <v>38</v>
      </c>
      <c r="BD1665" t="s">
        <v>74</v>
      </c>
      <c r="BE1665" t="s">
        <v>28125</v>
      </c>
      <c r="BF1665" t="str">
        <f>HYPERLINK("http://dx.doi.org/10.1109/MIPR49039.2020.00015","http://dx.doi.org/10.1109/MIPR49039.2020.00015")</f>
        <v>http://dx.doi.org/10.1109/MIPR49039.2020.00015</v>
      </c>
      <c r="BG1665" t="s">
        <v>74</v>
      </c>
      <c r="BH1665" t="s">
        <v>74</v>
      </c>
      <c r="BI1665">
        <v>4</v>
      </c>
      <c r="BJ1665" t="s">
        <v>6668</v>
      </c>
      <c r="BK1665" t="s">
        <v>723</v>
      </c>
      <c r="BL1665" t="s">
        <v>210</v>
      </c>
      <c r="BM1665" t="s">
        <v>28126</v>
      </c>
      <c r="BN1665" t="s">
        <v>74</v>
      </c>
      <c r="BO1665" t="s">
        <v>2738</v>
      </c>
      <c r="BP1665" t="s">
        <v>74</v>
      </c>
      <c r="BQ1665" t="s">
        <v>74</v>
      </c>
      <c r="BR1665" t="s">
        <v>102</v>
      </c>
      <c r="BS1665" t="s">
        <v>28127</v>
      </c>
      <c r="BT1665" t="str">
        <f>HYPERLINK("https%3A%2F%2Fwww.webofscience.com%2Fwos%2Fwoscc%2Ffull-record%2FWOS:000621665600007","View Full Record in Web of Science")</f>
        <v>View Full Record in Web of Science</v>
      </c>
    </row>
    <row r="1666" spans="1:72" x14ac:dyDescent="0.35">
      <c r="A1666" t="s">
        <v>72</v>
      </c>
      <c r="B1666" t="s">
        <v>28128</v>
      </c>
      <c r="C1666" t="s">
        <v>74</v>
      </c>
      <c r="D1666" t="s">
        <v>74</v>
      </c>
      <c r="E1666" t="s">
        <v>74</v>
      </c>
      <c r="F1666" t="s">
        <v>28129</v>
      </c>
      <c r="G1666" t="s">
        <v>74</v>
      </c>
      <c r="H1666" t="s">
        <v>74</v>
      </c>
      <c r="I1666" t="s">
        <v>28130</v>
      </c>
      <c r="J1666" t="s">
        <v>28131</v>
      </c>
      <c r="K1666" t="s">
        <v>74</v>
      </c>
      <c r="L1666" t="s">
        <v>74</v>
      </c>
      <c r="M1666" t="s">
        <v>78</v>
      </c>
      <c r="N1666" t="s">
        <v>108</v>
      </c>
      <c r="O1666" t="s">
        <v>74</v>
      </c>
      <c r="P1666" t="s">
        <v>74</v>
      </c>
      <c r="Q1666" t="s">
        <v>74</v>
      </c>
      <c r="R1666" t="s">
        <v>74</v>
      </c>
      <c r="S1666" t="s">
        <v>74</v>
      </c>
      <c r="T1666" t="s">
        <v>74</v>
      </c>
      <c r="U1666" t="s">
        <v>74</v>
      </c>
      <c r="V1666" t="s">
        <v>28132</v>
      </c>
      <c r="W1666" t="s">
        <v>28133</v>
      </c>
      <c r="X1666" t="s">
        <v>4452</v>
      </c>
      <c r="Y1666" t="s">
        <v>28134</v>
      </c>
      <c r="Z1666" t="s">
        <v>28135</v>
      </c>
      <c r="AA1666" t="s">
        <v>74</v>
      </c>
      <c r="AB1666" t="s">
        <v>74</v>
      </c>
      <c r="AC1666" t="s">
        <v>74</v>
      </c>
      <c r="AD1666" t="s">
        <v>74</v>
      </c>
      <c r="AE1666" t="s">
        <v>74</v>
      </c>
      <c r="AF1666" t="s">
        <v>74</v>
      </c>
      <c r="AG1666">
        <v>9</v>
      </c>
      <c r="AH1666">
        <v>0</v>
      </c>
      <c r="AI1666">
        <v>0</v>
      </c>
      <c r="AJ1666">
        <v>2</v>
      </c>
      <c r="AK1666">
        <v>2</v>
      </c>
      <c r="AL1666" t="s">
        <v>10223</v>
      </c>
      <c r="AM1666" t="s">
        <v>10224</v>
      </c>
      <c r="AN1666" t="s">
        <v>10225</v>
      </c>
      <c r="AO1666" t="s">
        <v>28136</v>
      </c>
      <c r="AP1666" t="s">
        <v>28137</v>
      </c>
      <c r="AQ1666" t="s">
        <v>74</v>
      </c>
      <c r="AR1666" t="s">
        <v>28131</v>
      </c>
      <c r="AS1666" t="s">
        <v>28138</v>
      </c>
      <c r="AT1666" t="s">
        <v>9212</v>
      </c>
      <c r="AU1666">
        <v>2024</v>
      </c>
      <c r="AV1666">
        <v>115</v>
      </c>
      <c r="AW1666">
        <v>3</v>
      </c>
      <c r="AX1666" t="s">
        <v>74</v>
      </c>
      <c r="AY1666" t="s">
        <v>74</v>
      </c>
      <c r="AZ1666" t="s">
        <v>74</v>
      </c>
      <c r="BA1666" t="s">
        <v>74</v>
      </c>
      <c r="BB1666">
        <v>611</v>
      </c>
      <c r="BC1666">
        <v>620</v>
      </c>
      <c r="BD1666" t="s">
        <v>74</v>
      </c>
      <c r="BE1666" t="s">
        <v>28139</v>
      </c>
      <c r="BF1666" t="str">
        <f>HYPERLINK("http://dx.doi.org/10.1086/731407","http://dx.doi.org/10.1086/731407")</f>
        <v>http://dx.doi.org/10.1086/731407</v>
      </c>
      <c r="BG1666" t="s">
        <v>74</v>
      </c>
      <c r="BH1666" t="s">
        <v>74</v>
      </c>
      <c r="BI1666">
        <v>10</v>
      </c>
      <c r="BJ1666" t="s">
        <v>8840</v>
      </c>
      <c r="BK1666" t="s">
        <v>8841</v>
      </c>
      <c r="BL1666" t="s">
        <v>8842</v>
      </c>
      <c r="BM1666" t="s">
        <v>28140</v>
      </c>
      <c r="BN1666" t="s">
        <v>74</v>
      </c>
      <c r="BO1666" t="s">
        <v>74</v>
      </c>
      <c r="BP1666" t="s">
        <v>74</v>
      </c>
      <c r="BQ1666" t="s">
        <v>74</v>
      </c>
      <c r="BR1666" t="s">
        <v>102</v>
      </c>
      <c r="BS1666" t="s">
        <v>28141</v>
      </c>
      <c r="BT1666" t="str">
        <f>HYPERLINK("https%3A%2F%2Fwww.webofscience.com%2Fwos%2Fwoscc%2Ffull-record%2FWOS:001315097000019","View Full Record in Web of Science")</f>
        <v>View Full Record in Web of Science</v>
      </c>
    </row>
    <row r="1667" spans="1:72" x14ac:dyDescent="0.35">
      <c r="A1667" t="s">
        <v>72</v>
      </c>
      <c r="B1667" t="s">
        <v>28142</v>
      </c>
      <c r="C1667" t="s">
        <v>74</v>
      </c>
      <c r="D1667" t="s">
        <v>74</v>
      </c>
      <c r="E1667" t="s">
        <v>74</v>
      </c>
      <c r="F1667" t="s">
        <v>28143</v>
      </c>
      <c r="G1667" t="s">
        <v>74</v>
      </c>
      <c r="H1667" t="s">
        <v>74</v>
      </c>
      <c r="I1667" t="s">
        <v>28144</v>
      </c>
      <c r="J1667" t="s">
        <v>216</v>
      </c>
      <c r="K1667" t="s">
        <v>74</v>
      </c>
      <c r="L1667" t="s">
        <v>74</v>
      </c>
      <c r="M1667" t="s">
        <v>78</v>
      </c>
      <c r="N1667" t="s">
        <v>108</v>
      </c>
      <c r="O1667" t="s">
        <v>74</v>
      </c>
      <c r="P1667" t="s">
        <v>74</v>
      </c>
      <c r="Q1667" t="s">
        <v>74</v>
      </c>
      <c r="R1667" t="s">
        <v>74</v>
      </c>
      <c r="S1667" t="s">
        <v>74</v>
      </c>
      <c r="T1667" t="s">
        <v>28145</v>
      </c>
      <c r="U1667" t="s">
        <v>28146</v>
      </c>
      <c r="V1667" t="s">
        <v>28147</v>
      </c>
      <c r="W1667" t="s">
        <v>28148</v>
      </c>
      <c r="X1667" t="s">
        <v>28149</v>
      </c>
      <c r="Y1667" t="s">
        <v>28150</v>
      </c>
      <c r="Z1667" t="s">
        <v>28151</v>
      </c>
      <c r="AA1667" t="s">
        <v>28152</v>
      </c>
      <c r="AB1667" t="s">
        <v>74</v>
      </c>
      <c r="AC1667" t="s">
        <v>28153</v>
      </c>
      <c r="AD1667" t="s">
        <v>28153</v>
      </c>
      <c r="AE1667" t="s">
        <v>28154</v>
      </c>
      <c r="AF1667" t="s">
        <v>74</v>
      </c>
      <c r="AG1667">
        <v>111</v>
      </c>
      <c r="AH1667">
        <v>0</v>
      </c>
      <c r="AI1667">
        <v>0</v>
      </c>
      <c r="AJ1667">
        <v>5</v>
      </c>
      <c r="AK1667">
        <v>5</v>
      </c>
      <c r="AL1667" t="s">
        <v>226</v>
      </c>
      <c r="AM1667" t="s">
        <v>227</v>
      </c>
      <c r="AN1667" t="s">
        <v>228</v>
      </c>
      <c r="AO1667" t="s">
        <v>229</v>
      </c>
      <c r="AP1667" t="s">
        <v>74</v>
      </c>
      <c r="AQ1667" t="s">
        <v>74</v>
      </c>
      <c r="AR1667" t="s">
        <v>230</v>
      </c>
      <c r="AS1667" t="s">
        <v>231</v>
      </c>
      <c r="AT1667" t="s">
        <v>273</v>
      </c>
      <c r="AU1667">
        <v>2024</v>
      </c>
      <c r="AV1667">
        <v>10</v>
      </c>
      <c r="AW1667">
        <v>3</v>
      </c>
      <c r="AX1667" t="s">
        <v>74</v>
      </c>
      <c r="AY1667" t="s">
        <v>74</v>
      </c>
      <c r="AZ1667" t="s">
        <v>74</v>
      </c>
      <c r="BA1667" t="s">
        <v>74</v>
      </c>
      <c r="BB1667" t="s">
        <v>74</v>
      </c>
      <c r="BC1667" t="s">
        <v>74</v>
      </c>
      <c r="BD1667">
        <v>2.0563051241274668E+16</v>
      </c>
      <c r="BE1667" t="s">
        <v>28155</v>
      </c>
      <c r="BF1667" t="str">
        <f>HYPERLINK("http://dx.doi.org/10.1177/20563051241274668","http://dx.doi.org/10.1177/20563051241274668")</f>
        <v>http://dx.doi.org/10.1177/20563051241274668</v>
      </c>
      <c r="BG1667" t="s">
        <v>74</v>
      </c>
      <c r="BH1667" t="s">
        <v>74</v>
      </c>
      <c r="BI1667">
        <v>14</v>
      </c>
      <c r="BJ1667" t="s">
        <v>124</v>
      </c>
      <c r="BK1667" t="s">
        <v>99</v>
      </c>
      <c r="BL1667" t="s">
        <v>124</v>
      </c>
      <c r="BM1667" t="s">
        <v>28156</v>
      </c>
      <c r="BN1667" t="s">
        <v>74</v>
      </c>
      <c r="BO1667" t="s">
        <v>235</v>
      </c>
      <c r="BP1667" t="s">
        <v>74</v>
      </c>
      <c r="BQ1667" t="s">
        <v>74</v>
      </c>
      <c r="BR1667" t="s">
        <v>102</v>
      </c>
      <c r="BS1667" t="s">
        <v>28157</v>
      </c>
      <c r="BT1667" t="str">
        <f>HYPERLINK("https%3A%2F%2Fwww.webofscience.com%2Fwos%2Fwoscc%2Ffull-record%2FWOS:001295448100001","View Full Record in Web of Science")</f>
        <v>View Full Record in Web of Science</v>
      </c>
    </row>
    <row r="1668" spans="1:72" x14ac:dyDescent="0.35">
      <c r="A1668" t="s">
        <v>72</v>
      </c>
      <c r="B1668" t="s">
        <v>28158</v>
      </c>
      <c r="C1668" t="s">
        <v>74</v>
      </c>
      <c r="D1668" t="s">
        <v>74</v>
      </c>
      <c r="E1668" t="s">
        <v>74</v>
      </c>
      <c r="F1668" t="s">
        <v>28159</v>
      </c>
      <c r="G1668" t="s">
        <v>74</v>
      </c>
      <c r="H1668" t="s">
        <v>74</v>
      </c>
      <c r="I1668" t="s">
        <v>28160</v>
      </c>
      <c r="J1668" t="s">
        <v>28161</v>
      </c>
      <c r="K1668" t="s">
        <v>74</v>
      </c>
      <c r="L1668" t="s">
        <v>74</v>
      </c>
      <c r="M1668" t="s">
        <v>78</v>
      </c>
      <c r="N1668" t="s">
        <v>108</v>
      </c>
      <c r="O1668" t="s">
        <v>74</v>
      </c>
      <c r="P1668" t="s">
        <v>74</v>
      </c>
      <c r="Q1668" t="s">
        <v>74</v>
      </c>
      <c r="R1668" t="s">
        <v>74</v>
      </c>
      <c r="S1668" t="s">
        <v>74</v>
      </c>
      <c r="T1668" t="s">
        <v>28162</v>
      </c>
      <c r="U1668" t="s">
        <v>74</v>
      </c>
      <c r="V1668" t="s">
        <v>28163</v>
      </c>
      <c r="W1668" t="s">
        <v>28164</v>
      </c>
      <c r="X1668" t="s">
        <v>8300</v>
      </c>
      <c r="Y1668" t="s">
        <v>28165</v>
      </c>
      <c r="Z1668" t="s">
        <v>28166</v>
      </c>
      <c r="AA1668" t="s">
        <v>74</v>
      </c>
      <c r="AB1668" t="s">
        <v>74</v>
      </c>
      <c r="AC1668" t="s">
        <v>74</v>
      </c>
      <c r="AD1668" t="s">
        <v>74</v>
      </c>
      <c r="AE1668" t="s">
        <v>74</v>
      </c>
      <c r="AF1668" t="s">
        <v>74</v>
      </c>
      <c r="AG1668">
        <v>66</v>
      </c>
      <c r="AH1668">
        <v>0</v>
      </c>
      <c r="AI1668">
        <v>0</v>
      </c>
      <c r="AJ1668">
        <v>1</v>
      </c>
      <c r="AK1668">
        <v>3</v>
      </c>
      <c r="AL1668" t="s">
        <v>870</v>
      </c>
      <c r="AM1668" t="s">
        <v>871</v>
      </c>
      <c r="AN1668" t="s">
        <v>872</v>
      </c>
      <c r="AO1668" t="s">
        <v>28167</v>
      </c>
      <c r="AP1668" t="s">
        <v>28168</v>
      </c>
      <c r="AQ1668" t="s">
        <v>74</v>
      </c>
      <c r="AR1668" t="s">
        <v>28169</v>
      </c>
      <c r="AS1668" t="s">
        <v>28170</v>
      </c>
      <c r="AT1668" t="s">
        <v>28171</v>
      </c>
      <c r="AU1668">
        <v>2023</v>
      </c>
      <c r="AV1668">
        <v>11</v>
      </c>
      <c r="AW1668">
        <v>3</v>
      </c>
      <c r="AX1668" t="s">
        <v>74</v>
      </c>
      <c r="AY1668" t="s">
        <v>74</v>
      </c>
      <c r="AZ1668" t="s">
        <v>74</v>
      </c>
      <c r="BA1668" t="s">
        <v>74</v>
      </c>
      <c r="BB1668">
        <v>261</v>
      </c>
      <c r="BC1668">
        <v>277</v>
      </c>
      <c r="BD1668" t="s">
        <v>74</v>
      </c>
      <c r="BE1668" t="s">
        <v>28172</v>
      </c>
      <c r="BF1668" t="str">
        <f>HYPERLINK("http://dx.doi.org/10.1386/jptv_00106_1","http://dx.doi.org/10.1386/jptv_00106_1")</f>
        <v>http://dx.doi.org/10.1386/jptv_00106_1</v>
      </c>
      <c r="BG1668" t="s">
        <v>74</v>
      </c>
      <c r="BH1668" t="s">
        <v>74</v>
      </c>
      <c r="BI1668">
        <v>17</v>
      </c>
      <c r="BJ1668" t="s">
        <v>1571</v>
      </c>
      <c r="BK1668" t="s">
        <v>125</v>
      </c>
      <c r="BL1668" t="s">
        <v>1572</v>
      </c>
      <c r="BM1668" t="s">
        <v>28173</v>
      </c>
      <c r="BN1668" t="s">
        <v>74</v>
      </c>
      <c r="BO1668" t="s">
        <v>74</v>
      </c>
      <c r="BP1668" t="s">
        <v>74</v>
      </c>
      <c r="BQ1668" t="s">
        <v>74</v>
      </c>
      <c r="BR1668" t="s">
        <v>102</v>
      </c>
      <c r="BS1668" t="s">
        <v>28174</v>
      </c>
      <c r="BT1668" t="str">
        <f>HYPERLINK("https%3A%2F%2Fwww.webofscience.com%2Fwos%2Fwoscc%2Ffull-record%2FWOS:001125615300002","View Full Record in Web of Science")</f>
        <v>View Full Record in Web of Science</v>
      </c>
    </row>
    <row r="1669" spans="1:72" x14ac:dyDescent="0.35">
      <c r="A1669" t="s">
        <v>72</v>
      </c>
      <c r="B1669" t="s">
        <v>28175</v>
      </c>
      <c r="C1669" t="s">
        <v>74</v>
      </c>
      <c r="D1669" t="s">
        <v>74</v>
      </c>
      <c r="E1669" t="s">
        <v>74</v>
      </c>
      <c r="F1669" t="s">
        <v>28176</v>
      </c>
      <c r="G1669" t="s">
        <v>74</v>
      </c>
      <c r="H1669" t="s">
        <v>74</v>
      </c>
      <c r="I1669" t="s">
        <v>28177</v>
      </c>
      <c r="J1669" t="s">
        <v>968</v>
      </c>
      <c r="K1669" t="s">
        <v>74</v>
      </c>
      <c r="L1669" t="s">
        <v>74</v>
      </c>
      <c r="M1669" t="s">
        <v>78</v>
      </c>
      <c r="N1669" t="s">
        <v>108</v>
      </c>
      <c r="O1669" t="s">
        <v>74</v>
      </c>
      <c r="P1669" t="s">
        <v>74</v>
      </c>
      <c r="Q1669" t="s">
        <v>74</v>
      </c>
      <c r="R1669" t="s">
        <v>74</v>
      </c>
      <c r="S1669" t="s">
        <v>74</v>
      </c>
      <c r="T1669" t="s">
        <v>28178</v>
      </c>
      <c r="U1669" t="s">
        <v>28179</v>
      </c>
      <c r="V1669" t="s">
        <v>28180</v>
      </c>
      <c r="W1669" t="s">
        <v>28181</v>
      </c>
      <c r="X1669" t="s">
        <v>28182</v>
      </c>
      <c r="Y1669" t="s">
        <v>28183</v>
      </c>
      <c r="Z1669" t="s">
        <v>28184</v>
      </c>
      <c r="AA1669" t="s">
        <v>28185</v>
      </c>
      <c r="AB1669" t="s">
        <v>28186</v>
      </c>
      <c r="AC1669" t="s">
        <v>28187</v>
      </c>
      <c r="AD1669" t="s">
        <v>28188</v>
      </c>
      <c r="AE1669" t="s">
        <v>28189</v>
      </c>
      <c r="AF1669" t="s">
        <v>74</v>
      </c>
      <c r="AG1669">
        <v>80</v>
      </c>
      <c r="AH1669">
        <v>13</v>
      </c>
      <c r="AI1669">
        <v>14</v>
      </c>
      <c r="AJ1669">
        <v>11</v>
      </c>
      <c r="AK1669">
        <v>86</v>
      </c>
      <c r="AL1669" t="s">
        <v>226</v>
      </c>
      <c r="AM1669" t="s">
        <v>227</v>
      </c>
      <c r="AN1669" t="s">
        <v>228</v>
      </c>
      <c r="AO1669" t="s">
        <v>978</v>
      </c>
      <c r="AP1669" t="s">
        <v>979</v>
      </c>
      <c r="AQ1669" t="s">
        <v>74</v>
      </c>
      <c r="AR1669" t="s">
        <v>980</v>
      </c>
      <c r="AS1669" t="s">
        <v>981</v>
      </c>
      <c r="AT1669" t="s">
        <v>745</v>
      </c>
      <c r="AU1669">
        <v>2022</v>
      </c>
      <c r="AV1669">
        <v>183</v>
      </c>
      <c r="AW1669">
        <v>1</v>
      </c>
      <c r="AX1669" t="s">
        <v>74</v>
      </c>
      <c r="AY1669" t="s">
        <v>74</v>
      </c>
      <c r="AZ1669" t="s">
        <v>456</v>
      </c>
      <c r="BA1669" t="s">
        <v>74</v>
      </c>
      <c r="BB1669">
        <v>60</v>
      </c>
      <c r="BC1669">
        <v>76</v>
      </c>
      <c r="BD1669" t="s">
        <v>28190</v>
      </c>
      <c r="BE1669" t="s">
        <v>28191</v>
      </c>
      <c r="BF1669" t="str">
        <f>HYPERLINK("http://dx.doi.org/10.1177/1329878X211067571","http://dx.doi.org/10.1177/1329878X211067571")</f>
        <v>http://dx.doi.org/10.1177/1329878X211067571</v>
      </c>
      <c r="BG1669" t="s">
        <v>74</v>
      </c>
      <c r="BH1669" t="s">
        <v>16152</v>
      </c>
      <c r="BI1669">
        <v>17</v>
      </c>
      <c r="BJ1669" t="s">
        <v>124</v>
      </c>
      <c r="BK1669" t="s">
        <v>99</v>
      </c>
      <c r="BL1669" t="s">
        <v>124</v>
      </c>
      <c r="BM1669" t="s">
        <v>28192</v>
      </c>
      <c r="BN1669" t="s">
        <v>74</v>
      </c>
      <c r="BO1669" t="s">
        <v>74</v>
      </c>
      <c r="BP1669" t="s">
        <v>74</v>
      </c>
      <c r="BQ1669" t="s">
        <v>74</v>
      </c>
      <c r="BR1669" t="s">
        <v>102</v>
      </c>
      <c r="BS1669" t="s">
        <v>28193</v>
      </c>
      <c r="BT1669" t="str">
        <f>HYPERLINK("https%3A%2F%2Fwww.webofscience.com%2Fwos%2Fwoscc%2Ffull-record%2FWOS:000735044800001","View Full Record in Web of Science")</f>
        <v>View Full Record in Web of Science</v>
      </c>
    </row>
    <row r="1670" spans="1:72" x14ac:dyDescent="0.35">
      <c r="A1670" t="s">
        <v>72</v>
      </c>
      <c r="B1670" t="s">
        <v>28194</v>
      </c>
      <c r="C1670" t="s">
        <v>74</v>
      </c>
      <c r="D1670" t="s">
        <v>74</v>
      </c>
      <c r="E1670" t="s">
        <v>74</v>
      </c>
      <c r="F1670" t="s">
        <v>28195</v>
      </c>
      <c r="G1670" t="s">
        <v>74</v>
      </c>
      <c r="H1670" t="s">
        <v>74</v>
      </c>
      <c r="I1670" t="s">
        <v>28196</v>
      </c>
      <c r="J1670" t="s">
        <v>25228</v>
      </c>
      <c r="K1670" t="s">
        <v>74</v>
      </c>
      <c r="L1670" t="s">
        <v>74</v>
      </c>
      <c r="M1670" t="s">
        <v>78</v>
      </c>
      <c r="N1670" t="s">
        <v>2042</v>
      </c>
      <c r="O1670" t="s">
        <v>74</v>
      </c>
      <c r="P1670" t="s">
        <v>74</v>
      </c>
      <c r="Q1670" t="s">
        <v>74</v>
      </c>
      <c r="R1670" t="s">
        <v>74</v>
      </c>
      <c r="S1670" t="s">
        <v>74</v>
      </c>
      <c r="T1670" t="s">
        <v>74</v>
      </c>
      <c r="U1670" t="s">
        <v>74</v>
      </c>
      <c r="V1670" t="s">
        <v>28197</v>
      </c>
      <c r="W1670" t="s">
        <v>28198</v>
      </c>
      <c r="X1670" t="s">
        <v>28199</v>
      </c>
      <c r="Y1670" t="s">
        <v>28200</v>
      </c>
      <c r="Z1670" t="s">
        <v>28201</v>
      </c>
      <c r="AA1670" t="s">
        <v>28202</v>
      </c>
      <c r="AB1670" t="s">
        <v>74</v>
      </c>
      <c r="AC1670" t="s">
        <v>74</v>
      </c>
      <c r="AD1670" t="s">
        <v>74</v>
      </c>
      <c r="AE1670" t="s">
        <v>74</v>
      </c>
      <c r="AF1670" t="s">
        <v>74</v>
      </c>
      <c r="AG1670">
        <v>5</v>
      </c>
      <c r="AH1670">
        <v>2</v>
      </c>
      <c r="AI1670">
        <v>2</v>
      </c>
      <c r="AJ1670">
        <v>3</v>
      </c>
      <c r="AK1670">
        <v>9</v>
      </c>
      <c r="AL1670" t="s">
        <v>1965</v>
      </c>
      <c r="AM1670" t="s">
        <v>666</v>
      </c>
      <c r="AN1670" t="s">
        <v>1966</v>
      </c>
      <c r="AO1670" t="s">
        <v>25233</v>
      </c>
      <c r="AP1670" t="s">
        <v>25234</v>
      </c>
      <c r="AQ1670" t="s">
        <v>74</v>
      </c>
      <c r="AR1670" t="s">
        <v>25235</v>
      </c>
      <c r="AS1670" t="s">
        <v>25236</v>
      </c>
      <c r="AT1670" t="s">
        <v>2032</v>
      </c>
      <c r="AU1670">
        <v>2022</v>
      </c>
      <c r="AV1670">
        <v>40</v>
      </c>
      <c r="AW1670">
        <v>6</v>
      </c>
      <c r="AX1670" t="s">
        <v>74</v>
      </c>
      <c r="AY1670" t="s">
        <v>74</v>
      </c>
      <c r="AZ1670" t="s">
        <v>74</v>
      </c>
      <c r="BA1670" t="s">
        <v>74</v>
      </c>
      <c r="BB1670">
        <v>810</v>
      </c>
      <c r="BC1670">
        <v>812</v>
      </c>
      <c r="BD1670" t="s">
        <v>74</v>
      </c>
      <c r="BE1670" t="s">
        <v>28203</v>
      </c>
      <c r="BF1670" t="str">
        <f>HYPERLINK("http://dx.doi.org/10.1016/j.clindermatol.2022.08.005","http://dx.doi.org/10.1016/j.clindermatol.2022.08.005")</f>
        <v>http://dx.doi.org/10.1016/j.clindermatol.2022.08.005</v>
      </c>
      <c r="BG1670" t="s">
        <v>74</v>
      </c>
      <c r="BH1670" t="s">
        <v>74</v>
      </c>
      <c r="BI1670">
        <v>3</v>
      </c>
      <c r="BJ1670" t="s">
        <v>1341</v>
      </c>
      <c r="BK1670" t="s">
        <v>209</v>
      </c>
      <c r="BL1670" t="s">
        <v>1341</v>
      </c>
      <c r="BM1670" t="s">
        <v>28204</v>
      </c>
      <c r="BN1670">
        <v>35961481</v>
      </c>
      <c r="BO1670" t="s">
        <v>74</v>
      </c>
      <c r="BP1670" t="s">
        <v>74</v>
      </c>
      <c r="BQ1670" t="s">
        <v>74</v>
      </c>
      <c r="BR1670" t="s">
        <v>102</v>
      </c>
      <c r="BS1670" t="s">
        <v>28205</v>
      </c>
      <c r="BT1670" t="str">
        <f>HYPERLINK("https%3A%2F%2Fwww.webofscience.com%2Fwos%2Fwoscc%2Ffull-record%2FWOS:000908083900028","View Full Record in Web of Science")</f>
        <v>View Full Record in Web of Science</v>
      </c>
    </row>
    <row r="1671" spans="1:72" x14ac:dyDescent="0.35">
      <c r="A1671" t="s">
        <v>72</v>
      </c>
      <c r="B1671" t="s">
        <v>28206</v>
      </c>
      <c r="C1671" t="s">
        <v>74</v>
      </c>
      <c r="D1671" t="s">
        <v>74</v>
      </c>
      <c r="E1671" t="s">
        <v>74</v>
      </c>
      <c r="F1671" t="s">
        <v>28207</v>
      </c>
      <c r="G1671" t="s">
        <v>74</v>
      </c>
      <c r="H1671" t="s">
        <v>74</v>
      </c>
      <c r="I1671" t="s">
        <v>28208</v>
      </c>
      <c r="J1671" t="s">
        <v>28209</v>
      </c>
      <c r="K1671" t="s">
        <v>74</v>
      </c>
      <c r="L1671" t="s">
        <v>74</v>
      </c>
      <c r="M1671" t="s">
        <v>78</v>
      </c>
      <c r="N1671" t="s">
        <v>108</v>
      </c>
      <c r="O1671" t="s">
        <v>74</v>
      </c>
      <c r="P1671" t="s">
        <v>74</v>
      </c>
      <c r="Q1671" t="s">
        <v>74</v>
      </c>
      <c r="R1671" t="s">
        <v>74</v>
      </c>
      <c r="S1671" t="s">
        <v>74</v>
      </c>
      <c r="T1671" t="s">
        <v>28210</v>
      </c>
      <c r="U1671" t="s">
        <v>74</v>
      </c>
      <c r="V1671" t="s">
        <v>28211</v>
      </c>
      <c r="W1671" t="s">
        <v>28212</v>
      </c>
      <c r="X1671" t="s">
        <v>28213</v>
      </c>
      <c r="Y1671" t="s">
        <v>28214</v>
      </c>
      <c r="Z1671" t="s">
        <v>28215</v>
      </c>
      <c r="AA1671" t="s">
        <v>74</v>
      </c>
      <c r="AB1671" t="s">
        <v>74</v>
      </c>
      <c r="AC1671" t="s">
        <v>74</v>
      </c>
      <c r="AD1671" t="s">
        <v>74</v>
      </c>
      <c r="AE1671" t="s">
        <v>74</v>
      </c>
      <c r="AF1671" t="s">
        <v>74</v>
      </c>
      <c r="AG1671">
        <v>13</v>
      </c>
      <c r="AH1671">
        <v>0</v>
      </c>
      <c r="AI1671">
        <v>0</v>
      </c>
      <c r="AJ1671">
        <v>1</v>
      </c>
      <c r="AK1671">
        <v>1</v>
      </c>
      <c r="AL1671" t="s">
        <v>22711</v>
      </c>
      <c r="AM1671" t="s">
        <v>22712</v>
      </c>
      <c r="AN1671" t="s">
        <v>22713</v>
      </c>
      <c r="AO1671" t="s">
        <v>28216</v>
      </c>
      <c r="AP1671" t="s">
        <v>28217</v>
      </c>
      <c r="AQ1671" t="s">
        <v>74</v>
      </c>
      <c r="AR1671" t="s">
        <v>28218</v>
      </c>
      <c r="AS1671" t="s">
        <v>28219</v>
      </c>
      <c r="AT1671" t="s">
        <v>6934</v>
      </c>
      <c r="AU1671">
        <v>2023</v>
      </c>
      <c r="AV1671">
        <v>32</v>
      </c>
      <c r="AW1671">
        <v>2</v>
      </c>
      <c r="AX1671" t="s">
        <v>74</v>
      </c>
      <c r="AY1671" t="s">
        <v>74</v>
      </c>
      <c r="AZ1671" t="s">
        <v>74</v>
      </c>
      <c r="BA1671" t="s">
        <v>74</v>
      </c>
      <c r="BB1671">
        <v>369</v>
      </c>
      <c r="BC1671">
        <v>383</v>
      </c>
      <c r="BD1671" t="s">
        <v>74</v>
      </c>
      <c r="BE1671" t="s">
        <v>28220</v>
      </c>
      <c r="BF1671" t="str">
        <f>HYPERLINK("http://dx.doi.org/10.17851/2358-9787.32.2.369-383","http://dx.doi.org/10.17851/2358-9787.32.2.369-383")</f>
        <v>http://dx.doi.org/10.17851/2358-9787.32.2.369-383</v>
      </c>
      <c r="BG1671" t="s">
        <v>74</v>
      </c>
      <c r="BH1671" t="s">
        <v>74</v>
      </c>
      <c r="BI1671">
        <v>15</v>
      </c>
      <c r="BJ1671" t="s">
        <v>28221</v>
      </c>
      <c r="BK1671" t="s">
        <v>125</v>
      </c>
      <c r="BL1671" t="s">
        <v>3176</v>
      </c>
      <c r="BM1671" t="s">
        <v>28222</v>
      </c>
      <c r="BN1671" t="s">
        <v>74</v>
      </c>
      <c r="BO1671" t="s">
        <v>235</v>
      </c>
      <c r="BP1671" t="s">
        <v>74</v>
      </c>
      <c r="BQ1671" t="s">
        <v>74</v>
      </c>
      <c r="BR1671" t="s">
        <v>102</v>
      </c>
      <c r="BS1671" t="s">
        <v>28223</v>
      </c>
      <c r="BT1671" t="str">
        <f>HYPERLINK("https%3A%2F%2Fwww.webofscience.com%2Fwos%2Fwoscc%2Ffull-record%2FWOS:001173295500010","View Full Record in Web of Science")</f>
        <v>View Full Record in Web of Science</v>
      </c>
    </row>
    <row r="1672" spans="1:72" x14ac:dyDescent="0.35">
      <c r="A1672" t="s">
        <v>128</v>
      </c>
      <c r="B1672" t="s">
        <v>28224</v>
      </c>
      <c r="C1672" t="s">
        <v>74</v>
      </c>
      <c r="D1672" t="s">
        <v>74</v>
      </c>
      <c r="E1672" t="s">
        <v>21441</v>
      </c>
      <c r="F1672" t="s">
        <v>28225</v>
      </c>
      <c r="G1672" t="s">
        <v>74</v>
      </c>
      <c r="H1672" t="s">
        <v>74</v>
      </c>
      <c r="I1672" t="s">
        <v>28226</v>
      </c>
      <c r="J1672" t="s">
        <v>28227</v>
      </c>
      <c r="K1672" t="s">
        <v>74</v>
      </c>
      <c r="L1672" t="s">
        <v>74</v>
      </c>
      <c r="M1672" t="s">
        <v>78</v>
      </c>
      <c r="N1672" t="s">
        <v>135</v>
      </c>
      <c r="O1672" t="s">
        <v>28228</v>
      </c>
      <c r="P1672" t="s">
        <v>28229</v>
      </c>
      <c r="Q1672" t="s">
        <v>14223</v>
      </c>
      <c r="R1672" t="s">
        <v>28230</v>
      </c>
      <c r="S1672" t="s">
        <v>74</v>
      </c>
      <c r="T1672" t="s">
        <v>74</v>
      </c>
      <c r="U1672" t="s">
        <v>74</v>
      </c>
      <c r="V1672" t="s">
        <v>28231</v>
      </c>
      <c r="W1672" t="s">
        <v>28232</v>
      </c>
      <c r="X1672" t="s">
        <v>28233</v>
      </c>
      <c r="Y1672" t="s">
        <v>28234</v>
      </c>
      <c r="Z1672" t="s">
        <v>28235</v>
      </c>
      <c r="AA1672" t="s">
        <v>74</v>
      </c>
      <c r="AB1672" t="s">
        <v>28236</v>
      </c>
      <c r="AC1672" t="s">
        <v>74</v>
      </c>
      <c r="AD1672" t="s">
        <v>74</v>
      </c>
      <c r="AE1672" t="s">
        <v>74</v>
      </c>
      <c r="AF1672" t="s">
        <v>74</v>
      </c>
      <c r="AG1672">
        <v>35</v>
      </c>
      <c r="AH1672">
        <v>1</v>
      </c>
      <c r="AI1672">
        <v>1</v>
      </c>
      <c r="AJ1672">
        <v>0</v>
      </c>
      <c r="AK1672">
        <v>0</v>
      </c>
      <c r="AL1672" t="s">
        <v>5380</v>
      </c>
      <c r="AM1672" t="s">
        <v>5396</v>
      </c>
      <c r="AN1672" t="s">
        <v>5397</v>
      </c>
      <c r="AO1672" t="s">
        <v>74</v>
      </c>
      <c r="AP1672" t="s">
        <v>74</v>
      </c>
      <c r="AQ1672" t="s">
        <v>28237</v>
      </c>
      <c r="AR1672" t="s">
        <v>74</v>
      </c>
      <c r="AS1672" t="s">
        <v>74</v>
      </c>
      <c r="AT1672" t="s">
        <v>74</v>
      </c>
      <c r="AU1672">
        <v>2023</v>
      </c>
      <c r="AV1672" t="s">
        <v>74</v>
      </c>
      <c r="AW1672" t="s">
        <v>74</v>
      </c>
      <c r="AX1672" t="s">
        <v>74</v>
      </c>
      <c r="AY1672" t="s">
        <v>74</v>
      </c>
      <c r="AZ1672" t="s">
        <v>74</v>
      </c>
      <c r="BA1672" t="s">
        <v>74</v>
      </c>
      <c r="BB1672">
        <v>5629</v>
      </c>
      <c r="BC1672">
        <v>5645</v>
      </c>
      <c r="BD1672" t="s">
        <v>74</v>
      </c>
      <c r="BE1672" t="s">
        <v>74</v>
      </c>
      <c r="BF1672" t="s">
        <v>74</v>
      </c>
      <c r="BG1672" t="s">
        <v>74</v>
      </c>
      <c r="BH1672" t="s">
        <v>74</v>
      </c>
      <c r="BI1672">
        <v>17</v>
      </c>
      <c r="BJ1672" t="s">
        <v>3725</v>
      </c>
      <c r="BK1672" t="s">
        <v>723</v>
      </c>
      <c r="BL1672" t="s">
        <v>210</v>
      </c>
      <c r="BM1672" t="s">
        <v>28238</v>
      </c>
      <c r="BN1672" t="s">
        <v>74</v>
      </c>
      <c r="BO1672" t="s">
        <v>74</v>
      </c>
      <c r="BP1672" t="s">
        <v>74</v>
      </c>
      <c r="BQ1672" t="s">
        <v>74</v>
      </c>
      <c r="BR1672" t="s">
        <v>102</v>
      </c>
      <c r="BS1672" t="s">
        <v>28239</v>
      </c>
      <c r="BT1672" t="str">
        <f>HYPERLINK("https%3A%2F%2Fwww.webofscience.com%2Fwos%2Fwoscc%2Ffull-record%2FWOS:001066451505046","View Full Record in Web of Science")</f>
        <v>View Full Record in Web of Science</v>
      </c>
    </row>
    <row r="1673" spans="1:72" x14ac:dyDescent="0.35">
      <c r="A1673" t="s">
        <v>72</v>
      </c>
      <c r="B1673" t="s">
        <v>28240</v>
      </c>
      <c r="C1673" t="s">
        <v>74</v>
      </c>
      <c r="D1673" t="s">
        <v>74</v>
      </c>
      <c r="E1673" t="s">
        <v>74</v>
      </c>
      <c r="F1673" t="s">
        <v>28241</v>
      </c>
      <c r="G1673" t="s">
        <v>74</v>
      </c>
      <c r="H1673" t="s">
        <v>74</v>
      </c>
      <c r="I1673" t="s">
        <v>28242</v>
      </c>
      <c r="J1673" t="s">
        <v>373</v>
      </c>
      <c r="K1673" t="s">
        <v>74</v>
      </c>
      <c r="L1673" t="s">
        <v>74</v>
      </c>
      <c r="M1673" t="s">
        <v>78</v>
      </c>
      <c r="N1673" t="s">
        <v>108</v>
      </c>
      <c r="O1673" t="s">
        <v>74</v>
      </c>
      <c r="P1673" t="s">
        <v>74</v>
      </c>
      <c r="Q1673" t="s">
        <v>74</v>
      </c>
      <c r="R1673" t="s">
        <v>74</v>
      </c>
      <c r="S1673" t="s">
        <v>74</v>
      </c>
      <c r="T1673" t="s">
        <v>28243</v>
      </c>
      <c r="U1673" t="s">
        <v>28244</v>
      </c>
      <c r="V1673" t="s">
        <v>28245</v>
      </c>
      <c r="W1673" t="s">
        <v>28246</v>
      </c>
      <c r="X1673" t="s">
        <v>28247</v>
      </c>
      <c r="Y1673" t="s">
        <v>28248</v>
      </c>
      <c r="Z1673" t="s">
        <v>28249</v>
      </c>
      <c r="AA1673" t="s">
        <v>74</v>
      </c>
      <c r="AB1673" t="s">
        <v>74</v>
      </c>
      <c r="AC1673" t="s">
        <v>74</v>
      </c>
      <c r="AD1673" t="s">
        <v>74</v>
      </c>
      <c r="AE1673" t="s">
        <v>74</v>
      </c>
      <c r="AF1673" t="s">
        <v>74</v>
      </c>
      <c r="AG1673">
        <v>36</v>
      </c>
      <c r="AH1673">
        <v>13</v>
      </c>
      <c r="AI1673">
        <v>13</v>
      </c>
      <c r="AJ1673">
        <v>3</v>
      </c>
      <c r="AK1673">
        <v>23</v>
      </c>
      <c r="AL1673" t="s">
        <v>384</v>
      </c>
      <c r="AM1673" t="s">
        <v>385</v>
      </c>
      <c r="AN1673" t="s">
        <v>386</v>
      </c>
      <c r="AO1673" t="s">
        <v>74</v>
      </c>
      <c r="AP1673" t="s">
        <v>387</v>
      </c>
      <c r="AQ1673" t="s">
        <v>74</v>
      </c>
      <c r="AR1673" t="s">
        <v>388</v>
      </c>
      <c r="AS1673" t="s">
        <v>389</v>
      </c>
      <c r="AT1673" t="s">
        <v>28250</v>
      </c>
      <c r="AU1673">
        <v>2022</v>
      </c>
      <c r="AV1673">
        <v>10</v>
      </c>
      <c r="AW1673" t="s">
        <v>74</v>
      </c>
      <c r="AX1673" t="s">
        <v>74</v>
      </c>
      <c r="AY1673" t="s">
        <v>74</v>
      </c>
      <c r="AZ1673" t="s">
        <v>74</v>
      </c>
      <c r="BA1673" t="s">
        <v>74</v>
      </c>
      <c r="BB1673" t="s">
        <v>74</v>
      </c>
      <c r="BC1673" t="s">
        <v>74</v>
      </c>
      <c r="BD1673">
        <v>924748</v>
      </c>
      <c r="BE1673" t="s">
        <v>28251</v>
      </c>
      <c r="BF1673" t="str">
        <f>HYPERLINK("http://dx.doi.org/10.3389/fpubh.2022.924748","http://dx.doi.org/10.3389/fpubh.2022.924748")</f>
        <v>http://dx.doi.org/10.3389/fpubh.2022.924748</v>
      </c>
      <c r="BG1673" t="s">
        <v>74</v>
      </c>
      <c r="BH1673" t="s">
        <v>74</v>
      </c>
      <c r="BI1673">
        <v>10</v>
      </c>
      <c r="BJ1673" t="s">
        <v>392</v>
      </c>
      <c r="BK1673" t="s">
        <v>182</v>
      </c>
      <c r="BL1673" t="s">
        <v>392</v>
      </c>
      <c r="BM1673" t="s">
        <v>28252</v>
      </c>
      <c r="BN1673">
        <v>35784238</v>
      </c>
      <c r="BO1673" t="s">
        <v>394</v>
      </c>
      <c r="BP1673" t="s">
        <v>74</v>
      </c>
      <c r="BQ1673" t="s">
        <v>74</v>
      </c>
      <c r="BR1673" t="s">
        <v>102</v>
      </c>
      <c r="BS1673" t="s">
        <v>28253</v>
      </c>
      <c r="BT1673" t="str">
        <f>HYPERLINK("https%3A%2F%2Fwww.webofscience.com%2Fwos%2Fwoscc%2Ffull-record%2FWOS:000817985200001","View Full Record in Web of Science")</f>
        <v>View Full Record in Web of Science</v>
      </c>
    </row>
    <row r="1674" spans="1:72" x14ac:dyDescent="0.35">
      <c r="A1674" t="s">
        <v>72</v>
      </c>
      <c r="B1674" t="s">
        <v>28254</v>
      </c>
      <c r="C1674" t="s">
        <v>74</v>
      </c>
      <c r="D1674" t="s">
        <v>74</v>
      </c>
      <c r="E1674" t="s">
        <v>74</v>
      </c>
      <c r="F1674" t="s">
        <v>28255</v>
      </c>
      <c r="G1674" t="s">
        <v>74</v>
      </c>
      <c r="H1674" t="s">
        <v>74</v>
      </c>
      <c r="I1674" t="s">
        <v>28256</v>
      </c>
      <c r="J1674" t="s">
        <v>28257</v>
      </c>
      <c r="K1674" t="s">
        <v>74</v>
      </c>
      <c r="L1674" t="s">
        <v>74</v>
      </c>
      <c r="M1674" t="s">
        <v>78</v>
      </c>
      <c r="N1674" t="s">
        <v>108</v>
      </c>
      <c r="O1674" t="s">
        <v>74</v>
      </c>
      <c r="P1674" t="s">
        <v>74</v>
      </c>
      <c r="Q1674" t="s">
        <v>74</v>
      </c>
      <c r="R1674" t="s">
        <v>74</v>
      </c>
      <c r="S1674" t="s">
        <v>74</v>
      </c>
      <c r="T1674" t="s">
        <v>28258</v>
      </c>
      <c r="U1674" t="s">
        <v>28259</v>
      </c>
      <c r="V1674" t="s">
        <v>28260</v>
      </c>
      <c r="W1674" t="s">
        <v>28261</v>
      </c>
      <c r="X1674" t="s">
        <v>21520</v>
      </c>
      <c r="Y1674" t="s">
        <v>28262</v>
      </c>
      <c r="Z1674" t="s">
        <v>74</v>
      </c>
      <c r="AA1674" t="s">
        <v>74</v>
      </c>
      <c r="AB1674" t="s">
        <v>74</v>
      </c>
      <c r="AC1674" t="s">
        <v>28263</v>
      </c>
      <c r="AD1674" t="s">
        <v>28264</v>
      </c>
      <c r="AE1674" t="s">
        <v>28265</v>
      </c>
      <c r="AF1674" t="s">
        <v>74</v>
      </c>
      <c r="AG1674">
        <v>41</v>
      </c>
      <c r="AH1674">
        <v>2</v>
      </c>
      <c r="AI1674">
        <v>2</v>
      </c>
      <c r="AJ1674">
        <v>0</v>
      </c>
      <c r="AK1674">
        <v>36</v>
      </c>
      <c r="AL1674" t="s">
        <v>20421</v>
      </c>
      <c r="AM1674" t="s">
        <v>20422</v>
      </c>
      <c r="AN1674" t="s">
        <v>20423</v>
      </c>
      <c r="AO1674" t="s">
        <v>28266</v>
      </c>
      <c r="AP1674" t="s">
        <v>28267</v>
      </c>
      <c r="AQ1674" t="s">
        <v>74</v>
      </c>
      <c r="AR1674" t="s">
        <v>28268</v>
      </c>
      <c r="AS1674" t="s">
        <v>28269</v>
      </c>
      <c r="AT1674" t="s">
        <v>6934</v>
      </c>
      <c r="AU1674">
        <v>2021</v>
      </c>
      <c r="AV1674">
        <v>11</v>
      </c>
      <c r="AW1674">
        <v>2</v>
      </c>
      <c r="AX1674" t="s">
        <v>74</v>
      </c>
      <c r="AY1674" t="s">
        <v>74</v>
      </c>
      <c r="AZ1674" t="s">
        <v>74</v>
      </c>
      <c r="BA1674" t="s">
        <v>74</v>
      </c>
      <c r="BB1674">
        <v>43</v>
      </c>
      <c r="BC1674">
        <v>55</v>
      </c>
      <c r="BD1674" t="s">
        <v>74</v>
      </c>
      <c r="BE1674" t="s">
        <v>28270</v>
      </c>
      <c r="BF1674" t="str">
        <f>HYPERLINK("http://dx.doi.org/10.4018/IJCWT.2021040104","http://dx.doi.org/10.4018/IJCWT.2021040104")</f>
        <v>http://dx.doi.org/10.4018/IJCWT.2021040104</v>
      </c>
      <c r="BG1674" t="s">
        <v>74</v>
      </c>
      <c r="BH1674" t="s">
        <v>74</v>
      </c>
      <c r="BI1674">
        <v>13</v>
      </c>
      <c r="BJ1674" t="s">
        <v>8014</v>
      </c>
      <c r="BK1674" t="s">
        <v>125</v>
      </c>
      <c r="BL1674" t="s">
        <v>8015</v>
      </c>
      <c r="BM1674" t="s">
        <v>28271</v>
      </c>
      <c r="BN1674" t="s">
        <v>74</v>
      </c>
      <c r="BO1674" t="s">
        <v>74</v>
      </c>
      <c r="BP1674" t="s">
        <v>74</v>
      </c>
      <c r="BQ1674" t="s">
        <v>74</v>
      </c>
      <c r="BR1674" t="s">
        <v>102</v>
      </c>
      <c r="BS1674" t="s">
        <v>28272</v>
      </c>
      <c r="BT1674" t="str">
        <f>HYPERLINK("https%3A%2F%2Fwww.webofscience.com%2Fwos%2Fwoscc%2Ffull-record%2FWOS:000635378700004","View Full Record in Web of Science")</f>
        <v>View Full Record in Web of Science</v>
      </c>
    </row>
    <row r="1675" spans="1:72" x14ac:dyDescent="0.35">
      <c r="A1675" t="s">
        <v>128</v>
      </c>
      <c r="B1675" t="s">
        <v>28273</v>
      </c>
      <c r="C1675" t="s">
        <v>74</v>
      </c>
      <c r="D1675" t="s">
        <v>74</v>
      </c>
      <c r="E1675" t="s">
        <v>702</v>
      </c>
      <c r="F1675" t="s">
        <v>28274</v>
      </c>
      <c r="G1675" t="s">
        <v>74</v>
      </c>
      <c r="H1675" t="s">
        <v>74</v>
      </c>
      <c r="I1675" t="s">
        <v>28275</v>
      </c>
      <c r="J1675" t="s">
        <v>883</v>
      </c>
      <c r="K1675" t="s">
        <v>74</v>
      </c>
      <c r="L1675" t="s">
        <v>74</v>
      </c>
      <c r="M1675" t="s">
        <v>78</v>
      </c>
      <c r="N1675" t="s">
        <v>135</v>
      </c>
      <c r="O1675" t="s">
        <v>884</v>
      </c>
      <c r="P1675" t="s">
        <v>829</v>
      </c>
      <c r="Q1675" t="s">
        <v>830</v>
      </c>
      <c r="R1675" t="s">
        <v>831</v>
      </c>
      <c r="S1675" t="s">
        <v>74</v>
      </c>
      <c r="T1675" t="s">
        <v>28276</v>
      </c>
      <c r="U1675" t="s">
        <v>74</v>
      </c>
      <c r="V1675" t="s">
        <v>28277</v>
      </c>
      <c r="W1675" t="s">
        <v>28278</v>
      </c>
      <c r="X1675" t="s">
        <v>28279</v>
      </c>
      <c r="Y1675" t="s">
        <v>28280</v>
      </c>
      <c r="Z1675" t="s">
        <v>28281</v>
      </c>
      <c r="AA1675" t="s">
        <v>74</v>
      </c>
      <c r="AB1675" t="s">
        <v>28282</v>
      </c>
      <c r="AC1675" t="s">
        <v>74</v>
      </c>
      <c r="AD1675" t="s">
        <v>74</v>
      </c>
      <c r="AE1675" t="s">
        <v>74</v>
      </c>
      <c r="AF1675" t="s">
        <v>74</v>
      </c>
      <c r="AG1675">
        <v>75</v>
      </c>
      <c r="AH1675">
        <v>1</v>
      </c>
      <c r="AI1675">
        <v>1</v>
      </c>
      <c r="AJ1675">
        <v>5</v>
      </c>
      <c r="AK1675">
        <v>5</v>
      </c>
      <c r="AL1675" t="s">
        <v>718</v>
      </c>
      <c r="AM1675" t="s">
        <v>666</v>
      </c>
      <c r="AN1675" t="s">
        <v>719</v>
      </c>
      <c r="AO1675" t="s">
        <v>74</v>
      </c>
      <c r="AP1675" t="s">
        <v>74</v>
      </c>
      <c r="AQ1675" t="s">
        <v>892</v>
      </c>
      <c r="AR1675" t="s">
        <v>74</v>
      </c>
      <c r="AS1675" t="s">
        <v>74</v>
      </c>
      <c r="AT1675" t="s">
        <v>74</v>
      </c>
      <c r="AU1675">
        <v>2024</v>
      </c>
      <c r="AV1675" t="s">
        <v>74</v>
      </c>
      <c r="AW1675" t="s">
        <v>74</v>
      </c>
      <c r="AX1675" t="s">
        <v>74</v>
      </c>
      <c r="AY1675" t="s">
        <v>74</v>
      </c>
      <c r="AZ1675" t="s">
        <v>74</v>
      </c>
      <c r="BA1675" t="s">
        <v>74</v>
      </c>
      <c r="BB1675" t="s">
        <v>74</v>
      </c>
      <c r="BC1675" t="s">
        <v>74</v>
      </c>
      <c r="BD1675" t="s">
        <v>74</v>
      </c>
      <c r="BE1675" t="s">
        <v>28283</v>
      </c>
      <c r="BF1675" t="str">
        <f>HYPERLINK("http://dx.doi.org/10.1145/3613904.3642839","http://dx.doi.org/10.1145/3613904.3642839")</f>
        <v>http://dx.doi.org/10.1145/3613904.3642839</v>
      </c>
      <c r="BG1675" t="s">
        <v>74</v>
      </c>
      <c r="BH1675" t="s">
        <v>74</v>
      </c>
      <c r="BI1675">
        <v>17</v>
      </c>
      <c r="BJ1675" t="s">
        <v>894</v>
      </c>
      <c r="BK1675" t="s">
        <v>723</v>
      </c>
      <c r="BL1675" t="s">
        <v>210</v>
      </c>
      <c r="BM1675" t="s">
        <v>28284</v>
      </c>
      <c r="BN1675" t="s">
        <v>74</v>
      </c>
      <c r="BO1675" t="s">
        <v>23381</v>
      </c>
      <c r="BP1675" t="s">
        <v>74</v>
      </c>
      <c r="BQ1675" t="s">
        <v>74</v>
      </c>
      <c r="BR1675" t="s">
        <v>102</v>
      </c>
      <c r="BS1675" t="s">
        <v>28285</v>
      </c>
      <c r="BT1675" t="str">
        <f>HYPERLINK("https%3A%2F%2Fwww.webofscience.com%2Fwos%2Fwoscc%2Ffull-record%2FWOS:001266059702036","View Full Record in Web of Science")</f>
        <v>View Full Record in Web of Science</v>
      </c>
    </row>
    <row r="1676" spans="1:72" x14ac:dyDescent="0.35">
      <c r="A1676" t="s">
        <v>72</v>
      </c>
      <c r="B1676" t="s">
        <v>28286</v>
      </c>
      <c r="C1676" t="s">
        <v>74</v>
      </c>
      <c r="D1676" t="s">
        <v>74</v>
      </c>
      <c r="E1676" t="s">
        <v>74</v>
      </c>
      <c r="F1676" t="s">
        <v>28287</v>
      </c>
      <c r="G1676" t="s">
        <v>74</v>
      </c>
      <c r="H1676" t="s">
        <v>74</v>
      </c>
      <c r="I1676" t="s">
        <v>28288</v>
      </c>
      <c r="J1676" t="s">
        <v>15692</v>
      </c>
      <c r="K1676" t="s">
        <v>74</v>
      </c>
      <c r="L1676" t="s">
        <v>74</v>
      </c>
      <c r="M1676" t="s">
        <v>78</v>
      </c>
      <c r="N1676" t="s">
        <v>108</v>
      </c>
      <c r="O1676" t="s">
        <v>74</v>
      </c>
      <c r="P1676" t="s">
        <v>74</v>
      </c>
      <c r="Q1676" t="s">
        <v>74</v>
      </c>
      <c r="R1676" t="s">
        <v>74</v>
      </c>
      <c r="S1676" t="s">
        <v>74</v>
      </c>
      <c r="T1676" t="s">
        <v>28289</v>
      </c>
      <c r="U1676" t="s">
        <v>28290</v>
      </c>
      <c r="V1676" t="s">
        <v>28291</v>
      </c>
      <c r="W1676" t="s">
        <v>28292</v>
      </c>
      <c r="X1676" t="s">
        <v>28293</v>
      </c>
      <c r="Y1676" t="s">
        <v>28294</v>
      </c>
      <c r="Z1676" t="s">
        <v>28295</v>
      </c>
      <c r="AA1676" t="s">
        <v>28296</v>
      </c>
      <c r="AB1676" t="s">
        <v>28297</v>
      </c>
      <c r="AC1676" t="s">
        <v>28298</v>
      </c>
      <c r="AD1676" t="s">
        <v>28299</v>
      </c>
      <c r="AE1676" t="s">
        <v>28300</v>
      </c>
      <c r="AF1676" t="s">
        <v>74</v>
      </c>
      <c r="AG1676">
        <v>56</v>
      </c>
      <c r="AH1676">
        <v>0</v>
      </c>
      <c r="AI1676">
        <v>0</v>
      </c>
      <c r="AJ1676">
        <v>8</v>
      </c>
      <c r="AK1676">
        <v>8</v>
      </c>
      <c r="AL1676" t="s">
        <v>994</v>
      </c>
      <c r="AM1676" t="s">
        <v>995</v>
      </c>
      <c r="AN1676" t="s">
        <v>996</v>
      </c>
      <c r="AO1676" t="s">
        <v>23204</v>
      </c>
      <c r="AP1676" t="s">
        <v>23205</v>
      </c>
      <c r="AQ1676" t="s">
        <v>74</v>
      </c>
      <c r="AR1676" t="s">
        <v>23206</v>
      </c>
      <c r="AS1676" t="s">
        <v>23207</v>
      </c>
      <c r="AT1676" t="s">
        <v>6315</v>
      </c>
      <c r="AU1676">
        <v>2024</v>
      </c>
      <c r="AV1676">
        <v>41</v>
      </c>
      <c r="AW1676">
        <v>6</v>
      </c>
      <c r="AX1676" t="s">
        <v>74</v>
      </c>
      <c r="AY1676" t="s">
        <v>74</v>
      </c>
      <c r="AZ1676" t="s">
        <v>74</v>
      </c>
      <c r="BA1676" t="s">
        <v>74</v>
      </c>
      <c r="BB1676">
        <v>965</v>
      </c>
      <c r="BC1676">
        <v>986</v>
      </c>
      <c r="BD1676" t="s">
        <v>74</v>
      </c>
      <c r="BE1676" t="s">
        <v>28301</v>
      </c>
      <c r="BF1676" t="str">
        <f>HYPERLINK("http://dx.doi.org/10.1080/10584609.2024.2352483","http://dx.doi.org/10.1080/10584609.2024.2352483")</f>
        <v>http://dx.doi.org/10.1080/10584609.2024.2352483</v>
      </c>
      <c r="BG1676" t="s">
        <v>74</v>
      </c>
      <c r="BH1676" t="s">
        <v>1467</v>
      </c>
      <c r="BI1676">
        <v>22</v>
      </c>
      <c r="BJ1676" t="s">
        <v>1528</v>
      </c>
      <c r="BK1676" t="s">
        <v>99</v>
      </c>
      <c r="BL1676" t="s">
        <v>1529</v>
      </c>
      <c r="BM1676" t="s">
        <v>28302</v>
      </c>
      <c r="BN1676">
        <v>39564356</v>
      </c>
      <c r="BO1676" t="s">
        <v>156</v>
      </c>
      <c r="BP1676" t="s">
        <v>74</v>
      </c>
      <c r="BQ1676" t="s">
        <v>74</v>
      </c>
      <c r="BR1676" t="s">
        <v>102</v>
      </c>
      <c r="BS1676" t="s">
        <v>28303</v>
      </c>
      <c r="BT1676" t="str">
        <f>HYPERLINK("https%3A%2F%2Fwww.webofscience.com%2Fwos%2Fwoscc%2Ffull-record%2FWOS:001229089600001","View Full Record in Web of Science")</f>
        <v>View Full Record in Web of Science</v>
      </c>
    </row>
    <row r="1677" spans="1:72" x14ac:dyDescent="0.35">
      <c r="A1677" t="s">
        <v>72</v>
      </c>
      <c r="B1677" t="s">
        <v>28304</v>
      </c>
      <c r="C1677" t="s">
        <v>74</v>
      </c>
      <c r="D1677" t="s">
        <v>74</v>
      </c>
      <c r="E1677" t="s">
        <v>74</v>
      </c>
      <c r="F1677" t="s">
        <v>28305</v>
      </c>
      <c r="G1677" t="s">
        <v>74</v>
      </c>
      <c r="H1677" t="s">
        <v>74</v>
      </c>
      <c r="I1677" t="s">
        <v>28306</v>
      </c>
      <c r="J1677" t="s">
        <v>216</v>
      </c>
      <c r="K1677" t="s">
        <v>74</v>
      </c>
      <c r="L1677" t="s">
        <v>74</v>
      </c>
      <c r="M1677" t="s">
        <v>78</v>
      </c>
      <c r="N1677" t="s">
        <v>108</v>
      </c>
      <c r="O1677" t="s">
        <v>74</v>
      </c>
      <c r="P1677" t="s">
        <v>74</v>
      </c>
      <c r="Q1677" t="s">
        <v>74</v>
      </c>
      <c r="R1677" t="s">
        <v>74</v>
      </c>
      <c r="S1677" t="s">
        <v>74</v>
      </c>
      <c r="T1677" t="s">
        <v>28307</v>
      </c>
      <c r="U1677" t="s">
        <v>74</v>
      </c>
      <c r="V1677" t="s">
        <v>28308</v>
      </c>
      <c r="W1677" t="s">
        <v>28309</v>
      </c>
      <c r="X1677" t="s">
        <v>11107</v>
      </c>
      <c r="Y1677" t="s">
        <v>28310</v>
      </c>
      <c r="Z1677" t="s">
        <v>28311</v>
      </c>
      <c r="AA1677" t="s">
        <v>28312</v>
      </c>
      <c r="AB1677" t="s">
        <v>28313</v>
      </c>
      <c r="AC1677" t="s">
        <v>74</v>
      </c>
      <c r="AD1677" t="s">
        <v>74</v>
      </c>
      <c r="AE1677" t="s">
        <v>74</v>
      </c>
      <c r="AF1677" t="s">
        <v>74</v>
      </c>
      <c r="AG1677">
        <v>48</v>
      </c>
      <c r="AH1677">
        <v>10</v>
      </c>
      <c r="AI1677">
        <v>10</v>
      </c>
      <c r="AJ1677">
        <v>5</v>
      </c>
      <c r="AK1677">
        <v>22</v>
      </c>
      <c r="AL1677" t="s">
        <v>226</v>
      </c>
      <c r="AM1677" t="s">
        <v>227</v>
      </c>
      <c r="AN1677" t="s">
        <v>228</v>
      </c>
      <c r="AO1677" t="s">
        <v>229</v>
      </c>
      <c r="AP1677" t="s">
        <v>74</v>
      </c>
      <c r="AQ1677" t="s">
        <v>74</v>
      </c>
      <c r="AR1677" t="s">
        <v>230</v>
      </c>
      <c r="AS1677" t="s">
        <v>231</v>
      </c>
      <c r="AT1677" t="s">
        <v>594</v>
      </c>
      <c r="AU1677">
        <v>2022</v>
      </c>
      <c r="AV1677">
        <v>8</v>
      </c>
      <c r="AW1677">
        <v>4</v>
      </c>
      <c r="AX1677" t="s">
        <v>74</v>
      </c>
      <c r="AY1677" t="s">
        <v>74</v>
      </c>
      <c r="AZ1677" t="s">
        <v>74</v>
      </c>
      <c r="BA1677" t="s">
        <v>74</v>
      </c>
      <c r="BB1677" t="s">
        <v>74</v>
      </c>
      <c r="BC1677" t="s">
        <v>74</v>
      </c>
      <c r="BD1677">
        <v>2.0563051221144316E+16</v>
      </c>
      <c r="BE1677" t="s">
        <v>28314</v>
      </c>
      <c r="BF1677" t="str">
        <f>HYPERLINK("http://dx.doi.org/10.1177/20563051221144315","http://dx.doi.org/10.1177/20563051221144315")</f>
        <v>http://dx.doi.org/10.1177/20563051221144315</v>
      </c>
      <c r="BG1677" t="s">
        <v>74</v>
      </c>
      <c r="BH1677" t="s">
        <v>74</v>
      </c>
      <c r="BI1677">
        <v>12</v>
      </c>
      <c r="BJ1677" t="s">
        <v>124</v>
      </c>
      <c r="BK1677" t="s">
        <v>99</v>
      </c>
      <c r="BL1677" t="s">
        <v>124</v>
      </c>
      <c r="BM1677" t="s">
        <v>28315</v>
      </c>
      <c r="BN1677" t="s">
        <v>74</v>
      </c>
      <c r="BO1677" t="s">
        <v>235</v>
      </c>
      <c r="BP1677" t="s">
        <v>74</v>
      </c>
      <c r="BQ1677" t="s">
        <v>74</v>
      </c>
      <c r="BR1677" t="s">
        <v>102</v>
      </c>
      <c r="BS1677" t="s">
        <v>28316</v>
      </c>
      <c r="BT1677" t="str">
        <f>HYPERLINK("https%3A%2F%2Fwww.webofscience.com%2Fwos%2Fwoscc%2Ffull-record%2FWOS:000927940900001","View Full Record in Web of Science")</f>
        <v>View Full Record in Web of Science</v>
      </c>
    </row>
    <row r="1678" spans="1:72" x14ac:dyDescent="0.35">
      <c r="A1678" t="s">
        <v>72</v>
      </c>
      <c r="B1678" t="s">
        <v>28317</v>
      </c>
      <c r="C1678" t="s">
        <v>74</v>
      </c>
      <c r="D1678" t="s">
        <v>74</v>
      </c>
      <c r="E1678" t="s">
        <v>74</v>
      </c>
      <c r="F1678" t="s">
        <v>28318</v>
      </c>
      <c r="G1678" t="s">
        <v>74</v>
      </c>
      <c r="H1678" t="s">
        <v>74</v>
      </c>
      <c r="I1678" t="s">
        <v>28319</v>
      </c>
      <c r="J1678" t="s">
        <v>438</v>
      </c>
      <c r="K1678" t="s">
        <v>74</v>
      </c>
      <c r="L1678" t="s">
        <v>74</v>
      </c>
      <c r="M1678" t="s">
        <v>78</v>
      </c>
      <c r="N1678" t="s">
        <v>28320</v>
      </c>
      <c r="O1678" t="s">
        <v>74</v>
      </c>
      <c r="P1678" t="s">
        <v>74</v>
      </c>
      <c r="Q1678" t="s">
        <v>74</v>
      </c>
      <c r="R1678" t="s">
        <v>74</v>
      </c>
      <c r="S1678" t="s">
        <v>74</v>
      </c>
      <c r="T1678" t="s">
        <v>28321</v>
      </c>
      <c r="U1678" t="s">
        <v>28322</v>
      </c>
      <c r="V1678" t="s">
        <v>28323</v>
      </c>
      <c r="W1678" t="s">
        <v>28324</v>
      </c>
      <c r="X1678" t="s">
        <v>28325</v>
      </c>
      <c r="Y1678" t="s">
        <v>28326</v>
      </c>
      <c r="Z1678" t="s">
        <v>28327</v>
      </c>
      <c r="AA1678" t="s">
        <v>74</v>
      </c>
      <c r="AB1678" t="s">
        <v>28328</v>
      </c>
      <c r="AC1678" t="s">
        <v>28329</v>
      </c>
      <c r="AD1678" t="s">
        <v>28330</v>
      </c>
      <c r="AE1678" t="s">
        <v>28331</v>
      </c>
      <c r="AF1678" t="s">
        <v>74</v>
      </c>
      <c r="AG1678">
        <v>67</v>
      </c>
      <c r="AH1678">
        <v>3</v>
      </c>
      <c r="AI1678">
        <v>3</v>
      </c>
      <c r="AJ1678">
        <v>3</v>
      </c>
      <c r="AK1678">
        <v>29</v>
      </c>
      <c r="AL1678" t="s">
        <v>226</v>
      </c>
      <c r="AM1678" t="s">
        <v>227</v>
      </c>
      <c r="AN1678" t="s">
        <v>228</v>
      </c>
      <c r="AO1678" t="s">
        <v>451</v>
      </c>
      <c r="AP1678" t="s">
        <v>452</v>
      </c>
      <c r="AQ1678" t="s">
        <v>74</v>
      </c>
      <c r="AR1678" t="s">
        <v>453</v>
      </c>
      <c r="AS1678" t="s">
        <v>454</v>
      </c>
      <c r="AT1678" t="s">
        <v>28332</v>
      </c>
      <c r="AU1678">
        <v>2023</v>
      </c>
      <c r="AV1678" t="s">
        <v>74</v>
      </c>
      <c r="AW1678" t="s">
        <v>74</v>
      </c>
      <c r="AX1678" t="s">
        <v>74</v>
      </c>
      <c r="AY1678" t="s">
        <v>74</v>
      </c>
      <c r="AZ1678" t="s">
        <v>74</v>
      </c>
      <c r="BA1678" t="s">
        <v>74</v>
      </c>
      <c r="BB1678" t="s">
        <v>74</v>
      </c>
      <c r="BC1678" t="s">
        <v>74</v>
      </c>
      <c r="BD1678" t="s">
        <v>74</v>
      </c>
      <c r="BE1678" t="s">
        <v>28333</v>
      </c>
      <c r="BF1678" t="str">
        <f>HYPERLINK("http://dx.doi.org/10.1177/14614448231173882","http://dx.doi.org/10.1177/14614448231173882")</f>
        <v>http://dx.doi.org/10.1177/14614448231173882</v>
      </c>
      <c r="BG1678" t="s">
        <v>74</v>
      </c>
      <c r="BH1678" t="s">
        <v>180</v>
      </c>
      <c r="BI1678">
        <v>18</v>
      </c>
      <c r="BJ1678" t="s">
        <v>124</v>
      </c>
      <c r="BK1678" t="s">
        <v>99</v>
      </c>
      <c r="BL1678" t="s">
        <v>124</v>
      </c>
      <c r="BM1678" t="s">
        <v>28334</v>
      </c>
      <c r="BN1678" t="s">
        <v>74</v>
      </c>
      <c r="BO1678" t="s">
        <v>1049</v>
      </c>
      <c r="BP1678" t="s">
        <v>74</v>
      </c>
      <c r="BQ1678" t="s">
        <v>74</v>
      </c>
      <c r="BR1678" t="s">
        <v>102</v>
      </c>
      <c r="BS1678" t="s">
        <v>28335</v>
      </c>
      <c r="BT1678" t="str">
        <f>HYPERLINK("https%3A%2F%2Fwww.webofscience.com%2Fwos%2Fwoscc%2Ffull-record%2FWOS:001001668300001","View Full Record in Web of Science")</f>
        <v>View Full Record in Web of Science</v>
      </c>
    </row>
    <row r="1679" spans="1:72" x14ac:dyDescent="0.35">
      <c r="A1679" t="s">
        <v>72</v>
      </c>
      <c r="B1679" t="s">
        <v>28336</v>
      </c>
      <c r="C1679" t="s">
        <v>74</v>
      </c>
      <c r="D1679" t="s">
        <v>74</v>
      </c>
      <c r="E1679" t="s">
        <v>74</v>
      </c>
      <c r="F1679" t="s">
        <v>28337</v>
      </c>
      <c r="G1679" t="s">
        <v>74</v>
      </c>
      <c r="H1679" t="s">
        <v>74</v>
      </c>
      <c r="I1679" t="s">
        <v>28338</v>
      </c>
      <c r="J1679" t="s">
        <v>506</v>
      </c>
      <c r="K1679" t="s">
        <v>74</v>
      </c>
      <c r="L1679" t="s">
        <v>74</v>
      </c>
      <c r="M1679" t="s">
        <v>78</v>
      </c>
      <c r="N1679" t="s">
        <v>108</v>
      </c>
      <c r="O1679" t="s">
        <v>74</v>
      </c>
      <c r="P1679" t="s">
        <v>74</v>
      </c>
      <c r="Q1679" t="s">
        <v>74</v>
      </c>
      <c r="R1679" t="s">
        <v>74</v>
      </c>
      <c r="S1679" t="s">
        <v>74</v>
      </c>
      <c r="T1679" t="s">
        <v>28339</v>
      </c>
      <c r="U1679" t="s">
        <v>28340</v>
      </c>
      <c r="V1679" t="s">
        <v>28341</v>
      </c>
      <c r="W1679" t="s">
        <v>28342</v>
      </c>
      <c r="X1679" t="s">
        <v>28343</v>
      </c>
      <c r="Y1679" t="s">
        <v>28344</v>
      </c>
      <c r="Z1679" t="s">
        <v>28345</v>
      </c>
      <c r="AA1679" t="s">
        <v>28346</v>
      </c>
      <c r="AB1679" t="s">
        <v>28347</v>
      </c>
      <c r="AC1679" t="s">
        <v>74</v>
      </c>
      <c r="AD1679" t="s">
        <v>74</v>
      </c>
      <c r="AE1679" t="s">
        <v>74</v>
      </c>
      <c r="AF1679" t="s">
        <v>74</v>
      </c>
      <c r="AG1679">
        <v>56</v>
      </c>
      <c r="AH1679">
        <v>0</v>
      </c>
      <c r="AI1679">
        <v>0</v>
      </c>
      <c r="AJ1679">
        <v>5</v>
      </c>
      <c r="AK1679">
        <v>5</v>
      </c>
      <c r="AL1679" t="s">
        <v>516</v>
      </c>
      <c r="AM1679" t="s">
        <v>517</v>
      </c>
      <c r="AN1679" t="s">
        <v>518</v>
      </c>
      <c r="AO1679" t="s">
        <v>519</v>
      </c>
      <c r="AP1679" t="s">
        <v>520</v>
      </c>
      <c r="AQ1679" t="s">
        <v>74</v>
      </c>
      <c r="AR1679" t="s">
        <v>521</v>
      </c>
      <c r="AS1679" t="s">
        <v>522</v>
      </c>
      <c r="AT1679" t="s">
        <v>297</v>
      </c>
      <c r="AU1679">
        <v>2024</v>
      </c>
      <c r="AV1679">
        <v>248</v>
      </c>
      <c r="AW1679" t="s">
        <v>74</v>
      </c>
      <c r="AX1679" t="s">
        <v>74</v>
      </c>
      <c r="AY1679" t="s">
        <v>74</v>
      </c>
      <c r="AZ1679" t="s">
        <v>74</v>
      </c>
      <c r="BA1679" t="s">
        <v>74</v>
      </c>
      <c r="BB1679" t="s">
        <v>74</v>
      </c>
      <c r="BC1679" t="s">
        <v>74</v>
      </c>
      <c r="BD1679">
        <v>104342</v>
      </c>
      <c r="BE1679" t="s">
        <v>28348</v>
      </c>
      <c r="BF1679" t="str">
        <f>HYPERLINK("http://dx.doi.org/10.1016/j.actpsy.2024.104342","http://dx.doi.org/10.1016/j.actpsy.2024.104342")</f>
        <v>http://dx.doi.org/10.1016/j.actpsy.2024.104342</v>
      </c>
      <c r="BG1679" t="s">
        <v>74</v>
      </c>
      <c r="BH1679" t="s">
        <v>500</v>
      </c>
      <c r="BI1679">
        <v>8</v>
      </c>
      <c r="BJ1679" t="s">
        <v>525</v>
      </c>
      <c r="BK1679" t="s">
        <v>99</v>
      </c>
      <c r="BL1679" t="s">
        <v>301</v>
      </c>
      <c r="BM1679" t="s">
        <v>28349</v>
      </c>
      <c r="BN1679">
        <v>38870691</v>
      </c>
      <c r="BO1679" t="s">
        <v>235</v>
      </c>
      <c r="BP1679" t="s">
        <v>74</v>
      </c>
      <c r="BQ1679" t="s">
        <v>74</v>
      </c>
      <c r="BR1679" t="s">
        <v>102</v>
      </c>
      <c r="BS1679" t="s">
        <v>28350</v>
      </c>
      <c r="BT1679" t="str">
        <f>HYPERLINK("https%3A%2F%2Fwww.webofscience.com%2Fwos%2Fwoscc%2Ffull-record%2FWOS:001254913300001","View Full Record in Web of Science")</f>
        <v>View Full Record in Web of Science</v>
      </c>
    </row>
    <row r="1680" spans="1:72" x14ac:dyDescent="0.35">
      <c r="A1680" t="s">
        <v>72</v>
      </c>
      <c r="B1680" t="s">
        <v>28351</v>
      </c>
      <c r="C1680" t="s">
        <v>74</v>
      </c>
      <c r="D1680" t="s">
        <v>74</v>
      </c>
      <c r="E1680" t="s">
        <v>74</v>
      </c>
      <c r="F1680" t="s">
        <v>28352</v>
      </c>
      <c r="G1680" t="s">
        <v>74</v>
      </c>
      <c r="H1680" t="s">
        <v>74</v>
      </c>
      <c r="I1680" t="s">
        <v>28353</v>
      </c>
      <c r="J1680" t="s">
        <v>19899</v>
      </c>
      <c r="K1680" t="s">
        <v>74</v>
      </c>
      <c r="L1680" t="s">
        <v>74</v>
      </c>
      <c r="M1680" t="s">
        <v>78</v>
      </c>
      <c r="N1680" t="s">
        <v>108</v>
      </c>
      <c r="O1680" t="s">
        <v>74</v>
      </c>
      <c r="P1680" t="s">
        <v>74</v>
      </c>
      <c r="Q1680" t="s">
        <v>74</v>
      </c>
      <c r="R1680" t="s">
        <v>74</v>
      </c>
      <c r="S1680" t="s">
        <v>74</v>
      </c>
      <c r="T1680" t="s">
        <v>28354</v>
      </c>
      <c r="U1680" t="s">
        <v>28355</v>
      </c>
      <c r="V1680" t="s">
        <v>28356</v>
      </c>
      <c r="W1680" t="s">
        <v>28357</v>
      </c>
      <c r="X1680" t="s">
        <v>28358</v>
      </c>
      <c r="Y1680" t="s">
        <v>28359</v>
      </c>
      <c r="Z1680" t="s">
        <v>28360</v>
      </c>
      <c r="AA1680" t="s">
        <v>28361</v>
      </c>
      <c r="AB1680" t="s">
        <v>28362</v>
      </c>
      <c r="AC1680" t="s">
        <v>28363</v>
      </c>
      <c r="AD1680" t="s">
        <v>28364</v>
      </c>
      <c r="AE1680" t="s">
        <v>28365</v>
      </c>
      <c r="AF1680" t="s">
        <v>74</v>
      </c>
      <c r="AG1680">
        <v>81</v>
      </c>
      <c r="AH1680">
        <v>0</v>
      </c>
      <c r="AI1680">
        <v>0</v>
      </c>
      <c r="AJ1680">
        <v>18</v>
      </c>
      <c r="AK1680">
        <v>18</v>
      </c>
      <c r="AL1680" t="s">
        <v>251</v>
      </c>
      <c r="AM1680" t="s">
        <v>252</v>
      </c>
      <c r="AN1680" t="s">
        <v>253</v>
      </c>
      <c r="AO1680" t="s">
        <v>19909</v>
      </c>
      <c r="AP1680" t="s">
        <v>19910</v>
      </c>
      <c r="AQ1680" t="s">
        <v>74</v>
      </c>
      <c r="AR1680" t="s">
        <v>19911</v>
      </c>
      <c r="AS1680" t="s">
        <v>19912</v>
      </c>
      <c r="AT1680" t="s">
        <v>455</v>
      </c>
      <c r="AU1680">
        <v>2024</v>
      </c>
      <c r="AV1680">
        <v>26</v>
      </c>
      <c r="AW1680">
        <v>5</v>
      </c>
      <c r="AX1680" t="s">
        <v>74</v>
      </c>
      <c r="AY1680" t="s">
        <v>74</v>
      </c>
      <c r="AZ1680" t="s">
        <v>74</v>
      </c>
      <c r="BA1680" t="s">
        <v>74</v>
      </c>
      <c r="BB1680" t="s">
        <v>74</v>
      </c>
      <c r="BC1680" t="s">
        <v>74</v>
      </c>
      <c r="BD1680" t="s">
        <v>6216</v>
      </c>
      <c r="BE1680" t="s">
        <v>28366</v>
      </c>
      <c r="BF1680" t="str">
        <f>HYPERLINK("http://dx.doi.org/10.1002/jtr.2721","http://dx.doi.org/10.1002/jtr.2721")</f>
        <v>http://dx.doi.org/10.1002/jtr.2721</v>
      </c>
      <c r="BG1680" t="s">
        <v>74</v>
      </c>
      <c r="BH1680" t="s">
        <v>74</v>
      </c>
      <c r="BI1680">
        <v>11</v>
      </c>
      <c r="BJ1680" t="s">
        <v>574</v>
      </c>
      <c r="BK1680" t="s">
        <v>99</v>
      </c>
      <c r="BL1680" t="s">
        <v>100</v>
      </c>
      <c r="BM1680" t="s">
        <v>28367</v>
      </c>
      <c r="BN1680" t="s">
        <v>74</v>
      </c>
      <c r="BO1680" t="s">
        <v>767</v>
      </c>
      <c r="BP1680" t="s">
        <v>74</v>
      </c>
      <c r="BQ1680" t="s">
        <v>74</v>
      </c>
      <c r="BR1680" t="s">
        <v>102</v>
      </c>
      <c r="BS1680" t="s">
        <v>28368</v>
      </c>
      <c r="BT1680" t="str">
        <f>HYPERLINK("https%3A%2F%2Fwww.webofscience.com%2Fwos%2Fwoscc%2Ffull-record%2FWOS:001302967500001","View Full Record in Web of Science")</f>
        <v>View Full Record in Web of Science</v>
      </c>
    </row>
    <row r="1681" spans="1:72" x14ac:dyDescent="0.35">
      <c r="A1681" t="s">
        <v>72</v>
      </c>
      <c r="B1681" t="s">
        <v>28369</v>
      </c>
      <c r="C1681" t="s">
        <v>74</v>
      </c>
      <c r="D1681" t="s">
        <v>74</v>
      </c>
      <c r="E1681" t="s">
        <v>74</v>
      </c>
      <c r="F1681" t="s">
        <v>28370</v>
      </c>
      <c r="G1681" t="s">
        <v>74</v>
      </c>
      <c r="H1681" t="s">
        <v>74</v>
      </c>
      <c r="I1681" t="s">
        <v>28371</v>
      </c>
      <c r="J1681" t="s">
        <v>28372</v>
      </c>
      <c r="K1681" t="s">
        <v>74</v>
      </c>
      <c r="L1681" t="s">
        <v>74</v>
      </c>
      <c r="M1681" t="s">
        <v>78</v>
      </c>
      <c r="N1681" t="s">
        <v>108</v>
      </c>
      <c r="O1681" t="s">
        <v>74</v>
      </c>
      <c r="P1681" t="s">
        <v>74</v>
      </c>
      <c r="Q1681" t="s">
        <v>74</v>
      </c>
      <c r="R1681" t="s">
        <v>74</v>
      </c>
      <c r="S1681" t="s">
        <v>74</v>
      </c>
      <c r="T1681" t="s">
        <v>28373</v>
      </c>
      <c r="U1681" t="s">
        <v>74</v>
      </c>
      <c r="V1681" t="s">
        <v>28374</v>
      </c>
      <c r="W1681" t="s">
        <v>28375</v>
      </c>
      <c r="X1681" t="s">
        <v>2307</v>
      </c>
      <c r="Y1681" t="s">
        <v>28376</v>
      </c>
      <c r="Z1681" t="s">
        <v>28377</v>
      </c>
      <c r="AA1681" t="s">
        <v>74</v>
      </c>
      <c r="AB1681" t="s">
        <v>28378</v>
      </c>
      <c r="AC1681" t="s">
        <v>74</v>
      </c>
      <c r="AD1681" t="s">
        <v>74</v>
      </c>
      <c r="AE1681" t="s">
        <v>74</v>
      </c>
      <c r="AF1681" t="s">
        <v>74</v>
      </c>
      <c r="AG1681">
        <v>3</v>
      </c>
      <c r="AH1681">
        <v>1</v>
      </c>
      <c r="AI1681">
        <v>1</v>
      </c>
      <c r="AJ1681">
        <v>0</v>
      </c>
      <c r="AK1681">
        <v>0</v>
      </c>
      <c r="AL1681" t="s">
        <v>1129</v>
      </c>
      <c r="AM1681" t="s">
        <v>89</v>
      </c>
      <c r="AN1681" t="s">
        <v>1130</v>
      </c>
      <c r="AO1681" t="s">
        <v>28379</v>
      </c>
      <c r="AP1681" t="s">
        <v>28380</v>
      </c>
      <c r="AQ1681" t="s">
        <v>74</v>
      </c>
      <c r="AR1681" t="s">
        <v>28381</v>
      </c>
      <c r="AS1681" t="s">
        <v>28382</v>
      </c>
      <c r="AT1681" t="s">
        <v>21475</v>
      </c>
      <c r="AU1681">
        <v>2022</v>
      </c>
      <c r="AV1681">
        <v>33</v>
      </c>
      <c r="AW1681">
        <v>8</v>
      </c>
      <c r="AX1681" t="s">
        <v>74</v>
      </c>
      <c r="AY1681" t="s">
        <v>74</v>
      </c>
      <c r="AZ1681" t="s">
        <v>74</v>
      </c>
      <c r="BA1681" t="s">
        <v>74</v>
      </c>
      <c r="BB1681">
        <v>3208</v>
      </c>
      <c r="BC1681">
        <v>3209</v>
      </c>
      <c r="BD1681" t="s">
        <v>74</v>
      </c>
      <c r="BE1681" t="s">
        <v>28383</v>
      </c>
      <c r="BF1681" t="str">
        <f>HYPERLINK("http://dx.doi.org/10.1080/09546634.2022.2126276","http://dx.doi.org/10.1080/09546634.2022.2126276")</f>
        <v>http://dx.doi.org/10.1080/09546634.2022.2126276</v>
      </c>
      <c r="BG1681" t="s">
        <v>74</v>
      </c>
      <c r="BH1681" t="s">
        <v>598</v>
      </c>
      <c r="BI1681">
        <v>2</v>
      </c>
      <c r="BJ1681" t="s">
        <v>1341</v>
      </c>
      <c r="BK1681" t="s">
        <v>209</v>
      </c>
      <c r="BL1681" t="s">
        <v>1341</v>
      </c>
      <c r="BM1681" t="s">
        <v>28384</v>
      </c>
      <c r="BN1681">
        <v>36121182</v>
      </c>
      <c r="BO1681" t="s">
        <v>74</v>
      </c>
      <c r="BP1681" t="s">
        <v>74</v>
      </c>
      <c r="BQ1681" t="s">
        <v>74</v>
      </c>
      <c r="BR1681" t="s">
        <v>102</v>
      </c>
      <c r="BS1681" t="s">
        <v>28385</v>
      </c>
      <c r="BT1681" t="str">
        <f>HYPERLINK("https%3A%2F%2Fwww.webofscience.com%2Fwos%2Fwoscc%2Ffull-record%2FWOS:000857069900001","View Full Record in Web of Science")</f>
        <v>View Full Record in Web of Science</v>
      </c>
    </row>
    <row r="1682" spans="1:72" x14ac:dyDescent="0.35">
      <c r="A1682" t="s">
        <v>72</v>
      </c>
      <c r="B1682" t="s">
        <v>28386</v>
      </c>
      <c r="C1682" t="s">
        <v>74</v>
      </c>
      <c r="D1682" t="s">
        <v>74</v>
      </c>
      <c r="E1682" t="s">
        <v>74</v>
      </c>
      <c r="F1682" t="s">
        <v>28387</v>
      </c>
      <c r="G1682" t="s">
        <v>74</v>
      </c>
      <c r="H1682" t="s">
        <v>74</v>
      </c>
      <c r="I1682" t="s">
        <v>28388</v>
      </c>
      <c r="J1682" t="s">
        <v>19776</v>
      </c>
      <c r="K1682" t="s">
        <v>74</v>
      </c>
      <c r="L1682" t="s">
        <v>74</v>
      </c>
      <c r="M1682" t="s">
        <v>78</v>
      </c>
      <c r="N1682" t="s">
        <v>79</v>
      </c>
      <c r="O1682" t="s">
        <v>74</v>
      </c>
      <c r="P1682" t="s">
        <v>74</v>
      </c>
      <c r="Q1682" t="s">
        <v>74</v>
      </c>
      <c r="R1682" t="s">
        <v>74</v>
      </c>
      <c r="S1682" t="s">
        <v>74</v>
      </c>
      <c r="T1682" t="s">
        <v>28389</v>
      </c>
      <c r="U1682" t="s">
        <v>26463</v>
      </c>
      <c r="V1682" t="s">
        <v>28390</v>
      </c>
      <c r="W1682" t="s">
        <v>28391</v>
      </c>
      <c r="X1682" t="s">
        <v>9093</v>
      </c>
      <c r="Y1682" t="s">
        <v>28392</v>
      </c>
      <c r="Z1682" t="s">
        <v>28393</v>
      </c>
      <c r="AA1682" t="s">
        <v>74</v>
      </c>
      <c r="AB1682" t="s">
        <v>74</v>
      </c>
      <c r="AC1682" t="s">
        <v>74</v>
      </c>
      <c r="AD1682" t="s">
        <v>74</v>
      </c>
      <c r="AE1682" t="s">
        <v>74</v>
      </c>
      <c r="AF1682" t="s">
        <v>74</v>
      </c>
      <c r="AG1682">
        <v>29</v>
      </c>
      <c r="AH1682">
        <v>0</v>
      </c>
      <c r="AI1682">
        <v>0</v>
      </c>
      <c r="AJ1682">
        <v>6</v>
      </c>
      <c r="AK1682">
        <v>6</v>
      </c>
      <c r="AL1682" t="s">
        <v>171</v>
      </c>
      <c r="AM1682" t="s">
        <v>172</v>
      </c>
      <c r="AN1682" t="s">
        <v>173</v>
      </c>
      <c r="AO1682" t="s">
        <v>19786</v>
      </c>
      <c r="AP1682" t="s">
        <v>19787</v>
      </c>
      <c r="AQ1682" t="s">
        <v>74</v>
      </c>
      <c r="AR1682" t="s">
        <v>19788</v>
      </c>
      <c r="AS1682" t="s">
        <v>19789</v>
      </c>
      <c r="AT1682" t="s">
        <v>28394</v>
      </c>
      <c r="AU1682">
        <v>2024</v>
      </c>
      <c r="AV1682" t="s">
        <v>74</v>
      </c>
      <c r="AW1682" t="s">
        <v>74</v>
      </c>
      <c r="AX1682" t="s">
        <v>74</v>
      </c>
      <c r="AY1682" t="s">
        <v>74</v>
      </c>
      <c r="AZ1682" t="s">
        <v>74</v>
      </c>
      <c r="BA1682" t="s">
        <v>74</v>
      </c>
      <c r="BB1682" t="s">
        <v>74</v>
      </c>
      <c r="BC1682" t="s">
        <v>74</v>
      </c>
      <c r="BD1682" t="s">
        <v>74</v>
      </c>
      <c r="BE1682" t="s">
        <v>28395</v>
      </c>
      <c r="BF1682" t="str">
        <f>HYPERLINK("http://dx.doi.org/10.1177/15274764241277475","http://dx.doi.org/10.1177/15274764241277475")</f>
        <v>http://dx.doi.org/10.1177/15274764241277475</v>
      </c>
      <c r="BG1682" t="s">
        <v>74</v>
      </c>
      <c r="BH1682" t="s">
        <v>2444</v>
      </c>
      <c r="BI1682">
        <v>14</v>
      </c>
      <c r="BJ1682" t="s">
        <v>9507</v>
      </c>
      <c r="BK1682" t="s">
        <v>2125</v>
      </c>
      <c r="BL1682" t="s">
        <v>9508</v>
      </c>
      <c r="BM1682" t="s">
        <v>28396</v>
      </c>
      <c r="BN1682" t="s">
        <v>74</v>
      </c>
      <c r="BO1682" t="s">
        <v>74</v>
      </c>
      <c r="BP1682" t="s">
        <v>74</v>
      </c>
      <c r="BQ1682" t="s">
        <v>74</v>
      </c>
      <c r="BR1682" t="s">
        <v>102</v>
      </c>
      <c r="BS1682" t="s">
        <v>28397</v>
      </c>
      <c r="BT1682" t="str">
        <f>HYPERLINK("https%3A%2F%2Fwww.webofscience.com%2Fwos%2Fwoscc%2Ffull-record%2FWOS:001307500800001","View Full Record in Web of Science")</f>
        <v>View Full Record in Web of Science</v>
      </c>
    </row>
    <row r="1683" spans="1:72" x14ac:dyDescent="0.35">
      <c r="A1683" t="s">
        <v>72</v>
      </c>
      <c r="B1683" t="s">
        <v>28398</v>
      </c>
      <c r="C1683" t="s">
        <v>74</v>
      </c>
      <c r="D1683" t="s">
        <v>74</v>
      </c>
      <c r="E1683" t="s">
        <v>74</v>
      </c>
      <c r="F1683" t="s">
        <v>28399</v>
      </c>
      <c r="G1683" t="s">
        <v>74</v>
      </c>
      <c r="H1683" t="s">
        <v>74</v>
      </c>
      <c r="I1683" t="s">
        <v>28400</v>
      </c>
      <c r="J1683" t="s">
        <v>18361</v>
      </c>
      <c r="K1683" t="s">
        <v>74</v>
      </c>
      <c r="L1683" t="s">
        <v>74</v>
      </c>
      <c r="M1683" t="s">
        <v>78</v>
      </c>
      <c r="N1683" t="s">
        <v>108</v>
      </c>
      <c r="O1683" t="s">
        <v>74</v>
      </c>
      <c r="P1683" t="s">
        <v>74</v>
      </c>
      <c r="Q1683" t="s">
        <v>74</v>
      </c>
      <c r="R1683" t="s">
        <v>74</v>
      </c>
      <c r="S1683" t="s">
        <v>74</v>
      </c>
      <c r="T1683" t="s">
        <v>28401</v>
      </c>
      <c r="U1683" t="s">
        <v>74</v>
      </c>
      <c r="V1683" t="s">
        <v>28402</v>
      </c>
      <c r="W1683" t="s">
        <v>28403</v>
      </c>
      <c r="X1683" t="s">
        <v>28404</v>
      </c>
      <c r="Y1683" t="s">
        <v>28405</v>
      </c>
      <c r="Z1683" t="s">
        <v>28406</v>
      </c>
      <c r="AA1683" t="s">
        <v>28407</v>
      </c>
      <c r="AB1683" t="s">
        <v>28408</v>
      </c>
      <c r="AC1683" t="s">
        <v>74</v>
      </c>
      <c r="AD1683" t="s">
        <v>74</v>
      </c>
      <c r="AE1683" t="s">
        <v>74</v>
      </c>
      <c r="AF1683" t="s">
        <v>74</v>
      </c>
      <c r="AG1683">
        <v>41</v>
      </c>
      <c r="AH1683">
        <v>0</v>
      </c>
      <c r="AI1683">
        <v>0</v>
      </c>
      <c r="AJ1683">
        <v>5</v>
      </c>
      <c r="AK1683">
        <v>5</v>
      </c>
      <c r="AL1683" t="s">
        <v>88</v>
      </c>
      <c r="AM1683" t="s">
        <v>89</v>
      </c>
      <c r="AN1683" t="s">
        <v>90</v>
      </c>
      <c r="AO1683" t="s">
        <v>18374</v>
      </c>
      <c r="AP1683" t="s">
        <v>18375</v>
      </c>
      <c r="AQ1683" t="s">
        <v>74</v>
      </c>
      <c r="AR1683" t="s">
        <v>18376</v>
      </c>
      <c r="AS1683" t="s">
        <v>18377</v>
      </c>
      <c r="AT1683" t="s">
        <v>2296</v>
      </c>
      <c r="AU1683">
        <v>2024</v>
      </c>
      <c r="AV1683">
        <v>29</v>
      </c>
      <c r="AW1683">
        <v>1</v>
      </c>
      <c r="AX1683" t="s">
        <v>74</v>
      </c>
      <c r="AY1683" t="s">
        <v>74</v>
      </c>
      <c r="AZ1683" t="s">
        <v>74</v>
      </c>
      <c r="BA1683" t="s">
        <v>74</v>
      </c>
      <c r="BB1683" t="s">
        <v>74</v>
      </c>
      <c r="BC1683" t="s">
        <v>74</v>
      </c>
      <c r="BD1683">
        <v>2358081</v>
      </c>
      <c r="BE1683" t="s">
        <v>28409</v>
      </c>
      <c r="BF1683" t="str">
        <f>HYPERLINK("http://dx.doi.org/10.1080/02673843.2024.2358081","http://dx.doi.org/10.1080/02673843.2024.2358081")</f>
        <v>http://dx.doi.org/10.1080/02673843.2024.2358081</v>
      </c>
      <c r="BG1683" t="s">
        <v>74</v>
      </c>
      <c r="BH1683" t="s">
        <v>74</v>
      </c>
      <c r="BI1683">
        <v>13</v>
      </c>
      <c r="BJ1683" t="s">
        <v>11136</v>
      </c>
      <c r="BK1683" t="s">
        <v>125</v>
      </c>
      <c r="BL1683" t="s">
        <v>301</v>
      </c>
      <c r="BM1683" t="s">
        <v>28410</v>
      </c>
      <c r="BN1683" t="s">
        <v>74</v>
      </c>
      <c r="BO1683" t="s">
        <v>235</v>
      </c>
      <c r="BP1683" t="s">
        <v>74</v>
      </c>
      <c r="BQ1683" t="s">
        <v>74</v>
      </c>
      <c r="BR1683" t="s">
        <v>102</v>
      </c>
      <c r="BS1683" t="s">
        <v>28411</v>
      </c>
      <c r="BT1683" t="str">
        <f>HYPERLINK("https%3A%2F%2Fwww.webofscience.com%2Fwos%2Fwoscc%2Ffull-record%2FWOS:001230861300001","View Full Record in Web of Science")</f>
        <v>View Full Record in Web of Science</v>
      </c>
    </row>
    <row r="1684" spans="1:72" x14ac:dyDescent="0.35">
      <c r="A1684" t="s">
        <v>72</v>
      </c>
      <c r="B1684" t="s">
        <v>28412</v>
      </c>
      <c r="C1684" t="s">
        <v>74</v>
      </c>
      <c r="D1684" t="s">
        <v>74</v>
      </c>
      <c r="E1684" t="s">
        <v>74</v>
      </c>
      <c r="F1684" t="s">
        <v>28413</v>
      </c>
      <c r="G1684" t="s">
        <v>74</v>
      </c>
      <c r="H1684" t="s">
        <v>74</v>
      </c>
      <c r="I1684" t="s">
        <v>28414</v>
      </c>
      <c r="J1684" t="s">
        <v>28415</v>
      </c>
      <c r="K1684" t="s">
        <v>74</v>
      </c>
      <c r="L1684" t="s">
        <v>74</v>
      </c>
      <c r="M1684" t="s">
        <v>78</v>
      </c>
      <c r="N1684" t="s">
        <v>108</v>
      </c>
      <c r="O1684" t="s">
        <v>74</v>
      </c>
      <c r="P1684" t="s">
        <v>74</v>
      </c>
      <c r="Q1684" t="s">
        <v>74</v>
      </c>
      <c r="R1684" t="s">
        <v>74</v>
      </c>
      <c r="S1684" t="s">
        <v>74</v>
      </c>
      <c r="T1684" t="s">
        <v>28416</v>
      </c>
      <c r="U1684" t="s">
        <v>74</v>
      </c>
      <c r="V1684" t="s">
        <v>28417</v>
      </c>
      <c r="W1684" t="s">
        <v>28418</v>
      </c>
      <c r="X1684" t="s">
        <v>74</v>
      </c>
      <c r="Y1684" t="s">
        <v>28419</v>
      </c>
      <c r="Z1684" t="s">
        <v>28420</v>
      </c>
      <c r="AA1684" t="s">
        <v>28421</v>
      </c>
      <c r="AB1684" t="s">
        <v>28422</v>
      </c>
      <c r="AC1684" t="s">
        <v>74</v>
      </c>
      <c r="AD1684" t="s">
        <v>74</v>
      </c>
      <c r="AE1684" t="s">
        <v>74</v>
      </c>
      <c r="AF1684" t="s">
        <v>74</v>
      </c>
      <c r="AG1684">
        <v>19</v>
      </c>
      <c r="AH1684">
        <v>1</v>
      </c>
      <c r="AI1684">
        <v>1</v>
      </c>
      <c r="AJ1684">
        <v>1</v>
      </c>
      <c r="AK1684">
        <v>1</v>
      </c>
      <c r="AL1684" t="s">
        <v>3632</v>
      </c>
      <c r="AM1684" t="s">
        <v>148</v>
      </c>
      <c r="AN1684" t="s">
        <v>5053</v>
      </c>
      <c r="AO1684" t="s">
        <v>28423</v>
      </c>
      <c r="AP1684" t="s">
        <v>28424</v>
      </c>
      <c r="AQ1684" t="s">
        <v>74</v>
      </c>
      <c r="AR1684" t="s">
        <v>28415</v>
      </c>
      <c r="AS1684" t="s">
        <v>28425</v>
      </c>
      <c r="AT1684" t="s">
        <v>121</v>
      </c>
      <c r="AU1684">
        <v>2024</v>
      </c>
      <c r="AV1684">
        <v>42</v>
      </c>
      <c r="AW1684">
        <v>9</v>
      </c>
      <c r="AX1684" t="s">
        <v>74</v>
      </c>
      <c r="AY1684" t="s">
        <v>74</v>
      </c>
      <c r="AZ1684" t="s">
        <v>74</v>
      </c>
      <c r="BA1684" t="s">
        <v>74</v>
      </c>
      <c r="BB1684">
        <v>2166</v>
      </c>
      <c r="BC1684">
        <v>2170</v>
      </c>
      <c r="BD1684" t="s">
        <v>74</v>
      </c>
      <c r="BE1684" t="s">
        <v>28426</v>
      </c>
      <c r="BF1684" t="str">
        <f>HYPERLINK("http://dx.doi.org/10.1016/j.vaccine.2024.03.031","http://dx.doi.org/10.1016/j.vaccine.2024.03.031")</f>
        <v>http://dx.doi.org/10.1016/j.vaccine.2024.03.031</v>
      </c>
      <c r="BG1684" t="s">
        <v>74</v>
      </c>
      <c r="BH1684" t="s">
        <v>2410</v>
      </c>
      <c r="BI1684">
        <v>5</v>
      </c>
      <c r="BJ1684" t="s">
        <v>18855</v>
      </c>
      <c r="BK1684" t="s">
        <v>209</v>
      </c>
      <c r="BL1684" t="s">
        <v>18856</v>
      </c>
      <c r="BM1684" t="s">
        <v>28427</v>
      </c>
      <c r="BN1684">
        <v>38514356</v>
      </c>
      <c r="BO1684" t="s">
        <v>156</v>
      </c>
      <c r="BP1684" t="s">
        <v>74</v>
      </c>
      <c r="BQ1684" t="s">
        <v>74</v>
      </c>
      <c r="BR1684" t="s">
        <v>102</v>
      </c>
      <c r="BS1684" t="s">
        <v>28428</v>
      </c>
      <c r="BT1684" t="str">
        <f>HYPERLINK("https%3A%2F%2Fwww.webofscience.com%2Fwos%2Fwoscc%2Ffull-record%2FWOS:001226622200001","View Full Record in Web of Science")</f>
        <v>View Full Record in Web of Science</v>
      </c>
    </row>
    <row r="1685" spans="1:72" x14ac:dyDescent="0.35">
      <c r="A1685" t="s">
        <v>72</v>
      </c>
      <c r="B1685" t="s">
        <v>28429</v>
      </c>
      <c r="C1685" t="s">
        <v>74</v>
      </c>
      <c r="D1685" t="s">
        <v>74</v>
      </c>
      <c r="E1685" t="s">
        <v>74</v>
      </c>
      <c r="F1685" t="s">
        <v>28430</v>
      </c>
      <c r="G1685" t="s">
        <v>74</v>
      </c>
      <c r="H1685" t="s">
        <v>74</v>
      </c>
      <c r="I1685" t="s">
        <v>28431</v>
      </c>
      <c r="J1685" t="s">
        <v>28432</v>
      </c>
      <c r="K1685" t="s">
        <v>74</v>
      </c>
      <c r="L1685" t="s">
        <v>74</v>
      </c>
      <c r="M1685" t="s">
        <v>1012</v>
      </c>
      <c r="N1685" t="s">
        <v>108</v>
      </c>
      <c r="O1685" t="s">
        <v>74</v>
      </c>
      <c r="P1685" t="s">
        <v>74</v>
      </c>
      <c r="Q1685" t="s">
        <v>74</v>
      </c>
      <c r="R1685" t="s">
        <v>74</v>
      </c>
      <c r="S1685" t="s">
        <v>74</v>
      </c>
      <c r="T1685" t="s">
        <v>28433</v>
      </c>
      <c r="U1685" t="s">
        <v>28434</v>
      </c>
      <c r="V1685" t="s">
        <v>28435</v>
      </c>
      <c r="W1685" t="s">
        <v>28436</v>
      </c>
      <c r="X1685" t="s">
        <v>28437</v>
      </c>
      <c r="Y1685" t="s">
        <v>28438</v>
      </c>
      <c r="Z1685" t="s">
        <v>28439</v>
      </c>
      <c r="AA1685" t="s">
        <v>28440</v>
      </c>
      <c r="AB1685" t="s">
        <v>28441</v>
      </c>
      <c r="AC1685" t="s">
        <v>28442</v>
      </c>
      <c r="AD1685" t="s">
        <v>28442</v>
      </c>
      <c r="AE1685" t="s">
        <v>28443</v>
      </c>
      <c r="AF1685" t="s">
        <v>74</v>
      </c>
      <c r="AG1685">
        <v>46</v>
      </c>
      <c r="AH1685">
        <v>0</v>
      </c>
      <c r="AI1685">
        <v>0</v>
      </c>
      <c r="AJ1685">
        <v>0</v>
      </c>
      <c r="AK1685">
        <v>2</v>
      </c>
      <c r="AL1685" t="s">
        <v>665</v>
      </c>
      <c r="AM1685" t="s">
        <v>666</v>
      </c>
      <c r="AN1685" t="s">
        <v>667</v>
      </c>
      <c r="AO1685" t="s">
        <v>28444</v>
      </c>
      <c r="AP1685" t="s">
        <v>28445</v>
      </c>
      <c r="AQ1685" t="s">
        <v>74</v>
      </c>
      <c r="AR1685" t="s">
        <v>28432</v>
      </c>
      <c r="AS1685" t="s">
        <v>28446</v>
      </c>
      <c r="AT1685" t="s">
        <v>594</v>
      </c>
      <c r="AU1685">
        <v>2022</v>
      </c>
      <c r="AV1685">
        <v>93</v>
      </c>
      <c r="AW1685">
        <v>10</v>
      </c>
      <c r="AX1685" t="s">
        <v>74</v>
      </c>
      <c r="AY1685" t="s">
        <v>74</v>
      </c>
      <c r="AZ1685" t="s">
        <v>456</v>
      </c>
      <c r="BA1685" t="s">
        <v>74</v>
      </c>
      <c r="BB1685">
        <v>1009</v>
      </c>
      <c r="BC1685">
        <v>1018</v>
      </c>
      <c r="BD1685" t="s">
        <v>74</v>
      </c>
      <c r="BE1685" t="s">
        <v>28447</v>
      </c>
      <c r="BF1685" t="str">
        <f>HYPERLINK("http://dx.doi.org/10.1007/s00115-021-01247-1","http://dx.doi.org/10.1007/s00115-021-01247-1")</f>
        <v>http://dx.doi.org/10.1007/s00115-021-01247-1</v>
      </c>
      <c r="BG1685" t="s">
        <v>74</v>
      </c>
      <c r="BH1685" t="s">
        <v>16152</v>
      </c>
      <c r="BI1685">
        <v>10</v>
      </c>
      <c r="BJ1685" t="s">
        <v>28448</v>
      </c>
      <c r="BK1685" t="s">
        <v>209</v>
      </c>
      <c r="BL1685" t="s">
        <v>28449</v>
      </c>
      <c r="BM1685" t="s">
        <v>28450</v>
      </c>
      <c r="BN1685">
        <v>34940916</v>
      </c>
      <c r="BO1685" t="s">
        <v>4154</v>
      </c>
      <c r="BP1685" t="s">
        <v>74</v>
      </c>
      <c r="BQ1685" t="s">
        <v>74</v>
      </c>
      <c r="BR1685" t="s">
        <v>102</v>
      </c>
      <c r="BS1685" t="s">
        <v>28451</v>
      </c>
      <c r="BT1685" t="str">
        <f>HYPERLINK("https%3A%2F%2Fwww.webofscience.com%2Fwos%2Fwoscc%2Ffull-record%2FWOS:000733688800001","View Full Record in Web of Science")</f>
        <v>View Full Record in Web of Science</v>
      </c>
    </row>
    <row r="1686" spans="1:72" x14ac:dyDescent="0.35">
      <c r="A1686" t="s">
        <v>72</v>
      </c>
      <c r="B1686" t="s">
        <v>28452</v>
      </c>
      <c r="C1686" t="s">
        <v>74</v>
      </c>
      <c r="D1686" t="s">
        <v>74</v>
      </c>
      <c r="E1686" t="s">
        <v>74</v>
      </c>
      <c r="F1686" t="s">
        <v>28453</v>
      </c>
      <c r="G1686" t="s">
        <v>74</v>
      </c>
      <c r="H1686" t="s">
        <v>74</v>
      </c>
      <c r="I1686" t="s">
        <v>28454</v>
      </c>
      <c r="J1686" t="s">
        <v>793</v>
      </c>
      <c r="K1686" t="s">
        <v>74</v>
      </c>
      <c r="L1686" t="s">
        <v>74</v>
      </c>
      <c r="M1686" t="s">
        <v>78</v>
      </c>
      <c r="N1686" t="s">
        <v>108</v>
      </c>
      <c r="O1686" t="s">
        <v>74</v>
      </c>
      <c r="P1686" t="s">
        <v>74</v>
      </c>
      <c r="Q1686" t="s">
        <v>74</v>
      </c>
      <c r="R1686" t="s">
        <v>74</v>
      </c>
      <c r="S1686" t="s">
        <v>74</v>
      </c>
      <c r="T1686" t="s">
        <v>28455</v>
      </c>
      <c r="U1686" t="s">
        <v>28456</v>
      </c>
      <c r="V1686" t="s">
        <v>28457</v>
      </c>
      <c r="W1686" t="s">
        <v>28458</v>
      </c>
      <c r="X1686" t="s">
        <v>28459</v>
      </c>
      <c r="Y1686" t="s">
        <v>28460</v>
      </c>
      <c r="Z1686" t="s">
        <v>28461</v>
      </c>
      <c r="AA1686" t="s">
        <v>74</v>
      </c>
      <c r="AB1686" t="s">
        <v>28462</v>
      </c>
      <c r="AC1686" t="s">
        <v>74</v>
      </c>
      <c r="AD1686" t="s">
        <v>74</v>
      </c>
      <c r="AE1686" t="s">
        <v>74</v>
      </c>
      <c r="AF1686" t="s">
        <v>74</v>
      </c>
      <c r="AG1686">
        <v>26</v>
      </c>
      <c r="AH1686">
        <v>1</v>
      </c>
      <c r="AI1686">
        <v>1</v>
      </c>
      <c r="AJ1686">
        <v>0</v>
      </c>
      <c r="AK1686">
        <v>1</v>
      </c>
      <c r="AL1686" t="s">
        <v>803</v>
      </c>
      <c r="AM1686" t="s">
        <v>227</v>
      </c>
      <c r="AN1686" t="s">
        <v>804</v>
      </c>
      <c r="AO1686" t="s">
        <v>74</v>
      </c>
      <c r="AP1686" t="s">
        <v>805</v>
      </c>
      <c r="AQ1686" t="s">
        <v>74</v>
      </c>
      <c r="AR1686" t="s">
        <v>806</v>
      </c>
      <c r="AS1686" t="s">
        <v>807</v>
      </c>
      <c r="AT1686" t="s">
        <v>28463</v>
      </c>
      <c r="AU1686">
        <v>2023</v>
      </c>
      <c r="AV1686">
        <v>15</v>
      </c>
      <c r="AW1686">
        <v>12</v>
      </c>
      <c r="AX1686" t="s">
        <v>74</v>
      </c>
      <c r="AY1686" t="s">
        <v>74</v>
      </c>
      <c r="AZ1686" t="s">
        <v>74</v>
      </c>
      <c r="BA1686" t="s">
        <v>74</v>
      </c>
      <c r="BB1686" t="s">
        <v>74</v>
      </c>
      <c r="BC1686" t="s">
        <v>74</v>
      </c>
      <c r="BD1686" t="s">
        <v>28464</v>
      </c>
      <c r="BE1686" t="s">
        <v>28465</v>
      </c>
      <c r="BF1686" t="str">
        <f>HYPERLINK("http://dx.doi.org/10.7759/cureus.49922","http://dx.doi.org/10.7759/cureus.49922")</f>
        <v>http://dx.doi.org/10.7759/cureus.49922</v>
      </c>
      <c r="BG1686" t="s">
        <v>74</v>
      </c>
      <c r="BH1686" t="s">
        <v>74</v>
      </c>
      <c r="BI1686">
        <v>10</v>
      </c>
      <c r="BJ1686" t="s">
        <v>811</v>
      </c>
      <c r="BK1686" t="s">
        <v>125</v>
      </c>
      <c r="BL1686" t="s">
        <v>812</v>
      </c>
      <c r="BM1686" t="s">
        <v>28466</v>
      </c>
      <c r="BN1686">
        <v>38174175</v>
      </c>
      <c r="BO1686" t="s">
        <v>552</v>
      </c>
      <c r="BP1686" t="s">
        <v>74</v>
      </c>
      <c r="BQ1686" t="s">
        <v>74</v>
      </c>
      <c r="BR1686" t="s">
        <v>102</v>
      </c>
      <c r="BS1686" t="s">
        <v>28467</v>
      </c>
      <c r="BT1686" t="str">
        <f>HYPERLINK("https%3A%2F%2Fwww.webofscience.com%2Fwos%2Fwoscc%2Ffull-record%2FWOS:001122696000011","View Full Record in Web of Science")</f>
        <v>View Full Record in Web of Science</v>
      </c>
    </row>
    <row r="1687" spans="1:72" x14ac:dyDescent="0.35">
      <c r="A1687" t="s">
        <v>72</v>
      </c>
      <c r="B1687" t="s">
        <v>28468</v>
      </c>
      <c r="C1687" t="s">
        <v>74</v>
      </c>
      <c r="D1687" t="s">
        <v>74</v>
      </c>
      <c r="E1687" t="s">
        <v>74</v>
      </c>
      <c r="F1687" t="s">
        <v>28469</v>
      </c>
      <c r="G1687" t="s">
        <v>74</v>
      </c>
      <c r="H1687" t="s">
        <v>74</v>
      </c>
      <c r="I1687" t="s">
        <v>28470</v>
      </c>
      <c r="J1687" t="s">
        <v>28471</v>
      </c>
      <c r="K1687" t="s">
        <v>74</v>
      </c>
      <c r="L1687" t="s">
        <v>74</v>
      </c>
      <c r="M1687" t="s">
        <v>78</v>
      </c>
      <c r="N1687" t="s">
        <v>108</v>
      </c>
      <c r="O1687" t="s">
        <v>74</v>
      </c>
      <c r="P1687" t="s">
        <v>74</v>
      </c>
      <c r="Q1687" t="s">
        <v>74</v>
      </c>
      <c r="R1687" t="s">
        <v>74</v>
      </c>
      <c r="S1687" t="s">
        <v>74</v>
      </c>
      <c r="T1687" t="s">
        <v>28472</v>
      </c>
      <c r="U1687" t="s">
        <v>74</v>
      </c>
      <c r="V1687" t="s">
        <v>28473</v>
      </c>
      <c r="W1687" t="s">
        <v>28474</v>
      </c>
      <c r="X1687" t="s">
        <v>28475</v>
      </c>
      <c r="Y1687" t="s">
        <v>28476</v>
      </c>
      <c r="Z1687" t="s">
        <v>28477</v>
      </c>
      <c r="AA1687" t="s">
        <v>74</v>
      </c>
      <c r="AB1687" t="s">
        <v>74</v>
      </c>
      <c r="AC1687" t="s">
        <v>74</v>
      </c>
      <c r="AD1687" t="s">
        <v>74</v>
      </c>
      <c r="AE1687" t="s">
        <v>74</v>
      </c>
      <c r="AF1687" t="s">
        <v>74</v>
      </c>
      <c r="AG1687">
        <v>13</v>
      </c>
      <c r="AH1687">
        <v>0</v>
      </c>
      <c r="AI1687">
        <v>0</v>
      </c>
      <c r="AJ1687">
        <v>0</v>
      </c>
      <c r="AK1687">
        <v>0</v>
      </c>
      <c r="AL1687" t="s">
        <v>28478</v>
      </c>
      <c r="AM1687" t="s">
        <v>28479</v>
      </c>
      <c r="AN1687" t="s">
        <v>28480</v>
      </c>
      <c r="AO1687" t="s">
        <v>28481</v>
      </c>
      <c r="AP1687" t="s">
        <v>28482</v>
      </c>
      <c r="AQ1687" t="s">
        <v>74</v>
      </c>
      <c r="AR1687" t="s">
        <v>28483</v>
      </c>
      <c r="AS1687" t="s">
        <v>28484</v>
      </c>
      <c r="AT1687" t="s">
        <v>594</v>
      </c>
      <c r="AU1687">
        <v>2024</v>
      </c>
      <c r="AV1687">
        <v>28</v>
      </c>
      <c r="AW1687" t="s">
        <v>74</v>
      </c>
      <c r="AX1687" t="s">
        <v>74</v>
      </c>
      <c r="AY1687">
        <v>10</v>
      </c>
      <c r="AZ1687" t="s">
        <v>74</v>
      </c>
      <c r="BA1687" t="s">
        <v>74</v>
      </c>
      <c r="BB1687">
        <v>69</v>
      </c>
      <c r="BC1687">
        <v>73</v>
      </c>
      <c r="BD1687" t="s">
        <v>74</v>
      </c>
      <c r="BE1687" t="s">
        <v>28485</v>
      </c>
      <c r="BF1687" t="str">
        <f>HYPERLINK("http://dx.doi.org/10.29063/ajrh2024/v28i10s.8","http://dx.doi.org/10.29063/ajrh2024/v28i10s.8")</f>
        <v>http://dx.doi.org/10.29063/ajrh2024/v28i10s.8</v>
      </c>
      <c r="BG1687" t="s">
        <v>74</v>
      </c>
      <c r="BH1687" t="s">
        <v>74</v>
      </c>
      <c r="BI1687">
        <v>5</v>
      </c>
      <c r="BJ1687" t="s">
        <v>392</v>
      </c>
      <c r="BK1687" t="s">
        <v>99</v>
      </c>
      <c r="BL1687" t="s">
        <v>392</v>
      </c>
      <c r="BM1687" t="s">
        <v>28486</v>
      </c>
      <c r="BN1687" t="s">
        <v>74</v>
      </c>
      <c r="BO1687" t="s">
        <v>74</v>
      </c>
      <c r="BP1687" t="s">
        <v>74</v>
      </c>
      <c r="BQ1687" t="s">
        <v>74</v>
      </c>
      <c r="BR1687" t="s">
        <v>102</v>
      </c>
      <c r="BS1687" t="s">
        <v>28487</v>
      </c>
      <c r="BT1687" t="str">
        <f>HYPERLINK("https%3A%2F%2Fwww.webofscience.com%2Fwos%2Fwoscc%2Ffull-record%2FWOS:001354512500009","View Full Record in Web of Science")</f>
        <v>View Full Record in Web of Science</v>
      </c>
    </row>
    <row r="1688" spans="1:72" x14ac:dyDescent="0.35">
      <c r="A1688" t="s">
        <v>72</v>
      </c>
      <c r="B1688" t="s">
        <v>28488</v>
      </c>
      <c r="C1688" t="s">
        <v>74</v>
      </c>
      <c r="D1688" t="s">
        <v>74</v>
      </c>
      <c r="E1688" t="s">
        <v>74</v>
      </c>
      <c r="F1688" t="s">
        <v>28489</v>
      </c>
      <c r="G1688" t="s">
        <v>74</v>
      </c>
      <c r="H1688" t="s">
        <v>74</v>
      </c>
      <c r="I1688" t="s">
        <v>28490</v>
      </c>
      <c r="J1688" t="s">
        <v>28491</v>
      </c>
      <c r="K1688" t="s">
        <v>74</v>
      </c>
      <c r="L1688" t="s">
        <v>74</v>
      </c>
      <c r="M1688" t="s">
        <v>78</v>
      </c>
      <c r="N1688" t="s">
        <v>108</v>
      </c>
      <c r="O1688" t="s">
        <v>74</v>
      </c>
      <c r="P1688" t="s">
        <v>74</v>
      </c>
      <c r="Q1688" t="s">
        <v>74</v>
      </c>
      <c r="R1688" t="s">
        <v>74</v>
      </c>
      <c r="S1688" t="s">
        <v>74</v>
      </c>
      <c r="T1688" t="s">
        <v>74</v>
      </c>
      <c r="U1688" t="s">
        <v>28492</v>
      </c>
      <c r="V1688" t="s">
        <v>28493</v>
      </c>
      <c r="W1688" t="s">
        <v>28494</v>
      </c>
      <c r="X1688" t="s">
        <v>28495</v>
      </c>
      <c r="Y1688" t="s">
        <v>28496</v>
      </c>
      <c r="Z1688" t="s">
        <v>28497</v>
      </c>
      <c r="AA1688" t="s">
        <v>74</v>
      </c>
      <c r="AB1688" t="s">
        <v>28498</v>
      </c>
      <c r="AC1688" t="s">
        <v>28499</v>
      </c>
      <c r="AD1688" t="s">
        <v>28499</v>
      </c>
      <c r="AE1688" t="s">
        <v>28500</v>
      </c>
      <c r="AF1688" t="s">
        <v>74</v>
      </c>
      <c r="AG1688">
        <v>54</v>
      </c>
      <c r="AH1688">
        <v>0</v>
      </c>
      <c r="AI1688">
        <v>0</v>
      </c>
      <c r="AJ1688">
        <v>7</v>
      </c>
      <c r="AK1688">
        <v>7</v>
      </c>
      <c r="AL1688" t="s">
        <v>8334</v>
      </c>
      <c r="AM1688" t="s">
        <v>291</v>
      </c>
      <c r="AN1688" t="s">
        <v>8335</v>
      </c>
      <c r="AO1688" t="s">
        <v>28501</v>
      </c>
      <c r="AP1688" t="s">
        <v>28502</v>
      </c>
      <c r="AQ1688" t="s">
        <v>74</v>
      </c>
      <c r="AR1688" t="s">
        <v>28503</v>
      </c>
      <c r="AS1688" t="s">
        <v>28504</v>
      </c>
      <c r="AT1688" t="s">
        <v>28505</v>
      </c>
      <c r="AU1688">
        <v>2024</v>
      </c>
      <c r="AV1688">
        <v>36</v>
      </c>
      <c r="AW1688">
        <v>3</v>
      </c>
      <c r="AX1688" t="s">
        <v>74</v>
      </c>
      <c r="AY1688" t="s">
        <v>74</v>
      </c>
      <c r="AZ1688" t="s">
        <v>74</v>
      </c>
      <c r="BA1688" t="s">
        <v>74</v>
      </c>
      <c r="BB1688" t="s">
        <v>74</v>
      </c>
      <c r="BC1688" t="s">
        <v>74</v>
      </c>
      <c r="BD1688" t="s">
        <v>28506</v>
      </c>
      <c r="BE1688" t="s">
        <v>28507</v>
      </c>
      <c r="BF1688" t="str">
        <f>HYPERLINK("http://dx.doi.org/10.1093/ijpor/edae032","http://dx.doi.org/10.1093/ijpor/edae032")</f>
        <v>http://dx.doi.org/10.1093/ijpor/edae032</v>
      </c>
      <c r="BG1688" t="s">
        <v>74</v>
      </c>
      <c r="BH1688" t="s">
        <v>74</v>
      </c>
      <c r="BI1688">
        <v>12</v>
      </c>
      <c r="BJ1688" t="s">
        <v>1528</v>
      </c>
      <c r="BK1688" t="s">
        <v>99</v>
      </c>
      <c r="BL1688" t="s">
        <v>1529</v>
      </c>
      <c r="BM1688" t="s">
        <v>28508</v>
      </c>
      <c r="BN1688" t="s">
        <v>74</v>
      </c>
      <c r="BO1688" t="s">
        <v>896</v>
      </c>
      <c r="BP1688" t="s">
        <v>74</v>
      </c>
      <c r="BQ1688" t="s">
        <v>74</v>
      </c>
      <c r="BR1688" t="s">
        <v>102</v>
      </c>
      <c r="BS1688" t="s">
        <v>28509</v>
      </c>
      <c r="BT1688" t="str">
        <f>HYPERLINK("https%3A%2F%2Fwww.webofscience.com%2Fwos%2Fwoscc%2Ffull-record%2FWOS:001263963300005","View Full Record in Web of Science")</f>
        <v>View Full Record in Web of Science</v>
      </c>
    </row>
    <row r="1689" spans="1:72" x14ac:dyDescent="0.35">
      <c r="A1689" t="s">
        <v>72</v>
      </c>
      <c r="B1689" t="s">
        <v>28510</v>
      </c>
      <c r="C1689" t="s">
        <v>74</v>
      </c>
      <c r="D1689" t="s">
        <v>74</v>
      </c>
      <c r="E1689" t="s">
        <v>74</v>
      </c>
      <c r="F1689" t="s">
        <v>28511</v>
      </c>
      <c r="G1689" t="s">
        <v>74</v>
      </c>
      <c r="H1689" t="s">
        <v>74</v>
      </c>
      <c r="I1689" t="s">
        <v>28512</v>
      </c>
      <c r="J1689" t="s">
        <v>28513</v>
      </c>
      <c r="K1689" t="s">
        <v>74</v>
      </c>
      <c r="L1689" t="s">
        <v>74</v>
      </c>
      <c r="M1689" t="s">
        <v>3503</v>
      </c>
      <c r="N1689" t="s">
        <v>108</v>
      </c>
      <c r="O1689" t="s">
        <v>74</v>
      </c>
      <c r="P1689" t="s">
        <v>74</v>
      </c>
      <c r="Q1689" t="s">
        <v>74</v>
      </c>
      <c r="R1689" t="s">
        <v>74</v>
      </c>
      <c r="S1689" t="s">
        <v>74</v>
      </c>
      <c r="T1689" t="s">
        <v>28514</v>
      </c>
      <c r="U1689" t="s">
        <v>74</v>
      </c>
      <c r="V1689" t="s">
        <v>28515</v>
      </c>
      <c r="W1689" t="s">
        <v>28516</v>
      </c>
      <c r="X1689" t="s">
        <v>74</v>
      </c>
      <c r="Y1689" t="s">
        <v>28517</v>
      </c>
      <c r="Z1689" t="s">
        <v>28518</v>
      </c>
      <c r="AA1689" t="s">
        <v>74</v>
      </c>
      <c r="AB1689" t="s">
        <v>74</v>
      </c>
      <c r="AC1689" t="s">
        <v>74</v>
      </c>
      <c r="AD1689" t="s">
        <v>74</v>
      </c>
      <c r="AE1689" t="s">
        <v>74</v>
      </c>
      <c r="AF1689" t="s">
        <v>74</v>
      </c>
      <c r="AG1689">
        <v>8</v>
      </c>
      <c r="AH1689">
        <v>0</v>
      </c>
      <c r="AI1689">
        <v>0</v>
      </c>
      <c r="AJ1689">
        <v>0</v>
      </c>
      <c r="AK1689">
        <v>0</v>
      </c>
      <c r="AL1689" t="s">
        <v>28519</v>
      </c>
      <c r="AM1689" t="s">
        <v>8624</v>
      </c>
      <c r="AN1689" t="s">
        <v>28520</v>
      </c>
      <c r="AO1689" t="s">
        <v>28521</v>
      </c>
      <c r="AP1689" t="s">
        <v>74</v>
      </c>
      <c r="AQ1689" t="s">
        <v>74</v>
      </c>
      <c r="AR1689" t="s">
        <v>28522</v>
      </c>
      <c r="AS1689" t="s">
        <v>28523</v>
      </c>
      <c r="AT1689" t="s">
        <v>28524</v>
      </c>
      <c r="AU1689">
        <v>2024</v>
      </c>
      <c r="AV1689">
        <v>12</v>
      </c>
      <c r="AW1689">
        <v>1</v>
      </c>
      <c r="AX1689" t="s">
        <v>74</v>
      </c>
      <c r="AY1689" t="s">
        <v>74</v>
      </c>
      <c r="AZ1689" t="s">
        <v>74</v>
      </c>
      <c r="BA1689" t="s">
        <v>74</v>
      </c>
      <c r="BB1689" t="s">
        <v>74</v>
      </c>
      <c r="BC1689" t="s">
        <v>74</v>
      </c>
      <c r="BD1689" t="s">
        <v>74</v>
      </c>
      <c r="BE1689" t="s">
        <v>74</v>
      </c>
      <c r="BF1689" t="s">
        <v>74</v>
      </c>
      <c r="BG1689" t="s">
        <v>74</v>
      </c>
      <c r="BH1689" t="s">
        <v>74</v>
      </c>
      <c r="BI1689">
        <v>9</v>
      </c>
      <c r="BJ1689" t="s">
        <v>5420</v>
      </c>
      <c r="BK1689" t="s">
        <v>125</v>
      </c>
      <c r="BL1689" t="s">
        <v>5420</v>
      </c>
      <c r="BM1689" t="s">
        <v>28525</v>
      </c>
      <c r="BN1689" t="s">
        <v>74</v>
      </c>
      <c r="BO1689" t="s">
        <v>74</v>
      </c>
      <c r="BP1689" t="s">
        <v>74</v>
      </c>
      <c r="BQ1689" t="s">
        <v>74</v>
      </c>
      <c r="BR1689" t="s">
        <v>102</v>
      </c>
      <c r="BS1689" t="s">
        <v>28526</v>
      </c>
      <c r="BT1689" t="str">
        <f>HYPERLINK("https%3A%2F%2Fwww.webofscience.com%2Fwos%2Fwoscc%2Ffull-record%2FWOS:001242658400015","View Full Record in Web of Science")</f>
        <v>View Full Record in Web of Science</v>
      </c>
    </row>
    <row r="1690" spans="1:72" x14ac:dyDescent="0.35">
      <c r="A1690" t="s">
        <v>72</v>
      </c>
      <c r="B1690" t="s">
        <v>28527</v>
      </c>
      <c r="C1690" t="s">
        <v>74</v>
      </c>
      <c r="D1690" t="s">
        <v>74</v>
      </c>
      <c r="E1690" t="s">
        <v>74</v>
      </c>
      <c r="F1690" t="s">
        <v>28528</v>
      </c>
      <c r="G1690" t="s">
        <v>74</v>
      </c>
      <c r="H1690" t="s">
        <v>74</v>
      </c>
      <c r="I1690" t="s">
        <v>28529</v>
      </c>
      <c r="J1690" t="s">
        <v>28530</v>
      </c>
      <c r="K1690" t="s">
        <v>74</v>
      </c>
      <c r="L1690" t="s">
        <v>74</v>
      </c>
      <c r="M1690" t="s">
        <v>78</v>
      </c>
      <c r="N1690" t="s">
        <v>108</v>
      </c>
      <c r="O1690" t="s">
        <v>74</v>
      </c>
      <c r="P1690" t="s">
        <v>74</v>
      </c>
      <c r="Q1690" t="s">
        <v>74</v>
      </c>
      <c r="R1690" t="s">
        <v>74</v>
      </c>
      <c r="S1690" t="s">
        <v>74</v>
      </c>
      <c r="T1690" t="s">
        <v>74</v>
      </c>
      <c r="U1690" t="s">
        <v>28531</v>
      </c>
      <c r="V1690" t="s">
        <v>28532</v>
      </c>
      <c r="W1690" t="s">
        <v>28533</v>
      </c>
      <c r="X1690" t="s">
        <v>28534</v>
      </c>
      <c r="Y1690" t="s">
        <v>28535</v>
      </c>
      <c r="Z1690" t="s">
        <v>74</v>
      </c>
      <c r="AA1690" t="s">
        <v>74</v>
      </c>
      <c r="AB1690" t="s">
        <v>74</v>
      </c>
      <c r="AC1690" t="s">
        <v>74</v>
      </c>
      <c r="AD1690" t="s">
        <v>74</v>
      </c>
      <c r="AE1690" t="s">
        <v>74</v>
      </c>
      <c r="AF1690" t="s">
        <v>74</v>
      </c>
      <c r="AG1690">
        <v>164</v>
      </c>
      <c r="AH1690">
        <v>0</v>
      </c>
      <c r="AI1690">
        <v>0</v>
      </c>
      <c r="AJ1690">
        <v>0</v>
      </c>
      <c r="AK1690">
        <v>0</v>
      </c>
      <c r="AL1690" t="s">
        <v>28536</v>
      </c>
      <c r="AM1690" t="s">
        <v>28537</v>
      </c>
      <c r="AN1690" t="s">
        <v>28538</v>
      </c>
      <c r="AO1690" t="s">
        <v>28539</v>
      </c>
      <c r="AP1690" t="s">
        <v>74</v>
      </c>
      <c r="AQ1690" t="s">
        <v>74</v>
      </c>
      <c r="AR1690" t="s">
        <v>28540</v>
      </c>
      <c r="AS1690" t="s">
        <v>28541</v>
      </c>
      <c r="AT1690" t="s">
        <v>594</v>
      </c>
      <c r="AU1690">
        <v>2023</v>
      </c>
      <c r="AV1690">
        <v>97</v>
      </c>
      <c r="AW1690">
        <v>10</v>
      </c>
      <c r="AX1690" t="s">
        <v>74</v>
      </c>
      <c r="AY1690" t="s">
        <v>74</v>
      </c>
      <c r="AZ1690" t="s">
        <v>74</v>
      </c>
      <c r="BA1690" t="s">
        <v>74</v>
      </c>
      <c r="BB1690" t="s">
        <v>74</v>
      </c>
      <c r="BC1690" t="s">
        <v>74</v>
      </c>
      <c r="BD1690" t="s">
        <v>74</v>
      </c>
      <c r="BE1690" t="s">
        <v>74</v>
      </c>
      <c r="BF1690" t="s">
        <v>74</v>
      </c>
      <c r="BG1690" t="s">
        <v>74</v>
      </c>
      <c r="BH1690" t="s">
        <v>74</v>
      </c>
      <c r="BI1690">
        <v>90</v>
      </c>
      <c r="BJ1690" t="s">
        <v>10320</v>
      </c>
      <c r="BK1690" t="s">
        <v>125</v>
      </c>
      <c r="BL1690" t="s">
        <v>8015</v>
      </c>
      <c r="BM1690" t="s">
        <v>28542</v>
      </c>
      <c r="BN1690" t="s">
        <v>74</v>
      </c>
      <c r="BO1690" t="s">
        <v>74</v>
      </c>
      <c r="BP1690" t="s">
        <v>74</v>
      </c>
      <c r="BQ1690" t="s">
        <v>74</v>
      </c>
      <c r="BR1690" t="s">
        <v>102</v>
      </c>
      <c r="BS1690" t="s">
        <v>28543</v>
      </c>
      <c r="BT1690" t="str">
        <f>HYPERLINK("https%3A%2F%2Fwww.webofscience.com%2Fwos%2Fwoscc%2Ffull-record%2FWOS:001131800800002","View Full Record in Web of Science")</f>
        <v>View Full Record in Web of Science</v>
      </c>
    </row>
    <row r="1691" spans="1:72" x14ac:dyDescent="0.35">
      <c r="A1691" t="s">
        <v>72</v>
      </c>
      <c r="B1691" t="s">
        <v>28544</v>
      </c>
      <c r="C1691" t="s">
        <v>74</v>
      </c>
      <c r="D1691" t="s">
        <v>74</v>
      </c>
      <c r="E1691" t="s">
        <v>74</v>
      </c>
      <c r="F1691" t="s">
        <v>28545</v>
      </c>
      <c r="G1691" t="s">
        <v>74</v>
      </c>
      <c r="H1691" t="s">
        <v>74</v>
      </c>
      <c r="I1691" t="s">
        <v>28546</v>
      </c>
      <c r="J1691" t="s">
        <v>28547</v>
      </c>
      <c r="K1691" t="s">
        <v>74</v>
      </c>
      <c r="L1691" t="s">
        <v>74</v>
      </c>
      <c r="M1691" t="s">
        <v>78</v>
      </c>
      <c r="N1691" t="s">
        <v>108</v>
      </c>
      <c r="O1691" t="s">
        <v>74</v>
      </c>
      <c r="P1691" t="s">
        <v>74</v>
      </c>
      <c r="Q1691" t="s">
        <v>74</v>
      </c>
      <c r="R1691" t="s">
        <v>74</v>
      </c>
      <c r="S1691" t="s">
        <v>74</v>
      </c>
      <c r="T1691" t="s">
        <v>28548</v>
      </c>
      <c r="U1691" t="s">
        <v>28549</v>
      </c>
      <c r="V1691" t="s">
        <v>28550</v>
      </c>
      <c r="W1691" t="s">
        <v>28551</v>
      </c>
      <c r="X1691" t="s">
        <v>28552</v>
      </c>
      <c r="Y1691" t="s">
        <v>28553</v>
      </c>
      <c r="Z1691" t="s">
        <v>28554</v>
      </c>
      <c r="AA1691" t="s">
        <v>74</v>
      </c>
      <c r="AB1691" t="s">
        <v>28555</v>
      </c>
      <c r="AC1691" t="s">
        <v>74</v>
      </c>
      <c r="AD1691" t="s">
        <v>74</v>
      </c>
      <c r="AE1691" t="s">
        <v>74</v>
      </c>
      <c r="AF1691" t="s">
        <v>74</v>
      </c>
      <c r="AG1691">
        <v>45</v>
      </c>
      <c r="AH1691">
        <v>1</v>
      </c>
      <c r="AI1691">
        <v>1</v>
      </c>
      <c r="AJ1691">
        <v>0</v>
      </c>
      <c r="AK1691">
        <v>3</v>
      </c>
      <c r="AL1691" t="s">
        <v>28556</v>
      </c>
      <c r="AM1691" t="s">
        <v>2291</v>
      </c>
      <c r="AN1691" t="s">
        <v>28557</v>
      </c>
      <c r="AO1691" t="s">
        <v>28558</v>
      </c>
      <c r="AP1691" t="s">
        <v>28559</v>
      </c>
      <c r="AQ1691" t="s">
        <v>74</v>
      </c>
      <c r="AR1691" t="s">
        <v>28560</v>
      </c>
      <c r="AS1691" t="s">
        <v>28561</v>
      </c>
      <c r="AT1691" t="s">
        <v>1275</v>
      </c>
      <c r="AU1691">
        <v>2021</v>
      </c>
      <c r="AV1691">
        <v>16</v>
      </c>
      <c r="AW1691" t="s">
        <v>4010</v>
      </c>
      <c r="AX1691" t="s">
        <v>74</v>
      </c>
      <c r="AY1691" t="s">
        <v>74</v>
      </c>
      <c r="AZ1691" t="s">
        <v>74</v>
      </c>
      <c r="BA1691" t="s">
        <v>74</v>
      </c>
      <c r="BB1691">
        <v>132</v>
      </c>
      <c r="BC1691">
        <v>143</v>
      </c>
      <c r="BD1691" t="s">
        <v>74</v>
      </c>
      <c r="BE1691" t="s">
        <v>28562</v>
      </c>
      <c r="BF1691" t="str">
        <f>HYPERLINK("http://dx.doi.org/10.18261/issn.1891-943x-2021-03-04-04","http://dx.doi.org/10.18261/issn.1891-943x-2021-03-04-04")</f>
        <v>http://dx.doi.org/10.18261/issn.1891-943x-2021-03-04-04</v>
      </c>
      <c r="BG1691" t="s">
        <v>74</v>
      </c>
      <c r="BH1691" t="s">
        <v>74</v>
      </c>
      <c r="BI1691">
        <v>12</v>
      </c>
      <c r="BJ1691" t="s">
        <v>787</v>
      </c>
      <c r="BK1691" t="s">
        <v>125</v>
      </c>
      <c r="BL1691" t="s">
        <v>787</v>
      </c>
      <c r="BM1691" t="s">
        <v>28563</v>
      </c>
      <c r="BN1691" t="s">
        <v>74</v>
      </c>
      <c r="BO1691" t="s">
        <v>235</v>
      </c>
      <c r="BP1691" t="s">
        <v>74</v>
      </c>
      <c r="BQ1691" t="s">
        <v>74</v>
      </c>
      <c r="BR1691" t="s">
        <v>102</v>
      </c>
      <c r="BS1691" t="s">
        <v>28564</v>
      </c>
      <c r="BT1691" t="str">
        <f>HYPERLINK("https%3A%2F%2Fwww.webofscience.com%2Fwos%2Fwoscc%2Ffull-record%2FWOS:000741639600004","View Full Record in Web of Science")</f>
        <v>View Full Record in Web of Science</v>
      </c>
    </row>
    <row r="1692" spans="1:72" x14ac:dyDescent="0.35">
      <c r="A1692" t="s">
        <v>128</v>
      </c>
      <c r="B1692" t="s">
        <v>28565</v>
      </c>
      <c r="C1692" t="s">
        <v>74</v>
      </c>
      <c r="D1692" t="s">
        <v>74</v>
      </c>
      <c r="E1692" t="s">
        <v>702</v>
      </c>
      <c r="F1692" t="s">
        <v>28566</v>
      </c>
      <c r="G1692" t="s">
        <v>74</v>
      </c>
      <c r="H1692" t="s">
        <v>74</v>
      </c>
      <c r="I1692" t="s">
        <v>28567</v>
      </c>
      <c r="J1692" t="s">
        <v>28568</v>
      </c>
      <c r="K1692" t="s">
        <v>74</v>
      </c>
      <c r="L1692" t="s">
        <v>74</v>
      </c>
      <c r="M1692" t="s">
        <v>78</v>
      </c>
      <c r="N1692" t="s">
        <v>135</v>
      </c>
      <c r="O1692" t="s">
        <v>28569</v>
      </c>
      <c r="P1692" t="s">
        <v>28570</v>
      </c>
      <c r="Q1692" t="s">
        <v>138</v>
      </c>
      <c r="R1692" t="s">
        <v>1997</v>
      </c>
      <c r="S1692" t="s">
        <v>74</v>
      </c>
      <c r="T1692" t="s">
        <v>28571</v>
      </c>
      <c r="U1692" t="s">
        <v>74</v>
      </c>
      <c r="V1692" t="s">
        <v>28572</v>
      </c>
      <c r="W1692" t="s">
        <v>28573</v>
      </c>
      <c r="X1692" t="s">
        <v>18146</v>
      </c>
      <c r="Y1692" t="s">
        <v>28574</v>
      </c>
      <c r="Z1692" t="s">
        <v>28575</v>
      </c>
      <c r="AA1692" t="s">
        <v>28576</v>
      </c>
      <c r="AB1692" t="s">
        <v>28577</v>
      </c>
      <c r="AC1692" t="s">
        <v>74</v>
      </c>
      <c r="AD1692" t="s">
        <v>74</v>
      </c>
      <c r="AE1692" t="s">
        <v>74</v>
      </c>
      <c r="AF1692" t="s">
        <v>74</v>
      </c>
      <c r="AG1692">
        <v>13</v>
      </c>
      <c r="AH1692">
        <v>1</v>
      </c>
      <c r="AI1692">
        <v>1</v>
      </c>
      <c r="AJ1692">
        <v>0</v>
      </c>
      <c r="AK1692">
        <v>2</v>
      </c>
      <c r="AL1692" t="s">
        <v>718</v>
      </c>
      <c r="AM1692" t="s">
        <v>666</v>
      </c>
      <c r="AN1692" t="s">
        <v>719</v>
      </c>
      <c r="AO1692" t="s">
        <v>74</v>
      </c>
      <c r="AP1692" t="s">
        <v>74</v>
      </c>
      <c r="AQ1692" t="s">
        <v>28578</v>
      </c>
      <c r="AR1692" t="s">
        <v>74</v>
      </c>
      <c r="AS1692" t="s">
        <v>74</v>
      </c>
      <c r="AT1692" t="s">
        <v>74</v>
      </c>
      <c r="AU1692">
        <v>2021</v>
      </c>
      <c r="AV1692" t="s">
        <v>74</v>
      </c>
      <c r="AW1692" t="s">
        <v>74</v>
      </c>
      <c r="AX1692" t="s">
        <v>74</v>
      </c>
      <c r="AY1692" t="s">
        <v>74</v>
      </c>
      <c r="AZ1692" t="s">
        <v>74</v>
      </c>
      <c r="BA1692" t="s">
        <v>74</v>
      </c>
      <c r="BB1692" t="s">
        <v>74</v>
      </c>
      <c r="BC1692" t="s">
        <v>74</v>
      </c>
      <c r="BD1692">
        <v>74</v>
      </c>
      <c r="BE1692" t="s">
        <v>28579</v>
      </c>
      <c r="BF1692" t="str">
        <f>HYPERLINK("http://dx.doi.org/10.1145/3450741.3467464","http://dx.doi.org/10.1145/3450741.3467464")</f>
        <v>http://dx.doi.org/10.1145/3450741.3467464</v>
      </c>
      <c r="BG1692" t="s">
        <v>74</v>
      </c>
      <c r="BH1692" t="s">
        <v>74</v>
      </c>
      <c r="BI1692">
        <v>4</v>
      </c>
      <c r="BJ1692" t="s">
        <v>28580</v>
      </c>
      <c r="BK1692" t="s">
        <v>648</v>
      </c>
      <c r="BL1692" t="s">
        <v>28581</v>
      </c>
      <c r="BM1692" t="s">
        <v>28582</v>
      </c>
      <c r="BN1692" t="s">
        <v>74</v>
      </c>
      <c r="BO1692" t="s">
        <v>74</v>
      </c>
      <c r="BP1692" t="s">
        <v>74</v>
      </c>
      <c r="BQ1692" t="s">
        <v>74</v>
      </c>
      <c r="BR1692" t="s">
        <v>102</v>
      </c>
      <c r="BS1692" t="s">
        <v>28583</v>
      </c>
      <c r="BT1692" t="str">
        <f>HYPERLINK("https%3A%2F%2Fwww.webofscience.com%2Fwos%2Fwoscc%2Ffull-record%2FWOS:000946594800069","View Full Record in Web of Science")</f>
        <v>View Full Record in Web of Science</v>
      </c>
    </row>
    <row r="1693" spans="1:72" x14ac:dyDescent="0.35">
      <c r="A1693" t="s">
        <v>128</v>
      </c>
      <c r="B1693" t="s">
        <v>28584</v>
      </c>
      <c r="C1693" t="s">
        <v>74</v>
      </c>
      <c r="D1693" t="s">
        <v>22057</v>
      </c>
      <c r="E1693" t="s">
        <v>74</v>
      </c>
      <c r="F1693" t="s">
        <v>28585</v>
      </c>
      <c r="G1693" t="s">
        <v>74</v>
      </c>
      <c r="H1693" t="s">
        <v>74</v>
      </c>
      <c r="I1693" t="s">
        <v>28586</v>
      </c>
      <c r="J1693" t="s">
        <v>28587</v>
      </c>
      <c r="K1693" t="s">
        <v>22061</v>
      </c>
      <c r="L1693" t="s">
        <v>74</v>
      </c>
      <c r="M1693" t="s">
        <v>78</v>
      </c>
      <c r="N1693" t="s">
        <v>135</v>
      </c>
      <c r="O1693" t="s">
        <v>22062</v>
      </c>
      <c r="P1693" t="s">
        <v>22063</v>
      </c>
      <c r="Q1693" t="s">
        <v>22064</v>
      </c>
      <c r="R1693" t="s">
        <v>22065</v>
      </c>
      <c r="S1693" t="s">
        <v>22066</v>
      </c>
      <c r="T1693" t="s">
        <v>28588</v>
      </c>
      <c r="U1693" t="s">
        <v>28589</v>
      </c>
      <c r="V1693" t="s">
        <v>28590</v>
      </c>
      <c r="W1693" t="s">
        <v>28591</v>
      </c>
      <c r="X1693" t="s">
        <v>28592</v>
      </c>
      <c r="Y1693" t="s">
        <v>28593</v>
      </c>
      <c r="Z1693" t="s">
        <v>28594</v>
      </c>
      <c r="AA1693" t="s">
        <v>74</v>
      </c>
      <c r="AB1693" t="s">
        <v>74</v>
      </c>
      <c r="AC1693" t="s">
        <v>28595</v>
      </c>
      <c r="AD1693" t="s">
        <v>28596</v>
      </c>
      <c r="AE1693" t="s">
        <v>28597</v>
      </c>
      <c r="AF1693" t="s">
        <v>74</v>
      </c>
      <c r="AG1693">
        <v>17</v>
      </c>
      <c r="AH1693">
        <v>0</v>
      </c>
      <c r="AI1693">
        <v>0</v>
      </c>
      <c r="AJ1693">
        <v>1</v>
      </c>
      <c r="AK1693">
        <v>1</v>
      </c>
      <c r="AL1693" t="s">
        <v>639</v>
      </c>
      <c r="AM1693" t="s">
        <v>640</v>
      </c>
      <c r="AN1693" t="s">
        <v>641</v>
      </c>
      <c r="AO1693" t="s">
        <v>22076</v>
      </c>
      <c r="AP1693" t="s">
        <v>22077</v>
      </c>
      <c r="AQ1693" t="s">
        <v>28598</v>
      </c>
      <c r="AR1693" t="s">
        <v>22079</v>
      </c>
      <c r="AS1693" t="s">
        <v>74</v>
      </c>
      <c r="AT1693" t="s">
        <v>74</v>
      </c>
      <c r="AU1693">
        <v>2024</v>
      </c>
      <c r="AV1693">
        <v>517</v>
      </c>
      <c r="AW1693" t="s">
        <v>74</v>
      </c>
      <c r="AX1693" t="s">
        <v>74</v>
      </c>
      <c r="AY1693" t="s">
        <v>74</v>
      </c>
      <c r="AZ1693" t="s">
        <v>74</v>
      </c>
      <c r="BA1693" t="s">
        <v>74</v>
      </c>
      <c r="BB1693">
        <v>178</v>
      </c>
      <c r="BC1693">
        <v>188</v>
      </c>
      <c r="BD1693" t="s">
        <v>74</v>
      </c>
      <c r="BE1693" t="s">
        <v>28599</v>
      </c>
      <c r="BF1693" t="str">
        <f>HYPERLINK("http://dx.doi.org/10.1007/978-3-031-60324-2_15","http://dx.doi.org/10.1007/978-3-031-60324-2_15")</f>
        <v>http://dx.doi.org/10.1007/978-3-031-60324-2_15</v>
      </c>
      <c r="BG1693" t="s">
        <v>74</v>
      </c>
      <c r="BH1693" t="s">
        <v>74</v>
      </c>
      <c r="BI1693">
        <v>11</v>
      </c>
      <c r="BJ1693" t="s">
        <v>647</v>
      </c>
      <c r="BK1693" t="s">
        <v>648</v>
      </c>
      <c r="BL1693" t="s">
        <v>649</v>
      </c>
      <c r="BM1693" t="s">
        <v>28600</v>
      </c>
      <c r="BN1693" t="s">
        <v>74</v>
      </c>
      <c r="BO1693" t="s">
        <v>74</v>
      </c>
      <c r="BP1693" t="s">
        <v>74</v>
      </c>
      <c r="BQ1693" t="s">
        <v>74</v>
      </c>
      <c r="BR1693" t="s">
        <v>102</v>
      </c>
      <c r="BS1693" t="s">
        <v>28601</v>
      </c>
      <c r="BT1693" t="str">
        <f>HYPERLINK("https%3A%2F%2Fwww.webofscience.com%2Fwos%2Fwoscc%2Ffull-record%2FWOS:001329868900015","View Full Record in Web of Science")</f>
        <v>View Full Record in Web of Science</v>
      </c>
    </row>
    <row r="1694" spans="1:72" x14ac:dyDescent="0.35">
      <c r="A1694" t="s">
        <v>72</v>
      </c>
      <c r="B1694" t="s">
        <v>28602</v>
      </c>
      <c r="C1694" t="s">
        <v>74</v>
      </c>
      <c r="D1694" t="s">
        <v>74</v>
      </c>
      <c r="E1694" t="s">
        <v>74</v>
      </c>
      <c r="F1694" t="s">
        <v>28603</v>
      </c>
      <c r="G1694" t="s">
        <v>74</v>
      </c>
      <c r="H1694" t="s">
        <v>74</v>
      </c>
      <c r="I1694" t="s">
        <v>28604</v>
      </c>
      <c r="J1694" t="s">
        <v>11302</v>
      </c>
      <c r="K1694" t="s">
        <v>74</v>
      </c>
      <c r="L1694" t="s">
        <v>74</v>
      </c>
      <c r="M1694" t="s">
        <v>78</v>
      </c>
      <c r="N1694" t="s">
        <v>108</v>
      </c>
      <c r="O1694" t="s">
        <v>74</v>
      </c>
      <c r="P1694" t="s">
        <v>74</v>
      </c>
      <c r="Q1694" t="s">
        <v>74</v>
      </c>
      <c r="R1694" t="s">
        <v>74</v>
      </c>
      <c r="S1694" t="s">
        <v>74</v>
      </c>
      <c r="T1694" t="s">
        <v>28605</v>
      </c>
      <c r="U1694" t="s">
        <v>74</v>
      </c>
      <c r="V1694" t="s">
        <v>28606</v>
      </c>
      <c r="W1694" t="s">
        <v>28607</v>
      </c>
      <c r="X1694" t="s">
        <v>3333</v>
      </c>
      <c r="Y1694" t="s">
        <v>28608</v>
      </c>
      <c r="Z1694" t="s">
        <v>28609</v>
      </c>
      <c r="AA1694" t="s">
        <v>74</v>
      </c>
      <c r="AB1694" t="s">
        <v>74</v>
      </c>
      <c r="AC1694" t="s">
        <v>74</v>
      </c>
      <c r="AD1694" t="s">
        <v>74</v>
      </c>
      <c r="AE1694" t="s">
        <v>74</v>
      </c>
      <c r="AF1694" t="s">
        <v>74</v>
      </c>
      <c r="AG1694">
        <v>49</v>
      </c>
      <c r="AH1694">
        <v>5</v>
      </c>
      <c r="AI1694">
        <v>5</v>
      </c>
      <c r="AJ1694">
        <v>5</v>
      </c>
      <c r="AK1694">
        <v>12</v>
      </c>
      <c r="AL1694" t="s">
        <v>226</v>
      </c>
      <c r="AM1694" t="s">
        <v>227</v>
      </c>
      <c r="AN1694" t="s">
        <v>228</v>
      </c>
      <c r="AO1694" t="s">
        <v>11310</v>
      </c>
      <c r="AP1694" t="s">
        <v>11311</v>
      </c>
      <c r="AQ1694" t="s">
        <v>74</v>
      </c>
      <c r="AR1694" t="s">
        <v>11312</v>
      </c>
      <c r="AS1694" t="s">
        <v>11313</v>
      </c>
      <c r="AT1694" t="s">
        <v>455</v>
      </c>
      <c r="AU1694">
        <v>2023</v>
      </c>
      <c r="AV1694">
        <v>59</v>
      </c>
      <c r="AW1694">
        <v>3</v>
      </c>
      <c r="AX1694" t="s">
        <v>74</v>
      </c>
      <c r="AY1694" t="s">
        <v>74</v>
      </c>
      <c r="AZ1694" t="s">
        <v>74</v>
      </c>
      <c r="BA1694" t="s">
        <v>74</v>
      </c>
      <c r="BB1694">
        <v>646</v>
      </c>
      <c r="BC1694">
        <v>663</v>
      </c>
      <c r="BD1694" t="s">
        <v>74</v>
      </c>
      <c r="BE1694" t="s">
        <v>28610</v>
      </c>
      <c r="BF1694" t="str">
        <f>HYPERLINK("http://dx.doi.org/10.1177/14407833221128592","http://dx.doi.org/10.1177/14407833221128592")</f>
        <v>http://dx.doi.org/10.1177/14407833221128592</v>
      </c>
      <c r="BG1694" t="s">
        <v>74</v>
      </c>
      <c r="BH1694" t="s">
        <v>74</v>
      </c>
      <c r="BI1694">
        <v>18</v>
      </c>
      <c r="BJ1694" t="s">
        <v>4573</v>
      </c>
      <c r="BK1694" t="s">
        <v>99</v>
      </c>
      <c r="BL1694" t="s">
        <v>4573</v>
      </c>
      <c r="BM1694" t="s">
        <v>11315</v>
      </c>
      <c r="BN1694" t="s">
        <v>74</v>
      </c>
      <c r="BO1694" t="s">
        <v>74</v>
      </c>
      <c r="BP1694" t="s">
        <v>74</v>
      </c>
      <c r="BQ1694" t="s">
        <v>74</v>
      </c>
      <c r="BR1694" t="s">
        <v>102</v>
      </c>
      <c r="BS1694" t="s">
        <v>28611</v>
      </c>
      <c r="BT1694" t="str">
        <f>HYPERLINK("https%3A%2F%2Fwww.webofscience.com%2Fwos%2Fwoscc%2Ffull-record%2FWOS:001046189700004","View Full Record in Web of Science")</f>
        <v>View Full Record in Web of Science</v>
      </c>
    </row>
    <row r="1695" spans="1:72" x14ac:dyDescent="0.35">
      <c r="A1695" t="s">
        <v>128</v>
      </c>
      <c r="B1695" t="s">
        <v>28612</v>
      </c>
      <c r="C1695" t="s">
        <v>74</v>
      </c>
      <c r="D1695" t="s">
        <v>28613</v>
      </c>
      <c r="E1695" t="s">
        <v>74</v>
      </c>
      <c r="F1695" t="s">
        <v>28614</v>
      </c>
      <c r="G1695" t="s">
        <v>74</v>
      </c>
      <c r="H1695" t="s">
        <v>74</v>
      </c>
      <c r="I1695" t="s">
        <v>28615</v>
      </c>
      <c r="J1695" t="s">
        <v>28616</v>
      </c>
      <c r="K1695" t="s">
        <v>26380</v>
      </c>
      <c r="L1695" t="s">
        <v>74</v>
      </c>
      <c r="M1695" t="s">
        <v>78</v>
      </c>
      <c r="N1695" t="s">
        <v>135</v>
      </c>
      <c r="O1695" t="s">
        <v>28617</v>
      </c>
      <c r="P1695" t="s">
        <v>28618</v>
      </c>
      <c r="Q1695" t="s">
        <v>28619</v>
      </c>
      <c r="R1695" t="s">
        <v>28620</v>
      </c>
      <c r="S1695" t="s">
        <v>28621</v>
      </c>
      <c r="T1695" t="s">
        <v>28622</v>
      </c>
      <c r="U1695" t="s">
        <v>74</v>
      </c>
      <c r="V1695" t="s">
        <v>28623</v>
      </c>
      <c r="W1695" t="s">
        <v>28624</v>
      </c>
      <c r="X1695" t="s">
        <v>28625</v>
      </c>
      <c r="Y1695" t="s">
        <v>28626</v>
      </c>
      <c r="Z1695" t="s">
        <v>28627</v>
      </c>
      <c r="AA1695" t="s">
        <v>28628</v>
      </c>
      <c r="AB1695" t="s">
        <v>28629</v>
      </c>
      <c r="AC1695" t="s">
        <v>28630</v>
      </c>
      <c r="AD1695" t="s">
        <v>28631</v>
      </c>
      <c r="AE1695" t="s">
        <v>28632</v>
      </c>
      <c r="AF1695" t="s">
        <v>74</v>
      </c>
      <c r="AG1695">
        <v>19</v>
      </c>
      <c r="AH1695">
        <v>0</v>
      </c>
      <c r="AI1695">
        <v>0</v>
      </c>
      <c r="AJ1695">
        <v>1</v>
      </c>
      <c r="AK1695">
        <v>1</v>
      </c>
      <c r="AL1695" t="s">
        <v>639</v>
      </c>
      <c r="AM1695" t="s">
        <v>640</v>
      </c>
      <c r="AN1695" t="s">
        <v>641</v>
      </c>
      <c r="AO1695" t="s">
        <v>26391</v>
      </c>
      <c r="AP1695" t="s">
        <v>8381</v>
      </c>
      <c r="AQ1695" t="s">
        <v>28633</v>
      </c>
      <c r="AR1695" t="s">
        <v>26393</v>
      </c>
      <c r="AS1695" t="s">
        <v>74</v>
      </c>
      <c r="AT1695" t="s">
        <v>74</v>
      </c>
      <c r="AU1695">
        <v>2023</v>
      </c>
      <c r="AV1695">
        <v>14113</v>
      </c>
      <c r="AW1695" t="s">
        <v>74</v>
      </c>
      <c r="AX1695" t="s">
        <v>74</v>
      </c>
      <c r="AY1695" t="s">
        <v>74</v>
      </c>
      <c r="AZ1695" t="s">
        <v>74</v>
      </c>
      <c r="BA1695" t="s">
        <v>74</v>
      </c>
      <c r="BB1695">
        <v>145</v>
      </c>
      <c r="BC1695">
        <v>158</v>
      </c>
      <c r="BD1695" t="s">
        <v>74</v>
      </c>
      <c r="BE1695" t="s">
        <v>28634</v>
      </c>
      <c r="BF1695" t="str">
        <f>HYPERLINK("http://dx.doi.org/10.1007/978-3-031-42935-4_12","http://dx.doi.org/10.1007/978-3-031-42935-4_12")</f>
        <v>http://dx.doi.org/10.1007/978-3-031-42935-4_12</v>
      </c>
      <c r="BG1695" t="s">
        <v>74</v>
      </c>
      <c r="BH1695" t="s">
        <v>74</v>
      </c>
      <c r="BI1695">
        <v>14</v>
      </c>
      <c r="BJ1695" t="s">
        <v>894</v>
      </c>
      <c r="BK1695" t="s">
        <v>723</v>
      </c>
      <c r="BL1695" t="s">
        <v>210</v>
      </c>
      <c r="BM1695" t="s">
        <v>28635</v>
      </c>
      <c r="BN1695" t="s">
        <v>74</v>
      </c>
      <c r="BO1695" t="s">
        <v>74</v>
      </c>
      <c r="BP1695" t="s">
        <v>74</v>
      </c>
      <c r="BQ1695" t="s">
        <v>74</v>
      </c>
      <c r="BR1695" t="s">
        <v>102</v>
      </c>
      <c r="BS1695" t="s">
        <v>28636</v>
      </c>
      <c r="BT1695" t="str">
        <f>HYPERLINK("https%3A%2F%2Fwww.webofscience.com%2Fwos%2Fwoscc%2Ffull-record%2FWOS:001156345100012","View Full Record in Web of Science")</f>
        <v>View Full Record in Web of Science</v>
      </c>
    </row>
    <row r="1696" spans="1:72" x14ac:dyDescent="0.35">
      <c r="A1696" t="s">
        <v>72</v>
      </c>
      <c r="B1696" t="s">
        <v>28637</v>
      </c>
      <c r="C1696" t="s">
        <v>74</v>
      </c>
      <c r="D1696" t="s">
        <v>74</v>
      </c>
      <c r="E1696" t="s">
        <v>74</v>
      </c>
      <c r="F1696" t="s">
        <v>28638</v>
      </c>
      <c r="G1696" t="s">
        <v>74</v>
      </c>
      <c r="H1696" t="s">
        <v>74</v>
      </c>
      <c r="I1696" t="s">
        <v>28639</v>
      </c>
      <c r="J1696" t="s">
        <v>28640</v>
      </c>
      <c r="K1696" t="s">
        <v>74</v>
      </c>
      <c r="L1696" t="s">
        <v>74</v>
      </c>
      <c r="M1696" t="s">
        <v>78</v>
      </c>
      <c r="N1696" t="s">
        <v>108</v>
      </c>
      <c r="O1696" t="s">
        <v>74</v>
      </c>
      <c r="P1696" t="s">
        <v>74</v>
      </c>
      <c r="Q1696" t="s">
        <v>74</v>
      </c>
      <c r="R1696" t="s">
        <v>74</v>
      </c>
      <c r="S1696" t="s">
        <v>74</v>
      </c>
      <c r="T1696" t="s">
        <v>28641</v>
      </c>
      <c r="U1696" t="s">
        <v>28642</v>
      </c>
      <c r="V1696" t="s">
        <v>28643</v>
      </c>
      <c r="W1696" t="s">
        <v>28644</v>
      </c>
      <c r="X1696" t="s">
        <v>74</v>
      </c>
      <c r="Y1696" t="s">
        <v>28645</v>
      </c>
      <c r="Z1696" t="s">
        <v>28646</v>
      </c>
      <c r="AA1696" t="s">
        <v>74</v>
      </c>
      <c r="AB1696" t="s">
        <v>28647</v>
      </c>
      <c r="AC1696" t="s">
        <v>74</v>
      </c>
      <c r="AD1696" t="s">
        <v>74</v>
      </c>
      <c r="AE1696" t="s">
        <v>74</v>
      </c>
      <c r="AF1696" t="s">
        <v>74</v>
      </c>
      <c r="AG1696">
        <v>73</v>
      </c>
      <c r="AH1696">
        <v>1</v>
      </c>
      <c r="AI1696">
        <v>1</v>
      </c>
      <c r="AJ1696">
        <v>0</v>
      </c>
      <c r="AK1696">
        <v>2</v>
      </c>
      <c r="AL1696" t="s">
        <v>28648</v>
      </c>
      <c r="AM1696" t="s">
        <v>28649</v>
      </c>
      <c r="AN1696" t="s">
        <v>28650</v>
      </c>
      <c r="AO1696" t="s">
        <v>28651</v>
      </c>
      <c r="AP1696" t="s">
        <v>74</v>
      </c>
      <c r="AQ1696" t="s">
        <v>74</v>
      </c>
      <c r="AR1696" t="s">
        <v>28652</v>
      </c>
      <c r="AS1696" t="s">
        <v>28653</v>
      </c>
      <c r="AT1696" t="s">
        <v>74</v>
      </c>
      <c r="AU1696">
        <v>2023</v>
      </c>
      <c r="AV1696">
        <v>30</v>
      </c>
      <c r="AW1696">
        <v>2</v>
      </c>
      <c r="AX1696" t="s">
        <v>74</v>
      </c>
      <c r="AY1696" t="s">
        <v>74</v>
      </c>
      <c r="AZ1696" t="s">
        <v>74</v>
      </c>
      <c r="BA1696" t="s">
        <v>74</v>
      </c>
      <c r="BB1696">
        <v>310</v>
      </c>
      <c r="BC1696">
        <v>325</v>
      </c>
      <c r="BD1696" t="s">
        <v>74</v>
      </c>
      <c r="BE1696" t="s">
        <v>74</v>
      </c>
      <c r="BF1696" t="s">
        <v>74</v>
      </c>
      <c r="BG1696" t="s">
        <v>74</v>
      </c>
      <c r="BH1696" t="s">
        <v>74</v>
      </c>
      <c r="BI1696">
        <v>75</v>
      </c>
      <c r="BJ1696" t="s">
        <v>10320</v>
      </c>
      <c r="BK1696" t="s">
        <v>125</v>
      </c>
      <c r="BL1696" t="s">
        <v>8015</v>
      </c>
      <c r="BM1696" t="s">
        <v>28654</v>
      </c>
      <c r="BN1696">
        <v>38303617</v>
      </c>
      <c r="BO1696" t="s">
        <v>74</v>
      </c>
      <c r="BP1696" t="s">
        <v>74</v>
      </c>
      <c r="BQ1696" t="s">
        <v>74</v>
      </c>
      <c r="BR1696" t="s">
        <v>102</v>
      </c>
      <c r="BS1696" t="s">
        <v>28655</v>
      </c>
      <c r="BT1696" t="str">
        <f>HYPERLINK("https%3A%2F%2Fwww.webofscience.com%2Fwos%2Fwoscc%2Ffull-record%2FWOS:001047992700004","View Full Record in Web of Science")</f>
        <v>View Full Record in Web of Science</v>
      </c>
    </row>
    <row r="1697" spans="1:72" x14ac:dyDescent="0.35">
      <c r="A1697" t="s">
        <v>72</v>
      </c>
      <c r="B1697" t="s">
        <v>28656</v>
      </c>
      <c r="C1697" t="s">
        <v>74</v>
      </c>
      <c r="D1697" t="s">
        <v>74</v>
      </c>
      <c r="E1697" t="s">
        <v>74</v>
      </c>
      <c r="F1697" t="s">
        <v>28657</v>
      </c>
      <c r="G1697" t="s">
        <v>74</v>
      </c>
      <c r="H1697" t="s">
        <v>74</v>
      </c>
      <c r="I1697" t="s">
        <v>28658</v>
      </c>
      <c r="J1697" t="s">
        <v>216</v>
      </c>
      <c r="K1697" t="s">
        <v>74</v>
      </c>
      <c r="L1697" t="s">
        <v>74</v>
      </c>
      <c r="M1697" t="s">
        <v>78</v>
      </c>
      <c r="N1697" t="s">
        <v>108</v>
      </c>
      <c r="O1697" t="s">
        <v>74</v>
      </c>
      <c r="P1697" t="s">
        <v>74</v>
      </c>
      <c r="Q1697" t="s">
        <v>74</v>
      </c>
      <c r="R1697" t="s">
        <v>74</v>
      </c>
      <c r="S1697" t="s">
        <v>74</v>
      </c>
      <c r="T1697" t="s">
        <v>28659</v>
      </c>
      <c r="U1697" t="s">
        <v>28660</v>
      </c>
      <c r="V1697" t="s">
        <v>28661</v>
      </c>
      <c r="W1697" t="s">
        <v>28662</v>
      </c>
      <c r="X1697" t="s">
        <v>28663</v>
      </c>
      <c r="Y1697" t="s">
        <v>28664</v>
      </c>
      <c r="Z1697" t="s">
        <v>7108</v>
      </c>
      <c r="AA1697" t="s">
        <v>28665</v>
      </c>
      <c r="AB1697" t="s">
        <v>28666</v>
      </c>
      <c r="AC1697" t="s">
        <v>74</v>
      </c>
      <c r="AD1697" t="s">
        <v>74</v>
      </c>
      <c r="AE1697" t="s">
        <v>74</v>
      </c>
      <c r="AF1697" t="s">
        <v>74</v>
      </c>
      <c r="AG1697">
        <v>30</v>
      </c>
      <c r="AH1697">
        <v>13</v>
      </c>
      <c r="AI1697">
        <v>13</v>
      </c>
      <c r="AJ1697">
        <v>21</v>
      </c>
      <c r="AK1697">
        <v>131</v>
      </c>
      <c r="AL1697" t="s">
        <v>226</v>
      </c>
      <c r="AM1697" t="s">
        <v>227</v>
      </c>
      <c r="AN1697" t="s">
        <v>228</v>
      </c>
      <c r="AO1697" t="s">
        <v>229</v>
      </c>
      <c r="AP1697" t="s">
        <v>74</v>
      </c>
      <c r="AQ1697" t="s">
        <v>74</v>
      </c>
      <c r="AR1697" t="s">
        <v>230</v>
      </c>
      <c r="AS1697" t="s">
        <v>231</v>
      </c>
      <c r="AT1697" t="s">
        <v>594</v>
      </c>
      <c r="AU1697">
        <v>2022</v>
      </c>
      <c r="AV1697">
        <v>8</v>
      </c>
      <c r="AW1697">
        <v>4</v>
      </c>
      <c r="AX1697" t="s">
        <v>74</v>
      </c>
      <c r="AY1697" t="s">
        <v>74</v>
      </c>
      <c r="AZ1697" t="s">
        <v>74</v>
      </c>
      <c r="BA1697" t="s">
        <v>74</v>
      </c>
      <c r="BB1697" t="s">
        <v>74</v>
      </c>
      <c r="BC1697" t="s">
        <v>74</v>
      </c>
      <c r="BD1697">
        <v>2.056305122114432E+16</v>
      </c>
      <c r="BE1697" t="s">
        <v>28667</v>
      </c>
      <c r="BF1697" t="str">
        <f>HYPERLINK("http://dx.doi.org/10.1177/20563051221144322","http://dx.doi.org/10.1177/20563051221144322")</f>
        <v>http://dx.doi.org/10.1177/20563051221144322</v>
      </c>
      <c r="BG1697" t="s">
        <v>74</v>
      </c>
      <c r="BH1697" t="s">
        <v>74</v>
      </c>
      <c r="BI1697">
        <v>12</v>
      </c>
      <c r="BJ1697" t="s">
        <v>124</v>
      </c>
      <c r="BK1697" t="s">
        <v>99</v>
      </c>
      <c r="BL1697" t="s">
        <v>124</v>
      </c>
      <c r="BM1697" t="s">
        <v>28668</v>
      </c>
      <c r="BN1697" t="s">
        <v>74</v>
      </c>
      <c r="BO1697" t="s">
        <v>235</v>
      </c>
      <c r="BP1697" t="s">
        <v>74</v>
      </c>
      <c r="BQ1697" t="s">
        <v>74</v>
      </c>
      <c r="BR1697" t="s">
        <v>102</v>
      </c>
      <c r="BS1697" t="s">
        <v>28669</v>
      </c>
      <c r="BT1697" t="str">
        <f>HYPERLINK("https%3A%2F%2Fwww.webofscience.com%2Fwos%2Fwoscc%2Ffull-record%2FWOS:000927940700001","View Full Record in Web of Science")</f>
        <v>View Full Record in Web of Science</v>
      </c>
    </row>
    <row r="1698" spans="1:72" x14ac:dyDescent="0.35">
      <c r="A1698" t="s">
        <v>72</v>
      </c>
      <c r="B1698" t="s">
        <v>28670</v>
      </c>
      <c r="C1698" t="s">
        <v>74</v>
      </c>
      <c r="D1698" t="s">
        <v>74</v>
      </c>
      <c r="E1698" t="s">
        <v>74</v>
      </c>
      <c r="F1698" t="s">
        <v>28671</v>
      </c>
      <c r="G1698" t="s">
        <v>74</v>
      </c>
      <c r="H1698" t="s">
        <v>74</v>
      </c>
      <c r="I1698" t="s">
        <v>28672</v>
      </c>
      <c r="J1698" t="s">
        <v>9971</v>
      </c>
      <c r="K1698" t="s">
        <v>74</v>
      </c>
      <c r="L1698" t="s">
        <v>74</v>
      </c>
      <c r="M1698" t="s">
        <v>3503</v>
      </c>
      <c r="N1698" t="s">
        <v>108</v>
      </c>
      <c r="O1698" t="s">
        <v>74</v>
      </c>
      <c r="P1698" t="s">
        <v>74</v>
      </c>
      <c r="Q1698" t="s">
        <v>74</v>
      </c>
      <c r="R1698" t="s">
        <v>74</v>
      </c>
      <c r="S1698" t="s">
        <v>74</v>
      </c>
      <c r="T1698" t="s">
        <v>28673</v>
      </c>
      <c r="U1698" t="s">
        <v>74</v>
      </c>
      <c r="V1698" t="s">
        <v>28674</v>
      </c>
      <c r="W1698" t="s">
        <v>28675</v>
      </c>
      <c r="X1698" t="s">
        <v>28676</v>
      </c>
      <c r="Y1698" t="s">
        <v>28677</v>
      </c>
      <c r="Z1698" t="s">
        <v>74</v>
      </c>
      <c r="AA1698" t="s">
        <v>28678</v>
      </c>
      <c r="AB1698" t="s">
        <v>74</v>
      </c>
      <c r="AC1698" t="s">
        <v>74</v>
      </c>
      <c r="AD1698" t="s">
        <v>74</v>
      </c>
      <c r="AE1698" t="s">
        <v>74</v>
      </c>
      <c r="AF1698" t="s">
        <v>74</v>
      </c>
      <c r="AG1698">
        <v>21</v>
      </c>
      <c r="AH1698">
        <v>1</v>
      </c>
      <c r="AI1698">
        <v>1</v>
      </c>
      <c r="AJ1698">
        <v>7</v>
      </c>
      <c r="AK1698">
        <v>68</v>
      </c>
      <c r="AL1698" t="s">
        <v>9978</v>
      </c>
      <c r="AM1698" t="s">
        <v>6529</v>
      </c>
      <c r="AN1698" t="s">
        <v>9979</v>
      </c>
      <c r="AO1698" t="s">
        <v>9980</v>
      </c>
      <c r="AP1698" t="s">
        <v>74</v>
      </c>
      <c r="AQ1698" t="s">
        <v>74</v>
      </c>
      <c r="AR1698" t="s">
        <v>9981</v>
      </c>
      <c r="AS1698" t="s">
        <v>9982</v>
      </c>
      <c r="AT1698" t="s">
        <v>3517</v>
      </c>
      <c r="AU1698">
        <v>2022</v>
      </c>
      <c r="AV1698">
        <v>20</v>
      </c>
      <c r="AW1698">
        <v>1</v>
      </c>
      <c r="AX1698" t="s">
        <v>74</v>
      </c>
      <c r="AY1698" t="s">
        <v>74</v>
      </c>
      <c r="AZ1698" t="s">
        <v>74</v>
      </c>
      <c r="BA1698" t="s">
        <v>74</v>
      </c>
      <c r="BB1698" t="s">
        <v>74</v>
      </c>
      <c r="BC1698" t="s">
        <v>74</v>
      </c>
      <c r="BD1698" t="s">
        <v>74</v>
      </c>
      <c r="BE1698" t="s">
        <v>28679</v>
      </c>
      <c r="BF1698" t="str">
        <f>HYPERLINK("http://dx.doi.org/10.7195/ri14.v20i1.1811","http://dx.doi.org/10.7195/ri14.v20i1.1811")</f>
        <v>http://dx.doi.org/10.7195/ri14.v20i1.1811</v>
      </c>
      <c r="BG1698" t="s">
        <v>74</v>
      </c>
      <c r="BH1698" t="s">
        <v>74</v>
      </c>
      <c r="BI1698">
        <v>7</v>
      </c>
      <c r="BJ1698" t="s">
        <v>124</v>
      </c>
      <c r="BK1698" t="s">
        <v>125</v>
      </c>
      <c r="BL1698" t="s">
        <v>124</v>
      </c>
      <c r="BM1698" t="s">
        <v>28680</v>
      </c>
      <c r="BN1698" t="s">
        <v>74</v>
      </c>
      <c r="BO1698" t="s">
        <v>235</v>
      </c>
      <c r="BP1698" t="s">
        <v>74</v>
      </c>
      <c r="BQ1698" t="s">
        <v>74</v>
      </c>
      <c r="BR1698" t="s">
        <v>102</v>
      </c>
      <c r="BS1698" t="s">
        <v>28681</v>
      </c>
      <c r="BT1698" t="str">
        <f>HYPERLINK("https%3A%2F%2Fwww.webofscience.com%2Fwos%2Fwoscc%2Ffull-record%2FWOS:000751631000001","View Full Record in Web of Science")</f>
        <v>View Full Record in Web of Science</v>
      </c>
    </row>
    <row r="1699" spans="1:72" x14ac:dyDescent="0.35">
      <c r="A1699" t="s">
        <v>128</v>
      </c>
      <c r="B1699" t="s">
        <v>28682</v>
      </c>
      <c r="C1699" t="s">
        <v>74</v>
      </c>
      <c r="D1699" t="s">
        <v>74</v>
      </c>
      <c r="E1699" t="s">
        <v>702</v>
      </c>
      <c r="F1699" t="s">
        <v>28683</v>
      </c>
      <c r="G1699" t="s">
        <v>74</v>
      </c>
      <c r="H1699" t="s">
        <v>74</v>
      </c>
      <c r="I1699" t="s">
        <v>28684</v>
      </c>
      <c r="J1699" t="s">
        <v>3931</v>
      </c>
      <c r="K1699" t="s">
        <v>74</v>
      </c>
      <c r="L1699" t="s">
        <v>74</v>
      </c>
      <c r="M1699" t="s">
        <v>78</v>
      </c>
      <c r="N1699" t="s">
        <v>135</v>
      </c>
      <c r="O1699" t="s">
        <v>828</v>
      </c>
      <c r="P1699" t="s">
        <v>829</v>
      </c>
      <c r="Q1699" t="s">
        <v>830</v>
      </c>
      <c r="R1699" t="s">
        <v>831</v>
      </c>
      <c r="S1699" t="s">
        <v>74</v>
      </c>
      <c r="T1699" t="s">
        <v>28685</v>
      </c>
      <c r="U1699" t="s">
        <v>74</v>
      </c>
      <c r="V1699" t="s">
        <v>28686</v>
      </c>
      <c r="W1699" t="s">
        <v>28687</v>
      </c>
      <c r="X1699" t="s">
        <v>28688</v>
      </c>
      <c r="Y1699" t="s">
        <v>28689</v>
      </c>
      <c r="Z1699" t="s">
        <v>28690</v>
      </c>
      <c r="AA1699" t="s">
        <v>74</v>
      </c>
      <c r="AB1699" t="s">
        <v>28691</v>
      </c>
      <c r="AC1699" t="s">
        <v>74</v>
      </c>
      <c r="AD1699" t="s">
        <v>74</v>
      </c>
      <c r="AE1699" t="s">
        <v>74</v>
      </c>
      <c r="AF1699" t="s">
        <v>74</v>
      </c>
      <c r="AG1699">
        <v>120</v>
      </c>
      <c r="AH1699">
        <v>0</v>
      </c>
      <c r="AI1699">
        <v>0</v>
      </c>
      <c r="AJ1699">
        <v>0</v>
      </c>
      <c r="AK1699">
        <v>0</v>
      </c>
      <c r="AL1699" t="s">
        <v>718</v>
      </c>
      <c r="AM1699" t="s">
        <v>666</v>
      </c>
      <c r="AN1699" t="s">
        <v>719</v>
      </c>
      <c r="AO1699" t="s">
        <v>74</v>
      </c>
      <c r="AP1699" t="s">
        <v>74</v>
      </c>
      <c r="AQ1699" t="s">
        <v>892</v>
      </c>
      <c r="AR1699" t="s">
        <v>74</v>
      </c>
      <c r="AS1699" t="s">
        <v>74</v>
      </c>
      <c r="AT1699" t="s">
        <v>74</v>
      </c>
      <c r="AU1699">
        <v>2024</v>
      </c>
      <c r="AV1699" t="s">
        <v>74</v>
      </c>
      <c r="AW1699" t="s">
        <v>74</v>
      </c>
      <c r="AX1699" t="s">
        <v>74</v>
      </c>
      <c r="AY1699" t="s">
        <v>74</v>
      </c>
      <c r="AZ1699" t="s">
        <v>74</v>
      </c>
      <c r="BA1699" t="s">
        <v>74</v>
      </c>
      <c r="BB1699" t="s">
        <v>74</v>
      </c>
      <c r="BC1699" t="s">
        <v>74</v>
      </c>
      <c r="BD1699" t="s">
        <v>74</v>
      </c>
      <c r="BE1699" t="s">
        <v>28692</v>
      </c>
      <c r="BF1699" t="str">
        <f>HYPERLINK("http://dx.doi.org/10.1145/3613904.3642120","http://dx.doi.org/10.1145/3613904.3642120")</f>
        <v>http://dx.doi.org/10.1145/3613904.3642120</v>
      </c>
      <c r="BG1699" t="s">
        <v>74</v>
      </c>
      <c r="BH1699" t="s">
        <v>74</v>
      </c>
      <c r="BI1699">
        <v>20</v>
      </c>
      <c r="BJ1699" t="s">
        <v>894</v>
      </c>
      <c r="BK1699" t="s">
        <v>723</v>
      </c>
      <c r="BL1699" t="s">
        <v>210</v>
      </c>
      <c r="BM1699" t="s">
        <v>3944</v>
      </c>
      <c r="BN1699" t="s">
        <v>74</v>
      </c>
      <c r="BO1699" t="s">
        <v>23381</v>
      </c>
      <c r="BP1699" t="s">
        <v>74</v>
      </c>
      <c r="BQ1699" t="s">
        <v>74</v>
      </c>
      <c r="BR1699" t="s">
        <v>102</v>
      </c>
      <c r="BS1699" t="s">
        <v>28693</v>
      </c>
      <c r="BT1699" t="str">
        <f>HYPERLINK("https%3A%2F%2Fwww.webofscience.com%2Fwos%2Fwoscc%2Ffull-record%2FWOS:001255317904021","View Full Record in Web of Science")</f>
        <v>View Full Record in Web of Science</v>
      </c>
    </row>
    <row r="1700" spans="1:72" x14ac:dyDescent="0.35">
      <c r="A1700" t="s">
        <v>72</v>
      </c>
      <c r="B1700" t="s">
        <v>28694</v>
      </c>
      <c r="C1700" t="s">
        <v>74</v>
      </c>
      <c r="D1700" t="s">
        <v>74</v>
      </c>
      <c r="E1700" t="s">
        <v>74</v>
      </c>
      <c r="F1700" t="s">
        <v>28695</v>
      </c>
      <c r="G1700" t="s">
        <v>74</v>
      </c>
      <c r="H1700" t="s">
        <v>74</v>
      </c>
      <c r="I1700" t="s">
        <v>28696</v>
      </c>
      <c r="J1700" t="s">
        <v>26758</v>
      </c>
      <c r="K1700" t="s">
        <v>74</v>
      </c>
      <c r="L1700" t="s">
        <v>74</v>
      </c>
      <c r="M1700" t="s">
        <v>78</v>
      </c>
      <c r="N1700" t="s">
        <v>108</v>
      </c>
      <c r="O1700" t="s">
        <v>74</v>
      </c>
      <c r="P1700" t="s">
        <v>74</v>
      </c>
      <c r="Q1700" t="s">
        <v>74</v>
      </c>
      <c r="R1700" t="s">
        <v>74</v>
      </c>
      <c r="S1700" t="s">
        <v>74</v>
      </c>
      <c r="T1700" t="s">
        <v>28697</v>
      </c>
      <c r="U1700" t="s">
        <v>28698</v>
      </c>
      <c r="V1700" t="s">
        <v>28699</v>
      </c>
      <c r="W1700" t="s">
        <v>28700</v>
      </c>
      <c r="X1700" t="s">
        <v>28701</v>
      </c>
      <c r="Y1700" t="s">
        <v>28702</v>
      </c>
      <c r="Z1700" t="s">
        <v>28703</v>
      </c>
      <c r="AA1700" t="s">
        <v>28704</v>
      </c>
      <c r="AB1700" t="s">
        <v>28705</v>
      </c>
      <c r="AC1700" t="s">
        <v>74</v>
      </c>
      <c r="AD1700" t="s">
        <v>74</v>
      </c>
      <c r="AE1700" t="s">
        <v>74</v>
      </c>
      <c r="AF1700" t="s">
        <v>74</v>
      </c>
      <c r="AG1700">
        <v>102</v>
      </c>
      <c r="AH1700">
        <v>4</v>
      </c>
      <c r="AI1700">
        <v>4</v>
      </c>
      <c r="AJ1700">
        <v>66</v>
      </c>
      <c r="AK1700">
        <v>117</v>
      </c>
      <c r="AL1700" t="s">
        <v>88</v>
      </c>
      <c r="AM1700" t="s">
        <v>89</v>
      </c>
      <c r="AN1700" t="s">
        <v>90</v>
      </c>
      <c r="AO1700" t="s">
        <v>26768</v>
      </c>
      <c r="AP1700" t="s">
        <v>26769</v>
      </c>
      <c r="AQ1700" t="s">
        <v>74</v>
      </c>
      <c r="AR1700" t="s">
        <v>26770</v>
      </c>
      <c r="AS1700" t="s">
        <v>26771</v>
      </c>
      <c r="AT1700" t="s">
        <v>4320</v>
      </c>
      <c r="AU1700">
        <v>2023</v>
      </c>
      <c r="AV1700">
        <v>40</v>
      </c>
      <c r="AW1700">
        <v>9</v>
      </c>
      <c r="AX1700" t="s">
        <v>74</v>
      </c>
      <c r="AY1700" t="s">
        <v>74</v>
      </c>
      <c r="AZ1700" t="s">
        <v>74</v>
      </c>
      <c r="BA1700" t="s">
        <v>74</v>
      </c>
      <c r="BB1700">
        <v>894</v>
      </c>
      <c r="BC1700">
        <v>914</v>
      </c>
      <c r="BD1700" t="s">
        <v>74</v>
      </c>
      <c r="BE1700" t="s">
        <v>28706</v>
      </c>
      <c r="BF1700" t="str">
        <f>HYPERLINK("http://dx.doi.org/10.1080/10548408.2023.2296655","http://dx.doi.org/10.1080/10548408.2023.2296655")</f>
        <v>http://dx.doi.org/10.1080/10548408.2023.2296655</v>
      </c>
      <c r="BG1700" t="s">
        <v>74</v>
      </c>
      <c r="BH1700" t="s">
        <v>74</v>
      </c>
      <c r="BI1700">
        <v>21</v>
      </c>
      <c r="BJ1700" t="s">
        <v>574</v>
      </c>
      <c r="BK1700" t="s">
        <v>99</v>
      </c>
      <c r="BL1700" t="s">
        <v>100</v>
      </c>
      <c r="BM1700" t="s">
        <v>28707</v>
      </c>
      <c r="BN1700" t="s">
        <v>74</v>
      </c>
      <c r="BO1700" t="s">
        <v>74</v>
      </c>
      <c r="BP1700" t="s">
        <v>74</v>
      </c>
      <c r="BQ1700" t="s">
        <v>74</v>
      </c>
      <c r="BR1700" t="s">
        <v>102</v>
      </c>
      <c r="BS1700" t="s">
        <v>28708</v>
      </c>
      <c r="BT1700" t="str">
        <f>HYPERLINK("https%3A%2F%2Fwww.webofscience.com%2Fwos%2Fwoscc%2Ffull-record%2FWOS:001138337600001","View Full Record in Web of Science")</f>
        <v>View Full Record in Web of Science</v>
      </c>
    </row>
    <row r="1701" spans="1:72" x14ac:dyDescent="0.35">
      <c r="A1701" t="s">
        <v>72</v>
      </c>
      <c r="B1701" t="s">
        <v>28709</v>
      </c>
      <c r="C1701" t="s">
        <v>74</v>
      </c>
      <c r="D1701" t="s">
        <v>74</v>
      </c>
      <c r="E1701" t="s">
        <v>74</v>
      </c>
      <c r="F1701" t="s">
        <v>28710</v>
      </c>
      <c r="G1701" t="s">
        <v>74</v>
      </c>
      <c r="H1701" t="s">
        <v>74</v>
      </c>
      <c r="I1701" t="s">
        <v>28711</v>
      </c>
      <c r="J1701" t="s">
        <v>216</v>
      </c>
      <c r="K1701" t="s">
        <v>74</v>
      </c>
      <c r="L1701" t="s">
        <v>74</v>
      </c>
      <c r="M1701" t="s">
        <v>78</v>
      </c>
      <c r="N1701" t="s">
        <v>108</v>
      </c>
      <c r="O1701" t="s">
        <v>74</v>
      </c>
      <c r="P1701" t="s">
        <v>74</v>
      </c>
      <c r="Q1701" t="s">
        <v>74</v>
      </c>
      <c r="R1701" t="s">
        <v>74</v>
      </c>
      <c r="S1701" t="s">
        <v>74</v>
      </c>
      <c r="T1701" t="s">
        <v>28712</v>
      </c>
      <c r="U1701" t="s">
        <v>74</v>
      </c>
      <c r="V1701" t="s">
        <v>28713</v>
      </c>
      <c r="W1701" t="s">
        <v>28714</v>
      </c>
      <c r="X1701" t="s">
        <v>28715</v>
      </c>
      <c r="Y1701" t="s">
        <v>28716</v>
      </c>
      <c r="Z1701" t="s">
        <v>28717</v>
      </c>
      <c r="AA1701" t="s">
        <v>74</v>
      </c>
      <c r="AB1701" t="s">
        <v>74</v>
      </c>
      <c r="AC1701" t="s">
        <v>74</v>
      </c>
      <c r="AD1701" t="s">
        <v>74</v>
      </c>
      <c r="AE1701" t="s">
        <v>74</v>
      </c>
      <c r="AF1701" t="s">
        <v>74</v>
      </c>
      <c r="AG1701">
        <v>12</v>
      </c>
      <c r="AH1701">
        <v>20</v>
      </c>
      <c r="AI1701">
        <v>21</v>
      </c>
      <c r="AJ1701">
        <v>0</v>
      </c>
      <c r="AK1701">
        <v>37</v>
      </c>
      <c r="AL1701" t="s">
        <v>226</v>
      </c>
      <c r="AM1701" t="s">
        <v>227</v>
      </c>
      <c r="AN1701" t="s">
        <v>228</v>
      </c>
      <c r="AO1701" t="s">
        <v>229</v>
      </c>
      <c r="AP1701" t="s">
        <v>74</v>
      </c>
      <c r="AQ1701" t="s">
        <v>74</v>
      </c>
      <c r="AR1701" t="s">
        <v>230</v>
      </c>
      <c r="AS1701" t="s">
        <v>231</v>
      </c>
      <c r="AT1701" t="s">
        <v>273</v>
      </c>
      <c r="AU1701">
        <v>2020</v>
      </c>
      <c r="AV1701">
        <v>6</v>
      </c>
      <c r="AW1701">
        <v>3</v>
      </c>
      <c r="AX1701" t="s">
        <v>74</v>
      </c>
      <c r="AY1701" t="s">
        <v>74</v>
      </c>
      <c r="AZ1701" t="s">
        <v>74</v>
      </c>
      <c r="BA1701" t="s">
        <v>74</v>
      </c>
      <c r="BB1701" t="s">
        <v>74</v>
      </c>
      <c r="BC1701" t="s">
        <v>74</v>
      </c>
      <c r="BD1701">
        <v>2056305120948232</v>
      </c>
      <c r="BE1701" t="s">
        <v>28718</v>
      </c>
      <c r="BF1701" t="str">
        <f>HYPERLINK("http://dx.doi.org/10.1177/2056305120948232","http://dx.doi.org/10.1177/2056305120948232")</f>
        <v>http://dx.doi.org/10.1177/2056305120948232</v>
      </c>
      <c r="BG1701" t="s">
        <v>74</v>
      </c>
      <c r="BH1701" t="s">
        <v>74</v>
      </c>
      <c r="BI1701">
        <v>6</v>
      </c>
      <c r="BJ1701" t="s">
        <v>124</v>
      </c>
      <c r="BK1701" t="s">
        <v>99</v>
      </c>
      <c r="BL1701" t="s">
        <v>124</v>
      </c>
      <c r="BM1701" t="s">
        <v>28719</v>
      </c>
      <c r="BN1701">
        <v>34192034</v>
      </c>
      <c r="BO1701" t="s">
        <v>394</v>
      </c>
      <c r="BP1701" t="s">
        <v>74</v>
      </c>
      <c r="BQ1701" t="s">
        <v>74</v>
      </c>
      <c r="BR1701" t="s">
        <v>102</v>
      </c>
      <c r="BS1701" t="s">
        <v>28720</v>
      </c>
      <c r="BT1701" t="str">
        <f>HYPERLINK("https%3A%2F%2Fwww.webofscience.com%2Fwos%2Fwoscc%2Ffull-record%2FWOS:000557413700001","View Full Record in Web of Science")</f>
        <v>View Full Record in Web of Science</v>
      </c>
    </row>
    <row r="1702" spans="1:72" x14ac:dyDescent="0.35">
      <c r="A1702" t="s">
        <v>128</v>
      </c>
      <c r="B1702" t="s">
        <v>28721</v>
      </c>
      <c r="C1702" t="s">
        <v>74</v>
      </c>
      <c r="D1702" t="s">
        <v>74</v>
      </c>
      <c r="E1702" t="s">
        <v>1677</v>
      </c>
      <c r="F1702" t="s">
        <v>28722</v>
      </c>
      <c r="G1702" t="s">
        <v>74</v>
      </c>
      <c r="H1702" t="s">
        <v>74</v>
      </c>
      <c r="I1702" t="s">
        <v>28723</v>
      </c>
      <c r="J1702" t="s">
        <v>28724</v>
      </c>
      <c r="K1702" t="s">
        <v>28725</v>
      </c>
      <c r="L1702" t="s">
        <v>74</v>
      </c>
      <c r="M1702" t="s">
        <v>78</v>
      </c>
      <c r="N1702" t="s">
        <v>135</v>
      </c>
      <c r="O1702" t="s">
        <v>28726</v>
      </c>
      <c r="P1702" t="s">
        <v>28727</v>
      </c>
      <c r="Q1702" t="s">
        <v>28728</v>
      </c>
      <c r="R1702" t="s">
        <v>28729</v>
      </c>
      <c r="S1702" t="s">
        <v>74</v>
      </c>
      <c r="T1702" t="s">
        <v>28730</v>
      </c>
      <c r="U1702" t="s">
        <v>74</v>
      </c>
      <c r="V1702" t="s">
        <v>28731</v>
      </c>
      <c r="W1702" t="s">
        <v>28732</v>
      </c>
      <c r="X1702" t="s">
        <v>21123</v>
      </c>
      <c r="Y1702" t="s">
        <v>28733</v>
      </c>
      <c r="Z1702" t="s">
        <v>28734</v>
      </c>
      <c r="AA1702" t="s">
        <v>28735</v>
      </c>
      <c r="AB1702" t="s">
        <v>74</v>
      </c>
      <c r="AC1702" t="s">
        <v>28736</v>
      </c>
      <c r="AD1702" t="s">
        <v>28737</v>
      </c>
      <c r="AE1702" t="s">
        <v>28738</v>
      </c>
      <c r="AF1702" t="s">
        <v>74</v>
      </c>
      <c r="AG1702">
        <v>12</v>
      </c>
      <c r="AH1702">
        <v>7</v>
      </c>
      <c r="AI1702">
        <v>7</v>
      </c>
      <c r="AJ1702">
        <v>0</v>
      </c>
      <c r="AK1702">
        <v>13</v>
      </c>
      <c r="AL1702" t="s">
        <v>1677</v>
      </c>
      <c r="AM1702" t="s">
        <v>666</v>
      </c>
      <c r="AN1702" t="s">
        <v>1692</v>
      </c>
      <c r="AO1702" t="s">
        <v>28739</v>
      </c>
      <c r="AP1702" t="s">
        <v>74</v>
      </c>
      <c r="AQ1702" t="s">
        <v>28740</v>
      </c>
      <c r="AR1702" t="s">
        <v>28741</v>
      </c>
      <c r="AS1702" t="s">
        <v>74</v>
      </c>
      <c r="AT1702" t="s">
        <v>74</v>
      </c>
      <c r="AU1702">
        <v>2019</v>
      </c>
      <c r="AV1702" t="s">
        <v>74</v>
      </c>
      <c r="AW1702" t="s">
        <v>74</v>
      </c>
      <c r="AX1702" t="s">
        <v>74</v>
      </c>
      <c r="AY1702" t="s">
        <v>74</v>
      </c>
      <c r="AZ1702" t="s">
        <v>74</v>
      </c>
      <c r="BA1702" t="s">
        <v>74</v>
      </c>
      <c r="BB1702">
        <v>460</v>
      </c>
      <c r="BC1702">
        <v>465</v>
      </c>
      <c r="BD1702" t="s">
        <v>74</v>
      </c>
      <c r="BE1702" t="s">
        <v>28742</v>
      </c>
      <c r="BF1702" t="str">
        <f>HYPERLINK("http://dx.doi.org/10.1109/ICME.2019.00086","http://dx.doi.org/10.1109/ICME.2019.00086")</f>
        <v>http://dx.doi.org/10.1109/ICME.2019.00086</v>
      </c>
      <c r="BG1702" t="s">
        <v>74</v>
      </c>
      <c r="BH1702" t="s">
        <v>74</v>
      </c>
      <c r="BI1702">
        <v>6</v>
      </c>
      <c r="BJ1702" t="s">
        <v>28743</v>
      </c>
      <c r="BK1702" t="s">
        <v>723</v>
      </c>
      <c r="BL1702" t="s">
        <v>1113</v>
      </c>
      <c r="BM1702" t="s">
        <v>28744</v>
      </c>
      <c r="BN1702" t="s">
        <v>74</v>
      </c>
      <c r="BO1702" t="s">
        <v>74</v>
      </c>
      <c r="BP1702" t="s">
        <v>74</v>
      </c>
      <c r="BQ1702" t="s">
        <v>74</v>
      </c>
      <c r="BR1702" t="s">
        <v>102</v>
      </c>
      <c r="BS1702" t="s">
        <v>28745</v>
      </c>
      <c r="BT1702" t="str">
        <f>HYPERLINK("https%3A%2F%2Fwww.webofscience.com%2Fwos%2Fwoscc%2Ffull-record%2FWOS:000501820600078","View Full Record in Web of Science")</f>
        <v>View Full Record in Web of Science</v>
      </c>
    </row>
    <row r="1703" spans="1:72" x14ac:dyDescent="0.35">
      <c r="A1703" t="s">
        <v>72</v>
      </c>
      <c r="B1703" t="s">
        <v>28746</v>
      </c>
      <c r="C1703" t="s">
        <v>74</v>
      </c>
      <c r="D1703" t="s">
        <v>74</v>
      </c>
      <c r="E1703" t="s">
        <v>74</v>
      </c>
      <c r="F1703" t="s">
        <v>28747</v>
      </c>
      <c r="G1703" t="s">
        <v>74</v>
      </c>
      <c r="H1703" t="s">
        <v>74</v>
      </c>
      <c r="I1703" t="s">
        <v>28748</v>
      </c>
      <c r="J1703" t="s">
        <v>28749</v>
      </c>
      <c r="K1703" t="s">
        <v>74</v>
      </c>
      <c r="L1703" t="s">
        <v>74</v>
      </c>
      <c r="M1703" t="s">
        <v>78</v>
      </c>
      <c r="N1703" t="s">
        <v>79</v>
      </c>
      <c r="O1703" t="s">
        <v>74</v>
      </c>
      <c r="P1703" t="s">
        <v>74</v>
      </c>
      <c r="Q1703" t="s">
        <v>74</v>
      </c>
      <c r="R1703" t="s">
        <v>74</v>
      </c>
      <c r="S1703" t="s">
        <v>74</v>
      </c>
      <c r="T1703" t="s">
        <v>28750</v>
      </c>
      <c r="U1703" t="s">
        <v>28751</v>
      </c>
      <c r="V1703" t="s">
        <v>28752</v>
      </c>
      <c r="W1703" t="s">
        <v>28753</v>
      </c>
      <c r="X1703" t="s">
        <v>28754</v>
      </c>
      <c r="Y1703" t="s">
        <v>28755</v>
      </c>
      <c r="Z1703" t="s">
        <v>17334</v>
      </c>
      <c r="AA1703" t="s">
        <v>74</v>
      </c>
      <c r="AB1703" t="s">
        <v>74</v>
      </c>
      <c r="AC1703" t="s">
        <v>28756</v>
      </c>
      <c r="AD1703" t="s">
        <v>28757</v>
      </c>
      <c r="AE1703" t="s">
        <v>28758</v>
      </c>
      <c r="AF1703" t="s">
        <v>74</v>
      </c>
      <c r="AG1703">
        <v>83</v>
      </c>
      <c r="AH1703">
        <v>0</v>
      </c>
      <c r="AI1703">
        <v>0</v>
      </c>
      <c r="AJ1703">
        <v>0</v>
      </c>
      <c r="AK1703">
        <v>0</v>
      </c>
      <c r="AL1703" t="s">
        <v>88</v>
      </c>
      <c r="AM1703" t="s">
        <v>89</v>
      </c>
      <c r="AN1703" t="s">
        <v>90</v>
      </c>
      <c r="AO1703" t="s">
        <v>28759</v>
      </c>
      <c r="AP1703" t="s">
        <v>28760</v>
      </c>
      <c r="AQ1703" t="s">
        <v>74</v>
      </c>
      <c r="AR1703" t="s">
        <v>28761</v>
      </c>
      <c r="AS1703" t="s">
        <v>28762</v>
      </c>
      <c r="AT1703" t="s">
        <v>28763</v>
      </c>
      <c r="AU1703">
        <v>2024</v>
      </c>
      <c r="AV1703" t="s">
        <v>74</v>
      </c>
      <c r="AW1703" t="s">
        <v>74</v>
      </c>
      <c r="AX1703" t="s">
        <v>74</v>
      </c>
      <c r="AY1703" t="s">
        <v>74</v>
      </c>
      <c r="AZ1703" t="s">
        <v>74</v>
      </c>
      <c r="BA1703" t="s">
        <v>74</v>
      </c>
      <c r="BB1703" t="s">
        <v>74</v>
      </c>
      <c r="BC1703" t="s">
        <v>74</v>
      </c>
      <c r="BD1703" t="s">
        <v>74</v>
      </c>
      <c r="BE1703" t="s">
        <v>28764</v>
      </c>
      <c r="BF1703" t="str">
        <f>HYPERLINK("http://dx.doi.org/10.1080/10941665.2024.2425606","http://dx.doi.org/10.1080/10941665.2024.2425606")</f>
        <v>http://dx.doi.org/10.1080/10941665.2024.2425606</v>
      </c>
      <c r="BG1703" t="s">
        <v>74</v>
      </c>
      <c r="BH1703" t="s">
        <v>4092</v>
      </c>
      <c r="BI1703">
        <v>18</v>
      </c>
      <c r="BJ1703" t="s">
        <v>574</v>
      </c>
      <c r="BK1703" t="s">
        <v>99</v>
      </c>
      <c r="BL1703" t="s">
        <v>100</v>
      </c>
      <c r="BM1703" t="s">
        <v>28765</v>
      </c>
      <c r="BN1703" t="s">
        <v>74</v>
      </c>
      <c r="BO1703" t="s">
        <v>74</v>
      </c>
      <c r="BP1703" t="s">
        <v>74</v>
      </c>
      <c r="BQ1703" t="s">
        <v>74</v>
      </c>
      <c r="BR1703" t="s">
        <v>102</v>
      </c>
      <c r="BS1703" t="s">
        <v>28766</v>
      </c>
      <c r="BT1703" t="str">
        <f>HYPERLINK("https%3A%2F%2Fwww.webofscience.com%2Fwos%2Fwoscc%2Ffull-record%2FWOS:001356455100001","View Full Record in Web of Science")</f>
        <v>View Full Record in Web of Science</v>
      </c>
    </row>
    <row r="1704" spans="1:72" x14ac:dyDescent="0.35">
      <c r="A1704" t="s">
        <v>72</v>
      </c>
      <c r="B1704" t="s">
        <v>28767</v>
      </c>
      <c r="C1704" t="s">
        <v>74</v>
      </c>
      <c r="D1704" t="s">
        <v>74</v>
      </c>
      <c r="E1704" t="s">
        <v>74</v>
      </c>
      <c r="F1704" t="s">
        <v>28768</v>
      </c>
      <c r="G1704" t="s">
        <v>74</v>
      </c>
      <c r="H1704" t="s">
        <v>74</v>
      </c>
      <c r="I1704" t="s">
        <v>28769</v>
      </c>
      <c r="J1704" t="s">
        <v>23434</v>
      </c>
      <c r="K1704" t="s">
        <v>74</v>
      </c>
      <c r="L1704" t="s">
        <v>74</v>
      </c>
      <c r="M1704" t="s">
        <v>7332</v>
      </c>
      <c r="N1704" t="s">
        <v>108</v>
      </c>
      <c r="O1704" t="s">
        <v>74</v>
      </c>
      <c r="P1704" t="s">
        <v>74</v>
      </c>
      <c r="Q1704" t="s">
        <v>74</v>
      </c>
      <c r="R1704" t="s">
        <v>74</v>
      </c>
      <c r="S1704" t="s">
        <v>74</v>
      </c>
      <c r="T1704" t="s">
        <v>28770</v>
      </c>
      <c r="U1704" t="s">
        <v>74</v>
      </c>
      <c r="V1704" t="s">
        <v>28771</v>
      </c>
      <c r="W1704" t="s">
        <v>28772</v>
      </c>
      <c r="X1704" t="s">
        <v>74</v>
      </c>
      <c r="Y1704" t="s">
        <v>28773</v>
      </c>
      <c r="Z1704" t="s">
        <v>28774</v>
      </c>
      <c r="AA1704" t="s">
        <v>74</v>
      </c>
      <c r="AB1704" t="s">
        <v>74</v>
      </c>
      <c r="AC1704" t="s">
        <v>74</v>
      </c>
      <c r="AD1704" t="s">
        <v>74</v>
      </c>
      <c r="AE1704" t="s">
        <v>74</v>
      </c>
      <c r="AF1704" t="s">
        <v>74</v>
      </c>
      <c r="AG1704">
        <v>19</v>
      </c>
      <c r="AH1704">
        <v>0</v>
      </c>
      <c r="AI1704">
        <v>0</v>
      </c>
      <c r="AJ1704">
        <v>0</v>
      </c>
      <c r="AK1704">
        <v>1</v>
      </c>
      <c r="AL1704" t="s">
        <v>23440</v>
      </c>
      <c r="AM1704" t="s">
        <v>23441</v>
      </c>
      <c r="AN1704" t="s">
        <v>23442</v>
      </c>
      <c r="AO1704" t="s">
        <v>23443</v>
      </c>
      <c r="AP1704" t="s">
        <v>74</v>
      </c>
      <c r="AQ1704" t="s">
        <v>74</v>
      </c>
      <c r="AR1704" t="s">
        <v>23444</v>
      </c>
      <c r="AS1704" t="s">
        <v>23445</v>
      </c>
      <c r="AT1704" t="s">
        <v>273</v>
      </c>
      <c r="AU1704">
        <v>2023</v>
      </c>
      <c r="AV1704">
        <v>10</v>
      </c>
      <c r="AW1704">
        <v>14</v>
      </c>
      <c r="AX1704" t="s">
        <v>74</v>
      </c>
      <c r="AY1704" t="s">
        <v>74</v>
      </c>
      <c r="AZ1704" t="s">
        <v>74</v>
      </c>
      <c r="BA1704" t="s">
        <v>74</v>
      </c>
      <c r="BB1704">
        <v>356</v>
      </c>
      <c r="BC1704">
        <v>363</v>
      </c>
      <c r="BD1704" t="s">
        <v>74</v>
      </c>
      <c r="BE1704" t="s">
        <v>74</v>
      </c>
      <c r="BF1704" t="s">
        <v>74</v>
      </c>
      <c r="BG1704" t="s">
        <v>74</v>
      </c>
      <c r="BH1704" t="s">
        <v>74</v>
      </c>
      <c r="BI1704">
        <v>8</v>
      </c>
      <c r="BJ1704" t="s">
        <v>4461</v>
      </c>
      <c r="BK1704" t="s">
        <v>125</v>
      </c>
      <c r="BL1704" t="s">
        <v>4462</v>
      </c>
      <c r="BM1704" t="s">
        <v>28775</v>
      </c>
      <c r="BN1704" t="s">
        <v>74</v>
      </c>
      <c r="BO1704" t="s">
        <v>74</v>
      </c>
      <c r="BP1704" t="s">
        <v>74</v>
      </c>
      <c r="BQ1704" t="s">
        <v>74</v>
      </c>
      <c r="BR1704" t="s">
        <v>102</v>
      </c>
      <c r="BS1704" t="s">
        <v>28776</v>
      </c>
      <c r="BT1704" t="str">
        <f>HYPERLINK("https%3A%2F%2Fwww.webofscience.com%2Fwos%2Fwoscc%2Ffull-record%2FWOS:001186397400027","View Full Record in Web of Science")</f>
        <v>View Full Record in Web of Science</v>
      </c>
    </row>
    <row r="1705" spans="1:72" x14ac:dyDescent="0.35">
      <c r="A1705" t="s">
        <v>128</v>
      </c>
      <c r="B1705" t="s">
        <v>28777</v>
      </c>
      <c r="C1705" t="s">
        <v>74</v>
      </c>
      <c r="D1705" t="s">
        <v>74</v>
      </c>
      <c r="E1705" t="s">
        <v>702</v>
      </c>
      <c r="F1705" t="s">
        <v>28778</v>
      </c>
      <c r="G1705" t="s">
        <v>74</v>
      </c>
      <c r="H1705" t="s">
        <v>74</v>
      </c>
      <c r="I1705" t="s">
        <v>28779</v>
      </c>
      <c r="J1705" t="s">
        <v>28780</v>
      </c>
      <c r="K1705" t="s">
        <v>74</v>
      </c>
      <c r="L1705" t="s">
        <v>74</v>
      </c>
      <c r="M1705" t="s">
        <v>78</v>
      </c>
      <c r="N1705" t="s">
        <v>135</v>
      </c>
      <c r="O1705" t="s">
        <v>28781</v>
      </c>
      <c r="P1705" t="s">
        <v>28782</v>
      </c>
      <c r="Q1705" t="s">
        <v>28783</v>
      </c>
      <c r="R1705" t="s">
        <v>28784</v>
      </c>
      <c r="S1705" t="s">
        <v>74</v>
      </c>
      <c r="T1705" t="s">
        <v>28785</v>
      </c>
      <c r="U1705" t="s">
        <v>74</v>
      </c>
      <c r="V1705" t="s">
        <v>28786</v>
      </c>
      <c r="W1705" t="s">
        <v>28787</v>
      </c>
      <c r="X1705" t="s">
        <v>28788</v>
      </c>
      <c r="Y1705" t="s">
        <v>28789</v>
      </c>
      <c r="Z1705" t="s">
        <v>28790</v>
      </c>
      <c r="AA1705" t="s">
        <v>74</v>
      </c>
      <c r="AB1705" t="s">
        <v>28791</v>
      </c>
      <c r="AC1705" t="s">
        <v>28792</v>
      </c>
      <c r="AD1705" t="s">
        <v>28793</v>
      </c>
      <c r="AE1705" t="s">
        <v>28794</v>
      </c>
      <c r="AF1705" t="s">
        <v>74</v>
      </c>
      <c r="AG1705">
        <v>33</v>
      </c>
      <c r="AH1705">
        <v>30</v>
      </c>
      <c r="AI1705">
        <v>31</v>
      </c>
      <c r="AJ1705">
        <v>0</v>
      </c>
      <c r="AK1705">
        <v>24</v>
      </c>
      <c r="AL1705" t="s">
        <v>718</v>
      </c>
      <c r="AM1705" t="s">
        <v>666</v>
      </c>
      <c r="AN1705" t="s">
        <v>719</v>
      </c>
      <c r="AO1705" t="s">
        <v>74</v>
      </c>
      <c r="AP1705" t="s">
        <v>74</v>
      </c>
      <c r="AQ1705" t="s">
        <v>28795</v>
      </c>
      <c r="AR1705" t="s">
        <v>74</v>
      </c>
      <c r="AS1705" t="s">
        <v>74</v>
      </c>
      <c r="AT1705" t="s">
        <v>74</v>
      </c>
      <c r="AU1705">
        <v>2019</v>
      </c>
      <c r="AV1705" t="s">
        <v>74</v>
      </c>
      <c r="AW1705" t="s">
        <v>74</v>
      </c>
      <c r="AX1705" t="s">
        <v>74</v>
      </c>
      <c r="AY1705" t="s">
        <v>74</v>
      </c>
      <c r="AZ1705" t="s">
        <v>74</v>
      </c>
      <c r="BA1705" t="s">
        <v>74</v>
      </c>
      <c r="BB1705">
        <v>394</v>
      </c>
      <c r="BC1705">
        <v>406</v>
      </c>
      <c r="BD1705" t="s">
        <v>74</v>
      </c>
      <c r="BE1705" t="s">
        <v>28796</v>
      </c>
      <c r="BF1705" t="str">
        <f>HYPERLINK("http://dx.doi.org/10.1145/3311927.3323133","http://dx.doi.org/10.1145/3311927.3323133")</f>
        <v>http://dx.doi.org/10.1145/3311927.3323133</v>
      </c>
      <c r="BG1705" t="s">
        <v>74</v>
      </c>
      <c r="BH1705" t="s">
        <v>74</v>
      </c>
      <c r="BI1705">
        <v>13</v>
      </c>
      <c r="BJ1705" t="s">
        <v>28797</v>
      </c>
      <c r="BK1705" t="s">
        <v>723</v>
      </c>
      <c r="BL1705" t="s">
        <v>2643</v>
      </c>
      <c r="BM1705" t="s">
        <v>28798</v>
      </c>
      <c r="BN1705" t="s">
        <v>74</v>
      </c>
      <c r="BO1705" t="s">
        <v>767</v>
      </c>
      <c r="BP1705" t="s">
        <v>74</v>
      </c>
      <c r="BQ1705" t="s">
        <v>74</v>
      </c>
      <c r="BR1705" t="s">
        <v>102</v>
      </c>
      <c r="BS1705" t="s">
        <v>28799</v>
      </c>
      <c r="BT1705" t="str">
        <f>HYPERLINK("https%3A%2F%2Fwww.webofscience.com%2Fwos%2Fwoscc%2Ffull-record%2FWOS:000559055100042","View Full Record in Web of Science")</f>
        <v>View Full Record in Web of Science</v>
      </c>
    </row>
    <row r="1706" spans="1:72" x14ac:dyDescent="0.35">
      <c r="A1706" t="s">
        <v>128</v>
      </c>
      <c r="B1706" t="s">
        <v>28800</v>
      </c>
      <c r="C1706" t="s">
        <v>74</v>
      </c>
      <c r="D1706" t="s">
        <v>74</v>
      </c>
      <c r="E1706" t="s">
        <v>28801</v>
      </c>
      <c r="F1706" t="s">
        <v>28802</v>
      </c>
      <c r="G1706" t="s">
        <v>74</v>
      </c>
      <c r="H1706" t="s">
        <v>74</v>
      </c>
      <c r="I1706" t="s">
        <v>28803</v>
      </c>
      <c r="J1706" t="s">
        <v>28804</v>
      </c>
      <c r="K1706" t="s">
        <v>28805</v>
      </c>
      <c r="L1706" t="s">
        <v>74</v>
      </c>
      <c r="M1706" t="s">
        <v>78</v>
      </c>
      <c r="N1706" t="s">
        <v>135</v>
      </c>
      <c r="O1706" t="s">
        <v>28806</v>
      </c>
      <c r="P1706" t="s">
        <v>28807</v>
      </c>
      <c r="Q1706" t="s">
        <v>138</v>
      </c>
      <c r="R1706" t="s">
        <v>28801</v>
      </c>
      <c r="S1706" t="s">
        <v>74</v>
      </c>
      <c r="T1706" t="s">
        <v>74</v>
      </c>
      <c r="U1706" t="s">
        <v>74</v>
      </c>
      <c r="V1706" t="s">
        <v>28808</v>
      </c>
      <c r="W1706" t="s">
        <v>28809</v>
      </c>
      <c r="X1706" t="s">
        <v>28810</v>
      </c>
      <c r="Y1706" t="s">
        <v>28811</v>
      </c>
      <c r="Z1706" t="s">
        <v>28812</v>
      </c>
      <c r="AA1706" t="s">
        <v>28813</v>
      </c>
      <c r="AB1706" t="s">
        <v>74</v>
      </c>
      <c r="AC1706" t="s">
        <v>28814</v>
      </c>
      <c r="AD1706" t="s">
        <v>28815</v>
      </c>
      <c r="AE1706" t="s">
        <v>28816</v>
      </c>
      <c r="AF1706" t="s">
        <v>74</v>
      </c>
      <c r="AG1706">
        <v>30</v>
      </c>
      <c r="AH1706">
        <v>4</v>
      </c>
      <c r="AI1706">
        <v>4</v>
      </c>
      <c r="AJ1706">
        <v>0</v>
      </c>
      <c r="AK1706">
        <v>1</v>
      </c>
      <c r="AL1706" t="s">
        <v>28817</v>
      </c>
      <c r="AM1706" t="s">
        <v>28818</v>
      </c>
      <c r="AN1706" t="s">
        <v>28819</v>
      </c>
      <c r="AO1706" t="s">
        <v>28820</v>
      </c>
      <c r="AP1706" t="s">
        <v>28821</v>
      </c>
      <c r="AQ1706" t="s">
        <v>28822</v>
      </c>
      <c r="AR1706" t="s">
        <v>28823</v>
      </c>
      <c r="AS1706" t="s">
        <v>74</v>
      </c>
      <c r="AT1706" t="s">
        <v>74</v>
      </c>
      <c r="AU1706">
        <v>2022</v>
      </c>
      <c r="AV1706" t="s">
        <v>74</v>
      </c>
      <c r="AW1706" t="s">
        <v>74</v>
      </c>
      <c r="AX1706" t="s">
        <v>74</v>
      </c>
      <c r="AY1706" t="s">
        <v>74</v>
      </c>
      <c r="AZ1706" t="s">
        <v>74</v>
      </c>
      <c r="BA1706" t="s">
        <v>74</v>
      </c>
      <c r="BB1706">
        <v>2875</v>
      </c>
      <c r="BC1706">
        <v>2883</v>
      </c>
      <c r="BD1706" t="s">
        <v>74</v>
      </c>
      <c r="BE1706" t="s">
        <v>74</v>
      </c>
      <c r="BF1706" t="s">
        <v>74</v>
      </c>
      <c r="BG1706" t="s">
        <v>74</v>
      </c>
      <c r="BH1706" t="s">
        <v>74</v>
      </c>
      <c r="BI1706">
        <v>9</v>
      </c>
      <c r="BJ1706" t="s">
        <v>4250</v>
      </c>
      <c r="BK1706" t="s">
        <v>723</v>
      </c>
      <c r="BL1706" t="s">
        <v>210</v>
      </c>
      <c r="BM1706" t="s">
        <v>28824</v>
      </c>
      <c r="BN1706" t="s">
        <v>74</v>
      </c>
      <c r="BO1706" t="s">
        <v>74</v>
      </c>
      <c r="BP1706" t="s">
        <v>74</v>
      </c>
      <c r="BQ1706" t="s">
        <v>74</v>
      </c>
      <c r="BR1706" t="s">
        <v>102</v>
      </c>
      <c r="BS1706" t="s">
        <v>28825</v>
      </c>
      <c r="BT1706" t="str">
        <f>HYPERLINK("https%3A%2F%2Fwww.webofscience.com%2Fwos%2Fwoscc%2Ffull-record%2FWOS:000893636202105","View Full Record in Web of Science")</f>
        <v>View Full Record in Web of Science</v>
      </c>
    </row>
    <row r="1707" spans="1:72" x14ac:dyDescent="0.35">
      <c r="A1707" t="s">
        <v>72</v>
      </c>
      <c r="B1707" t="s">
        <v>28826</v>
      </c>
      <c r="C1707" t="s">
        <v>74</v>
      </c>
      <c r="D1707" t="s">
        <v>74</v>
      </c>
      <c r="E1707" t="s">
        <v>74</v>
      </c>
      <c r="F1707" t="s">
        <v>28827</v>
      </c>
      <c r="G1707" t="s">
        <v>74</v>
      </c>
      <c r="H1707" t="s">
        <v>74</v>
      </c>
      <c r="I1707" t="s">
        <v>28828</v>
      </c>
      <c r="J1707" t="s">
        <v>3687</v>
      </c>
      <c r="K1707" t="s">
        <v>74</v>
      </c>
      <c r="L1707" t="s">
        <v>74</v>
      </c>
      <c r="M1707" t="s">
        <v>78</v>
      </c>
      <c r="N1707" t="s">
        <v>108</v>
      </c>
      <c r="O1707" t="s">
        <v>74</v>
      </c>
      <c r="P1707" t="s">
        <v>74</v>
      </c>
      <c r="Q1707" t="s">
        <v>74</v>
      </c>
      <c r="R1707" t="s">
        <v>74</v>
      </c>
      <c r="S1707" t="s">
        <v>74</v>
      </c>
      <c r="T1707" t="s">
        <v>74</v>
      </c>
      <c r="U1707" t="s">
        <v>28829</v>
      </c>
      <c r="V1707" t="s">
        <v>28830</v>
      </c>
      <c r="W1707" t="s">
        <v>28831</v>
      </c>
      <c r="X1707" t="s">
        <v>28832</v>
      </c>
      <c r="Y1707" t="s">
        <v>28833</v>
      </c>
      <c r="Z1707" t="s">
        <v>28834</v>
      </c>
      <c r="AA1707" t="s">
        <v>18227</v>
      </c>
      <c r="AB1707" t="s">
        <v>28835</v>
      </c>
      <c r="AC1707" t="s">
        <v>28836</v>
      </c>
      <c r="AD1707" t="s">
        <v>28837</v>
      </c>
      <c r="AE1707" t="s">
        <v>28838</v>
      </c>
      <c r="AF1707" t="s">
        <v>74</v>
      </c>
      <c r="AG1707">
        <v>38</v>
      </c>
      <c r="AH1707">
        <v>17</v>
      </c>
      <c r="AI1707">
        <v>18</v>
      </c>
      <c r="AJ1707">
        <v>1</v>
      </c>
      <c r="AK1707">
        <v>16</v>
      </c>
      <c r="AL1707" t="s">
        <v>88</v>
      </c>
      <c r="AM1707" t="s">
        <v>89</v>
      </c>
      <c r="AN1707" t="s">
        <v>90</v>
      </c>
      <c r="AO1707" t="s">
        <v>3695</v>
      </c>
      <c r="AP1707" t="s">
        <v>3696</v>
      </c>
      <c r="AQ1707" t="s">
        <v>74</v>
      </c>
      <c r="AR1707" t="s">
        <v>3697</v>
      </c>
      <c r="AS1707" t="s">
        <v>3698</v>
      </c>
      <c r="AT1707" t="s">
        <v>28839</v>
      </c>
      <c r="AU1707">
        <v>2023</v>
      </c>
      <c r="AV1707">
        <v>38</v>
      </c>
      <c r="AW1707">
        <v>11</v>
      </c>
      <c r="AX1707" t="s">
        <v>74</v>
      </c>
      <c r="AY1707" t="s">
        <v>74</v>
      </c>
      <c r="AZ1707" t="s">
        <v>74</v>
      </c>
      <c r="BA1707" t="s">
        <v>74</v>
      </c>
      <c r="BB1707">
        <v>2441</v>
      </c>
      <c r="BC1707">
        <v>2449</v>
      </c>
      <c r="BD1707" t="s">
        <v>74</v>
      </c>
      <c r="BE1707" t="s">
        <v>28840</v>
      </c>
      <c r="BF1707" t="str">
        <f>HYPERLINK("http://dx.doi.org/10.1080/10410236.2022.2074780","http://dx.doi.org/10.1080/10410236.2022.2074780")</f>
        <v>http://dx.doi.org/10.1080/10410236.2022.2074780</v>
      </c>
      <c r="BG1707" t="s">
        <v>74</v>
      </c>
      <c r="BH1707" t="s">
        <v>9082</v>
      </c>
      <c r="BI1707">
        <v>9</v>
      </c>
      <c r="BJ1707" t="s">
        <v>3701</v>
      </c>
      <c r="BK1707" t="s">
        <v>99</v>
      </c>
      <c r="BL1707" t="s">
        <v>3702</v>
      </c>
      <c r="BM1707" t="s">
        <v>28841</v>
      </c>
      <c r="BN1707">
        <v>35582752</v>
      </c>
      <c r="BO1707" t="s">
        <v>74</v>
      </c>
      <c r="BP1707" t="s">
        <v>74</v>
      </c>
      <c r="BQ1707" t="s">
        <v>74</v>
      </c>
      <c r="BR1707" t="s">
        <v>102</v>
      </c>
      <c r="BS1707" t="s">
        <v>28842</v>
      </c>
      <c r="BT1707" t="str">
        <f>HYPERLINK("https%3A%2F%2Fwww.webofscience.com%2Fwos%2Fwoscc%2Ffull-record%2FWOS:000797374600001","View Full Record in Web of Science")</f>
        <v>View Full Record in Web of Science</v>
      </c>
    </row>
    <row r="1708" spans="1:72" x14ac:dyDescent="0.35">
      <c r="A1708" t="s">
        <v>72</v>
      </c>
      <c r="B1708" t="s">
        <v>28843</v>
      </c>
      <c r="C1708" t="s">
        <v>74</v>
      </c>
      <c r="D1708" t="s">
        <v>74</v>
      </c>
      <c r="E1708" t="s">
        <v>74</v>
      </c>
      <c r="F1708" t="s">
        <v>28844</v>
      </c>
      <c r="G1708" t="s">
        <v>74</v>
      </c>
      <c r="H1708" t="s">
        <v>74</v>
      </c>
      <c r="I1708" t="s">
        <v>28845</v>
      </c>
      <c r="J1708" t="s">
        <v>28846</v>
      </c>
      <c r="K1708" t="s">
        <v>74</v>
      </c>
      <c r="L1708" t="s">
        <v>74</v>
      </c>
      <c r="M1708" t="s">
        <v>78</v>
      </c>
      <c r="N1708" t="s">
        <v>5592</v>
      </c>
      <c r="O1708" t="s">
        <v>28847</v>
      </c>
      <c r="P1708" t="s">
        <v>28848</v>
      </c>
      <c r="Q1708" t="s">
        <v>28849</v>
      </c>
      <c r="R1708" t="s">
        <v>74</v>
      </c>
      <c r="S1708" t="s">
        <v>74</v>
      </c>
      <c r="T1708" t="s">
        <v>74</v>
      </c>
      <c r="U1708" t="s">
        <v>74</v>
      </c>
      <c r="V1708" t="s">
        <v>28850</v>
      </c>
      <c r="W1708" t="s">
        <v>28851</v>
      </c>
      <c r="X1708" t="s">
        <v>3998</v>
      </c>
      <c r="Y1708" t="s">
        <v>28852</v>
      </c>
      <c r="Z1708" t="s">
        <v>28853</v>
      </c>
      <c r="AA1708" t="s">
        <v>28854</v>
      </c>
      <c r="AB1708" t="s">
        <v>74</v>
      </c>
      <c r="AC1708" t="s">
        <v>74</v>
      </c>
      <c r="AD1708" t="s">
        <v>74</v>
      </c>
      <c r="AE1708" t="s">
        <v>74</v>
      </c>
      <c r="AF1708" t="s">
        <v>74</v>
      </c>
      <c r="AG1708">
        <v>33</v>
      </c>
      <c r="AH1708">
        <v>2</v>
      </c>
      <c r="AI1708">
        <v>2</v>
      </c>
      <c r="AJ1708">
        <v>1</v>
      </c>
      <c r="AK1708">
        <v>17</v>
      </c>
      <c r="AL1708" t="s">
        <v>718</v>
      </c>
      <c r="AM1708" t="s">
        <v>666</v>
      </c>
      <c r="AN1708" t="s">
        <v>18480</v>
      </c>
      <c r="AO1708" t="s">
        <v>28855</v>
      </c>
      <c r="AP1708" t="s">
        <v>74</v>
      </c>
      <c r="AQ1708" t="s">
        <v>74</v>
      </c>
      <c r="AR1708" t="s">
        <v>28856</v>
      </c>
      <c r="AS1708" t="s">
        <v>28857</v>
      </c>
      <c r="AT1708" t="s">
        <v>297</v>
      </c>
      <c r="AU1708">
        <v>2022</v>
      </c>
      <c r="AV1708">
        <v>15</v>
      </c>
      <c r="AW1708">
        <v>12</v>
      </c>
      <c r="AX1708" t="s">
        <v>74</v>
      </c>
      <c r="AY1708" t="s">
        <v>74</v>
      </c>
      <c r="AZ1708" t="s">
        <v>74</v>
      </c>
      <c r="BA1708" t="s">
        <v>74</v>
      </c>
      <c r="BB1708">
        <v>3306</v>
      </c>
      <c r="BC1708">
        <v>3318</v>
      </c>
      <c r="BD1708" t="s">
        <v>74</v>
      </c>
      <c r="BE1708" t="s">
        <v>28858</v>
      </c>
      <c r="BF1708" t="str">
        <f>HYPERLINK("http://dx.doi.org/10.14778/3554821.3554824","http://dx.doi.org/10.14778/3554821.3554824")</f>
        <v>http://dx.doi.org/10.14778/3554821.3554824</v>
      </c>
      <c r="BG1708" t="s">
        <v>74</v>
      </c>
      <c r="BH1708" t="s">
        <v>74</v>
      </c>
      <c r="BI1708">
        <v>13</v>
      </c>
      <c r="BJ1708" t="s">
        <v>5399</v>
      </c>
      <c r="BK1708" t="s">
        <v>2257</v>
      </c>
      <c r="BL1708" t="s">
        <v>210</v>
      </c>
      <c r="BM1708" t="s">
        <v>28859</v>
      </c>
      <c r="BN1708" t="s">
        <v>74</v>
      </c>
      <c r="BO1708" t="s">
        <v>74</v>
      </c>
      <c r="BP1708" t="s">
        <v>74</v>
      </c>
      <c r="BQ1708" t="s">
        <v>74</v>
      </c>
      <c r="BR1708" t="s">
        <v>102</v>
      </c>
      <c r="BS1708" t="s">
        <v>28860</v>
      </c>
      <c r="BT1708" t="str">
        <f>HYPERLINK("https%3A%2F%2Fwww.webofscience.com%2Fwos%2Fwoscc%2Ffull-record%2FWOS:000992393000004","View Full Record in Web of Science")</f>
        <v>View Full Record in Web of Science</v>
      </c>
    </row>
    <row r="1709" spans="1:72" x14ac:dyDescent="0.35">
      <c r="A1709" t="s">
        <v>72</v>
      </c>
      <c r="B1709" t="s">
        <v>28861</v>
      </c>
      <c r="C1709" t="s">
        <v>74</v>
      </c>
      <c r="D1709" t="s">
        <v>74</v>
      </c>
      <c r="E1709" t="s">
        <v>74</v>
      </c>
      <c r="F1709" t="s">
        <v>28862</v>
      </c>
      <c r="G1709" t="s">
        <v>74</v>
      </c>
      <c r="H1709" t="s">
        <v>74</v>
      </c>
      <c r="I1709" t="s">
        <v>28863</v>
      </c>
      <c r="J1709" t="s">
        <v>6200</v>
      </c>
      <c r="K1709" t="s">
        <v>74</v>
      </c>
      <c r="L1709" t="s">
        <v>74</v>
      </c>
      <c r="M1709" t="s">
        <v>78</v>
      </c>
      <c r="N1709" t="s">
        <v>108</v>
      </c>
      <c r="O1709" t="s">
        <v>74</v>
      </c>
      <c r="P1709" t="s">
        <v>74</v>
      </c>
      <c r="Q1709" t="s">
        <v>74</v>
      </c>
      <c r="R1709" t="s">
        <v>74</v>
      </c>
      <c r="S1709" t="s">
        <v>74</v>
      </c>
      <c r="T1709" t="s">
        <v>28864</v>
      </c>
      <c r="U1709" t="s">
        <v>74</v>
      </c>
      <c r="V1709" t="s">
        <v>28865</v>
      </c>
      <c r="W1709" t="s">
        <v>28866</v>
      </c>
      <c r="X1709" t="s">
        <v>3095</v>
      </c>
      <c r="Y1709" t="s">
        <v>28867</v>
      </c>
      <c r="Z1709" t="s">
        <v>28868</v>
      </c>
      <c r="AA1709" t="s">
        <v>74</v>
      </c>
      <c r="AB1709" t="s">
        <v>74</v>
      </c>
      <c r="AC1709" t="s">
        <v>74</v>
      </c>
      <c r="AD1709" t="s">
        <v>74</v>
      </c>
      <c r="AE1709" t="s">
        <v>74</v>
      </c>
      <c r="AF1709" t="s">
        <v>74</v>
      </c>
      <c r="AG1709">
        <v>20</v>
      </c>
      <c r="AH1709">
        <v>0</v>
      </c>
      <c r="AI1709">
        <v>0</v>
      </c>
      <c r="AJ1709">
        <v>2</v>
      </c>
      <c r="AK1709">
        <v>6</v>
      </c>
      <c r="AL1709" t="s">
        <v>6210</v>
      </c>
      <c r="AM1709" t="s">
        <v>6211</v>
      </c>
      <c r="AN1709" t="s">
        <v>6212</v>
      </c>
      <c r="AO1709" t="s">
        <v>6213</v>
      </c>
      <c r="AP1709" t="s">
        <v>6214</v>
      </c>
      <c r="AQ1709" t="s">
        <v>74</v>
      </c>
      <c r="AR1709" t="s">
        <v>6200</v>
      </c>
      <c r="AS1709" t="s">
        <v>6215</v>
      </c>
      <c r="AT1709" t="s">
        <v>594</v>
      </c>
      <c r="AU1709">
        <v>2023</v>
      </c>
      <c r="AV1709">
        <v>26</v>
      </c>
      <c r="AW1709">
        <v>4</v>
      </c>
      <c r="AX1709" t="s">
        <v>74</v>
      </c>
      <c r="AY1709" t="s">
        <v>74</v>
      </c>
      <c r="AZ1709" t="s">
        <v>74</v>
      </c>
      <c r="BA1709" t="s">
        <v>74</v>
      </c>
      <c r="BB1709" t="s">
        <v>74</v>
      </c>
      <c r="BC1709" t="s">
        <v>74</v>
      </c>
      <c r="BD1709" t="s">
        <v>28869</v>
      </c>
      <c r="BE1709" t="s">
        <v>28870</v>
      </c>
      <c r="BF1709" t="str">
        <f>HYPERLINK("http://dx.doi.org/10.5294/pacla.2023.26.4.6","http://dx.doi.org/10.5294/pacla.2023.26.4.6")</f>
        <v>http://dx.doi.org/10.5294/pacla.2023.26.4.6</v>
      </c>
      <c r="BG1709" t="s">
        <v>74</v>
      </c>
      <c r="BH1709" t="s">
        <v>74</v>
      </c>
      <c r="BI1709">
        <v>26</v>
      </c>
      <c r="BJ1709" t="s">
        <v>124</v>
      </c>
      <c r="BK1709" t="s">
        <v>125</v>
      </c>
      <c r="BL1709" t="s">
        <v>124</v>
      </c>
      <c r="BM1709" t="s">
        <v>28871</v>
      </c>
      <c r="BN1709" t="s">
        <v>74</v>
      </c>
      <c r="BO1709" t="s">
        <v>394</v>
      </c>
      <c r="BP1709" t="s">
        <v>74</v>
      </c>
      <c r="BQ1709" t="s">
        <v>74</v>
      </c>
      <c r="BR1709" t="s">
        <v>102</v>
      </c>
      <c r="BS1709" t="s">
        <v>28872</v>
      </c>
      <c r="BT1709" t="str">
        <f>HYPERLINK("https%3A%2F%2Fwww.webofscience.com%2Fwos%2Fwoscc%2Ffull-record%2FWOS:001177189000001","View Full Record in Web of Science")</f>
        <v>View Full Record in Web of Science</v>
      </c>
    </row>
    <row r="1710" spans="1:72" x14ac:dyDescent="0.35">
      <c r="A1710" t="s">
        <v>72</v>
      </c>
      <c r="B1710" t="s">
        <v>28873</v>
      </c>
      <c r="C1710" t="s">
        <v>74</v>
      </c>
      <c r="D1710" t="s">
        <v>74</v>
      </c>
      <c r="E1710" t="s">
        <v>74</v>
      </c>
      <c r="F1710" t="s">
        <v>28874</v>
      </c>
      <c r="G1710" t="s">
        <v>74</v>
      </c>
      <c r="H1710" t="s">
        <v>74</v>
      </c>
      <c r="I1710" t="s">
        <v>28875</v>
      </c>
      <c r="J1710" t="s">
        <v>8636</v>
      </c>
      <c r="K1710" t="s">
        <v>74</v>
      </c>
      <c r="L1710" t="s">
        <v>74</v>
      </c>
      <c r="M1710" t="s">
        <v>78</v>
      </c>
      <c r="N1710" t="s">
        <v>108</v>
      </c>
      <c r="O1710" t="s">
        <v>74</v>
      </c>
      <c r="P1710" t="s">
        <v>74</v>
      </c>
      <c r="Q1710" t="s">
        <v>74</v>
      </c>
      <c r="R1710" t="s">
        <v>74</v>
      </c>
      <c r="S1710" t="s">
        <v>74</v>
      </c>
      <c r="T1710" t="s">
        <v>28876</v>
      </c>
      <c r="U1710" t="s">
        <v>28877</v>
      </c>
      <c r="V1710" t="s">
        <v>28878</v>
      </c>
      <c r="W1710" t="s">
        <v>28879</v>
      </c>
      <c r="X1710" t="s">
        <v>28880</v>
      </c>
      <c r="Y1710" t="s">
        <v>28881</v>
      </c>
      <c r="Z1710" t="s">
        <v>28882</v>
      </c>
      <c r="AA1710" t="s">
        <v>28883</v>
      </c>
      <c r="AB1710" t="s">
        <v>28884</v>
      </c>
      <c r="AC1710" t="s">
        <v>28885</v>
      </c>
      <c r="AD1710" t="s">
        <v>28886</v>
      </c>
      <c r="AE1710" t="s">
        <v>28887</v>
      </c>
      <c r="AF1710" t="s">
        <v>74</v>
      </c>
      <c r="AG1710">
        <v>17</v>
      </c>
      <c r="AH1710">
        <v>59</v>
      </c>
      <c r="AI1710">
        <v>62</v>
      </c>
      <c r="AJ1710">
        <v>1</v>
      </c>
      <c r="AK1710">
        <v>23</v>
      </c>
      <c r="AL1710" t="s">
        <v>251</v>
      </c>
      <c r="AM1710" t="s">
        <v>252</v>
      </c>
      <c r="AN1710" t="s">
        <v>253</v>
      </c>
      <c r="AO1710" t="s">
        <v>8648</v>
      </c>
      <c r="AP1710" t="s">
        <v>74</v>
      </c>
      <c r="AQ1710" t="s">
        <v>74</v>
      </c>
      <c r="AR1710" t="s">
        <v>8649</v>
      </c>
      <c r="AS1710" t="s">
        <v>8650</v>
      </c>
      <c r="AT1710" t="s">
        <v>523</v>
      </c>
      <c r="AU1710">
        <v>2021</v>
      </c>
      <c r="AV1710">
        <v>8</v>
      </c>
      <c r="AW1710">
        <v>8</v>
      </c>
      <c r="AX1710" t="s">
        <v>74</v>
      </c>
      <c r="AY1710" t="s">
        <v>74</v>
      </c>
      <c r="AZ1710" t="s">
        <v>74</v>
      </c>
      <c r="BA1710" t="s">
        <v>74</v>
      </c>
      <c r="BB1710">
        <v>1248</v>
      </c>
      <c r="BC1710">
        <v>1252</v>
      </c>
      <c r="BD1710" t="s">
        <v>74</v>
      </c>
      <c r="BE1710" t="s">
        <v>28888</v>
      </c>
      <c r="BF1710" t="str">
        <f>HYPERLINK("http://dx.doi.org/10.1002/mdc3.13267","http://dx.doi.org/10.1002/mdc3.13267")</f>
        <v>http://dx.doi.org/10.1002/mdc3.13267</v>
      </c>
      <c r="BG1710" t="s">
        <v>74</v>
      </c>
      <c r="BH1710" t="s">
        <v>6350</v>
      </c>
      <c r="BI1710">
        <v>5</v>
      </c>
      <c r="BJ1710" t="s">
        <v>8652</v>
      </c>
      <c r="BK1710" t="s">
        <v>209</v>
      </c>
      <c r="BL1710" t="s">
        <v>2258</v>
      </c>
      <c r="BM1710" t="s">
        <v>8653</v>
      </c>
      <c r="BN1710">
        <v>34765689</v>
      </c>
      <c r="BO1710" t="s">
        <v>3747</v>
      </c>
      <c r="BP1710" t="s">
        <v>74</v>
      </c>
      <c r="BQ1710" t="s">
        <v>74</v>
      </c>
      <c r="BR1710" t="s">
        <v>102</v>
      </c>
      <c r="BS1710" t="s">
        <v>28889</v>
      </c>
      <c r="BT1710" t="str">
        <f>HYPERLINK("https%3A%2F%2Fwww.webofscience.com%2Fwos%2Fwoscc%2Ffull-record%2FWOS:000668456100001","View Full Record in Web of Science")</f>
        <v>View Full Record in Web of Science</v>
      </c>
    </row>
    <row r="1711" spans="1:72" x14ac:dyDescent="0.35">
      <c r="A1711" t="s">
        <v>72</v>
      </c>
      <c r="B1711" t="s">
        <v>28890</v>
      </c>
      <c r="C1711" t="s">
        <v>74</v>
      </c>
      <c r="D1711" t="s">
        <v>74</v>
      </c>
      <c r="E1711" t="s">
        <v>74</v>
      </c>
      <c r="F1711" t="s">
        <v>28891</v>
      </c>
      <c r="G1711" t="s">
        <v>74</v>
      </c>
      <c r="H1711" t="s">
        <v>74</v>
      </c>
      <c r="I1711" t="s">
        <v>28892</v>
      </c>
      <c r="J1711" t="s">
        <v>18361</v>
      </c>
      <c r="K1711" t="s">
        <v>74</v>
      </c>
      <c r="L1711" t="s">
        <v>74</v>
      </c>
      <c r="M1711" t="s">
        <v>78</v>
      </c>
      <c r="N1711" t="s">
        <v>108</v>
      </c>
      <c r="O1711" t="s">
        <v>74</v>
      </c>
      <c r="P1711" t="s">
        <v>74</v>
      </c>
      <c r="Q1711" t="s">
        <v>74</v>
      </c>
      <c r="R1711" t="s">
        <v>74</v>
      </c>
      <c r="S1711" t="s">
        <v>74</v>
      </c>
      <c r="T1711" t="s">
        <v>28893</v>
      </c>
      <c r="U1711" t="s">
        <v>28894</v>
      </c>
      <c r="V1711" t="s">
        <v>28895</v>
      </c>
      <c r="W1711" t="s">
        <v>28896</v>
      </c>
      <c r="X1711" t="s">
        <v>28897</v>
      </c>
      <c r="Y1711" t="s">
        <v>28898</v>
      </c>
      <c r="Z1711" t="s">
        <v>74</v>
      </c>
      <c r="AA1711" t="s">
        <v>74</v>
      </c>
      <c r="AB1711" t="s">
        <v>74</v>
      </c>
      <c r="AC1711" t="s">
        <v>74</v>
      </c>
      <c r="AD1711" t="s">
        <v>74</v>
      </c>
      <c r="AE1711" t="s">
        <v>74</v>
      </c>
      <c r="AF1711" t="s">
        <v>74</v>
      </c>
      <c r="AG1711">
        <v>60</v>
      </c>
      <c r="AH1711">
        <v>0</v>
      </c>
      <c r="AI1711">
        <v>0</v>
      </c>
      <c r="AJ1711">
        <v>6</v>
      </c>
      <c r="AK1711">
        <v>16</v>
      </c>
      <c r="AL1711" t="s">
        <v>88</v>
      </c>
      <c r="AM1711" t="s">
        <v>89</v>
      </c>
      <c r="AN1711" t="s">
        <v>90</v>
      </c>
      <c r="AO1711" t="s">
        <v>18374</v>
      </c>
      <c r="AP1711" t="s">
        <v>18375</v>
      </c>
      <c r="AQ1711" t="s">
        <v>74</v>
      </c>
      <c r="AR1711" t="s">
        <v>18376</v>
      </c>
      <c r="AS1711" t="s">
        <v>18377</v>
      </c>
      <c r="AT1711" t="s">
        <v>2296</v>
      </c>
      <c r="AU1711">
        <v>2024</v>
      </c>
      <c r="AV1711">
        <v>29</v>
      </c>
      <c r="AW1711">
        <v>1</v>
      </c>
      <c r="AX1711" t="s">
        <v>74</v>
      </c>
      <c r="AY1711" t="s">
        <v>74</v>
      </c>
      <c r="AZ1711" t="s">
        <v>74</v>
      </c>
      <c r="BA1711" t="s">
        <v>74</v>
      </c>
      <c r="BB1711" t="s">
        <v>74</v>
      </c>
      <c r="BC1711" t="s">
        <v>74</v>
      </c>
      <c r="BD1711">
        <v>2306886</v>
      </c>
      <c r="BE1711" t="s">
        <v>28899</v>
      </c>
      <c r="BF1711" t="str">
        <f>HYPERLINK("http://dx.doi.org/10.1080/02673843.2024.2306886","http://dx.doi.org/10.1080/02673843.2024.2306886")</f>
        <v>http://dx.doi.org/10.1080/02673843.2024.2306886</v>
      </c>
      <c r="BG1711" t="s">
        <v>74</v>
      </c>
      <c r="BH1711" t="s">
        <v>74</v>
      </c>
      <c r="BI1711">
        <v>16</v>
      </c>
      <c r="BJ1711" t="s">
        <v>11136</v>
      </c>
      <c r="BK1711" t="s">
        <v>125</v>
      </c>
      <c r="BL1711" t="s">
        <v>301</v>
      </c>
      <c r="BM1711" t="s">
        <v>28900</v>
      </c>
      <c r="BN1711" t="s">
        <v>74</v>
      </c>
      <c r="BO1711" t="s">
        <v>235</v>
      </c>
      <c r="BP1711" t="s">
        <v>74</v>
      </c>
      <c r="BQ1711" t="s">
        <v>74</v>
      </c>
      <c r="BR1711" t="s">
        <v>102</v>
      </c>
      <c r="BS1711" t="s">
        <v>28901</v>
      </c>
      <c r="BT1711" t="str">
        <f>HYPERLINK("https%3A%2F%2Fwww.webofscience.com%2Fwos%2Fwoscc%2Ffull-record%2FWOS:001147163200001","View Full Record in Web of Science")</f>
        <v>View Full Record in Web of Science</v>
      </c>
    </row>
    <row r="1712" spans="1:72" x14ac:dyDescent="0.35">
      <c r="A1712" t="s">
        <v>72</v>
      </c>
      <c r="B1712" t="s">
        <v>28902</v>
      </c>
      <c r="C1712" t="s">
        <v>74</v>
      </c>
      <c r="D1712" t="s">
        <v>74</v>
      </c>
      <c r="E1712" t="s">
        <v>74</v>
      </c>
      <c r="F1712" t="s">
        <v>28903</v>
      </c>
      <c r="G1712" t="s">
        <v>74</v>
      </c>
      <c r="H1712" t="s">
        <v>74</v>
      </c>
      <c r="I1712" t="s">
        <v>28904</v>
      </c>
      <c r="J1712" t="s">
        <v>12718</v>
      </c>
      <c r="K1712" t="s">
        <v>74</v>
      </c>
      <c r="L1712" t="s">
        <v>74</v>
      </c>
      <c r="M1712" t="s">
        <v>78</v>
      </c>
      <c r="N1712" t="s">
        <v>108</v>
      </c>
      <c r="O1712" t="s">
        <v>74</v>
      </c>
      <c r="P1712" t="s">
        <v>74</v>
      </c>
      <c r="Q1712" t="s">
        <v>74</v>
      </c>
      <c r="R1712" t="s">
        <v>74</v>
      </c>
      <c r="S1712" t="s">
        <v>74</v>
      </c>
      <c r="T1712" t="s">
        <v>28905</v>
      </c>
      <c r="U1712" t="s">
        <v>28906</v>
      </c>
      <c r="V1712" t="s">
        <v>28907</v>
      </c>
      <c r="W1712" t="s">
        <v>28908</v>
      </c>
      <c r="X1712" t="s">
        <v>28909</v>
      </c>
      <c r="Y1712" t="s">
        <v>28910</v>
      </c>
      <c r="Z1712" t="s">
        <v>28911</v>
      </c>
      <c r="AA1712" t="s">
        <v>28912</v>
      </c>
      <c r="AB1712" t="s">
        <v>74</v>
      </c>
      <c r="AC1712" t="s">
        <v>74</v>
      </c>
      <c r="AD1712" t="s">
        <v>74</v>
      </c>
      <c r="AE1712" t="s">
        <v>74</v>
      </c>
      <c r="AF1712" t="s">
        <v>74</v>
      </c>
      <c r="AG1712">
        <v>60</v>
      </c>
      <c r="AH1712">
        <v>0</v>
      </c>
      <c r="AI1712">
        <v>0</v>
      </c>
      <c r="AJ1712">
        <v>3</v>
      </c>
      <c r="AK1712">
        <v>7</v>
      </c>
      <c r="AL1712" t="s">
        <v>12724</v>
      </c>
      <c r="AM1712" t="s">
        <v>6529</v>
      </c>
      <c r="AN1712" t="s">
        <v>12725</v>
      </c>
      <c r="AO1712" t="s">
        <v>12726</v>
      </c>
      <c r="AP1712" t="s">
        <v>12727</v>
      </c>
      <c r="AQ1712" t="s">
        <v>74</v>
      </c>
      <c r="AR1712" t="s">
        <v>12728</v>
      </c>
      <c r="AS1712" t="s">
        <v>12729</v>
      </c>
      <c r="AT1712" t="s">
        <v>74</v>
      </c>
      <c r="AU1712">
        <v>2024</v>
      </c>
      <c r="AV1712">
        <v>14</v>
      </c>
      <c r="AW1712">
        <v>1</v>
      </c>
      <c r="AX1712" t="s">
        <v>74</v>
      </c>
      <c r="AY1712" t="s">
        <v>74</v>
      </c>
      <c r="AZ1712" t="s">
        <v>74</v>
      </c>
      <c r="BA1712" t="s">
        <v>74</v>
      </c>
      <c r="BB1712">
        <v>255</v>
      </c>
      <c r="BC1712">
        <v>279</v>
      </c>
      <c r="BD1712" t="s">
        <v>74</v>
      </c>
      <c r="BE1712" t="s">
        <v>28913</v>
      </c>
      <c r="BF1712" t="str">
        <f>HYPERLINK("http://dx.doi.org/10.62008/ixc/14/01Elgobi","http://dx.doi.org/10.62008/ixc/14/01Elgobi")</f>
        <v>http://dx.doi.org/10.62008/ixc/14/01Elgobi</v>
      </c>
      <c r="BG1712" t="s">
        <v>74</v>
      </c>
      <c r="BH1712" t="s">
        <v>74</v>
      </c>
      <c r="BI1712">
        <v>25</v>
      </c>
      <c r="BJ1712" t="s">
        <v>124</v>
      </c>
      <c r="BK1712" t="s">
        <v>125</v>
      </c>
      <c r="BL1712" t="s">
        <v>124</v>
      </c>
      <c r="BM1712" t="s">
        <v>28914</v>
      </c>
      <c r="BN1712" t="s">
        <v>74</v>
      </c>
      <c r="BO1712" t="s">
        <v>235</v>
      </c>
      <c r="BP1712" t="s">
        <v>74</v>
      </c>
      <c r="BQ1712" t="s">
        <v>74</v>
      </c>
      <c r="BR1712" t="s">
        <v>102</v>
      </c>
      <c r="BS1712" t="s">
        <v>28915</v>
      </c>
      <c r="BT1712" t="str">
        <f>HYPERLINK("https%3A%2F%2Fwww.webofscience.com%2Fwos%2Fwoscc%2Ffull-record%2FWOS:001165027900005","View Full Record in Web of Science")</f>
        <v>View Full Record in Web of Science</v>
      </c>
    </row>
    <row r="1713" spans="1:72" x14ac:dyDescent="0.35">
      <c r="A1713" t="s">
        <v>72</v>
      </c>
      <c r="B1713" t="s">
        <v>28916</v>
      </c>
      <c r="C1713" t="s">
        <v>74</v>
      </c>
      <c r="D1713" t="s">
        <v>74</v>
      </c>
      <c r="E1713" t="s">
        <v>74</v>
      </c>
      <c r="F1713" t="s">
        <v>28917</v>
      </c>
      <c r="G1713" t="s">
        <v>74</v>
      </c>
      <c r="H1713" t="s">
        <v>74</v>
      </c>
      <c r="I1713" t="s">
        <v>28918</v>
      </c>
      <c r="J1713" t="s">
        <v>28919</v>
      </c>
      <c r="K1713" t="s">
        <v>74</v>
      </c>
      <c r="L1713" t="s">
        <v>74</v>
      </c>
      <c r="M1713" t="s">
        <v>1012</v>
      </c>
      <c r="N1713" t="s">
        <v>108</v>
      </c>
      <c r="O1713" t="s">
        <v>74</v>
      </c>
      <c r="P1713" t="s">
        <v>74</v>
      </c>
      <c r="Q1713" t="s">
        <v>74</v>
      </c>
      <c r="R1713" t="s">
        <v>74</v>
      </c>
      <c r="S1713" t="s">
        <v>74</v>
      </c>
      <c r="T1713" t="s">
        <v>28920</v>
      </c>
      <c r="U1713" t="s">
        <v>28921</v>
      </c>
      <c r="V1713" t="s">
        <v>28922</v>
      </c>
      <c r="W1713" t="s">
        <v>28923</v>
      </c>
      <c r="X1713" t="s">
        <v>14302</v>
      </c>
      <c r="Y1713" t="s">
        <v>28924</v>
      </c>
      <c r="Z1713" t="s">
        <v>28925</v>
      </c>
      <c r="AA1713" t="s">
        <v>74</v>
      </c>
      <c r="AB1713" t="s">
        <v>74</v>
      </c>
      <c r="AC1713" t="s">
        <v>74</v>
      </c>
      <c r="AD1713" t="s">
        <v>74</v>
      </c>
      <c r="AE1713" t="s">
        <v>74</v>
      </c>
      <c r="AF1713" t="s">
        <v>74</v>
      </c>
      <c r="AG1713">
        <v>87</v>
      </c>
      <c r="AH1713">
        <v>0</v>
      </c>
      <c r="AI1713">
        <v>0</v>
      </c>
      <c r="AJ1713">
        <v>4</v>
      </c>
      <c r="AK1713">
        <v>15</v>
      </c>
      <c r="AL1713" t="s">
        <v>28926</v>
      </c>
      <c r="AM1713" t="s">
        <v>28927</v>
      </c>
      <c r="AN1713" t="s">
        <v>28928</v>
      </c>
      <c r="AO1713" t="s">
        <v>74</v>
      </c>
      <c r="AP1713" t="s">
        <v>28929</v>
      </c>
      <c r="AQ1713" t="s">
        <v>74</v>
      </c>
      <c r="AR1713" t="s">
        <v>28930</v>
      </c>
      <c r="AS1713" t="s">
        <v>28931</v>
      </c>
      <c r="AT1713" t="s">
        <v>74</v>
      </c>
      <c r="AU1713">
        <v>2023</v>
      </c>
      <c r="AV1713">
        <v>12</v>
      </c>
      <c r="AW1713" t="s">
        <v>27312</v>
      </c>
      <c r="AX1713" t="s">
        <v>74</v>
      </c>
      <c r="AY1713" t="s">
        <v>74</v>
      </c>
      <c r="AZ1713" t="s">
        <v>74</v>
      </c>
      <c r="BA1713" t="s">
        <v>74</v>
      </c>
      <c r="BB1713">
        <v>242</v>
      </c>
      <c r="BC1713">
        <v>269</v>
      </c>
      <c r="BD1713" t="s">
        <v>74</v>
      </c>
      <c r="BE1713" t="s">
        <v>28932</v>
      </c>
      <c r="BF1713" t="str">
        <f>HYPERLINK("http://dx.doi.org/10.5771/2192-4007-2023-2-3-242","http://dx.doi.org/10.5771/2192-4007-2023-2-3-242")</f>
        <v>http://dx.doi.org/10.5771/2192-4007-2023-2-3-242</v>
      </c>
      <c r="BG1713" t="s">
        <v>74</v>
      </c>
      <c r="BH1713" t="s">
        <v>74</v>
      </c>
      <c r="BI1713">
        <v>28</v>
      </c>
      <c r="BJ1713" t="s">
        <v>124</v>
      </c>
      <c r="BK1713" t="s">
        <v>125</v>
      </c>
      <c r="BL1713" t="s">
        <v>124</v>
      </c>
      <c r="BM1713" t="s">
        <v>28933</v>
      </c>
      <c r="BN1713" t="s">
        <v>74</v>
      </c>
      <c r="BO1713" t="s">
        <v>235</v>
      </c>
      <c r="BP1713" t="s">
        <v>74</v>
      </c>
      <c r="BQ1713" t="s">
        <v>74</v>
      </c>
      <c r="BR1713" t="s">
        <v>102</v>
      </c>
      <c r="BS1713" t="s">
        <v>28934</v>
      </c>
      <c r="BT1713" t="str">
        <f>HYPERLINK("https%3A%2F%2Fwww.webofscience.com%2Fwos%2Fwoscc%2Ffull-record%2FWOS:001095386000007","View Full Record in Web of Science")</f>
        <v>View Full Record in Web of Science</v>
      </c>
    </row>
    <row r="1714" spans="1:72" x14ac:dyDescent="0.35">
      <c r="A1714" t="s">
        <v>72</v>
      </c>
      <c r="B1714" t="s">
        <v>22228</v>
      </c>
      <c r="C1714" t="s">
        <v>74</v>
      </c>
      <c r="D1714" t="s">
        <v>74</v>
      </c>
      <c r="E1714" t="s">
        <v>74</v>
      </c>
      <c r="F1714" t="s">
        <v>22229</v>
      </c>
      <c r="G1714" t="s">
        <v>74</v>
      </c>
      <c r="H1714" t="s">
        <v>74</v>
      </c>
      <c r="I1714" t="s">
        <v>28935</v>
      </c>
      <c r="J1714" t="s">
        <v>28936</v>
      </c>
      <c r="K1714" t="s">
        <v>74</v>
      </c>
      <c r="L1714" t="s">
        <v>74</v>
      </c>
      <c r="M1714" t="s">
        <v>78</v>
      </c>
      <c r="N1714" t="s">
        <v>108</v>
      </c>
      <c r="O1714" t="s">
        <v>74</v>
      </c>
      <c r="P1714" t="s">
        <v>74</v>
      </c>
      <c r="Q1714" t="s">
        <v>74</v>
      </c>
      <c r="R1714" t="s">
        <v>74</v>
      </c>
      <c r="S1714" t="s">
        <v>74</v>
      </c>
      <c r="T1714" t="s">
        <v>28937</v>
      </c>
      <c r="U1714" t="s">
        <v>74</v>
      </c>
      <c r="V1714" t="s">
        <v>28938</v>
      </c>
      <c r="W1714" t="s">
        <v>28939</v>
      </c>
      <c r="X1714" t="s">
        <v>28940</v>
      </c>
      <c r="Y1714" t="s">
        <v>28941</v>
      </c>
      <c r="Z1714" t="s">
        <v>22237</v>
      </c>
      <c r="AA1714" t="s">
        <v>74</v>
      </c>
      <c r="AB1714" t="s">
        <v>22238</v>
      </c>
      <c r="AC1714" t="s">
        <v>74</v>
      </c>
      <c r="AD1714" t="s">
        <v>74</v>
      </c>
      <c r="AE1714" t="s">
        <v>74</v>
      </c>
      <c r="AF1714" t="s">
        <v>74</v>
      </c>
      <c r="AG1714">
        <v>43</v>
      </c>
      <c r="AH1714">
        <v>2</v>
      </c>
      <c r="AI1714">
        <v>2</v>
      </c>
      <c r="AJ1714">
        <v>2</v>
      </c>
      <c r="AK1714">
        <v>6</v>
      </c>
      <c r="AL1714" t="s">
        <v>88</v>
      </c>
      <c r="AM1714" t="s">
        <v>89</v>
      </c>
      <c r="AN1714" t="s">
        <v>90</v>
      </c>
      <c r="AO1714" t="s">
        <v>28942</v>
      </c>
      <c r="AP1714" t="s">
        <v>28943</v>
      </c>
      <c r="AQ1714" t="s">
        <v>74</v>
      </c>
      <c r="AR1714" t="s">
        <v>28944</v>
      </c>
      <c r="AS1714" t="s">
        <v>28945</v>
      </c>
      <c r="AT1714" t="s">
        <v>13174</v>
      </c>
      <c r="AU1714">
        <v>2021</v>
      </c>
      <c r="AV1714">
        <v>107</v>
      </c>
      <c r="AW1714">
        <v>4</v>
      </c>
      <c r="AX1714" t="s">
        <v>74</v>
      </c>
      <c r="AY1714" t="s">
        <v>74</v>
      </c>
      <c r="AZ1714" t="s">
        <v>74</v>
      </c>
      <c r="BA1714" t="s">
        <v>74</v>
      </c>
      <c r="BB1714">
        <v>398</v>
      </c>
      <c r="BC1714">
        <v>417</v>
      </c>
      <c r="BD1714" t="s">
        <v>74</v>
      </c>
      <c r="BE1714" t="s">
        <v>28946</v>
      </c>
      <c r="BF1714" t="str">
        <f>HYPERLINK("http://dx.doi.org/10.1080/00335630.2021.1983193","http://dx.doi.org/10.1080/00335630.2021.1983193")</f>
        <v>http://dx.doi.org/10.1080/00335630.2021.1983193</v>
      </c>
      <c r="BG1714" t="s">
        <v>74</v>
      </c>
      <c r="BH1714" t="s">
        <v>9169</v>
      </c>
      <c r="BI1714">
        <v>20</v>
      </c>
      <c r="BJ1714" t="s">
        <v>124</v>
      </c>
      <c r="BK1714" t="s">
        <v>99</v>
      </c>
      <c r="BL1714" t="s">
        <v>124</v>
      </c>
      <c r="BM1714" t="s">
        <v>28947</v>
      </c>
      <c r="BN1714" t="s">
        <v>74</v>
      </c>
      <c r="BO1714" t="s">
        <v>4154</v>
      </c>
      <c r="BP1714" t="s">
        <v>74</v>
      </c>
      <c r="BQ1714" t="s">
        <v>74</v>
      </c>
      <c r="BR1714" t="s">
        <v>102</v>
      </c>
      <c r="BS1714" t="s">
        <v>28948</v>
      </c>
      <c r="BT1714" t="str">
        <f>HYPERLINK("https%3A%2F%2Fwww.webofscience.com%2Fwos%2Fwoscc%2Ffull-record%2FWOS:000705393400001","View Full Record in Web of Science")</f>
        <v>View Full Record in Web of Science</v>
      </c>
    </row>
    <row r="1715" spans="1:72" x14ac:dyDescent="0.35">
      <c r="A1715" t="s">
        <v>128</v>
      </c>
      <c r="B1715" t="s">
        <v>28949</v>
      </c>
      <c r="C1715" t="s">
        <v>74</v>
      </c>
      <c r="D1715" t="s">
        <v>74</v>
      </c>
      <c r="E1715" t="s">
        <v>1990</v>
      </c>
      <c r="F1715" t="s">
        <v>28950</v>
      </c>
      <c r="G1715" t="s">
        <v>74</v>
      </c>
      <c r="H1715" t="s">
        <v>74</v>
      </c>
      <c r="I1715" t="s">
        <v>28951</v>
      </c>
      <c r="J1715" t="s">
        <v>28952</v>
      </c>
      <c r="K1715" t="s">
        <v>74</v>
      </c>
      <c r="L1715" t="s">
        <v>74</v>
      </c>
      <c r="M1715" t="s">
        <v>78</v>
      </c>
      <c r="N1715" t="s">
        <v>135</v>
      </c>
      <c r="O1715" t="s">
        <v>28953</v>
      </c>
      <c r="P1715" t="s">
        <v>28954</v>
      </c>
      <c r="Q1715" t="s">
        <v>28955</v>
      </c>
      <c r="R1715" t="s">
        <v>1098</v>
      </c>
      <c r="S1715" t="s">
        <v>74</v>
      </c>
      <c r="T1715" t="s">
        <v>28956</v>
      </c>
      <c r="U1715" t="s">
        <v>74</v>
      </c>
      <c r="V1715" t="s">
        <v>28957</v>
      </c>
      <c r="W1715" t="s">
        <v>28958</v>
      </c>
      <c r="X1715" t="s">
        <v>28959</v>
      </c>
      <c r="Y1715" t="s">
        <v>28960</v>
      </c>
      <c r="Z1715" t="s">
        <v>28961</v>
      </c>
      <c r="AA1715" t="s">
        <v>28962</v>
      </c>
      <c r="AB1715" t="s">
        <v>28963</v>
      </c>
      <c r="AC1715" t="s">
        <v>28964</v>
      </c>
      <c r="AD1715" t="s">
        <v>28965</v>
      </c>
      <c r="AE1715" t="s">
        <v>28966</v>
      </c>
      <c r="AF1715" t="s">
        <v>74</v>
      </c>
      <c r="AG1715">
        <v>111</v>
      </c>
      <c r="AH1715">
        <v>0</v>
      </c>
      <c r="AI1715">
        <v>0</v>
      </c>
      <c r="AJ1715">
        <v>0</v>
      </c>
      <c r="AK1715">
        <v>0</v>
      </c>
      <c r="AL1715" t="s">
        <v>718</v>
      </c>
      <c r="AM1715" t="s">
        <v>666</v>
      </c>
      <c r="AN1715" t="s">
        <v>719</v>
      </c>
      <c r="AO1715" t="s">
        <v>74</v>
      </c>
      <c r="AP1715" t="s">
        <v>74</v>
      </c>
      <c r="AQ1715" t="s">
        <v>28967</v>
      </c>
      <c r="AR1715" t="s">
        <v>74</v>
      </c>
      <c r="AS1715" t="s">
        <v>74</v>
      </c>
      <c r="AT1715" t="s">
        <v>74</v>
      </c>
      <c r="AU1715">
        <v>2024</v>
      </c>
      <c r="AV1715" t="s">
        <v>74</v>
      </c>
      <c r="AW1715" t="s">
        <v>74</v>
      </c>
      <c r="AX1715" t="s">
        <v>74</v>
      </c>
      <c r="AY1715" t="s">
        <v>74</v>
      </c>
      <c r="AZ1715" t="s">
        <v>74</v>
      </c>
      <c r="BA1715" t="s">
        <v>74</v>
      </c>
      <c r="BB1715">
        <v>2209</v>
      </c>
      <c r="BC1715">
        <v>2221</v>
      </c>
      <c r="BD1715" t="s">
        <v>74</v>
      </c>
      <c r="BE1715" t="s">
        <v>28968</v>
      </c>
      <c r="BF1715" t="str">
        <f>HYPERLINK("http://dx.doi.org/10.1145/3630106.3659034","http://dx.doi.org/10.1145/3630106.3659034")</f>
        <v>http://dx.doi.org/10.1145/3630106.3659034</v>
      </c>
      <c r="BG1715" t="s">
        <v>74</v>
      </c>
      <c r="BH1715" t="s">
        <v>74</v>
      </c>
      <c r="BI1715">
        <v>13</v>
      </c>
      <c r="BJ1715" t="s">
        <v>28969</v>
      </c>
      <c r="BK1715" t="s">
        <v>648</v>
      </c>
      <c r="BL1715" t="s">
        <v>28970</v>
      </c>
      <c r="BM1715" t="s">
        <v>28971</v>
      </c>
      <c r="BN1715" t="s">
        <v>74</v>
      </c>
      <c r="BO1715" t="s">
        <v>156</v>
      </c>
      <c r="BP1715" t="s">
        <v>74</v>
      </c>
      <c r="BQ1715" t="s">
        <v>74</v>
      </c>
      <c r="BR1715" t="s">
        <v>102</v>
      </c>
      <c r="BS1715" t="s">
        <v>28972</v>
      </c>
      <c r="BT1715" t="str">
        <f>HYPERLINK("https%3A%2F%2Fwww.webofscience.com%2Fwos%2Fwoscc%2Ffull-record%2FWOS:001253359300148","View Full Record in Web of Science")</f>
        <v>View Full Record in Web of Science</v>
      </c>
    </row>
    <row r="1716" spans="1:72" x14ac:dyDescent="0.35">
      <c r="A1716" t="s">
        <v>72</v>
      </c>
      <c r="B1716" t="s">
        <v>28973</v>
      </c>
      <c r="C1716" t="s">
        <v>74</v>
      </c>
      <c r="D1716" t="s">
        <v>74</v>
      </c>
      <c r="E1716" t="s">
        <v>74</v>
      </c>
      <c r="F1716" t="s">
        <v>28974</v>
      </c>
      <c r="G1716" t="s">
        <v>74</v>
      </c>
      <c r="H1716" t="s">
        <v>74</v>
      </c>
      <c r="I1716" t="s">
        <v>28975</v>
      </c>
      <c r="J1716" t="s">
        <v>18202</v>
      </c>
      <c r="K1716" t="s">
        <v>74</v>
      </c>
      <c r="L1716" t="s">
        <v>74</v>
      </c>
      <c r="M1716" t="s">
        <v>78</v>
      </c>
      <c r="N1716" t="s">
        <v>108</v>
      </c>
      <c r="O1716" t="s">
        <v>74</v>
      </c>
      <c r="P1716" t="s">
        <v>74</v>
      </c>
      <c r="Q1716" t="s">
        <v>74</v>
      </c>
      <c r="R1716" t="s">
        <v>74</v>
      </c>
      <c r="S1716" t="s">
        <v>74</v>
      </c>
      <c r="T1716" t="s">
        <v>28976</v>
      </c>
      <c r="U1716" t="s">
        <v>28977</v>
      </c>
      <c r="V1716" t="s">
        <v>28978</v>
      </c>
      <c r="W1716" t="s">
        <v>28979</v>
      </c>
      <c r="X1716" t="s">
        <v>28980</v>
      </c>
      <c r="Y1716" t="s">
        <v>28981</v>
      </c>
      <c r="Z1716" t="s">
        <v>28982</v>
      </c>
      <c r="AA1716" t="s">
        <v>28983</v>
      </c>
      <c r="AB1716" t="s">
        <v>28984</v>
      </c>
      <c r="AC1716" t="s">
        <v>28985</v>
      </c>
      <c r="AD1716" t="s">
        <v>28985</v>
      </c>
      <c r="AE1716" t="s">
        <v>28986</v>
      </c>
      <c r="AF1716" t="s">
        <v>74</v>
      </c>
      <c r="AG1716">
        <v>74</v>
      </c>
      <c r="AH1716">
        <v>4</v>
      </c>
      <c r="AI1716">
        <v>4</v>
      </c>
      <c r="AJ1716">
        <v>20</v>
      </c>
      <c r="AK1716">
        <v>39</v>
      </c>
      <c r="AL1716" t="s">
        <v>2382</v>
      </c>
      <c r="AM1716" t="s">
        <v>227</v>
      </c>
      <c r="AN1716" t="s">
        <v>2383</v>
      </c>
      <c r="AO1716" t="s">
        <v>18211</v>
      </c>
      <c r="AP1716" t="s">
        <v>74</v>
      </c>
      <c r="AQ1716" t="s">
        <v>74</v>
      </c>
      <c r="AR1716" t="s">
        <v>18212</v>
      </c>
      <c r="AS1716" t="s">
        <v>18213</v>
      </c>
      <c r="AT1716" t="s">
        <v>28987</v>
      </c>
      <c r="AU1716">
        <v>2024</v>
      </c>
      <c r="AV1716">
        <v>12</v>
      </c>
      <c r="AW1716">
        <v>1</v>
      </c>
      <c r="AX1716" t="s">
        <v>74</v>
      </c>
      <c r="AY1716" t="s">
        <v>74</v>
      </c>
      <c r="AZ1716" t="s">
        <v>74</v>
      </c>
      <c r="BA1716" t="s">
        <v>74</v>
      </c>
      <c r="BB1716" t="s">
        <v>74</v>
      </c>
      <c r="BC1716" t="s">
        <v>74</v>
      </c>
      <c r="BD1716">
        <v>34</v>
      </c>
      <c r="BE1716" t="s">
        <v>28988</v>
      </c>
      <c r="BF1716" t="str">
        <f>HYPERLINK("http://dx.doi.org/10.1186/s40337-024-00992-3","http://dx.doi.org/10.1186/s40337-024-00992-3")</f>
        <v>http://dx.doi.org/10.1186/s40337-024-00992-3</v>
      </c>
      <c r="BG1716" t="s">
        <v>74</v>
      </c>
      <c r="BH1716" t="s">
        <v>74</v>
      </c>
      <c r="BI1716">
        <v>13</v>
      </c>
      <c r="BJ1716" t="s">
        <v>18215</v>
      </c>
      <c r="BK1716" t="s">
        <v>182</v>
      </c>
      <c r="BL1716" t="s">
        <v>5973</v>
      </c>
      <c r="BM1716" t="s">
        <v>28989</v>
      </c>
      <c r="BN1716">
        <v>38424579</v>
      </c>
      <c r="BO1716" t="s">
        <v>552</v>
      </c>
      <c r="BP1716" t="s">
        <v>74</v>
      </c>
      <c r="BQ1716" t="s">
        <v>74</v>
      </c>
      <c r="BR1716" t="s">
        <v>102</v>
      </c>
      <c r="BS1716" t="s">
        <v>28990</v>
      </c>
      <c r="BT1716" t="str">
        <f>HYPERLINK("https%3A%2F%2Fwww.webofscience.com%2Fwos%2Fwoscc%2Ffull-record%2FWOS:001175782200001","View Full Record in Web of Science")</f>
        <v>View Full Record in Web of Science</v>
      </c>
    </row>
    <row r="1717" spans="1:72" x14ac:dyDescent="0.35">
      <c r="A1717" t="s">
        <v>72</v>
      </c>
      <c r="B1717" t="s">
        <v>28991</v>
      </c>
      <c r="C1717" t="s">
        <v>74</v>
      </c>
      <c r="D1717" t="s">
        <v>74</v>
      </c>
      <c r="E1717" t="s">
        <v>74</v>
      </c>
      <c r="F1717" t="s">
        <v>28992</v>
      </c>
      <c r="G1717" t="s">
        <v>74</v>
      </c>
      <c r="H1717" t="s">
        <v>74</v>
      </c>
      <c r="I1717" t="s">
        <v>28993</v>
      </c>
      <c r="J1717" t="s">
        <v>28994</v>
      </c>
      <c r="K1717" t="s">
        <v>74</v>
      </c>
      <c r="L1717" t="s">
        <v>74</v>
      </c>
      <c r="M1717" t="s">
        <v>78</v>
      </c>
      <c r="N1717" t="s">
        <v>108</v>
      </c>
      <c r="O1717" t="s">
        <v>74</v>
      </c>
      <c r="P1717" t="s">
        <v>74</v>
      </c>
      <c r="Q1717" t="s">
        <v>74</v>
      </c>
      <c r="R1717" t="s">
        <v>74</v>
      </c>
      <c r="S1717" t="s">
        <v>74</v>
      </c>
      <c r="T1717" t="s">
        <v>28995</v>
      </c>
      <c r="U1717" t="s">
        <v>74</v>
      </c>
      <c r="V1717" t="s">
        <v>28996</v>
      </c>
      <c r="W1717" t="s">
        <v>28997</v>
      </c>
      <c r="X1717" t="s">
        <v>28998</v>
      </c>
      <c r="Y1717" t="s">
        <v>28999</v>
      </c>
      <c r="Z1717" t="s">
        <v>29000</v>
      </c>
      <c r="AA1717" t="s">
        <v>74</v>
      </c>
      <c r="AB1717" t="s">
        <v>29001</v>
      </c>
      <c r="AC1717" t="s">
        <v>29002</v>
      </c>
      <c r="AD1717" t="s">
        <v>4847</v>
      </c>
      <c r="AE1717" t="s">
        <v>29003</v>
      </c>
      <c r="AF1717" t="s">
        <v>74</v>
      </c>
      <c r="AG1717">
        <v>40</v>
      </c>
      <c r="AH1717">
        <v>9</v>
      </c>
      <c r="AI1717">
        <v>9</v>
      </c>
      <c r="AJ1717">
        <v>6</v>
      </c>
      <c r="AK1717">
        <v>54</v>
      </c>
      <c r="AL1717" t="s">
        <v>25124</v>
      </c>
      <c r="AM1717" t="s">
        <v>18022</v>
      </c>
      <c r="AN1717" t="s">
        <v>25125</v>
      </c>
      <c r="AO1717" t="s">
        <v>29004</v>
      </c>
      <c r="AP1717" t="s">
        <v>74</v>
      </c>
      <c r="AQ1717" t="s">
        <v>74</v>
      </c>
      <c r="AR1717" t="s">
        <v>29005</v>
      </c>
      <c r="AS1717" t="s">
        <v>29006</v>
      </c>
      <c r="AT1717" t="s">
        <v>178</v>
      </c>
      <c r="AU1717">
        <v>2023</v>
      </c>
      <c r="AV1717">
        <v>7</v>
      </c>
      <c r="AW1717">
        <v>1</v>
      </c>
      <c r="AX1717" t="s">
        <v>74</v>
      </c>
      <c r="AY1717" t="s">
        <v>74</v>
      </c>
      <c r="AZ1717" t="s">
        <v>74</v>
      </c>
      <c r="BA1717" t="s">
        <v>74</v>
      </c>
      <c r="BB1717">
        <v>200</v>
      </c>
      <c r="BC1717">
        <v>209</v>
      </c>
      <c r="BD1717" t="s">
        <v>74</v>
      </c>
      <c r="BE1717" t="s">
        <v>29007</v>
      </c>
      <c r="BF1717" t="str">
        <f>HYPERLINK("http://dx.doi.org/10.1109/TETCI.2022.3224929","http://dx.doi.org/10.1109/TETCI.2022.3224929")</f>
        <v>http://dx.doi.org/10.1109/TETCI.2022.3224929</v>
      </c>
      <c r="BG1717" t="s">
        <v>74</v>
      </c>
      <c r="BH1717" t="s">
        <v>3970</v>
      </c>
      <c r="BI1717">
        <v>10</v>
      </c>
      <c r="BJ1717" t="s">
        <v>4250</v>
      </c>
      <c r="BK1717" t="s">
        <v>209</v>
      </c>
      <c r="BL1717" t="s">
        <v>210</v>
      </c>
      <c r="BM1717" t="s">
        <v>29008</v>
      </c>
      <c r="BN1717" t="s">
        <v>74</v>
      </c>
      <c r="BO1717" t="s">
        <v>74</v>
      </c>
      <c r="BP1717" t="s">
        <v>74</v>
      </c>
      <c r="BQ1717" t="s">
        <v>74</v>
      </c>
      <c r="BR1717" t="s">
        <v>102</v>
      </c>
      <c r="BS1717" t="s">
        <v>29009</v>
      </c>
      <c r="BT1717" t="str">
        <f>HYPERLINK("https%3A%2F%2Fwww.webofscience.com%2Fwos%2Fwoscc%2Ffull-record%2FWOS:000896593500001","View Full Record in Web of Science")</f>
        <v>View Full Record in Web of Science</v>
      </c>
    </row>
    <row r="1718" spans="1:72" x14ac:dyDescent="0.35">
      <c r="A1718" t="s">
        <v>128</v>
      </c>
      <c r="B1718" t="s">
        <v>29010</v>
      </c>
      <c r="C1718" t="s">
        <v>74</v>
      </c>
      <c r="D1718" t="s">
        <v>74</v>
      </c>
      <c r="E1718" t="s">
        <v>702</v>
      </c>
      <c r="F1718" t="s">
        <v>29011</v>
      </c>
      <c r="G1718" t="s">
        <v>74</v>
      </c>
      <c r="H1718" t="s">
        <v>74</v>
      </c>
      <c r="I1718" t="s">
        <v>29012</v>
      </c>
      <c r="J1718" t="s">
        <v>29013</v>
      </c>
      <c r="K1718" t="s">
        <v>74</v>
      </c>
      <c r="L1718" t="s">
        <v>74</v>
      </c>
      <c r="M1718" t="s">
        <v>78</v>
      </c>
      <c r="N1718" t="s">
        <v>135</v>
      </c>
      <c r="O1718" t="s">
        <v>29014</v>
      </c>
      <c r="P1718" t="s">
        <v>29015</v>
      </c>
      <c r="Q1718" t="s">
        <v>6651</v>
      </c>
      <c r="R1718" t="s">
        <v>29016</v>
      </c>
      <c r="S1718" t="s">
        <v>74</v>
      </c>
      <c r="T1718" t="s">
        <v>29017</v>
      </c>
      <c r="U1718" t="s">
        <v>74</v>
      </c>
      <c r="V1718" t="s">
        <v>29018</v>
      </c>
      <c r="W1718" t="s">
        <v>29019</v>
      </c>
      <c r="X1718" t="s">
        <v>28233</v>
      </c>
      <c r="Y1718" t="s">
        <v>29020</v>
      </c>
      <c r="Z1718" t="s">
        <v>29021</v>
      </c>
      <c r="AA1718" t="s">
        <v>74</v>
      </c>
      <c r="AB1718" t="s">
        <v>28236</v>
      </c>
      <c r="AC1718" t="s">
        <v>74</v>
      </c>
      <c r="AD1718" t="s">
        <v>74</v>
      </c>
      <c r="AE1718" t="s">
        <v>74</v>
      </c>
      <c r="AF1718" t="s">
        <v>74</v>
      </c>
      <c r="AG1718">
        <v>76</v>
      </c>
      <c r="AH1718">
        <v>12</v>
      </c>
      <c r="AI1718">
        <v>14</v>
      </c>
      <c r="AJ1718">
        <v>0</v>
      </c>
      <c r="AK1718">
        <v>9</v>
      </c>
      <c r="AL1718" t="s">
        <v>718</v>
      </c>
      <c r="AM1718" t="s">
        <v>666</v>
      </c>
      <c r="AN1718" t="s">
        <v>719</v>
      </c>
      <c r="AO1718" t="s">
        <v>74</v>
      </c>
      <c r="AP1718" t="s">
        <v>74</v>
      </c>
      <c r="AQ1718" t="s">
        <v>29022</v>
      </c>
      <c r="AR1718" t="s">
        <v>74</v>
      </c>
      <c r="AS1718" t="s">
        <v>74</v>
      </c>
      <c r="AT1718" t="s">
        <v>74</v>
      </c>
      <c r="AU1718">
        <v>2022</v>
      </c>
      <c r="AV1718" t="s">
        <v>74</v>
      </c>
      <c r="AW1718" t="s">
        <v>74</v>
      </c>
      <c r="AX1718" t="s">
        <v>74</v>
      </c>
      <c r="AY1718" t="s">
        <v>74</v>
      </c>
      <c r="AZ1718" t="s">
        <v>74</v>
      </c>
      <c r="BA1718" t="s">
        <v>74</v>
      </c>
      <c r="BB1718" t="s">
        <v>74</v>
      </c>
      <c r="BC1718" t="s">
        <v>74</v>
      </c>
      <c r="BD1718" t="s">
        <v>74</v>
      </c>
      <c r="BE1718" t="s">
        <v>29023</v>
      </c>
      <c r="BF1718" t="str">
        <f>HYPERLINK("http://dx.doi.org/10.1145/3491102.3501879","http://dx.doi.org/10.1145/3491102.3501879")</f>
        <v>http://dx.doi.org/10.1145/3491102.3501879</v>
      </c>
      <c r="BG1718" t="s">
        <v>74</v>
      </c>
      <c r="BH1718" t="s">
        <v>74</v>
      </c>
      <c r="BI1718">
        <v>15</v>
      </c>
      <c r="BJ1718" t="s">
        <v>5482</v>
      </c>
      <c r="BK1718" t="s">
        <v>723</v>
      </c>
      <c r="BL1718" t="s">
        <v>5483</v>
      </c>
      <c r="BM1718" t="s">
        <v>29024</v>
      </c>
      <c r="BN1718" t="s">
        <v>74</v>
      </c>
      <c r="BO1718" t="s">
        <v>767</v>
      </c>
      <c r="BP1718" t="s">
        <v>74</v>
      </c>
      <c r="BQ1718" t="s">
        <v>74</v>
      </c>
      <c r="BR1718" t="s">
        <v>102</v>
      </c>
      <c r="BS1718" t="s">
        <v>29025</v>
      </c>
      <c r="BT1718" t="str">
        <f>HYPERLINK("https%3A%2F%2Fwww.webofscience.com%2Fwos%2Fwoscc%2Ffull-record%2FWOS:000890212501010","View Full Record in Web of Science")</f>
        <v>View Full Record in Web of Science</v>
      </c>
    </row>
    <row r="1719" spans="1:72" x14ac:dyDescent="0.35">
      <c r="A1719" t="s">
        <v>72</v>
      </c>
      <c r="B1719" t="s">
        <v>29026</v>
      </c>
      <c r="C1719" t="s">
        <v>74</v>
      </c>
      <c r="D1719" t="s">
        <v>74</v>
      </c>
      <c r="E1719" t="s">
        <v>74</v>
      </c>
      <c r="F1719" t="s">
        <v>29027</v>
      </c>
      <c r="G1719" t="s">
        <v>74</v>
      </c>
      <c r="H1719" t="s">
        <v>74</v>
      </c>
      <c r="I1719" t="s">
        <v>29028</v>
      </c>
      <c r="J1719" t="s">
        <v>29029</v>
      </c>
      <c r="K1719" t="s">
        <v>74</v>
      </c>
      <c r="L1719" t="s">
        <v>74</v>
      </c>
      <c r="M1719" t="s">
        <v>78</v>
      </c>
      <c r="N1719" t="s">
        <v>108</v>
      </c>
      <c r="O1719" t="s">
        <v>74</v>
      </c>
      <c r="P1719" t="s">
        <v>74</v>
      </c>
      <c r="Q1719" t="s">
        <v>74</v>
      </c>
      <c r="R1719" t="s">
        <v>74</v>
      </c>
      <c r="S1719" t="s">
        <v>74</v>
      </c>
      <c r="T1719" t="s">
        <v>29030</v>
      </c>
      <c r="U1719" t="s">
        <v>29031</v>
      </c>
      <c r="V1719" t="s">
        <v>29032</v>
      </c>
      <c r="W1719" t="s">
        <v>29033</v>
      </c>
      <c r="X1719" t="s">
        <v>29034</v>
      </c>
      <c r="Y1719" t="s">
        <v>29035</v>
      </c>
      <c r="Z1719" t="s">
        <v>29036</v>
      </c>
      <c r="AA1719" t="s">
        <v>74</v>
      </c>
      <c r="AB1719" t="s">
        <v>74</v>
      </c>
      <c r="AC1719" t="s">
        <v>29037</v>
      </c>
      <c r="AD1719" t="s">
        <v>29037</v>
      </c>
      <c r="AE1719" t="s">
        <v>29038</v>
      </c>
      <c r="AF1719" t="s">
        <v>74</v>
      </c>
      <c r="AG1719">
        <v>35</v>
      </c>
      <c r="AH1719">
        <v>0</v>
      </c>
      <c r="AI1719">
        <v>0</v>
      </c>
      <c r="AJ1719">
        <v>4</v>
      </c>
      <c r="AK1719">
        <v>6</v>
      </c>
      <c r="AL1719" t="s">
        <v>19229</v>
      </c>
      <c r="AM1719" t="s">
        <v>19230</v>
      </c>
      <c r="AN1719" t="s">
        <v>19231</v>
      </c>
      <c r="AO1719" t="s">
        <v>29039</v>
      </c>
      <c r="AP1719" t="s">
        <v>29040</v>
      </c>
      <c r="AQ1719" t="s">
        <v>74</v>
      </c>
      <c r="AR1719" t="s">
        <v>29041</v>
      </c>
      <c r="AS1719" t="s">
        <v>29042</v>
      </c>
      <c r="AT1719" t="s">
        <v>594</v>
      </c>
      <c r="AU1719">
        <v>2023</v>
      </c>
      <c r="AV1719">
        <v>231</v>
      </c>
      <c r="AW1719">
        <v>4</v>
      </c>
      <c r="AX1719" t="s">
        <v>74</v>
      </c>
      <c r="AY1719" t="s">
        <v>74</v>
      </c>
      <c r="AZ1719" t="s">
        <v>74</v>
      </c>
      <c r="BA1719" t="s">
        <v>74</v>
      </c>
      <c r="BB1719">
        <v>243</v>
      </c>
      <c r="BC1719">
        <v>251</v>
      </c>
      <c r="BD1719" t="s">
        <v>74</v>
      </c>
      <c r="BE1719" t="s">
        <v>29043</v>
      </c>
      <c r="BF1719" t="str">
        <f>HYPERLINK("http://dx.doi.org/10.1027/2151-2604/a000535","http://dx.doi.org/10.1027/2151-2604/a000535")</f>
        <v>http://dx.doi.org/10.1027/2151-2604/a000535</v>
      </c>
      <c r="BG1719" t="s">
        <v>74</v>
      </c>
      <c r="BH1719" t="s">
        <v>74</v>
      </c>
      <c r="BI1719">
        <v>9</v>
      </c>
      <c r="BJ1719" t="s">
        <v>698</v>
      </c>
      <c r="BK1719" t="s">
        <v>99</v>
      </c>
      <c r="BL1719" t="s">
        <v>301</v>
      </c>
      <c r="BM1719" t="s">
        <v>29044</v>
      </c>
      <c r="BN1719" t="s">
        <v>74</v>
      </c>
      <c r="BO1719" t="s">
        <v>156</v>
      </c>
      <c r="BP1719" t="s">
        <v>74</v>
      </c>
      <c r="BQ1719" t="s">
        <v>74</v>
      </c>
      <c r="BR1719" t="s">
        <v>102</v>
      </c>
      <c r="BS1719" t="s">
        <v>29045</v>
      </c>
      <c r="BT1719" t="str">
        <f>HYPERLINK("https%3A%2F%2Fwww.webofscience.com%2Fwos%2Fwoscc%2Ffull-record%2FWOS:001086733100002","View Full Record in Web of Science")</f>
        <v>View Full Record in Web of Science</v>
      </c>
    </row>
    <row r="1720" spans="1:72" x14ac:dyDescent="0.35">
      <c r="A1720" t="s">
        <v>72</v>
      </c>
      <c r="B1720" t="s">
        <v>29046</v>
      </c>
      <c r="C1720" t="s">
        <v>74</v>
      </c>
      <c r="D1720" t="s">
        <v>74</v>
      </c>
      <c r="E1720" t="s">
        <v>74</v>
      </c>
      <c r="F1720" t="s">
        <v>29047</v>
      </c>
      <c r="G1720" t="s">
        <v>74</v>
      </c>
      <c r="H1720" t="s">
        <v>74</v>
      </c>
      <c r="I1720" t="s">
        <v>29048</v>
      </c>
      <c r="J1720" t="s">
        <v>557</v>
      </c>
      <c r="K1720" t="s">
        <v>74</v>
      </c>
      <c r="L1720" t="s">
        <v>74</v>
      </c>
      <c r="M1720" t="s">
        <v>78</v>
      </c>
      <c r="N1720" t="s">
        <v>108</v>
      </c>
      <c r="O1720" t="s">
        <v>74</v>
      </c>
      <c r="P1720" t="s">
        <v>74</v>
      </c>
      <c r="Q1720" t="s">
        <v>74</v>
      </c>
      <c r="R1720" t="s">
        <v>74</v>
      </c>
      <c r="S1720" t="s">
        <v>74</v>
      </c>
      <c r="T1720" t="s">
        <v>29049</v>
      </c>
      <c r="U1720" t="s">
        <v>29050</v>
      </c>
      <c r="V1720" t="s">
        <v>29051</v>
      </c>
      <c r="W1720" t="s">
        <v>29052</v>
      </c>
      <c r="X1720" t="s">
        <v>29053</v>
      </c>
      <c r="Y1720" t="s">
        <v>29054</v>
      </c>
      <c r="Z1720" t="s">
        <v>29055</v>
      </c>
      <c r="AA1720" t="s">
        <v>29056</v>
      </c>
      <c r="AB1720" t="s">
        <v>74</v>
      </c>
      <c r="AC1720" t="s">
        <v>29057</v>
      </c>
      <c r="AD1720" t="s">
        <v>29058</v>
      </c>
      <c r="AE1720" t="s">
        <v>29059</v>
      </c>
      <c r="AF1720" t="s">
        <v>74</v>
      </c>
      <c r="AG1720">
        <v>98</v>
      </c>
      <c r="AH1720">
        <v>4</v>
      </c>
      <c r="AI1720">
        <v>4</v>
      </c>
      <c r="AJ1720">
        <v>11</v>
      </c>
      <c r="AK1720">
        <v>42</v>
      </c>
      <c r="AL1720" t="s">
        <v>88</v>
      </c>
      <c r="AM1720" t="s">
        <v>89</v>
      </c>
      <c r="AN1720" t="s">
        <v>90</v>
      </c>
      <c r="AO1720" t="s">
        <v>567</v>
      </c>
      <c r="AP1720" t="s">
        <v>568</v>
      </c>
      <c r="AQ1720" t="s">
        <v>74</v>
      </c>
      <c r="AR1720" t="s">
        <v>569</v>
      </c>
      <c r="AS1720" t="s">
        <v>570</v>
      </c>
      <c r="AT1720" t="s">
        <v>27291</v>
      </c>
      <c r="AU1720">
        <v>2024</v>
      </c>
      <c r="AV1720">
        <v>27</v>
      </c>
      <c r="AW1720">
        <v>20</v>
      </c>
      <c r="AX1720" t="s">
        <v>74</v>
      </c>
      <c r="AY1720" t="s">
        <v>74</v>
      </c>
      <c r="AZ1720" t="s">
        <v>74</v>
      </c>
      <c r="BA1720" t="s">
        <v>74</v>
      </c>
      <c r="BB1720">
        <v>3249</v>
      </c>
      <c r="BC1720">
        <v>3265</v>
      </c>
      <c r="BD1720" t="s">
        <v>74</v>
      </c>
      <c r="BE1720" t="s">
        <v>29060</v>
      </c>
      <c r="BF1720" t="str">
        <f>HYPERLINK("http://dx.doi.org/10.1080/13683500.2023.2260062","http://dx.doi.org/10.1080/13683500.2023.2260062")</f>
        <v>http://dx.doi.org/10.1080/13683500.2023.2260062</v>
      </c>
      <c r="BG1720" t="s">
        <v>74</v>
      </c>
      <c r="BH1720" t="s">
        <v>2929</v>
      </c>
      <c r="BI1720">
        <v>17</v>
      </c>
      <c r="BJ1720" t="s">
        <v>574</v>
      </c>
      <c r="BK1720" t="s">
        <v>99</v>
      </c>
      <c r="BL1720" t="s">
        <v>100</v>
      </c>
      <c r="BM1720" t="s">
        <v>29061</v>
      </c>
      <c r="BN1720" t="s">
        <v>74</v>
      </c>
      <c r="BO1720" t="s">
        <v>74</v>
      </c>
      <c r="BP1720" t="s">
        <v>74</v>
      </c>
      <c r="BQ1720" t="s">
        <v>74</v>
      </c>
      <c r="BR1720" t="s">
        <v>102</v>
      </c>
      <c r="BS1720" t="s">
        <v>29062</v>
      </c>
      <c r="BT1720" t="str">
        <f>HYPERLINK("https%3A%2F%2Fwww.webofscience.com%2Fwos%2Fwoscc%2Ffull-record%2FWOS:001068524400001","View Full Record in Web of Science")</f>
        <v>View Full Record in Web of Science</v>
      </c>
    </row>
    <row r="1721" spans="1:72" x14ac:dyDescent="0.35">
      <c r="A1721" t="s">
        <v>72</v>
      </c>
      <c r="B1721" t="s">
        <v>29063</v>
      </c>
      <c r="C1721" t="s">
        <v>74</v>
      </c>
      <c r="D1721" t="s">
        <v>74</v>
      </c>
      <c r="E1721" t="s">
        <v>74</v>
      </c>
      <c r="F1721" t="s">
        <v>25581</v>
      </c>
      <c r="G1721" t="s">
        <v>74</v>
      </c>
      <c r="H1721" t="s">
        <v>74</v>
      </c>
      <c r="I1721" t="s">
        <v>29064</v>
      </c>
      <c r="J1721" t="s">
        <v>29065</v>
      </c>
      <c r="K1721" t="s">
        <v>74</v>
      </c>
      <c r="L1721" t="s">
        <v>74</v>
      </c>
      <c r="M1721" t="s">
        <v>78</v>
      </c>
      <c r="N1721" t="s">
        <v>108</v>
      </c>
      <c r="O1721" t="s">
        <v>74</v>
      </c>
      <c r="P1721" t="s">
        <v>74</v>
      </c>
      <c r="Q1721" t="s">
        <v>74</v>
      </c>
      <c r="R1721" t="s">
        <v>74</v>
      </c>
      <c r="S1721" t="s">
        <v>74</v>
      </c>
      <c r="T1721" t="s">
        <v>29066</v>
      </c>
      <c r="U1721" t="s">
        <v>29067</v>
      </c>
      <c r="V1721" t="s">
        <v>29068</v>
      </c>
      <c r="W1721" t="s">
        <v>74</v>
      </c>
      <c r="X1721" t="s">
        <v>74</v>
      </c>
      <c r="Y1721" t="s">
        <v>74</v>
      </c>
      <c r="Z1721" t="s">
        <v>25589</v>
      </c>
      <c r="AA1721" t="s">
        <v>74</v>
      </c>
      <c r="AB1721" t="s">
        <v>74</v>
      </c>
      <c r="AC1721" t="s">
        <v>29069</v>
      </c>
      <c r="AD1721" t="s">
        <v>29069</v>
      </c>
      <c r="AE1721" t="s">
        <v>29070</v>
      </c>
      <c r="AF1721" t="s">
        <v>74</v>
      </c>
      <c r="AG1721">
        <v>48</v>
      </c>
      <c r="AH1721">
        <v>1</v>
      </c>
      <c r="AI1721">
        <v>1</v>
      </c>
      <c r="AJ1721">
        <v>0</v>
      </c>
      <c r="AK1721">
        <v>0</v>
      </c>
      <c r="AL1721" t="s">
        <v>88</v>
      </c>
      <c r="AM1721" t="s">
        <v>89</v>
      </c>
      <c r="AN1721" t="s">
        <v>90</v>
      </c>
      <c r="AO1721" t="s">
        <v>29071</v>
      </c>
      <c r="AP1721" t="s">
        <v>29072</v>
      </c>
      <c r="AQ1721" t="s">
        <v>74</v>
      </c>
      <c r="AR1721" t="s">
        <v>29073</v>
      </c>
      <c r="AS1721" t="s">
        <v>29074</v>
      </c>
      <c r="AT1721" t="s">
        <v>13174</v>
      </c>
      <c r="AU1721">
        <v>2022</v>
      </c>
      <c r="AV1721">
        <v>36</v>
      </c>
      <c r="AW1721">
        <v>4</v>
      </c>
      <c r="AX1721" t="s">
        <v>74</v>
      </c>
      <c r="AY1721" t="s">
        <v>74</v>
      </c>
      <c r="AZ1721" t="s">
        <v>456</v>
      </c>
      <c r="BA1721" t="s">
        <v>74</v>
      </c>
      <c r="BB1721">
        <v>108</v>
      </c>
      <c r="BC1721">
        <v>121</v>
      </c>
      <c r="BD1721" t="s">
        <v>74</v>
      </c>
      <c r="BE1721" t="s">
        <v>29075</v>
      </c>
      <c r="BF1721" t="str">
        <f>HYPERLINK("http://dx.doi.org/10.1080/10130950.2022.2200227","http://dx.doi.org/10.1080/10130950.2022.2200227")</f>
        <v>http://dx.doi.org/10.1080/10130950.2022.2200227</v>
      </c>
      <c r="BG1721" t="s">
        <v>74</v>
      </c>
      <c r="BH1721" t="s">
        <v>2034</v>
      </c>
      <c r="BI1721">
        <v>14</v>
      </c>
      <c r="BJ1721" t="s">
        <v>4550</v>
      </c>
      <c r="BK1721" t="s">
        <v>125</v>
      </c>
      <c r="BL1721" t="s">
        <v>4550</v>
      </c>
      <c r="BM1721" t="s">
        <v>29076</v>
      </c>
      <c r="BN1721" t="s">
        <v>74</v>
      </c>
      <c r="BO1721" t="s">
        <v>74</v>
      </c>
      <c r="BP1721" t="s">
        <v>74</v>
      </c>
      <c r="BQ1721" t="s">
        <v>74</v>
      </c>
      <c r="BR1721" t="s">
        <v>102</v>
      </c>
      <c r="BS1721" t="s">
        <v>29077</v>
      </c>
      <c r="BT1721" t="str">
        <f>HYPERLINK("https%3A%2F%2Fwww.webofscience.com%2Fwos%2Fwoscc%2Ffull-record%2FWOS:000974939300001","View Full Record in Web of Science")</f>
        <v>View Full Record in Web of Science</v>
      </c>
    </row>
    <row r="1722" spans="1:72" x14ac:dyDescent="0.35">
      <c r="A1722" t="s">
        <v>72</v>
      </c>
      <c r="B1722" t="s">
        <v>29078</v>
      </c>
      <c r="C1722" t="s">
        <v>74</v>
      </c>
      <c r="D1722" t="s">
        <v>74</v>
      </c>
      <c r="E1722" t="s">
        <v>74</v>
      </c>
      <c r="F1722" t="s">
        <v>29079</v>
      </c>
      <c r="G1722" t="s">
        <v>74</v>
      </c>
      <c r="H1722" t="s">
        <v>74</v>
      </c>
      <c r="I1722" t="s">
        <v>29080</v>
      </c>
      <c r="J1722" t="s">
        <v>25786</v>
      </c>
      <c r="K1722" t="s">
        <v>74</v>
      </c>
      <c r="L1722" t="s">
        <v>74</v>
      </c>
      <c r="M1722" t="s">
        <v>78</v>
      </c>
      <c r="N1722" t="s">
        <v>108</v>
      </c>
      <c r="O1722" t="s">
        <v>74</v>
      </c>
      <c r="P1722" t="s">
        <v>74</v>
      </c>
      <c r="Q1722" t="s">
        <v>74</v>
      </c>
      <c r="R1722" t="s">
        <v>74</v>
      </c>
      <c r="S1722" t="s">
        <v>74</v>
      </c>
      <c r="T1722" t="s">
        <v>29081</v>
      </c>
      <c r="U1722" t="s">
        <v>29082</v>
      </c>
      <c r="V1722" t="s">
        <v>29083</v>
      </c>
      <c r="W1722" t="s">
        <v>29084</v>
      </c>
      <c r="X1722" t="s">
        <v>29053</v>
      </c>
      <c r="Y1722" t="s">
        <v>29085</v>
      </c>
      <c r="Z1722" t="s">
        <v>29086</v>
      </c>
      <c r="AA1722" t="s">
        <v>29087</v>
      </c>
      <c r="AB1722" t="s">
        <v>74</v>
      </c>
      <c r="AC1722" t="s">
        <v>29088</v>
      </c>
      <c r="AD1722" t="s">
        <v>4847</v>
      </c>
      <c r="AE1722" t="s">
        <v>29089</v>
      </c>
      <c r="AF1722" t="s">
        <v>74</v>
      </c>
      <c r="AG1722">
        <v>54</v>
      </c>
      <c r="AH1722">
        <v>0</v>
      </c>
      <c r="AI1722">
        <v>0</v>
      </c>
      <c r="AJ1722">
        <v>28</v>
      </c>
      <c r="AK1722">
        <v>63</v>
      </c>
      <c r="AL1722" t="s">
        <v>25795</v>
      </c>
      <c r="AM1722" t="s">
        <v>227</v>
      </c>
      <c r="AN1722" t="s">
        <v>25796</v>
      </c>
      <c r="AO1722" t="s">
        <v>74</v>
      </c>
      <c r="AP1722" t="s">
        <v>25797</v>
      </c>
      <c r="AQ1722" t="s">
        <v>74</v>
      </c>
      <c r="AR1722" t="s">
        <v>25798</v>
      </c>
      <c r="AS1722" t="s">
        <v>25799</v>
      </c>
      <c r="AT1722" t="s">
        <v>22988</v>
      </c>
      <c r="AU1722">
        <v>2024</v>
      </c>
      <c r="AV1722">
        <v>10</v>
      </c>
      <c r="AW1722" t="s">
        <v>74</v>
      </c>
      <c r="AX1722" t="s">
        <v>74</v>
      </c>
      <c r="AY1722" t="s">
        <v>74</v>
      </c>
      <c r="AZ1722" t="s">
        <v>74</v>
      </c>
      <c r="BA1722" t="s">
        <v>74</v>
      </c>
      <c r="BB1722" t="s">
        <v>74</v>
      </c>
      <c r="BC1722" t="s">
        <v>74</v>
      </c>
      <c r="BD1722" t="s">
        <v>29090</v>
      </c>
      <c r="BE1722" t="s">
        <v>29091</v>
      </c>
      <c r="BF1722" t="str">
        <f>HYPERLINK("http://dx.doi.org/10.7717/peerj-cs.1801","http://dx.doi.org/10.7717/peerj-cs.1801")</f>
        <v>http://dx.doi.org/10.7717/peerj-cs.1801</v>
      </c>
      <c r="BG1722" t="s">
        <v>74</v>
      </c>
      <c r="BH1722" t="s">
        <v>74</v>
      </c>
      <c r="BI1722">
        <v>18</v>
      </c>
      <c r="BJ1722" t="s">
        <v>894</v>
      </c>
      <c r="BK1722" t="s">
        <v>209</v>
      </c>
      <c r="BL1722" t="s">
        <v>210</v>
      </c>
      <c r="BM1722" t="s">
        <v>29092</v>
      </c>
      <c r="BN1722">
        <v>38435561</v>
      </c>
      <c r="BO1722" t="s">
        <v>394</v>
      </c>
      <c r="BP1722" t="s">
        <v>74</v>
      </c>
      <c r="BQ1722" t="s">
        <v>74</v>
      </c>
      <c r="BR1722" t="s">
        <v>102</v>
      </c>
      <c r="BS1722" t="s">
        <v>29093</v>
      </c>
      <c r="BT1722" t="str">
        <f>HYPERLINK("https%3A%2F%2Fwww.webofscience.com%2Fwos%2Fwoscc%2Ffull-record%2FWOS:001156835700001","View Full Record in Web of Science")</f>
        <v>View Full Record in Web of Science</v>
      </c>
    </row>
    <row r="1723" spans="1:72" x14ac:dyDescent="0.35">
      <c r="A1723" t="s">
        <v>128</v>
      </c>
      <c r="B1723" t="s">
        <v>29094</v>
      </c>
      <c r="C1723" t="s">
        <v>74</v>
      </c>
      <c r="D1723" t="s">
        <v>29095</v>
      </c>
      <c r="E1723" t="s">
        <v>74</v>
      </c>
      <c r="F1723" t="s">
        <v>29096</v>
      </c>
      <c r="G1723" t="s">
        <v>74</v>
      </c>
      <c r="H1723" t="s">
        <v>74</v>
      </c>
      <c r="I1723" t="s">
        <v>29097</v>
      </c>
      <c r="J1723" t="s">
        <v>29098</v>
      </c>
      <c r="K1723" t="s">
        <v>8364</v>
      </c>
      <c r="L1723" t="s">
        <v>74</v>
      </c>
      <c r="M1723" t="s">
        <v>78</v>
      </c>
      <c r="N1723" t="s">
        <v>135</v>
      </c>
      <c r="O1723" t="s">
        <v>29099</v>
      </c>
      <c r="P1723" t="s">
        <v>10449</v>
      </c>
      <c r="Q1723" t="s">
        <v>6828</v>
      </c>
      <c r="R1723" t="s">
        <v>74</v>
      </c>
      <c r="S1723" t="s">
        <v>74</v>
      </c>
      <c r="T1723" t="s">
        <v>29100</v>
      </c>
      <c r="U1723" t="s">
        <v>29101</v>
      </c>
      <c r="V1723" t="s">
        <v>29102</v>
      </c>
      <c r="W1723" t="s">
        <v>29103</v>
      </c>
      <c r="X1723" t="s">
        <v>5390</v>
      </c>
      <c r="Y1723" t="s">
        <v>29104</v>
      </c>
      <c r="Z1723" t="s">
        <v>29105</v>
      </c>
      <c r="AA1723" t="s">
        <v>74</v>
      </c>
      <c r="AB1723" t="s">
        <v>74</v>
      </c>
      <c r="AC1723" t="s">
        <v>74</v>
      </c>
      <c r="AD1723" t="s">
        <v>74</v>
      </c>
      <c r="AE1723" t="s">
        <v>74</v>
      </c>
      <c r="AF1723" t="s">
        <v>74</v>
      </c>
      <c r="AG1723">
        <v>31</v>
      </c>
      <c r="AH1723">
        <v>0</v>
      </c>
      <c r="AI1723">
        <v>0</v>
      </c>
      <c r="AJ1723">
        <v>2</v>
      </c>
      <c r="AK1723">
        <v>2</v>
      </c>
      <c r="AL1723" t="s">
        <v>639</v>
      </c>
      <c r="AM1723" t="s">
        <v>640</v>
      </c>
      <c r="AN1723" t="s">
        <v>641</v>
      </c>
      <c r="AO1723" t="s">
        <v>8380</v>
      </c>
      <c r="AP1723" t="s">
        <v>8381</v>
      </c>
      <c r="AQ1723" t="s">
        <v>29106</v>
      </c>
      <c r="AR1723" t="s">
        <v>8383</v>
      </c>
      <c r="AS1723" t="s">
        <v>74</v>
      </c>
      <c r="AT1723" t="s">
        <v>74</v>
      </c>
      <c r="AU1723">
        <v>2024</v>
      </c>
      <c r="AV1723">
        <v>14706</v>
      </c>
      <c r="AW1723" t="s">
        <v>74</v>
      </c>
      <c r="AX1723" t="s">
        <v>74</v>
      </c>
      <c r="AY1723" t="s">
        <v>74</v>
      </c>
      <c r="AZ1723" t="s">
        <v>74</v>
      </c>
      <c r="BA1723" t="s">
        <v>74</v>
      </c>
      <c r="BB1723">
        <v>93</v>
      </c>
      <c r="BC1723">
        <v>105</v>
      </c>
      <c r="BD1723" t="s">
        <v>74</v>
      </c>
      <c r="BE1723" t="s">
        <v>29107</v>
      </c>
      <c r="BF1723" t="str">
        <f>HYPERLINK("http://dx.doi.org/10.1007/978-3-031-61041-7_7","http://dx.doi.org/10.1007/978-3-031-61041-7_7")</f>
        <v>http://dx.doi.org/10.1007/978-3-031-61041-7_7</v>
      </c>
      <c r="BG1723" t="s">
        <v>74</v>
      </c>
      <c r="BH1723" t="s">
        <v>74</v>
      </c>
      <c r="BI1723">
        <v>13</v>
      </c>
      <c r="BJ1723" t="s">
        <v>29108</v>
      </c>
      <c r="BK1723" t="s">
        <v>723</v>
      </c>
      <c r="BL1723" t="s">
        <v>210</v>
      </c>
      <c r="BM1723" t="s">
        <v>29109</v>
      </c>
      <c r="BN1723" t="s">
        <v>74</v>
      </c>
      <c r="BO1723" t="s">
        <v>74</v>
      </c>
      <c r="BP1723" t="s">
        <v>74</v>
      </c>
      <c r="BQ1723" t="s">
        <v>74</v>
      </c>
      <c r="BR1723" t="s">
        <v>102</v>
      </c>
      <c r="BS1723" t="s">
        <v>29110</v>
      </c>
      <c r="BT1723" t="str">
        <f>HYPERLINK("https%3A%2F%2Fwww.webofscience.com%2Fwos%2Fwoscc%2Ffull-record%2FWOS:001280582500007","View Full Record in Web of Science")</f>
        <v>View Full Record in Web of Science</v>
      </c>
    </row>
    <row r="1724" spans="1:72" x14ac:dyDescent="0.35">
      <c r="A1724" t="s">
        <v>72</v>
      </c>
      <c r="B1724" t="s">
        <v>29111</v>
      </c>
      <c r="C1724" t="s">
        <v>74</v>
      </c>
      <c r="D1724" t="s">
        <v>74</v>
      </c>
      <c r="E1724" t="s">
        <v>74</v>
      </c>
      <c r="F1724" t="s">
        <v>29112</v>
      </c>
      <c r="G1724" t="s">
        <v>74</v>
      </c>
      <c r="H1724" t="s">
        <v>74</v>
      </c>
      <c r="I1724" t="s">
        <v>29113</v>
      </c>
      <c r="J1724" t="s">
        <v>29114</v>
      </c>
      <c r="K1724" t="s">
        <v>74</v>
      </c>
      <c r="L1724" t="s">
        <v>74</v>
      </c>
      <c r="M1724" t="s">
        <v>78</v>
      </c>
      <c r="N1724" t="s">
        <v>108</v>
      </c>
      <c r="O1724" t="s">
        <v>74</v>
      </c>
      <c r="P1724" t="s">
        <v>74</v>
      </c>
      <c r="Q1724" t="s">
        <v>74</v>
      </c>
      <c r="R1724" t="s">
        <v>74</v>
      </c>
      <c r="S1724" t="s">
        <v>74</v>
      </c>
      <c r="T1724" t="s">
        <v>29115</v>
      </c>
      <c r="U1724" t="s">
        <v>74</v>
      </c>
      <c r="V1724" t="s">
        <v>29116</v>
      </c>
      <c r="W1724" t="s">
        <v>29117</v>
      </c>
      <c r="X1724" t="s">
        <v>29118</v>
      </c>
      <c r="Y1724" t="s">
        <v>29119</v>
      </c>
      <c r="Z1724" t="s">
        <v>29120</v>
      </c>
      <c r="AA1724" t="s">
        <v>29121</v>
      </c>
      <c r="AB1724" t="s">
        <v>29122</v>
      </c>
      <c r="AC1724" t="s">
        <v>29123</v>
      </c>
      <c r="AD1724" t="s">
        <v>29124</v>
      </c>
      <c r="AE1724" t="s">
        <v>29125</v>
      </c>
      <c r="AF1724" t="s">
        <v>74</v>
      </c>
      <c r="AG1724">
        <v>19</v>
      </c>
      <c r="AH1724">
        <v>3</v>
      </c>
      <c r="AI1724">
        <v>3</v>
      </c>
      <c r="AJ1724">
        <v>0</v>
      </c>
      <c r="AK1724">
        <v>16</v>
      </c>
      <c r="AL1724" t="s">
        <v>29126</v>
      </c>
      <c r="AM1724" t="s">
        <v>29127</v>
      </c>
      <c r="AN1724" t="s">
        <v>29128</v>
      </c>
      <c r="AO1724" t="s">
        <v>29129</v>
      </c>
      <c r="AP1724" t="s">
        <v>74</v>
      </c>
      <c r="AQ1724" t="s">
        <v>74</v>
      </c>
      <c r="AR1724" t="s">
        <v>29130</v>
      </c>
      <c r="AS1724" t="s">
        <v>29131</v>
      </c>
      <c r="AT1724" t="s">
        <v>74</v>
      </c>
      <c r="AU1724">
        <v>2021</v>
      </c>
      <c r="AV1724">
        <v>33</v>
      </c>
      <c r="AW1724">
        <v>4</v>
      </c>
      <c r="AX1724" t="s">
        <v>74</v>
      </c>
      <c r="AY1724" t="s">
        <v>74</v>
      </c>
      <c r="AZ1724" t="s">
        <v>456</v>
      </c>
      <c r="BA1724" t="s">
        <v>74</v>
      </c>
      <c r="BB1724">
        <v>1343</v>
      </c>
      <c r="BC1724">
        <v>1352</v>
      </c>
      <c r="BD1724" t="s">
        <v>74</v>
      </c>
      <c r="BE1724" t="s">
        <v>29132</v>
      </c>
      <c r="BF1724" t="str">
        <f>HYPERLINK("http://dx.doi.org/10.18494/SAM.2021.3172","http://dx.doi.org/10.18494/SAM.2021.3172")</f>
        <v>http://dx.doi.org/10.18494/SAM.2021.3172</v>
      </c>
      <c r="BG1724" t="s">
        <v>74</v>
      </c>
      <c r="BH1724" t="s">
        <v>74</v>
      </c>
      <c r="BI1724">
        <v>10</v>
      </c>
      <c r="BJ1724" t="s">
        <v>29133</v>
      </c>
      <c r="BK1724" t="s">
        <v>209</v>
      </c>
      <c r="BL1724" t="s">
        <v>29134</v>
      </c>
      <c r="BM1724" t="s">
        <v>29135</v>
      </c>
      <c r="BN1724" t="s">
        <v>74</v>
      </c>
      <c r="BO1724" t="s">
        <v>235</v>
      </c>
      <c r="BP1724" t="s">
        <v>74</v>
      </c>
      <c r="BQ1724" t="s">
        <v>74</v>
      </c>
      <c r="BR1724" t="s">
        <v>102</v>
      </c>
      <c r="BS1724" t="s">
        <v>29136</v>
      </c>
      <c r="BT1724" t="str">
        <f>HYPERLINK("https%3A%2F%2Fwww.webofscience.com%2Fwos%2Fwoscc%2Ffull-record%2FWOS:000640595600011","View Full Record in Web of Science")</f>
        <v>View Full Record in Web of Science</v>
      </c>
    </row>
    <row r="1725" spans="1:72" x14ac:dyDescent="0.35">
      <c r="A1725" t="s">
        <v>72</v>
      </c>
      <c r="B1725" t="s">
        <v>29137</v>
      </c>
      <c r="C1725" t="s">
        <v>74</v>
      </c>
      <c r="D1725" t="s">
        <v>74</v>
      </c>
      <c r="E1725" t="s">
        <v>74</v>
      </c>
      <c r="F1725" t="s">
        <v>29138</v>
      </c>
      <c r="G1725" t="s">
        <v>74</v>
      </c>
      <c r="H1725" t="s">
        <v>74</v>
      </c>
      <c r="I1725" t="s">
        <v>29139</v>
      </c>
      <c r="J1725" t="s">
        <v>1433</v>
      </c>
      <c r="K1725" t="s">
        <v>74</v>
      </c>
      <c r="L1725" t="s">
        <v>74</v>
      </c>
      <c r="M1725" t="s">
        <v>78</v>
      </c>
      <c r="N1725" t="s">
        <v>108</v>
      </c>
      <c r="O1725" t="s">
        <v>74</v>
      </c>
      <c r="P1725" t="s">
        <v>74</v>
      </c>
      <c r="Q1725" t="s">
        <v>74</v>
      </c>
      <c r="R1725" t="s">
        <v>74</v>
      </c>
      <c r="S1725" t="s">
        <v>74</v>
      </c>
      <c r="T1725" t="s">
        <v>29140</v>
      </c>
      <c r="U1725" t="s">
        <v>29141</v>
      </c>
      <c r="V1725" t="s">
        <v>29142</v>
      </c>
      <c r="W1725" t="s">
        <v>29143</v>
      </c>
      <c r="X1725" t="s">
        <v>25003</v>
      </c>
      <c r="Y1725" t="s">
        <v>29144</v>
      </c>
      <c r="Z1725" t="s">
        <v>29145</v>
      </c>
      <c r="AA1725" t="s">
        <v>74</v>
      </c>
      <c r="AB1725" t="s">
        <v>74</v>
      </c>
      <c r="AC1725" t="s">
        <v>74</v>
      </c>
      <c r="AD1725" t="s">
        <v>74</v>
      </c>
      <c r="AE1725" t="s">
        <v>74</v>
      </c>
      <c r="AF1725" t="s">
        <v>74</v>
      </c>
      <c r="AG1725">
        <v>33</v>
      </c>
      <c r="AH1725">
        <v>0</v>
      </c>
      <c r="AI1725">
        <v>0</v>
      </c>
      <c r="AJ1725">
        <v>19</v>
      </c>
      <c r="AK1725">
        <v>22</v>
      </c>
      <c r="AL1725" t="s">
        <v>88</v>
      </c>
      <c r="AM1725" t="s">
        <v>89</v>
      </c>
      <c r="AN1725" t="s">
        <v>90</v>
      </c>
      <c r="AO1725" t="s">
        <v>1443</v>
      </c>
      <c r="AP1725" t="s">
        <v>1444</v>
      </c>
      <c r="AQ1725" t="s">
        <v>74</v>
      </c>
      <c r="AR1725" t="s">
        <v>1445</v>
      </c>
      <c r="AS1725" t="s">
        <v>1446</v>
      </c>
      <c r="AT1725" t="s">
        <v>15516</v>
      </c>
      <c r="AU1725">
        <v>2024</v>
      </c>
      <c r="AV1725">
        <v>25</v>
      </c>
      <c r="AW1725">
        <v>7</v>
      </c>
      <c r="AX1725" t="s">
        <v>74</v>
      </c>
      <c r="AY1725" t="s">
        <v>74</v>
      </c>
      <c r="AZ1725" t="s">
        <v>74</v>
      </c>
      <c r="BA1725" t="s">
        <v>74</v>
      </c>
      <c r="BB1725">
        <v>776</v>
      </c>
      <c r="BC1725">
        <v>793</v>
      </c>
      <c r="BD1725" t="s">
        <v>74</v>
      </c>
      <c r="BE1725" t="s">
        <v>29146</v>
      </c>
      <c r="BF1725" t="str">
        <f>HYPERLINK("http://dx.doi.org/10.1080/1461670X.2024.2340591","http://dx.doi.org/10.1080/1461670X.2024.2340591")</f>
        <v>http://dx.doi.org/10.1080/1461670X.2024.2340591</v>
      </c>
      <c r="BG1725" t="s">
        <v>74</v>
      </c>
      <c r="BH1725" t="s">
        <v>2410</v>
      </c>
      <c r="BI1725">
        <v>18</v>
      </c>
      <c r="BJ1725" t="s">
        <v>124</v>
      </c>
      <c r="BK1725" t="s">
        <v>99</v>
      </c>
      <c r="BL1725" t="s">
        <v>124</v>
      </c>
      <c r="BM1725" t="s">
        <v>29147</v>
      </c>
      <c r="BN1725" t="s">
        <v>74</v>
      </c>
      <c r="BO1725" t="s">
        <v>156</v>
      </c>
      <c r="BP1725" t="s">
        <v>74</v>
      </c>
      <c r="BQ1725" t="s">
        <v>74</v>
      </c>
      <c r="BR1725" t="s">
        <v>102</v>
      </c>
      <c r="BS1725" t="s">
        <v>29148</v>
      </c>
      <c r="BT1725" t="str">
        <f>HYPERLINK("https%3A%2F%2Fwww.webofscience.com%2Fwos%2Fwoscc%2Ffull-record%2FWOS:001202614400001","View Full Record in Web of Science")</f>
        <v>View Full Record in Web of Science</v>
      </c>
    </row>
    <row r="1726" spans="1:72" x14ac:dyDescent="0.35">
      <c r="A1726" t="s">
        <v>128</v>
      </c>
      <c r="B1726" t="s">
        <v>29149</v>
      </c>
      <c r="C1726" t="s">
        <v>74</v>
      </c>
      <c r="D1726" t="s">
        <v>74</v>
      </c>
      <c r="E1726" t="s">
        <v>29150</v>
      </c>
      <c r="F1726" t="s">
        <v>29151</v>
      </c>
      <c r="G1726" t="s">
        <v>74</v>
      </c>
      <c r="H1726" t="s">
        <v>74</v>
      </c>
      <c r="I1726" t="s">
        <v>29152</v>
      </c>
      <c r="J1726" t="s">
        <v>29153</v>
      </c>
      <c r="K1726" t="s">
        <v>29154</v>
      </c>
      <c r="L1726" t="s">
        <v>74</v>
      </c>
      <c r="M1726" t="s">
        <v>78</v>
      </c>
      <c r="N1726" t="s">
        <v>135</v>
      </c>
      <c r="O1726" t="s">
        <v>29155</v>
      </c>
      <c r="P1726" t="s">
        <v>29156</v>
      </c>
      <c r="Q1726" t="s">
        <v>29157</v>
      </c>
      <c r="R1726" t="s">
        <v>29158</v>
      </c>
      <c r="S1726" t="s">
        <v>74</v>
      </c>
      <c r="T1726" t="s">
        <v>74</v>
      </c>
      <c r="U1726" t="s">
        <v>74</v>
      </c>
      <c r="V1726" t="s">
        <v>29159</v>
      </c>
      <c r="W1726" t="s">
        <v>29160</v>
      </c>
      <c r="X1726" t="s">
        <v>29161</v>
      </c>
      <c r="Y1726" t="s">
        <v>29162</v>
      </c>
      <c r="Z1726" t="s">
        <v>29163</v>
      </c>
      <c r="AA1726" t="s">
        <v>29164</v>
      </c>
      <c r="AB1726" t="s">
        <v>29165</v>
      </c>
      <c r="AC1726" t="s">
        <v>29166</v>
      </c>
      <c r="AD1726" t="s">
        <v>29167</v>
      </c>
      <c r="AE1726" t="s">
        <v>29168</v>
      </c>
      <c r="AF1726" t="s">
        <v>74</v>
      </c>
      <c r="AG1726">
        <v>13</v>
      </c>
      <c r="AH1726">
        <v>2</v>
      </c>
      <c r="AI1726">
        <v>2</v>
      </c>
      <c r="AJ1726">
        <v>0</v>
      </c>
      <c r="AK1726">
        <v>4</v>
      </c>
      <c r="AL1726" t="s">
        <v>758</v>
      </c>
      <c r="AM1726" t="s">
        <v>759</v>
      </c>
      <c r="AN1726" t="s">
        <v>2146</v>
      </c>
      <c r="AO1726" t="s">
        <v>29169</v>
      </c>
      <c r="AP1726" t="s">
        <v>74</v>
      </c>
      <c r="AQ1726" t="s">
        <v>29170</v>
      </c>
      <c r="AR1726" t="s">
        <v>29171</v>
      </c>
      <c r="AS1726" t="s">
        <v>74</v>
      </c>
      <c r="AT1726" t="s">
        <v>74</v>
      </c>
      <c r="AU1726">
        <v>2022</v>
      </c>
      <c r="AV1726" t="s">
        <v>74</v>
      </c>
      <c r="AW1726" t="s">
        <v>74</v>
      </c>
      <c r="AX1726" t="s">
        <v>74</v>
      </c>
      <c r="AY1726" t="s">
        <v>74</v>
      </c>
      <c r="AZ1726" t="s">
        <v>74</v>
      </c>
      <c r="BA1726" t="s">
        <v>74</v>
      </c>
      <c r="BB1726">
        <v>517</v>
      </c>
      <c r="BC1726">
        <v>525</v>
      </c>
      <c r="BD1726" t="s">
        <v>74</v>
      </c>
      <c r="BE1726" t="s">
        <v>29172</v>
      </c>
      <c r="BF1726" t="str">
        <f>HYPERLINK("http://dx.doi.org/10.1109/WACV51458.2022.00059","http://dx.doi.org/10.1109/WACV51458.2022.00059")</f>
        <v>http://dx.doi.org/10.1109/WACV51458.2022.00059</v>
      </c>
      <c r="BG1726" t="s">
        <v>74</v>
      </c>
      <c r="BH1726" t="s">
        <v>74</v>
      </c>
      <c r="BI1726">
        <v>9</v>
      </c>
      <c r="BJ1726" t="s">
        <v>27907</v>
      </c>
      <c r="BK1726" t="s">
        <v>723</v>
      </c>
      <c r="BL1726" t="s">
        <v>26231</v>
      </c>
      <c r="BM1726" t="s">
        <v>29173</v>
      </c>
      <c r="BN1726" t="s">
        <v>74</v>
      </c>
      <c r="BO1726" t="s">
        <v>2738</v>
      </c>
      <c r="BP1726" t="s">
        <v>74</v>
      </c>
      <c r="BQ1726" t="s">
        <v>74</v>
      </c>
      <c r="BR1726" t="s">
        <v>102</v>
      </c>
      <c r="BS1726" t="s">
        <v>29174</v>
      </c>
      <c r="BT1726" t="str">
        <f>HYPERLINK("https%3A%2F%2Fwww.webofscience.com%2Fwos%2Fwoscc%2Ffull-record%2FWOS:000800471200052","View Full Record in Web of Science")</f>
        <v>View Full Record in Web of Science</v>
      </c>
    </row>
    <row r="1727" spans="1:72" x14ac:dyDescent="0.35">
      <c r="A1727" t="s">
        <v>72</v>
      </c>
      <c r="B1727" t="s">
        <v>29175</v>
      </c>
      <c r="C1727" t="s">
        <v>74</v>
      </c>
      <c r="D1727" t="s">
        <v>74</v>
      </c>
      <c r="E1727" t="s">
        <v>74</v>
      </c>
      <c r="F1727" t="s">
        <v>29176</v>
      </c>
      <c r="G1727" t="s">
        <v>74</v>
      </c>
      <c r="H1727" t="s">
        <v>74</v>
      </c>
      <c r="I1727" t="s">
        <v>29177</v>
      </c>
      <c r="J1727" t="s">
        <v>2450</v>
      </c>
      <c r="K1727" t="s">
        <v>74</v>
      </c>
      <c r="L1727" t="s">
        <v>74</v>
      </c>
      <c r="M1727" t="s">
        <v>78</v>
      </c>
      <c r="N1727" t="s">
        <v>108</v>
      </c>
      <c r="O1727" t="s">
        <v>74</v>
      </c>
      <c r="P1727" t="s">
        <v>74</v>
      </c>
      <c r="Q1727" t="s">
        <v>74</v>
      </c>
      <c r="R1727" t="s">
        <v>74</v>
      </c>
      <c r="S1727" t="s">
        <v>74</v>
      </c>
      <c r="T1727" t="s">
        <v>74</v>
      </c>
      <c r="U1727" t="s">
        <v>29178</v>
      </c>
      <c r="V1727" t="s">
        <v>29179</v>
      </c>
      <c r="W1727" t="s">
        <v>29180</v>
      </c>
      <c r="X1727" t="s">
        <v>29181</v>
      </c>
      <c r="Y1727" t="s">
        <v>29182</v>
      </c>
      <c r="Z1727" t="s">
        <v>29183</v>
      </c>
      <c r="AA1727" t="s">
        <v>74</v>
      </c>
      <c r="AB1727" t="s">
        <v>74</v>
      </c>
      <c r="AC1727" t="s">
        <v>29184</v>
      </c>
      <c r="AD1727" t="s">
        <v>29185</v>
      </c>
      <c r="AE1727" t="s">
        <v>29186</v>
      </c>
      <c r="AF1727" t="s">
        <v>74</v>
      </c>
      <c r="AG1727">
        <v>73</v>
      </c>
      <c r="AH1727">
        <v>0</v>
      </c>
      <c r="AI1727">
        <v>0</v>
      </c>
      <c r="AJ1727">
        <v>15</v>
      </c>
      <c r="AK1727">
        <v>37</v>
      </c>
      <c r="AL1727" t="s">
        <v>2458</v>
      </c>
      <c r="AM1727" t="s">
        <v>2459</v>
      </c>
      <c r="AN1727" t="s">
        <v>2460</v>
      </c>
      <c r="AO1727" t="s">
        <v>2461</v>
      </c>
      <c r="AP1727" t="s">
        <v>74</v>
      </c>
      <c r="AQ1727" t="s">
        <v>74</v>
      </c>
      <c r="AR1727" t="s">
        <v>2450</v>
      </c>
      <c r="AS1727" t="s">
        <v>2462</v>
      </c>
      <c r="AT1727" t="s">
        <v>2824</v>
      </c>
      <c r="AU1727">
        <v>2024</v>
      </c>
      <c r="AV1727">
        <v>19</v>
      </c>
      <c r="AW1727">
        <v>1</v>
      </c>
      <c r="AX1727" t="s">
        <v>74</v>
      </c>
      <c r="AY1727" t="s">
        <v>74</v>
      </c>
      <c r="AZ1727" t="s">
        <v>74</v>
      </c>
      <c r="BA1727" t="s">
        <v>74</v>
      </c>
      <c r="BB1727" t="s">
        <v>74</v>
      </c>
      <c r="BC1727" t="s">
        <v>74</v>
      </c>
      <c r="BD1727" t="s">
        <v>29187</v>
      </c>
      <c r="BE1727" t="s">
        <v>29188</v>
      </c>
      <c r="BF1727" t="str">
        <f>HYPERLINK("http://dx.doi.org/10.1371/journal.pone.0296908","http://dx.doi.org/10.1371/journal.pone.0296908")</f>
        <v>http://dx.doi.org/10.1371/journal.pone.0296908</v>
      </c>
      <c r="BG1727" t="s">
        <v>74</v>
      </c>
      <c r="BH1727" t="s">
        <v>74</v>
      </c>
      <c r="BI1727">
        <v>19</v>
      </c>
      <c r="BJ1727" t="s">
        <v>1301</v>
      </c>
      <c r="BK1727" t="s">
        <v>209</v>
      </c>
      <c r="BL1727" t="s">
        <v>1302</v>
      </c>
      <c r="BM1727" t="s">
        <v>29189</v>
      </c>
      <c r="BN1727">
        <v>38232074</v>
      </c>
      <c r="BO1727" t="s">
        <v>394</v>
      </c>
      <c r="BP1727" t="s">
        <v>74</v>
      </c>
      <c r="BQ1727" t="s">
        <v>74</v>
      </c>
      <c r="BR1727" t="s">
        <v>102</v>
      </c>
      <c r="BS1727" t="s">
        <v>29190</v>
      </c>
      <c r="BT1727" t="str">
        <f>HYPERLINK("https%3A%2F%2Fwww.webofscience.com%2Fwos%2Fwoscc%2Ffull-record%2FWOS:001150484900012","View Full Record in Web of Science")</f>
        <v>View Full Record in Web of Science</v>
      </c>
    </row>
    <row r="1728" spans="1:72" x14ac:dyDescent="0.35">
      <c r="A1728" t="s">
        <v>72</v>
      </c>
      <c r="B1728" t="s">
        <v>29191</v>
      </c>
      <c r="C1728" t="s">
        <v>74</v>
      </c>
      <c r="D1728" t="s">
        <v>74</v>
      </c>
      <c r="E1728" t="s">
        <v>74</v>
      </c>
      <c r="F1728" t="s">
        <v>29192</v>
      </c>
      <c r="G1728" t="s">
        <v>74</v>
      </c>
      <c r="H1728" t="s">
        <v>74</v>
      </c>
      <c r="I1728" t="s">
        <v>29193</v>
      </c>
      <c r="J1728" t="s">
        <v>29194</v>
      </c>
      <c r="K1728" t="s">
        <v>74</v>
      </c>
      <c r="L1728" t="s">
        <v>74</v>
      </c>
      <c r="M1728" t="s">
        <v>78</v>
      </c>
      <c r="N1728" t="s">
        <v>108</v>
      </c>
      <c r="O1728" t="s">
        <v>74</v>
      </c>
      <c r="P1728" t="s">
        <v>74</v>
      </c>
      <c r="Q1728" t="s">
        <v>74</v>
      </c>
      <c r="R1728" t="s">
        <v>74</v>
      </c>
      <c r="S1728" t="s">
        <v>74</v>
      </c>
      <c r="T1728" t="s">
        <v>29195</v>
      </c>
      <c r="U1728" t="s">
        <v>74</v>
      </c>
      <c r="V1728" t="s">
        <v>29196</v>
      </c>
      <c r="W1728" t="s">
        <v>29197</v>
      </c>
      <c r="X1728" t="s">
        <v>29198</v>
      </c>
      <c r="Y1728" t="s">
        <v>29199</v>
      </c>
      <c r="Z1728" t="s">
        <v>74</v>
      </c>
      <c r="AA1728" t="s">
        <v>8175</v>
      </c>
      <c r="AB1728" t="s">
        <v>8176</v>
      </c>
      <c r="AC1728" t="s">
        <v>74</v>
      </c>
      <c r="AD1728" t="s">
        <v>74</v>
      </c>
      <c r="AE1728" t="s">
        <v>74</v>
      </c>
      <c r="AF1728" t="s">
        <v>74</v>
      </c>
      <c r="AG1728">
        <v>70</v>
      </c>
      <c r="AH1728">
        <v>0</v>
      </c>
      <c r="AI1728">
        <v>0</v>
      </c>
      <c r="AJ1728">
        <v>1</v>
      </c>
      <c r="AK1728">
        <v>2</v>
      </c>
      <c r="AL1728" t="s">
        <v>29200</v>
      </c>
      <c r="AM1728" t="s">
        <v>29201</v>
      </c>
      <c r="AN1728" t="s">
        <v>29202</v>
      </c>
      <c r="AO1728" t="s">
        <v>74</v>
      </c>
      <c r="AP1728" t="s">
        <v>29203</v>
      </c>
      <c r="AQ1728" t="s">
        <v>74</v>
      </c>
      <c r="AR1728" t="s">
        <v>29204</v>
      </c>
      <c r="AS1728" t="s">
        <v>29205</v>
      </c>
      <c r="AT1728" t="s">
        <v>74</v>
      </c>
      <c r="AU1728">
        <v>2024</v>
      </c>
      <c r="AV1728">
        <v>6</v>
      </c>
      <c r="AW1728">
        <v>1</v>
      </c>
      <c r="AX1728" t="s">
        <v>74</v>
      </c>
      <c r="AY1728" t="s">
        <v>74</v>
      </c>
      <c r="AZ1728" t="s">
        <v>74</v>
      </c>
      <c r="BA1728" t="s">
        <v>74</v>
      </c>
      <c r="BB1728">
        <v>88</v>
      </c>
      <c r="BC1728">
        <v>100</v>
      </c>
      <c r="BD1728" t="s">
        <v>74</v>
      </c>
      <c r="BE1728" t="s">
        <v>29206</v>
      </c>
      <c r="BF1728" t="str">
        <f>HYPERLINK("http://dx.doi.org/10.5204/lthj.3256","http://dx.doi.org/10.5204/lthj.3256")</f>
        <v>http://dx.doi.org/10.5204/lthj.3256</v>
      </c>
      <c r="BG1728" t="s">
        <v>74</v>
      </c>
      <c r="BH1728" t="s">
        <v>74</v>
      </c>
      <c r="BI1728">
        <v>13</v>
      </c>
      <c r="BJ1728" t="s">
        <v>29207</v>
      </c>
      <c r="BK1728" t="s">
        <v>125</v>
      </c>
      <c r="BL1728" t="s">
        <v>29208</v>
      </c>
      <c r="BM1728" t="s">
        <v>29209</v>
      </c>
      <c r="BN1728" t="s">
        <v>74</v>
      </c>
      <c r="BO1728" t="s">
        <v>235</v>
      </c>
      <c r="BP1728" t="s">
        <v>74</v>
      </c>
      <c r="BQ1728" t="s">
        <v>74</v>
      </c>
      <c r="BR1728" t="s">
        <v>102</v>
      </c>
      <c r="BS1728" t="s">
        <v>29210</v>
      </c>
      <c r="BT1728" t="str">
        <f>HYPERLINK("https%3A%2F%2Fwww.webofscience.com%2Fwos%2Fwoscc%2Ffull-record%2FWOS:001222321900001","View Full Record in Web of Science")</f>
        <v>View Full Record in Web of Science</v>
      </c>
    </row>
    <row r="1729" spans="1:72" x14ac:dyDescent="0.35">
      <c r="A1729" t="s">
        <v>72</v>
      </c>
      <c r="B1729" t="s">
        <v>29211</v>
      </c>
      <c r="C1729" t="s">
        <v>74</v>
      </c>
      <c r="D1729" t="s">
        <v>74</v>
      </c>
      <c r="E1729" t="s">
        <v>74</v>
      </c>
      <c r="F1729" t="s">
        <v>29212</v>
      </c>
      <c r="G1729" t="s">
        <v>74</v>
      </c>
      <c r="H1729" t="s">
        <v>74</v>
      </c>
      <c r="I1729" t="s">
        <v>29213</v>
      </c>
      <c r="J1729" t="s">
        <v>29214</v>
      </c>
      <c r="K1729" t="s">
        <v>74</v>
      </c>
      <c r="L1729" t="s">
        <v>74</v>
      </c>
      <c r="M1729" t="s">
        <v>78</v>
      </c>
      <c r="N1729" t="s">
        <v>108</v>
      </c>
      <c r="O1729" t="s">
        <v>74</v>
      </c>
      <c r="P1729" t="s">
        <v>74</v>
      </c>
      <c r="Q1729" t="s">
        <v>74</v>
      </c>
      <c r="R1729" t="s">
        <v>74</v>
      </c>
      <c r="S1729" t="s">
        <v>74</v>
      </c>
      <c r="T1729" t="s">
        <v>29215</v>
      </c>
      <c r="U1729" t="s">
        <v>1814</v>
      </c>
      <c r="V1729" t="s">
        <v>29216</v>
      </c>
      <c r="W1729" t="s">
        <v>29217</v>
      </c>
      <c r="X1729" t="s">
        <v>29218</v>
      </c>
      <c r="Y1729" t="s">
        <v>29219</v>
      </c>
      <c r="Z1729" t="s">
        <v>74</v>
      </c>
      <c r="AA1729" t="s">
        <v>74</v>
      </c>
      <c r="AB1729" t="s">
        <v>29220</v>
      </c>
      <c r="AC1729" t="s">
        <v>74</v>
      </c>
      <c r="AD1729" t="s">
        <v>74</v>
      </c>
      <c r="AE1729" t="s">
        <v>74</v>
      </c>
      <c r="AF1729" t="s">
        <v>74</v>
      </c>
      <c r="AG1729">
        <v>72</v>
      </c>
      <c r="AH1729">
        <v>1</v>
      </c>
      <c r="AI1729">
        <v>1</v>
      </c>
      <c r="AJ1729">
        <v>6</v>
      </c>
      <c r="AK1729">
        <v>17</v>
      </c>
      <c r="AL1729" t="s">
        <v>29221</v>
      </c>
      <c r="AM1729" t="s">
        <v>29222</v>
      </c>
      <c r="AN1729" t="s">
        <v>29223</v>
      </c>
      <c r="AO1729" t="s">
        <v>29224</v>
      </c>
      <c r="AP1729" t="s">
        <v>29225</v>
      </c>
      <c r="AQ1729" t="s">
        <v>74</v>
      </c>
      <c r="AR1729" t="s">
        <v>29226</v>
      </c>
      <c r="AS1729" t="s">
        <v>29227</v>
      </c>
      <c r="AT1729" t="s">
        <v>257</v>
      </c>
      <c r="AU1729">
        <v>2023</v>
      </c>
      <c r="AV1729">
        <v>96</v>
      </c>
      <c r="AW1729">
        <v>2</v>
      </c>
      <c r="AX1729" t="s">
        <v>74</v>
      </c>
      <c r="AY1729" t="s">
        <v>74</v>
      </c>
      <c r="AZ1729" t="s">
        <v>74</v>
      </c>
      <c r="BA1729" t="s">
        <v>74</v>
      </c>
      <c r="BB1729">
        <v>303</v>
      </c>
      <c r="BC1729">
        <v>322</v>
      </c>
      <c r="BD1729" t="s">
        <v>74</v>
      </c>
      <c r="BE1729" t="s">
        <v>29228</v>
      </c>
      <c r="BF1729" t="str">
        <f>HYPERLINK("http://dx.doi.org/10.5509/2023962303","http://dx.doi.org/10.5509/2023962303")</f>
        <v>http://dx.doi.org/10.5509/2023962303</v>
      </c>
      <c r="BG1729" t="s">
        <v>74</v>
      </c>
      <c r="BH1729" t="s">
        <v>74</v>
      </c>
      <c r="BI1729">
        <v>20</v>
      </c>
      <c r="BJ1729" t="s">
        <v>5420</v>
      </c>
      <c r="BK1729" t="s">
        <v>99</v>
      </c>
      <c r="BL1729" t="s">
        <v>5420</v>
      </c>
      <c r="BM1729" t="s">
        <v>29229</v>
      </c>
      <c r="BN1729" t="s">
        <v>74</v>
      </c>
      <c r="BO1729" t="s">
        <v>74</v>
      </c>
      <c r="BP1729" t="s">
        <v>74</v>
      </c>
      <c r="BQ1729" t="s">
        <v>74</v>
      </c>
      <c r="BR1729" t="s">
        <v>102</v>
      </c>
      <c r="BS1729" t="s">
        <v>29230</v>
      </c>
      <c r="BT1729" t="str">
        <f>HYPERLINK("https%3A%2F%2Fwww.webofscience.com%2Fwos%2Fwoscc%2Ffull-record%2FWOS:001023041500005","View Full Record in Web of Science")</f>
        <v>View Full Record in Web of Science</v>
      </c>
    </row>
    <row r="1730" spans="1:72" x14ac:dyDescent="0.35">
      <c r="A1730" t="s">
        <v>72</v>
      </c>
      <c r="B1730" t="s">
        <v>29231</v>
      </c>
      <c r="C1730" t="s">
        <v>74</v>
      </c>
      <c r="D1730" t="s">
        <v>74</v>
      </c>
      <c r="E1730" t="s">
        <v>74</v>
      </c>
      <c r="F1730" t="s">
        <v>29232</v>
      </c>
      <c r="G1730" t="s">
        <v>74</v>
      </c>
      <c r="H1730" t="s">
        <v>74</v>
      </c>
      <c r="I1730" t="s">
        <v>29233</v>
      </c>
      <c r="J1730" t="s">
        <v>2159</v>
      </c>
      <c r="K1730" t="s">
        <v>74</v>
      </c>
      <c r="L1730" t="s">
        <v>74</v>
      </c>
      <c r="M1730" t="s">
        <v>78</v>
      </c>
      <c r="N1730" t="s">
        <v>79</v>
      </c>
      <c r="O1730" t="s">
        <v>74</v>
      </c>
      <c r="P1730" t="s">
        <v>74</v>
      </c>
      <c r="Q1730" t="s">
        <v>74</v>
      </c>
      <c r="R1730" t="s">
        <v>74</v>
      </c>
      <c r="S1730" t="s">
        <v>74</v>
      </c>
      <c r="T1730" t="s">
        <v>29234</v>
      </c>
      <c r="U1730" t="s">
        <v>218</v>
      </c>
      <c r="V1730" t="s">
        <v>29235</v>
      </c>
      <c r="W1730" t="s">
        <v>29236</v>
      </c>
      <c r="X1730" t="s">
        <v>14561</v>
      </c>
      <c r="Y1730" t="s">
        <v>29237</v>
      </c>
      <c r="Z1730" t="s">
        <v>29238</v>
      </c>
      <c r="AA1730" t="s">
        <v>29239</v>
      </c>
      <c r="AB1730" t="s">
        <v>29240</v>
      </c>
      <c r="AC1730" t="s">
        <v>74</v>
      </c>
      <c r="AD1730" t="s">
        <v>74</v>
      </c>
      <c r="AE1730" t="s">
        <v>74</v>
      </c>
      <c r="AF1730" t="s">
        <v>74</v>
      </c>
      <c r="AG1730">
        <v>32</v>
      </c>
      <c r="AH1730">
        <v>4</v>
      </c>
      <c r="AI1730">
        <v>4</v>
      </c>
      <c r="AJ1730">
        <v>11</v>
      </c>
      <c r="AK1730">
        <v>37</v>
      </c>
      <c r="AL1730" t="s">
        <v>88</v>
      </c>
      <c r="AM1730" t="s">
        <v>89</v>
      </c>
      <c r="AN1730" t="s">
        <v>90</v>
      </c>
      <c r="AO1730" t="s">
        <v>2169</v>
      </c>
      <c r="AP1730" t="s">
        <v>2170</v>
      </c>
      <c r="AQ1730" t="s">
        <v>74</v>
      </c>
      <c r="AR1730" t="s">
        <v>2171</v>
      </c>
      <c r="AS1730" t="s">
        <v>2172</v>
      </c>
      <c r="AT1730" t="s">
        <v>29241</v>
      </c>
      <c r="AU1730">
        <v>2023</v>
      </c>
      <c r="AV1730" t="s">
        <v>74</v>
      </c>
      <c r="AW1730" t="s">
        <v>74</v>
      </c>
      <c r="AX1730" t="s">
        <v>74</v>
      </c>
      <c r="AY1730" t="s">
        <v>74</v>
      </c>
      <c r="AZ1730" t="s">
        <v>74</v>
      </c>
      <c r="BA1730" t="s">
        <v>74</v>
      </c>
      <c r="BB1730" t="s">
        <v>74</v>
      </c>
      <c r="BC1730" t="s">
        <v>74</v>
      </c>
      <c r="BD1730" t="s">
        <v>74</v>
      </c>
      <c r="BE1730" t="s">
        <v>29242</v>
      </c>
      <c r="BF1730" t="str">
        <f>HYPERLINK("http://dx.doi.org/10.1080/14680777.2023.2267781","http://dx.doi.org/10.1080/14680777.2023.2267781")</f>
        <v>http://dx.doi.org/10.1080/14680777.2023.2267781</v>
      </c>
      <c r="BG1730" t="s">
        <v>74</v>
      </c>
      <c r="BH1730" t="s">
        <v>207</v>
      </c>
      <c r="BI1730">
        <v>17</v>
      </c>
      <c r="BJ1730" t="s">
        <v>2176</v>
      </c>
      <c r="BK1730" t="s">
        <v>99</v>
      </c>
      <c r="BL1730" t="s">
        <v>2176</v>
      </c>
      <c r="BM1730" t="s">
        <v>29243</v>
      </c>
      <c r="BN1730" t="s">
        <v>74</v>
      </c>
      <c r="BO1730" t="s">
        <v>74</v>
      </c>
      <c r="BP1730" t="s">
        <v>74</v>
      </c>
      <c r="BQ1730" t="s">
        <v>74</v>
      </c>
      <c r="BR1730" t="s">
        <v>102</v>
      </c>
      <c r="BS1730" t="s">
        <v>29244</v>
      </c>
      <c r="BT1730" t="str">
        <f>HYPERLINK("https%3A%2F%2Fwww.webofscience.com%2Fwos%2Fwoscc%2Ffull-record%2FWOS:001082806600001","View Full Record in Web of Science")</f>
        <v>View Full Record in Web of Science</v>
      </c>
    </row>
    <row r="1731" spans="1:72" x14ac:dyDescent="0.35">
      <c r="A1731" t="s">
        <v>72</v>
      </c>
      <c r="B1731" t="s">
        <v>29245</v>
      </c>
      <c r="C1731" t="s">
        <v>74</v>
      </c>
      <c r="D1731" t="s">
        <v>74</v>
      </c>
      <c r="E1731" t="s">
        <v>74</v>
      </c>
      <c r="F1731" t="s">
        <v>29246</v>
      </c>
      <c r="G1731" t="s">
        <v>74</v>
      </c>
      <c r="H1731" t="s">
        <v>74</v>
      </c>
      <c r="I1731" t="s">
        <v>29247</v>
      </c>
      <c r="J1731" t="s">
        <v>13819</v>
      </c>
      <c r="K1731" t="s">
        <v>74</v>
      </c>
      <c r="L1731" t="s">
        <v>74</v>
      </c>
      <c r="M1731" t="s">
        <v>78</v>
      </c>
      <c r="N1731" t="s">
        <v>108</v>
      </c>
      <c r="O1731" t="s">
        <v>74</v>
      </c>
      <c r="P1731" t="s">
        <v>74</v>
      </c>
      <c r="Q1731" t="s">
        <v>74</v>
      </c>
      <c r="R1731" t="s">
        <v>74</v>
      </c>
      <c r="S1731" t="s">
        <v>74</v>
      </c>
      <c r="T1731" t="s">
        <v>29248</v>
      </c>
      <c r="U1731" t="s">
        <v>74</v>
      </c>
      <c r="V1731" t="s">
        <v>29249</v>
      </c>
      <c r="W1731" t="s">
        <v>29250</v>
      </c>
      <c r="X1731" t="s">
        <v>29251</v>
      </c>
      <c r="Y1731" t="s">
        <v>29252</v>
      </c>
      <c r="Z1731" t="s">
        <v>29253</v>
      </c>
      <c r="AA1731" t="s">
        <v>74</v>
      </c>
      <c r="AB1731" t="s">
        <v>29254</v>
      </c>
      <c r="AC1731" t="s">
        <v>74</v>
      </c>
      <c r="AD1731" t="s">
        <v>74</v>
      </c>
      <c r="AE1731" t="s">
        <v>74</v>
      </c>
      <c r="AF1731" t="s">
        <v>74</v>
      </c>
      <c r="AG1731">
        <v>13</v>
      </c>
      <c r="AH1731">
        <v>0</v>
      </c>
      <c r="AI1731">
        <v>0</v>
      </c>
      <c r="AJ1731">
        <v>0</v>
      </c>
      <c r="AK1731">
        <v>0</v>
      </c>
      <c r="AL1731" t="s">
        <v>1195</v>
      </c>
      <c r="AM1731" t="s">
        <v>1196</v>
      </c>
      <c r="AN1731" t="s">
        <v>1197</v>
      </c>
      <c r="AO1731" t="s">
        <v>74</v>
      </c>
      <c r="AP1731" t="s">
        <v>13826</v>
      </c>
      <c r="AQ1731" t="s">
        <v>74</v>
      </c>
      <c r="AR1731" t="s">
        <v>13819</v>
      </c>
      <c r="AS1731" t="s">
        <v>13827</v>
      </c>
      <c r="AT1731" t="s">
        <v>257</v>
      </c>
      <c r="AU1731">
        <v>2023</v>
      </c>
      <c r="AV1731">
        <v>14</v>
      </c>
      <c r="AW1731">
        <v>6</v>
      </c>
      <c r="AX1731" t="s">
        <v>74</v>
      </c>
      <c r="AY1731" t="s">
        <v>74</v>
      </c>
      <c r="AZ1731" t="s">
        <v>74</v>
      </c>
      <c r="BA1731" t="s">
        <v>74</v>
      </c>
      <c r="BB1731" t="s">
        <v>74</v>
      </c>
      <c r="BC1731" t="s">
        <v>74</v>
      </c>
      <c r="BD1731">
        <v>786</v>
      </c>
      <c r="BE1731" t="s">
        <v>29255</v>
      </c>
      <c r="BF1731" t="str">
        <f>HYPERLINK("http://dx.doi.org/10.3390/rel14060786","http://dx.doi.org/10.3390/rel14060786")</f>
        <v>http://dx.doi.org/10.3390/rel14060786</v>
      </c>
      <c r="BG1731" t="s">
        <v>74</v>
      </c>
      <c r="BH1731" t="s">
        <v>74</v>
      </c>
      <c r="BI1731">
        <v>22</v>
      </c>
      <c r="BJ1731" t="s">
        <v>13829</v>
      </c>
      <c r="BK1731" t="s">
        <v>316</v>
      </c>
      <c r="BL1731" t="s">
        <v>13829</v>
      </c>
      <c r="BM1731" t="s">
        <v>29256</v>
      </c>
      <c r="BN1731" t="s">
        <v>74</v>
      </c>
      <c r="BO1731" t="s">
        <v>394</v>
      </c>
      <c r="BP1731" t="s">
        <v>74</v>
      </c>
      <c r="BQ1731" t="s">
        <v>74</v>
      </c>
      <c r="BR1731" t="s">
        <v>102</v>
      </c>
      <c r="BS1731" t="s">
        <v>29257</v>
      </c>
      <c r="BT1731" t="str">
        <f>HYPERLINK("https%3A%2F%2Fwww.webofscience.com%2Fwos%2Fwoscc%2Ffull-record%2FWOS:001015661500001","View Full Record in Web of Science")</f>
        <v>View Full Record in Web of Science</v>
      </c>
    </row>
    <row r="1732" spans="1:72" x14ac:dyDescent="0.35">
      <c r="A1732" t="s">
        <v>72</v>
      </c>
      <c r="B1732" t="s">
        <v>29258</v>
      </c>
      <c r="C1732" t="s">
        <v>74</v>
      </c>
      <c r="D1732" t="s">
        <v>74</v>
      </c>
      <c r="E1732" t="s">
        <v>74</v>
      </c>
      <c r="F1732" t="s">
        <v>29259</v>
      </c>
      <c r="G1732" t="s">
        <v>74</v>
      </c>
      <c r="H1732" t="s">
        <v>74</v>
      </c>
      <c r="I1732" t="s">
        <v>29260</v>
      </c>
      <c r="J1732" t="s">
        <v>1246</v>
      </c>
      <c r="K1732" t="s">
        <v>74</v>
      </c>
      <c r="L1732" t="s">
        <v>74</v>
      </c>
      <c r="M1732" t="s">
        <v>78</v>
      </c>
      <c r="N1732" t="s">
        <v>79</v>
      </c>
      <c r="O1732" t="s">
        <v>74</v>
      </c>
      <c r="P1732" t="s">
        <v>74</v>
      </c>
      <c r="Q1732" t="s">
        <v>74</v>
      </c>
      <c r="R1732" t="s">
        <v>74</v>
      </c>
      <c r="S1732" t="s">
        <v>74</v>
      </c>
      <c r="T1732" t="s">
        <v>29261</v>
      </c>
      <c r="U1732" t="s">
        <v>29262</v>
      </c>
      <c r="V1732" t="s">
        <v>29263</v>
      </c>
      <c r="W1732" t="s">
        <v>29264</v>
      </c>
      <c r="X1732" t="s">
        <v>29265</v>
      </c>
      <c r="Y1732" t="s">
        <v>29266</v>
      </c>
      <c r="Z1732" t="s">
        <v>29267</v>
      </c>
      <c r="AA1732" t="s">
        <v>29268</v>
      </c>
      <c r="AB1732" t="s">
        <v>29269</v>
      </c>
      <c r="AC1732" t="s">
        <v>29270</v>
      </c>
      <c r="AD1732" t="s">
        <v>29270</v>
      </c>
      <c r="AE1732" t="s">
        <v>29271</v>
      </c>
      <c r="AF1732" t="s">
        <v>74</v>
      </c>
      <c r="AG1732">
        <v>63</v>
      </c>
      <c r="AH1732">
        <v>3</v>
      </c>
      <c r="AI1732">
        <v>3</v>
      </c>
      <c r="AJ1732">
        <v>8</v>
      </c>
      <c r="AK1732">
        <v>20</v>
      </c>
      <c r="AL1732" t="s">
        <v>994</v>
      </c>
      <c r="AM1732" t="s">
        <v>995</v>
      </c>
      <c r="AN1732" t="s">
        <v>996</v>
      </c>
      <c r="AO1732" t="s">
        <v>1256</v>
      </c>
      <c r="AP1732" t="s">
        <v>1257</v>
      </c>
      <c r="AQ1732" t="s">
        <v>74</v>
      </c>
      <c r="AR1732" t="s">
        <v>1258</v>
      </c>
      <c r="AS1732" t="s">
        <v>1259</v>
      </c>
      <c r="AT1732" t="s">
        <v>29272</v>
      </c>
      <c r="AU1732">
        <v>2023</v>
      </c>
      <c r="AV1732" t="s">
        <v>74</v>
      </c>
      <c r="AW1732" t="s">
        <v>74</v>
      </c>
      <c r="AX1732" t="s">
        <v>74</v>
      </c>
      <c r="AY1732" t="s">
        <v>74</v>
      </c>
      <c r="AZ1732" t="s">
        <v>74</v>
      </c>
      <c r="BA1732" t="s">
        <v>74</v>
      </c>
      <c r="BB1732" t="s">
        <v>74</v>
      </c>
      <c r="BC1732" t="s">
        <v>74</v>
      </c>
      <c r="BD1732" t="s">
        <v>74</v>
      </c>
      <c r="BE1732" t="s">
        <v>29273</v>
      </c>
      <c r="BF1732" t="str">
        <f>HYPERLINK("http://dx.doi.org/10.1080/10447318.2023.2265728","http://dx.doi.org/10.1080/10447318.2023.2265728")</f>
        <v>http://dx.doi.org/10.1080/10447318.2023.2265728</v>
      </c>
      <c r="BG1732" t="s">
        <v>74</v>
      </c>
      <c r="BH1732" t="s">
        <v>207</v>
      </c>
      <c r="BI1732">
        <v>11</v>
      </c>
      <c r="BJ1732" t="s">
        <v>1137</v>
      </c>
      <c r="BK1732" t="s">
        <v>182</v>
      </c>
      <c r="BL1732" t="s">
        <v>1113</v>
      </c>
      <c r="BM1732" t="s">
        <v>29274</v>
      </c>
      <c r="BN1732" t="s">
        <v>74</v>
      </c>
      <c r="BO1732" t="s">
        <v>156</v>
      </c>
      <c r="BP1732" t="s">
        <v>74</v>
      </c>
      <c r="BQ1732" t="s">
        <v>74</v>
      </c>
      <c r="BR1732" t="s">
        <v>102</v>
      </c>
      <c r="BS1732" t="s">
        <v>29275</v>
      </c>
      <c r="BT1732" t="str">
        <f>HYPERLINK("https%3A%2F%2Fwww.webofscience.com%2Fwos%2Fwoscc%2Ffull-record%2FWOS:001083180300001","View Full Record in Web of Science")</f>
        <v>View Full Record in Web of Science</v>
      </c>
    </row>
    <row r="1733" spans="1:72" x14ac:dyDescent="0.35">
      <c r="A1733" t="s">
        <v>72</v>
      </c>
      <c r="B1733" t="s">
        <v>29276</v>
      </c>
      <c r="C1733" t="s">
        <v>74</v>
      </c>
      <c r="D1733" t="s">
        <v>74</v>
      </c>
      <c r="E1733" t="s">
        <v>74</v>
      </c>
      <c r="F1733" t="s">
        <v>29277</v>
      </c>
      <c r="G1733" t="s">
        <v>74</v>
      </c>
      <c r="H1733" t="s">
        <v>74</v>
      </c>
      <c r="I1733" t="s">
        <v>29278</v>
      </c>
      <c r="J1733" t="s">
        <v>27447</v>
      </c>
      <c r="K1733" t="s">
        <v>74</v>
      </c>
      <c r="L1733" t="s">
        <v>74</v>
      </c>
      <c r="M1733" t="s">
        <v>78</v>
      </c>
      <c r="N1733" t="s">
        <v>108</v>
      </c>
      <c r="O1733" t="s">
        <v>74</v>
      </c>
      <c r="P1733" t="s">
        <v>74</v>
      </c>
      <c r="Q1733" t="s">
        <v>74</v>
      </c>
      <c r="R1733" t="s">
        <v>74</v>
      </c>
      <c r="S1733" t="s">
        <v>74</v>
      </c>
      <c r="T1733" t="s">
        <v>29279</v>
      </c>
      <c r="U1733" t="s">
        <v>29280</v>
      </c>
      <c r="V1733" t="s">
        <v>29281</v>
      </c>
      <c r="W1733" t="s">
        <v>29282</v>
      </c>
      <c r="X1733" t="s">
        <v>29283</v>
      </c>
      <c r="Y1733" t="s">
        <v>29284</v>
      </c>
      <c r="Z1733" t="s">
        <v>29285</v>
      </c>
      <c r="AA1733" t="s">
        <v>29286</v>
      </c>
      <c r="AB1733" t="s">
        <v>29287</v>
      </c>
      <c r="AC1733" t="s">
        <v>74</v>
      </c>
      <c r="AD1733" t="s">
        <v>74</v>
      </c>
      <c r="AE1733" t="s">
        <v>74</v>
      </c>
      <c r="AF1733" t="s">
        <v>74</v>
      </c>
      <c r="AG1733">
        <v>63</v>
      </c>
      <c r="AH1733">
        <v>8</v>
      </c>
      <c r="AI1733">
        <v>8</v>
      </c>
      <c r="AJ1733">
        <v>26</v>
      </c>
      <c r="AK1733">
        <v>157</v>
      </c>
      <c r="AL1733" t="s">
        <v>1195</v>
      </c>
      <c r="AM1733" t="s">
        <v>1196</v>
      </c>
      <c r="AN1733" t="s">
        <v>1197</v>
      </c>
      <c r="AO1733" t="s">
        <v>74</v>
      </c>
      <c r="AP1733" t="s">
        <v>27459</v>
      </c>
      <c r="AQ1733" t="s">
        <v>74</v>
      </c>
      <c r="AR1733" t="s">
        <v>27460</v>
      </c>
      <c r="AS1733" t="s">
        <v>27461</v>
      </c>
      <c r="AT1733" t="s">
        <v>1484</v>
      </c>
      <c r="AU1733">
        <v>2023</v>
      </c>
      <c r="AV1733">
        <v>13</v>
      </c>
      <c r="AW1733">
        <v>6</v>
      </c>
      <c r="AX1733" t="s">
        <v>74</v>
      </c>
      <c r="AY1733" t="s">
        <v>74</v>
      </c>
      <c r="AZ1733" t="s">
        <v>74</v>
      </c>
      <c r="BA1733" t="s">
        <v>74</v>
      </c>
      <c r="BB1733" t="s">
        <v>74</v>
      </c>
      <c r="BC1733" t="s">
        <v>74</v>
      </c>
      <c r="BD1733">
        <v>3386</v>
      </c>
      <c r="BE1733" t="s">
        <v>29288</v>
      </c>
      <c r="BF1733" t="str">
        <f>HYPERLINK("http://dx.doi.org/10.3390/app13063386","http://dx.doi.org/10.3390/app13063386")</f>
        <v>http://dx.doi.org/10.3390/app13063386</v>
      </c>
      <c r="BG1733" t="s">
        <v>74</v>
      </c>
      <c r="BH1733" t="s">
        <v>74</v>
      </c>
      <c r="BI1733">
        <v>15</v>
      </c>
      <c r="BJ1733" t="s">
        <v>27463</v>
      </c>
      <c r="BK1733" t="s">
        <v>209</v>
      </c>
      <c r="BL1733" t="s">
        <v>27464</v>
      </c>
      <c r="BM1733" t="s">
        <v>29289</v>
      </c>
      <c r="BN1733" t="s">
        <v>74</v>
      </c>
      <c r="BO1733" t="s">
        <v>394</v>
      </c>
      <c r="BP1733" t="s">
        <v>74</v>
      </c>
      <c r="BQ1733" t="s">
        <v>74</v>
      </c>
      <c r="BR1733" t="s">
        <v>102</v>
      </c>
      <c r="BS1733" t="s">
        <v>29290</v>
      </c>
      <c r="BT1733" t="str">
        <f>HYPERLINK("https%3A%2F%2Fwww.webofscience.com%2Fwos%2Fwoscc%2Ffull-record%2FWOS:000968483300001","View Full Record in Web of Science")</f>
        <v>View Full Record in Web of Science</v>
      </c>
    </row>
    <row r="1734" spans="1:72" x14ac:dyDescent="0.35">
      <c r="A1734" t="s">
        <v>72</v>
      </c>
      <c r="B1734" t="s">
        <v>29291</v>
      </c>
      <c r="C1734" t="s">
        <v>74</v>
      </c>
      <c r="D1734" t="s">
        <v>74</v>
      </c>
      <c r="E1734" t="s">
        <v>74</v>
      </c>
      <c r="F1734" t="s">
        <v>29292</v>
      </c>
      <c r="G1734" t="s">
        <v>74</v>
      </c>
      <c r="H1734" t="s">
        <v>74</v>
      </c>
      <c r="I1734" t="s">
        <v>29293</v>
      </c>
      <c r="J1734" t="s">
        <v>29294</v>
      </c>
      <c r="K1734" t="s">
        <v>74</v>
      </c>
      <c r="L1734" t="s">
        <v>74</v>
      </c>
      <c r="M1734" t="s">
        <v>78</v>
      </c>
      <c r="N1734" t="s">
        <v>108</v>
      </c>
      <c r="O1734" t="s">
        <v>74</v>
      </c>
      <c r="P1734" t="s">
        <v>74</v>
      </c>
      <c r="Q1734" t="s">
        <v>74</v>
      </c>
      <c r="R1734" t="s">
        <v>74</v>
      </c>
      <c r="S1734" t="s">
        <v>74</v>
      </c>
      <c r="T1734" t="s">
        <v>29295</v>
      </c>
      <c r="U1734" t="s">
        <v>29296</v>
      </c>
      <c r="V1734" t="s">
        <v>29297</v>
      </c>
      <c r="W1734" t="s">
        <v>29298</v>
      </c>
      <c r="X1734" t="s">
        <v>29299</v>
      </c>
      <c r="Y1734" t="s">
        <v>29300</v>
      </c>
      <c r="Z1734" t="s">
        <v>29301</v>
      </c>
      <c r="AA1734" t="s">
        <v>29302</v>
      </c>
      <c r="AB1734" t="s">
        <v>29303</v>
      </c>
      <c r="AC1734" t="s">
        <v>74</v>
      </c>
      <c r="AD1734" t="s">
        <v>74</v>
      </c>
      <c r="AE1734" t="s">
        <v>74</v>
      </c>
      <c r="AF1734" t="s">
        <v>74</v>
      </c>
      <c r="AG1734">
        <v>34</v>
      </c>
      <c r="AH1734">
        <v>0</v>
      </c>
      <c r="AI1734">
        <v>0</v>
      </c>
      <c r="AJ1734">
        <v>0</v>
      </c>
      <c r="AK1734">
        <v>3</v>
      </c>
      <c r="AL1734" t="s">
        <v>88</v>
      </c>
      <c r="AM1734" t="s">
        <v>89</v>
      </c>
      <c r="AN1734" t="s">
        <v>90</v>
      </c>
      <c r="AO1734" t="s">
        <v>29304</v>
      </c>
      <c r="AP1734" t="s">
        <v>29305</v>
      </c>
      <c r="AQ1734" t="s">
        <v>74</v>
      </c>
      <c r="AR1734" t="s">
        <v>29306</v>
      </c>
      <c r="AS1734" t="s">
        <v>29307</v>
      </c>
      <c r="AT1734" t="s">
        <v>29308</v>
      </c>
      <c r="AU1734">
        <v>2024</v>
      </c>
      <c r="AV1734">
        <v>72</v>
      </c>
      <c r="AW1734">
        <v>8</v>
      </c>
      <c r="AX1734" t="s">
        <v>74</v>
      </c>
      <c r="AY1734" t="s">
        <v>74</v>
      </c>
      <c r="AZ1734" t="s">
        <v>74</v>
      </c>
      <c r="BA1734" t="s">
        <v>74</v>
      </c>
      <c r="BB1734">
        <v>2632</v>
      </c>
      <c r="BC1734">
        <v>2642</v>
      </c>
      <c r="BD1734" t="s">
        <v>74</v>
      </c>
      <c r="BE1734" t="s">
        <v>29309</v>
      </c>
      <c r="BF1734" t="str">
        <f>HYPERLINK("http://dx.doi.org/10.1080/07448481.2022.2122719","http://dx.doi.org/10.1080/07448481.2022.2122719")</f>
        <v>http://dx.doi.org/10.1080/07448481.2022.2122719</v>
      </c>
      <c r="BG1734" t="s">
        <v>74</v>
      </c>
      <c r="BH1734" t="s">
        <v>598</v>
      </c>
      <c r="BI1734">
        <v>11</v>
      </c>
      <c r="BJ1734" t="s">
        <v>8464</v>
      </c>
      <c r="BK1734" t="s">
        <v>99</v>
      </c>
      <c r="BL1734" t="s">
        <v>8464</v>
      </c>
      <c r="BM1734" t="s">
        <v>29310</v>
      </c>
      <c r="BN1734">
        <v>37130266</v>
      </c>
      <c r="BO1734" t="s">
        <v>74</v>
      </c>
      <c r="BP1734" t="s">
        <v>74</v>
      </c>
      <c r="BQ1734" t="s">
        <v>74</v>
      </c>
      <c r="BR1734" t="s">
        <v>102</v>
      </c>
      <c r="BS1734" t="s">
        <v>29311</v>
      </c>
      <c r="BT1734" t="str">
        <f>HYPERLINK("https%3A%2F%2Fwww.webofscience.com%2Fwos%2Fwoscc%2Ffull-record%2FWOS:000980349400001","View Full Record in Web of Science")</f>
        <v>View Full Record in Web of Science</v>
      </c>
    </row>
    <row r="1735" spans="1:72" x14ac:dyDescent="0.35">
      <c r="A1735" t="s">
        <v>72</v>
      </c>
      <c r="B1735" t="s">
        <v>29312</v>
      </c>
      <c r="C1735" t="s">
        <v>74</v>
      </c>
      <c r="D1735" t="s">
        <v>74</v>
      </c>
      <c r="E1735" t="s">
        <v>74</v>
      </c>
      <c r="F1735" t="s">
        <v>29313</v>
      </c>
      <c r="G1735" t="s">
        <v>74</v>
      </c>
      <c r="H1735" t="s">
        <v>74</v>
      </c>
      <c r="I1735" t="s">
        <v>29314</v>
      </c>
      <c r="J1735" t="s">
        <v>29315</v>
      </c>
      <c r="K1735" t="s">
        <v>74</v>
      </c>
      <c r="L1735" t="s">
        <v>74</v>
      </c>
      <c r="M1735" t="s">
        <v>78</v>
      </c>
      <c r="N1735" t="s">
        <v>108</v>
      </c>
      <c r="O1735" t="s">
        <v>74</v>
      </c>
      <c r="P1735" t="s">
        <v>74</v>
      </c>
      <c r="Q1735" t="s">
        <v>74</v>
      </c>
      <c r="R1735" t="s">
        <v>74</v>
      </c>
      <c r="S1735" t="s">
        <v>74</v>
      </c>
      <c r="T1735" t="s">
        <v>29316</v>
      </c>
      <c r="U1735" t="s">
        <v>29317</v>
      </c>
      <c r="V1735" t="s">
        <v>29318</v>
      </c>
      <c r="W1735" t="s">
        <v>29319</v>
      </c>
      <c r="X1735" t="s">
        <v>74</v>
      </c>
      <c r="Y1735" t="s">
        <v>29320</v>
      </c>
      <c r="Z1735" t="s">
        <v>29321</v>
      </c>
      <c r="AA1735" t="s">
        <v>29322</v>
      </c>
      <c r="AB1735" t="s">
        <v>29323</v>
      </c>
      <c r="AC1735" t="s">
        <v>74</v>
      </c>
      <c r="AD1735" t="s">
        <v>74</v>
      </c>
      <c r="AE1735" t="s">
        <v>74</v>
      </c>
      <c r="AF1735" t="s">
        <v>74</v>
      </c>
      <c r="AG1735">
        <v>93</v>
      </c>
      <c r="AH1735">
        <v>2</v>
      </c>
      <c r="AI1735">
        <v>2</v>
      </c>
      <c r="AJ1735">
        <v>10</v>
      </c>
      <c r="AK1735">
        <v>59</v>
      </c>
      <c r="AL1735" t="s">
        <v>29324</v>
      </c>
      <c r="AM1735" t="s">
        <v>29325</v>
      </c>
      <c r="AN1735" t="s">
        <v>29326</v>
      </c>
      <c r="AO1735" t="s">
        <v>29327</v>
      </c>
      <c r="AP1735" t="s">
        <v>74</v>
      </c>
      <c r="AQ1735" t="s">
        <v>74</v>
      </c>
      <c r="AR1735" t="s">
        <v>29328</v>
      </c>
      <c r="AS1735" t="s">
        <v>29329</v>
      </c>
      <c r="AT1735" t="s">
        <v>455</v>
      </c>
      <c r="AU1735">
        <v>2022</v>
      </c>
      <c r="AV1735">
        <v>10</v>
      </c>
      <c r="AW1735">
        <v>1</v>
      </c>
      <c r="AX1735" t="s">
        <v>74</v>
      </c>
      <c r="AY1735" t="s">
        <v>74</v>
      </c>
      <c r="AZ1735" t="s">
        <v>74</v>
      </c>
      <c r="BA1735" t="s">
        <v>74</v>
      </c>
      <c r="BB1735">
        <v>158</v>
      </c>
      <c r="BC1735">
        <v>174</v>
      </c>
      <c r="BD1735" t="s">
        <v>74</v>
      </c>
      <c r="BE1735" t="s">
        <v>29330</v>
      </c>
      <c r="BF1735" t="str">
        <f>HYPERLINK("http://dx.doi.org/10.9770/jesi.2022.10.1(8)","http://dx.doi.org/10.9770/jesi.2022.10.1(8)")</f>
        <v>http://dx.doi.org/10.9770/jesi.2022.10.1(8)</v>
      </c>
      <c r="BG1735" t="s">
        <v>74</v>
      </c>
      <c r="BH1735" t="s">
        <v>74</v>
      </c>
      <c r="BI1735">
        <v>17</v>
      </c>
      <c r="BJ1735" t="s">
        <v>1597</v>
      </c>
      <c r="BK1735" t="s">
        <v>125</v>
      </c>
      <c r="BL1735" t="s">
        <v>480</v>
      </c>
      <c r="BM1735" t="s">
        <v>29331</v>
      </c>
      <c r="BN1735" t="s">
        <v>74</v>
      </c>
      <c r="BO1735" t="s">
        <v>235</v>
      </c>
      <c r="BP1735" t="s">
        <v>74</v>
      </c>
      <c r="BQ1735" t="s">
        <v>74</v>
      </c>
      <c r="BR1735" t="s">
        <v>102</v>
      </c>
      <c r="BS1735" t="s">
        <v>29332</v>
      </c>
      <c r="BT1735" t="str">
        <f>HYPERLINK("https%3A%2F%2Fwww.webofscience.com%2Fwos%2Fwoscc%2Ffull-record%2FWOS:000889298700001","View Full Record in Web of Science")</f>
        <v>View Full Record in Web of Science</v>
      </c>
    </row>
    <row r="1736" spans="1:72" x14ac:dyDescent="0.35">
      <c r="A1736" t="s">
        <v>72</v>
      </c>
      <c r="B1736" t="s">
        <v>29333</v>
      </c>
      <c r="C1736" t="s">
        <v>74</v>
      </c>
      <c r="D1736" t="s">
        <v>74</v>
      </c>
      <c r="E1736" t="s">
        <v>74</v>
      </c>
      <c r="F1736" t="s">
        <v>29334</v>
      </c>
      <c r="G1736" t="s">
        <v>74</v>
      </c>
      <c r="H1736" t="s">
        <v>74</v>
      </c>
      <c r="I1736" t="s">
        <v>29335</v>
      </c>
      <c r="J1736" t="s">
        <v>17994</v>
      </c>
      <c r="K1736" t="s">
        <v>74</v>
      </c>
      <c r="L1736" t="s">
        <v>74</v>
      </c>
      <c r="M1736" t="s">
        <v>78</v>
      </c>
      <c r="N1736" t="s">
        <v>108</v>
      </c>
      <c r="O1736" t="s">
        <v>74</v>
      </c>
      <c r="P1736" t="s">
        <v>74</v>
      </c>
      <c r="Q1736" t="s">
        <v>74</v>
      </c>
      <c r="R1736" t="s">
        <v>74</v>
      </c>
      <c r="S1736" t="s">
        <v>74</v>
      </c>
      <c r="T1736" t="s">
        <v>29336</v>
      </c>
      <c r="U1736" t="s">
        <v>74</v>
      </c>
      <c r="V1736" t="s">
        <v>29337</v>
      </c>
      <c r="W1736" t="s">
        <v>29338</v>
      </c>
      <c r="X1736" t="s">
        <v>29339</v>
      </c>
      <c r="Y1736" t="s">
        <v>29340</v>
      </c>
      <c r="Z1736" t="s">
        <v>29341</v>
      </c>
      <c r="AA1736" t="s">
        <v>29342</v>
      </c>
      <c r="AB1736" t="s">
        <v>29343</v>
      </c>
      <c r="AC1736" t="s">
        <v>74</v>
      </c>
      <c r="AD1736" t="s">
        <v>74</v>
      </c>
      <c r="AE1736" t="s">
        <v>74</v>
      </c>
      <c r="AF1736" t="s">
        <v>74</v>
      </c>
      <c r="AG1736">
        <v>19</v>
      </c>
      <c r="AH1736">
        <v>1</v>
      </c>
      <c r="AI1736">
        <v>1</v>
      </c>
      <c r="AJ1736">
        <v>2</v>
      </c>
      <c r="AK1736">
        <v>7</v>
      </c>
      <c r="AL1736" t="s">
        <v>88</v>
      </c>
      <c r="AM1736" t="s">
        <v>89</v>
      </c>
      <c r="AN1736" t="s">
        <v>90</v>
      </c>
      <c r="AO1736" t="s">
        <v>18004</v>
      </c>
      <c r="AP1736" t="s">
        <v>18005</v>
      </c>
      <c r="AQ1736" t="s">
        <v>74</v>
      </c>
      <c r="AR1736" t="s">
        <v>18006</v>
      </c>
      <c r="AS1736" t="s">
        <v>18007</v>
      </c>
      <c r="AT1736" t="s">
        <v>1447</v>
      </c>
      <c r="AU1736">
        <v>2022</v>
      </c>
      <c r="AV1736">
        <v>26</v>
      </c>
      <c r="AW1736">
        <v>3</v>
      </c>
      <c r="AX1736" t="s">
        <v>74</v>
      </c>
      <c r="AY1736" t="s">
        <v>74</v>
      </c>
      <c r="AZ1736" t="s">
        <v>74</v>
      </c>
      <c r="BA1736" t="s">
        <v>74</v>
      </c>
      <c r="BB1736">
        <v>248</v>
      </c>
      <c r="BC1736">
        <v>258</v>
      </c>
      <c r="BD1736" t="s">
        <v>74</v>
      </c>
      <c r="BE1736" t="s">
        <v>29344</v>
      </c>
      <c r="BF1736" t="str">
        <f>HYPERLINK("http://dx.doi.org/10.1080/15398285.2022.2081910","http://dx.doi.org/10.1080/15398285.2022.2081910")</f>
        <v>http://dx.doi.org/10.1080/15398285.2022.2081910</v>
      </c>
      <c r="BG1736" t="s">
        <v>74</v>
      </c>
      <c r="BH1736" t="s">
        <v>74</v>
      </c>
      <c r="BI1736">
        <v>11</v>
      </c>
      <c r="BJ1736" t="s">
        <v>392</v>
      </c>
      <c r="BK1736" t="s">
        <v>125</v>
      </c>
      <c r="BL1736" t="s">
        <v>392</v>
      </c>
      <c r="BM1736" t="s">
        <v>29345</v>
      </c>
      <c r="BN1736" t="s">
        <v>74</v>
      </c>
      <c r="BO1736" t="s">
        <v>74</v>
      </c>
      <c r="BP1736" t="s">
        <v>74</v>
      </c>
      <c r="BQ1736" t="s">
        <v>74</v>
      </c>
      <c r="BR1736" t="s">
        <v>102</v>
      </c>
      <c r="BS1736" t="s">
        <v>29346</v>
      </c>
      <c r="BT1736" t="str">
        <f>HYPERLINK("https%3A%2F%2Fwww.webofscience.com%2Fwos%2Fwoscc%2Ffull-record%2FWOS:000853687000002","View Full Record in Web of Science")</f>
        <v>View Full Record in Web of Science</v>
      </c>
    </row>
    <row r="1737" spans="1:72" x14ac:dyDescent="0.35">
      <c r="A1737" t="s">
        <v>72</v>
      </c>
      <c r="B1737" t="s">
        <v>29347</v>
      </c>
      <c r="C1737" t="s">
        <v>74</v>
      </c>
      <c r="D1737" t="s">
        <v>74</v>
      </c>
      <c r="E1737" t="s">
        <v>74</v>
      </c>
      <c r="F1737" t="s">
        <v>29348</v>
      </c>
      <c r="G1737" t="s">
        <v>74</v>
      </c>
      <c r="H1737" t="s">
        <v>74</v>
      </c>
      <c r="I1737" t="s">
        <v>29349</v>
      </c>
      <c r="J1737" t="s">
        <v>25312</v>
      </c>
      <c r="K1737" t="s">
        <v>74</v>
      </c>
      <c r="L1737" t="s">
        <v>74</v>
      </c>
      <c r="M1737" t="s">
        <v>78</v>
      </c>
      <c r="N1737" t="s">
        <v>79</v>
      </c>
      <c r="O1737" t="s">
        <v>74</v>
      </c>
      <c r="P1737" t="s">
        <v>74</v>
      </c>
      <c r="Q1737" t="s">
        <v>74</v>
      </c>
      <c r="R1737" t="s">
        <v>74</v>
      </c>
      <c r="S1737" t="s">
        <v>74</v>
      </c>
      <c r="T1737" t="s">
        <v>29350</v>
      </c>
      <c r="U1737" t="s">
        <v>29351</v>
      </c>
      <c r="V1737" t="s">
        <v>29352</v>
      </c>
      <c r="W1737" t="s">
        <v>29353</v>
      </c>
      <c r="X1737" t="s">
        <v>29354</v>
      </c>
      <c r="Y1737" t="s">
        <v>29355</v>
      </c>
      <c r="Z1737" t="s">
        <v>29356</v>
      </c>
      <c r="AA1737" t="s">
        <v>29357</v>
      </c>
      <c r="AB1737" t="s">
        <v>74</v>
      </c>
      <c r="AC1737" t="s">
        <v>29358</v>
      </c>
      <c r="AD1737" t="s">
        <v>29358</v>
      </c>
      <c r="AE1737" t="s">
        <v>29359</v>
      </c>
      <c r="AF1737" t="s">
        <v>74</v>
      </c>
      <c r="AG1737">
        <v>73</v>
      </c>
      <c r="AH1737">
        <v>0</v>
      </c>
      <c r="AI1737">
        <v>0</v>
      </c>
      <c r="AJ1737">
        <v>15</v>
      </c>
      <c r="AK1737">
        <v>15</v>
      </c>
      <c r="AL1737" t="s">
        <v>199</v>
      </c>
      <c r="AM1737" t="s">
        <v>200</v>
      </c>
      <c r="AN1737" t="s">
        <v>471</v>
      </c>
      <c r="AO1737" t="s">
        <v>25322</v>
      </c>
      <c r="AP1737" t="s">
        <v>25323</v>
      </c>
      <c r="AQ1737" t="s">
        <v>74</v>
      </c>
      <c r="AR1737" t="s">
        <v>25324</v>
      </c>
      <c r="AS1737" t="s">
        <v>25325</v>
      </c>
      <c r="AT1737" t="s">
        <v>29360</v>
      </c>
      <c r="AU1737">
        <v>2024</v>
      </c>
      <c r="AV1737" t="s">
        <v>74</v>
      </c>
      <c r="AW1737" t="s">
        <v>74</v>
      </c>
      <c r="AX1737" t="s">
        <v>74</v>
      </c>
      <c r="AY1737" t="s">
        <v>74</v>
      </c>
      <c r="AZ1737" t="s">
        <v>74</v>
      </c>
      <c r="BA1737" t="s">
        <v>74</v>
      </c>
      <c r="BB1737" t="s">
        <v>74</v>
      </c>
      <c r="BC1737" t="s">
        <v>74</v>
      </c>
      <c r="BD1737" t="s">
        <v>74</v>
      </c>
      <c r="BE1737" t="s">
        <v>29361</v>
      </c>
      <c r="BF1737" t="str">
        <f>HYPERLINK("http://dx.doi.org/10.1108/JHTT-01-2024-0022","http://dx.doi.org/10.1108/JHTT-01-2024-0022")</f>
        <v>http://dx.doi.org/10.1108/JHTT-01-2024-0022</v>
      </c>
      <c r="BG1737" t="s">
        <v>74</v>
      </c>
      <c r="BH1737" t="s">
        <v>2444</v>
      </c>
      <c r="BI1737">
        <v>18</v>
      </c>
      <c r="BJ1737" t="s">
        <v>574</v>
      </c>
      <c r="BK1737" t="s">
        <v>99</v>
      </c>
      <c r="BL1737" t="s">
        <v>100</v>
      </c>
      <c r="BM1737" t="s">
        <v>29362</v>
      </c>
      <c r="BN1737" t="s">
        <v>74</v>
      </c>
      <c r="BO1737" t="s">
        <v>74</v>
      </c>
      <c r="BP1737" t="s">
        <v>74</v>
      </c>
      <c r="BQ1737" t="s">
        <v>74</v>
      </c>
      <c r="BR1737" t="s">
        <v>102</v>
      </c>
      <c r="BS1737" t="s">
        <v>29363</v>
      </c>
      <c r="BT1737" t="str">
        <f>HYPERLINK("https%3A%2F%2Fwww.webofscience.com%2Fwos%2Fwoscc%2Ffull-record%2FWOS:001286611400001","View Full Record in Web of Science")</f>
        <v>View Full Record in Web of Science</v>
      </c>
    </row>
    <row r="1738" spans="1:72" x14ac:dyDescent="0.35">
      <c r="A1738" t="s">
        <v>128</v>
      </c>
      <c r="B1738" t="s">
        <v>29364</v>
      </c>
      <c r="C1738" t="s">
        <v>74</v>
      </c>
      <c r="D1738" t="s">
        <v>74</v>
      </c>
      <c r="E1738" t="s">
        <v>1677</v>
      </c>
      <c r="F1738" t="s">
        <v>29365</v>
      </c>
      <c r="G1738" t="s">
        <v>74</v>
      </c>
      <c r="H1738" t="s">
        <v>74</v>
      </c>
      <c r="I1738" t="s">
        <v>29366</v>
      </c>
      <c r="J1738" t="s">
        <v>26211</v>
      </c>
      <c r="K1738" t="s">
        <v>26212</v>
      </c>
      <c r="L1738" t="s">
        <v>74</v>
      </c>
      <c r="M1738" t="s">
        <v>78</v>
      </c>
      <c r="N1738" t="s">
        <v>135</v>
      </c>
      <c r="O1738" t="s">
        <v>26213</v>
      </c>
      <c r="P1738" t="s">
        <v>26214</v>
      </c>
      <c r="Q1738" t="s">
        <v>138</v>
      </c>
      <c r="R1738" t="s">
        <v>1677</v>
      </c>
      <c r="S1738" t="s">
        <v>74</v>
      </c>
      <c r="T1738" t="s">
        <v>29367</v>
      </c>
      <c r="U1738" t="s">
        <v>29368</v>
      </c>
      <c r="V1738" t="s">
        <v>29369</v>
      </c>
      <c r="W1738" t="s">
        <v>29370</v>
      </c>
      <c r="X1738" t="s">
        <v>29371</v>
      </c>
      <c r="Y1738" t="s">
        <v>29372</v>
      </c>
      <c r="Z1738" t="s">
        <v>29373</v>
      </c>
      <c r="AA1738" t="s">
        <v>29374</v>
      </c>
      <c r="AB1738" t="s">
        <v>74</v>
      </c>
      <c r="AC1738" t="s">
        <v>29375</v>
      </c>
      <c r="AD1738" t="s">
        <v>29376</v>
      </c>
      <c r="AE1738" t="s">
        <v>29377</v>
      </c>
      <c r="AF1738" t="s">
        <v>74</v>
      </c>
      <c r="AG1738">
        <v>14</v>
      </c>
      <c r="AH1738">
        <v>2</v>
      </c>
      <c r="AI1738">
        <v>2</v>
      </c>
      <c r="AJ1738">
        <v>0</v>
      </c>
      <c r="AK1738">
        <v>2</v>
      </c>
      <c r="AL1738" t="s">
        <v>1677</v>
      </c>
      <c r="AM1738" t="s">
        <v>666</v>
      </c>
      <c r="AN1738" t="s">
        <v>1692</v>
      </c>
      <c r="AO1738" t="s">
        <v>26226</v>
      </c>
      <c r="AP1738" t="s">
        <v>74</v>
      </c>
      <c r="AQ1738" t="s">
        <v>26227</v>
      </c>
      <c r="AR1738" t="s">
        <v>26228</v>
      </c>
      <c r="AS1738" t="s">
        <v>74</v>
      </c>
      <c r="AT1738" t="s">
        <v>74</v>
      </c>
      <c r="AU1738">
        <v>2022</v>
      </c>
      <c r="AV1738" t="s">
        <v>74</v>
      </c>
      <c r="AW1738" t="s">
        <v>74</v>
      </c>
      <c r="AX1738" t="s">
        <v>74</v>
      </c>
      <c r="AY1738" t="s">
        <v>74</v>
      </c>
      <c r="AZ1738" t="s">
        <v>74</v>
      </c>
      <c r="BA1738" t="s">
        <v>74</v>
      </c>
      <c r="BB1738" t="s">
        <v>74</v>
      </c>
      <c r="BC1738" t="s">
        <v>74</v>
      </c>
      <c r="BD1738" t="s">
        <v>74</v>
      </c>
      <c r="BE1738" t="s">
        <v>29378</v>
      </c>
      <c r="BF1738" t="str">
        <f>HYPERLINK("http://dx.doi.org/10.1109/MMSP55362.2022.9948875","http://dx.doi.org/10.1109/MMSP55362.2022.9948875")</f>
        <v>http://dx.doi.org/10.1109/MMSP55362.2022.9948875</v>
      </c>
      <c r="BG1738" t="s">
        <v>74</v>
      </c>
      <c r="BH1738" t="s">
        <v>74</v>
      </c>
      <c r="BI1738">
        <v>6</v>
      </c>
      <c r="BJ1738" t="s">
        <v>26230</v>
      </c>
      <c r="BK1738" t="s">
        <v>723</v>
      </c>
      <c r="BL1738" t="s">
        <v>26231</v>
      </c>
      <c r="BM1738" t="s">
        <v>26232</v>
      </c>
      <c r="BN1738" t="s">
        <v>74</v>
      </c>
      <c r="BO1738" t="s">
        <v>74</v>
      </c>
      <c r="BP1738" t="s">
        <v>74</v>
      </c>
      <c r="BQ1738" t="s">
        <v>74</v>
      </c>
      <c r="BR1738" t="s">
        <v>102</v>
      </c>
      <c r="BS1738" t="s">
        <v>29379</v>
      </c>
      <c r="BT1738" t="str">
        <f>HYPERLINK("https%3A%2F%2Fwww.webofscience.com%2Fwos%2Fwoscc%2Ffull-record%2FWOS:000893205800031","View Full Record in Web of Science")</f>
        <v>View Full Record in Web of Science</v>
      </c>
    </row>
    <row r="1739" spans="1:72" x14ac:dyDescent="0.35">
      <c r="A1739" t="s">
        <v>72</v>
      </c>
      <c r="B1739" t="s">
        <v>29380</v>
      </c>
      <c r="C1739" t="s">
        <v>74</v>
      </c>
      <c r="D1739" t="s">
        <v>74</v>
      </c>
      <c r="E1739" t="s">
        <v>74</v>
      </c>
      <c r="F1739" t="s">
        <v>29381</v>
      </c>
      <c r="G1739" t="s">
        <v>74</v>
      </c>
      <c r="H1739" t="s">
        <v>74</v>
      </c>
      <c r="I1739" t="s">
        <v>29382</v>
      </c>
      <c r="J1739" t="s">
        <v>29383</v>
      </c>
      <c r="K1739" t="s">
        <v>74</v>
      </c>
      <c r="L1739" t="s">
        <v>74</v>
      </c>
      <c r="M1739" t="s">
        <v>78</v>
      </c>
      <c r="N1739" t="s">
        <v>374</v>
      </c>
      <c r="O1739" t="s">
        <v>74</v>
      </c>
      <c r="P1739" t="s">
        <v>74</v>
      </c>
      <c r="Q1739" t="s">
        <v>74</v>
      </c>
      <c r="R1739" t="s">
        <v>74</v>
      </c>
      <c r="S1739" t="s">
        <v>74</v>
      </c>
      <c r="T1739" t="s">
        <v>29384</v>
      </c>
      <c r="U1739" t="s">
        <v>24660</v>
      </c>
      <c r="V1739" t="s">
        <v>29385</v>
      </c>
      <c r="W1739" t="s">
        <v>29386</v>
      </c>
      <c r="X1739" t="s">
        <v>29387</v>
      </c>
      <c r="Y1739" t="s">
        <v>29388</v>
      </c>
      <c r="Z1739" t="s">
        <v>29389</v>
      </c>
      <c r="AA1739" t="s">
        <v>74</v>
      </c>
      <c r="AB1739" t="s">
        <v>29390</v>
      </c>
      <c r="AC1739" t="s">
        <v>74</v>
      </c>
      <c r="AD1739" t="s">
        <v>74</v>
      </c>
      <c r="AE1739" t="s">
        <v>74</v>
      </c>
      <c r="AF1739" t="s">
        <v>74</v>
      </c>
      <c r="AG1739">
        <v>116</v>
      </c>
      <c r="AH1739">
        <v>14</v>
      </c>
      <c r="AI1739">
        <v>14</v>
      </c>
      <c r="AJ1739">
        <v>35</v>
      </c>
      <c r="AK1739">
        <v>87</v>
      </c>
      <c r="AL1739" t="s">
        <v>1129</v>
      </c>
      <c r="AM1739" t="s">
        <v>89</v>
      </c>
      <c r="AN1739" t="s">
        <v>1130</v>
      </c>
      <c r="AO1739" t="s">
        <v>29391</v>
      </c>
      <c r="AP1739" t="s">
        <v>29392</v>
      </c>
      <c r="AQ1739" t="s">
        <v>74</v>
      </c>
      <c r="AR1739" t="s">
        <v>29393</v>
      </c>
      <c r="AS1739" t="s">
        <v>29394</v>
      </c>
      <c r="AT1739" t="s">
        <v>121</v>
      </c>
      <c r="AU1739">
        <v>2024</v>
      </c>
      <c r="AV1739">
        <v>15</v>
      </c>
      <c r="AW1739">
        <v>2</v>
      </c>
      <c r="AX1739" t="s">
        <v>74</v>
      </c>
      <c r="AY1739" t="s">
        <v>74</v>
      </c>
      <c r="AZ1739" t="s">
        <v>74</v>
      </c>
      <c r="BA1739" t="s">
        <v>74</v>
      </c>
      <c r="BB1739">
        <v>181</v>
      </c>
      <c r="BC1739">
        <v>202</v>
      </c>
      <c r="BD1739" t="s">
        <v>74</v>
      </c>
      <c r="BE1739" t="s">
        <v>29395</v>
      </c>
      <c r="BF1739" t="str">
        <f>HYPERLINK("http://dx.doi.org/10.1080/20932685.2023.2237978","http://dx.doi.org/10.1080/20932685.2023.2237978")</f>
        <v>http://dx.doi.org/10.1080/20932685.2023.2237978</v>
      </c>
      <c r="BG1739" t="s">
        <v>74</v>
      </c>
      <c r="BH1739" t="s">
        <v>1180</v>
      </c>
      <c r="BI1739">
        <v>22</v>
      </c>
      <c r="BJ1739" t="s">
        <v>1597</v>
      </c>
      <c r="BK1739" t="s">
        <v>125</v>
      </c>
      <c r="BL1739" t="s">
        <v>480</v>
      </c>
      <c r="BM1739" t="s">
        <v>29396</v>
      </c>
      <c r="BN1739" t="s">
        <v>74</v>
      </c>
      <c r="BO1739" t="s">
        <v>1049</v>
      </c>
      <c r="BP1739" t="s">
        <v>74</v>
      </c>
      <c r="BQ1739" t="s">
        <v>74</v>
      </c>
      <c r="BR1739" t="s">
        <v>102</v>
      </c>
      <c r="BS1739" t="s">
        <v>29397</v>
      </c>
      <c r="BT1739" t="str">
        <f>HYPERLINK("https%3A%2F%2Fwww.webofscience.com%2Fwos%2Fwoscc%2Ffull-record%2FWOS:001043574100001","View Full Record in Web of Science")</f>
        <v>View Full Record in Web of Science</v>
      </c>
    </row>
    <row r="1740" spans="1:72" x14ac:dyDescent="0.35">
      <c r="A1740" t="s">
        <v>72</v>
      </c>
      <c r="B1740" t="s">
        <v>29398</v>
      </c>
      <c r="C1740" t="s">
        <v>74</v>
      </c>
      <c r="D1740" t="s">
        <v>74</v>
      </c>
      <c r="E1740" t="s">
        <v>74</v>
      </c>
      <c r="F1740" t="s">
        <v>29399</v>
      </c>
      <c r="G1740" t="s">
        <v>74</v>
      </c>
      <c r="H1740" t="s">
        <v>74</v>
      </c>
      <c r="I1740" t="s">
        <v>29400</v>
      </c>
      <c r="J1740" t="s">
        <v>438</v>
      </c>
      <c r="K1740" t="s">
        <v>74</v>
      </c>
      <c r="L1740" t="s">
        <v>74</v>
      </c>
      <c r="M1740" t="s">
        <v>78</v>
      </c>
      <c r="N1740" t="s">
        <v>108</v>
      </c>
      <c r="O1740" t="s">
        <v>74</v>
      </c>
      <c r="P1740" t="s">
        <v>74</v>
      </c>
      <c r="Q1740" t="s">
        <v>74</v>
      </c>
      <c r="R1740" t="s">
        <v>74</v>
      </c>
      <c r="S1740" t="s">
        <v>74</v>
      </c>
      <c r="T1740" t="s">
        <v>29401</v>
      </c>
      <c r="U1740" t="s">
        <v>29402</v>
      </c>
      <c r="V1740" t="s">
        <v>29403</v>
      </c>
      <c r="W1740" t="s">
        <v>29404</v>
      </c>
      <c r="X1740" t="s">
        <v>29405</v>
      </c>
      <c r="Y1740" t="s">
        <v>29406</v>
      </c>
      <c r="Z1740" t="s">
        <v>29407</v>
      </c>
      <c r="AA1740" t="s">
        <v>29408</v>
      </c>
      <c r="AB1740" t="s">
        <v>29409</v>
      </c>
      <c r="AC1740" t="s">
        <v>29410</v>
      </c>
      <c r="AD1740" t="s">
        <v>29411</v>
      </c>
      <c r="AE1740" t="s">
        <v>29412</v>
      </c>
      <c r="AF1740" t="s">
        <v>74</v>
      </c>
      <c r="AG1740">
        <v>42</v>
      </c>
      <c r="AH1740">
        <v>4</v>
      </c>
      <c r="AI1740">
        <v>4</v>
      </c>
      <c r="AJ1740">
        <v>13</v>
      </c>
      <c r="AK1740">
        <v>66</v>
      </c>
      <c r="AL1740" t="s">
        <v>226</v>
      </c>
      <c r="AM1740" t="s">
        <v>227</v>
      </c>
      <c r="AN1740" t="s">
        <v>228</v>
      </c>
      <c r="AO1740" t="s">
        <v>451</v>
      </c>
      <c r="AP1740" t="s">
        <v>452</v>
      </c>
      <c r="AQ1740" t="s">
        <v>74</v>
      </c>
      <c r="AR1740" t="s">
        <v>453</v>
      </c>
      <c r="AS1740" t="s">
        <v>454</v>
      </c>
      <c r="AT1740" t="s">
        <v>523</v>
      </c>
      <c r="AU1740">
        <v>2024</v>
      </c>
      <c r="AV1740">
        <v>26</v>
      </c>
      <c r="AW1740">
        <v>11</v>
      </c>
      <c r="AX1740" t="s">
        <v>74</v>
      </c>
      <c r="AY1740" t="s">
        <v>74</v>
      </c>
      <c r="AZ1740" t="s">
        <v>74</v>
      </c>
      <c r="BA1740" t="s">
        <v>74</v>
      </c>
      <c r="BB1740">
        <v>6487</v>
      </c>
      <c r="BC1740">
        <v>6509</v>
      </c>
      <c r="BD1740" t="s">
        <v>74</v>
      </c>
      <c r="BE1740" t="s">
        <v>29413</v>
      </c>
      <c r="BF1740" t="str">
        <f>HYPERLINK("http://dx.doi.org/10.1177/14614448231154432","http://dx.doi.org/10.1177/14614448231154432")</f>
        <v>http://dx.doi.org/10.1177/14614448231154432</v>
      </c>
      <c r="BG1740" t="s">
        <v>74</v>
      </c>
      <c r="BH1740" t="s">
        <v>1046</v>
      </c>
      <c r="BI1740">
        <v>23</v>
      </c>
      <c r="BJ1740" t="s">
        <v>124</v>
      </c>
      <c r="BK1740" t="s">
        <v>99</v>
      </c>
      <c r="BL1740" t="s">
        <v>124</v>
      </c>
      <c r="BM1740" t="s">
        <v>21822</v>
      </c>
      <c r="BN1740" t="s">
        <v>74</v>
      </c>
      <c r="BO1740" t="s">
        <v>156</v>
      </c>
      <c r="BP1740" t="s">
        <v>74</v>
      </c>
      <c r="BQ1740" t="s">
        <v>74</v>
      </c>
      <c r="BR1740" t="s">
        <v>102</v>
      </c>
      <c r="BS1740" t="s">
        <v>29414</v>
      </c>
      <c r="BT1740" t="str">
        <f>HYPERLINK("https%3A%2F%2Fwww.webofscience.com%2Fwos%2Fwoscc%2Ffull-record%2FWOS:000943578700001","View Full Record in Web of Science")</f>
        <v>View Full Record in Web of Science</v>
      </c>
    </row>
    <row r="1741" spans="1:72" x14ac:dyDescent="0.35">
      <c r="A1741" t="s">
        <v>72</v>
      </c>
      <c r="B1741" t="s">
        <v>29415</v>
      </c>
      <c r="C1741" t="s">
        <v>74</v>
      </c>
      <c r="D1741" t="s">
        <v>74</v>
      </c>
      <c r="E1741" t="s">
        <v>74</v>
      </c>
      <c r="F1741" t="s">
        <v>29416</v>
      </c>
      <c r="G1741" t="s">
        <v>74</v>
      </c>
      <c r="H1741" t="s">
        <v>74</v>
      </c>
      <c r="I1741" t="s">
        <v>29417</v>
      </c>
      <c r="J1741" t="s">
        <v>9586</v>
      </c>
      <c r="K1741" t="s">
        <v>74</v>
      </c>
      <c r="L1741" t="s">
        <v>74</v>
      </c>
      <c r="M1741" t="s">
        <v>78</v>
      </c>
      <c r="N1741" t="s">
        <v>374</v>
      </c>
      <c r="O1741" t="s">
        <v>74</v>
      </c>
      <c r="P1741" t="s">
        <v>74</v>
      </c>
      <c r="Q1741" t="s">
        <v>74</v>
      </c>
      <c r="R1741" t="s">
        <v>74</v>
      </c>
      <c r="S1741" t="s">
        <v>74</v>
      </c>
      <c r="T1741" t="s">
        <v>74</v>
      </c>
      <c r="U1741" t="s">
        <v>29418</v>
      </c>
      <c r="V1741" t="s">
        <v>29419</v>
      </c>
      <c r="W1741" t="s">
        <v>29420</v>
      </c>
      <c r="X1741" t="s">
        <v>29421</v>
      </c>
      <c r="Y1741" t="s">
        <v>29422</v>
      </c>
      <c r="Z1741" t="s">
        <v>29423</v>
      </c>
      <c r="AA1741" t="s">
        <v>74</v>
      </c>
      <c r="AB1741" t="s">
        <v>29424</v>
      </c>
      <c r="AC1741" t="s">
        <v>29425</v>
      </c>
      <c r="AD1741" t="s">
        <v>29425</v>
      </c>
      <c r="AE1741" t="s">
        <v>29426</v>
      </c>
      <c r="AF1741" t="s">
        <v>74</v>
      </c>
      <c r="AG1741">
        <v>10</v>
      </c>
      <c r="AH1741">
        <v>5</v>
      </c>
      <c r="AI1741">
        <v>5</v>
      </c>
      <c r="AJ1741">
        <v>1</v>
      </c>
      <c r="AK1741">
        <v>13</v>
      </c>
      <c r="AL1741" t="s">
        <v>251</v>
      </c>
      <c r="AM1741" t="s">
        <v>252</v>
      </c>
      <c r="AN1741" t="s">
        <v>253</v>
      </c>
      <c r="AO1741" t="s">
        <v>9595</v>
      </c>
      <c r="AP1741" t="s">
        <v>9596</v>
      </c>
      <c r="AQ1741" t="s">
        <v>74</v>
      </c>
      <c r="AR1741" t="s">
        <v>9597</v>
      </c>
      <c r="AS1741" t="s">
        <v>9598</v>
      </c>
      <c r="AT1741" t="s">
        <v>455</v>
      </c>
      <c r="AU1741">
        <v>2022</v>
      </c>
      <c r="AV1741">
        <v>47</v>
      </c>
      <c r="AW1741">
        <v>9</v>
      </c>
      <c r="AX1741" t="s">
        <v>74</v>
      </c>
      <c r="AY1741" t="s">
        <v>74</v>
      </c>
      <c r="AZ1741" t="s">
        <v>74</v>
      </c>
      <c r="BA1741" t="s">
        <v>74</v>
      </c>
      <c r="BB1741">
        <v>1707</v>
      </c>
      <c r="BC1741">
        <v>1711</v>
      </c>
      <c r="BD1741" t="s">
        <v>74</v>
      </c>
      <c r="BE1741" t="s">
        <v>29427</v>
      </c>
      <c r="BF1741" t="str">
        <f>HYPERLINK("http://dx.doi.org/10.1111/ced.15222","http://dx.doi.org/10.1111/ced.15222")</f>
        <v>http://dx.doi.org/10.1111/ced.15222</v>
      </c>
      <c r="BG1741" t="s">
        <v>74</v>
      </c>
      <c r="BH1741" t="s">
        <v>9082</v>
      </c>
      <c r="BI1741">
        <v>5</v>
      </c>
      <c r="BJ1741" t="s">
        <v>1341</v>
      </c>
      <c r="BK1741" t="s">
        <v>209</v>
      </c>
      <c r="BL1741" t="s">
        <v>1341</v>
      </c>
      <c r="BM1741" t="s">
        <v>29428</v>
      </c>
      <c r="BN1741">
        <v>35434841</v>
      </c>
      <c r="BO1741" t="s">
        <v>2194</v>
      </c>
      <c r="BP1741" t="s">
        <v>74</v>
      </c>
      <c r="BQ1741" t="s">
        <v>74</v>
      </c>
      <c r="BR1741" t="s">
        <v>102</v>
      </c>
      <c r="BS1741" t="s">
        <v>29429</v>
      </c>
      <c r="BT1741" t="str">
        <f>HYPERLINK("https%3A%2F%2Fwww.webofscience.com%2Fwos%2Fwoscc%2Ffull-record%2FWOS:000800746900001","View Full Record in Web of Science")</f>
        <v>View Full Record in Web of Science</v>
      </c>
    </row>
    <row r="1742" spans="1:72" x14ac:dyDescent="0.35">
      <c r="A1742" t="s">
        <v>72</v>
      </c>
      <c r="B1742" t="s">
        <v>29430</v>
      </c>
      <c r="C1742" t="s">
        <v>74</v>
      </c>
      <c r="D1742" t="s">
        <v>74</v>
      </c>
      <c r="E1742" t="s">
        <v>74</v>
      </c>
      <c r="F1742" t="s">
        <v>29431</v>
      </c>
      <c r="G1742" t="s">
        <v>74</v>
      </c>
      <c r="H1742" t="s">
        <v>74</v>
      </c>
      <c r="I1742" t="s">
        <v>29432</v>
      </c>
      <c r="J1742" t="s">
        <v>29433</v>
      </c>
      <c r="K1742" t="s">
        <v>74</v>
      </c>
      <c r="L1742" t="s">
        <v>74</v>
      </c>
      <c r="M1742" t="s">
        <v>1556</v>
      </c>
      <c r="N1742" t="s">
        <v>108</v>
      </c>
      <c r="O1742" t="s">
        <v>74</v>
      </c>
      <c r="P1742" t="s">
        <v>74</v>
      </c>
      <c r="Q1742" t="s">
        <v>74</v>
      </c>
      <c r="R1742" t="s">
        <v>74</v>
      </c>
      <c r="S1742" t="s">
        <v>74</v>
      </c>
      <c r="T1742" t="s">
        <v>29434</v>
      </c>
      <c r="U1742" t="s">
        <v>74</v>
      </c>
      <c r="V1742" t="s">
        <v>29435</v>
      </c>
      <c r="W1742" t="s">
        <v>29436</v>
      </c>
      <c r="X1742" t="s">
        <v>29437</v>
      </c>
      <c r="Y1742" t="s">
        <v>29438</v>
      </c>
      <c r="Z1742" t="s">
        <v>29439</v>
      </c>
      <c r="AA1742" t="s">
        <v>29440</v>
      </c>
      <c r="AB1742" t="s">
        <v>74</v>
      </c>
      <c r="AC1742" t="s">
        <v>74</v>
      </c>
      <c r="AD1742" t="s">
        <v>74</v>
      </c>
      <c r="AE1742" t="s">
        <v>74</v>
      </c>
      <c r="AF1742" t="s">
        <v>74</v>
      </c>
      <c r="AG1742">
        <v>20</v>
      </c>
      <c r="AH1742">
        <v>1</v>
      </c>
      <c r="AI1742">
        <v>1</v>
      </c>
      <c r="AJ1742">
        <v>0</v>
      </c>
      <c r="AK1742">
        <v>8</v>
      </c>
      <c r="AL1742" t="s">
        <v>18547</v>
      </c>
      <c r="AM1742" t="s">
        <v>18548</v>
      </c>
      <c r="AN1742" t="s">
        <v>18549</v>
      </c>
      <c r="AO1742" t="s">
        <v>29441</v>
      </c>
      <c r="AP1742" t="s">
        <v>29442</v>
      </c>
      <c r="AQ1742" t="s">
        <v>74</v>
      </c>
      <c r="AR1742" t="s">
        <v>29443</v>
      </c>
      <c r="AS1742" t="s">
        <v>29444</v>
      </c>
      <c r="AT1742" t="s">
        <v>74</v>
      </c>
      <c r="AU1742">
        <v>2021</v>
      </c>
      <c r="AV1742" t="s">
        <v>74</v>
      </c>
      <c r="AW1742">
        <v>56</v>
      </c>
      <c r="AX1742" t="s">
        <v>74</v>
      </c>
      <c r="AY1742" t="s">
        <v>74</v>
      </c>
      <c r="AZ1742" t="s">
        <v>74</v>
      </c>
      <c r="BA1742" t="s">
        <v>74</v>
      </c>
      <c r="BB1742">
        <v>199</v>
      </c>
      <c r="BC1742">
        <v>217</v>
      </c>
      <c r="BD1742" t="s">
        <v>74</v>
      </c>
      <c r="BE1742" t="s">
        <v>29445</v>
      </c>
      <c r="BF1742" t="str">
        <f>HYPERLINK("http://dx.doi.org/10.17223/19996195/56/12","http://dx.doi.org/10.17223/19996195/56/12")</f>
        <v>http://dx.doi.org/10.17223/19996195/56/12</v>
      </c>
      <c r="BG1742" t="s">
        <v>74</v>
      </c>
      <c r="BH1742" t="s">
        <v>74</v>
      </c>
      <c r="BI1742">
        <v>19</v>
      </c>
      <c r="BJ1742" t="s">
        <v>3284</v>
      </c>
      <c r="BK1742" t="s">
        <v>125</v>
      </c>
      <c r="BL1742" t="s">
        <v>3285</v>
      </c>
      <c r="BM1742" t="s">
        <v>29446</v>
      </c>
      <c r="BN1742" t="s">
        <v>74</v>
      </c>
      <c r="BO1742" t="s">
        <v>74</v>
      </c>
      <c r="BP1742" t="s">
        <v>74</v>
      </c>
      <c r="BQ1742" t="s">
        <v>74</v>
      </c>
      <c r="BR1742" t="s">
        <v>102</v>
      </c>
      <c r="BS1742" t="s">
        <v>29447</v>
      </c>
      <c r="BT1742" t="str">
        <f>HYPERLINK("https%3A%2F%2Fwww.webofscience.com%2Fwos%2Fwoscc%2Ffull-record%2FWOS:000750185100012","View Full Record in Web of Science")</f>
        <v>View Full Record in Web of Science</v>
      </c>
    </row>
    <row r="1743" spans="1:72" x14ac:dyDescent="0.35">
      <c r="A1743" t="s">
        <v>72</v>
      </c>
      <c r="B1743" t="s">
        <v>29448</v>
      </c>
      <c r="C1743" t="s">
        <v>74</v>
      </c>
      <c r="D1743" t="s">
        <v>74</v>
      </c>
      <c r="E1743" t="s">
        <v>74</v>
      </c>
      <c r="F1743" t="s">
        <v>29449</v>
      </c>
      <c r="G1743" t="s">
        <v>74</v>
      </c>
      <c r="H1743" t="s">
        <v>74</v>
      </c>
      <c r="I1743" t="s">
        <v>29450</v>
      </c>
      <c r="J1743" t="s">
        <v>12248</v>
      </c>
      <c r="K1743" t="s">
        <v>74</v>
      </c>
      <c r="L1743" t="s">
        <v>74</v>
      </c>
      <c r="M1743" t="s">
        <v>78</v>
      </c>
      <c r="N1743" t="s">
        <v>108</v>
      </c>
      <c r="O1743" t="s">
        <v>74</v>
      </c>
      <c r="P1743" t="s">
        <v>74</v>
      </c>
      <c r="Q1743" t="s">
        <v>74</v>
      </c>
      <c r="R1743" t="s">
        <v>74</v>
      </c>
      <c r="S1743" t="s">
        <v>74</v>
      </c>
      <c r="T1743" t="s">
        <v>29451</v>
      </c>
      <c r="U1743" t="s">
        <v>74</v>
      </c>
      <c r="V1743" t="s">
        <v>29452</v>
      </c>
      <c r="W1743" t="s">
        <v>29453</v>
      </c>
      <c r="X1743" t="s">
        <v>29454</v>
      </c>
      <c r="Y1743" t="s">
        <v>29455</v>
      </c>
      <c r="Z1743" t="s">
        <v>29456</v>
      </c>
      <c r="AA1743" t="s">
        <v>29457</v>
      </c>
      <c r="AB1743" t="s">
        <v>74</v>
      </c>
      <c r="AC1743" t="s">
        <v>29458</v>
      </c>
      <c r="AD1743" t="s">
        <v>29458</v>
      </c>
      <c r="AE1743" t="s">
        <v>29458</v>
      </c>
      <c r="AF1743" t="s">
        <v>74</v>
      </c>
      <c r="AG1743">
        <v>32</v>
      </c>
      <c r="AH1743">
        <v>0</v>
      </c>
      <c r="AI1743">
        <v>0</v>
      </c>
      <c r="AJ1743">
        <v>9</v>
      </c>
      <c r="AK1743">
        <v>32</v>
      </c>
      <c r="AL1743" t="s">
        <v>665</v>
      </c>
      <c r="AM1743" t="s">
        <v>666</v>
      </c>
      <c r="AN1743" t="s">
        <v>667</v>
      </c>
      <c r="AO1743" t="s">
        <v>12261</v>
      </c>
      <c r="AP1743" t="s">
        <v>12262</v>
      </c>
      <c r="AQ1743" t="s">
        <v>74</v>
      </c>
      <c r="AR1743" t="s">
        <v>12263</v>
      </c>
      <c r="AS1743" t="s">
        <v>12264</v>
      </c>
      <c r="AT1743" t="s">
        <v>232</v>
      </c>
      <c r="AU1743">
        <v>2024</v>
      </c>
      <c r="AV1743">
        <v>29</v>
      </c>
      <c r="AW1743">
        <v>1</v>
      </c>
      <c r="AX1743" t="s">
        <v>74</v>
      </c>
      <c r="AY1743" t="s">
        <v>74</v>
      </c>
      <c r="AZ1743" t="s">
        <v>74</v>
      </c>
      <c r="BA1743" t="s">
        <v>74</v>
      </c>
      <c r="BB1743">
        <v>595</v>
      </c>
      <c r="BC1743">
        <v>623</v>
      </c>
      <c r="BD1743" t="s">
        <v>74</v>
      </c>
      <c r="BE1743" t="s">
        <v>29459</v>
      </c>
      <c r="BF1743" t="str">
        <f>HYPERLINK("http://dx.doi.org/10.1007/s10639-023-12217-2","http://dx.doi.org/10.1007/s10639-023-12217-2")</f>
        <v>http://dx.doi.org/10.1007/s10639-023-12217-2</v>
      </c>
      <c r="BG1743" t="s">
        <v>74</v>
      </c>
      <c r="BH1743" t="s">
        <v>674</v>
      </c>
      <c r="BI1743">
        <v>29</v>
      </c>
      <c r="BJ1743" t="s">
        <v>787</v>
      </c>
      <c r="BK1743" t="s">
        <v>99</v>
      </c>
      <c r="BL1743" t="s">
        <v>787</v>
      </c>
      <c r="BM1743" t="s">
        <v>29460</v>
      </c>
      <c r="BN1743" t="s">
        <v>74</v>
      </c>
      <c r="BO1743" t="s">
        <v>74</v>
      </c>
      <c r="BP1743" t="s">
        <v>74</v>
      </c>
      <c r="BQ1743" t="s">
        <v>74</v>
      </c>
      <c r="BR1743" t="s">
        <v>102</v>
      </c>
      <c r="BS1743" t="s">
        <v>29461</v>
      </c>
      <c r="BT1743" t="str">
        <f>HYPERLINK("https%3A%2F%2Fwww.webofscience.com%2Fwos%2Fwoscc%2Ffull-record%2FWOS:001100991700002","View Full Record in Web of Science")</f>
        <v>View Full Record in Web of Science</v>
      </c>
    </row>
    <row r="1744" spans="1:72" x14ac:dyDescent="0.35">
      <c r="A1744" t="s">
        <v>72</v>
      </c>
      <c r="B1744" t="s">
        <v>29462</v>
      </c>
      <c r="C1744" t="s">
        <v>74</v>
      </c>
      <c r="D1744" t="s">
        <v>74</v>
      </c>
      <c r="E1744" t="s">
        <v>74</v>
      </c>
      <c r="F1744" t="s">
        <v>29463</v>
      </c>
      <c r="G1744" t="s">
        <v>74</v>
      </c>
      <c r="H1744" t="s">
        <v>74</v>
      </c>
      <c r="I1744" t="s">
        <v>29464</v>
      </c>
      <c r="J1744" t="s">
        <v>29465</v>
      </c>
      <c r="K1744" t="s">
        <v>74</v>
      </c>
      <c r="L1744" t="s">
        <v>74</v>
      </c>
      <c r="M1744" t="s">
        <v>78</v>
      </c>
      <c r="N1744" t="s">
        <v>108</v>
      </c>
      <c r="O1744" t="s">
        <v>74</v>
      </c>
      <c r="P1744" t="s">
        <v>74</v>
      </c>
      <c r="Q1744" t="s">
        <v>74</v>
      </c>
      <c r="R1744" t="s">
        <v>74</v>
      </c>
      <c r="S1744" t="s">
        <v>74</v>
      </c>
      <c r="T1744" t="s">
        <v>29466</v>
      </c>
      <c r="U1744" t="s">
        <v>956</v>
      </c>
      <c r="V1744" t="s">
        <v>29467</v>
      </c>
      <c r="W1744" t="s">
        <v>29468</v>
      </c>
      <c r="X1744" t="s">
        <v>74</v>
      </c>
      <c r="Y1744" t="s">
        <v>29469</v>
      </c>
      <c r="Z1744" t="s">
        <v>29470</v>
      </c>
      <c r="AA1744" t="s">
        <v>74</v>
      </c>
      <c r="AB1744" t="s">
        <v>74</v>
      </c>
      <c r="AC1744" t="s">
        <v>74</v>
      </c>
      <c r="AD1744" t="s">
        <v>74</v>
      </c>
      <c r="AE1744" t="s">
        <v>74</v>
      </c>
      <c r="AF1744" t="s">
        <v>74</v>
      </c>
      <c r="AG1744">
        <v>42</v>
      </c>
      <c r="AH1744">
        <v>0</v>
      </c>
      <c r="AI1744">
        <v>0</v>
      </c>
      <c r="AJ1744">
        <v>0</v>
      </c>
      <c r="AK1744">
        <v>0</v>
      </c>
      <c r="AL1744" t="s">
        <v>88</v>
      </c>
      <c r="AM1744" t="s">
        <v>89</v>
      </c>
      <c r="AN1744" t="s">
        <v>90</v>
      </c>
      <c r="AO1744" t="s">
        <v>29471</v>
      </c>
      <c r="AP1744" t="s">
        <v>29472</v>
      </c>
      <c r="AQ1744" t="s">
        <v>74</v>
      </c>
      <c r="AR1744" t="s">
        <v>29473</v>
      </c>
      <c r="AS1744" t="s">
        <v>29474</v>
      </c>
      <c r="AT1744" t="s">
        <v>2323</v>
      </c>
      <c r="AU1744">
        <v>2024</v>
      </c>
      <c r="AV1744">
        <v>10</v>
      </c>
      <c r="AW1744">
        <v>1</v>
      </c>
      <c r="AX1744" t="s">
        <v>74</v>
      </c>
      <c r="AY1744" t="s">
        <v>74</v>
      </c>
      <c r="AZ1744" t="s">
        <v>74</v>
      </c>
      <c r="BA1744" t="s">
        <v>74</v>
      </c>
      <c r="BB1744">
        <v>49</v>
      </c>
      <c r="BC1744">
        <v>63</v>
      </c>
      <c r="BD1744" t="s">
        <v>74</v>
      </c>
      <c r="BE1744" t="s">
        <v>29475</v>
      </c>
      <c r="BF1744" t="str">
        <f>HYPERLINK("http://dx.doi.org/10.1080/23277408.2024.2308467","http://dx.doi.org/10.1080/23277408.2024.2308467")</f>
        <v>http://dx.doi.org/10.1080/23277408.2024.2308467</v>
      </c>
      <c r="BG1744" t="s">
        <v>74</v>
      </c>
      <c r="BH1744" t="s">
        <v>1377</v>
      </c>
      <c r="BI1744">
        <v>15</v>
      </c>
      <c r="BJ1744" t="s">
        <v>29476</v>
      </c>
      <c r="BK1744" t="s">
        <v>125</v>
      </c>
      <c r="BL1744" t="s">
        <v>22783</v>
      </c>
      <c r="BM1744" t="s">
        <v>29477</v>
      </c>
      <c r="BN1744" t="s">
        <v>74</v>
      </c>
      <c r="BO1744" t="s">
        <v>74</v>
      </c>
      <c r="BP1744" t="s">
        <v>74</v>
      </c>
      <c r="BQ1744" t="s">
        <v>74</v>
      </c>
      <c r="BR1744" t="s">
        <v>102</v>
      </c>
      <c r="BS1744" t="s">
        <v>29478</v>
      </c>
      <c r="BT1744" t="str">
        <f>HYPERLINK("https%3A%2F%2Fwww.webofscience.com%2Fwos%2Fwoscc%2Ffull-record%2FWOS:001173604000001","View Full Record in Web of Science")</f>
        <v>View Full Record in Web of Science</v>
      </c>
    </row>
    <row r="1745" spans="1:72" x14ac:dyDescent="0.35">
      <c r="A1745" t="s">
        <v>72</v>
      </c>
      <c r="B1745" t="s">
        <v>29479</v>
      </c>
      <c r="C1745" t="s">
        <v>74</v>
      </c>
      <c r="D1745" t="s">
        <v>74</v>
      </c>
      <c r="E1745" t="s">
        <v>74</v>
      </c>
      <c r="F1745" t="s">
        <v>29480</v>
      </c>
      <c r="G1745" t="s">
        <v>74</v>
      </c>
      <c r="H1745" t="s">
        <v>74</v>
      </c>
      <c r="I1745" t="s">
        <v>29481</v>
      </c>
      <c r="J1745" t="s">
        <v>29482</v>
      </c>
      <c r="K1745" t="s">
        <v>74</v>
      </c>
      <c r="L1745" t="s">
        <v>74</v>
      </c>
      <c r="M1745" t="s">
        <v>78</v>
      </c>
      <c r="N1745" t="s">
        <v>108</v>
      </c>
      <c r="O1745" t="s">
        <v>74</v>
      </c>
      <c r="P1745" t="s">
        <v>74</v>
      </c>
      <c r="Q1745" t="s">
        <v>74</v>
      </c>
      <c r="R1745" t="s">
        <v>74</v>
      </c>
      <c r="S1745" t="s">
        <v>74</v>
      </c>
      <c r="T1745" t="s">
        <v>29483</v>
      </c>
      <c r="U1745" t="s">
        <v>29484</v>
      </c>
      <c r="V1745" t="s">
        <v>29485</v>
      </c>
      <c r="W1745" t="s">
        <v>29486</v>
      </c>
      <c r="X1745" t="s">
        <v>74</v>
      </c>
      <c r="Y1745" t="s">
        <v>29487</v>
      </c>
      <c r="Z1745" t="s">
        <v>29488</v>
      </c>
      <c r="AA1745" t="s">
        <v>74</v>
      </c>
      <c r="AB1745" t="s">
        <v>29489</v>
      </c>
      <c r="AC1745" t="s">
        <v>74</v>
      </c>
      <c r="AD1745" t="s">
        <v>74</v>
      </c>
      <c r="AE1745" t="s">
        <v>74</v>
      </c>
      <c r="AF1745" t="s">
        <v>74</v>
      </c>
      <c r="AG1745">
        <v>15</v>
      </c>
      <c r="AH1745">
        <v>16</v>
      </c>
      <c r="AI1745">
        <v>16</v>
      </c>
      <c r="AJ1745">
        <v>0</v>
      </c>
      <c r="AK1745">
        <v>2</v>
      </c>
      <c r="AL1745" t="s">
        <v>29490</v>
      </c>
      <c r="AM1745" t="s">
        <v>19135</v>
      </c>
      <c r="AN1745" t="s">
        <v>29491</v>
      </c>
      <c r="AO1745" t="s">
        <v>29492</v>
      </c>
      <c r="AP1745" t="s">
        <v>29493</v>
      </c>
      <c r="AQ1745" t="s">
        <v>74</v>
      </c>
      <c r="AR1745" t="s">
        <v>29494</v>
      </c>
      <c r="AS1745" t="s">
        <v>29495</v>
      </c>
      <c r="AT1745" t="s">
        <v>17864</v>
      </c>
      <c r="AU1745">
        <v>2022</v>
      </c>
      <c r="AV1745">
        <v>75</v>
      </c>
      <c r="AW1745" t="s">
        <v>29496</v>
      </c>
      <c r="AX1745" t="s">
        <v>74</v>
      </c>
      <c r="AY1745" t="s">
        <v>74</v>
      </c>
      <c r="AZ1745" t="s">
        <v>74</v>
      </c>
      <c r="BA1745" t="s">
        <v>74</v>
      </c>
      <c r="BB1745">
        <v>211</v>
      </c>
      <c r="BC1745">
        <v>216</v>
      </c>
      <c r="BD1745" t="s">
        <v>74</v>
      </c>
      <c r="BE1745" t="s">
        <v>29497</v>
      </c>
      <c r="BF1745" t="str">
        <f>HYPERLINK("http://dx.doi.org/10.18071/isz.75.0211","http://dx.doi.org/10.18071/isz.75.0211")</f>
        <v>http://dx.doi.org/10.18071/isz.75.0211</v>
      </c>
      <c r="BG1745" t="s">
        <v>74</v>
      </c>
      <c r="BH1745" t="s">
        <v>74</v>
      </c>
      <c r="BI1745">
        <v>6</v>
      </c>
      <c r="BJ1745" t="s">
        <v>2256</v>
      </c>
      <c r="BK1745" t="s">
        <v>209</v>
      </c>
      <c r="BL1745" t="s">
        <v>2258</v>
      </c>
      <c r="BM1745" t="s">
        <v>29498</v>
      </c>
      <c r="BN1745">
        <v>35819338</v>
      </c>
      <c r="BO1745" t="s">
        <v>6798</v>
      </c>
      <c r="BP1745" t="s">
        <v>74</v>
      </c>
      <c r="BQ1745" t="s">
        <v>74</v>
      </c>
      <c r="BR1745" t="s">
        <v>102</v>
      </c>
      <c r="BS1745" t="s">
        <v>29499</v>
      </c>
      <c r="BT1745" t="str">
        <f>HYPERLINK("https%3A%2F%2Fwww.webofscience.com%2Fwos%2Fwoscc%2Ffull-record%2FWOS:001080358400008","View Full Record in Web of Science")</f>
        <v>View Full Record in Web of Science</v>
      </c>
    </row>
    <row r="1746" spans="1:72" x14ac:dyDescent="0.35">
      <c r="A1746" t="s">
        <v>72</v>
      </c>
      <c r="B1746" t="s">
        <v>29500</v>
      </c>
      <c r="C1746" t="s">
        <v>74</v>
      </c>
      <c r="D1746" t="s">
        <v>74</v>
      </c>
      <c r="E1746" t="s">
        <v>74</v>
      </c>
      <c r="F1746" t="s">
        <v>29501</v>
      </c>
      <c r="G1746" t="s">
        <v>74</v>
      </c>
      <c r="H1746" t="s">
        <v>74</v>
      </c>
      <c r="I1746" t="s">
        <v>29502</v>
      </c>
      <c r="J1746" t="s">
        <v>29503</v>
      </c>
      <c r="K1746" t="s">
        <v>74</v>
      </c>
      <c r="L1746" t="s">
        <v>74</v>
      </c>
      <c r="M1746" t="s">
        <v>78</v>
      </c>
      <c r="N1746" t="s">
        <v>108</v>
      </c>
      <c r="O1746" t="s">
        <v>74</v>
      </c>
      <c r="P1746" t="s">
        <v>74</v>
      </c>
      <c r="Q1746" t="s">
        <v>74</v>
      </c>
      <c r="R1746" t="s">
        <v>74</v>
      </c>
      <c r="S1746" t="s">
        <v>74</v>
      </c>
      <c r="T1746" t="s">
        <v>74</v>
      </c>
      <c r="U1746" t="s">
        <v>74</v>
      </c>
      <c r="V1746" t="s">
        <v>29504</v>
      </c>
      <c r="W1746" t="s">
        <v>29505</v>
      </c>
      <c r="X1746" t="s">
        <v>29506</v>
      </c>
      <c r="Y1746" t="s">
        <v>29507</v>
      </c>
      <c r="Z1746" t="s">
        <v>29508</v>
      </c>
      <c r="AA1746" t="s">
        <v>74</v>
      </c>
      <c r="AB1746" t="s">
        <v>74</v>
      </c>
      <c r="AC1746" t="s">
        <v>29509</v>
      </c>
      <c r="AD1746" t="s">
        <v>29510</v>
      </c>
      <c r="AE1746" t="s">
        <v>74</v>
      </c>
      <c r="AF1746" t="s">
        <v>74</v>
      </c>
      <c r="AG1746">
        <v>54</v>
      </c>
      <c r="AH1746">
        <v>4</v>
      </c>
      <c r="AI1746">
        <v>4</v>
      </c>
      <c r="AJ1746">
        <v>1</v>
      </c>
      <c r="AK1746">
        <v>4</v>
      </c>
      <c r="AL1746" t="s">
        <v>8334</v>
      </c>
      <c r="AM1746" t="s">
        <v>291</v>
      </c>
      <c r="AN1746" t="s">
        <v>8335</v>
      </c>
      <c r="AO1746" t="s">
        <v>29511</v>
      </c>
      <c r="AP1746" t="s">
        <v>29512</v>
      </c>
      <c r="AQ1746" t="s">
        <v>74</v>
      </c>
      <c r="AR1746" t="s">
        <v>29513</v>
      </c>
      <c r="AS1746" t="s">
        <v>29514</v>
      </c>
      <c r="AT1746" t="s">
        <v>29515</v>
      </c>
      <c r="AU1746">
        <v>2022</v>
      </c>
      <c r="AV1746">
        <v>20</v>
      </c>
      <c r="AW1746">
        <v>4</v>
      </c>
      <c r="AX1746" t="s">
        <v>74</v>
      </c>
      <c r="AY1746" t="s">
        <v>74</v>
      </c>
      <c r="AZ1746" t="s">
        <v>74</v>
      </c>
      <c r="BA1746" t="s">
        <v>74</v>
      </c>
      <c r="BB1746">
        <v>829</v>
      </c>
      <c r="BC1746">
        <v>842</v>
      </c>
      <c r="BD1746" t="s">
        <v>74</v>
      </c>
      <c r="BE1746" t="s">
        <v>29516</v>
      </c>
      <c r="BF1746" t="str">
        <f>HYPERLINK("http://dx.doi.org/10.1093/jicj/mqac046","http://dx.doi.org/10.1093/jicj/mqac046")</f>
        <v>http://dx.doi.org/10.1093/jicj/mqac046</v>
      </c>
      <c r="BG1746" t="s">
        <v>74</v>
      </c>
      <c r="BH1746" t="s">
        <v>366</v>
      </c>
      <c r="BI1746">
        <v>14</v>
      </c>
      <c r="BJ1746" t="s">
        <v>10320</v>
      </c>
      <c r="BK1746" t="s">
        <v>99</v>
      </c>
      <c r="BL1746" t="s">
        <v>8015</v>
      </c>
      <c r="BM1746" t="s">
        <v>29517</v>
      </c>
      <c r="BN1746" t="s">
        <v>74</v>
      </c>
      <c r="BO1746" t="s">
        <v>74</v>
      </c>
      <c r="BP1746" t="s">
        <v>74</v>
      </c>
      <c r="BQ1746" t="s">
        <v>74</v>
      </c>
      <c r="BR1746" t="s">
        <v>102</v>
      </c>
      <c r="BS1746" t="s">
        <v>29518</v>
      </c>
      <c r="BT1746" t="str">
        <f>HYPERLINK("https%3A%2F%2Fwww.webofscience.com%2Fwos%2Fwoscc%2Ffull-record%2FWOS:000879840600001","View Full Record in Web of Science")</f>
        <v>View Full Record in Web of Science</v>
      </c>
    </row>
    <row r="1747" spans="1:72" x14ac:dyDescent="0.35">
      <c r="A1747" t="s">
        <v>128</v>
      </c>
      <c r="B1747" t="s">
        <v>29519</v>
      </c>
      <c r="C1747" t="s">
        <v>74</v>
      </c>
      <c r="D1747" t="s">
        <v>74</v>
      </c>
      <c r="E1747" t="s">
        <v>702</v>
      </c>
      <c r="F1747" t="s">
        <v>29520</v>
      </c>
      <c r="G1747" t="s">
        <v>74</v>
      </c>
      <c r="H1747" t="s">
        <v>74</v>
      </c>
      <c r="I1747" t="s">
        <v>29521</v>
      </c>
      <c r="J1747" t="s">
        <v>29522</v>
      </c>
      <c r="K1747" t="s">
        <v>74</v>
      </c>
      <c r="L1747" t="s">
        <v>74</v>
      </c>
      <c r="M1747" t="s">
        <v>78</v>
      </c>
      <c r="N1747" t="s">
        <v>135</v>
      </c>
      <c r="O1747" t="s">
        <v>29523</v>
      </c>
      <c r="P1747" t="s">
        <v>29524</v>
      </c>
      <c r="Q1747" t="s">
        <v>20914</v>
      </c>
      <c r="R1747" t="s">
        <v>29525</v>
      </c>
      <c r="S1747" t="s">
        <v>74</v>
      </c>
      <c r="T1747" t="s">
        <v>29526</v>
      </c>
      <c r="U1747" t="s">
        <v>74</v>
      </c>
      <c r="V1747" t="s">
        <v>29527</v>
      </c>
      <c r="W1747" t="s">
        <v>29528</v>
      </c>
      <c r="X1747" t="s">
        <v>5390</v>
      </c>
      <c r="Y1747" t="s">
        <v>29529</v>
      </c>
      <c r="Z1747" t="s">
        <v>29530</v>
      </c>
      <c r="AA1747" t="s">
        <v>74</v>
      </c>
      <c r="AB1747" t="s">
        <v>74</v>
      </c>
      <c r="AC1747" t="s">
        <v>29531</v>
      </c>
      <c r="AD1747" t="s">
        <v>29532</v>
      </c>
      <c r="AE1747" t="s">
        <v>29533</v>
      </c>
      <c r="AF1747" t="s">
        <v>74</v>
      </c>
      <c r="AG1747">
        <v>73</v>
      </c>
      <c r="AH1747">
        <v>2</v>
      </c>
      <c r="AI1747">
        <v>2</v>
      </c>
      <c r="AJ1747">
        <v>0</v>
      </c>
      <c r="AK1747">
        <v>0</v>
      </c>
      <c r="AL1747" t="s">
        <v>718</v>
      </c>
      <c r="AM1747" t="s">
        <v>666</v>
      </c>
      <c r="AN1747" t="s">
        <v>719</v>
      </c>
      <c r="AO1747" t="s">
        <v>74</v>
      </c>
      <c r="AP1747" t="s">
        <v>74</v>
      </c>
      <c r="AQ1747" t="s">
        <v>29534</v>
      </c>
      <c r="AR1747" t="s">
        <v>74</v>
      </c>
      <c r="AS1747" t="s">
        <v>74</v>
      </c>
      <c r="AT1747" t="s">
        <v>74</v>
      </c>
      <c r="AU1747">
        <v>2022</v>
      </c>
      <c r="AV1747" t="s">
        <v>74</v>
      </c>
      <c r="AW1747" t="s">
        <v>74</v>
      </c>
      <c r="AX1747" t="s">
        <v>74</v>
      </c>
      <c r="AY1747" t="s">
        <v>74</v>
      </c>
      <c r="AZ1747" t="s">
        <v>74</v>
      </c>
      <c r="BA1747" t="s">
        <v>74</v>
      </c>
      <c r="BB1747" t="s">
        <v>74</v>
      </c>
      <c r="BC1747" t="s">
        <v>74</v>
      </c>
      <c r="BD1747" t="s">
        <v>74</v>
      </c>
      <c r="BE1747" t="s">
        <v>29535</v>
      </c>
      <c r="BF1747" t="str">
        <f>HYPERLINK("http://dx.doi.org/10.1145/3517428.3550417","http://dx.doi.org/10.1145/3517428.3550417")</f>
        <v>http://dx.doi.org/10.1145/3517428.3550417</v>
      </c>
      <c r="BG1747" t="s">
        <v>74</v>
      </c>
      <c r="BH1747" t="s">
        <v>74</v>
      </c>
      <c r="BI1747">
        <v>8</v>
      </c>
      <c r="BJ1747" t="s">
        <v>26146</v>
      </c>
      <c r="BK1747" t="s">
        <v>723</v>
      </c>
      <c r="BL1747" t="s">
        <v>210</v>
      </c>
      <c r="BM1747" t="s">
        <v>29536</v>
      </c>
      <c r="BN1747" t="s">
        <v>74</v>
      </c>
      <c r="BO1747" t="s">
        <v>767</v>
      </c>
      <c r="BP1747" t="s">
        <v>74</v>
      </c>
      <c r="BQ1747" t="s">
        <v>74</v>
      </c>
      <c r="BR1747" t="s">
        <v>102</v>
      </c>
      <c r="BS1747" t="s">
        <v>29537</v>
      </c>
      <c r="BT1747" t="str">
        <f>HYPERLINK("https%3A%2F%2Fwww.webofscience.com%2Fwos%2Fwoscc%2Ffull-record%2FWOS:001146369800100","View Full Record in Web of Science")</f>
        <v>View Full Record in Web of Science</v>
      </c>
    </row>
    <row r="1748" spans="1:72" x14ac:dyDescent="0.35">
      <c r="A1748" t="s">
        <v>72</v>
      </c>
      <c r="B1748" t="s">
        <v>29538</v>
      </c>
      <c r="C1748" t="s">
        <v>74</v>
      </c>
      <c r="D1748" t="s">
        <v>74</v>
      </c>
      <c r="E1748" t="s">
        <v>74</v>
      </c>
      <c r="F1748" t="s">
        <v>29539</v>
      </c>
      <c r="G1748" t="s">
        <v>74</v>
      </c>
      <c r="H1748" t="s">
        <v>74</v>
      </c>
      <c r="I1748" t="s">
        <v>29540</v>
      </c>
      <c r="J1748" t="s">
        <v>1034</v>
      </c>
      <c r="K1748" t="s">
        <v>74</v>
      </c>
      <c r="L1748" t="s">
        <v>74</v>
      </c>
      <c r="M1748" t="s">
        <v>78</v>
      </c>
      <c r="N1748" t="s">
        <v>79</v>
      </c>
      <c r="O1748" t="s">
        <v>74</v>
      </c>
      <c r="P1748" t="s">
        <v>74</v>
      </c>
      <c r="Q1748" t="s">
        <v>74</v>
      </c>
      <c r="R1748" t="s">
        <v>74</v>
      </c>
      <c r="S1748" t="s">
        <v>74</v>
      </c>
      <c r="T1748" t="s">
        <v>29541</v>
      </c>
      <c r="U1748" t="s">
        <v>29542</v>
      </c>
      <c r="V1748" t="s">
        <v>29543</v>
      </c>
      <c r="W1748" t="s">
        <v>29544</v>
      </c>
      <c r="X1748" t="s">
        <v>3166</v>
      </c>
      <c r="Y1748" t="s">
        <v>29545</v>
      </c>
      <c r="Z1748" t="s">
        <v>29546</v>
      </c>
      <c r="AA1748" t="s">
        <v>29547</v>
      </c>
      <c r="AB1748" t="s">
        <v>29548</v>
      </c>
      <c r="AC1748" t="s">
        <v>29549</v>
      </c>
      <c r="AD1748" t="s">
        <v>29550</v>
      </c>
      <c r="AE1748" t="s">
        <v>29551</v>
      </c>
      <c r="AF1748" t="s">
        <v>74</v>
      </c>
      <c r="AG1748">
        <v>52</v>
      </c>
      <c r="AH1748">
        <v>0</v>
      </c>
      <c r="AI1748">
        <v>0</v>
      </c>
      <c r="AJ1748">
        <v>5</v>
      </c>
      <c r="AK1748">
        <v>5</v>
      </c>
      <c r="AL1748" t="s">
        <v>226</v>
      </c>
      <c r="AM1748" t="s">
        <v>227</v>
      </c>
      <c r="AN1748" t="s">
        <v>228</v>
      </c>
      <c r="AO1748" t="s">
        <v>1041</v>
      </c>
      <c r="AP1748" t="s">
        <v>1042</v>
      </c>
      <c r="AQ1748" t="s">
        <v>74</v>
      </c>
      <c r="AR1748" t="s">
        <v>1043</v>
      </c>
      <c r="AS1748" t="s">
        <v>1044</v>
      </c>
      <c r="AT1748" t="s">
        <v>15028</v>
      </c>
      <c r="AU1748">
        <v>2024</v>
      </c>
      <c r="AV1748" t="s">
        <v>74</v>
      </c>
      <c r="AW1748" t="s">
        <v>74</v>
      </c>
      <c r="AX1748" t="s">
        <v>74</v>
      </c>
      <c r="AY1748" t="s">
        <v>74</v>
      </c>
      <c r="AZ1748" t="s">
        <v>74</v>
      </c>
      <c r="BA1748" t="s">
        <v>74</v>
      </c>
      <c r="BB1748" t="s">
        <v>74</v>
      </c>
      <c r="BC1748" t="s">
        <v>74</v>
      </c>
      <c r="BD1748" t="s">
        <v>74</v>
      </c>
      <c r="BE1748" t="s">
        <v>29552</v>
      </c>
      <c r="BF1748" t="str">
        <f>HYPERLINK("http://dx.doi.org/10.1177/01634437241276122","http://dx.doi.org/10.1177/01634437241276122")</f>
        <v>http://dx.doi.org/10.1177/01634437241276122</v>
      </c>
      <c r="BG1748" t="s">
        <v>74</v>
      </c>
      <c r="BH1748" t="s">
        <v>337</v>
      </c>
      <c r="BI1748">
        <v>17</v>
      </c>
      <c r="BJ1748" t="s">
        <v>1047</v>
      </c>
      <c r="BK1748" t="s">
        <v>99</v>
      </c>
      <c r="BL1748" t="s">
        <v>1047</v>
      </c>
      <c r="BM1748" t="s">
        <v>29553</v>
      </c>
      <c r="BN1748" t="s">
        <v>74</v>
      </c>
      <c r="BO1748" t="s">
        <v>74</v>
      </c>
      <c r="BP1748" t="s">
        <v>74</v>
      </c>
      <c r="BQ1748" t="s">
        <v>74</v>
      </c>
      <c r="BR1748" t="s">
        <v>102</v>
      </c>
      <c r="BS1748" t="s">
        <v>29554</v>
      </c>
      <c r="BT1748" t="str">
        <f>HYPERLINK("https%3A%2F%2Fwww.webofscience.com%2Fwos%2Fwoscc%2Ffull-record%2FWOS:001305438600001","View Full Record in Web of Science")</f>
        <v>View Full Record in Web of Science</v>
      </c>
    </row>
    <row r="1749" spans="1:72" x14ac:dyDescent="0.35">
      <c r="A1749" t="s">
        <v>72</v>
      </c>
      <c r="B1749" t="s">
        <v>29555</v>
      </c>
      <c r="C1749" t="s">
        <v>74</v>
      </c>
      <c r="D1749" t="s">
        <v>74</v>
      </c>
      <c r="E1749" t="s">
        <v>74</v>
      </c>
      <c r="F1749" t="s">
        <v>29556</v>
      </c>
      <c r="G1749" t="s">
        <v>74</v>
      </c>
      <c r="H1749" t="s">
        <v>74</v>
      </c>
      <c r="I1749" t="s">
        <v>29557</v>
      </c>
      <c r="J1749" t="s">
        <v>29558</v>
      </c>
      <c r="K1749" t="s">
        <v>74</v>
      </c>
      <c r="L1749" t="s">
        <v>74</v>
      </c>
      <c r="M1749" t="s">
        <v>78</v>
      </c>
      <c r="N1749" t="s">
        <v>108</v>
      </c>
      <c r="O1749" t="s">
        <v>74</v>
      </c>
      <c r="P1749" t="s">
        <v>74</v>
      </c>
      <c r="Q1749" t="s">
        <v>74</v>
      </c>
      <c r="R1749" t="s">
        <v>74</v>
      </c>
      <c r="S1749" t="s">
        <v>74</v>
      </c>
      <c r="T1749" t="s">
        <v>29559</v>
      </c>
      <c r="U1749" t="s">
        <v>29560</v>
      </c>
      <c r="V1749" t="s">
        <v>29561</v>
      </c>
      <c r="W1749" t="s">
        <v>29562</v>
      </c>
      <c r="X1749" t="s">
        <v>29563</v>
      </c>
      <c r="Y1749" t="s">
        <v>29564</v>
      </c>
      <c r="Z1749" t="s">
        <v>29565</v>
      </c>
      <c r="AA1749" t="s">
        <v>74</v>
      </c>
      <c r="AB1749" t="s">
        <v>74</v>
      </c>
      <c r="AC1749" t="s">
        <v>29566</v>
      </c>
      <c r="AD1749" t="s">
        <v>29567</v>
      </c>
      <c r="AE1749" t="s">
        <v>29568</v>
      </c>
      <c r="AF1749" t="s">
        <v>74</v>
      </c>
      <c r="AG1749">
        <v>78</v>
      </c>
      <c r="AH1749">
        <v>2</v>
      </c>
      <c r="AI1749">
        <v>2</v>
      </c>
      <c r="AJ1749">
        <v>29</v>
      </c>
      <c r="AK1749">
        <v>30</v>
      </c>
      <c r="AL1749" t="s">
        <v>3632</v>
      </c>
      <c r="AM1749" t="s">
        <v>148</v>
      </c>
      <c r="AN1749" t="s">
        <v>5053</v>
      </c>
      <c r="AO1749" t="s">
        <v>29569</v>
      </c>
      <c r="AP1749" t="s">
        <v>29570</v>
      </c>
      <c r="AQ1749" t="s">
        <v>74</v>
      </c>
      <c r="AR1749" t="s">
        <v>29571</v>
      </c>
      <c r="AS1749" t="s">
        <v>29572</v>
      </c>
      <c r="AT1749" t="s">
        <v>745</v>
      </c>
      <c r="AU1749">
        <v>2024</v>
      </c>
      <c r="AV1749">
        <v>119</v>
      </c>
      <c r="AW1749" t="s">
        <v>74</v>
      </c>
      <c r="AX1749" t="s">
        <v>74</v>
      </c>
      <c r="AY1749" t="s">
        <v>74</v>
      </c>
      <c r="AZ1749" t="s">
        <v>74</v>
      </c>
      <c r="BA1749" t="s">
        <v>74</v>
      </c>
      <c r="BB1749" t="s">
        <v>74</v>
      </c>
      <c r="BC1749" t="s">
        <v>74</v>
      </c>
      <c r="BD1749">
        <v>103735</v>
      </c>
      <c r="BE1749" t="s">
        <v>29573</v>
      </c>
      <c r="BF1749" t="str">
        <f>HYPERLINK("http://dx.doi.org/10.1016/j.ijhm.2024.103735","http://dx.doi.org/10.1016/j.ijhm.2024.103735")</f>
        <v>http://dx.doi.org/10.1016/j.ijhm.2024.103735</v>
      </c>
      <c r="BG1749" t="s">
        <v>74</v>
      </c>
      <c r="BH1749" t="s">
        <v>123</v>
      </c>
      <c r="BI1749">
        <v>11</v>
      </c>
      <c r="BJ1749" t="s">
        <v>574</v>
      </c>
      <c r="BK1749" t="s">
        <v>99</v>
      </c>
      <c r="BL1749" t="s">
        <v>100</v>
      </c>
      <c r="BM1749" t="s">
        <v>29574</v>
      </c>
      <c r="BN1749" t="s">
        <v>74</v>
      </c>
      <c r="BO1749" t="s">
        <v>74</v>
      </c>
      <c r="BP1749" t="s">
        <v>74</v>
      </c>
      <c r="BQ1749" t="s">
        <v>74</v>
      </c>
      <c r="BR1749" t="s">
        <v>102</v>
      </c>
      <c r="BS1749" t="s">
        <v>29575</v>
      </c>
      <c r="BT1749" t="str">
        <f>HYPERLINK("https%3A%2F%2Fwww.webofscience.com%2Fwos%2Fwoscc%2Ffull-record%2FWOS:001220999800001","View Full Record in Web of Science")</f>
        <v>View Full Record in Web of Science</v>
      </c>
    </row>
    <row r="1750" spans="1:72" x14ac:dyDescent="0.35">
      <c r="A1750" t="s">
        <v>72</v>
      </c>
      <c r="B1750" t="s">
        <v>29576</v>
      </c>
      <c r="C1750" t="s">
        <v>74</v>
      </c>
      <c r="D1750" t="s">
        <v>74</v>
      </c>
      <c r="E1750" t="s">
        <v>74</v>
      </c>
      <c r="F1750" t="s">
        <v>29577</v>
      </c>
      <c r="G1750" t="s">
        <v>74</v>
      </c>
      <c r="H1750" t="s">
        <v>74</v>
      </c>
      <c r="I1750" t="s">
        <v>29578</v>
      </c>
      <c r="J1750" t="s">
        <v>216</v>
      </c>
      <c r="K1750" t="s">
        <v>74</v>
      </c>
      <c r="L1750" t="s">
        <v>74</v>
      </c>
      <c r="M1750" t="s">
        <v>78</v>
      </c>
      <c r="N1750" t="s">
        <v>108</v>
      </c>
      <c r="O1750" t="s">
        <v>74</v>
      </c>
      <c r="P1750" t="s">
        <v>74</v>
      </c>
      <c r="Q1750" t="s">
        <v>74</v>
      </c>
      <c r="R1750" t="s">
        <v>74</v>
      </c>
      <c r="S1750" t="s">
        <v>74</v>
      </c>
      <c r="T1750" t="s">
        <v>29579</v>
      </c>
      <c r="U1750" t="s">
        <v>29580</v>
      </c>
      <c r="V1750" t="s">
        <v>29581</v>
      </c>
      <c r="W1750" t="s">
        <v>29582</v>
      </c>
      <c r="X1750" t="s">
        <v>29583</v>
      </c>
      <c r="Y1750" t="s">
        <v>29584</v>
      </c>
      <c r="Z1750" t="s">
        <v>29585</v>
      </c>
      <c r="AA1750" t="s">
        <v>29586</v>
      </c>
      <c r="AB1750" t="s">
        <v>29587</v>
      </c>
      <c r="AC1750" t="s">
        <v>74</v>
      </c>
      <c r="AD1750" t="s">
        <v>74</v>
      </c>
      <c r="AE1750" t="s">
        <v>74</v>
      </c>
      <c r="AF1750" t="s">
        <v>74</v>
      </c>
      <c r="AG1750">
        <v>73</v>
      </c>
      <c r="AH1750">
        <v>2</v>
      </c>
      <c r="AI1750">
        <v>2</v>
      </c>
      <c r="AJ1750">
        <v>11</v>
      </c>
      <c r="AK1750">
        <v>39</v>
      </c>
      <c r="AL1750" t="s">
        <v>226</v>
      </c>
      <c r="AM1750" t="s">
        <v>227</v>
      </c>
      <c r="AN1750" t="s">
        <v>228</v>
      </c>
      <c r="AO1750" t="s">
        <v>229</v>
      </c>
      <c r="AP1750" t="s">
        <v>74</v>
      </c>
      <c r="AQ1750" t="s">
        <v>74</v>
      </c>
      <c r="AR1750" t="s">
        <v>230</v>
      </c>
      <c r="AS1750" t="s">
        <v>231</v>
      </c>
      <c r="AT1750" t="s">
        <v>594</v>
      </c>
      <c r="AU1750">
        <v>2023</v>
      </c>
      <c r="AV1750">
        <v>9</v>
      </c>
      <c r="AW1750">
        <v>4</v>
      </c>
      <c r="AX1750" t="s">
        <v>74</v>
      </c>
      <c r="AY1750" t="s">
        <v>74</v>
      </c>
      <c r="AZ1750" t="s">
        <v>74</v>
      </c>
      <c r="BA1750" t="s">
        <v>74</v>
      </c>
      <c r="BB1750" t="s">
        <v>74</v>
      </c>
      <c r="BC1750" t="s">
        <v>74</v>
      </c>
      <c r="BD1750">
        <v>2.0563051231205596E+16</v>
      </c>
      <c r="BE1750" t="s">
        <v>29588</v>
      </c>
      <c r="BF1750" t="str">
        <f>HYPERLINK("http://dx.doi.org/10.1177/20563051231205596","http://dx.doi.org/10.1177/20563051231205596")</f>
        <v>http://dx.doi.org/10.1177/20563051231205596</v>
      </c>
      <c r="BG1750" t="s">
        <v>74</v>
      </c>
      <c r="BH1750" t="s">
        <v>74</v>
      </c>
      <c r="BI1750">
        <v>13</v>
      </c>
      <c r="BJ1750" t="s">
        <v>124</v>
      </c>
      <c r="BK1750" t="s">
        <v>99</v>
      </c>
      <c r="BL1750" t="s">
        <v>124</v>
      </c>
      <c r="BM1750" t="s">
        <v>29589</v>
      </c>
      <c r="BN1750" t="s">
        <v>74</v>
      </c>
      <c r="BO1750" t="s">
        <v>235</v>
      </c>
      <c r="BP1750" t="s">
        <v>74</v>
      </c>
      <c r="BQ1750" t="s">
        <v>74</v>
      </c>
      <c r="BR1750" t="s">
        <v>102</v>
      </c>
      <c r="BS1750" t="s">
        <v>29590</v>
      </c>
      <c r="BT1750" t="str">
        <f>HYPERLINK("https%3A%2F%2Fwww.webofscience.com%2Fwos%2Fwoscc%2Ffull-record%2FWOS:001084356500001","View Full Record in Web of Science")</f>
        <v>View Full Record in Web of Science</v>
      </c>
    </row>
    <row r="1751" spans="1:72" x14ac:dyDescent="0.35">
      <c r="A1751" t="s">
        <v>128</v>
      </c>
      <c r="B1751" t="s">
        <v>29591</v>
      </c>
      <c r="C1751" t="s">
        <v>74</v>
      </c>
      <c r="D1751" t="s">
        <v>29592</v>
      </c>
      <c r="E1751" t="s">
        <v>74</v>
      </c>
      <c r="F1751" t="s">
        <v>29593</v>
      </c>
      <c r="G1751" t="s">
        <v>74</v>
      </c>
      <c r="H1751" t="s">
        <v>74</v>
      </c>
      <c r="I1751" t="s">
        <v>29594</v>
      </c>
      <c r="J1751" t="s">
        <v>29595</v>
      </c>
      <c r="K1751" t="s">
        <v>74</v>
      </c>
      <c r="L1751" t="s">
        <v>74</v>
      </c>
      <c r="M1751" t="s">
        <v>78</v>
      </c>
      <c r="N1751" t="s">
        <v>135</v>
      </c>
      <c r="O1751" t="s">
        <v>29596</v>
      </c>
      <c r="P1751" t="s">
        <v>29597</v>
      </c>
      <c r="Q1751" t="s">
        <v>29598</v>
      </c>
      <c r="R1751" t="s">
        <v>29599</v>
      </c>
      <c r="S1751" t="s">
        <v>29600</v>
      </c>
      <c r="T1751" t="s">
        <v>29601</v>
      </c>
      <c r="U1751" t="s">
        <v>29602</v>
      </c>
      <c r="V1751" t="s">
        <v>29603</v>
      </c>
      <c r="W1751" t="s">
        <v>29604</v>
      </c>
      <c r="X1751" t="s">
        <v>29605</v>
      </c>
      <c r="Y1751" t="s">
        <v>29606</v>
      </c>
      <c r="Z1751" t="s">
        <v>29607</v>
      </c>
      <c r="AA1751" t="s">
        <v>29608</v>
      </c>
      <c r="AB1751" t="s">
        <v>74</v>
      </c>
      <c r="AC1751" t="s">
        <v>29609</v>
      </c>
      <c r="AD1751" t="s">
        <v>29610</v>
      </c>
      <c r="AE1751" t="s">
        <v>29611</v>
      </c>
      <c r="AF1751" t="s">
        <v>74</v>
      </c>
      <c r="AG1751">
        <v>13</v>
      </c>
      <c r="AH1751">
        <v>0</v>
      </c>
      <c r="AI1751">
        <v>0</v>
      </c>
      <c r="AJ1751">
        <v>4</v>
      </c>
      <c r="AK1751">
        <v>8</v>
      </c>
      <c r="AL1751" t="s">
        <v>29612</v>
      </c>
      <c r="AM1751" t="s">
        <v>6529</v>
      </c>
      <c r="AN1751" t="s">
        <v>29613</v>
      </c>
      <c r="AO1751" t="s">
        <v>74</v>
      </c>
      <c r="AP1751" t="s">
        <v>74</v>
      </c>
      <c r="AQ1751" t="s">
        <v>29614</v>
      </c>
      <c r="AR1751" t="s">
        <v>74</v>
      </c>
      <c r="AS1751" t="s">
        <v>74</v>
      </c>
      <c r="AT1751" t="s">
        <v>74</v>
      </c>
      <c r="AU1751">
        <v>2022</v>
      </c>
      <c r="AV1751" t="s">
        <v>74</v>
      </c>
      <c r="AW1751" t="s">
        <v>74</v>
      </c>
      <c r="AX1751" t="s">
        <v>74</v>
      </c>
      <c r="AY1751" t="s">
        <v>74</v>
      </c>
      <c r="AZ1751" t="s">
        <v>74</v>
      </c>
      <c r="BA1751" t="s">
        <v>74</v>
      </c>
      <c r="BB1751">
        <v>1831</v>
      </c>
      <c r="BC1751">
        <v>1836</v>
      </c>
      <c r="BD1751" t="s">
        <v>74</v>
      </c>
      <c r="BE1751" t="s">
        <v>29615</v>
      </c>
      <c r="BF1751" t="str">
        <f>HYPERLINK("http://dx.doi.org/10.3850/IAHR-39WC2521716X2022238","http://dx.doi.org/10.3850/IAHR-39WC2521716X2022238")</f>
        <v>http://dx.doi.org/10.3850/IAHR-39WC2521716X2022238</v>
      </c>
      <c r="BG1751" t="s">
        <v>74</v>
      </c>
      <c r="BH1751" t="s">
        <v>74</v>
      </c>
      <c r="BI1751">
        <v>6</v>
      </c>
      <c r="BJ1751" t="s">
        <v>29616</v>
      </c>
      <c r="BK1751" t="s">
        <v>723</v>
      </c>
      <c r="BL1751" t="s">
        <v>29617</v>
      </c>
      <c r="BM1751" t="s">
        <v>29618</v>
      </c>
      <c r="BN1751" t="s">
        <v>74</v>
      </c>
      <c r="BO1751" t="s">
        <v>74</v>
      </c>
      <c r="BP1751" t="s">
        <v>74</v>
      </c>
      <c r="BQ1751" t="s">
        <v>74</v>
      </c>
      <c r="BR1751" t="s">
        <v>102</v>
      </c>
      <c r="BS1751" t="s">
        <v>29619</v>
      </c>
      <c r="BT1751" t="str">
        <f>HYPERLINK("https%3A%2F%2Fwww.webofscience.com%2Fwos%2Fwoscc%2Ffull-record%2FWOS:001070410602025","View Full Record in Web of Science")</f>
        <v>View Full Record in Web of Science</v>
      </c>
    </row>
    <row r="1752" spans="1:72" x14ac:dyDescent="0.35">
      <c r="A1752" t="s">
        <v>72</v>
      </c>
      <c r="B1752" t="s">
        <v>29620</v>
      </c>
      <c r="C1752" t="s">
        <v>74</v>
      </c>
      <c r="D1752" t="s">
        <v>74</v>
      </c>
      <c r="E1752" t="s">
        <v>74</v>
      </c>
      <c r="F1752" t="s">
        <v>29621</v>
      </c>
      <c r="G1752" t="s">
        <v>74</v>
      </c>
      <c r="H1752" t="s">
        <v>74</v>
      </c>
      <c r="I1752" t="s">
        <v>29622</v>
      </c>
      <c r="J1752" t="s">
        <v>2975</v>
      </c>
      <c r="K1752" t="s">
        <v>74</v>
      </c>
      <c r="L1752" t="s">
        <v>74</v>
      </c>
      <c r="M1752" t="s">
        <v>78</v>
      </c>
      <c r="N1752" t="s">
        <v>79</v>
      </c>
      <c r="O1752" t="s">
        <v>74</v>
      </c>
      <c r="P1752" t="s">
        <v>74</v>
      </c>
      <c r="Q1752" t="s">
        <v>74</v>
      </c>
      <c r="R1752" t="s">
        <v>74</v>
      </c>
      <c r="S1752" t="s">
        <v>74</v>
      </c>
      <c r="T1752" t="s">
        <v>29623</v>
      </c>
      <c r="U1752" t="s">
        <v>29624</v>
      </c>
      <c r="V1752" t="s">
        <v>29625</v>
      </c>
      <c r="W1752" t="s">
        <v>29626</v>
      </c>
      <c r="X1752" t="s">
        <v>29627</v>
      </c>
      <c r="Y1752" t="s">
        <v>29628</v>
      </c>
      <c r="Z1752" t="s">
        <v>29629</v>
      </c>
      <c r="AA1752" t="s">
        <v>29630</v>
      </c>
      <c r="AB1752" t="s">
        <v>29631</v>
      </c>
      <c r="AC1752" t="s">
        <v>74</v>
      </c>
      <c r="AD1752" t="s">
        <v>74</v>
      </c>
      <c r="AE1752" t="s">
        <v>74</v>
      </c>
      <c r="AF1752" t="s">
        <v>74</v>
      </c>
      <c r="AG1752">
        <v>79</v>
      </c>
      <c r="AH1752">
        <v>4</v>
      </c>
      <c r="AI1752">
        <v>4</v>
      </c>
      <c r="AJ1752">
        <v>57</v>
      </c>
      <c r="AK1752">
        <v>97</v>
      </c>
      <c r="AL1752" t="s">
        <v>226</v>
      </c>
      <c r="AM1752" t="s">
        <v>227</v>
      </c>
      <c r="AN1752" t="s">
        <v>228</v>
      </c>
      <c r="AO1752" t="s">
        <v>2987</v>
      </c>
      <c r="AP1752" t="s">
        <v>2988</v>
      </c>
      <c r="AQ1752" t="s">
        <v>74</v>
      </c>
      <c r="AR1752" t="s">
        <v>2989</v>
      </c>
      <c r="AS1752" t="s">
        <v>2990</v>
      </c>
      <c r="AT1752" t="s">
        <v>29632</v>
      </c>
      <c r="AU1752">
        <v>2023</v>
      </c>
      <c r="AV1752" t="s">
        <v>74</v>
      </c>
      <c r="AW1752" t="s">
        <v>74</v>
      </c>
      <c r="AX1752" t="s">
        <v>74</v>
      </c>
      <c r="AY1752" t="s">
        <v>74</v>
      </c>
      <c r="AZ1752" t="s">
        <v>74</v>
      </c>
      <c r="BA1752" t="s">
        <v>74</v>
      </c>
      <c r="BB1752" t="s">
        <v>74</v>
      </c>
      <c r="BC1752" t="s">
        <v>74</v>
      </c>
      <c r="BD1752" t="s">
        <v>74</v>
      </c>
      <c r="BE1752" t="s">
        <v>29633</v>
      </c>
      <c r="BF1752" t="str">
        <f>HYPERLINK("http://dx.doi.org/10.1177/13567667231221816","http://dx.doi.org/10.1177/13567667231221816")</f>
        <v>http://dx.doi.org/10.1177/13567667231221816</v>
      </c>
      <c r="BG1752" t="s">
        <v>74</v>
      </c>
      <c r="BH1752" t="s">
        <v>1449</v>
      </c>
      <c r="BI1752">
        <v>18</v>
      </c>
      <c r="BJ1752" t="s">
        <v>2993</v>
      </c>
      <c r="BK1752" t="s">
        <v>99</v>
      </c>
      <c r="BL1752" t="s">
        <v>2994</v>
      </c>
      <c r="BM1752" t="s">
        <v>29634</v>
      </c>
      <c r="BN1752" t="s">
        <v>74</v>
      </c>
      <c r="BO1752" t="s">
        <v>74</v>
      </c>
      <c r="BP1752" t="s">
        <v>74</v>
      </c>
      <c r="BQ1752" t="s">
        <v>74</v>
      </c>
      <c r="BR1752" t="s">
        <v>102</v>
      </c>
      <c r="BS1752" t="s">
        <v>29635</v>
      </c>
      <c r="BT1752" t="str">
        <f>HYPERLINK("https%3A%2F%2Fwww.webofscience.com%2Fwos%2Fwoscc%2Ffull-record%2FWOS:001133699700001","View Full Record in Web of Science")</f>
        <v>View Full Record in Web of Science</v>
      </c>
    </row>
    <row r="1753" spans="1:72" x14ac:dyDescent="0.35">
      <c r="A1753" t="s">
        <v>72</v>
      </c>
      <c r="B1753" t="s">
        <v>29636</v>
      </c>
      <c r="C1753" t="s">
        <v>74</v>
      </c>
      <c r="D1753" t="s">
        <v>74</v>
      </c>
      <c r="E1753" t="s">
        <v>74</v>
      </c>
      <c r="F1753" t="s">
        <v>29637</v>
      </c>
      <c r="G1753" t="s">
        <v>74</v>
      </c>
      <c r="H1753" t="s">
        <v>74</v>
      </c>
      <c r="I1753" t="s">
        <v>29638</v>
      </c>
      <c r="J1753" t="s">
        <v>29639</v>
      </c>
      <c r="K1753" t="s">
        <v>74</v>
      </c>
      <c r="L1753" t="s">
        <v>74</v>
      </c>
      <c r="M1753" t="s">
        <v>78</v>
      </c>
      <c r="N1753" t="s">
        <v>108</v>
      </c>
      <c r="O1753" t="s">
        <v>74</v>
      </c>
      <c r="P1753" t="s">
        <v>74</v>
      </c>
      <c r="Q1753" t="s">
        <v>74</v>
      </c>
      <c r="R1753" t="s">
        <v>74</v>
      </c>
      <c r="S1753" t="s">
        <v>74</v>
      </c>
      <c r="T1753" t="s">
        <v>29640</v>
      </c>
      <c r="U1753" t="s">
        <v>29641</v>
      </c>
      <c r="V1753" t="s">
        <v>29642</v>
      </c>
      <c r="W1753" t="s">
        <v>29643</v>
      </c>
      <c r="X1753" t="s">
        <v>19036</v>
      </c>
      <c r="Y1753" t="s">
        <v>29644</v>
      </c>
      <c r="Z1753" t="s">
        <v>29645</v>
      </c>
      <c r="AA1753" t="s">
        <v>29646</v>
      </c>
      <c r="AB1753" t="s">
        <v>29647</v>
      </c>
      <c r="AC1753" t="s">
        <v>74</v>
      </c>
      <c r="AD1753" t="s">
        <v>74</v>
      </c>
      <c r="AE1753" t="s">
        <v>74</v>
      </c>
      <c r="AF1753" t="s">
        <v>74</v>
      </c>
      <c r="AG1753">
        <v>58</v>
      </c>
      <c r="AH1753">
        <v>3</v>
      </c>
      <c r="AI1753">
        <v>3</v>
      </c>
      <c r="AJ1753">
        <v>6</v>
      </c>
      <c r="AK1753">
        <v>20</v>
      </c>
      <c r="AL1753" t="s">
        <v>88</v>
      </c>
      <c r="AM1753" t="s">
        <v>89</v>
      </c>
      <c r="AN1753" t="s">
        <v>90</v>
      </c>
      <c r="AO1753" t="s">
        <v>29648</v>
      </c>
      <c r="AP1753" t="s">
        <v>29649</v>
      </c>
      <c r="AQ1753" t="s">
        <v>74</v>
      </c>
      <c r="AR1753" t="s">
        <v>29650</v>
      </c>
      <c r="AS1753" t="s">
        <v>29651</v>
      </c>
      <c r="AT1753" t="s">
        <v>121</v>
      </c>
      <c r="AU1753">
        <v>2024</v>
      </c>
      <c r="AV1753">
        <v>32</v>
      </c>
      <c r="AW1753">
        <v>3</v>
      </c>
      <c r="AX1753" t="s">
        <v>74</v>
      </c>
      <c r="AY1753" t="s">
        <v>74</v>
      </c>
      <c r="AZ1753" t="s">
        <v>74</v>
      </c>
      <c r="BA1753" t="s">
        <v>74</v>
      </c>
      <c r="BB1753">
        <v>304</v>
      </c>
      <c r="BC1753">
        <v>316</v>
      </c>
      <c r="BD1753" t="s">
        <v>74</v>
      </c>
      <c r="BE1753" t="s">
        <v>29652</v>
      </c>
      <c r="BF1753" t="str">
        <f>HYPERLINK("http://dx.doi.org/10.1080/0965254X.2023.2218855","http://dx.doi.org/10.1080/0965254X.2023.2218855")</f>
        <v>http://dx.doi.org/10.1080/0965254X.2023.2218855</v>
      </c>
      <c r="BG1753" t="s">
        <v>74</v>
      </c>
      <c r="BH1753" t="s">
        <v>1954</v>
      </c>
      <c r="BI1753">
        <v>13</v>
      </c>
      <c r="BJ1753" t="s">
        <v>1597</v>
      </c>
      <c r="BK1753" t="s">
        <v>125</v>
      </c>
      <c r="BL1753" t="s">
        <v>480</v>
      </c>
      <c r="BM1753" t="s">
        <v>29653</v>
      </c>
      <c r="BN1753" t="s">
        <v>74</v>
      </c>
      <c r="BO1753" t="s">
        <v>1049</v>
      </c>
      <c r="BP1753" t="s">
        <v>74</v>
      </c>
      <c r="BQ1753" t="s">
        <v>74</v>
      </c>
      <c r="BR1753" t="s">
        <v>102</v>
      </c>
      <c r="BS1753" t="s">
        <v>29654</v>
      </c>
      <c r="BT1753" t="str">
        <f>HYPERLINK("https%3A%2F%2Fwww.webofscience.com%2Fwos%2Fwoscc%2Ffull-record%2FWOS:000998358100001","View Full Record in Web of Science")</f>
        <v>View Full Record in Web of Science</v>
      </c>
    </row>
    <row r="1754" spans="1:72" x14ac:dyDescent="0.35">
      <c r="A1754" t="s">
        <v>72</v>
      </c>
      <c r="B1754" t="s">
        <v>29655</v>
      </c>
      <c r="C1754" t="s">
        <v>74</v>
      </c>
      <c r="D1754" t="s">
        <v>74</v>
      </c>
      <c r="E1754" t="s">
        <v>74</v>
      </c>
      <c r="F1754" t="s">
        <v>29656</v>
      </c>
      <c r="G1754" t="s">
        <v>74</v>
      </c>
      <c r="H1754" t="s">
        <v>74</v>
      </c>
      <c r="I1754" t="s">
        <v>29657</v>
      </c>
      <c r="J1754" t="s">
        <v>29658</v>
      </c>
      <c r="K1754" t="s">
        <v>74</v>
      </c>
      <c r="L1754" t="s">
        <v>74</v>
      </c>
      <c r="M1754" t="s">
        <v>78</v>
      </c>
      <c r="N1754" t="s">
        <v>108</v>
      </c>
      <c r="O1754" t="s">
        <v>74</v>
      </c>
      <c r="P1754" t="s">
        <v>74</v>
      </c>
      <c r="Q1754" t="s">
        <v>74</v>
      </c>
      <c r="R1754" t="s">
        <v>74</v>
      </c>
      <c r="S1754" t="s">
        <v>74</v>
      </c>
      <c r="T1754" t="s">
        <v>29659</v>
      </c>
      <c r="U1754" t="s">
        <v>74</v>
      </c>
      <c r="V1754" t="s">
        <v>29660</v>
      </c>
      <c r="W1754" t="s">
        <v>29661</v>
      </c>
      <c r="X1754" t="s">
        <v>29662</v>
      </c>
      <c r="Y1754" t="s">
        <v>29663</v>
      </c>
      <c r="Z1754" t="s">
        <v>29664</v>
      </c>
      <c r="AA1754" t="s">
        <v>29665</v>
      </c>
      <c r="AB1754" t="s">
        <v>74</v>
      </c>
      <c r="AC1754" t="s">
        <v>74</v>
      </c>
      <c r="AD1754" t="s">
        <v>74</v>
      </c>
      <c r="AE1754" t="s">
        <v>74</v>
      </c>
      <c r="AF1754" t="s">
        <v>74</v>
      </c>
      <c r="AG1754">
        <v>27</v>
      </c>
      <c r="AH1754">
        <v>0</v>
      </c>
      <c r="AI1754">
        <v>0</v>
      </c>
      <c r="AJ1754">
        <v>1</v>
      </c>
      <c r="AK1754">
        <v>4</v>
      </c>
      <c r="AL1754" t="s">
        <v>29666</v>
      </c>
      <c r="AM1754" t="s">
        <v>29667</v>
      </c>
      <c r="AN1754" t="s">
        <v>29668</v>
      </c>
      <c r="AO1754" t="s">
        <v>29669</v>
      </c>
      <c r="AP1754" t="s">
        <v>74</v>
      </c>
      <c r="AQ1754" t="s">
        <v>74</v>
      </c>
      <c r="AR1754" t="s">
        <v>29670</v>
      </c>
      <c r="AS1754" t="s">
        <v>29671</v>
      </c>
      <c r="AT1754" t="s">
        <v>455</v>
      </c>
      <c r="AU1754">
        <v>2022</v>
      </c>
      <c r="AV1754" t="s">
        <v>74</v>
      </c>
      <c r="AW1754">
        <v>2</v>
      </c>
      <c r="AX1754" t="s">
        <v>74</v>
      </c>
      <c r="AY1754" t="s">
        <v>74</v>
      </c>
      <c r="AZ1754" t="s">
        <v>74</v>
      </c>
      <c r="BA1754" t="s">
        <v>74</v>
      </c>
      <c r="BB1754" t="s">
        <v>74</v>
      </c>
      <c r="BC1754" t="s">
        <v>74</v>
      </c>
      <c r="BD1754">
        <v>267</v>
      </c>
      <c r="BE1754" t="s">
        <v>29672</v>
      </c>
      <c r="BF1754" t="str">
        <f>HYPERLINK("http://dx.doi.org/10.1387/pceic.23404","http://dx.doi.org/10.1387/pceic.23404")</f>
        <v>http://dx.doi.org/10.1387/pceic.23404</v>
      </c>
      <c r="BG1754" t="s">
        <v>74</v>
      </c>
      <c r="BH1754" t="s">
        <v>74</v>
      </c>
      <c r="BI1754">
        <v>17</v>
      </c>
      <c r="BJ1754" t="s">
        <v>29673</v>
      </c>
      <c r="BK1754" t="s">
        <v>125</v>
      </c>
      <c r="BL1754" t="s">
        <v>29673</v>
      </c>
      <c r="BM1754" t="s">
        <v>29674</v>
      </c>
      <c r="BN1754" t="s">
        <v>74</v>
      </c>
      <c r="BO1754" t="s">
        <v>552</v>
      </c>
      <c r="BP1754" t="s">
        <v>74</v>
      </c>
      <c r="BQ1754" t="s">
        <v>74</v>
      </c>
      <c r="BR1754" t="s">
        <v>102</v>
      </c>
      <c r="BS1754" t="s">
        <v>29675</v>
      </c>
      <c r="BT1754" t="str">
        <f>HYPERLINK("https%3A%2F%2Fwww.webofscience.com%2Fwos%2Fwoscc%2Ffull-record%2FWOS:000882476200013","View Full Record in Web of Science")</f>
        <v>View Full Record in Web of Science</v>
      </c>
    </row>
    <row r="1755" spans="1:72" x14ac:dyDescent="0.35">
      <c r="A1755" t="s">
        <v>72</v>
      </c>
      <c r="B1755" t="s">
        <v>29676</v>
      </c>
      <c r="C1755" t="s">
        <v>74</v>
      </c>
      <c r="D1755" t="s">
        <v>74</v>
      </c>
      <c r="E1755" t="s">
        <v>74</v>
      </c>
      <c r="F1755" t="s">
        <v>29677</v>
      </c>
      <c r="G1755" t="s">
        <v>74</v>
      </c>
      <c r="H1755" t="s">
        <v>74</v>
      </c>
      <c r="I1755" t="s">
        <v>29678</v>
      </c>
      <c r="J1755" t="s">
        <v>29679</v>
      </c>
      <c r="K1755" t="s">
        <v>74</v>
      </c>
      <c r="L1755" t="s">
        <v>74</v>
      </c>
      <c r="M1755" t="s">
        <v>78</v>
      </c>
      <c r="N1755" t="s">
        <v>2042</v>
      </c>
      <c r="O1755" t="s">
        <v>74</v>
      </c>
      <c r="P1755" t="s">
        <v>74</v>
      </c>
      <c r="Q1755" t="s">
        <v>74</v>
      </c>
      <c r="R1755" t="s">
        <v>74</v>
      </c>
      <c r="S1755" t="s">
        <v>74</v>
      </c>
      <c r="T1755" t="s">
        <v>74</v>
      </c>
      <c r="U1755" t="s">
        <v>74</v>
      </c>
      <c r="V1755" t="s">
        <v>29680</v>
      </c>
      <c r="W1755" t="s">
        <v>29681</v>
      </c>
      <c r="X1755" t="s">
        <v>29682</v>
      </c>
      <c r="Y1755" t="s">
        <v>29683</v>
      </c>
      <c r="Z1755" t="s">
        <v>29684</v>
      </c>
      <c r="AA1755" t="s">
        <v>74</v>
      </c>
      <c r="AB1755" t="s">
        <v>74</v>
      </c>
      <c r="AC1755" t="s">
        <v>74</v>
      </c>
      <c r="AD1755" t="s">
        <v>74</v>
      </c>
      <c r="AE1755" t="s">
        <v>74</v>
      </c>
      <c r="AF1755" t="s">
        <v>74</v>
      </c>
      <c r="AG1755">
        <v>8</v>
      </c>
      <c r="AH1755">
        <v>0</v>
      </c>
      <c r="AI1755">
        <v>1</v>
      </c>
      <c r="AJ1755">
        <v>6</v>
      </c>
      <c r="AK1755">
        <v>18</v>
      </c>
      <c r="AL1755" t="s">
        <v>5533</v>
      </c>
      <c r="AM1755" t="s">
        <v>5534</v>
      </c>
      <c r="AN1755" t="s">
        <v>5535</v>
      </c>
      <c r="AO1755" t="s">
        <v>29685</v>
      </c>
      <c r="AP1755" t="s">
        <v>29686</v>
      </c>
      <c r="AQ1755" t="s">
        <v>74</v>
      </c>
      <c r="AR1755" t="s">
        <v>29687</v>
      </c>
      <c r="AS1755" t="s">
        <v>29688</v>
      </c>
      <c r="AT1755" t="s">
        <v>297</v>
      </c>
      <c r="AU1755">
        <v>2022</v>
      </c>
      <c r="AV1755">
        <v>51</v>
      </c>
      <c r="AW1755">
        <v>8</v>
      </c>
      <c r="AX1755" t="s">
        <v>74</v>
      </c>
      <c r="AY1755" t="s">
        <v>74</v>
      </c>
      <c r="AZ1755" t="s">
        <v>74</v>
      </c>
      <c r="BA1755" t="s">
        <v>74</v>
      </c>
      <c r="BB1755" t="s">
        <v>29689</v>
      </c>
      <c r="BC1755" t="s">
        <v>29690</v>
      </c>
      <c r="BD1755" t="s">
        <v>74</v>
      </c>
      <c r="BE1755" t="s">
        <v>29691</v>
      </c>
      <c r="BF1755" t="str">
        <f>HYPERLINK("http://dx.doi.org/10.3928/19382359-20220608-01","http://dx.doi.org/10.3928/19382359-20220608-01")</f>
        <v>http://dx.doi.org/10.3928/19382359-20220608-01</v>
      </c>
      <c r="BG1755" t="s">
        <v>74</v>
      </c>
      <c r="BH1755" t="s">
        <v>74</v>
      </c>
      <c r="BI1755">
        <v>4</v>
      </c>
      <c r="BJ1755" t="s">
        <v>6641</v>
      </c>
      <c r="BK1755" t="s">
        <v>209</v>
      </c>
      <c r="BL1755" t="s">
        <v>6641</v>
      </c>
      <c r="BM1755" t="s">
        <v>29692</v>
      </c>
      <c r="BN1755">
        <v>35938894</v>
      </c>
      <c r="BO1755" t="s">
        <v>74</v>
      </c>
      <c r="BP1755" t="s">
        <v>74</v>
      </c>
      <c r="BQ1755" t="s">
        <v>74</v>
      </c>
      <c r="BR1755" t="s">
        <v>102</v>
      </c>
      <c r="BS1755" t="s">
        <v>29693</v>
      </c>
      <c r="BT1755" t="str">
        <f>HYPERLINK("https%3A%2F%2Fwww.webofscience.com%2Fwos%2Fwoscc%2Ffull-record%2FWOS:000841925200004","View Full Record in Web of Science")</f>
        <v>View Full Record in Web of Science</v>
      </c>
    </row>
    <row r="1756" spans="1:72" x14ac:dyDescent="0.35">
      <c r="A1756" t="s">
        <v>128</v>
      </c>
      <c r="B1756" t="s">
        <v>29694</v>
      </c>
      <c r="C1756" t="s">
        <v>74</v>
      </c>
      <c r="D1756" t="s">
        <v>74</v>
      </c>
      <c r="E1756" t="s">
        <v>1677</v>
      </c>
      <c r="F1756" t="s">
        <v>29695</v>
      </c>
      <c r="G1756" t="s">
        <v>74</v>
      </c>
      <c r="H1756" t="s">
        <v>74</v>
      </c>
      <c r="I1756" t="s">
        <v>29696</v>
      </c>
      <c r="J1756" t="s">
        <v>29697</v>
      </c>
      <c r="K1756" t="s">
        <v>29698</v>
      </c>
      <c r="L1756" t="s">
        <v>74</v>
      </c>
      <c r="M1756" t="s">
        <v>78</v>
      </c>
      <c r="N1756" t="s">
        <v>135</v>
      </c>
      <c r="O1756" t="s">
        <v>29699</v>
      </c>
      <c r="P1756" t="s">
        <v>28727</v>
      </c>
      <c r="Q1756" t="s">
        <v>28728</v>
      </c>
      <c r="R1756" t="s">
        <v>29700</v>
      </c>
      <c r="S1756" t="s">
        <v>74</v>
      </c>
      <c r="T1756" t="s">
        <v>29701</v>
      </c>
      <c r="U1756" t="s">
        <v>74</v>
      </c>
      <c r="V1756" t="s">
        <v>29702</v>
      </c>
      <c r="W1756" t="s">
        <v>29703</v>
      </c>
      <c r="X1756" t="s">
        <v>29704</v>
      </c>
      <c r="Y1756" t="s">
        <v>29705</v>
      </c>
      <c r="Z1756" t="s">
        <v>29706</v>
      </c>
      <c r="AA1756" t="s">
        <v>74</v>
      </c>
      <c r="AB1756" t="s">
        <v>74</v>
      </c>
      <c r="AC1756" t="s">
        <v>29707</v>
      </c>
      <c r="AD1756" t="s">
        <v>29708</v>
      </c>
      <c r="AE1756" t="s">
        <v>29709</v>
      </c>
      <c r="AF1756" t="s">
        <v>74</v>
      </c>
      <c r="AG1756">
        <v>19</v>
      </c>
      <c r="AH1756">
        <v>0</v>
      </c>
      <c r="AI1756">
        <v>0</v>
      </c>
      <c r="AJ1756">
        <v>1</v>
      </c>
      <c r="AK1756">
        <v>10</v>
      </c>
      <c r="AL1756" t="s">
        <v>1677</v>
      </c>
      <c r="AM1756" t="s">
        <v>666</v>
      </c>
      <c r="AN1756" t="s">
        <v>1692</v>
      </c>
      <c r="AO1756" t="s">
        <v>29710</v>
      </c>
      <c r="AP1756" t="s">
        <v>74</v>
      </c>
      <c r="AQ1756" t="s">
        <v>29711</v>
      </c>
      <c r="AR1756" t="s">
        <v>29712</v>
      </c>
      <c r="AS1756" t="s">
        <v>74</v>
      </c>
      <c r="AT1756" t="s">
        <v>74</v>
      </c>
      <c r="AU1756">
        <v>2019</v>
      </c>
      <c r="AV1756" t="s">
        <v>74</v>
      </c>
      <c r="AW1756" t="s">
        <v>74</v>
      </c>
      <c r="AX1756" t="s">
        <v>74</v>
      </c>
      <c r="AY1756" t="s">
        <v>74</v>
      </c>
      <c r="AZ1756" t="s">
        <v>74</v>
      </c>
      <c r="BA1756" t="s">
        <v>74</v>
      </c>
      <c r="BB1756">
        <v>695</v>
      </c>
      <c r="BC1756">
        <v>700</v>
      </c>
      <c r="BD1756" t="s">
        <v>74</v>
      </c>
      <c r="BE1756" t="s">
        <v>29713</v>
      </c>
      <c r="BF1756" t="str">
        <f>HYPERLINK("http://dx.doi.org/10.1109/ICMEW.2019.00136","http://dx.doi.org/10.1109/ICMEW.2019.00136")</f>
        <v>http://dx.doi.org/10.1109/ICMEW.2019.00136</v>
      </c>
      <c r="BG1756" t="s">
        <v>74</v>
      </c>
      <c r="BH1756" t="s">
        <v>74</v>
      </c>
      <c r="BI1756">
        <v>6</v>
      </c>
      <c r="BJ1756" t="s">
        <v>29714</v>
      </c>
      <c r="BK1756" t="s">
        <v>723</v>
      </c>
      <c r="BL1756" t="s">
        <v>1113</v>
      </c>
      <c r="BM1756" t="s">
        <v>29715</v>
      </c>
      <c r="BN1756" t="s">
        <v>74</v>
      </c>
      <c r="BO1756" t="s">
        <v>74</v>
      </c>
      <c r="BP1756" t="s">
        <v>74</v>
      </c>
      <c r="BQ1756" t="s">
        <v>74</v>
      </c>
      <c r="BR1756" t="s">
        <v>102</v>
      </c>
      <c r="BS1756" t="s">
        <v>29716</v>
      </c>
      <c r="BT1756" t="str">
        <f>HYPERLINK("https%3A%2F%2Fwww.webofscience.com%2Fwos%2Fwoscc%2Ffull-record%2FWOS:000490430500129","View Full Record in Web of Science")</f>
        <v>View Full Record in Web of Science</v>
      </c>
    </row>
    <row r="1757" spans="1:72" x14ac:dyDescent="0.35">
      <c r="A1757" t="s">
        <v>72</v>
      </c>
      <c r="B1757" t="s">
        <v>29717</v>
      </c>
      <c r="C1757" t="s">
        <v>74</v>
      </c>
      <c r="D1757" t="s">
        <v>74</v>
      </c>
      <c r="E1757" t="s">
        <v>74</v>
      </c>
      <c r="F1757" t="s">
        <v>29718</v>
      </c>
      <c r="G1757" t="s">
        <v>74</v>
      </c>
      <c r="H1757" t="s">
        <v>74</v>
      </c>
      <c r="I1757" t="s">
        <v>29719</v>
      </c>
      <c r="J1757" t="s">
        <v>29720</v>
      </c>
      <c r="K1757" t="s">
        <v>74</v>
      </c>
      <c r="L1757" t="s">
        <v>74</v>
      </c>
      <c r="M1757" t="s">
        <v>78</v>
      </c>
      <c r="N1757" t="s">
        <v>108</v>
      </c>
      <c r="O1757" t="s">
        <v>74</v>
      </c>
      <c r="P1757" t="s">
        <v>74</v>
      </c>
      <c r="Q1757" t="s">
        <v>74</v>
      </c>
      <c r="R1757" t="s">
        <v>74</v>
      </c>
      <c r="S1757" t="s">
        <v>74</v>
      </c>
      <c r="T1757" t="s">
        <v>74</v>
      </c>
      <c r="U1757" t="s">
        <v>74</v>
      </c>
      <c r="V1757" t="s">
        <v>29721</v>
      </c>
      <c r="W1757" t="s">
        <v>29722</v>
      </c>
      <c r="X1757" t="s">
        <v>29723</v>
      </c>
      <c r="Y1757" t="s">
        <v>29724</v>
      </c>
      <c r="Z1757" t="s">
        <v>74</v>
      </c>
      <c r="AA1757" t="s">
        <v>74</v>
      </c>
      <c r="AB1757" t="s">
        <v>74</v>
      </c>
      <c r="AC1757" t="s">
        <v>29725</v>
      </c>
      <c r="AD1757" t="s">
        <v>29726</v>
      </c>
      <c r="AE1757" t="s">
        <v>29727</v>
      </c>
      <c r="AF1757" t="s">
        <v>74</v>
      </c>
      <c r="AG1757">
        <v>52</v>
      </c>
      <c r="AH1757">
        <v>0</v>
      </c>
      <c r="AI1757">
        <v>0</v>
      </c>
      <c r="AJ1757">
        <v>0</v>
      </c>
      <c r="AK1757">
        <v>0</v>
      </c>
      <c r="AL1757" t="s">
        <v>29728</v>
      </c>
      <c r="AM1757" t="s">
        <v>27163</v>
      </c>
      <c r="AN1757" t="s">
        <v>29729</v>
      </c>
      <c r="AO1757" t="s">
        <v>74</v>
      </c>
      <c r="AP1757" t="s">
        <v>29730</v>
      </c>
      <c r="AQ1757" t="s">
        <v>74</v>
      </c>
      <c r="AR1757" t="s">
        <v>29731</v>
      </c>
      <c r="AS1757" t="s">
        <v>29732</v>
      </c>
      <c r="AT1757" t="s">
        <v>74</v>
      </c>
      <c r="AU1757">
        <v>2024</v>
      </c>
      <c r="AV1757">
        <v>26</v>
      </c>
      <c r="AW1757">
        <v>3</v>
      </c>
      <c r="AX1757" t="s">
        <v>74</v>
      </c>
      <c r="AY1757" t="s">
        <v>74</v>
      </c>
      <c r="AZ1757" t="s">
        <v>74</v>
      </c>
      <c r="BA1757" t="s">
        <v>74</v>
      </c>
      <c r="BB1757">
        <v>52</v>
      </c>
      <c r="BC1757">
        <v>74</v>
      </c>
      <c r="BD1757" t="s">
        <v>74</v>
      </c>
      <c r="BE1757" t="s">
        <v>74</v>
      </c>
      <c r="BF1757" t="s">
        <v>74</v>
      </c>
      <c r="BG1757" t="s">
        <v>74</v>
      </c>
      <c r="BH1757" t="s">
        <v>74</v>
      </c>
      <c r="BI1757">
        <v>23</v>
      </c>
      <c r="BJ1757" t="s">
        <v>787</v>
      </c>
      <c r="BK1757" t="s">
        <v>125</v>
      </c>
      <c r="BL1757" t="s">
        <v>787</v>
      </c>
      <c r="BM1757" t="s">
        <v>29733</v>
      </c>
      <c r="BN1757" t="s">
        <v>74</v>
      </c>
      <c r="BO1757" t="s">
        <v>74</v>
      </c>
      <c r="BP1757" t="s">
        <v>74</v>
      </c>
      <c r="BQ1757" t="s">
        <v>74</v>
      </c>
      <c r="BR1757" t="s">
        <v>102</v>
      </c>
      <c r="BS1757" t="s">
        <v>29734</v>
      </c>
      <c r="BT1757" t="str">
        <f>HYPERLINK("https%3A%2F%2Fwww.webofscience.com%2Fwos%2Fwoscc%2Ffull-record%2FWOS:001348505200004","View Full Record in Web of Science")</f>
        <v>View Full Record in Web of Science</v>
      </c>
    </row>
    <row r="1758" spans="1:72" x14ac:dyDescent="0.35">
      <c r="A1758" t="s">
        <v>72</v>
      </c>
      <c r="B1758" t="s">
        <v>29735</v>
      </c>
      <c r="C1758" t="s">
        <v>74</v>
      </c>
      <c r="D1758" t="s">
        <v>74</v>
      </c>
      <c r="E1758" t="s">
        <v>74</v>
      </c>
      <c r="F1758" t="s">
        <v>29736</v>
      </c>
      <c r="G1758" t="s">
        <v>74</v>
      </c>
      <c r="H1758" t="s">
        <v>74</v>
      </c>
      <c r="I1758" t="s">
        <v>29737</v>
      </c>
      <c r="J1758" t="s">
        <v>29738</v>
      </c>
      <c r="K1758" t="s">
        <v>74</v>
      </c>
      <c r="L1758" t="s">
        <v>74</v>
      </c>
      <c r="M1758" t="s">
        <v>78</v>
      </c>
      <c r="N1758" t="s">
        <v>108</v>
      </c>
      <c r="O1758" t="s">
        <v>74</v>
      </c>
      <c r="P1758" t="s">
        <v>74</v>
      </c>
      <c r="Q1758" t="s">
        <v>74</v>
      </c>
      <c r="R1758" t="s">
        <v>74</v>
      </c>
      <c r="S1758" t="s">
        <v>74</v>
      </c>
      <c r="T1758" t="s">
        <v>29739</v>
      </c>
      <c r="U1758" t="s">
        <v>74</v>
      </c>
      <c r="V1758" t="s">
        <v>29740</v>
      </c>
      <c r="W1758" t="s">
        <v>29741</v>
      </c>
      <c r="X1758" t="s">
        <v>18634</v>
      </c>
      <c r="Y1758" t="s">
        <v>29742</v>
      </c>
      <c r="Z1758" t="s">
        <v>29743</v>
      </c>
      <c r="AA1758" t="s">
        <v>29744</v>
      </c>
      <c r="AB1758" t="s">
        <v>29745</v>
      </c>
      <c r="AC1758" t="s">
        <v>29746</v>
      </c>
      <c r="AD1758" t="s">
        <v>29747</v>
      </c>
      <c r="AE1758" t="s">
        <v>29748</v>
      </c>
      <c r="AF1758" t="s">
        <v>74</v>
      </c>
      <c r="AG1758">
        <v>15</v>
      </c>
      <c r="AH1758">
        <v>2</v>
      </c>
      <c r="AI1758">
        <v>2</v>
      </c>
      <c r="AJ1758">
        <v>0</v>
      </c>
      <c r="AK1758">
        <v>4</v>
      </c>
      <c r="AL1758" t="s">
        <v>3761</v>
      </c>
      <c r="AM1758" t="s">
        <v>3762</v>
      </c>
      <c r="AN1758" t="s">
        <v>3763</v>
      </c>
      <c r="AO1758" t="s">
        <v>29749</v>
      </c>
      <c r="AP1758" t="s">
        <v>29750</v>
      </c>
      <c r="AQ1758" t="s">
        <v>74</v>
      </c>
      <c r="AR1758" t="s">
        <v>29751</v>
      </c>
      <c r="AS1758" t="s">
        <v>29752</v>
      </c>
      <c r="AT1758" t="s">
        <v>232</v>
      </c>
      <c r="AU1758">
        <v>2024</v>
      </c>
      <c r="AV1758">
        <v>21</v>
      </c>
      <c r="AW1758">
        <v>1</v>
      </c>
      <c r="AX1758" t="s">
        <v>74</v>
      </c>
      <c r="AY1758" t="s">
        <v>74</v>
      </c>
      <c r="AZ1758" t="s">
        <v>74</v>
      </c>
      <c r="BA1758" t="s">
        <v>74</v>
      </c>
      <c r="BB1758">
        <v>1</v>
      </c>
      <c r="BC1758">
        <v>6</v>
      </c>
      <c r="BD1758" t="s">
        <v>74</v>
      </c>
      <c r="BE1758" t="s">
        <v>29753</v>
      </c>
      <c r="BF1758" t="str">
        <f>HYPERLINK("http://dx.doi.org/10.1123/jpah.2023-0533","http://dx.doi.org/10.1123/jpah.2023-0533")</f>
        <v>http://dx.doi.org/10.1123/jpah.2023-0533</v>
      </c>
      <c r="BG1758" t="s">
        <v>74</v>
      </c>
      <c r="BH1758" t="s">
        <v>674</v>
      </c>
      <c r="BI1758">
        <v>6</v>
      </c>
      <c r="BJ1758" t="s">
        <v>392</v>
      </c>
      <c r="BK1758" t="s">
        <v>99</v>
      </c>
      <c r="BL1758" t="s">
        <v>392</v>
      </c>
      <c r="BM1758" t="s">
        <v>29754</v>
      </c>
      <c r="BN1758">
        <v>37939707</v>
      </c>
      <c r="BO1758" t="s">
        <v>767</v>
      </c>
      <c r="BP1758" t="s">
        <v>74</v>
      </c>
      <c r="BQ1758" t="s">
        <v>74</v>
      </c>
      <c r="BR1758" t="s">
        <v>102</v>
      </c>
      <c r="BS1758" t="s">
        <v>29755</v>
      </c>
      <c r="BT1758" t="str">
        <f>HYPERLINK("https%3A%2F%2Fwww.webofscience.com%2Fwos%2Fwoscc%2Ffull-record%2FWOS:001101041400001","View Full Record in Web of Science")</f>
        <v>View Full Record in Web of Science</v>
      </c>
    </row>
    <row r="1759" spans="1:72" x14ac:dyDescent="0.35">
      <c r="A1759" t="s">
        <v>72</v>
      </c>
      <c r="B1759" t="s">
        <v>29756</v>
      </c>
      <c r="C1759" t="s">
        <v>74</v>
      </c>
      <c r="D1759" t="s">
        <v>74</v>
      </c>
      <c r="E1759" t="s">
        <v>74</v>
      </c>
      <c r="F1759" t="s">
        <v>29757</v>
      </c>
      <c r="G1759" t="s">
        <v>74</v>
      </c>
      <c r="H1759" t="s">
        <v>74</v>
      </c>
      <c r="I1759" t="s">
        <v>29758</v>
      </c>
      <c r="J1759" t="s">
        <v>29759</v>
      </c>
      <c r="K1759" t="s">
        <v>74</v>
      </c>
      <c r="L1759" t="s">
        <v>74</v>
      </c>
      <c r="M1759" t="s">
        <v>78</v>
      </c>
      <c r="N1759" t="s">
        <v>108</v>
      </c>
      <c r="O1759" t="s">
        <v>74</v>
      </c>
      <c r="P1759" t="s">
        <v>74</v>
      </c>
      <c r="Q1759" t="s">
        <v>74</v>
      </c>
      <c r="R1759" t="s">
        <v>74</v>
      </c>
      <c r="S1759" t="s">
        <v>74</v>
      </c>
      <c r="T1759" t="s">
        <v>29760</v>
      </c>
      <c r="U1759" t="s">
        <v>29761</v>
      </c>
      <c r="V1759" t="s">
        <v>29762</v>
      </c>
      <c r="W1759" t="s">
        <v>29763</v>
      </c>
      <c r="X1759" t="s">
        <v>74</v>
      </c>
      <c r="Y1759" t="s">
        <v>29764</v>
      </c>
      <c r="Z1759" t="s">
        <v>29765</v>
      </c>
      <c r="AA1759" t="s">
        <v>74</v>
      </c>
      <c r="AB1759" t="s">
        <v>29766</v>
      </c>
      <c r="AC1759" t="s">
        <v>74</v>
      </c>
      <c r="AD1759" t="s">
        <v>74</v>
      </c>
      <c r="AE1759" t="s">
        <v>74</v>
      </c>
      <c r="AF1759" t="s">
        <v>74</v>
      </c>
      <c r="AG1759">
        <v>60</v>
      </c>
      <c r="AH1759">
        <v>0</v>
      </c>
      <c r="AI1759">
        <v>0</v>
      </c>
      <c r="AJ1759">
        <v>0</v>
      </c>
      <c r="AK1759">
        <v>3</v>
      </c>
      <c r="AL1759" t="s">
        <v>29767</v>
      </c>
      <c r="AM1759" t="s">
        <v>29768</v>
      </c>
      <c r="AN1759" t="s">
        <v>29769</v>
      </c>
      <c r="AO1759" t="s">
        <v>29770</v>
      </c>
      <c r="AP1759" t="s">
        <v>29771</v>
      </c>
      <c r="AQ1759" t="s">
        <v>74</v>
      </c>
      <c r="AR1759" t="s">
        <v>29772</v>
      </c>
      <c r="AS1759" t="s">
        <v>29773</v>
      </c>
      <c r="AT1759" t="s">
        <v>2968</v>
      </c>
      <c r="AU1759">
        <v>2021</v>
      </c>
      <c r="AV1759">
        <v>13</v>
      </c>
      <c r="AW1759">
        <v>3</v>
      </c>
      <c r="AX1759" t="s">
        <v>74</v>
      </c>
      <c r="AY1759" t="s">
        <v>74</v>
      </c>
      <c r="AZ1759" t="s">
        <v>74</v>
      </c>
      <c r="BA1759" t="s">
        <v>74</v>
      </c>
      <c r="BB1759">
        <v>1268</v>
      </c>
      <c r="BC1759">
        <v>1291</v>
      </c>
      <c r="BD1759" t="s">
        <v>74</v>
      </c>
      <c r="BE1759" t="s">
        <v>29774</v>
      </c>
      <c r="BF1759" t="str">
        <f>HYPERLINK("http://dx.doi.org/10.7213/2175-1838.13.003.AO02","http://dx.doi.org/10.7213/2175-1838.13.003.AO02")</f>
        <v>http://dx.doi.org/10.7213/2175-1838.13.003.AO02</v>
      </c>
      <c r="BG1759" t="s">
        <v>74</v>
      </c>
      <c r="BH1759" t="s">
        <v>74</v>
      </c>
      <c r="BI1759">
        <v>24</v>
      </c>
      <c r="BJ1759" t="s">
        <v>13829</v>
      </c>
      <c r="BK1759" t="s">
        <v>125</v>
      </c>
      <c r="BL1759" t="s">
        <v>13829</v>
      </c>
      <c r="BM1759" t="s">
        <v>29775</v>
      </c>
      <c r="BN1759" t="s">
        <v>74</v>
      </c>
      <c r="BO1759" t="s">
        <v>74</v>
      </c>
      <c r="BP1759" t="s">
        <v>74</v>
      </c>
      <c r="BQ1759" t="s">
        <v>74</v>
      </c>
      <c r="BR1759" t="s">
        <v>102</v>
      </c>
      <c r="BS1759" t="s">
        <v>29776</v>
      </c>
      <c r="BT1759" t="str">
        <f>HYPERLINK("https%3A%2F%2Fwww.webofscience.com%2Fwos%2Fwoscc%2Ffull-record%2FWOS:000753659400012","View Full Record in Web of Science")</f>
        <v>View Full Record in Web of Science</v>
      </c>
    </row>
    <row r="1760" spans="1:72" x14ac:dyDescent="0.35">
      <c r="A1760" t="s">
        <v>72</v>
      </c>
      <c r="B1760" t="s">
        <v>29777</v>
      </c>
      <c r="C1760" t="s">
        <v>74</v>
      </c>
      <c r="D1760" t="s">
        <v>74</v>
      </c>
      <c r="E1760" t="s">
        <v>74</v>
      </c>
      <c r="F1760" t="s">
        <v>29778</v>
      </c>
      <c r="G1760" t="s">
        <v>74</v>
      </c>
      <c r="H1760" t="s">
        <v>74</v>
      </c>
      <c r="I1760" t="s">
        <v>29779</v>
      </c>
      <c r="J1760" t="s">
        <v>29780</v>
      </c>
      <c r="K1760" t="s">
        <v>74</v>
      </c>
      <c r="L1760" t="s">
        <v>74</v>
      </c>
      <c r="M1760" t="s">
        <v>78</v>
      </c>
      <c r="N1760" t="s">
        <v>108</v>
      </c>
      <c r="O1760" t="s">
        <v>74</v>
      </c>
      <c r="P1760" t="s">
        <v>74</v>
      </c>
      <c r="Q1760" t="s">
        <v>74</v>
      </c>
      <c r="R1760" t="s">
        <v>74</v>
      </c>
      <c r="S1760" t="s">
        <v>74</v>
      </c>
      <c r="T1760" t="s">
        <v>29781</v>
      </c>
      <c r="U1760" t="s">
        <v>74</v>
      </c>
      <c r="V1760" t="s">
        <v>29782</v>
      </c>
      <c r="W1760" t="s">
        <v>29783</v>
      </c>
      <c r="X1760" t="s">
        <v>29784</v>
      </c>
      <c r="Y1760" t="s">
        <v>29785</v>
      </c>
      <c r="Z1760" t="s">
        <v>29786</v>
      </c>
      <c r="AA1760" t="s">
        <v>29787</v>
      </c>
      <c r="AB1760" t="s">
        <v>74</v>
      </c>
      <c r="AC1760" t="s">
        <v>29788</v>
      </c>
      <c r="AD1760" t="s">
        <v>29789</v>
      </c>
      <c r="AE1760" t="s">
        <v>29790</v>
      </c>
      <c r="AF1760" t="s">
        <v>74</v>
      </c>
      <c r="AG1760">
        <v>29</v>
      </c>
      <c r="AH1760">
        <v>4</v>
      </c>
      <c r="AI1760">
        <v>4</v>
      </c>
      <c r="AJ1760">
        <v>4</v>
      </c>
      <c r="AK1760">
        <v>101</v>
      </c>
      <c r="AL1760" t="s">
        <v>29791</v>
      </c>
      <c r="AM1760" t="s">
        <v>29792</v>
      </c>
      <c r="AN1760" t="s">
        <v>29793</v>
      </c>
      <c r="AO1760" t="s">
        <v>29794</v>
      </c>
      <c r="AP1760" t="s">
        <v>29795</v>
      </c>
      <c r="AQ1760" t="s">
        <v>74</v>
      </c>
      <c r="AR1760" t="s">
        <v>29796</v>
      </c>
      <c r="AS1760" t="s">
        <v>29797</v>
      </c>
      <c r="AT1760" t="s">
        <v>74</v>
      </c>
      <c r="AU1760">
        <v>2021</v>
      </c>
      <c r="AV1760">
        <v>29</v>
      </c>
      <c r="AW1760">
        <v>2</v>
      </c>
      <c r="AX1760" t="s">
        <v>74</v>
      </c>
      <c r="AY1760" t="s">
        <v>74</v>
      </c>
      <c r="AZ1760" t="s">
        <v>74</v>
      </c>
      <c r="BA1760" t="s">
        <v>74</v>
      </c>
      <c r="BB1760">
        <v>437</v>
      </c>
      <c r="BC1760">
        <v>449</v>
      </c>
      <c r="BD1760" t="s">
        <v>74</v>
      </c>
      <c r="BE1760" t="s">
        <v>29798</v>
      </c>
      <c r="BF1760" t="str">
        <f>HYPERLINK("http://dx.doi.org/10.32604/iasc.2021.016259","http://dx.doi.org/10.32604/iasc.2021.016259")</f>
        <v>http://dx.doi.org/10.32604/iasc.2021.016259</v>
      </c>
      <c r="BG1760" t="s">
        <v>74</v>
      </c>
      <c r="BH1760" t="s">
        <v>74</v>
      </c>
      <c r="BI1760">
        <v>13</v>
      </c>
      <c r="BJ1760" t="s">
        <v>29799</v>
      </c>
      <c r="BK1760" t="s">
        <v>209</v>
      </c>
      <c r="BL1760" t="s">
        <v>29800</v>
      </c>
      <c r="BM1760" t="s">
        <v>29801</v>
      </c>
      <c r="BN1760" t="s">
        <v>74</v>
      </c>
      <c r="BO1760" t="s">
        <v>156</v>
      </c>
      <c r="BP1760" t="s">
        <v>74</v>
      </c>
      <c r="BQ1760" t="s">
        <v>74</v>
      </c>
      <c r="BR1760" t="s">
        <v>102</v>
      </c>
      <c r="BS1760" t="s">
        <v>29802</v>
      </c>
      <c r="BT1760" t="str">
        <f>HYPERLINK("https%3A%2F%2Fwww.webofscience.com%2Fwos%2Fwoscc%2Ffull-record%2FWOS:000690758200009","View Full Record in Web of Science")</f>
        <v>View Full Record in Web of Science</v>
      </c>
    </row>
    <row r="1761" spans="1:72" x14ac:dyDescent="0.35">
      <c r="A1761" t="s">
        <v>128</v>
      </c>
      <c r="B1761" t="s">
        <v>29803</v>
      </c>
      <c r="C1761" t="s">
        <v>74</v>
      </c>
      <c r="D1761" t="s">
        <v>74</v>
      </c>
      <c r="E1761" t="s">
        <v>1677</v>
      </c>
      <c r="F1761" t="s">
        <v>29804</v>
      </c>
      <c r="G1761" t="s">
        <v>74</v>
      </c>
      <c r="H1761" t="s">
        <v>74</v>
      </c>
      <c r="I1761" t="s">
        <v>29805</v>
      </c>
      <c r="J1761" t="s">
        <v>29806</v>
      </c>
      <c r="K1761" t="s">
        <v>74</v>
      </c>
      <c r="L1761" t="s">
        <v>74</v>
      </c>
      <c r="M1761" t="s">
        <v>78</v>
      </c>
      <c r="N1761" t="s">
        <v>135</v>
      </c>
      <c r="O1761" t="s">
        <v>29807</v>
      </c>
      <c r="P1761" t="s">
        <v>29808</v>
      </c>
      <c r="Q1761" t="s">
        <v>138</v>
      </c>
      <c r="R1761" t="s">
        <v>29809</v>
      </c>
      <c r="S1761" t="s">
        <v>74</v>
      </c>
      <c r="T1761" t="s">
        <v>29810</v>
      </c>
      <c r="U1761" t="s">
        <v>74</v>
      </c>
      <c r="V1761" t="s">
        <v>29811</v>
      </c>
      <c r="W1761" t="s">
        <v>29812</v>
      </c>
      <c r="X1761" t="s">
        <v>29813</v>
      </c>
      <c r="Y1761" t="s">
        <v>29814</v>
      </c>
      <c r="Z1761" t="s">
        <v>29815</v>
      </c>
      <c r="AA1761" t="s">
        <v>74</v>
      </c>
      <c r="AB1761" t="s">
        <v>74</v>
      </c>
      <c r="AC1761" t="s">
        <v>74</v>
      </c>
      <c r="AD1761" t="s">
        <v>74</v>
      </c>
      <c r="AE1761" t="s">
        <v>74</v>
      </c>
      <c r="AF1761" t="s">
        <v>74</v>
      </c>
      <c r="AG1761">
        <v>15</v>
      </c>
      <c r="AH1761">
        <v>0</v>
      </c>
      <c r="AI1761">
        <v>0</v>
      </c>
      <c r="AJ1761">
        <v>0</v>
      </c>
      <c r="AK1761">
        <v>3</v>
      </c>
      <c r="AL1761" t="s">
        <v>1677</v>
      </c>
      <c r="AM1761" t="s">
        <v>666</v>
      </c>
      <c r="AN1761" t="s">
        <v>1692</v>
      </c>
      <c r="AO1761" t="s">
        <v>74</v>
      </c>
      <c r="AP1761" t="s">
        <v>74</v>
      </c>
      <c r="AQ1761" t="s">
        <v>29816</v>
      </c>
      <c r="AR1761" t="s">
        <v>74</v>
      </c>
      <c r="AS1761" t="s">
        <v>74</v>
      </c>
      <c r="AT1761" t="s">
        <v>74</v>
      </c>
      <c r="AU1761">
        <v>2020</v>
      </c>
      <c r="AV1761" t="s">
        <v>74</v>
      </c>
      <c r="AW1761" t="s">
        <v>74</v>
      </c>
      <c r="AX1761" t="s">
        <v>74</v>
      </c>
      <c r="AY1761" t="s">
        <v>74</v>
      </c>
      <c r="AZ1761" t="s">
        <v>74</v>
      </c>
      <c r="BA1761" t="s">
        <v>74</v>
      </c>
      <c r="BB1761" t="s">
        <v>74</v>
      </c>
      <c r="BC1761" t="s">
        <v>74</v>
      </c>
      <c r="BD1761" t="s">
        <v>74</v>
      </c>
      <c r="BE1761" t="s">
        <v>29817</v>
      </c>
      <c r="BF1761" t="str">
        <f>HYPERLINK("http://dx.doi.org/10.1109/PAINE49178.2020.9337566","http://dx.doi.org/10.1109/PAINE49178.2020.9337566")</f>
        <v>http://dx.doi.org/10.1109/PAINE49178.2020.9337566</v>
      </c>
      <c r="BG1761" t="s">
        <v>74</v>
      </c>
      <c r="BH1761" t="s">
        <v>74</v>
      </c>
      <c r="BI1761">
        <v>6</v>
      </c>
      <c r="BJ1761" t="s">
        <v>20731</v>
      </c>
      <c r="BK1761" t="s">
        <v>723</v>
      </c>
      <c r="BL1761" t="s">
        <v>20474</v>
      </c>
      <c r="BM1761" t="s">
        <v>29818</v>
      </c>
      <c r="BN1761" t="s">
        <v>74</v>
      </c>
      <c r="BO1761" t="s">
        <v>74</v>
      </c>
      <c r="BP1761" t="s">
        <v>74</v>
      </c>
      <c r="BQ1761" t="s">
        <v>74</v>
      </c>
      <c r="BR1761" t="s">
        <v>102</v>
      </c>
      <c r="BS1761" t="s">
        <v>29819</v>
      </c>
      <c r="BT1761" t="str">
        <f>HYPERLINK("https%3A%2F%2Fwww.webofscience.com%2Fwos%2Fwoscc%2Ffull-record%2FWOS:000848058600004","View Full Record in Web of Science")</f>
        <v>View Full Record in Web of Science</v>
      </c>
    </row>
    <row r="1762" spans="1:72" x14ac:dyDescent="0.35">
      <c r="A1762" t="s">
        <v>72</v>
      </c>
      <c r="B1762" t="s">
        <v>29820</v>
      </c>
      <c r="C1762" t="s">
        <v>74</v>
      </c>
      <c r="D1762" t="s">
        <v>74</v>
      </c>
      <c r="E1762" t="s">
        <v>74</v>
      </c>
      <c r="F1762" t="s">
        <v>29821</v>
      </c>
      <c r="G1762" t="s">
        <v>74</v>
      </c>
      <c r="H1762" t="s">
        <v>74</v>
      </c>
      <c r="I1762" t="s">
        <v>29822</v>
      </c>
      <c r="J1762" t="s">
        <v>29823</v>
      </c>
      <c r="K1762" t="s">
        <v>74</v>
      </c>
      <c r="L1762" t="s">
        <v>74</v>
      </c>
      <c r="M1762" t="s">
        <v>78</v>
      </c>
      <c r="N1762" t="s">
        <v>29824</v>
      </c>
      <c r="O1762" t="s">
        <v>74</v>
      </c>
      <c r="P1762" t="s">
        <v>74</v>
      </c>
      <c r="Q1762" t="s">
        <v>74</v>
      </c>
      <c r="R1762" t="s">
        <v>74</v>
      </c>
      <c r="S1762" t="s">
        <v>74</v>
      </c>
      <c r="T1762" t="s">
        <v>29825</v>
      </c>
      <c r="U1762" t="s">
        <v>29826</v>
      </c>
      <c r="V1762" t="s">
        <v>29827</v>
      </c>
      <c r="W1762" t="s">
        <v>29828</v>
      </c>
      <c r="X1762" t="s">
        <v>29829</v>
      </c>
      <c r="Y1762" t="s">
        <v>29830</v>
      </c>
      <c r="Z1762" t="s">
        <v>29831</v>
      </c>
      <c r="AA1762" t="s">
        <v>74</v>
      </c>
      <c r="AB1762" t="s">
        <v>74</v>
      </c>
      <c r="AC1762" t="s">
        <v>74</v>
      </c>
      <c r="AD1762" t="s">
        <v>74</v>
      </c>
      <c r="AE1762" t="s">
        <v>74</v>
      </c>
      <c r="AF1762" t="s">
        <v>74</v>
      </c>
      <c r="AG1762">
        <v>20</v>
      </c>
      <c r="AH1762">
        <v>0</v>
      </c>
      <c r="AI1762">
        <v>0</v>
      </c>
      <c r="AJ1762">
        <v>8</v>
      </c>
      <c r="AK1762">
        <v>26</v>
      </c>
      <c r="AL1762" t="s">
        <v>29832</v>
      </c>
      <c r="AM1762" t="s">
        <v>6048</v>
      </c>
      <c r="AN1762" t="s">
        <v>29833</v>
      </c>
      <c r="AO1762" t="s">
        <v>29834</v>
      </c>
      <c r="AP1762" t="s">
        <v>29835</v>
      </c>
      <c r="AQ1762" t="s">
        <v>74</v>
      </c>
      <c r="AR1762" t="s">
        <v>29836</v>
      </c>
      <c r="AS1762" t="s">
        <v>29837</v>
      </c>
      <c r="AT1762" t="s">
        <v>24504</v>
      </c>
      <c r="AU1762">
        <v>2023</v>
      </c>
      <c r="AV1762">
        <v>32</v>
      </c>
      <c r="AW1762">
        <v>3</v>
      </c>
      <c r="AX1762" t="s">
        <v>74</v>
      </c>
      <c r="AY1762" t="s">
        <v>74</v>
      </c>
      <c r="AZ1762" t="s">
        <v>74</v>
      </c>
      <c r="BA1762" t="s">
        <v>74</v>
      </c>
      <c r="BB1762" t="s">
        <v>74</v>
      </c>
      <c r="BC1762" t="s">
        <v>74</v>
      </c>
      <c r="BD1762">
        <v>31805</v>
      </c>
      <c r="BE1762" t="s">
        <v>29838</v>
      </c>
      <c r="BF1762" t="str">
        <f>HYPERLINK("http://dx.doi.org/10.1117/1.JEI.32.3.031805","http://dx.doi.org/10.1117/1.JEI.32.3.031805")</f>
        <v>http://dx.doi.org/10.1117/1.JEI.32.3.031805</v>
      </c>
      <c r="BG1762" t="s">
        <v>74</v>
      </c>
      <c r="BH1762" t="s">
        <v>74</v>
      </c>
      <c r="BI1762">
        <v>11</v>
      </c>
      <c r="BJ1762" t="s">
        <v>29839</v>
      </c>
      <c r="BK1762" t="s">
        <v>209</v>
      </c>
      <c r="BL1762" t="s">
        <v>29840</v>
      </c>
      <c r="BM1762" t="s">
        <v>29841</v>
      </c>
      <c r="BN1762" t="s">
        <v>74</v>
      </c>
      <c r="BO1762" t="s">
        <v>74</v>
      </c>
      <c r="BP1762" t="s">
        <v>74</v>
      </c>
      <c r="BQ1762" t="s">
        <v>74</v>
      </c>
      <c r="BR1762" t="s">
        <v>102</v>
      </c>
      <c r="BS1762" t="s">
        <v>29842</v>
      </c>
      <c r="BT1762" t="str">
        <f>HYPERLINK("https%3A%2F%2Fwww.webofscience.com%2Fwos%2Fwoscc%2Ffull-record%2FWOS:001060595700003","View Full Record in Web of Science")</f>
        <v>View Full Record in Web of Science</v>
      </c>
    </row>
    <row r="1763" spans="1:72" x14ac:dyDescent="0.35">
      <c r="A1763" t="s">
        <v>72</v>
      </c>
      <c r="B1763" t="s">
        <v>29843</v>
      </c>
      <c r="C1763" t="s">
        <v>74</v>
      </c>
      <c r="D1763" t="s">
        <v>74</v>
      </c>
      <c r="E1763" t="s">
        <v>74</v>
      </c>
      <c r="F1763" t="s">
        <v>29844</v>
      </c>
      <c r="G1763" t="s">
        <v>74</v>
      </c>
      <c r="H1763" t="s">
        <v>74</v>
      </c>
      <c r="I1763" t="s">
        <v>29845</v>
      </c>
      <c r="J1763" t="s">
        <v>18730</v>
      </c>
      <c r="K1763" t="s">
        <v>74</v>
      </c>
      <c r="L1763" t="s">
        <v>74</v>
      </c>
      <c r="M1763" t="s">
        <v>3503</v>
      </c>
      <c r="N1763" t="s">
        <v>108</v>
      </c>
      <c r="O1763" t="s">
        <v>74</v>
      </c>
      <c r="P1763" t="s">
        <v>74</v>
      </c>
      <c r="Q1763" t="s">
        <v>74</v>
      </c>
      <c r="R1763" t="s">
        <v>74</v>
      </c>
      <c r="S1763" t="s">
        <v>74</v>
      </c>
      <c r="T1763" t="s">
        <v>29846</v>
      </c>
      <c r="U1763" t="s">
        <v>29847</v>
      </c>
      <c r="V1763" t="s">
        <v>29848</v>
      </c>
      <c r="W1763" t="s">
        <v>29849</v>
      </c>
      <c r="X1763" t="s">
        <v>74</v>
      </c>
      <c r="Y1763" t="s">
        <v>29850</v>
      </c>
      <c r="Z1763" t="s">
        <v>29851</v>
      </c>
      <c r="AA1763" t="s">
        <v>74</v>
      </c>
      <c r="AB1763" t="s">
        <v>74</v>
      </c>
      <c r="AC1763" t="s">
        <v>74</v>
      </c>
      <c r="AD1763" t="s">
        <v>74</v>
      </c>
      <c r="AE1763" t="s">
        <v>74</v>
      </c>
      <c r="AF1763" t="s">
        <v>74</v>
      </c>
      <c r="AG1763">
        <v>58</v>
      </c>
      <c r="AH1763">
        <v>0</v>
      </c>
      <c r="AI1763">
        <v>0</v>
      </c>
      <c r="AJ1763">
        <v>1</v>
      </c>
      <c r="AK1763">
        <v>1</v>
      </c>
      <c r="AL1763" t="s">
        <v>18737</v>
      </c>
      <c r="AM1763" t="s">
        <v>18738</v>
      </c>
      <c r="AN1763" t="s">
        <v>18739</v>
      </c>
      <c r="AO1763" t="s">
        <v>18740</v>
      </c>
      <c r="AP1763" t="s">
        <v>18741</v>
      </c>
      <c r="AQ1763" t="s">
        <v>74</v>
      </c>
      <c r="AR1763" t="s">
        <v>18742</v>
      </c>
      <c r="AS1763" t="s">
        <v>18743</v>
      </c>
      <c r="AT1763" t="s">
        <v>3517</v>
      </c>
      <c r="AU1763">
        <v>2025</v>
      </c>
      <c r="AV1763" t="s">
        <v>74</v>
      </c>
      <c r="AW1763">
        <v>40</v>
      </c>
      <c r="AX1763" t="s">
        <v>74</v>
      </c>
      <c r="AY1763" t="s">
        <v>74</v>
      </c>
      <c r="AZ1763" t="s">
        <v>74</v>
      </c>
      <c r="BA1763" t="s">
        <v>74</v>
      </c>
      <c r="BB1763" t="s">
        <v>74</v>
      </c>
      <c r="BC1763" t="s">
        <v>74</v>
      </c>
      <c r="BD1763" t="s">
        <v>29852</v>
      </c>
      <c r="BE1763" t="s">
        <v>29853</v>
      </c>
      <c r="BF1763" t="str">
        <f>HYPERLINK("http://dx.doi.org/10.31921/doxacom.n40a2187","http://dx.doi.org/10.31921/doxacom.n40a2187")</f>
        <v>http://dx.doi.org/10.31921/doxacom.n40a2187</v>
      </c>
      <c r="BG1763" t="s">
        <v>74</v>
      </c>
      <c r="BH1763" t="s">
        <v>74</v>
      </c>
      <c r="BI1763">
        <v>23</v>
      </c>
      <c r="BJ1763" t="s">
        <v>124</v>
      </c>
      <c r="BK1763" t="s">
        <v>125</v>
      </c>
      <c r="BL1763" t="s">
        <v>124</v>
      </c>
      <c r="BM1763" t="s">
        <v>29854</v>
      </c>
      <c r="BN1763" t="s">
        <v>74</v>
      </c>
      <c r="BO1763" t="s">
        <v>74</v>
      </c>
      <c r="BP1763" t="s">
        <v>74</v>
      </c>
      <c r="BQ1763" t="s">
        <v>74</v>
      </c>
      <c r="BR1763" t="s">
        <v>102</v>
      </c>
      <c r="BS1763" t="s">
        <v>29855</v>
      </c>
      <c r="BT1763" t="str">
        <f>HYPERLINK("https%3A%2F%2Fwww.webofscience.com%2Fwos%2Fwoscc%2Ffull-record%2FWOS:001336202400006","View Full Record in Web of Science")</f>
        <v>View Full Record in Web of Science</v>
      </c>
    </row>
    <row r="1764" spans="1:72" x14ac:dyDescent="0.35">
      <c r="A1764" t="s">
        <v>72</v>
      </c>
      <c r="B1764" t="s">
        <v>29856</v>
      </c>
      <c r="C1764" t="s">
        <v>74</v>
      </c>
      <c r="D1764" t="s">
        <v>74</v>
      </c>
      <c r="E1764" t="s">
        <v>74</v>
      </c>
      <c r="F1764" t="s">
        <v>29857</v>
      </c>
      <c r="G1764" t="s">
        <v>74</v>
      </c>
      <c r="H1764" t="s">
        <v>74</v>
      </c>
      <c r="I1764" t="s">
        <v>29858</v>
      </c>
      <c r="J1764" t="s">
        <v>29859</v>
      </c>
      <c r="K1764" t="s">
        <v>74</v>
      </c>
      <c r="L1764" t="s">
        <v>74</v>
      </c>
      <c r="M1764" t="s">
        <v>78</v>
      </c>
      <c r="N1764" t="s">
        <v>108</v>
      </c>
      <c r="O1764" t="s">
        <v>74</v>
      </c>
      <c r="P1764" t="s">
        <v>74</v>
      </c>
      <c r="Q1764" t="s">
        <v>74</v>
      </c>
      <c r="R1764" t="s">
        <v>74</v>
      </c>
      <c r="S1764" t="s">
        <v>74</v>
      </c>
      <c r="T1764" t="s">
        <v>29860</v>
      </c>
      <c r="U1764" t="s">
        <v>29861</v>
      </c>
      <c r="V1764" t="s">
        <v>29862</v>
      </c>
      <c r="W1764" t="s">
        <v>29863</v>
      </c>
      <c r="X1764" t="s">
        <v>29864</v>
      </c>
      <c r="Y1764" t="s">
        <v>29865</v>
      </c>
      <c r="Z1764" t="s">
        <v>29866</v>
      </c>
      <c r="AA1764" t="s">
        <v>74</v>
      </c>
      <c r="AB1764" t="s">
        <v>74</v>
      </c>
      <c r="AC1764" t="s">
        <v>74</v>
      </c>
      <c r="AD1764" t="s">
        <v>74</v>
      </c>
      <c r="AE1764" t="s">
        <v>74</v>
      </c>
      <c r="AF1764" t="s">
        <v>74</v>
      </c>
      <c r="AG1764">
        <v>77</v>
      </c>
      <c r="AH1764">
        <v>0</v>
      </c>
      <c r="AI1764">
        <v>0</v>
      </c>
      <c r="AJ1764">
        <v>0</v>
      </c>
      <c r="AK1764">
        <v>0</v>
      </c>
      <c r="AL1764" t="s">
        <v>29867</v>
      </c>
      <c r="AM1764" t="s">
        <v>23740</v>
      </c>
      <c r="AN1764" t="s">
        <v>29868</v>
      </c>
      <c r="AO1764" t="s">
        <v>29869</v>
      </c>
      <c r="AP1764" t="s">
        <v>74</v>
      </c>
      <c r="AQ1764" t="s">
        <v>74</v>
      </c>
      <c r="AR1764" t="s">
        <v>29870</v>
      </c>
      <c r="AS1764" t="s">
        <v>29871</v>
      </c>
      <c r="AT1764" t="s">
        <v>74</v>
      </c>
      <c r="AU1764">
        <v>2024</v>
      </c>
      <c r="AV1764" t="s">
        <v>74</v>
      </c>
      <c r="AW1764">
        <v>30</v>
      </c>
      <c r="AX1764" t="s">
        <v>74</v>
      </c>
      <c r="AY1764" t="s">
        <v>74</v>
      </c>
      <c r="AZ1764" t="s">
        <v>74</v>
      </c>
      <c r="BA1764" t="s">
        <v>74</v>
      </c>
      <c r="BB1764">
        <v>29</v>
      </c>
      <c r="BC1764">
        <v>47</v>
      </c>
      <c r="BD1764" t="s">
        <v>74</v>
      </c>
      <c r="BE1764" t="s">
        <v>29872</v>
      </c>
      <c r="BF1764" t="str">
        <f>HYPERLINK("http://dx.doi.org/10.34024/prometeica.2024.30.16063","http://dx.doi.org/10.34024/prometeica.2024.30.16063")</f>
        <v>http://dx.doi.org/10.34024/prometeica.2024.30.16063</v>
      </c>
      <c r="BG1764" t="s">
        <v>74</v>
      </c>
      <c r="BH1764" t="s">
        <v>74</v>
      </c>
      <c r="BI1764">
        <v>19</v>
      </c>
      <c r="BJ1764" t="s">
        <v>2686</v>
      </c>
      <c r="BK1764" t="s">
        <v>125</v>
      </c>
      <c r="BL1764" t="s">
        <v>2686</v>
      </c>
      <c r="BM1764" t="s">
        <v>29873</v>
      </c>
      <c r="BN1764" t="s">
        <v>74</v>
      </c>
      <c r="BO1764" t="s">
        <v>235</v>
      </c>
      <c r="BP1764" t="s">
        <v>74</v>
      </c>
      <c r="BQ1764" t="s">
        <v>74</v>
      </c>
      <c r="BR1764" t="s">
        <v>102</v>
      </c>
      <c r="BS1764" t="s">
        <v>29874</v>
      </c>
      <c r="BT1764" t="str">
        <f>HYPERLINK("https%3A%2F%2Fwww.webofscience.com%2Fwos%2Fwoscc%2Ffull-record%2FWOS:001282357200004","View Full Record in Web of Science")</f>
        <v>View Full Record in Web of Science</v>
      </c>
    </row>
    <row r="1765" spans="1:72" x14ac:dyDescent="0.35">
      <c r="A1765" t="s">
        <v>72</v>
      </c>
      <c r="B1765" t="s">
        <v>29875</v>
      </c>
      <c r="C1765" t="s">
        <v>74</v>
      </c>
      <c r="D1765" t="s">
        <v>74</v>
      </c>
      <c r="E1765" t="s">
        <v>74</v>
      </c>
      <c r="F1765" t="s">
        <v>29876</v>
      </c>
      <c r="G1765" t="s">
        <v>74</v>
      </c>
      <c r="H1765" t="s">
        <v>74</v>
      </c>
      <c r="I1765" t="s">
        <v>29877</v>
      </c>
      <c r="J1765" t="s">
        <v>29878</v>
      </c>
      <c r="K1765" t="s">
        <v>74</v>
      </c>
      <c r="L1765" t="s">
        <v>74</v>
      </c>
      <c r="M1765" t="s">
        <v>1556</v>
      </c>
      <c r="N1765" t="s">
        <v>108</v>
      </c>
      <c r="O1765" t="s">
        <v>74</v>
      </c>
      <c r="P1765" t="s">
        <v>74</v>
      </c>
      <c r="Q1765" t="s">
        <v>74</v>
      </c>
      <c r="R1765" t="s">
        <v>74</v>
      </c>
      <c r="S1765" t="s">
        <v>74</v>
      </c>
      <c r="T1765" t="s">
        <v>29879</v>
      </c>
      <c r="U1765" t="s">
        <v>74</v>
      </c>
      <c r="V1765" t="s">
        <v>29880</v>
      </c>
      <c r="W1765" t="s">
        <v>29881</v>
      </c>
      <c r="X1765" t="s">
        <v>29882</v>
      </c>
      <c r="Y1765" t="s">
        <v>29883</v>
      </c>
      <c r="Z1765" t="s">
        <v>29884</v>
      </c>
      <c r="AA1765" t="s">
        <v>29885</v>
      </c>
      <c r="AB1765" t="s">
        <v>29886</v>
      </c>
      <c r="AC1765" t="s">
        <v>29887</v>
      </c>
      <c r="AD1765" t="s">
        <v>29888</v>
      </c>
      <c r="AE1765" t="s">
        <v>29889</v>
      </c>
      <c r="AF1765" t="s">
        <v>74</v>
      </c>
      <c r="AG1765">
        <v>3</v>
      </c>
      <c r="AH1765">
        <v>0</v>
      </c>
      <c r="AI1765">
        <v>0</v>
      </c>
      <c r="AJ1765">
        <v>8</v>
      </c>
      <c r="AK1765">
        <v>8</v>
      </c>
      <c r="AL1765" t="s">
        <v>29890</v>
      </c>
      <c r="AM1765" t="s">
        <v>29891</v>
      </c>
      <c r="AN1765" t="s">
        <v>29892</v>
      </c>
      <c r="AO1765" t="s">
        <v>29893</v>
      </c>
      <c r="AP1765" t="s">
        <v>74</v>
      </c>
      <c r="AQ1765" t="s">
        <v>74</v>
      </c>
      <c r="AR1765" t="s">
        <v>29894</v>
      </c>
      <c r="AS1765" t="s">
        <v>29895</v>
      </c>
      <c r="AT1765" t="s">
        <v>74</v>
      </c>
      <c r="AU1765">
        <v>2024</v>
      </c>
      <c r="AV1765" t="s">
        <v>74</v>
      </c>
      <c r="AW1765">
        <v>2</v>
      </c>
      <c r="AX1765" t="s">
        <v>74</v>
      </c>
      <c r="AY1765" t="s">
        <v>74</v>
      </c>
      <c r="AZ1765" t="s">
        <v>74</v>
      </c>
      <c r="BA1765" t="s">
        <v>74</v>
      </c>
      <c r="BB1765">
        <v>122</v>
      </c>
      <c r="BC1765">
        <v>129</v>
      </c>
      <c r="BD1765" t="s">
        <v>74</v>
      </c>
      <c r="BE1765" t="s">
        <v>29896</v>
      </c>
      <c r="BF1765" t="str">
        <f>HYPERLINK("http://dx.doi.org/10.31857/S0132162524010114","http://dx.doi.org/10.31857/S0132162524010114")</f>
        <v>http://dx.doi.org/10.31857/S0132162524010114</v>
      </c>
      <c r="BG1765" t="s">
        <v>74</v>
      </c>
      <c r="BH1765" t="s">
        <v>74</v>
      </c>
      <c r="BI1765">
        <v>8</v>
      </c>
      <c r="BJ1765" t="s">
        <v>4573</v>
      </c>
      <c r="BK1765" t="s">
        <v>99</v>
      </c>
      <c r="BL1765" t="s">
        <v>4573</v>
      </c>
      <c r="BM1765" t="s">
        <v>29897</v>
      </c>
      <c r="BN1765" t="s">
        <v>74</v>
      </c>
      <c r="BO1765" t="s">
        <v>74</v>
      </c>
      <c r="BP1765" t="s">
        <v>74</v>
      </c>
      <c r="BQ1765" t="s">
        <v>74</v>
      </c>
      <c r="BR1765" t="s">
        <v>102</v>
      </c>
      <c r="BS1765" t="s">
        <v>29898</v>
      </c>
      <c r="BT1765" t="str">
        <f>HYPERLINK("https%3A%2F%2Fwww.webofscience.com%2Fwos%2Fwoscc%2Ffull-record%2FWOS:001315960100010","View Full Record in Web of Science")</f>
        <v>View Full Record in Web of Science</v>
      </c>
    </row>
    <row r="1766" spans="1:72" x14ac:dyDescent="0.35">
      <c r="A1766" t="s">
        <v>72</v>
      </c>
      <c r="B1766" t="s">
        <v>29899</v>
      </c>
      <c r="C1766" t="s">
        <v>74</v>
      </c>
      <c r="D1766" t="s">
        <v>74</v>
      </c>
      <c r="E1766" t="s">
        <v>74</v>
      </c>
      <c r="F1766" t="s">
        <v>29900</v>
      </c>
      <c r="G1766" t="s">
        <v>74</v>
      </c>
      <c r="H1766" t="s">
        <v>74</v>
      </c>
      <c r="I1766" t="s">
        <v>29901</v>
      </c>
      <c r="J1766" t="s">
        <v>5725</v>
      </c>
      <c r="K1766" t="s">
        <v>74</v>
      </c>
      <c r="L1766" t="s">
        <v>74</v>
      </c>
      <c r="M1766" t="s">
        <v>78</v>
      </c>
      <c r="N1766" t="s">
        <v>108</v>
      </c>
      <c r="O1766" t="s">
        <v>74</v>
      </c>
      <c r="P1766" t="s">
        <v>74</v>
      </c>
      <c r="Q1766" t="s">
        <v>74</v>
      </c>
      <c r="R1766" t="s">
        <v>74</v>
      </c>
      <c r="S1766" t="s">
        <v>74</v>
      </c>
      <c r="T1766" t="s">
        <v>29902</v>
      </c>
      <c r="U1766" t="s">
        <v>74</v>
      </c>
      <c r="V1766" t="s">
        <v>29903</v>
      </c>
      <c r="W1766" t="s">
        <v>29904</v>
      </c>
      <c r="X1766" t="s">
        <v>21851</v>
      </c>
      <c r="Y1766" t="s">
        <v>29905</v>
      </c>
      <c r="Z1766" t="s">
        <v>29906</v>
      </c>
      <c r="AA1766" t="s">
        <v>29907</v>
      </c>
      <c r="AB1766" t="s">
        <v>29908</v>
      </c>
      <c r="AC1766" t="s">
        <v>29909</v>
      </c>
      <c r="AD1766" t="s">
        <v>29910</v>
      </c>
      <c r="AE1766" t="s">
        <v>2921</v>
      </c>
      <c r="AF1766" t="s">
        <v>74</v>
      </c>
      <c r="AG1766">
        <v>44</v>
      </c>
      <c r="AH1766">
        <v>0</v>
      </c>
      <c r="AI1766">
        <v>0</v>
      </c>
      <c r="AJ1766">
        <v>3</v>
      </c>
      <c r="AK1766">
        <v>6</v>
      </c>
      <c r="AL1766" t="s">
        <v>1195</v>
      </c>
      <c r="AM1766" t="s">
        <v>1196</v>
      </c>
      <c r="AN1766" t="s">
        <v>1197</v>
      </c>
      <c r="AO1766" t="s">
        <v>74</v>
      </c>
      <c r="AP1766" t="s">
        <v>5736</v>
      </c>
      <c r="AQ1766" t="s">
        <v>74</v>
      </c>
      <c r="AR1766" t="s">
        <v>5737</v>
      </c>
      <c r="AS1766" t="s">
        <v>5738</v>
      </c>
      <c r="AT1766" t="s">
        <v>523</v>
      </c>
      <c r="AU1766">
        <v>2023</v>
      </c>
      <c r="AV1766">
        <v>12</v>
      </c>
      <c r="AW1766">
        <v>11</v>
      </c>
      <c r="AX1766" t="s">
        <v>74</v>
      </c>
      <c r="AY1766" t="s">
        <v>74</v>
      </c>
      <c r="AZ1766" t="s">
        <v>74</v>
      </c>
      <c r="BA1766" t="s">
        <v>74</v>
      </c>
      <c r="BB1766" t="s">
        <v>74</v>
      </c>
      <c r="BC1766" t="s">
        <v>74</v>
      </c>
      <c r="BD1766">
        <v>616</v>
      </c>
      <c r="BE1766" t="s">
        <v>29911</v>
      </c>
      <c r="BF1766" t="str">
        <f>HYPERLINK("http://dx.doi.org/10.3390/socsci12110616","http://dx.doi.org/10.3390/socsci12110616")</f>
        <v>http://dx.doi.org/10.3390/socsci12110616</v>
      </c>
      <c r="BG1766" t="s">
        <v>74</v>
      </c>
      <c r="BH1766" t="s">
        <v>74</v>
      </c>
      <c r="BI1766">
        <v>18</v>
      </c>
      <c r="BJ1766" t="s">
        <v>98</v>
      </c>
      <c r="BK1766" t="s">
        <v>125</v>
      </c>
      <c r="BL1766" t="s">
        <v>100</v>
      </c>
      <c r="BM1766" t="s">
        <v>29912</v>
      </c>
      <c r="BN1766" t="s">
        <v>74</v>
      </c>
      <c r="BO1766" t="s">
        <v>235</v>
      </c>
      <c r="BP1766" t="s">
        <v>74</v>
      </c>
      <c r="BQ1766" t="s">
        <v>74</v>
      </c>
      <c r="BR1766" t="s">
        <v>102</v>
      </c>
      <c r="BS1766" t="s">
        <v>29913</v>
      </c>
      <c r="BT1766" t="str">
        <f>HYPERLINK("https%3A%2F%2Fwww.webofscience.com%2Fwos%2Fwoscc%2Ffull-record%2FWOS:001120318100001","View Full Record in Web of Science")</f>
        <v>View Full Record in Web of Science</v>
      </c>
    </row>
    <row r="1767" spans="1:72" x14ac:dyDescent="0.35">
      <c r="A1767" t="s">
        <v>128</v>
      </c>
      <c r="B1767" t="s">
        <v>29914</v>
      </c>
      <c r="C1767" t="s">
        <v>74</v>
      </c>
      <c r="D1767" t="s">
        <v>74</v>
      </c>
      <c r="E1767" t="s">
        <v>702</v>
      </c>
      <c r="F1767" t="s">
        <v>29915</v>
      </c>
      <c r="G1767" t="s">
        <v>74</v>
      </c>
      <c r="H1767" t="s">
        <v>74</v>
      </c>
      <c r="I1767" t="s">
        <v>29916</v>
      </c>
      <c r="J1767" t="s">
        <v>12946</v>
      </c>
      <c r="K1767" t="s">
        <v>74</v>
      </c>
      <c r="L1767" t="s">
        <v>74</v>
      </c>
      <c r="M1767" t="s">
        <v>78</v>
      </c>
      <c r="N1767" t="s">
        <v>135</v>
      </c>
      <c r="O1767" t="s">
        <v>5468</v>
      </c>
      <c r="P1767" t="s">
        <v>5469</v>
      </c>
      <c r="Q1767" t="s">
        <v>5470</v>
      </c>
      <c r="R1767" t="s">
        <v>5471</v>
      </c>
      <c r="S1767" t="s">
        <v>74</v>
      </c>
      <c r="T1767" t="s">
        <v>29917</v>
      </c>
      <c r="U1767" t="s">
        <v>74</v>
      </c>
      <c r="V1767" t="s">
        <v>29918</v>
      </c>
      <c r="W1767" t="s">
        <v>29919</v>
      </c>
      <c r="X1767" t="s">
        <v>29920</v>
      </c>
      <c r="Y1767" t="s">
        <v>29921</v>
      </c>
      <c r="Z1767" t="s">
        <v>29922</v>
      </c>
      <c r="AA1767" t="s">
        <v>29923</v>
      </c>
      <c r="AB1767" t="s">
        <v>29924</v>
      </c>
      <c r="AC1767" t="s">
        <v>29925</v>
      </c>
      <c r="AD1767" t="s">
        <v>29925</v>
      </c>
      <c r="AE1767" t="s">
        <v>29926</v>
      </c>
      <c r="AF1767" t="s">
        <v>74</v>
      </c>
      <c r="AG1767">
        <v>46</v>
      </c>
      <c r="AH1767">
        <v>14</v>
      </c>
      <c r="AI1767">
        <v>15</v>
      </c>
      <c r="AJ1767">
        <v>0</v>
      </c>
      <c r="AK1767">
        <v>0</v>
      </c>
      <c r="AL1767" t="s">
        <v>718</v>
      </c>
      <c r="AM1767" t="s">
        <v>666</v>
      </c>
      <c r="AN1767" t="s">
        <v>719</v>
      </c>
      <c r="AO1767" t="s">
        <v>74</v>
      </c>
      <c r="AP1767" t="s">
        <v>74</v>
      </c>
      <c r="AQ1767" t="s">
        <v>5480</v>
      </c>
      <c r="AR1767" t="s">
        <v>74</v>
      </c>
      <c r="AS1767" t="s">
        <v>74</v>
      </c>
      <c r="AT1767" t="s">
        <v>74</v>
      </c>
      <c r="AU1767">
        <v>2023</v>
      </c>
      <c r="AV1767" t="s">
        <v>74</v>
      </c>
      <c r="AW1767" t="s">
        <v>74</v>
      </c>
      <c r="AX1767" t="s">
        <v>74</v>
      </c>
      <c r="AY1767" t="s">
        <v>74</v>
      </c>
      <c r="AZ1767" t="s">
        <v>74</v>
      </c>
      <c r="BA1767" t="s">
        <v>74</v>
      </c>
      <c r="BB1767" t="s">
        <v>74</v>
      </c>
      <c r="BC1767" t="s">
        <v>74</v>
      </c>
      <c r="BD1767" t="s">
        <v>74</v>
      </c>
      <c r="BE1767" t="s">
        <v>29927</v>
      </c>
      <c r="BF1767" t="str">
        <f>HYPERLINK("http://dx.doi.org/10.1145/3544548.3580695","http://dx.doi.org/10.1145/3544548.3580695")</f>
        <v>http://dx.doi.org/10.1145/3544548.3580695</v>
      </c>
      <c r="BG1767" t="s">
        <v>74</v>
      </c>
      <c r="BH1767" t="s">
        <v>74</v>
      </c>
      <c r="BI1767">
        <v>15</v>
      </c>
      <c r="BJ1767" t="s">
        <v>5482</v>
      </c>
      <c r="BK1767" t="s">
        <v>723</v>
      </c>
      <c r="BL1767" t="s">
        <v>5483</v>
      </c>
      <c r="BM1767" t="s">
        <v>12959</v>
      </c>
      <c r="BN1767" t="s">
        <v>74</v>
      </c>
      <c r="BO1767" t="s">
        <v>5037</v>
      </c>
      <c r="BP1767" t="s">
        <v>74</v>
      </c>
      <c r="BQ1767" t="s">
        <v>74</v>
      </c>
      <c r="BR1767" t="s">
        <v>102</v>
      </c>
      <c r="BS1767" t="s">
        <v>29928</v>
      </c>
      <c r="BT1767" t="str">
        <f>HYPERLINK("https%3A%2F%2Fwww.webofscience.com%2Fwos%2Fwoscc%2Ffull-record%2FWOS:001037809501012","View Full Record in Web of Science")</f>
        <v>View Full Record in Web of Science</v>
      </c>
    </row>
    <row r="1768" spans="1:72" x14ac:dyDescent="0.35">
      <c r="A1768" t="s">
        <v>72</v>
      </c>
      <c r="B1768" t="s">
        <v>29929</v>
      </c>
      <c r="C1768" t="s">
        <v>74</v>
      </c>
      <c r="D1768" t="s">
        <v>74</v>
      </c>
      <c r="E1768" t="s">
        <v>74</v>
      </c>
      <c r="F1768" t="s">
        <v>29930</v>
      </c>
      <c r="G1768" t="s">
        <v>74</v>
      </c>
      <c r="H1768" t="s">
        <v>74</v>
      </c>
      <c r="I1768" t="s">
        <v>29931</v>
      </c>
      <c r="J1768" t="s">
        <v>2649</v>
      </c>
      <c r="K1768" t="s">
        <v>74</v>
      </c>
      <c r="L1768" t="s">
        <v>74</v>
      </c>
      <c r="M1768" t="s">
        <v>78</v>
      </c>
      <c r="N1768" t="s">
        <v>108</v>
      </c>
      <c r="O1768" t="s">
        <v>74</v>
      </c>
      <c r="P1768" t="s">
        <v>74</v>
      </c>
      <c r="Q1768" t="s">
        <v>74</v>
      </c>
      <c r="R1768" t="s">
        <v>74</v>
      </c>
      <c r="S1768" t="s">
        <v>74</v>
      </c>
      <c r="T1768" t="s">
        <v>29932</v>
      </c>
      <c r="U1768" t="s">
        <v>29933</v>
      </c>
      <c r="V1768" t="s">
        <v>29934</v>
      </c>
      <c r="W1768" t="s">
        <v>29935</v>
      </c>
      <c r="X1768" t="s">
        <v>29936</v>
      </c>
      <c r="Y1768" t="s">
        <v>29937</v>
      </c>
      <c r="Z1768" t="s">
        <v>29938</v>
      </c>
      <c r="AA1768" t="s">
        <v>74</v>
      </c>
      <c r="AB1768" t="s">
        <v>74</v>
      </c>
      <c r="AC1768" t="s">
        <v>74</v>
      </c>
      <c r="AD1768" t="s">
        <v>74</v>
      </c>
      <c r="AE1768" t="s">
        <v>74</v>
      </c>
      <c r="AF1768" t="s">
        <v>74</v>
      </c>
      <c r="AG1768">
        <v>73</v>
      </c>
      <c r="AH1768">
        <v>1</v>
      </c>
      <c r="AI1768">
        <v>1</v>
      </c>
      <c r="AJ1768">
        <v>3</v>
      </c>
      <c r="AK1768">
        <v>5</v>
      </c>
      <c r="AL1768" t="s">
        <v>2662</v>
      </c>
      <c r="AM1768" t="s">
        <v>2663</v>
      </c>
      <c r="AN1768" t="s">
        <v>2664</v>
      </c>
      <c r="AO1768" t="s">
        <v>2665</v>
      </c>
      <c r="AP1768" t="s">
        <v>74</v>
      </c>
      <c r="AQ1768" t="s">
        <v>74</v>
      </c>
      <c r="AR1768" t="s">
        <v>2666</v>
      </c>
      <c r="AS1768" t="s">
        <v>2667</v>
      </c>
      <c r="AT1768" t="s">
        <v>74</v>
      </c>
      <c r="AU1768">
        <v>2023</v>
      </c>
      <c r="AV1768">
        <v>11</v>
      </c>
      <c r="AW1768">
        <v>3</v>
      </c>
      <c r="AX1768" t="s">
        <v>74</v>
      </c>
      <c r="AY1768" t="s">
        <v>74</v>
      </c>
      <c r="AZ1768" t="s">
        <v>74</v>
      </c>
      <c r="BA1768" t="s">
        <v>74</v>
      </c>
      <c r="BB1768">
        <v>153</v>
      </c>
      <c r="BC1768">
        <v>163</v>
      </c>
      <c r="BD1768" t="s">
        <v>74</v>
      </c>
      <c r="BE1768" t="s">
        <v>29939</v>
      </c>
      <c r="BF1768" t="str">
        <f>HYPERLINK("http://dx.doi.org/10.17645/mac.v11i3.6661","http://dx.doi.org/10.17645/mac.v11i3.6661")</f>
        <v>http://dx.doi.org/10.17645/mac.v11i3.6661</v>
      </c>
      <c r="BG1768" t="s">
        <v>74</v>
      </c>
      <c r="BH1768" t="s">
        <v>74</v>
      </c>
      <c r="BI1768">
        <v>11</v>
      </c>
      <c r="BJ1768" t="s">
        <v>124</v>
      </c>
      <c r="BK1768" t="s">
        <v>99</v>
      </c>
      <c r="BL1768" t="s">
        <v>124</v>
      </c>
      <c r="BM1768" t="s">
        <v>29940</v>
      </c>
      <c r="BN1768" t="s">
        <v>74</v>
      </c>
      <c r="BO1768" t="s">
        <v>394</v>
      </c>
      <c r="BP1768" t="s">
        <v>74</v>
      </c>
      <c r="BQ1768" t="s">
        <v>74</v>
      </c>
      <c r="BR1768" t="s">
        <v>102</v>
      </c>
      <c r="BS1768" t="s">
        <v>29941</v>
      </c>
      <c r="BT1768" t="str">
        <f>HYPERLINK("https%3A%2F%2Fwww.webofscience.com%2Fwos%2Fwoscc%2Ffull-record%2FWOS:001157261800004","View Full Record in Web of Science")</f>
        <v>View Full Record in Web of Science</v>
      </c>
    </row>
    <row r="1769" spans="1:72" x14ac:dyDescent="0.35">
      <c r="A1769" t="s">
        <v>72</v>
      </c>
      <c r="B1769" t="s">
        <v>29942</v>
      </c>
      <c r="C1769" t="s">
        <v>74</v>
      </c>
      <c r="D1769" t="s">
        <v>74</v>
      </c>
      <c r="E1769" t="s">
        <v>74</v>
      </c>
      <c r="F1769" t="s">
        <v>29943</v>
      </c>
      <c r="G1769" t="s">
        <v>74</v>
      </c>
      <c r="H1769" t="s">
        <v>74</v>
      </c>
      <c r="I1769" t="s">
        <v>29944</v>
      </c>
      <c r="J1769" t="s">
        <v>29945</v>
      </c>
      <c r="K1769" t="s">
        <v>74</v>
      </c>
      <c r="L1769" t="s">
        <v>74</v>
      </c>
      <c r="M1769" t="s">
        <v>78</v>
      </c>
      <c r="N1769" t="s">
        <v>108</v>
      </c>
      <c r="O1769" t="s">
        <v>74</v>
      </c>
      <c r="P1769" t="s">
        <v>74</v>
      </c>
      <c r="Q1769" t="s">
        <v>74</v>
      </c>
      <c r="R1769" t="s">
        <v>74</v>
      </c>
      <c r="S1769" t="s">
        <v>74</v>
      </c>
      <c r="T1769" t="s">
        <v>29946</v>
      </c>
      <c r="U1769" t="s">
        <v>74</v>
      </c>
      <c r="V1769" t="s">
        <v>29947</v>
      </c>
      <c r="W1769" t="s">
        <v>29948</v>
      </c>
      <c r="X1769" t="s">
        <v>3998</v>
      </c>
      <c r="Y1769" t="s">
        <v>29949</v>
      </c>
      <c r="Z1769" t="s">
        <v>29950</v>
      </c>
      <c r="AA1769" t="s">
        <v>74</v>
      </c>
      <c r="AB1769" t="s">
        <v>29951</v>
      </c>
      <c r="AC1769" t="s">
        <v>74</v>
      </c>
      <c r="AD1769" t="s">
        <v>74</v>
      </c>
      <c r="AE1769" t="s">
        <v>74</v>
      </c>
      <c r="AF1769" t="s">
        <v>74</v>
      </c>
      <c r="AG1769">
        <v>52</v>
      </c>
      <c r="AH1769">
        <v>0</v>
      </c>
      <c r="AI1769">
        <v>0</v>
      </c>
      <c r="AJ1769">
        <v>0</v>
      </c>
      <c r="AK1769">
        <v>12</v>
      </c>
      <c r="AL1769" t="s">
        <v>88</v>
      </c>
      <c r="AM1769" t="s">
        <v>89</v>
      </c>
      <c r="AN1769" t="s">
        <v>90</v>
      </c>
      <c r="AO1769" t="s">
        <v>29952</v>
      </c>
      <c r="AP1769" t="s">
        <v>29953</v>
      </c>
      <c r="AQ1769" t="s">
        <v>74</v>
      </c>
      <c r="AR1769" t="s">
        <v>29954</v>
      </c>
      <c r="AS1769" t="s">
        <v>29955</v>
      </c>
      <c r="AT1769" t="s">
        <v>1001</v>
      </c>
      <c r="AU1769">
        <v>2023</v>
      </c>
      <c r="AV1769">
        <v>32</v>
      </c>
      <c r="AW1769">
        <v>2</v>
      </c>
      <c r="AX1769" t="s">
        <v>74</v>
      </c>
      <c r="AY1769" t="s">
        <v>74</v>
      </c>
      <c r="AZ1769" t="s">
        <v>74</v>
      </c>
      <c r="BA1769" t="s">
        <v>74</v>
      </c>
      <c r="BB1769">
        <v>240</v>
      </c>
      <c r="BC1769">
        <v>258</v>
      </c>
      <c r="BD1769" t="s">
        <v>74</v>
      </c>
      <c r="BE1769" t="s">
        <v>29956</v>
      </c>
      <c r="BF1769" t="str">
        <f>HYPERLINK("http://dx.doi.org/10.1080/13600834.2022.2138179","http://dx.doi.org/10.1080/13600834.2022.2138179")</f>
        <v>http://dx.doi.org/10.1080/13600834.2022.2138179</v>
      </c>
      <c r="BG1769" t="s">
        <v>74</v>
      </c>
      <c r="BH1769" t="s">
        <v>2034</v>
      </c>
      <c r="BI1769">
        <v>19</v>
      </c>
      <c r="BJ1769" t="s">
        <v>10320</v>
      </c>
      <c r="BK1769" t="s">
        <v>125</v>
      </c>
      <c r="BL1769" t="s">
        <v>8015</v>
      </c>
      <c r="BM1769" t="s">
        <v>29957</v>
      </c>
      <c r="BN1769" t="s">
        <v>74</v>
      </c>
      <c r="BO1769" t="s">
        <v>74</v>
      </c>
      <c r="BP1769" t="s">
        <v>74</v>
      </c>
      <c r="BQ1769" t="s">
        <v>74</v>
      </c>
      <c r="BR1769" t="s">
        <v>102</v>
      </c>
      <c r="BS1769" t="s">
        <v>29958</v>
      </c>
      <c r="BT1769" t="str">
        <f>HYPERLINK("https%3A%2F%2Fwww.webofscience.com%2Fwos%2Fwoscc%2Ffull-record%2FWOS:000876061500001","View Full Record in Web of Science")</f>
        <v>View Full Record in Web of Science</v>
      </c>
    </row>
    <row r="1770" spans="1:72" x14ac:dyDescent="0.35">
      <c r="A1770" t="s">
        <v>72</v>
      </c>
      <c r="B1770" t="s">
        <v>29959</v>
      </c>
      <c r="C1770" t="s">
        <v>74</v>
      </c>
      <c r="D1770" t="s">
        <v>74</v>
      </c>
      <c r="E1770" t="s">
        <v>74</v>
      </c>
      <c r="F1770" t="s">
        <v>29960</v>
      </c>
      <c r="G1770" t="s">
        <v>74</v>
      </c>
      <c r="H1770" t="s">
        <v>74</v>
      </c>
      <c r="I1770" t="s">
        <v>29961</v>
      </c>
      <c r="J1770" t="s">
        <v>216</v>
      </c>
      <c r="K1770" t="s">
        <v>74</v>
      </c>
      <c r="L1770" t="s">
        <v>74</v>
      </c>
      <c r="M1770" t="s">
        <v>78</v>
      </c>
      <c r="N1770" t="s">
        <v>108</v>
      </c>
      <c r="O1770" t="s">
        <v>74</v>
      </c>
      <c r="P1770" t="s">
        <v>74</v>
      </c>
      <c r="Q1770" t="s">
        <v>74</v>
      </c>
      <c r="R1770" t="s">
        <v>74</v>
      </c>
      <c r="S1770" t="s">
        <v>74</v>
      </c>
      <c r="T1770" t="s">
        <v>29962</v>
      </c>
      <c r="U1770" t="s">
        <v>29963</v>
      </c>
      <c r="V1770" t="s">
        <v>29964</v>
      </c>
      <c r="W1770" t="s">
        <v>29965</v>
      </c>
      <c r="X1770" t="s">
        <v>9344</v>
      </c>
      <c r="Y1770" t="s">
        <v>29966</v>
      </c>
      <c r="Z1770" t="s">
        <v>29967</v>
      </c>
      <c r="AA1770" t="s">
        <v>74</v>
      </c>
      <c r="AB1770" t="s">
        <v>74</v>
      </c>
      <c r="AC1770" t="s">
        <v>29968</v>
      </c>
      <c r="AD1770" t="s">
        <v>29968</v>
      </c>
      <c r="AE1770" t="s">
        <v>29969</v>
      </c>
      <c r="AF1770" t="s">
        <v>74</v>
      </c>
      <c r="AG1770">
        <v>68</v>
      </c>
      <c r="AH1770">
        <v>3</v>
      </c>
      <c r="AI1770">
        <v>3</v>
      </c>
      <c r="AJ1770">
        <v>14</v>
      </c>
      <c r="AK1770">
        <v>40</v>
      </c>
      <c r="AL1770" t="s">
        <v>226</v>
      </c>
      <c r="AM1770" t="s">
        <v>227</v>
      </c>
      <c r="AN1770" t="s">
        <v>228</v>
      </c>
      <c r="AO1770" t="s">
        <v>229</v>
      </c>
      <c r="AP1770" t="s">
        <v>74</v>
      </c>
      <c r="AQ1770" t="s">
        <v>74</v>
      </c>
      <c r="AR1770" t="s">
        <v>230</v>
      </c>
      <c r="AS1770" t="s">
        <v>231</v>
      </c>
      <c r="AT1770" t="s">
        <v>273</v>
      </c>
      <c r="AU1770">
        <v>2023</v>
      </c>
      <c r="AV1770">
        <v>9</v>
      </c>
      <c r="AW1770">
        <v>3</v>
      </c>
      <c r="AX1770" t="s">
        <v>74</v>
      </c>
      <c r="AY1770" t="s">
        <v>74</v>
      </c>
      <c r="AZ1770" t="s">
        <v>74</v>
      </c>
      <c r="BA1770" t="s">
        <v>74</v>
      </c>
      <c r="BB1770" t="s">
        <v>74</v>
      </c>
      <c r="BC1770" t="s">
        <v>74</v>
      </c>
      <c r="BD1770">
        <v>2.0563051231193028E+16</v>
      </c>
      <c r="BE1770" t="s">
        <v>29970</v>
      </c>
      <c r="BF1770" t="str">
        <f>HYPERLINK("http://dx.doi.org/10.1177/20563051231193027","http://dx.doi.org/10.1177/20563051231193027")</f>
        <v>http://dx.doi.org/10.1177/20563051231193027</v>
      </c>
      <c r="BG1770" t="s">
        <v>74</v>
      </c>
      <c r="BH1770" t="s">
        <v>74</v>
      </c>
      <c r="BI1770">
        <v>12</v>
      </c>
      <c r="BJ1770" t="s">
        <v>124</v>
      </c>
      <c r="BK1770" t="s">
        <v>99</v>
      </c>
      <c r="BL1770" t="s">
        <v>124</v>
      </c>
      <c r="BM1770" t="s">
        <v>29971</v>
      </c>
      <c r="BN1770" t="s">
        <v>74</v>
      </c>
      <c r="BO1770" t="s">
        <v>235</v>
      </c>
      <c r="BP1770" t="s">
        <v>74</v>
      </c>
      <c r="BQ1770" t="s">
        <v>74</v>
      </c>
      <c r="BR1770" t="s">
        <v>102</v>
      </c>
      <c r="BS1770" t="s">
        <v>29972</v>
      </c>
      <c r="BT1770" t="str">
        <f>HYPERLINK("https%3A%2F%2Fwww.webofscience.com%2Fwos%2Fwoscc%2Ffull-record%2FWOS:001057321900001","View Full Record in Web of Science")</f>
        <v>View Full Record in Web of Science</v>
      </c>
    </row>
    <row r="1771" spans="1:72" x14ac:dyDescent="0.35">
      <c r="A1771" t="s">
        <v>72</v>
      </c>
      <c r="B1771" t="s">
        <v>29973</v>
      </c>
      <c r="C1771" t="s">
        <v>74</v>
      </c>
      <c r="D1771" t="s">
        <v>74</v>
      </c>
      <c r="E1771" t="s">
        <v>74</v>
      </c>
      <c r="F1771" t="s">
        <v>29974</v>
      </c>
      <c r="G1771" t="s">
        <v>74</v>
      </c>
      <c r="H1771" t="s">
        <v>74</v>
      </c>
      <c r="I1771" t="s">
        <v>29975</v>
      </c>
      <c r="J1771" t="s">
        <v>438</v>
      </c>
      <c r="K1771" t="s">
        <v>74</v>
      </c>
      <c r="L1771" t="s">
        <v>74</v>
      </c>
      <c r="M1771" t="s">
        <v>78</v>
      </c>
      <c r="N1771" t="s">
        <v>79</v>
      </c>
      <c r="O1771" t="s">
        <v>74</v>
      </c>
      <c r="P1771" t="s">
        <v>74</v>
      </c>
      <c r="Q1771" t="s">
        <v>74</v>
      </c>
      <c r="R1771" t="s">
        <v>74</v>
      </c>
      <c r="S1771" t="s">
        <v>74</v>
      </c>
      <c r="T1771" t="s">
        <v>29976</v>
      </c>
      <c r="U1771" t="s">
        <v>29977</v>
      </c>
      <c r="V1771" t="s">
        <v>29978</v>
      </c>
      <c r="W1771" t="s">
        <v>29979</v>
      </c>
      <c r="X1771" t="s">
        <v>29980</v>
      </c>
      <c r="Y1771" t="s">
        <v>29981</v>
      </c>
      <c r="Z1771" t="s">
        <v>29982</v>
      </c>
      <c r="AA1771" t="s">
        <v>29983</v>
      </c>
      <c r="AB1771" t="s">
        <v>29984</v>
      </c>
      <c r="AC1771" t="s">
        <v>74</v>
      </c>
      <c r="AD1771" t="s">
        <v>74</v>
      </c>
      <c r="AE1771" t="s">
        <v>74</v>
      </c>
      <c r="AF1771" t="s">
        <v>74</v>
      </c>
      <c r="AG1771">
        <v>59</v>
      </c>
      <c r="AH1771">
        <v>0</v>
      </c>
      <c r="AI1771">
        <v>0</v>
      </c>
      <c r="AJ1771">
        <v>14</v>
      </c>
      <c r="AK1771">
        <v>14</v>
      </c>
      <c r="AL1771" t="s">
        <v>226</v>
      </c>
      <c r="AM1771" t="s">
        <v>227</v>
      </c>
      <c r="AN1771" t="s">
        <v>228</v>
      </c>
      <c r="AO1771" t="s">
        <v>451</v>
      </c>
      <c r="AP1771" t="s">
        <v>452</v>
      </c>
      <c r="AQ1771" t="s">
        <v>74</v>
      </c>
      <c r="AR1771" t="s">
        <v>453</v>
      </c>
      <c r="AS1771" t="s">
        <v>454</v>
      </c>
      <c r="AT1771" t="s">
        <v>29985</v>
      </c>
      <c r="AU1771">
        <v>2024</v>
      </c>
      <c r="AV1771" t="s">
        <v>74</v>
      </c>
      <c r="AW1771" t="s">
        <v>74</v>
      </c>
      <c r="AX1771" t="s">
        <v>74</v>
      </c>
      <c r="AY1771" t="s">
        <v>74</v>
      </c>
      <c r="AZ1771" t="s">
        <v>74</v>
      </c>
      <c r="BA1771" t="s">
        <v>74</v>
      </c>
      <c r="BB1771" t="s">
        <v>74</v>
      </c>
      <c r="BC1771" t="s">
        <v>74</v>
      </c>
      <c r="BD1771" t="s">
        <v>74</v>
      </c>
      <c r="BE1771" t="s">
        <v>29986</v>
      </c>
      <c r="BF1771" t="str">
        <f>HYPERLINK("http://dx.doi.org/10.1177/14614448241266984","http://dx.doi.org/10.1177/14614448241266984")</f>
        <v>http://dx.doi.org/10.1177/14614448241266984</v>
      </c>
      <c r="BG1771" t="s">
        <v>74</v>
      </c>
      <c r="BH1771" t="s">
        <v>478</v>
      </c>
      <c r="BI1771">
        <v>17</v>
      </c>
      <c r="BJ1771" t="s">
        <v>124</v>
      </c>
      <c r="BK1771" t="s">
        <v>99</v>
      </c>
      <c r="BL1771" t="s">
        <v>124</v>
      </c>
      <c r="BM1771" t="s">
        <v>29987</v>
      </c>
      <c r="BN1771" t="s">
        <v>74</v>
      </c>
      <c r="BO1771" t="s">
        <v>74</v>
      </c>
      <c r="BP1771" t="s">
        <v>74</v>
      </c>
      <c r="BQ1771" t="s">
        <v>74</v>
      </c>
      <c r="BR1771" t="s">
        <v>102</v>
      </c>
      <c r="BS1771" t="s">
        <v>29988</v>
      </c>
      <c r="BT1771" t="str">
        <f>HYPERLINK("https%3A%2F%2Fwww.webofscience.com%2Fwos%2Fwoscc%2Ffull-record%2FWOS:001278046200001","View Full Record in Web of Science")</f>
        <v>View Full Record in Web of Science</v>
      </c>
    </row>
    <row r="1772" spans="1:72" x14ac:dyDescent="0.35">
      <c r="A1772" t="s">
        <v>72</v>
      </c>
      <c r="B1772" t="s">
        <v>29989</v>
      </c>
      <c r="C1772" t="s">
        <v>74</v>
      </c>
      <c r="D1772" t="s">
        <v>74</v>
      </c>
      <c r="E1772" t="s">
        <v>74</v>
      </c>
      <c r="F1772" t="s">
        <v>29990</v>
      </c>
      <c r="G1772" t="s">
        <v>74</v>
      </c>
      <c r="H1772" t="s">
        <v>74</v>
      </c>
      <c r="I1772" t="s">
        <v>29991</v>
      </c>
      <c r="J1772" t="s">
        <v>29992</v>
      </c>
      <c r="K1772" t="s">
        <v>74</v>
      </c>
      <c r="L1772" t="s">
        <v>74</v>
      </c>
      <c r="M1772" t="s">
        <v>78</v>
      </c>
      <c r="N1772" t="s">
        <v>79</v>
      </c>
      <c r="O1772" t="s">
        <v>74</v>
      </c>
      <c r="P1772" t="s">
        <v>74</v>
      </c>
      <c r="Q1772" t="s">
        <v>74</v>
      </c>
      <c r="R1772" t="s">
        <v>74</v>
      </c>
      <c r="S1772" t="s">
        <v>74</v>
      </c>
      <c r="T1772" t="s">
        <v>29993</v>
      </c>
      <c r="U1772" t="s">
        <v>29994</v>
      </c>
      <c r="V1772" t="s">
        <v>29995</v>
      </c>
      <c r="W1772" t="s">
        <v>29996</v>
      </c>
      <c r="X1772" t="s">
        <v>29997</v>
      </c>
      <c r="Y1772" t="s">
        <v>29998</v>
      </c>
      <c r="Z1772" t="s">
        <v>29999</v>
      </c>
      <c r="AA1772" t="s">
        <v>30000</v>
      </c>
      <c r="AB1772" t="s">
        <v>30001</v>
      </c>
      <c r="AC1772" t="s">
        <v>74</v>
      </c>
      <c r="AD1772" t="s">
        <v>74</v>
      </c>
      <c r="AE1772" t="s">
        <v>74</v>
      </c>
      <c r="AF1772" t="s">
        <v>74</v>
      </c>
      <c r="AG1772">
        <v>57</v>
      </c>
      <c r="AH1772">
        <v>1</v>
      </c>
      <c r="AI1772">
        <v>1</v>
      </c>
      <c r="AJ1772">
        <v>10</v>
      </c>
      <c r="AK1772">
        <v>10</v>
      </c>
      <c r="AL1772" t="s">
        <v>88</v>
      </c>
      <c r="AM1772" t="s">
        <v>89</v>
      </c>
      <c r="AN1772" t="s">
        <v>90</v>
      </c>
      <c r="AO1772" t="s">
        <v>30002</v>
      </c>
      <c r="AP1772" t="s">
        <v>30003</v>
      </c>
      <c r="AQ1772" t="s">
        <v>74</v>
      </c>
      <c r="AR1772" t="s">
        <v>30004</v>
      </c>
      <c r="AS1772" t="s">
        <v>30005</v>
      </c>
      <c r="AT1772" t="s">
        <v>5556</v>
      </c>
      <c r="AU1772">
        <v>2024</v>
      </c>
      <c r="AV1772" t="s">
        <v>74</v>
      </c>
      <c r="AW1772" t="s">
        <v>74</v>
      </c>
      <c r="AX1772" t="s">
        <v>74</v>
      </c>
      <c r="AY1772" t="s">
        <v>74</v>
      </c>
      <c r="AZ1772" t="s">
        <v>74</v>
      </c>
      <c r="BA1772" t="s">
        <v>74</v>
      </c>
      <c r="BB1772" t="s">
        <v>74</v>
      </c>
      <c r="BC1772" t="s">
        <v>74</v>
      </c>
      <c r="BD1772" t="s">
        <v>74</v>
      </c>
      <c r="BE1772" t="s">
        <v>30006</v>
      </c>
      <c r="BF1772" t="str">
        <f>HYPERLINK("http://dx.doi.org/10.1080/02699931.2024.2363413","http://dx.doi.org/10.1080/02699931.2024.2363413")</f>
        <v>http://dx.doi.org/10.1080/02699931.2024.2363413</v>
      </c>
      <c r="BG1772" t="s">
        <v>74</v>
      </c>
      <c r="BH1772" t="s">
        <v>500</v>
      </c>
      <c r="BI1772">
        <v>10</v>
      </c>
      <c r="BJ1772" t="s">
        <v>525</v>
      </c>
      <c r="BK1772" t="s">
        <v>99</v>
      </c>
      <c r="BL1772" t="s">
        <v>301</v>
      </c>
      <c r="BM1772" t="s">
        <v>30007</v>
      </c>
      <c r="BN1772" t="s">
        <v>74</v>
      </c>
      <c r="BO1772" t="s">
        <v>74</v>
      </c>
      <c r="BP1772" t="s">
        <v>74</v>
      </c>
      <c r="BQ1772" t="s">
        <v>74</v>
      </c>
      <c r="BR1772" t="s">
        <v>102</v>
      </c>
      <c r="BS1772" t="s">
        <v>30008</v>
      </c>
      <c r="BT1772" t="str">
        <f>HYPERLINK("https%3A%2F%2Fwww.webofscience.com%2Fwos%2Fwoscc%2Ffull-record%2FWOS:001247670400001","View Full Record in Web of Science")</f>
        <v>View Full Record in Web of Science</v>
      </c>
    </row>
    <row r="1773" spans="1:72" x14ac:dyDescent="0.35">
      <c r="A1773" t="s">
        <v>72</v>
      </c>
      <c r="B1773" t="s">
        <v>30009</v>
      </c>
      <c r="C1773" t="s">
        <v>74</v>
      </c>
      <c r="D1773" t="s">
        <v>74</v>
      </c>
      <c r="E1773" t="s">
        <v>74</v>
      </c>
      <c r="F1773" t="s">
        <v>30010</v>
      </c>
      <c r="G1773" t="s">
        <v>74</v>
      </c>
      <c r="H1773" t="s">
        <v>74</v>
      </c>
      <c r="I1773" t="s">
        <v>30011</v>
      </c>
      <c r="J1773" t="s">
        <v>216</v>
      </c>
      <c r="K1773" t="s">
        <v>74</v>
      </c>
      <c r="L1773" t="s">
        <v>74</v>
      </c>
      <c r="M1773" t="s">
        <v>78</v>
      </c>
      <c r="N1773" t="s">
        <v>108</v>
      </c>
      <c r="O1773" t="s">
        <v>74</v>
      </c>
      <c r="P1773" t="s">
        <v>74</v>
      </c>
      <c r="Q1773" t="s">
        <v>74</v>
      </c>
      <c r="R1773" t="s">
        <v>74</v>
      </c>
      <c r="S1773" t="s">
        <v>74</v>
      </c>
      <c r="T1773" t="s">
        <v>30012</v>
      </c>
      <c r="U1773" t="s">
        <v>30013</v>
      </c>
      <c r="V1773" t="s">
        <v>30014</v>
      </c>
      <c r="W1773" t="s">
        <v>30015</v>
      </c>
      <c r="X1773" t="s">
        <v>74</v>
      </c>
      <c r="Y1773" t="s">
        <v>30016</v>
      </c>
      <c r="Z1773" t="s">
        <v>30017</v>
      </c>
      <c r="AA1773" t="s">
        <v>30018</v>
      </c>
      <c r="AB1773" t="s">
        <v>74</v>
      </c>
      <c r="AC1773" t="s">
        <v>30019</v>
      </c>
      <c r="AD1773" t="s">
        <v>30020</v>
      </c>
      <c r="AE1773" t="s">
        <v>30021</v>
      </c>
      <c r="AF1773" t="s">
        <v>74</v>
      </c>
      <c r="AG1773">
        <v>53</v>
      </c>
      <c r="AH1773">
        <v>2</v>
      </c>
      <c r="AI1773">
        <v>2</v>
      </c>
      <c r="AJ1773">
        <v>9</v>
      </c>
      <c r="AK1773">
        <v>19</v>
      </c>
      <c r="AL1773" t="s">
        <v>226</v>
      </c>
      <c r="AM1773" t="s">
        <v>227</v>
      </c>
      <c r="AN1773" t="s">
        <v>228</v>
      </c>
      <c r="AO1773" t="s">
        <v>229</v>
      </c>
      <c r="AP1773" t="s">
        <v>74</v>
      </c>
      <c r="AQ1773" t="s">
        <v>74</v>
      </c>
      <c r="AR1773" t="s">
        <v>230</v>
      </c>
      <c r="AS1773" t="s">
        <v>231</v>
      </c>
      <c r="AT1773" t="s">
        <v>273</v>
      </c>
      <c r="AU1773">
        <v>2023</v>
      </c>
      <c r="AV1773">
        <v>9</v>
      </c>
      <c r="AW1773">
        <v>3</v>
      </c>
      <c r="AX1773" t="s">
        <v>74</v>
      </c>
      <c r="AY1773" t="s">
        <v>74</v>
      </c>
      <c r="AZ1773" t="s">
        <v>74</v>
      </c>
      <c r="BA1773" t="s">
        <v>74</v>
      </c>
      <c r="BB1773" t="s">
        <v>74</v>
      </c>
      <c r="BC1773" t="s">
        <v>74</v>
      </c>
      <c r="BD1773">
        <v>2.0563051231196868E+16</v>
      </c>
      <c r="BE1773" t="s">
        <v>30022</v>
      </c>
      <c r="BF1773" t="str">
        <f>HYPERLINK("http://dx.doi.org/10.1177/20563051231196868","http://dx.doi.org/10.1177/20563051231196868")</f>
        <v>http://dx.doi.org/10.1177/20563051231196868</v>
      </c>
      <c r="BG1773" t="s">
        <v>74</v>
      </c>
      <c r="BH1773" t="s">
        <v>74</v>
      </c>
      <c r="BI1773">
        <v>12</v>
      </c>
      <c r="BJ1773" t="s">
        <v>124</v>
      </c>
      <c r="BK1773" t="s">
        <v>99</v>
      </c>
      <c r="BL1773" t="s">
        <v>124</v>
      </c>
      <c r="BM1773" t="s">
        <v>30023</v>
      </c>
      <c r="BN1773" t="s">
        <v>74</v>
      </c>
      <c r="BO1773" t="s">
        <v>235</v>
      </c>
      <c r="BP1773" t="s">
        <v>74</v>
      </c>
      <c r="BQ1773" t="s">
        <v>74</v>
      </c>
      <c r="BR1773" t="s">
        <v>102</v>
      </c>
      <c r="BS1773" t="s">
        <v>30024</v>
      </c>
      <c r="BT1773" t="str">
        <f>HYPERLINK("https%3A%2F%2Fwww.webofscience.com%2Fwos%2Fwoscc%2Ffull-record%2FWOS:001069617500001","View Full Record in Web of Science")</f>
        <v>View Full Record in Web of Science</v>
      </c>
    </row>
    <row r="1774" spans="1:72" x14ac:dyDescent="0.35">
      <c r="A1774" t="s">
        <v>72</v>
      </c>
      <c r="B1774" t="s">
        <v>30025</v>
      </c>
      <c r="C1774" t="s">
        <v>74</v>
      </c>
      <c r="D1774" t="s">
        <v>74</v>
      </c>
      <c r="E1774" t="s">
        <v>74</v>
      </c>
      <c r="F1774" t="s">
        <v>30026</v>
      </c>
      <c r="G1774" t="s">
        <v>74</v>
      </c>
      <c r="H1774" t="s">
        <v>74</v>
      </c>
      <c r="I1774" t="s">
        <v>30027</v>
      </c>
      <c r="J1774" t="s">
        <v>30028</v>
      </c>
      <c r="K1774" t="s">
        <v>74</v>
      </c>
      <c r="L1774" t="s">
        <v>74</v>
      </c>
      <c r="M1774" t="s">
        <v>78</v>
      </c>
      <c r="N1774" t="s">
        <v>108</v>
      </c>
      <c r="O1774" t="s">
        <v>74</v>
      </c>
      <c r="P1774" t="s">
        <v>74</v>
      </c>
      <c r="Q1774" t="s">
        <v>74</v>
      </c>
      <c r="R1774" t="s">
        <v>74</v>
      </c>
      <c r="S1774" t="s">
        <v>74</v>
      </c>
      <c r="T1774" t="s">
        <v>30029</v>
      </c>
      <c r="U1774" t="s">
        <v>30030</v>
      </c>
      <c r="V1774" t="s">
        <v>30031</v>
      </c>
      <c r="W1774" t="s">
        <v>30032</v>
      </c>
      <c r="X1774" t="s">
        <v>30033</v>
      </c>
      <c r="Y1774" t="s">
        <v>30034</v>
      </c>
      <c r="Z1774" t="s">
        <v>30035</v>
      </c>
      <c r="AA1774" t="s">
        <v>30036</v>
      </c>
      <c r="AB1774" t="s">
        <v>30037</v>
      </c>
      <c r="AC1774" t="s">
        <v>74</v>
      </c>
      <c r="AD1774" t="s">
        <v>74</v>
      </c>
      <c r="AE1774" t="s">
        <v>74</v>
      </c>
      <c r="AF1774" t="s">
        <v>74</v>
      </c>
      <c r="AG1774">
        <v>45</v>
      </c>
      <c r="AH1774">
        <v>2</v>
      </c>
      <c r="AI1774">
        <v>3</v>
      </c>
      <c r="AJ1774">
        <v>2</v>
      </c>
      <c r="AK1774">
        <v>4</v>
      </c>
      <c r="AL1774" t="s">
        <v>516</v>
      </c>
      <c r="AM1774" t="s">
        <v>517</v>
      </c>
      <c r="AN1774" t="s">
        <v>518</v>
      </c>
      <c r="AO1774" t="s">
        <v>30038</v>
      </c>
      <c r="AP1774" t="s">
        <v>30039</v>
      </c>
      <c r="AQ1774" t="s">
        <v>74</v>
      </c>
      <c r="AR1774" t="s">
        <v>30040</v>
      </c>
      <c r="AS1774" t="s">
        <v>30041</v>
      </c>
      <c r="AT1774" t="s">
        <v>1484</v>
      </c>
      <c r="AU1774">
        <v>2023</v>
      </c>
      <c r="AV1774">
        <v>179</v>
      </c>
      <c r="AW1774" t="s">
        <v>74</v>
      </c>
      <c r="AX1774" t="s">
        <v>74</v>
      </c>
      <c r="AY1774" t="s">
        <v>74</v>
      </c>
      <c r="AZ1774" t="s">
        <v>74</v>
      </c>
      <c r="BA1774" t="s">
        <v>74</v>
      </c>
      <c r="BB1774" t="s">
        <v>74</v>
      </c>
      <c r="BC1774" t="s">
        <v>74</v>
      </c>
      <c r="BD1774">
        <v>107647</v>
      </c>
      <c r="BE1774" t="s">
        <v>30042</v>
      </c>
      <c r="BF1774" t="str">
        <f>HYPERLINK("http://dx.doi.org/10.1016/j.csda.2022.107647","http://dx.doi.org/10.1016/j.csda.2022.107647")</f>
        <v>http://dx.doi.org/10.1016/j.csda.2022.107647</v>
      </c>
      <c r="BG1774" t="s">
        <v>74</v>
      </c>
      <c r="BH1774" t="s">
        <v>366</v>
      </c>
      <c r="BI1774">
        <v>13</v>
      </c>
      <c r="BJ1774" t="s">
        <v>30043</v>
      </c>
      <c r="BK1774" t="s">
        <v>209</v>
      </c>
      <c r="BL1774" t="s">
        <v>30044</v>
      </c>
      <c r="BM1774" t="s">
        <v>30045</v>
      </c>
      <c r="BN1774" t="s">
        <v>74</v>
      </c>
      <c r="BO1774" t="s">
        <v>767</v>
      </c>
      <c r="BP1774" t="s">
        <v>74</v>
      </c>
      <c r="BQ1774" t="s">
        <v>74</v>
      </c>
      <c r="BR1774" t="s">
        <v>102</v>
      </c>
      <c r="BS1774" t="s">
        <v>30046</v>
      </c>
      <c r="BT1774" t="str">
        <f>HYPERLINK("https%3A%2F%2Fwww.webofscience.com%2Fwos%2Fwoscc%2Ffull-record%2FWOS:001017682100001","View Full Record in Web of Science")</f>
        <v>View Full Record in Web of Science</v>
      </c>
    </row>
    <row r="1775" spans="1:72" x14ac:dyDescent="0.35">
      <c r="A1775" t="s">
        <v>72</v>
      </c>
      <c r="B1775" t="s">
        <v>30047</v>
      </c>
      <c r="C1775" t="s">
        <v>74</v>
      </c>
      <c r="D1775" t="s">
        <v>74</v>
      </c>
      <c r="E1775" t="s">
        <v>74</v>
      </c>
      <c r="F1775" t="s">
        <v>30048</v>
      </c>
      <c r="G1775" t="s">
        <v>74</v>
      </c>
      <c r="H1775" t="s">
        <v>74</v>
      </c>
      <c r="I1775" t="s">
        <v>30049</v>
      </c>
      <c r="J1775" t="s">
        <v>12578</v>
      </c>
      <c r="K1775" t="s">
        <v>74</v>
      </c>
      <c r="L1775" t="s">
        <v>74</v>
      </c>
      <c r="M1775" t="s">
        <v>78</v>
      </c>
      <c r="N1775" t="s">
        <v>108</v>
      </c>
      <c r="O1775" t="s">
        <v>74</v>
      </c>
      <c r="P1775" t="s">
        <v>74</v>
      </c>
      <c r="Q1775" t="s">
        <v>74</v>
      </c>
      <c r="R1775" t="s">
        <v>74</v>
      </c>
      <c r="S1775" t="s">
        <v>74</v>
      </c>
      <c r="T1775" t="s">
        <v>74</v>
      </c>
      <c r="U1775" t="s">
        <v>30050</v>
      </c>
      <c r="V1775" t="s">
        <v>30051</v>
      </c>
      <c r="W1775" t="s">
        <v>30052</v>
      </c>
      <c r="X1775" t="s">
        <v>1438</v>
      </c>
      <c r="Y1775" t="s">
        <v>30053</v>
      </c>
      <c r="Z1775" t="s">
        <v>30054</v>
      </c>
      <c r="AA1775" t="s">
        <v>30055</v>
      </c>
      <c r="AB1775" t="s">
        <v>30056</v>
      </c>
      <c r="AC1775" t="s">
        <v>30057</v>
      </c>
      <c r="AD1775" t="s">
        <v>30057</v>
      </c>
      <c r="AE1775" t="s">
        <v>30058</v>
      </c>
      <c r="AF1775" t="s">
        <v>74</v>
      </c>
      <c r="AG1775">
        <v>58</v>
      </c>
      <c r="AH1775">
        <v>8</v>
      </c>
      <c r="AI1775">
        <v>8</v>
      </c>
      <c r="AJ1775">
        <v>23</v>
      </c>
      <c r="AK1775">
        <v>52</v>
      </c>
      <c r="AL1775" t="s">
        <v>12586</v>
      </c>
      <c r="AM1775" t="s">
        <v>4435</v>
      </c>
      <c r="AN1775" t="s">
        <v>12587</v>
      </c>
      <c r="AO1775" t="s">
        <v>12588</v>
      </c>
      <c r="AP1775" t="s">
        <v>74</v>
      </c>
      <c r="AQ1775" t="s">
        <v>74</v>
      </c>
      <c r="AR1775" t="s">
        <v>12589</v>
      </c>
      <c r="AS1775" t="s">
        <v>12590</v>
      </c>
      <c r="AT1775" t="s">
        <v>11987</v>
      </c>
      <c r="AU1775">
        <v>2024</v>
      </c>
      <c r="AV1775">
        <v>14</v>
      </c>
      <c r="AW1775">
        <v>1</v>
      </c>
      <c r="AX1775" t="s">
        <v>74</v>
      </c>
      <c r="AY1775" t="s">
        <v>74</v>
      </c>
      <c r="AZ1775" t="s">
        <v>74</v>
      </c>
      <c r="BA1775" t="s">
        <v>74</v>
      </c>
      <c r="BB1775" t="s">
        <v>74</v>
      </c>
      <c r="BC1775" t="s">
        <v>74</v>
      </c>
      <c r="BD1775">
        <v>2097</v>
      </c>
      <c r="BE1775" t="s">
        <v>30059</v>
      </c>
      <c r="BF1775" t="str">
        <f>HYPERLINK("http://dx.doi.org/10.1038/s41598-023-50591-6","http://dx.doi.org/10.1038/s41598-023-50591-6")</f>
        <v>http://dx.doi.org/10.1038/s41598-023-50591-6</v>
      </c>
      <c r="BG1775" t="s">
        <v>74</v>
      </c>
      <c r="BH1775" t="s">
        <v>74</v>
      </c>
      <c r="BI1775">
        <v>12</v>
      </c>
      <c r="BJ1775" t="s">
        <v>1301</v>
      </c>
      <c r="BK1775" t="s">
        <v>209</v>
      </c>
      <c r="BL1775" t="s">
        <v>1302</v>
      </c>
      <c r="BM1775" t="s">
        <v>30060</v>
      </c>
      <c r="BN1775">
        <v>38355774</v>
      </c>
      <c r="BO1775" t="s">
        <v>394</v>
      </c>
      <c r="BP1775" t="s">
        <v>74</v>
      </c>
      <c r="BQ1775" t="s">
        <v>74</v>
      </c>
      <c r="BR1775" t="s">
        <v>102</v>
      </c>
      <c r="BS1775" t="s">
        <v>30061</v>
      </c>
      <c r="BT1775" t="str">
        <f>HYPERLINK("https%3A%2F%2Fwww.webofscience.com%2Fwos%2Fwoscc%2Ffull-record%2FWOS:001162688600001","View Full Record in Web of Science")</f>
        <v>View Full Record in Web of Science</v>
      </c>
    </row>
    <row r="1776" spans="1:72" x14ac:dyDescent="0.35">
      <c r="A1776" t="s">
        <v>72</v>
      </c>
      <c r="B1776" t="s">
        <v>30062</v>
      </c>
      <c r="C1776" t="s">
        <v>74</v>
      </c>
      <c r="D1776" t="s">
        <v>74</v>
      </c>
      <c r="E1776" t="s">
        <v>74</v>
      </c>
      <c r="F1776" t="s">
        <v>30063</v>
      </c>
      <c r="G1776" t="s">
        <v>74</v>
      </c>
      <c r="H1776" t="s">
        <v>74</v>
      </c>
      <c r="I1776" t="s">
        <v>30064</v>
      </c>
      <c r="J1776" t="s">
        <v>30065</v>
      </c>
      <c r="K1776" t="s">
        <v>74</v>
      </c>
      <c r="L1776" t="s">
        <v>74</v>
      </c>
      <c r="M1776" t="s">
        <v>78</v>
      </c>
      <c r="N1776" t="s">
        <v>108</v>
      </c>
      <c r="O1776" t="s">
        <v>74</v>
      </c>
      <c r="P1776" t="s">
        <v>74</v>
      </c>
      <c r="Q1776" t="s">
        <v>74</v>
      </c>
      <c r="R1776" t="s">
        <v>74</v>
      </c>
      <c r="S1776" t="s">
        <v>74</v>
      </c>
      <c r="T1776" t="s">
        <v>30066</v>
      </c>
      <c r="U1776" t="s">
        <v>218</v>
      </c>
      <c r="V1776" t="s">
        <v>30067</v>
      </c>
      <c r="W1776" t="s">
        <v>30068</v>
      </c>
      <c r="X1776" t="s">
        <v>30069</v>
      </c>
      <c r="Y1776" t="s">
        <v>30070</v>
      </c>
      <c r="Z1776" t="s">
        <v>30071</v>
      </c>
      <c r="AA1776" t="s">
        <v>74</v>
      </c>
      <c r="AB1776" t="s">
        <v>74</v>
      </c>
      <c r="AC1776" t="s">
        <v>30072</v>
      </c>
      <c r="AD1776" t="s">
        <v>30072</v>
      </c>
      <c r="AE1776" t="s">
        <v>30073</v>
      </c>
      <c r="AF1776" t="s">
        <v>74</v>
      </c>
      <c r="AG1776">
        <v>34</v>
      </c>
      <c r="AH1776">
        <v>2</v>
      </c>
      <c r="AI1776">
        <v>2</v>
      </c>
      <c r="AJ1776">
        <v>2</v>
      </c>
      <c r="AK1776">
        <v>4</v>
      </c>
      <c r="AL1776" t="s">
        <v>30074</v>
      </c>
      <c r="AM1776" t="s">
        <v>30075</v>
      </c>
      <c r="AN1776" t="s">
        <v>30076</v>
      </c>
      <c r="AO1776" t="s">
        <v>30077</v>
      </c>
      <c r="AP1776" t="s">
        <v>30078</v>
      </c>
      <c r="AQ1776" t="s">
        <v>74</v>
      </c>
      <c r="AR1776" t="s">
        <v>30079</v>
      </c>
      <c r="AS1776" t="s">
        <v>30080</v>
      </c>
      <c r="AT1776" t="s">
        <v>74</v>
      </c>
      <c r="AU1776">
        <v>2022</v>
      </c>
      <c r="AV1776">
        <v>13</v>
      </c>
      <c r="AW1776">
        <v>2</v>
      </c>
      <c r="AX1776" t="s">
        <v>74</v>
      </c>
      <c r="AY1776" t="s">
        <v>74</v>
      </c>
      <c r="AZ1776" t="s">
        <v>74</v>
      </c>
      <c r="BA1776" t="s">
        <v>74</v>
      </c>
      <c r="BB1776">
        <v>275</v>
      </c>
      <c r="BC1776">
        <v>305</v>
      </c>
      <c r="BD1776" t="s">
        <v>74</v>
      </c>
      <c r="BE1776" t="s">
        <v>30081</v>
      </c>
      <c r="BF1776" t="str">
        <f>HYPERLINK("http://dx.doi.org/10.12697/jeful.2022.13.2.09","http://dx.doi.org/10.12697/jeful.2022.13.2.09")</f>
        <v>http://dx.doi.org/10.12697/jeful.2022.13.2.09</v>
      </c>
      <c r="BG1776" t="s">
        <v>74</v>
      </c>
      <c r="BH1776" t="s">
        <v>74</v>
      </c>
      <c r="BI1776">
        <v>31</v>
      </c>
      <c r="BJ1776" t="s">
        <v>3284</v>
      </c>
      <c r="BK1776" t="s">
        <v>125</v>
      </c>
      <c r="BL1776" t="s">
        <v>3285</v>
      </c>
      <c r="BM1776" t="s">
        <v>30082</v>
      </c>
      <c r="BN1776" t="s">
        <v>74</v>
      </c>
      <c r="BO1776" t="s">
        <v>235</v>
      </c>
      <c r="BP1776" t="s">
        <v>74</v>
      </c>
      <c r="BQ1776" t="s">
        <v>74</v>
      </c>
      <c r="BR1776" t="s">
        <v>102</v>
      </c>
      <c r="BS1776" t="s">
        <v>30083</v>
      </c>
      <c r="BT1776" t="str">
        <f>HYPERLINK("https%3A%2F%2Fwww.webofscience.com%2Fwos%2Fwoscc%2Ffull-record%2FWOS:000917734600003","View Full Record in Web of Science")</f>
        <v>View Full Record in Web of Science</v>
      </c>
    </row>
    <row r="1777" spans="1:72" x14ac:dyDescent="0.35">
      <c r="A1777" t="s">
        <v>72</v>
      </c>
      <c r="B1777" t="s">
        <v>30084</v>
      </c>
      <c r="C1777" t="s">
        <v>74</v>
      </c>
      <c r="D1777" t="s">
        <v>74</v>
      </c>
      <c r="E1777" t="s">
        <v>74</v>
      </c>
      <c r="F1777" t="s">
        <v>30085</v>
      </c>
      <c r="G1777" t="s">
        <v>74</v>
      </c>
      <c r="H1777" t="s">
        <v>74</v>
      </c>
      <c r="I1777" t="s">
        <v>30086</v>
      </c>
      <c r="J1777" t="s">
        <v>10041</v>
      </c>
      <c r="K1777" t="s">
        <v>74</v>
      </c>
      <c r="L1777" t="s">
        <v>74</v>
      </c>
      <c r="M1777" t="s">
        <v>78</v>
      </c>
      <c r="N1777" t="s">
        <v>108</v>
      </c>
      <c r="O1777" t="s">
        <v>74</v>
      </c>
      <c r="P1777" t="s">
        <v>74</v>
      </c>
      <c r="Q1777" t="s">
        <v>74</v>
      </c>
      <c r="R1777" t="s">
        <v>74</v>
      </c>
      <c r="S1777" t="s">
        <v>74</v>
      </c>
      <c r="T1777" t="s">
        <v>30087</v>
      </c>
      <c r="U1777" t="s">
        <v>74</v>
      </c>
      <c r="V1777" t="s">
        <v>30088</v>
      </c>
      <c r="W1777" t="s">
        <v>30089</v>
      </c>
      <c r="X1777" t="s">
        <v>30090</v>
      </c>
      <c r="Y1777" t="s">
        <v>30091</v>
      </c>
      <c r="Z1777" t="s">
        <v>30092</v>
      </c>
      <c r="AA1777" t="s">
        <v>30093</v>
      </c>
      <c r="AB1777" t="s">
        <v>30094</v>
      </c>
      <c r="AC1777" t="s">
        <v>30095</v>
      </c>
      <c r="AD1777" t="s">
        <v>30096</v>
      </c>
      <c r="AE1777" t="s">
        <v>30097</v>
      </c>
      <c r="AF1777" t="s">
        <v>74</v>
      </c>
      <c r="AG1777">
        <v>42</v>
      </c>
      <c r="AH1777">
        <v>6</v>
      </c>
      <c r="AI1777">
        <v>6</v>
      </c>
      <c r="AJ1777">
        <v>10</v>
      </c>
      <c r="AK1777">
        <v>29</v>
      </c>
      <c r="AL1777" t="s">
        <v>226</v>
      </c>
      <c r="AM1777" t="s">
        <v>227</v>
      </c>
      <c r="AN1777" t="s">
        <v>228</v>
      </c>
      <c r="AO1777" t="s">
        <v>10045</v>
      </c>
      <c r="AP1777" t="s">
        <v>10046</v>
      </c>
      <c r="AQ1777" t="s">
        <v>74</v>
      </c>
      <c r="AR1777" t="s">
        <v>10047</v>
      </c>
      <c r="AS1777" t="s">
        <v>10048</v>
      </c>
      <c r="AT1777" t="s">
        <v>594</v>
      </c>
      <c r="AU1777">
        <v>2023</v>
      </c>
      <c r="AV1777">
        <v>38</v>
      </c>
      <c r="AW1777">
        <v>5</v>
      </c>
      <c r="AX1777" t="s">
        <v>74</v>
      </c>
      <c r="AY1777" t="s">
        <v>74</v>
      </c>
      <c r="AZ1777" t="s">
        <v>456</v>
      </c>
      <c r="BA1777" t="s">
        <v>74</v>
      </c>
      <c r="BB1777">
        <v>484</v>
      </c>
      <c r="BC1777">
        <v>499</v>
      </c>
      <c r="BD1777" t="s">
        <v>74</v>
      </c>
      <c r="BE1777" t="s">
        <v>30098</v>
      </c>
      <c r="BF1777" t="str">
        <f>HYPERLINK("http://dx.doi.org/10.1177/02673231231189043","http://dx.doi.org/10.1177/02673231231189043")</f>
        <v>http://dx.doi.org/10.1177/02673231231189043</v>
      </c>
      <c r="BG1777" t="s">
        <v>74</v>
      </c>
      <c r="BH1777" t="s">
        <v>1180</v>
      </c>
      <c r="BI1777">
        <v>16</v>
      </c>
      <c r="BJ1777" t="s">
        <v>124</v>
      </c>
      <c r="BK1777" t="s">
        <v>99</v>
      </c>
      <c r="BL1777" t="s">
        <v>124</v>
      </c>
      <c r="BM1777" t="s">
        <v>30099</v>
      </c>
      <c r="BN1777" t="s">
        <v>74</v>
      </c>
      <c r="BO1777" t="s">
        <v>4154</v>
      </c>
      <c r="BP1777" t="s">
        <v>74</v>
      </c>
      <c r="BQ1777" t="s">
        <v>74</v>
      </c>
      <c r="BR1777" t="s">
        <v>102</v>
      </c>
      <c r="BS1777" t="s">
        <v>30100</v>
      </c>
      <c r="BT1777" t="str">
        <f>HYPERLINK("https%3A%2F%2Fwww.webofscience.com%2Fwos%2Fwoscc%2Ffull-record%2FWOS:001033354200001","View Full Record in Web of Science")</f>
        <v>View Full Record in Web of Science</v>
      </c>
    </row>
    <row r="1778" spans="1:72" x14ac:dyDescent="0.35">
      <c r="A1778" t="s">
        <v>128</v>
      </c>
      <c r="B1778" t="s">
        <v>30101</v>
      </c>
      <c r="C1778" t="s">
        <v>74</v>
      </c>
      <c r="D1778" t="s">
        <v>74</v>
      </c>
      <c r="E1778" t="s">
        <v>702</v>
      </c>
      <c r="F1778" t="s">
        <v>30102</v>
      </c>
      <c r="G1778" t="s">
        <v>74</v>
      </c>
      <c r="H1778" t="s">
        <v>74</v>
      </c>
      <c r="I1778" t="s">
        <v>30103</v>
      </c>
      <c r="J1778" t="s">
        <v>12025</v>
      </c>
      <c r="K1778" t="s">
        <v>74</v>
      </c>
      <c r="L1778" t="s">
        <v>74</v>
      </c>
      <c r="M1778" t="s">
        <v>78</v>
      </c>
      <c r="N1778" t="s">
        <v>135</v>
      </c>
      <c r="O1778" t="s">
        <v>12026</v>
      </c>
      <c r="P1778" t="s">
        <v>12027</v>
      </c>
      <c r="Q1778" t="s">
        <v>12028</v>
      </c>
      <c r="R1778" t="s">
        <v>12029</v>
      </c>
      <c r="S1778" t="s">
        <v>12030</v>
      </c>
      <c r="T1778" t="s">
        <v>30104</v>
      </c>
      <c r="U1778" t="s">
        <v>74</v>
      </c>
      <c r="V1778" t="s">
        <v>30105</v>
      </c>
      <c r="W1778" t="s">
        <v>30106</v>
      </c>
      <c r="X1778" t="s">
        <v>30107</v>
      </c>
      <c r="Y1778" t="s">
        <v>30108</v>
      </c>
      <c r="Z1778" t="s">
        <v>30109</v>
      </c>
      <c r="AA1778" t="s">
        <v>74</v>
      </c>
      <c r="AB1778" t="s">
        <v>74</v>
      </c>
      <c r="AC1778" t="s">
        <v>30110</v>
      </c>
      <c r="AD1778" t="s">
        <v>30111</v>
      </c>
      <c r="AE1778" t="s">
        <v>30112</v>
      </c>
      <c r="AF1778" t="s">
        <v>74</v>
      </c>
      <c r="AG1778">
        <v>4</v>
      </c>
      <c r="AH1778">
        <v>1</v>
      </c>
      <c r="AI1778">
        <v>1</v>
      </c>
      <c r="AJ1778">
        <v>6</v>
      </c>
      <c r="AK1778">
        <v>12</v>
      </c>
      <c r="AL1778" t="s">
        <v>718</v>
      </c>
      <c r="AM1778" t="s">
        <v>666</v>
      </c>
      <c r="AN1778" t="s">
        <v>719</v>
      </c>
      <c r="AO1778" t="s">
        <v>74</v>
      </c>
      <c r="AP1778" t="s">
        <v>74</v>
      </c>
      <c r="AQ1778" t="s">
        <v>12035</v>
      </c>
      <c r="AR1778" t="s">
        <v>74</v>
      </c>
      <c r="AS1778" t="s">
        <v>74</v>
      </c>
      <c r="AT1778" t="s">
        <v>74</v>
      </c>
      <c r="AU1778">
        <v>2023</v>
      </c>
      <c r="AV1778" t="s">
        <v>74</v>
      </c>
      <c r="AW1778" t="s">
        <v>74</v>
      </c>
      <c r="AX1778" t="s">
        <v>74</v>
      </c>
      <c r="AY1778" t="s">
        <v>74</v>
      </c>
      <c r="AZ1778" t="s">
        <v>74</v>
      </c>
      <c r="BA1778" t="s">
        <v>74</v>
      </c>
      <c r="BB1778" t="s">
        <v>74</v>
      </c>
      <c r="BC1778" t="s">
        <v>74</v>
      </c>
      <c r="BD1778" t="s">
        <v>74</v>
      </c>
      <c r="BE1778" t="s">
        <v>30113</v>
      </c>
      <c r="BF1778" t="str">
        <f>HYPERLINK("http://dx.doi.org/10.1145/3603163.3609030","http://dx.doi.org/10.1145/3603163.3609030")</f>
        <v>http://dx.doi.org/10.1145/3603163.3609030</v>
      </c>
      <c r="BG1778" t="s">
        <v>74</v>
      </c>
      <c r="BH1778" t="s">
        <v>74</v>
      </c>
      <c r="BI1778">
        <v>2</v>
      </c>
      <c r="BJ1778" t="s">
        <v>12037</v>
      </c>
      <c r="BK1778" t="s">
        <v>648</v>
      </c>
      <c r="BL1778" t="s">
        <v>7740</v>
      </c>
      <c r="BM1778" t="s">
        <v>12038</v>
      </c>
      <c r="BN1778" t="s">
        <v>74</v>
      </c>
      <c r="BO1778" t="s">
        <v>74</v>
      </c>
      <c r="BP1778" t="s">
        <v>74</v>
      </c>
      <c r="BQ1778" t="s">
        <v>74</v>
      </c>
      <c r="BR1778" t="s">
        <v>102</v>
      </c>
      <c r="BS1778" t="s">
        <v>30114</v>
      </c>
      <c r="BT1778" t="str">
        <f>HYPERLINK("https%3A%2F%2Fwww.webofscience.com%2Fwos%2Fwoscc%2Ffull-record%2FWOS:001118858800013","View Full Record in Web of Science")</f>
        <v>View Full Record in Web of Science</v>
      </c>
    </row>
    <row r="1779" spans="1:72" x14ac:dyDescent="0.35">
      <c r="A1779" t="s">
        <v>72</v>
      </c>
      <c r="B1779" t="s">
        <v>30115</v>
      </c>
      <c r="C1779" t="s">
        <v>74</v>
      </c>
      <c r="D1779" t="s">
        <v>74</v>
      </c>
      <c r="E1779" t="s">
        <v>74</v>
      </c>
      <c r="F1779" t="s">
        <v>30116</v>
      </c>
      <c r="G1779" t="s">
        <v>74</v>
      </c>
      <c r="H1779" t="s">
        <v>74</v>
      </c>
      <c r="I1779" t="s">
        <v>30117</v>
      </c>
      <c r="J1779" t="s">
        <v>401</v>
      </c>
      <c r="K1779" t="s">
        <v>74</v>
      </c>
      <c r="L1779" t="s">
        <v>74</v>
      </c>
      <c r="M1779" t="s">
        <v>78</v>
      </c>
      <c r="N1779" t="s">
        <v>108</v>
      </c>
      <c r="O1779" t="s">
        <v>74</v>
      </c>
      <c r="P1779" t="s">
        <v>74</v>
      </c>
      <c r="Q1779" t="s">
        <v>74</v>
      </c>
      <c r="R1779" t="s">
        <v>74</v>
      </c>
      <c r="S1779" t="s">
        <v>74</v>
      </c>
      <c r="T1779" t="s">
        <v>30118</v>
      </c>
      <c r="U1779" t="s">
        <v>30119</v>
      </c>
      <c r="V1779" t="s">
        <v>30120</v>
      </c>
      <c r="W1779" t="s">
        <v>30121</v>
      </c>
      <c r="X1779" t="s">
        <v>16573</v>
      </c>
      <c r="Y1779" t="s">
        <v>30122</v>
      </c>
      <c r="Z1779" t="s">
        <v>30123</v>
      </c>
      <c r="AA1779" t="s">
        <v>30124</v>
      </c>
      <c r="AB1779" t="s">
        <v>30125</v>
      </c>
      <c r="AC1779" t="s">
        <v>30126</v>
      </c>
      <c r="AD1779" t="s">
        <v>30126</v>
      </c>
      <c r="AE1779" t="s">
        <v>30127</v>
      </c>
      <c r="AF1779" t="s">
        <v>74</v>
      </c>
      <c r="AG1779">
        <v>42</v>
      </c>
      <c r="AH1779">
        <v>0</v>
      </c>
      <c r="AI1779">
        <v>0</v>
      </c>
      <c r="AJ1779">
        <v>2</v>
      </c>
      <c r="AK1779">
        <v>6</v>
      </c>
      <c r="AL1779" t="s">
        <v>409</v>
      </c>
      <c r="AM1779" t="s">
        <v>410</v>
      </c>
      <c r="AN1779" t="s">
        <v>411</v>
      </c>
      <c r="AO1779" t="s">
        <v>412</v>
      </c>
      <c r="AP1779" t="s">
        <v>74</v>
      </c>
      <c r="AQ1779" t="s">
        <v>74</v>
      </c>
      <c r="AR1779" t="s">
        <v>413</v>
      </c>
      <c r="AS1779" t="s">
        <v>414</v>
      </c>
      <c r="AT1779" t="s">
        <v>74</v>
      </c>
      <c r="AU1779">
        <v>2023</v>
      </c>
      <c r="AV1779">
        <v>17</v>
      </c>
      <c r="AW1779" t="s">
        <v>74</v>
      </c>
      <c r="AX1779" t="s">
        <v>74</v>
      </c>
      <c r="AY1779" t="s">
        <v>74</v>
      </c>
      <c r="AZ1779" t="s">
        <v>74</v>
      </c>
      <c r="BA1779" t="s">
        <v>74</v>
      </c>
      <c r="BB1779">
        <v>6447</v>
      </c>
      <c r="BC1779">
        <v>6465</v>
      </c>
      <c r="BD1779" t="s">
        <v>74</v>
      </c>
      <c r="BE1779" t="s">
        <v>74</v>
      </c>
      <c r="BF1779" t="s">
        <v>74</v>
      </c>
      <c r="BG1779" t="s">
        <v>74</v>
      </c>
      <c r="BH1779" t="s">
        <v>74</v>
      </c>
      <c r="BI1779">
        <v>19</v>
      </c>
      <c r="BJ1779" t="s">
        <v>124</v>
      </c>
      <c r="BK1779" t="s">
        <v>99</v>
      </c>
      <c r="BL1779" t="s">
        <v>124</v>
      </c>
      <c r="BM1779" t="s">
        <v>10057</v>
      </c>
      <c r="BN1779" t="s">
        <v>74</v>
      </c>
      <c r="BO1779" t="s">
        <v>74</v>
      </c>
      <c r="BP1779" t="s">
        <v>74</v>
      </c>
      <c r="BQ1779" t="s">
        <v>74</v>
      </c>
      <c r="BR1779" t="s">
        <v>102</v>
      </c>
      <c r="BS1779" t="s">
        <v>30128</v>
      </c>
      <c r="BT1779" t="str">
        <f>HYPERLINK("https%3A%2F%2Fwww.webofscience.com%2Fwos%2Fwoscc%2Ffull-record%2FWOS:001111205800020","View Full Record in Web of Science")</f>
        <v>View Full Record in Web of Science</v>
      </c>
    </row>
    <row r="1780" spans="1:72" x14ac:dyDescent="0.35">
      <c r="A1780" t="s">
        <v>72</v>
      </c>
      <c r="B1780" t="s">
        <v>30129</v>
      </c>
      <c r="C1780" t="s">
        <v>74</v>
      </c>
      <c r="D1780" t="s">
        <v>74</v>
      </c>
      <c r="E1780" t="s">
        <v>74</v>
      </c>
      <c r="F1780" t="s">
        <v>30130</v>
      </c>
      <c r="G1780" t="s">
        <v>74</v>
      </c>
      <c r="H1780" t="s">
        <v>74</v>
      </c>
      <c r="I1780" t="s">
        <v>30131</v>
      </c>
      <c r="J1780" t="s">
        <v>30132</v>
      </c>
      <c r="K1780" t="s">
        <v>74</v>
      </c>
      <c r="L1780" t="s">
        <v>74</v>
      </c>
      <c r="M1780" t="s">
        <v>78</v>
      </c>
      <c r="N1780" t="s">
        <v>108</v>
      </c>
      <c r="O1780" t="s">
        <v>74</v>
      </c>
      <c r="P1780" t="s">
        <v>74</v>
      </c>
      <c r="Q1780" t="s">
        <v>74</v>
      </c>
      <c r="R1780" t="s">
        <v>74</v>
      </c>
      <c r="S1780" t="s">
        <v>74</v>
      </c>
      <c r="T1780" t="s">
        <v>30133</v>
      </c>
      <c r="U1780" t="s">
        <v>74</v>
      </c>
      <c r="V1780" t="s">
        <v>30134</v>
      </c>
      <c r="W1780" t="s">
        <v>30135</v>
      </c>
      <c r="X1780" t="s">
        <v>22182</v>
      </c>
      <c r="Y1780" t="s">
        <v>30136</v>
      </c>
      <c r="Z1780" t="s">
        <v>30137</v>
      </c>
      <c r="AA1780" t="s">
        <v>30138</v>
      </c>
      <c r="AB1780" t="s">
        <v>30139</v>
      </c>
      <c r="AC1780" t="s">
        <v>74</v>
      </c>
      <c r="AD1780" t="s">
        <v>74</v>
      </c>
      <c r="AE1780" t="s">
        <v>74</v>
      </c>
      <c r="AF1780" t="s">
        <v>74</v>
      </c>
      <c r="AG1780">
        <v>62</v>
      </c>
      <c r="AH1780">
        <v>5</v>
      </c>
      <c r="AI1780">
        <v>6</v>
      </c>
      <c r="AJ1780">
        <v>1</v>
      </c>
      <c r="AK1780">
        <v>35</v>
      </c>
      <c r="AL1780" t="s">
        <v>171</v>
      </c>
      <c r="AM1780" t="s">
        <v>172</v>
      </c>
      <c r="AN1780" t="s">
        <v>173</v>
      </c>
      <c r="AO1780" t="s">
        <v>30140</v>
      </c>
      <c r="AP1780" t="s">
        <v>30141</v>
      </c>
      <c r="AQ1780" t="s">
        <v>74</v>
      </c>
      <c r="AR1780" t="s">
        <v>30142</v>
      </c>
      <c r="AS1780" t="s">
        <v>30143</v>
      </c>
      <c r="AT1780" t="s">
        <v>1275</v>
      </c>
      <c r="AU1780">
        <v>2022</v>
      </c>
      <c r="AV1780">
        <v>10</v>
      </c>
      <c r="AW1780">
        <v>6</v>
      </c>
      <c r="AX1780" t="s">
        <v>74</v>
      </c>
      <c r="AY1780" t="s">
        <v>74</v>
      </c>
      <c r="AZ1780" t="s">
        <v>74</v>
      </c>
      <c r="BA1780" t="s">
        <v>74</v>
      </c>
      <c r="BB1780">
        <v>1602</v>
      </c>
      <c r="BC1780">
        <v>1616</v>
      </c>
      <c r="BD1780" t="s">
        <v>74</v>
      </c>
      <c r="BE1780" t="s">
        <v>30144</v>
      </c>
      <c r="BF1780" t="str">
        <f>HYPERLINK("http://dx.doi.org/10.1177/21676968221128621","http://dx.doi.org/10.1177/21676968221128621")</f>
        <v>http://dx.doi.org/10.1177/21676968221128621</v>
      </c>
      <c r="BG1780" t="s">
        <v>74</v>
      </c>
      <c r="BH1780" t="s">
        <v>598</v>
      </c>
      <c r="BI1780">
        <v>15</v>
      </c>
      <c r="BJ1780" t="s">
        <v>30145</v>
      </c>
      <c r="BK1780" t="s">
        <v>99</v>
      </c>
      <c r="BL1780" t="s">
        <v>30146</v>
      </c>
      <c r="BM1780" t="s">
        <v>30147</v>
      </c>
      <c r="BN1780">
        <v>38603177</v>
      </c>
      <c r="BO1780" t="s">
        <v>2194</v>
      </c>
      <c r="BP1780" t="s">
        <v>74</v>
      </c>
      <c r="BQ1780" t="s">
        <v>74</v>
      </c>
      <c r="BR1780" t="s">
        <v>102</v>
      </c>
      <c r="BS1780" t="s">
        <v>30148</v>
      </c>
      <c r="BT1780" t="str">
        <f>HYPERLINK("https%3A%2F%2Fwww.webofscience.com%2Fwos%2Fwoscc%2Ffull-record%2FWOS:000854988300001","View Full Record in Web of Science")</f>
        <v>View Full Record in Web of Science</v>
      </c>
    </row>
    <row r="1781" spans="1:72" x14ac:dyDescent="0.35">
      <c r="A1781" t="s">
        <v>72</v>
      </c>
      <c r="B1781" t="s">
        <v>30149</v>
      </c>
      <c r="C1781" t="s">
        <v>74</v>
      </c>
      <c r="D1781" t="s">
        <v>74</v>
      </c>
      <c r="E1781" t="s">
        <v>74</v>
      </c>
      <c r="F1781" t="s">
        <v>30150</v>
      </c>
      <c r="G1781" t="s">
        <v>74</v>
      </c>
      <c r="H1781" t="s">
        <v>74</v>
      </c>
      <c r="I1781" t="s">
        <v>30151</v>
      </c>
      <c r="J1781" t="s">
        <v>7029</v>
      </c>
      <c r="K1781" t="s">
        <v>74</v>
      </c>
      <c r="L1781" t="s">
        <v>74</v>
      </c>
      <c r="M1781" t="s">
        <v>78</v>
      </c>
      <c r="N1781" t="s">
        <v>3404</v>
      </c>
      <c r="O1781" t="s">
        <v>74</v>
      </c>
      <c r="P1781" t="s">
        <v>74</v>
      </c>
      <c r="Q1781" t="s">
        <v>74</v>
      </c>
      <c r="R1781" t="s">
        <v>74</v>
      </c>
      <c r="S1781" t="s">
        <v>74</v>
      </c>
      <c r="T1781" t="s">
        <v>30152</v>
      </c>
      <c r="U1781" t="s">
        <v>74</v>
      </c>
      <c r="V1781" t="s">
        <v>30153</v>
      </c>
      <c r="W1781" t="s">
        <v>30154</v>
      </c>
      <c r="X1781" t="s">
        <v>30155</v>
      </c>
      <c r="Y1781" t="s">
        <v>30156</v>
      </c>
      <c r="Z1781" t="s">
        <v>30157</v>
      </c>
      <c r="AA1781" t="s">
        <v>74</v>
      </c>
      <c r="AB1781" t="s">
        <v>74</v>
      </c>
      <c r="AC1781" t="s">
        <v>74</v>
      </c>
      <c r="AD1781" t="s">
        <v>74</v>
      </c>
      <c r="AE1781" t="s">
        <v>74</v>
      </c>
      <c r="AF1781" t="s">
        <v>74</v>
      </c>
      <c r="AG1781">
        <v>3</v>
      </c>
      <c r="AH1781">
        <v>0</v>
      </c>
      <c r="AI1781">
        <v>0</v>
      </c>
      <c r="AJ1781">
        <v>0</v>
      </c>
      <c r="AK1781">
        <v>0</v>
      </c>
      <c r="AL1781" t="s">
        <v>665</v>
      </c>
      <c r="AM1781" t="s">
        <v>666</v>
      </c>
      <c r="AN1781" t="s">
        <v>667</v>
      </c>
      <c r="AO1781" t="s">
        <v>7036</v>
      </c>
      <c r="AP1781" t="s">
        <v>7037</v>
      </c>
      <c r="AQ1781" t="s">
        <v>74</v>
      </c>
      <c r="AR1781" t="s">
        <v>7038</v>
      </c>
      <c r="AS1781" t="s">
        <v>7039</v>
      </c>
      <c r="AT1781" t="s">
        <v>30158</v>
      </c>
      <c r="AU1781">
        <v>2024</v>
      </c>
      <c r="AV1781" t="s">
        <v>74</v>
      </c>
      <c r="AW1781" t="s">
        <v>74</v>
      </c>
      <c r="AX1781" t="s">
        <v>74</v>
      </c>
      <c r="AY1781" t="s">
        <v>74</v>
      </c>
      <c r="AZ1781" t="s">
        <v>74</v>
      </c>
      <c r="BA1781" t="s">
        <v>74</v>
      </c>
      <c r="BB1781" t="s">
        <v>74</v>
      </c>
      <c r="BC1781" t="s">
        <v>74</v>
      </c>
      <c r="BD1781" t="s">
        <v>74</v>
      </c>
      <c r="BE1781" t="s">
        <v>30159</v>
      </c>
      <c r="BF1781" t="str">
        <f>HYPERLINK("http://dx.doi.org/10.1007/s00266-024-04507-y","http://dx.doi.org/10.1007/s00266-024-04507-y")</f>
        <v>http://dx.doi.org/10.1007/s00266-024-04507-y</v>
      </c>
      <c r="BG1781" t="s">
        <v>74</v>
      </c>
      <c r="BH1781" t="s">
        <v>4092</v>
      </c>
      <c r="BI1781">
        <v>2</v>
      </c>
      <c r="BJ1781" t="s">
        <v>4994</v>
      </c>
      <c r="BK1781" t="s">
        <v>209</v>
      </c>
      <c r="BL1781" t="s">
        <v>4994</v>
      </c>
      <c r="BM1781" t="s">
        <v>30160</v>
      </c>
      <c r="BN1781">
        <v>39511021</v>
      </c>
      <c r="BO1781" t="s">
        <v>74</v>
      </c>
      <c r="BP1781" t="s">
        <v>74</v>
      </c>
      <c r="BQ1781" t="s">
        <v>74</v>
      </c>
      <c r="BR1781" t="s">
        <v>102</v>
      </c>
      <c r="BS1781" t="s">
        <v>30161</v>
      </c>
      <c r="BT1781" t="str">
        <f>HYPERLINK("https%3A%2F%2Fwww.webofscience.com%2Fwos%2Fwoscc%2Ffull-record%2FWOS:001350895600005","View Full Record in Web of Science")</f>
        <v>View Full Record in Web of Science</v>
      </c>
    </row>
    <row r="1782" spans="1:72" x14ac:dyDescent="0.35">
      <c r="A1782" t="s">
        <v>72</v>
      </c>
      <c r="B1782" t="s">
        <v>30162</v>
      </c>
      <c r="C1782" t="s">
        <v>74</v>
      </c>
      <c r="D1782" t="s">
        <v>74</v>
      </c>
      <c r="E1782" t="s">
        <v>74</v>
      </c>
      <c r="F1782" t="s">
        <v>30163</v>
      </c>
      <c r="G1782" t="s">
        <v>74</v>
      </c>
      <c r="H1782" t="s">
        <v>74</v>
      </c>
      <c r="I1782" t="s">
        <v>30164</v>
      </c>
      <c r="J1782" t="s">
        <v>30165</v>
      </c>
      <c r="K1782" t="s">
        <v>74</v>
      </c>
      <c r="L1782" t="s">
        <v>74</v>
      </c>
      <c r="M1782" t="s">
        <v>78</v>
      </c>
      <c r="N1782" t="s">
        <v>108</v>
      </c>
      <c r="O1782" t="s">
        <v>74</v>
      </c>
      <c r="P1782" t="s">
        <v>74</v>
      </c>
      <c r="Q1782" t="s">
        <v>74</v>
      </c>
      <c r="R1782" t="s">
        <v>74</v>
      </c>
      <c r="S1782" t="s">
        <v>74</v>
      </c>
      <c r="T1782" t="s">
        <v>30166</v>
      </c>
      <c r="U1782" t="s">
        <v>4641</v>
      </c>
      <c r="V1782" t="s">
        <v>30167</v>
      </c>
      <c r="W1782" t="s">
        <v>30168</v>
      </c>
      <c r="X1782" t="s">
        <v>30169</v>
      </c>
      <c r="Y1782" t="s">
        <v>30170</v>
      </c>
      <c r="Z1782" t="s">
        <v>30171</v>
      </c>
      <c r="AA1782" t="s">
        <v>74</v>
      </c>
      <c r="AB1782" t="s">
        <v>30172</v>
      </c>
      <c r="AC1782" t="s">
        <v>30173</v>
      </c>
      <c r="AD1782" t="s">
        <v>30173</v>
      </c>
      <c r="AE1782" t="s">
        <v>2921</v>
      </c>
      <c r="AF1782" t="s">
        <v>74</v>
      </c>
      <c r="AG1782">
        <v>62</v>
      </c>
      <c r="AH1782">
        <v>0</v>
      </c>
      <c r="AI1782">
        <v>0</v>
      </c>
      <c r="AJ1782">
        <v>28</v>
      </c>
      <c r="AK1782">
        <v>36</v>
      </c>
      <c r="AL1782" t="s">
        <v>25443</v>
      </c>
      <c r="AM1782" t="s">
        <v>4435</v>
      </c>
      <c r="AN1782" t="s">
        <v>25444</v>
      </c>
      <c r="AO1782" t="s">
        <v>30174</v>
      </c>
      <c r="AP1782" t="s">
        <v>30175</v>
      </c>
      <c r="AQ1782" t="s">
        <v>74</v>
      </c>
      <c r="AR1782" t="s">
        <v>30176</v>
      </c>
      <c r="AS1782" t="s">
        <v>30177</v>
      </c>
      <c r="AT1782" t="s">
        <v>30178</v>
      </c>
      <c r="AU1782">
        <v>2024</v>
      </c>
      <c r="AV1782">
        <v>15</v>
      </c>
      <c r="AW1782">
        <v>6</v>
      </c>
      <c r="AX1782" t="s">
        <v>74</v>
      </c>
      <c r="AY1782" t="s">
        <v>74</v>
      </c>
      <c r="AZ1782" t="s">
        <v>74</v>
      </c>
      <c r="BA1782" t="s">
        <v>74</v>
      </c>
      <c r="BB1782">
        <v>2823</v>
      </c>
      <c r="BC1782">
        <v>2855</v>
      </c>
      <c r="BD1782" t="s">
        <v>74</v>
      </c>
      <c r="BE1782" t="s">
        <v>30179</v>
      </c>
      <c r="BF1782" t="str">
        <f>HYPERLINK("http://dx.doi.org/10.1515/applirev-2023-0094","http://dx.doi.org/10.1515/applirev-2023-0094")</f>
        <v>http://dx.doi.org/10.1515/applirev-2023-0094</v>
      </c>
      <c r="BG1782" t="s">
        <v>74</v>
      </c>
      <c r="BH1782" t="s">
        <v>786</v>
      </c>
      <c r="BI1782">
        <v>33</v>
      </c>
      <c r="BJ1782" t="s">
        <v>22620</v>
      </c>
      <c r="BK1782" t="s">
        <v>2125</v>
      </c>
      <c r="BL1782" t="s">
        <v>3285</v>
      </c>
      <c r="BM1782" t="s">
        <v>30180</v>
      </c>
      <c r="BN1782" t="s">
        <v>74</v>
      </c>
      <c r="BO1782" t="s">
        <v>74</v>
      </c>
      <c r="BP1782" t="s">
        <v>74</v>
      </c>
      <c r="BQ1782" t="s">
        <v>74</v>
      </c>
      <c r="BR1782" t="s">
        <v>102</v>
      </c>
      <c r="BS1782" t="s">
        <v>30181</v>
      </c>
      <c r="BT1782" t="str">
        <f>HYPERLINK("https%3A%2F%2Fwww.webofscience.com%2Fwos%2Fwoscc%2Ffull-record%2FWOS:001173313700001","View Full Record in Web of Science")</f>
        <v>View Full Record in Web of Science</v>
      </c>
    </row>
    <row r="1783" spans="1:72" x14ac:dyDescent="0.35">
      <c r="A1783" t="s">
        <v>72</v>
      </c>
      <c r="B1783" t="s">
        <v>30182</v>
      </c>
      <c r="C1783" t="s">
        <v>74</v>
      </c>
      <c r="D1783" t="s">
        <v>74</v>
      </c>
      <c r="E1783" t="s">
        <v>74</v>
      </c>
      <c r="F1783" t="s">
        <v>30183</v>
      </c>
      <c r="G1783" t="s">
        <v>74</v>
      </c>
      <c r="H1783" t="s">
        <v>74</v>
      </c>
      <c r="I1783" t="s">
        <v>30184</v>
      </c>
      <c r="J1783" t="s">
        <v>793</v>
      </c>
      <c r="K1783" t="s">
        <v>74</v>
      </c>
      <c r="L1783" t="s">
        <v>74</v>
      </c>
      <c r="M1783" t="s">
        <v>78</v>
      </c>
      <c r="N1783" t="s">
        <v>108</v>
      </c>
      <c r="O1783" t="s">
        <v>74</v>
      </c>
      <c r="P1783" t="s">
        <v>74</v>
      </c>
      <c r="Q1783" t="s">
        <v>74</v>
      </c>
      <c r="R1783" t="s">
        <v>74</v>
      </c>
      <c r="S1783" t="s">
        <v>74</v>
      </c>
      <c r="T1783" t="s">
        <v>30185</v>
      </c>
      <c r="U1783" t="s">
        <v>30186</v>
      </c>
      <c r="V1783" t="s">
        <v>30187</v>
      </c>
      <c r="W1783" t="s">
        <v>30188</v>
      </c>
      <c r="X1783" t="s">
        <v>30189</v>
      </c>
      <c r="Y1783" t="s">
        <v>30190</v>
      </c>
      <c r="Z1783" t="s">
        <v>30191</v>
      </c>
      <c r="AA1783" t="s">
        <v>30192</v>
      </c>
      <c r="AB1783" t="s">
        <v>74</v>
      </c>
      <c r="AC1783" t="s">
        <v>74</v>
      </c>
      <c r="AD1783" t="s">
        <v>74</v>
      </c>
      <c r="AE1783" t="s">
        <v>74</v>
      </c>
      <c r="AF1783" t="s">
        <v>74</v>
      </c>
      <c r="AG1783">
        <v>25</v>
      </c>
      <c r="AH1783">
        <v>5</v>
      </c>
      <c r="AI1783">
        <v>5</v>
      </c>
      <c r="AJ1783">
        <v>10</v>
      </c>
      <c r="AK1783">
        <v>21</v>
      </c>
      <c r="AL1783" t="s">
        <v>803</v>
      </c>
      <c r="AM1783" t="s">
        <v>227</v>
      </c>
      <c r="AN1783" t="s">
        <v>804</v>
      </c>
      <c r="AO1783" t="s">
        <v>74</v>
      </c>
      <c r="AP1783" t="s">
        <v>805</v>
      </c>
      <c r="AQ1783" t="s">
        <v>74</v>
      </c>
      <c r="AR1783" t="s">
        <v>806</v>
      </c>
      <c r="AS1783" t="s">
        <v>807</v>
      </c>
      <c r="AT1783" t="s">
        <v>10517</v>
      </c>
      <c r="AU1783">
        <v>2023</v>
      </c>
      <c r="AV1783">
        <v>15</v>
      </c>
      <c r="AW1783">
        <v>11</v>
      </c>
      <c r="AX1783" t="s">
        <v>74</v>
      </c>
      <c r="AY1783" t="s">
        <v>74</v>
      </c>
      <c r="AZ1783" t="s">
        <v>74</v>
      </c>
      <c r="BA1783" t="s">
        <v>74</v>
      </c>
      <c r="BB1783" t="s">
        <v>74</v>
      </c>
      <c r="BC1783" t="s">
        <v>74</v>
      </c>
      <c r="BD1783" t="s">
        <v>30193</v>
      </c>
      <c r="BE1783" t="s">
        <v>30194</v>
      </c>
      <c r="BF1783" t="str">
        <f>HYPERLINK("http://dx.doi.org/10.7759/cureus.49543","http://dx.doi.org/10.7759/cureus.49543")</f>
        <v>http://dx.doi.org/10.7759/cureus.49543</v>
      </c>
      <c r="BG1783" t="s">
        <v>74</v>
      </c>
      <c r="BH1783" t="s">
        <v>74</v>
      </c>
      <c r="BI1783">
        <v>12</v>
      </c>
      <c r="BJ1783" t="s">
        <v>811</v>
      </c>
      <c r="BK1783" t="s">
        <v>125</v>
      </c>
      <c r="BL1783" t="s">
        <v>812</v>
      </c>
      <c r="BM1783" t="s">
        <v>30195</v>
      </c>
      <c r="BN1783">
        <v>38156182</v>
      </c>
      <c r="BO1783" t="s">
        <v>394</v>
      </c>
      <c r="BP1783" t="s">
        <v>74</v>
      </c>
      <c r="BQ1783" t="s">
        <v>74</v>
      </c>
      <c r="BR1783" t="s">
        <v>102</v>
      </c>
      <c r="BS1783" t="s">
        <v>30196</v>
      </c>
      <c r="BT1783" t="str">
        <f>HYPERLINK("https%3A%2F%2Fwww.webofscience.com%2Fwos%2Fwoscc%2Ffull-record%2FWOS:001123858700014","View Full Record in Web of Science")</f>
        <v>View Full Record in Web of Science</v>
      </c>
    </row>
    <row r="1784" spans="1:72" x14ac:dyDescent="0.35">
      <c r="A1784" t="s">
        <v>72</v>
      </c>
      <c r="B1784" t="s">
        <v>30197</v>
      </c>
      <c r="C1784" t="s">
        <v>74</v>
      </c>
      <c r="D1784" t="s">
        <v>74</v>
      </c>
      <c r="E1784" t="s">
        <v>74</v>
      </c>
      <c r="F1784" t="s">
        <v>30198</v>
      </c>
      <c r="G1784" t="s">
        <v>74</v>
      </c>
      <c r="H1784" t="s">
        <v>74</v>
      </c>
      <c r="I1784" t="s">
        <v>30199</v>
      </c>
      <c r="J1784" t="s">
        <v>13233</v>
      </c>
      <c r="K1784" t="s">
        <v>74</v>
      </c>
      <c r="L1784" t="s">
        <v>74</v>
      </c>
      <c r="M1784" t="s">
        <v>78</v>
      </c>
      <c r="N1784" t="s">
        <v>108</v>
      </c>
      <c r="O1784" t="s">
        <v>74</v>
      </c>
      <c r="P1784" t="s">
        <v>74</v>
      </c>
      <c r="Q1784" t="s">
        <v>74</v>
      </c>
      <c r="R1784" t="s">
        <v>74</v>
      </c>
      <c r="S1784" t="s">
        <v>74</v>
      </c>
      <c r="T1784" t="s">
        <v>30200</v>
      </c>
      <c r="U1784" t="s">
        <v>30201</v>
      </c>
      <c r="V1784" t="s">
        <v>30202</v>
      </c>
      <c r="W1784" t="s">
        <v>30203</v>
      </c>
      <c r="X1784" t="s">
        <v>5450</v>
      </c>
      <c r="Y1784" t="s">
        <v>30204</v>
      </c>
      <c r="Z1784" t="s">
        <v>30205</v>
      </c>
      <c r="AA1784" t="s">
        <v>30206</v>
      </c>
      <c r="AB1784" t="s">
        <v>30207</v>
      </c>
      <c r="AC1784" t="s">
        <v>74</v>
      </c>
      <c r="AD1784" t="s">
        <v>74</v>
      </c>
      <c r="AE1784" t="s">
        <v>74</v>
      </c>
      <c r="AF1784" t="s">
        <v>74</v>
      </c>
      <c r="AG1784">
        <v>79</v>
      </c>
      <c r="AH1784">
        <v>4</v>
      </c>
      <c r="AI1784">
        <v>5</v>
      </c>
      <c r="AJ1784">
        <v>35</v>
      </c>
      <c r="AK1784">
        <v>168</v>
      </c>
      <c r="AL1784" t="s">
        <v>171</v>
      </c>
      <c r="AM1784" t="s">
        <v>172</v>
      </c>
      <c r="AN1784" t="s">
        <v>173</v>
      </c>
      <c r="AO1784" t="s">
        <v>13246</v>
      </c>
      <c r="AP1784" t="s">
        <v>74</v>
      </c>
      <c r="AQ1784" t="s">
        <v>74</v>
      </c>
      <c r="AR1784" t="s">
        <v>13233</v>
      </c>
      <c r="AS1784" t="s">
        <v>13247</v>
      </c>
      <c r="AT1784" t="s">
        <v>594</v>
      </c>
      <c r="AU1784">
        <v>2022</v>
      </c>
      <c r="AV1784">
        <v>12</v>
      </c>
      <c r="AW1784">
        <v>4</v>
      </c>
      <c r="AX1784" t="s">
        <v>74</v>
      </c>
      <c r="AY1784" t="s">
        <v>74</v>
      </c>
      <c r="AZ1784" t="s">
        <v>74</v>
      </c>
      <c r="BA1784" t="s">
        <v>74</v>
      </c>
      <c r="BB1784" t="s">
        <v>74</v>
      </c>
      <c r="BC1784" t="s">
        <v>74</v>
      </c>
      <c r="BD1784">
        <v>2.1582440221134608E+16</v>
      </c>
      <c r="BE1784" t="s">
        <v>30208</v>
      </c>
      <c r="BF1784" t="str">
        <f>HYPERLINK("http://dx.doi.org/10.1177/21582440221134608","http://dx.doi.org/10.1177/21582440221134608")</f>
        <v>http://dx.doi.org/10.1177/21582440221134608</v>
      </c>
      <c r="BG1784" t="s">
        <v>74</v>
      </c>
      <c r="BH1784" t="s">
        <v>74</v>
      </c>
      <c r="BI1784">
        <v>25</v>
      </c>
      <c r="BJ1784" t="s">
        <v>98</v>
      </c>
      <c r="BK1784" t="s">
        <v>99</v>
      </c>
      <c r="BL1784" t="s">
        <v>100</v>
      </c>
      <c r="BM1784" t="s">
        <v>30209</v>
      </c>
      <c r="BN1784" t="s">
        <v>74</v>
      </c>
      <c r="BO1784" t="s">
        <v>235</v>
      </c>
      <c r="BP1784" t="s">
        <v>74</v>
      </c>
      <c r="BQ1784" t="s">
        <v>74</v>
      </c>
      <c r="BR1784" t="s">
        <v>102</v>
      </c>
      <c r="BS1784" t="s">
        <v>30210</v>
      </c>
      <c r="BT1784" t="str">
        <f>HYPERLINK("https%3A%2F%2Fwww.webofscience.com%2Fwos%2Fwoscc%2Ffull-record%2FWOS:000911068800001","View Full Record in Web of Science")</f>
        <v>View Full Record in Web of Science</v>
      </c>
    </row>
    <row r="1785" spans="1:72" x14ac:dyDescent="0.35">
      <c r="A1785" t="s">
        <v>72</v>
      </c>
      <c r="B1785" t="s">
        <v>30211</v>
      </c>
      <c r="C1785" t="s">
        <v>74</v>
      </c>
      <c r="D1785" t="s">
        <v>74</v>
      </c>
      <c r="E1785" t="s">
        <v>74</v>
      </c>
      <c r="F1785" t="s">
        <v>30212</v>
      </c>
      <c r="G1785" t="s">
        <v>74</v>
      </c>
      <c r="H1785" t="s">
        <v>74</v>
      </c>
      <c r="I1785" t="s">
        <v>30213</v>
      </c>
      <c r="J1785" t="s">
        <v>30214</v>
      </c>
      <c r="K1785" t="s">
        <v>74</v>
      </c>
      <c r="L1785" t="s">
        <v>74</v>
      </c>
      <c r="M1785" t="s">
        <v>78</v>
      </c>
      <c r="N1785" t="s">
        <v>108</v>
      </c>
      <c r="O1785" t="s">
        <v>74</v>
      </c>
      <c r="P1785" t="s">
        <v>74</v>
      </c>
      <c r="Q1785" t="s">
        <v>74</v>
      </c>
      <c r="R1785" t="s">
        <v>74</v>
      </c>
      <c r="S1785" t="s">
        <v>74</v>
      </c>
      <c r="T1785" t="s">
        <v>30215</v>
      </c>
      <c r="U1785" t="s">
        <v>30216</v>
      </c>
      <c r="V1785" t="s">
        <v>30217</v>
      </c>
      <c r="W1785" t="s">
        <v>30218</v>
      </c>
      <c r="X1785" t="s">
        <v>30219</v>
      </c>
      <c r="Y1785" t="s">
        <v>30220</v>
      </c>
      <c r="Z1785" t="s">
        <v>30221</v>
      </c>
      <c r="AA1785" t="s">
        <v>30222</v>
      </c>
      <c r="AB1785" t="s">
        <v>30223</v>
      </c>
      <c r="AC1785" t="s">
        <v>30224</v>
      </c>
      <c r="AD1785" t="s">
        <v>30224</v>
      </c>
      <c r="AE1785" t="s">
        <v>30225</v>
      </c>
      <c r="AF1785" t="s">
        <v>74</v>
      </c>
      <c r="AG1785">
        <v>80</v>
      </c>
      <c r="AH1785">
        <v>24</v>
      </c>
      <c r="AI1785">
        <v>26</v>
      </c>
      <c r="AJ1785">
        <v>6</v>
      </c>
      <c r="AK1785">
        <v>74</v>
      </c>
      <c r="AL1785" t="s">
        <v>171</v>
      </c>
      <c r="AM1785" t="s">
        <v>172</v>
      </c>
      <c r="AN1785" t="s">
        <v>173</v>
      </c>
      <c r="AO1785" t="s">
        <v>30226</v>
      </c>
      <c r="AP1785" t="s">
        <v>30227</v>
      </c>
      <c r="AQ1785" t="s">
        <v>74</v>
      </c>
      <c r="AR1785" t="s">
        <v>30228</v>
      </c>
      <c r="AS1785" t="s">
        <v>30229</v>
      </c>
      <c r="AT1785" t="s">
        <v>178</v>
      </c>
      <c r="AU1785">
        <v>2022</v>
      </c>
      <c r="AV1785">
        <v>42</v>
      </c>
      <c r="AW1785">
        <v>2</v>
      </c>
      <c r="AX1785" t="s">
        <v>74</v>
      </c>
      <c r="AY1785" t="s">
        <v>74</v>
      </c>
      <c r="AZ1785" t="s">
        <v>74</v>
      </c>
      <c r="BA1785" t="s">
        <v>74</v>
      </c>
      <c r="BB1785">
        <v>172</v>
      </c>
      <c r="BC1785">
        <v>203</v>
      </c>
      <c r="BD1785">
        <v>2724316211020368</v>
      </c>
      <c r="BE1785" t="s">
        <v>30230</v>
      </c>
      <c r="BF1785" t="str">
        <f>HYPERLINK("http://dx.doi.org/10.1177/02724316211020368","http://dx.doi.org/10.1177/02724316211020368")</f>
        <v>http://dx.doi.org/10.1177/02724316211020368</v>
      </c>
      <c r="BG1785" t="s">
        <v>74</v>
      </c>
      <c r="BH1785" t="s">
        <v>2090</v>
      </c>
      <c r="BI1785">
        <v>32</v>
      </c>
      <c r="BJ1785" t="s">
        <v>30231</v>
      </c>
      <c r="BK1785" t="s">
        <v>99</v>
      </c>
      <c r="BL1785" t="s">
        <v>30146</v>
      </c>
      <c r="BM1785" t="s">
        <v>30232</v>
      </c>
      <c r="BN1785" t="s">
        <v>74</v>
      </c>
      <c r="BO1785" t="s">
        <v>2194</v>
      </c>
      <c r="BP1785" t="s">
        <v>74</v>
      </c>
      <c r="BQ1785" t="s">
        <v>74</v>
      </c>
      <c r="BR1785" t="s">
        <v>102</v>
      </c>
      <c r="BS1785" t="s">
        <v>30233</v>
      </c>
      <c r="BT1785" t="str">
        <f>HYPERLINK("https%3A%2F%2Fwww.webofscience.com%2Fwos%2Fwoscc%2Ffull-record%2FWOS:000657978400001","View Full Record in Web of Science")</f>
        <v>View Full Record in Web of Science</v>
      </c>
    </row>
    <row r="1786" spans="1:72" x14ac:dyDescent="0.35">
      <c r="A1786" t="s">
        <v>72</v>
      </c>
      <c r="B1786" t="s">
        <v>30234</v>
      </c>
      <c r="C1786" t="s">
        <v>74</v>
      </c>
      <c r="D1786" t="s">
        <v>74</v>
      </c>
      <c r="E1786" t="s">
        <v>74</v>
      </c>
      <c r="F1786" t="s">
        <v>30235</v>
      </c>
      <c r="G1786" t="s">
        <v>74</v>
      </c>
      <c r="H1786" t="s">
        <v>74</v>
      </c>
      <c r="I1786" t="s">
        <v>30236</v>
      </c>
      <c r="J1786" t="s">
        <v>30237</v>
      </c>
      <c r="K1786" t="s">
        <v>74</v>
      </c>
      <c r="L1786" t="s">
        <v>74</v>
      </c>
      <c r="M1786" t="s">
        <v>78</v>
      </c>
      <c r="N1786" t="s">
        <v>108</v>
      </c>
      <c r="O1786" t="s">
        <v>74</v>
      </c>
      <c r="P1786" t="s">
        <v>74</v>
      </c>
      <c r="Q1786" t="s">
        <v>74</v>
      </c>
      <c r="R1786" t="s">
        <v>74</v>
      </c>
      <c r="S1786" t="s">
        <v>74</v>
      </c>
      <c r="T1786" t="s">
        <v>74</v>
      </c>
      <c r="U1786" t="s">
        <v>30238</v>
      </c>
      <c r="V1786" t="s">
        <v>30239</v>
      </c>
      <c r="W1786" t="s">
        <v>30240</v>
      </c>
      <c r="X1786" t="s">
        <v>11766</v>
      </c>
      <c r="Y1786" t="s">
        <v>30241</v>
      </c>
      <c r="Z1786" t="s">
        <v>30242</v>
      </c>
      <c r="AA1786" t="s">
        <v>74</v>
      </c>
      <c r="AB1786" t="s">
        <v>30243</v>
      </c>
      <c r="AC1786" t="s">
        <v>30244</v>
      </c>
      <c r="AD1786" t="s">
        <v>30245</v>
      </c>
      <c r="AE1786" t="s">
        <v>30246</v>
      </c>
      <c r="AF1786" t="s">
        <v>74</v>
      </c>
      <c r="AG1786">
        <v>114</v>
      </c>
      <c r="AH1786">
        <v>0</v>
      </c>
      <c r="AI1786">
        <v>0</v>
      </c>
      <c r="AJ1786">
        <v>1</v>
      </c>
      <c r="AK1786">
        <v>1</v>
      </c>
      <c r="AL1786" t="s">
        <v>251</v>
      </c>
      <c r="AM1786" t="s">
        <v>252</v>
      </c>
      <c r="AN1786" t="s">
        <v>253</v>
      </c>
      <c r="AO1786" t="s">
        <v>30247</v>
      </c>
      <c r="AP1786" t="s">
        <v>30248</v>
      </c>
      <c r="AQ1786" t="s">
        <v>74</v>
      </c>
      <c r="AR1786" t="s">
        <v>30249</v>
      </c>
      <c r="AS1786" t="s">
        <v>30250</v>
      </c>
      <c r="AT1786" t="s">
        <v>455</v>
      </c>
      <c r="AU1786">
        <v>2024</v>
      </c>
      <c r="AV1786">
        <v>15</v>
      </c>
      <c r="AW1786" t="s">
        <v>74</v>
      </c>
      <c r="AX1786" t="s">
        <v>74</v>
      </c>
      <c r="AY1786">
        <v>6</v>
      </c>
      <c r="AZ1786" t="s">
        <v>74</v>
      </c>
      <c r="BA1786" t="s">
        <v>74</v>
      </c>
      <c r="BB1786">
        <v>67</v>
      </c>
      <c r="BC1786">
        <v>83</v>
      </c>
      <c r="BD1786" t="s">
        <v>74</v>
      </c>
      <c r="BE1786" t="s">
        <v>30251</v>
      </c>
      <c r="BF1786" t="str">
        <f>HYPERLINK("http://dx.doi.org/10.1111/1758-5899.13435","http://dx.doi.org/10.1111/1758-5899.13435")</f>
        <v>http://dx.doi.org/10.1111/1758-5899.13435</v>
      </c>
      <c r="BG1786" t="s">
        <v>74</v>
      </c>
      <c r="BH1786" t="s">
        <v>74</v>
      </c>
      <c r="BI1786">
        <v>17</v>
      </c>
      <c r="BJ1786" t="s">
        <v>1004</v>
      </c>
      <c r="BK1786" t="s">
        <v>99</v>
      </c>
      <c r="BL1786" t="s">
        <v>1005</v>
      </c>
      <c r="BM1786" t="s">
        <v>30252</v>
      </c>
      <c r="BN1786" t="s">
        <v>74</v>
      </c>
      <c r="BO1786" t="s">
        <v>74</v>
      </c>
      <c r="BP1786" t="s">
        <v>74</v>
      </c>
      <c r="BQ1786" t="s">
        <v>74</v>
      </c>
      <c r="BR1786" t="s">
        <v>102</v>
      </c>
      <c r="BS1786" t="s">
        <v>30253</v>
      </c>
      <c r="BT1786" t="str">
        <f>HYPERLINK("https%3A%2F%2Fwww.webofscience.com%2Fwos%2Fwoscc%2Ffull-record%2FWOS:001338300200008","View Full Record in Web of Science")</f>
        <v>View Full Record in Web of Science</v>
      </c>
    </row>
    <row r="1787" spans="1:72" x14ac:dyDescent="0.35">
      <c r="A1787" t="s">
        <v>72</v>
      </c>
      <c r="B1787" t="s">
        <v>30254</v>
      </c>
      <c r="C1787" t="s">
        <v>74</v>
      </c>
      <c r="D1787" t="s">
        <v>74</v>
      </c>
      <c r="E1787" t="s">
        <v>74</v>
      </c>
      <c r="F1787" t="s">
        <v>30255</v>
      </c>
      <c r="G1787" t="s">
        <v>74</v>
      </c>
      <c r="H1787" t="s">
        <v>74</v>
      </c>
      <c r="I1787" t="s">
        <v>30256</v>
      </c>
      <c r="J1787" t="s">
        <v>24486</v>
      </c>
      <c r="K1787" t="s">
        <v>74</v>
      </c>
      <c r="L1787" t="s">
        <v>74</v>
      </c>
      <c r="M1787" t="s">
        <v>78</v>
      </c>
      <c r="N1787" t="s">
        <v>108</v>
      </c>
      <c r="O1787" t="s">
        <v>74</v>
      </c>
      <c r="P1787" t="s">
        <v>74</v>
      </c>
      <c r="Q1787" t="s">
        <v>74</v>
      </c>
      <c r="R1787" t="s">
        <v>74</v>
      </c>
      <c r="S1787" t="s">
        <v>74</v>
      </c>
      <c r="T1787" t="s">
        <v>30257</v>
      </c>
      <c r="U1787" t="s">
        <v>30258</v>
      </c>
      <c r="V1787" t="s">
        <v>30259</v>
      </c>
      <c r="W1787" t="s">
        <v>30260</v>
      </c>
      <c r="X1787" t="s">
        <v>30261</v>
      </c>
      <c r="Y1787" t="s">
        <v>30262</v>
      </c>
      <c r="Z1787" t="s">
        <v>30263</v>
      </c>
      <c r="AA1787" t="s">
        <v>74</v>
      </c>
      <c r="AB1787" t="s">
        <v>30264</v>
      </c>
      <c r="AC1787" t="s">
        <v>30265</v>
      </c>
      <c r="AD1787" t="s">
        <v>4847</v>
      </c>
      <c r="AE1787" t="s">
        <v>30266</v>
      </c>
      <c r="AF1787" t="s">
        <v>74</v>
      </c>
      <c r="AG1787">
        <v>19</v>
      </c>
      <c r="AH1787">
        <v>5</v>
      </c>
      <c r="AI1787">
        <v>5</v>
      </c>
      <c r="AJ1787">
        <v>118</v>
      </c>
      <c r="AK1787">
        <v>256</v>
      </c>
      <c r="AL1787" t="s">
        <v>24497</v>
      </c>
      <c r="AM1787" t="s">
        <v>24498</v>
      </c>
      <c r="AN1787" t="s">
        <v>24499</v>
      </c>
      <c r="AO1787" t="s">
        <v>24500</v>
      </c>
      <c r="AP1787" t="s">
        <v>24501</v>
      </c>
      <c r="AQ1787" t="s">
        <v>74</v>
      </c>
      <c r="AR1787" t="s">
        <v>24502</v>
      </c>
      <c r="AS1787" t="s">
        <v>24503</v>
      </c>
      <c r="AT1787" t="s">
        <v>6965</v>
      </c>
      <c r="AU1787">
        <v>2024</v>
      </c>
      <c r="AV1787">
        <v>43</v>
      </c>
      <c r="AW1787">
        <v>4</v>
      </c>
      <c r="AX1787" t="s">
        <v>74</v>
      </c>
      <c r="AY1787" t="s">
        <v>74</v>
      </c>
      <c r="AZ1787" t="s">
        <v>74</v>
      </c>
      <c r="BA1787" t="s">
        <v>74</v>
      </c>
      <c r="BB1787">
        <v>734</v>
      </c>
      <c r="BC1787">
        <v>750</v>
      </c>
      <c r="BD1787" t="s">
        <v>74</v>
      </c>
      <c r="BE1787" t="s">
        <v>30267</v>
      </c>
      <c r="BF1787" t="str">
        <f>HYPERLINK("http://dx.doi.org/10.1287/mksc.2022.0387","http://dx.doi.org/10.1287/mksc.2022.0387")</f>
        <v>http://dx.doi.org/10.1287/mksc.2022.0387</v>
      </c>
      <c r="BG1787" t="s">
        <v>74</v>
      </c>
      <c r="BH1787" t="s">
        <v>1449</v>
      </c>
      <c r="BI1787">
        <v>17</v>
      </c>
      <c r="BJ1787" t="s">
        <v>1597</v>
      </c>
      <c r="BK1787" t="s">
        <v>99</v>
      </c>
      <c r="BL1787" t="s">
        <v>480</v>
      </c>
      <c r="BM1787" t="s">
        <v>30268</v>
      </c>
      <c r="BN1787" t="s">
        <v>74</v>
      </c>
      <c r="BO1787" t="s">
        <v>74</v>
      </c>
      <c r="BP1787" t="s">
        <v>74</v>
      </c>
      <c r="BQ1787" t="s">
        <v>74</v>
      </c>
      <c r="BR1787" t="s">
        <v>102</v>
      </c>
      <c r="BS1787" t="s">
        <v>30269</v>
      </c>
      <c r="BT1787" t="str">
        <f>HYPERLINK("https%3A%2F%2Fwww.webofscience.com%2Fwos%2Fwoscc%2Ffull-record%2FWOS:001120949300001","View Full Record in Web of Science")</f>
        <v>View Full Record in Web of Science</v>
      </c>
    </row>
    <row r="1788" spans="1:72" x14ac:dyDescent="0.35">
      <c r="A1788" t="s">
        <v>72</v>
      </c>
      <c r="B1788" t="s">
        <v>30270</v>
      </c>
      <c r="C1788" t="s">
        <v>74</v>
      </c>
      <c r="D1788" t="s">
        <v>74</v>
      </c>
      <c r="E1788" t="s">
        <v>74</v>
      </c>
      <c r="F1788" t="s">
        <v>30271</v>
      </c>
      <c r="G1788" t="s">
        <v>74</v>
      </c>
      <c r="H1788" t="s">
        <v>74</v>
      </c>
      <c r="I1788" t="s">
        <v>30272</v>
      </c>
      <c r="J1788" t="s">
        <v>30273</v>
      </c>
      <c r="K1788" t="s">
        <v>74</v>
      </c>
      <c r="L1788" t="s">
        <v>74</v>
      </c>
      <c r="M1788" t="s">
        <v>78</v>
      </c>
      <c r="N1788" t="s">
        <v>108</v>
      </c>
      <c r="O1788" t="s">
        <v>74</v>
      </c>
      <c r="P1788" t="s">
        <v>74</v>
      </c>
      <c r="Q1788" t="s">
        <v>74</v>
      </c>
      <c r="R1788" t="s">
        <v>74</v>
      </c>
      <c r="S1788" t="s">
        <v>74</v>
      </c>
      <c r="T1788" t="s">
        <v>30274</v>
      </c>
      <c r="U1788" t="s">
        <v>30275</v>
      </c>
      <c r="V1788" t="s">
        <v>30276</v>
      </c>
      <c r="W1788" t="s">
        <v>30277</v>
      </c>
      <c r="X1788" t="s">
        <v>30278</v>
      </c>
      <c r="Y1788" t="s">
        <v>30279</v>
      </c>
      <c r="Z1788" t="s">
        <v>30280</v>
      </c>
      <c r="AA1788" t="s">
        <v>30281</v>
      </c>
      <c r="AB1788" t="s">
        <v>30282</v>
      </c>
      <c r="AC1788" t="s">
        <v>30283</v>
      </c>
      <c r="AD1788" t="s">
        <v>30284</v>
      </c>
      <c r="AE1788" t="s">
        <v>30285</v>
      </c>
      <c r="AF1788" t="s">
        <v>74</v>
      </c>
      <c r="AG1788">
        <v>39</v>
      </c>
      <c r="AH1788">
        <v>99</v>
      </c>
      <c r="AI1788">
        <v>104</v>
      </c>
      <c r="AJ1788">
        <v>27</v>
      </c>
      <c r="AK1788">
        <v>147</v>
      </c>
      <c r="AL1788" t="s">
        <v>25124</v>
      </c>
      <c r="AM1788" t="s">
        <v>18022</v>
      </c>
      <c r="AN1788" t="s">
        <v>25125</v>
      </c>
      <c r="AO1788" t="s">
        <v>30286</v>
      </c>
      <c r="AP1788" t="s">
        <v>30287</v>
      </c>
      <c r="AQ1788" t="s">
        <v>74</v>
      </c>
      <c r="AR1788" t="s">
        <v>30288</v>
      </c>
      <c r="AS1788" t="s">
        <v>30289</v>
      </c>
      <c r="AT1788" t="s">
        <v>1484</v>
      </c>
      <c r="AU1788">
        <v>2022</v>
      </c>
      <c r="AV1788">
        <v>32</v>
      </c>
      <c r="AW1788">
        <v>3</v>
      </c>
      <c r="AX1788" t="s">
        <v>74</v>
      </c>
      <c r="AY1788" t="s">
        <v>74</v>
      </c>
      <c r="AZ1788" t="s">
        <v>74</v>
      </c>
      <c r="BA1788" t="s">
        <v>74</v>
      </c>
      <c r="BB1788">
        <v>1089</v>
      </c>
      <c r="BC1788">
        <v>1102</v>
      </c>
      <c r="BD1788" t="s">
        <v>74</v>
      </c>
      <c r="BE1788" t="s">
        <v>30290</v>
      </c>
      <c r="BF1788" t="str">
        <f>HYPERLINK("http://dx.doi.org/10.1109/TCSVT.2021.3074259","http://dx.doi.org/10.1109/TCSVT.2021.3074259")</f>
        <v>http://dx.doi.org/10.1109/TCSVT.2021.3074259</v>
      </c>
      <c r="BG1788" t="s">
        <v>74</v>
      </c>
      <c r="BH1788" t="s">
        <v>74</v>
      </c>
      <c r="BI1788">
        <v>14</v>
      </c>
      <c r="BJ1788" t="s">
        <v>20731</v>
      </c>
      <c r="BK1788" t="s">
        <v>209</v>
      </c>
      <c r="BL1788" t="s">
        <v>20474</v>
      </c>
      <c r="BM1788" t="s">
        <v>30291</v>
      </c>
      <c r="BN1788" t="s">
        <v>74</v>
      </c>
      <c r="BO1788" t="s">
        <v>74</v>
      </c>
      <c r="BP1788" t="s">
        <v>395</v>
      </c>
      <c r="BQ1788" t="s">
        <v>396</v>
      </c>
      <c r="BR1788" t="s">
        <v>102</v>
      </c>
      <c r="BS1788" t="s">
        <v>30292</v>
      </c>
      <c r="BT1788" t="str">
        <f>HYPERLINK("https%3A%2F%2Fwww.webofscience.com%2Fwos%2Fwoscc%2Ffull-record%2FWOS:000766700400017","View Full Record in Web of Science")</f>
        <v>View Full Record in Web of Science</v>
      </c>
    </row>
    <row r="1789" spans="1:72" x14ac:dyDescent="0.35">
      <c r="A1789" t="s">
        <v>72</v>
      </c>
      <c r="B1789" t="s">
        <v>30293</v>
      </c>
      <c r="C1789" t="s">
        <v>74</v>
      </c>
      <c r="D1789" t="s">
        <v>74</v>
      </c>
      <c r="E1789" t="s">
        <v>74</v>
      </c>
      <c r="F1789" t="s">
        <v>30294</v>
      </c>
      <c r="G1789" t="s">
        <v>74</v>
      </c>
      <c r="H1789" t="s">
        <v>74</v>
      </c>
      <c r="I1789" t="s">
        <v>30295</v>
      </c>
      <c r="J1789" t="s">
        <v>5361</v>
      </c>
      <c r="K1789" t="s">
        <v>74</v>
      </c>
      <c r="L1789" t="s">
        <v>74</v>
      </c>
      <c r="M1789" t="s">
        <v>78</v>
      </c>
      <c r="N1789" t="s">
        <v>108</v>
      </c>
      <c r="O1789" t="s">
        <v>74</v>
      </c>
      <c r="P1789" t="s">
        <v>74</v>
      </c>
      <c r="Q1789" t="s">
        <v>74</v>
      </c>
      <c r="R1789" t="s">
        <v>74</v>
      </c>
      <c r="S1789" t="s">
        <v>74</v>
      </c>
      <c r="T1789" t="s">
        <v>30296</v>
      </c>
      <c r="U1789" t="s">
        <v>12117</v>
      </c>
      <c r="V1789" t="s">
        <v>30297</v>
      </c>
      <c r="W1789" t="s">
        <v>30298</v>
      </c>
      <c r="X1789" t="s">
        <v>30299</v>
      </c>
      <c r="Y1789" t="s">
        <v>30300</v>
      </c>
      <c r="Z1789" t="s">
        <v>30301</v>
      </c>
      <c r="AA1789" t="s">
        <v>30302</v>
      </c>
      <c r="AB1789" t="s">
        <v>74</v>
      </c>
      <c r="AC1789" t="s">
        <v>74</v>
      </c>
      <c r="AD1789" t="s">
        <v>74</v>
      </c>
      <c r="AE1789" t="s">
        <v>74</v>
      </c>
      <c r="AF1789" t="s">
        <v>74</v>
      </c>
      <c r="AG1789">
        <v>67</v>
      </c>
      <c r="AH1789">
        <v>10</v>
      </c>
      <c r="AI1789">
        <v>10</v>
      </c>
      <c r="AJ1789">
        <v>9</v>
      </c>
      <c r="AK1789">
        <v>65</v>
      </c>
      <c r="AL1789" t="s">
        <v>1965</v>
      </c>
      <c r="AM1789" t="s">
        <v>666</v>
      </c>
      <c r="AN1789" t="s">
        <v>1966</v>
      </c>
      <c r="AO1789" t="s">
        <v>5370</v>
      </c>
      <c r="AP1789" t="s">
        <v>5371</v>
      </c>
      <c r="AQ1789" t="s">
        <v>74</v>
      </c>
      <c r="AR1789" t="s">
        <v>5372</v>
      </c>
      <c r="AS1789" t="s">
        <v>5373</v>
      </c>
      <c r="AT1789" t="s">
        <v>1484</v>
      </c>
      <c r="AU1789">
        <v>2022</v>
      </c>
      <c r="AV1789">
        <v>176</v>
      </c>
      <c r="AW1789" t="s">
        <v>74</v>
      </c>
      <c r="AX1789" t="s">
        <v>74</v>
      </c>
      <c r="AY1789" t="s">
        <v>74</v>
      </c>
      <c r="AZ1789" t="s">
        <v>74</v>
      </c>
      <c r="BA1789" t="s">
        <v>74</v>
      </c>
      <c r="BB1789" t="s">
        <v>74</v>
      </c>
      <c r="BC1789" t="s">
        <v>74</v>
      </c>
      <c r="BD1789">
        <v>121484</v>
      </c>
      <c r="BE1789" t="s">
        <v>30303</v>
      </c>
      <c r="BF1789" t="str">
        <f>HYPERLINK("http://dx.doi.org/10.1016/j.techfore.2022.121484","http://dx.doi.org/10.1016/j.techfore.2022.121484")</f>
        <v>http://dx.doi.org/10.1016/j.techfore.2022.121484</v>
      </c>
      <c r="BG1789" t="s">
        <v>74</v>
      </c>
      <c r="BH1789" t="s">
        <v>2076</v>
      </c>
      <c r="BI1789">
        <v>10</v>
      </c>
      <c r="BJ1789" t="s">
        <v>5375</v>
      </c>
      <c r="BK1789" t="s">
        <v>99</v>
      </c>
      <c r="BL1789" t="s">
        <v>5376</v>
      </c>
      <c r="BM1789" t="s">
        <v>30304</v>
      </c>
      <c r="BN1789" t="s">
        <v>74</v>
      </c>
      <c r="BO1789" t="s">
        <v>74</v>
      </c>
      <c r="BP1789" t="s">
        <v>74</v>
      </c>
      <c r="BQ1789" t="s">
        <v>74</v>
      </c>
      <c r="BR1789" t="s">
        <v>102</v>
      </c>
      <c r="BS1789" t="s">
        <v>30305</v>
      </c>
      <c r="BT1789" t="str">
        <f>HYPERLINK("https%3A%2F%2Fwww.webofscience.com%2Fwos%2Fwoscc%2Ffull-record%2FWOS:000799768700030","View Full Record in Web of Science")</f>
        <v>View Full Record in Web of Science</v>
      </c>
    </row>
    <row r="1790" spans="1:72" x14ac:dyDescent="0.35">
      <c r="A1790" t="s">
        <v>72</v>
      </c>
      <c r="B1790" t="s">
        <v>30306</v>
      </c>
      <c r="C1790" t="s">
        <v>74</v>
      </c>
      <c r="D1790" t="s">
        <v>74</v>
      </c>
      <c r="E1790" t="s">
        <v>74</v>
      </c>
      <c r="F1790" t="s">
        <v>30307</v>
      </c>
      <c r="G1790" t="s">
        <v>74</v>
      </c>
      <c r="H1790" t="s">
        <v>74</v>
      </c>
      <c r="I1790" t="s">
        <v>30308</v>
      </c>
      <c r="J1790" t="s">
        <v>28513</v>
      </c>
      <c r="K1790" t="s">
        <v>74</v>
      </c>
      <c r="L1790" t="s">
        <v>74</v>
      </c>
      <c r="M1790" t="s">
        <v>78</v>
      </c>
      <c r="N1790" t="s">
        <v>108</v>
      </c>
      <c r="O1790" t="s">
        <v>74</v>
      </c>
      <c r="P1790" t="s">
        <v>74</v>
      </c>
      <c r="Q1790" t="s">
        <v>74</v>
      </c>
      <c r="R1790" t="s">
        <v>74</v>
      </c>
      <c r="S1790" t="s">
        <v>74</v>
      </c>
      <c r="T1790" t="s">
        <v>30309</v>
      </c>
      <c r="U1790" t="s">
        <v>74</v>
      </c>
      <c r="V1790" t="s">
        <v>30310</v>
      </c>
      <c r="W1790" t="s">
        <v>30311</v>
      </c>
      <c r="X1790" t="s">
        <v>30312</v>
      </c>
      <c r="Y1790" t="s">
        <v>30313</v>
      </c>
      <c r="Z1790" t="s">
        <v>30314</v>
      </c>
      <c r="AA1790" t="s">
        <v>74</v>
      </c>
      <c r="AB1790" t="s">
        <v>74</v>
      </c>
      <c r="AC1790" t="s">
        <v>74</v>
      </c>
      <c r="AD1790" t="s">
        <v>74</v>
      </c>
      <c r="AE1790" t="s">
        <v>74</v>
      </c>
      <c r="AF1790" t="s">
        <v>74</v>
      </c>
      <c r="AG1790">
        <v>8</v>
      </c>
      <c r="AH1790">
        <v>0</v>
      </c>
      <c r="AI1790">
        <v>0</v>
      </c>
      <c r="AJ1790">
        <v>2</v>
      </c>
      <c r="AK1790">
        <v>6</v>
      </c>
      <c r="AL1790" t="s">
        <v>28519</v>
      </c>
      <c r="AM1790" t="s">
        <v>8624</v>
      </c>
      <c r="AN1790" t="s">
        <v>28520</v>
      </c>
      <c r="AO1790" t="s">
        <v>28521</v>
      </c>
      <c r="AP1790" t="s">
        <v>74</v>
      </c>
      <c r="AQ1790" t="s">
        <v>74</v>
      </c>
      <c r="AR1790" t="s">
        <v>28522</v>
      </c>
      <c r="AS1790" t="s">
        <v>28523</v>
      </c>
      <c r="AT1790" t="s">
        <v>28524</v>
      </c>
      <c r="AU1790">
        <v>2023</v>
      </c>
      <c r="AV1790">
        <v>11</v>
      </c>
      <c r="AW1790">
        <v>1</v>
      </c>
      <c r="AX1790" t="s">
        <v>74</v>
      </c>
      <c r="AY1790" t="s">
        <v>74</v>
      </c>
      <c r="AZ1790" t="s">
        <v>74</v>
      </c>
      <c r="BA1790" t="s">
        <v>74</v>
      </c>
      <c r="BB1790">
        <v>62</v>
      </c>
      <c r="BC1790">
        <v>75</v>
      </c>
      <c r="BD1790" t="s">
        <v>74</v>
      </c>
      <c r="BE1790" t="s">
        <v>74</v>
      </c>
      <c r="BF1790" t="s">
        <v>74</v>
      </c>
      <c r="BG1790" t="s">
        <v>74</v>
      </c>
      <c r="BH1790" t="s">
        <v>74</v>
      </c>
      <c r="BI1790">
        <v>14</v>
      </c>
      <c r="BJ1790" t="s">
        <v>5420</v>
      </c>
      <c r="BK1790" t="s">
        <v>125</v>
      </c>
      <c r="BL1790" t="s">
        <v>5420</v>
      </c>
      <c r="BM1790" t="s">
        <v>30315</v>
      </c>
      <c r="BN1790" t="s">
        <v>74</v>
      </c>
      <c r="BO1790" t="s">
        <v>74</v>
      </c>
      <c r="BP1790" t="s">
        <v>74</v>
      </c>
      <c r="BQ1790" t="s">
        <v>74</v>
      </c>
      <c r="BR1790" t="s">
        <v>102</v>
      </c>
      <c r="BS1790" t="s">
        <v>30316</v>
      </c>
      <c r="BT1790" t="str">
        <f>HYPERLINK("https%3A%2F%2Fwww.webofscience.com%2Fwos%2Fwoscc%2Ffull-record%2FWOS:000964454800007","View Full Record in Web of Science")</f>
        <v>View Full Record in Web of Science</v>
      </c>
    </row>
    <row r="1791" spans="1:72" x14ac:dyDescent="0.35">
      <c r="A1791" t="s">
        <v>72</v>
      </c>
      <c r="B1791" t="s">
        <v>30317</v>
      </c>
      <c r="C1791" t="s">
        <v>74</v>
      </c>
      <c r="D1791" t="s">
        <v>74</v>
      </c>
      <c r="E1791" t="s">
        <v>74</v>
      </c>
      <c r="F1791" t="s">
        <v>30318</v>
      </c>
      <c r="G1791" t="s">
        <v>74</v>
      </c>
      <c r="H1791" t="s">
        <v>74</v>
      </c>
      <c r="I1791" t="s">
        <v>30319</v>
      </c>
      <c r="J1791" t="s">
        <v>30320</v>
      </c>
      <c r="K1791" t="s">
        <v>74</v>
      </c>
      <c r="L1791" t="s">
        <v>74</v>
      </c>
      <c r="M1791" t="s">
        <v>78</v>
      </c>
      <c r="N1791" t="s">
        <v>108</v>
      </c>
      <c r="O1791" t="s">
        <v>74</v>
      </c>
      <c r="P1791" t="s">
        <v>74</v>
      </c>
      <c r="Q1791" t="s">
        <v>74</v>
      </c>
      <c r="R1791" t="s">
        <v>74</v>
      </c>
      <c r="S1791" t="s">
        <v>74</v>
      </c>
      <c r="T1791" t="s">
        <v>30321</v>
      </c>
      <c r="U1791" t="s">
        <v>74</v>
      </c>
      <c r="V1791" t="s">
        <v>30322</v>
      </c>
      <c r="W1791" t="s">
        <v>30323</v>
      </c>
      <c r="X1791" t="s">
        <v>30324</v>
      </c>
      <c r="Y1791" t="s">
        <v>30325</v>
      </c>
      <c r="Z1791" t="s">
        <v>30326</v>
      </c>
      <c r="AA1791" t="s">
        <v>74</v>
      </c>
      <c r="AB1791" t="s">
        <v>74</v>
      </c>
      <c r="AC1791" t="s">
        <v>74</v>
      </c>
      <c r="AD1791" t="s">
        <v>74</v>
      </c>
      <c r="AE1791" t="s">
        <v>74</v>
      </c>
      <c r="AF1791" t="s">
        <v>74</v>
      </c>
      <c r="AG1791">
        <v>46</v>
      </c>
      <c r="AH1791">
        <v>2</v>
      </c>
      <c r="AI1791">
        <v>2</v>
      </c>
      <c r="AJ1791">
        <v>2</v>
      </c>
      <c r="AK1791">
        <v>11</v>
      </c>
      <c r="AL1791" t="s">
        <v>25443</v>
      </c>
      <c r="AM1791" t="s">
        <v>4435</v>
      </c>
      <c r="AN1791" t="s">
        <v>25444</v>
      </c>
      <c r="AO1791" t="s">
        <v>74</v>
      </c>
      <c r="AP1791" t="s">
        <v>30327</v>
      </c>
      <c r="AQ1791" t="s">
        <v>74</v>
      </c>
      <c r="AR1791" t="s">
        <v>30328</v>
      </c>
      <c r="AS1791" t="s">
        <v>30329</v>
      </c>
      <c r="AT1791" t="s">
        <v>30330</v>
      </c>
      <c r="AU1791">
        <v>2022</v>
      </c>
      <c r="AV1791">
        <v>5</v>
      </c>
      <c r="AW1791">
        <v>2</v>
      </c>
      <c r="AX1791" t="s">
        <v>74</v>
      </c>
      <c r="AY1791" t="s">
        <v>74</v>
      </c>
      <c r="AZ1791" t="s">
        <v>74</v>
      </c>
      <c r="BA1791" t="s">
        <v>74</v>
      </c>
      <c r="BB1791">
        <v>105</v>
      </c>
      <c r="BC1791">
        <v>114</v>
      </c>
      <c r="BD1791" t="s">
        <v>74</v>
      </c>
      <c r="BE1791" t="s">
        <v>30331</v>
      </c>
      <c r="BF1791" t="str">
        <f>HYPERLINK("http://dx.doi.org/10.1515/iph-2022-2047","http://dx.doi.org/10.1515/iph-2022-2047")</f>
        <v>http://dx.doi.org/10.1515/iph-2022-2047</v>
      </c>
      <c r="BG1791" t="s">
        <v>74</v>
      </c>
      <c r="BH1791" t="s">
        <v>3970</v>
      </c>
      <c r="BI1791">
        <v>10</v>
      </c>
      <c r="BJ1791" t="s">
        <v>30332</v>
      </c>
      <c r="BK1791" t="s">
        <v>125</v>
      </c>
      <c r="BL1791" t="s">
        <v>30332</v>
      </c>
      <c r="BM1791" t="s">
        <v>30333</v>
      </c>
      <c r="BN1791" t="s">
        <v>74</v>
      </c>
      <c r="BO1791" t="s">
        <v>156</v>
      </c>
      <c r="BP1791" t="s">
        <v>74</v>
      </c>
      <c r="BQ1791" t="s">
        <v>74</v>
      </c>
      <c r="BR1791" t="s">
        <v>102</v>
      </c>
      <c r="BS1791" t="s">
        <v>30334</v>
      </c>
      <c r="BT1791" t="str">
        <f>HYPERLINK("https%3A%2F%2Fwww.webofscience.com%2Fwos%2Fwoscc%2Ffull-record%2FWOS:000895462700001","View Full Record in Web of Science")</f>
        <v>View Full Record in Web of Science</v>
      </c>
    </row>
    <row r="1792" spans="1:72" x14ac:dyDescent="0.35">
      <c r="A1792" t="s">
        <v>72</v>
      </c>
      <c r="B1792" t="s">
        <v>30335</v>
      </c>
      <c r="C1792" t="s">
        <v>74</v>
      </c>
      <c r="D1792" t="s">
        <v>74</v>
      </c>
      <c r="E1792" t="s">
        <v>74</v>
      </c>
      <c r="F1792" t="s">
        <v>30336</v>
      </c>
      <c r="G1792" t="s">
        <v>74</v>
      </c>
      <c r="H1792" t="s">
        <v>74</v>
      </c>
      <c r="I1792" t="s">
        <v>30337</v>
      </c>
      <c r="J1792" t="s">
        <v>1034</v>
      </c>
      <c r="K1792" t="s">
        <v>74</v>
      </c>
      <c r="L1792" t="s">
        <v>74</v>
      </c>
      <c r="M1792" t="s">
        <v>78</v>
      </c>
      <c r="N1792" t="s">
        <v>108</v>
      </c>
      <c r="O1792" t="s">
        <v>74</v>
      </c>
      <c r="P1792" t="s">
        <v>74</v>
      </c>
      <c r="Q1792" t="s">
        <v>74</v>
      </c>
      <c r="R1792" t="s">
        <v>74</v>
      </c>
      <c r="S1792" t="s">
        <v>74</v>
      </c>
      <c r="T1792" t="s">
        <v>30338</v>
      </c>
      <c r="U1792" t="s">
        <v>30339</v>
      </c>
      <c r="V1792" t="s">
        <v>30340</v>
      </c>
      <c r="W1792" t="s">
        <v>30341</v>
      </c>
      <c r="X1792" t="s">
        <v>20669</v>
      </c>
      <c r="Y1792" t="s">
        <v>30342</v>
      </c>
      <c r="Z1792" t="s">
        <v>30343</v>
      </c>
      <c r="AA1792" t="s">
        <v>30344</v>
      </c>
      <c r="AB1792" t="s">
        <v>30345</v>
      </c>
      <c r="AC1792" t="s">
        <v>30346</v>
      </c>
      <c r="AD1792" t="s">
        <v>30346</v>
      </c>
      <c r="AE1792" t="s">
        <v>30347</v>
      </c>
      <c r="AF1792" t="s">
        <v>74</v>
      </c>
      <c r="AG1792">
        <v>63</v>
      </c>
      <c r="AH1792">
        <v>76</v>
      </c>
      <c r="AI1792">
        <v>78</v>
      </c>
      <c r="AJ1792">
        <v>50</v>
      </c>
      <c r="AK1792">
        <v>200</v>
      </c>
      <c r="AL1792" t="s">
        <v>226</v>
      </c>
      <c r="AM1792" t="s">
        <v>227</v>
      </c>
      <c r="AN1792" t="s">
        <v>228</v>
      </c>
      <c r="AO1792" t="s">
        <v>1041</v>
      </c>
      <c r="AP1792" t="s">
        <v>1042</v>
      </c>
      <c r="AQ1792" t="s">
        <v>74</v>
      </c>
      <c r="AR1792" t="s">
        <v>1043</v>
      </c>
      <c r="AS1792" t="s">
        <v>1044</v>
      </c>
      <c r="AT1792" t="s">
        <v>1484</v>
      </c>
      <c r="AU1792">
        <v>2023</v>
      </c>
      <c r="AV1792">
        <v>45</v>
      </c>
      <c r="AW1792">
        <v>2</v>
      </c>
      <c r="AX1792" t="s">
        <v>74</v>
      </c>
      <c r="AY1792" t="s">
        <v>74</v>
      </c>
      <c r="AZ1792" t="s">
        <v>74</v>
      </c>
      <c r="BA1792" t="s">
        <v>74</v>
      </c>
      <c r="BB1792">
        <v>285</v>
      </c>
      <c r="BC1792">
        <v>304</v>
      </c>
      <c r="BD1792" t="s">
        <v>74</v>
      </c>
      <c r="BE1792" t="s">
        <v>30348</v>
      </c>
      <c r="BF1792" t="str">
        <f>HYPERLINK("http://dx.doi.org/10.1177/01634437221111923","http://dx.doi.org/10.1177/01634437221111923")</f>
        <v>http://dx.doi.org/10.1177/01634437221111923</v>
      </c>
      <c r="BG1792" t="s">
        <v>74</v>
      </c>
      <c r="BH1792" t="s">
        <v>2175</v>
      </c>
      <c r="BI1792">
        <v>20</v>
      </c>
      <c r="BJ1792" t="s">
        <v>1047</v>
      </c>
      <c r="BK1792" t="s">
        <v>99</v>
      </c>
      <c r="BL1792" t="s">
        <v>1047</v>
      </c>
      <c r="BM1792" t="s">
        <v>5705</v>
      </c>
      <c r="BN1792" t="s">
        <v>74</v>
      </c>
      <c r="BO1792" t="s">
        <v>74</v>
      </c>
      <c r="BP1792" t="s">
        <v>395</v>
      </c>
      <c r="BQ1792" t="s">
        <v>396</v>
      </c>
      <c r="BR1792" t="s">
        <v>102</v>
      </c>
      <c r="BS1792" t="s">
        <v>30349</v>
      </c>
      <c r="BT1792" t="str">
        <f>HYPERLINK("https%3A%2F%2Fwww.webofscience.com%2Fwos%2Fwoscc%2Ffull-record%2FWOS:000829117200001","View Full Record in Web of Science")</f>
        <v>View Full Record in Web of Science</v>
      </c>
    </row>
    <row r="1793" spans="1:72" x14ac:dyDescent="0.35">
      <c r="A1793" t="s">
        <v>72</v>
      </c>
      <c r="B1793" t="s">
        <v>30350</v>
      </c>
      <c r="C1793" t="s">
        <v>74</v>
      </c>
      <c r="D1793" t="s">
        <v>74</v>
      </c>
      <c r="E1793" t="s">
        <v>74</v>
      </c>
      <c r="F1793" t="s">
        <v>30351</v>
      </c>
      <c r="G1793" t="s">
        <v>74</v>
      </c>
      <c r="H1793" t="s">
        <v>74</v>
      </c>
      <c r="I1793" t="s">
        <v>30352</v>
      </c>
      <c r="J1793" t="s">
        <v>13819</v>
      </c>
      <c r="K1793" t="s">
        <v>74</v>
      </c>
      <c r="L1793" t="s">
        <v>74</v>
      </c>
      <c r="M1793" t="s">
        <v>78</v>
      </c>
      <c r="N1793" t="s">
        <v>108</v>
      </c>
      <c r="O1793" t="s">
        <v>74</v>
      </c>
      <c r="P1793" t="s">
        <v>74</v>
      </c>
      <c r="Q1793" t="s">
        <v>74</v>
      </c>
      <c r="R1793" t="s">
        <v>74</v>
      </c>
      <c r="S1793" t="s">
        <v>74</v>
      </c>
      <c r="T1793" t="s">
        <v>30353</v>
      </c>
      <c r="U1793" t="s">
        <v>30354</v>
      </c>
      <c r="V1793" t="s">
        <v>30355</v>
      </c>
      <c r="W1793" t="s">
        <v>30356</v>
      </c>
      <c r="X1793" t="s">
        <v>30357</v>
      </c>
      <c r="Y1793" t="s">
        <v>30358</v>
      </c>
      <c r="Z1793" t="s">
        <v>30359</v>
      </c>
      <c r="AA1793" t="s">
        <v>30360</v>
      </c>
      <c r="AB1793" t="s">
        <v>30361</v>
      </c>
      <c r="AC1793" t="s">
        <v>74</v>
      </c>
      <c r="AD1793" t="s">
        <v>74</v>
      </c>
      <c r="AE1793" t="s">
        <v>74</v>
      </c>
      <c r="AF1793" t="s">
        <v>74</v>
      </c>
      <c r="AG1793">
        <v>45</v>
      </c>
      <c r="AH1793">
        <v>2</v>
      </c>
      <c r="AI1793">
        <v>2</v>
      </c>
      <c r="AJ1793">
        <v>2</v>
      </c>
      <c r="AK1793">
        <v>14</v>
      </c>
      <c r="AL1793" t="s">
        <v>1195</v>
      </c>
      <c r="AM1793" t="s">
        <v>1196</v>
      </c>
      <c r="AN1793" t="s">
        <v>1197</v>
      </c>
      <c r="AO1793" t="s">
        <v>74</v>
      </c>
      <c r="AP1793" t="s">
        <v>13826</v>
      </c>
      <c r="AQ1793" t="s">
        <v>74</v>
      </c>
      <c r="AR1793" t="s">
        <v>13819</v>
      </c>
      <c r="AS1793" t="s">
        <v>13827</v>
      </c>
      <c r="AT1793" t="s">
        <v>1001</v>
      </c>
      <c r="AU1793">
        <v>2023</v>
      </c>
      <c r="AV1793">
        <v>14</v>
      </c>
      <c r="AW1793">
        <v>5</v>
      </c>
      <c r="AX1793" t="s">
        <v>74</v>
      </c>
      <c r="AY1793" t="s">
        <v>74</v>
      </c>
      <c r="AZ1793" t="s">
        <v>74</v>
      </c>
      <c r="BA1793" t="s">
        <v>74</v>
      </c>
      <c r="BB1793" t="s">
        <v>74</v>
      </c>
      <c r="BC1793" t="s">
        <v>74</v>
      </c>
      <c r="BD1793">
        <v>602</v>
      </c>
      <c r="BE1793" t="s">
        <v>30362</v>
      </c>
      <c r="BF1793" t="str">
        <f>HYPERLINK("http://dx.doi.org/10.3390/rel14050602","http://dx.doi.org/10.3390/rel14050602")</f>
        <v>http://dx.doi.org/10.3390/rel14050602</v>
      </c>
      <c r="BG1793" t="s">
        <v>74</v>
      </c>
      <c r="BH1793" t="s">
        <v>74</v>
      </c>
      <c r="BI1793">
        <v>13</v>
      </c>
      <c r="BJ1793" t="s">
        <v>13829</v>
      </c>
      <c r="BK1793" t="s">
        <v>316</v>
      </c>
      <c r="BL1793" t="s">
        <v>13829</v>
      </c>
      <c r="BM1793" t="s">
        <v>30363</v>
      </c>
      <c r="BN1793" t="s">
        <v>74</v>
      </c>
      <c r="BO1793" t="s">
        <v>552</v>
      </c>
      <c r="BP1793" t="s">
        <v>74</v>
      </c>
      <c r="BQ1793" t="s">
        <v>74</v>
      </c>
      <c r="BR1793" t="s">
        <v>102</v>
      </c>
      <c r="BS1793" t="s">
        <v>30364</v>
      </c>
      <c r="BT1793" t="str">
        <f>HYPERLINK("https%3A%2F%2Fwww.webofscience.com%2Fwos%2Fwoscc%2Ffull-record%2FWOS:000997929000001","View Full Record in Web of Science")</f>
        <v>View Full Record in Web of Science</v>
      </c>
    </row>
    <row r="1794" spans="1:72" x14ac:dyDescent="0.35">
      <c r="A1794" t="s">
        <v>72</v>
      </c>
      <c r="B1794" t="s">
        <v>30365</v>
      </c>
      <c r="C1794" t="s">
        <v>74</v>
      </c>
      <c r="D1794" t="s">
        <v>74</v>
      </c>
      <c r="E1794" t="s">
        <v>74</v>
      </c>
      <c r="F1794" t="s">
        <v>30366</v>
      </c>
      <c r="G1794" t="s">
        <v>74</v>
      </c>
      <c r="H1794" t="s">
        <v>74</v>
      </c>
      <c r="I1794" t="s">
        <v>30367</v>
      </c>
      <c r="J1794" t="s">
        <v>30368</v>
      </c>
      <c r="K1794" t="s">
        <v>74</v>
      </c>
      <c r="L1794" t="s">
        <v>74</v>
      </c>
      <c r="M1794" t="s">
        <v>78</v>
      </c>
      <c r="N1794" t="s">
        <v>108</v>
      </c>
      <c r="O1794" t="s">
        <v>74</v>
      </c>
      <c r="P1794" t="s">
        <v>74</v>
      </c>
      <c r="Q1794" t="s">
        <v>74</v>
      </c>
      <c r="R1794" t="s">
        <v>74</v>
      </c>
      <c r="S1794" t="s">
        <v>74</v>
      </c>
      <c r="T1794" t="s">
        <v>30369</v>
      </c>
      <c r="U1794" t="s">
        <v>74</v>
      </c>
      <c r="V1794" t="s">
        <v>30370</v>
      </c>
      <c r="W1794" t="s">
        <v>30371</v>
      </c>
      <c r="X1794" t="s">
        <v>74</v>
      </c>
      <c r="Y1794" t="s">
        <v>30372</v>
      </c>
      <c r="Z1794" t="s">
        <v>30373</v>
      </c>
      <c r="AA1794" t="s">
        <v>74</v>
      </c>
      <c r="AB1794" t="s">
        <v>74</v>
      </c>
      <c r="AC1794" t="s">
        <v>74</v>
      </c>
      <c r="AD1794" t="s">
        <v>74</v>
      </c>
      <c r="AE1794" t="s">
        <v>74</v>
      </c>
      <c r="AF1794" t="s">
        <v>74</v>
      </c>
      <c r="AG1794">
        <v>7</v>
      </c>
      <c r="AH1794">
        <v>3</v>
      </c>
      <c r="AI1794">
        <v>3</v>
      </c>
      <c r="AJ1794">
        <v>5</v>
      </c>
      <c r="AK1794">
        <v>17</v>
      </c>
      <c r="AL1794" t="s">
        <v>30374</v>
      </c>
      <c r="AM1794" t="s">
        <v>13498</v>
      </c>
      <c r="AN1794" t="s">
        <v>30375</v>
      </c>
      <c r="AO1794" t="s">
        <v>30376</v>
      </c>
      <c r="AP1794" t="s">
        <v>30377</v>
      </c>
      <c r="AQ1794" t="s">
        <v>74</v>
      </c>
      <c r="AR1794" t="s">
        <v>30378</v>
      </c>
      <c r="AS1794" t="s">
        <v>30379</v>
      </c>
      <c r="AT1794" t="s">
        <v>455</v>
      </c>
      <c r="AU1794">
        <v>2020</v>
      </c>
      <c r="AV1794">
        <v>6</v>
      </c>
      <c r="AW1794">
        <v>2</v>
      </c>
      <c r="AX1794" t="s">
        <v>74</v>
      </c>
      <c r="AY1794" t="s">
        <v>74</v>
      </c>
      <c r="AZ1794" t="s">
        <v>74</v>
      </c>
      <c r="BA1794" t="s">
        <v>74</v>
      </c>
      <c r="BB1794">
        <v>407</v>
      </c>
      <c r="BC1794">
        <v>415</v>
      </c>
      <c r="BD1794" t="s">
        <v>74</v>
      </c>
      <c r="BE1794" t="s">
        <v>30380</v>
      </c>
      <c r="BF1794" t="str">
        <f>HYPERLINK("http://dx.doi.org/10.14330/cwr.2020.6.2.08","http://dx.doi.org/10.14330/cwr.2020.6.2.08")</f>
        <v>http://dx.doi.org/10.14330/cwr.2020.6.2.08</v>
      </c>
      <c r="BG1794" t="s">
        <v>74</v>
      </c>
      <c r="BH1794" t="s">
        <v>74</v>
      </c>
      <c r="BI1794">
        <v>9</v>
      </c>
      <c r="BJ1794" t="s">
        <v>10320</v>
      </c>
      <c r="BK1794" t="s">
        <v>125</v>
      </c>
      <c r="BL1794" t="s">
        <v>8015</v>
      </c>
      <c r="BM1794" t="s">
        <v>30381</v>
      </c>
      <c r="BN1794" t="s">
        <v>74</v>
      </c>
      <c r="BO1794" t="s">
        <v>156</v>
      </c>
      <c r="BP1794" t="s">
        <v>74</v>
      </c>
      <c r="BQ1794" t="s">
        <v>74</v>
      </c>
      <c r="BR1794" t="s">
        <v>102</v>
      </c>
      <c r="BS1794" t="s">
        <v>30382</v>
      </c>
      <c r="BT1794" t="str">
        <f>HYPERLINK("https%3A%2F%2Fwww.webofscience.com%2Fwos%2Fwoscc%2Ffull-record%2FWOS:000563791900009","View Full Record in Web of Science")</f>
        <v>View Full Record in Web of Science</v>
      </c>
    </row>
    <row r="1795" spans="1:72" x14ac:dyDescent="0.35">
      <c r="A1795" t="s">
        <v>72</v>
      </c>
      <c r="B1795" t="s">
        <v>30383</v>
      </c>
      <c r="C1795" t="s">
        <v>74</v>
      </c>
      <c r="D1795" t="s">
        <v>74</v>
      </c>
      <c r="E1795" t="s">
        <v>74</v>
      </c>
      <c r="F1795" t="s">
        <v>30384</v>
      </c>
      <c r="G1795" t="s">
        <v>74</v>
      </c>
      <c r="H1795" t="s">
        <v>74</v>
      </c>
      <c r="I1795" t="s">
        <v>30385</v>
      </c>
      <c r="J1795" t="s">
        <v>30386</v>
      </c>
      <c r="K1795" t="s">
        <v>74</v>
      </c>
      <c r="L1795" t="s">
        <v>74</v>
      </c>
      <c r="M1795" t="s">
        <v>78</v>
      </c>
      <c r="N1795" t="s">
        <v>79</v>
      </c>
      <c r="O1795" t="s">
        <v>74</v>
      </c>
      <c r="P1795" t="s">
        <v>74</v>
      </c>
      <c r="Q1795" t="s">
        <v>74</v>
      </c>
      <c r="R1795" t="s">
        <v>74</v>
      </c>
      <c r="S1795" t="s">
        <v>74</v>
      </c>
      <c r="T1795" t="s">
        <v>30387</v>
      </c>
      <c r="U1795" t="s">
        <v>30388</v>
      </c>
      <c r="V1795" t="s">
        <v>30389</v>
      </c>
      <c r="W1795" t="s">
        <v>30390</v>
      </c>
      <c r="X1795" t="s">
        <v>30391</v>
      </c>
      <c r="Y1795" t="s">
        <v>30392</v>
      </c>
      <c r="Z1795" t="s">
        <v>30393</v>
      </c>
      <c r="AA1795" t="s">
        <v>74</v>
      </c>
      <c r="AB1795" t="s">
        <v>30394</v>
      </c>
      <c r="AC1795" t="s">
        <v>74</v>
      </c>
      <c r="AD1795" t="s">
        <v>74</v>
      </c>
      <c r="AE1795" t="s">
        <v>74</v>
      </c>
      <c r="AF1795" t="s">
        <v>74</v>
      </c>
      <c r="AG1795">
        <v>71</v>
      </c>
      <c r="AH1795">
        <v>0</v>
      </c>
      <c r="AI1795">
        <v>0</v>
      </c>
      <c r="AJ1795">
        <v>1</v>
      </c>
      <c r="AK1795">
        <v>1</v>
      </c>
      <c r="AL1795" t="s">
        <v>226</v>
      </c>
      <c r="AM1795" t="s">
        <v>227</v>
      </c>
      <c r="AN1795" t="s">
        <v>228</v>
      </c>
      <c r="AO1795" t="s">
        <v>30395</v>
      </c>
      <c r="AP1795" t="s">
        <v>30396</v>
      </c>
      <c r="AQ1795" t="s">
        <v>74</v>
      </c>
      <c r="AR1795" t="s">
        <v>30397</v>
      </c>
      <c r="AS1795" t="s">
        <v>30398</v>
      </c>
      <c r="AT1795" t="s">
        <v>22157</v>
      </c>
      <c r="AU1795">
        <v>2024</v>
      </c>
      <c r="AV1795" t="s">
        <v>74</v>
      </c>
      <c r="AW1795" t="s">
        <v>74</v>
      </c>
      <c r="AX1795" t="s">
        <v>74</v>
      </c>
      <c r="AY1795" t="s">
        <v>74</v>
      </c>
      <c r="AZ1795" t="s">
        <v>74</v>
      </c>
      <c r="BA1795" t="s">
        <v>74</v>
      </c>
      <c r="BB1795" t="s">
        <v>74</v>
      </c>
      <c r="BC1795" t="s">
        <v>74</v>
      </c>
      <c r="BD1795" t="s">
        <v>74</v>
      </c>
      <c r="BE1795" t="s">
        <v>30399</v>
      </c>
      <c r="BF1795" t="str">
        <f>HYPERLINK("http://dx.doi.org/10.1177/17416590241259662","http://dx.doi.org/10.1177/17416590241259662")</f>
        <v>http://dx.doi.org/10.1177/17416590241259662</v>
      </c>
      <c r="BG1795" t="s">
        <v>74</v>
      </c>
      <c r="BH1795" t="s">
        <v>500</v>
      </c>
      <c r="BI1795">
        <v>23</v>
      </c>
      <c r="BJ1795" t="s">
        <v>30400</v>
      </c>
      <c r="BK1795" t="s">
        <v>99</v>
      </c>
      <c r="BL1795" t="s">
        <v>30400</v>
      </c>
      <c r="BM1795" t="s">
        <v>30401</v>
      </c>
      <c r="BN1795" t="s">
        <v>74</v>
      </c>
      <c r="BO1795" t="s">
        <v>156</v>
      </c>
      <c r="BP1795" t="s">
        <v>74</v>
      </c>
      <c r="BQ1795" t="s">
        <v>74</v>
      </c>
      <c r="BR1795" t="s">
        <v>102</v>
      </c>
      <c r="BS1795" t="s">
        <v>30402</v>
      </c>
      <c r="BT1795" t="str">
        <f>HYPERLINK("https%3A%2F%2Fwww.webofscience.com%2Fwos%2Fwoscc%2Ffull-record%2FWOS:001246383000001","View Full Record in Web of Science")</f>
        <v>View Full Record in Web of Science</v>
      </c>
    </row>
    <row r="1796" spans="1:72" x14ac:dyDescent="0.35">
      <c r="A1796" t="s">
        <v>128</v>
      </c>
      <c r="B1796" t="s">
        <v>30403</v>
      </c>
      <c r="C1796" t="s">
        <v>74</v>
      </c>
      <c r="D1796" t="s">
        <v>30404</v>
      </c>
      <c r="E1796" t="s">
        <v>74</v>
      </c>
      <c r="F1796" t="s">
        <v>30405</v>
      </c>
      <c r="G1796" t="s">
        <v>74</v>
      </c>
      <c r="H1796" t="s">
        <v>74</v>
      </c>
      <c r="I1796" t="s">
        <v>30406</v>
      </c>
      <c r="J1796" t="s">
        <v>30407</v>
      </c>
      <c r="K1796" t="s">
        <v>74</v>
      </c>
      <c r="L1796" t="s">
        <v>74</v>
      </c>
      <c r="M1796" t="s">
        <v>78</v>
      </c>
      <c r="N1796" t="s">
        <v>135</v>
      </c>
      <c r="O1796" t="s">
        <v>30408</v>
      </c>
      <c r="P1796" t="s">
        <v>30409</v>
      </c>
      <c r="Q1796" t="s">
        <v>30410</v>
      </c>
      <c r="R1796" t="s">
        <v>30411</v>
      </c>
      <c r="S1796" t="s">
        <v>74</v>
      </c>
      <c r="T1796" t="s">
        <v>30412</v>
      </c>
      <c r="U1796" t="s">
        <v>74</v>
      </c>
      <c r="V1796" t="s">
        <v>30413</v>
      </c>
      <c r="W1796" t="s">
        <v>30414</v>
      </c>
      <c r="X1796" t="s">
        <v>30415</v>
      </c>
      <c r="Y1796" t="s">
        <v>30416</v>
      </c>
      <c r="Z1796" t="s">
        <v>30417</v>
      </c>
      <c r="AA1796" t="s">
        <v>30418</v>
      </c>
      <c r="AB1796" t="s">
        <v>74</v>
      </c>
      <c r="AC1796" t="s">
        <v>74</v>
      </c>
      <c r="AD1796" t="s">
        <v>74</v>
      </c>
      <c r="AE1796" t="s">
        <v>74</v>
      </c>
      <c r="AF1796" t="s">
        <v>74</v>
      </c>
      <c r="AG1796">
        <v>23</v>
      </c>
      <c r="AH1796">
        <v>0</v>
      </c>
      <c r="AI1796">
        <v>0</v>
      </c>
      <c r="AJ1796">
        <v>1</v>
      </c>
      <c r="AK1796">
        <v>1</v>
      </c>
      <c r="AL1796" t="s">
        <v>718</v>
      </c>
      <c r="AM1796" t="s">
        <v>666</v>
      </c>
      <c r="AN1796" t="s">
        <v>719</v>
      </c>
      <c r="AO1796" t="s">
        <v>74</v>
      </c>
      <c r="AP1796" t="s">
        <v>74</v>
      </c>
      <c r="AQ1796" t="s">
        <v>30419</v>
      </c>
      <c r="AR1796" t="s">
        <v>74</v>
      </c>
      <c r="AS1796" t="s">
        <v>74</v>
      </c>
      <c r="AT1796" t="s">
        <v>74</v>
      </c>
      <c r="AU1796">
        <v>2024</v>
      </c>
      <c r="AV1796" t="s">
        <v>74</v>
      </c>
      <c r="AW1796" t="s">
        <v>74</v>
      </c>
      <c r="AX1796" t="s">
        <v>74</v>
      </c>
      <c r="AY1796" t="s">
        <v>74</v>
      </c>
      <c r="AZ1796" t="s">
        <v>74</v>
      </c>
      <c r="BA1796" t="s">
        <v>74</v>
      </c>
      <c r="BB1796">
        <v>177</v>
      </c>
      <c r="BC1796">
        <v>185</v>
      </c>
      <c r="BD1796" t="s">
        <v>74</v>
      </c>
      <c r="BE1796" t="s">
        <v>30420</v>
      </c>
      <c r="BF1796" t="str">
        <f>HYPERLINK("http://dx.doi.org/10.1145/3657054.3657251","http://dx.doi.org/10.1145/3657054.3657251")</f>
        <v>http://dx.doi.org/10.1145/3657054.3657251</v>
      </c>
      <c r="BG1796" t="s">
        <v>74</v>
      </c>
      <c r="BH1796" t="s">
        <v>74</v>
      </c>
      <c r="BI1796">
        <v>9</v>
      </c>
      <c r="BJ1796" t="s">
        <v>30421</v>
      </c>
      <c r="BK1796" t="s">
        <v>648</v>
      </c>
      <c r="BL1796" t="s">
        <v>30422</v>
      </c>
      <c r="BM1796" t="s">
        <v>30423</v>
      </c>
      <c r="BN1796" t="s">
        <v>74</v>
      </c>
      <c r="BO1796" t="s">
        <v>74</v>
      </c>
      <c r="BP1796" t="s">
        <v>74</v>
      </c>
      <c r="BQ1796" t="s">
        <v>74</v>
      </c>
      <c r="BR1796" t="s">
        <v>102</v>
      </c>
      <c r="BS1796" t="s">
        <v>30424</v>
      </c>
      <c r="BT1796" t="str">
        <f>HYPERLINK("https%3A%2F%2Fwww.webofscience.com%2Fwos%2Fwoscc%2Ffull-record%2FWOS:001238979900017","View Full Record in Web of Science")</f>
        <v>View Full Record in Web of Science</v>
      </c>
    </row>
    <row r="1797" spans="1:72" x14ac:dyDescent="0.35">
      <c r="A1797" t="s">
        <v>128</v>
      </c>
      <c r="B1797" t="s">
        <v>30425</v>
      </c>
      <c r="C1797" t="s">
        <v>74</v>
      </c>
      <c r="D1797" t="s">
        <v>30426</v>
      </c>
      <c r="E1797" t="s">
        <v>74</v>
      </c>
      <c r="F1797" t="s">
        <v>30427</v>
      </c>
      <c r="G1797" t="s">
        <v>74</v>
      </c>
      <c r="H1797" t="s">
        <v>74</v>
      </c>
      <c r="I1797" t="s">
        <v>30428</v>
      </c>
      <c r="J1797" t="s">
        <v>30429</v>
      </c>
      <c r="K1797" t="s">
        <v>8364</v>
      </c>
      <c r="L1797" t="s">
        <v>74</v>
      </c>
      <c r="M1797" t="s">
        <v>78</v>
      </c>
      <c r="N1797" t="s">
        <v>135</v>
      </c>
      <c r="O1797" t="s">
        <v>30430</v>
      </c>
      <c r="P1797" t="s">
        <v>30431</v>
      </c>
      <c r="Q1797" t="s">
        <v>30432</v>
      </c>
      <c r="R1797" t="s">
        <v>74</v>
      </c>
      <c r="S1797" t="s">
        <v>74</v>
      </c>
      <c r="T1797" t="s">
        <v>30433</v>
      </c>
      <c r="U1797" t="s">
        <v>74</v>
      </c>
      <c r="V1797" t="s">
        <v>30434</v>
      </c>
      <c r="W1797" t="s">
        <v>30435</v>
      </c>
      <c r="X1797" t="s">
        <v>10055</v>
      </c>
      <c r="Y1797" t="s">
        <v>30436</v>
      </c>
      <c r="Z1797" t="s">
        <v>30437</v>
      </c>
      <c r="AA1797" t="s">
        <v>74</v>
      </c>
      <c r="AB1797" t="s">
        <v>74</v>
      </c>
      <c r="AC1797" t="s">
        <v>30438</v>
      </c>
      <c r="AD1797" t="s">
        <v>30439</v>
      </c>
      <c r="AE1797" t="s">
        <v>30440</v>
      </c>
      <c r="AF1797" t="s">
        <v>74</v>
      </c>
      <c r="AG1797">
        <v>66</v>
      </c>
      <c r="AH1797">
        <v>0</v>
      </c>
      <c r="AI1797">
        <v>0</v>
      </c>
      <c r="AJ1797">
        <v>1</v>
      </c>
      <c r="AK1797">
        <v>1</v>
      </c>
      <c r="AL1797" t="s">
        <v>639</v>
      </c>
      <c r="AM1797" t="s">
        <v>640</v>
      </c>
      <c r="AN1797" t="s">
        <v>641</v>
      </c>
      <c r="AO1797" t="s">
        <v>8380</v>
      </c>
      <c r="AP1797" t="s">
        <v>8381</v>
      </c>
      <c r="AQ1797" t="s">
        <v>30441</v>
      </c>
      <c r="AR1797" t="s">
        <v>8383</v>
      </c>
      <c r="AS1797" t="s">
        <v>74</v>
      </c>
      <c r="AT1797" t="s">
        <v>74</v>
      </c>
      <c r="AU1797">
        <v>2024</v>
      </c>
      <c r="AV1797">
        <v>14347</v>
      </c>
      <c r="AW1797" t="s">
        <v>74</v>
      </c>
      <c r="AX1797" t="s">
        <v>74</v>
      </c>
      <c r="AY1797" t="s">
        <v>74</v>
      </c>
      <c r="AZ1797" t="s">
        <v>74</v>
      </c>
      <c r="BA1797" t="s">
        <v>74</v>
      </c>
      <c r="BB1797">
        <v>250</v>
      </c>
      <c r="BC1797">
        <v>270</v>
      </c>
      <c r="BD1797" t="s">
        <v>74</v>
      </c>
      <c r="BE1797" t="s">
        <v>30442</v>
      </c>
      <c r="BF1797" t="str">
        <f>HYPERLINK("http://dx.doi.org/10.1007/978-3-031-51482-1_13","http://dx.doi.org/10.1007/978-3-031-51482-1_13")</f>
        <v>http://dx.doi.org/10.1007/978-3-031-51482-1_13</v>
      </c>
      <c r="BG1797" t="s">
        <v>74</v>
      </c>
      <c r="BH1797" t="s">
        <v>74</v>
      </c>
      <c r="BI1797">
        <v>21</v>
      </c>
      <c r="BJ1797" t="s">
        <v>30443</v>
      </c>
      <c r="BK1797" t="s">
        <v>723</v>
      </c>
      <c r="BL1797" t="s">
        <v>1699</v>
      </c>
      <c r="BM1797" t="s">
        <v>30444</v>
      </c>
      <c r="BN1797" t="s">
        <v>74</v>
      </c>
      <c r="BO1797" t="s">
        <v>74</v>
      </c>
      <c r="BP1797" t="s">
        <v>74</v>
      </c>
      <c r="BQ1797" t="s">
        <v>74</v>
      </c>
      <c r="BR1797" t="s">
        <v>102</v>
      </c>
      <c r="BS1797" t="s">
        <v>30445</v>
      </c>
      <c r="BT1797" t="str">
        <f>HYPERLINK("https%3A%2F%2Fwww.webofscience.com%2Fwos%2Fwoscc%2Ffull-record%2FWOS:001208360100013","View Full Record in Web of Science")</f>
        <v>View Full Record in Web of Science</v>
      </c>
    </row>
    <row r="1798" spans="1:72" x14ac:dyDescent="0.35">
      <c r="A1798" t="s">
        <v>72</v>
      </c>
      <c r="B1798" t="s">
        <v>30446</v>
      </c>
      <c r="C1798" t="s">
        <v>74</v>
      </c>
      <c r="D1798" t="s">
        <v>74</v>
      </c>
      <c r="E1798" t="s">
        <v>74</v>
      </c>
      <c r="F1798" t="s">
        <v>30447</v>
      </c>
      <c r="G1798" t="s">
        <v>74</v>
      </c>
      <c r="H1798" t="s">
        <v>74</v>
      </c>
      <c r="I1798" t="s">
        <v>30448</v>
      </c>
      <c r="J1798" t="s">
        <v>6803</v>
      </c>
      <c r="K1798" t="s">
        <v>74</v>
      </c>
      <c r="L1798" t="s">
        <v>74</v>
      </c>
      <c r="M1798" t="s">
        <v>78</v>
      </c>
      <c r="N1798" t="s">
        <v>108</v>
      </c>
      <c r="O1798" t="s">
        <v>74</v>
      </c>
      <c r="P1798" t="s">
        <v>74</v>
      </c>
      <c r="Q1798" t="s">
        <v>74</v>
      </c>
      <c r="R1798" t="s">
        <v>74</v>
      </c>
      <c r="S1798" t="s">
        <v>74</v>
      </c>
      <c r="T1798" t="s">
        <v>30449</v>
      </c>
      <c r="U1798" t="s">
        <v>30450</v>
      </c>
      <c r="V1798" t="s">
        <v>30451</v>
      </c>
      <c r="W1798" t="s">
        <v>30452</v>
      </c>
      <c r="X1798" t="s">
        <v>30453</v>
      </c>
      <c r="Y1798" t="s">
        <v>30454</v>
      </c>
      <c r="Z1798" t="s">
        <v>30455</v>
      </c>
      <c r="AA1798" t="s">
        <v>30456</v>
      </c>
      <c r="AB1798" t="s">
        <v>30457</v>
      </c>
      <c r="AC1798" t="s">
        <v>74</v>
      </c>
      <c r="AD1798" t="s">
        <v>74</v>
      </c>
      <c r="AE1798" t="s">
        <v>74</v>
      </c>
      <c r="AF1798" t="s">
        <v>74</v>
      </c>
      <c r="AG1798">
        <v>52</v>
      </c>
      <c r="AH1798">
        <v>2</v>
      </c>
      <c r="AI1798">
        <v>2</v>
      </c>
      <c r="AJ1798">
        <v>3</v>
      </c>
      <c r="AK1798">
        <v>34</v>
      </c>
      <c r="AL1798" t="s">
        <v>665</v>
      </c>
      <c r="AM1798" t="s">
        <v>2922</v>
      </c>
      <c r="AN1798" t="s">
        <v>2923</v>
      </c>
      <c r="AO1798" t="s">
        <v>6814</v>
      </c>
      <c r="AP1798" t="s">
        <v>6815</v>
      </c>
      <c r="AQ1798" t="s">
        <v>74</v>
      </c>
      <c r="AR1798" t="s">
        <v>6816</v>
      </c>
      <c r="AS1798" t="s">
        <v>6817</v>
      </c>
      <c r="AT1798" t="s">
        <v>455</v>
      </c>
      <c r="AU1798">
        <v>2024</v>
      </c>
      <c r="AV1798">
        <v>24</v>
      </c>
      <c r="AW1798">
        <v>3</v>
      </c>
      <c r="AX1798" t="s">
        <v>74</v>
      </c>
      <c r="AY1798" t="s">
        <v>74</v>
      </c>
      <c r="AZ1798" t="s">
        <v>74</v>
      </c>
      <c r="BA1798" t="s">
        <v>74</v>
      </c>
      <c r="BB1798">
        <v>1927</v>
      </c>
      <c r="BC1798">
        <v>1965</v>
      </c>
      <c r="BD1798" t="s">
        <v>74</v>
      </c>
      <c r="BE1798" t="s">
        <v>30458</v>
      </c>
      <c r="BF1798" t="str">
        <f>HYPERLINK("http://dx.doi.org/10.1007/s10660-022-09596-y","http://dx.doi.org/10.1007/s10660-022-09596-y")</f>
        <v>http://dx.doi.org/10.1007/s10660-022-09596-y</v>
      </c>
      <c r="BG1798" t="s">
        <v>74</v>
      </c>
      <c r="BH1798" t="s">
        <v>1527</v>
      </c>
      <c r="BI1798">
        <v>39</v>
      </c>
      <c r="BJ1798" t="s">
        <v>479</v>
      </c>
      <c r="BK1798" t="s">
        <v>99</v>
      </c>
      <c r="BL1798" t="s">
        <v>480</v>
      </c>
      <c r="BM1798" t="s">
        <v>30459</v>
      </c>
      <c r="BN1798" t="s">
        <v>74</v>
      </c>
      <c r="BO1798" t="s">
        <v>74</v>
      </c>
      <c r="BP1798" t="s">
        <v>74</v>
      </c>
      <c r="BQ1798" t="s">
        <v>74</v>
      </c>
      <c r="BR1798" t="s">
        <v>102</v>
      </c>
      <c r="BS1798" t="s">
        <v>30460</v>
      </c>
      <c r="BT1798" t="str">
        <f>HYPERLINK("https%3A%2F%2Fwww.webofscience.com%2Fwos%2Fwoscc%2Ffull-record%2FWOS:000846238100001","View Full Record in Web of Science")</f>
        <v>View Full Record in Web of Science</v>
      </c>
    </row>
    <row r="1799" spans="1:72" x14ac:dyDescent="0.35">
      <c r="A1799" t="s">
        <v>72</v>
      </c>
      <c r="B1799" t="s">
        <v>30461</v>
      </c>
      <c r="C1799" t="s">
        <v>74</v>
      </c>
      <c r="D1799" t="s">
        <v>74</v>
      </c>
      <c r="E1799" t="s">
        <v>74</v>
      </c>
      <c r="F1799" t="s">
        <v>30462</v>
      </c>
      <c r="G1799" t="s">
        <v>74</v>
      </c>
      <c r="H1799" t="s">
        <v>74</v>
      </c>
      <c r="I1799" t="s">
        <v>30463</v>
      </c>
      <c r="J1799" t="s">
        <v>30464</v>
      </c>
      <c r="K1799" t="s">
        <v>74</v>
      </c>
      <c r="L1799" t="s">
        <v>74</v>
      </c>
      <c r="M1799" t="s">
        <v>78</v>
      </c>
      <c r="N1799" t="s">
        <v>108</v>
      </c>
      <c r="O1799" t="s">
        <v>74</v>
      </c>
      <c r="P1799" t="s">
        <v>74</v>
      </c>
      <c r="Q1799" t="s">
        <v>74</v>
      </c>
      <c r="R1799" t="s">
        <v>74</v>
      </c>
      <c r="S1799" t="s">
        <v>74</v>
      </c>
      <c r="T1799" t="s">
        <v>30465</v>
      </c>
      <c r="U1799" t="s">
        <v>30466</v>
      </c>
      <c r="V1799" t="s">
        <v>30467</v>
      </c>
      <c r="W1799" t="s">
        <v>30468</v>
      </c>
      <c r="X1799" t="s">
        <v>30469</v>
      </c>
      <c r="Y1799" t="s">
        <v>30470</v>
      </c>
      <c r="Z1799" t="s">
        <v>30471</v>
      </c>
      <c r="AA1799" t="s">
        <v>30472</v>
      </c>
      <c r="AB1799" t="s">
        <v>30473</v>
      </c>
      <c r="AC1799" t="s">
        <v>74</v>
      </c>
      <c r="AD1799" t="s">
        <v>74</v>
      </c>
      <c r="AE1799" t="s">
        <v>74</v>
      </c>
      <c r="AF1799" t="s">
        <v>74</v>
      </c>
      <c r="AG1799">
        <v>49</v>
      </c>
      <c r="AH1799">
        <v>5</v>
      </c>
      <c r="AI1799">
        <v>5</v>
      </c>
      <c r="AJ1799">
        <v>1</v>
      </c>
      <c r="AK1799">
        <v>9</v>
      </c>
      <c r="AL1799" t="s">
        <v>251</v>
      </c>
      <c r="AM1799" t="s">
        <v>252</v>
      </c>
      <c r="AN1799" t="s">
        <v>253</v>
      </c>
      <c r="AO1799" t="s">
        <v>30474</v>
      </c>
      <c r="AP1799" t="s">
        <v>30475</v>
      </c>
      <c r="AQ1799" t="s">
        <v>74</v>
      </c>
      <c r="AR1799" t="s">
        <v>30476</v>
      </c>
      <c r="AS1799" t="s">
        <v>30477</v>
      </c>
      <c r="AT1799" t="s">
        <v>297</v>
      </c>
      <c r="AU1799">
        <v>2022</v>
      </c>
      <c r="AV1799">
        <v>44</v>
      </c>
      <c r="AW1799">
        <v>4</v>
      </c>
      <c r="AX1799" t="s">
        <v>74</v>
      </c>
      <c r="AY1799" t="s">
        <v>74</v>
      </c>
      <c r="AZ1799" t="s">
        <v>74</v>
      </c>
      <c r="BA1799" t="s">
        <v>74</v>
      </c>
      <c r="BB1799">
        <v>403</v>
      </c>
      <c r="BC1799">
        <v>413</v>
      </c>
      <c r="BD1799" t="s">
        <v>74</v>
      </c>
      <c r="BE1799" t="s">
        <v>30478</v>
      </c>
      <c r="BF1799" t="str">
        <f>HYPERLINK("http://dx.doi.org/10.1111/ics.12776","http://dx.doi.org/10.1111/ics.12776")</f>
        <v>http://dx.doi.org/10.1111/ics.12776</v>
      </c>
      <c r="BG1799" t="s">
        <v>74</v>
      </c>
      <c r="BH1799" t="s">
        <v>2175</v>
      </c>
      <c r="BI1799">
        <v>11</v>
      </c>
      <c r="BJ1799" t="s">
        <v>30479</v>
      </c>
      <c r="BK1799" t="s">
        <v>209</v>
      </c>
      <c r="BL1799" t="s">
        <v>30480</v>
      </c>
      <c r="BM1799" t="s">
        <v>30481</v>
      </c>
      <c r="BN1799">
        <v>35396729</v>
      </c>
      <c r="BO1799" t="s">
        <v>2194</v>
      </c>
      <c r="BP1799" t="s">
        <v>74</v>
      </c>
      <c r="BQ1799" t="s">
        <v>74</v>
      </c>
      <c r="BR1799" t="s">
        <v>102</v>
      </c>
      <c r="BS1799" t="s">
        <v>30482</v>
      </c>
      <c r="BT1799" t="str">
        <f>HYPERLINK("https%3A%2F%2Fwww.webofscience.com%2Fwos%2Fwoscc%2Ffull-record%2FWOS:000827307200001","View Full Record in Web of Science")</f>
        <v>View Full Record in Web of Science</v>
      </c>
    </row>
    <row r="1800" spans="1:72" x14ac:dyDescent="0.35">
      <c r="A1800" t="s">
        <v>72</v>
      </c>
      <c r="B1800" t="s">
        <v>30483</v>
      </c>
      <c r="C1800" t="s">
        <v>74</v>
      </c>
      <c r="D1800" t="s">
        <v>74</v>
      </c>
      <c r="E1800" t="s">
        <v>74</v>
      </c>
      <c r="F1800" t="s">
        <v>30484</v>
      </c>
      <c r="G1800" t="s">
        <v>74</v>
      </c>
      <c r="H1800" t="s">
        <v>74</v>
      </c>
      <c r="I1800" t="s">
        <v>30485</v>
      </c>
      <c r="J1800" t="s">
        <v>30486</v>
      </c>
      <c r="K1800" t="s">
        <v>74</v>
      </c>
      <c r="L1800" t="s">
        <v>74</v>
      </c>
      <c r="M1800" t="s">
        <v>78</v>
      </c>
      <c r="N1800" t="s">
        <v>108</v>
      </c>
      <c r="O1800" t="s">
        <v>74</v>
      </c>
      <c r="P1800" t="s">
        <v>74</v>
      </c>
      <c r="Q1800" t="s">
        <v>74</v>
      </c>
      <c r="R1800" t="s">
        <v>74</v>
      </c>
      <c r="S1800" t="s">
        <v>74</v>
      </c>
      <c r="T1800" t="s">
        <v>30487</v>
      </c>
      <c r="U1800" t="s">
        <v>30488</v>
      </c>
      <c r="V1800" t="s">
        <v>30489</v>
      </c>
      <c r="W1800" t="s">
        <v>30490</v>
      </c>
      <c r="X1800" t="s">
        <v>30491</v>
      </c>
      <c r="Y1800" t="s">
        <v>30492</v>
      </c>
      <c r="Z1800" t="s">
        <v>30493</v>
      </c>
      <c r="AA1800" t="s">
        <v>74</v>
      </c>
      <c r="AB1800" t="s">
        <v>30494</v>
      </c>
      <c r="AC1800" t="s">
        <v>74</v>
      </c>
      <c r="AD1800" t="s">
        <v>74</v>
      </c>
      <c r="AE1800" t="s">
        <v>74</v>
      </c>
      <c r="AF1800" t="s">
        <v>74</v>
      </c>
      <c r="AG1800">
        <v>51</v>
      </c>
      <c r="AH1800">
        <v>1</v>
      </c>
      <c r="AI1800">
        <v>1</v>
      </c>
      <c r="AJ1800">
        <v>10</v>
      </c>
      <c r="AK1800">
        <v>19</v>
      </c>
      <c r="AL1800" t="s">
        <v>88</v>
      </c>
      <c r="AM1800" t="s">
        <v>89</v>
      </c>
      <c r="AN1800" t="s">
        <v>90</v>
      </c>
      <c r="AO1800" t="s">
        <v>30495</v>
      </c>
      <c r="AP1800" t="s">
        <v>30496</v>
      </c>
      <c r="AQ1800" t="s">
        <v>74</v>
      </c>
      <c r="AR1800" t="s">
        <v>30497</v>
      </c>
      <c r="AS1800" t="s">
        <v>30498</v>
      </c>
      <c r="AT1800" t="s">
        <v>1447</v>
      </c>
      <c r="AU1800">
        <v>2024</v>
      </c>
      <c r="AV1800">
        <v>38</v>
      </c>
      <c r="AW1800">
        <v>4</v>
      </c>
      <c r="AX1800" t="s">
        <v>74</v>
      </c>
      <c r="AY1800" t="s">
        <v>74</v>
      </c>
      <c r="AZ1800" t="s">
        <v>456</v>
      </c>
      <c r="BA1800" t="s">
        <v>74</v>
      </c>
      <c r="BB1800">
        <v>635</v>
      </c>
      <c r="BC1800">
        <v>651</v>
      </c>
      <c r="BD1800" t="s">
        <v>74</v>
      </c>
      <c r="BE1800" t="s">
        <v>30499</v>
      </c>
      <c r="BF1800" t="str">
        <f>HYPERLINK("http://dx.doi.org/10.1080/09500782.2024.2324947","http://dx.doi.org/10.1080/09500782.2024.2324947")</f>
        <v>http://dx.doi.org/10.1080/09500782.2024.2324947</v>
      </c>
      <c r="BG1800" t="s">
        <v>74</v>
      </c>
      <c r="BH1800" t="s">
        <v>786</v>
      </c>
      <c r="BI1800">
        <v>17</v>
      </c>
      <c r="BJ1800" t="s">
        <v>7934</v>
      </c>
      <c r="BK1800" t="s">
        <v>2125</v>
      </c>
      <c r="BL1800" t="s">
        <v>7935</v>
      </c>
      <c r="BM1800" t="s">
        <v>30500</v>
      </c>
      <c r="BN1800" t="s">
        <v>74</v>
      </c>
      <c r="BO1800" t="s">
        <v>156</v>
      </c>
      <c r="BP1800" t="s">
        <v>74</v>
      </c>
      <c r="BQ1800" t="s">
        <v>74</v>
      </c>
      <c r="BR1800" t="s">
        <v>102</v>
      </c>
      <c r="BS1800" t="s">
        <v>30501</v>
      </c>
      <c r="BT1800" t="str">
        <f>HYPERLINK("https%3A%2F%2Fwww.webofscience.com%2Fwos%2Fwoscc%2Ffull-record%2FWOS:001187495800001","View Full Record in Web of Science")</f>
        <v>View Full Record in Web of Science</v>
      </c>
    </row>
    <row r="1801" spans="1:72" x14ac:dyDescent="0.35">
      <c r="A1801" t="s">
        <v>72</v>
      </c>
      <c r="B1801" t="s">
        <v>30502</v>
      </c>
      <c r="C1801" t="s">
        <v>74</v>
      </c>
      <c r="D1801" t="s">
        <v>74</v>
      </c>
      <c r="E1801" t="s">
        <v>74</v>
      </c>
      <c r="F1801" t="s">
        <v>30503</v>
      </c>
      <c r="G1801" t="s">
        <v>74</v>
      </c>
      <c r="H1801" t="s">
        <v>74</v>
      </c>
      <c r="I1801" t="s">
        <v>30504</v>
      </c>
      <c r="J1801" t="s">
        <v>30505</v>
      </c>
      <c r="K1801" t="s">
        <v>74</v>
      </c>
      <c r="L1801" t="s">
        <v>74</v>
      </c>
      <c r="M1801" t="s">
        <v>78</v>
      </c>
      <c r="N1801" t="s">
        <v>374</v>
      </c>
      <c r="O1801" t="s">
        <v>74</v>
      </c>
      <c r="P1801" t="s">
        <v>74</v>
      </c>
      <c r="Q1801" t="s">
        <v>74</v>
      </c>
      <c r="R1801" t="s">
        <v>74</v>
      </c>
      <c r="S1801" t="s">
        <v>74</v>
      </c>
      <c r="T1801" t="s">
        <v>30506</v>
      </c>
      <c r="U1801" t="s">
        <v>30507</v>
      </c>
      <c r="V1801" t="s">
        <v>30508</v>
      </c>
      <c r="W1801" t="s">
        <v>30509</v>
      </c>
      <c r="X1801" t="s">
        <v>30510</v>
      </c>
      <c r="Y1801" t="s">
        <v>30511</v>
      </c>
      <c r="Z1801" t="s">
        <v>30512</v>
      </c>
      <c r="AA1801" t="s">
        <v>74</v>
      </c>
      <c r="AB1801" t="s">
        <v>74</v>
      </c>
      <c r="AC1801" t="s">
        <v>74</v>
      </c>
      <c r="AD1801" t="s">
        <v>74</v>
      </c>
      <c r="AE1801" t="s">
        <v>74</v>
      </c>
      <c r="AF1801" t="s">
        <v>74</v>
      </c>
      <c r="AG1801">
        <v>86</v>
      </c>
      <c r="AH1801">
        <v>1</v>
      </c>
      <c r="AI1801">
        <v>1</v>
      </c>
      <c r="AJ1801">
        <v>19</v>
      </c>
      <c r="AK1801">
        <v>25</v>
      </c>
      <c r="AL1801" t="s">
        <v>290</v>
      </c>
      <c r="AM1801" t="s">
        <v>291</v>
      </c>
      <c r="AN1801" t="s">
        <v>292</v>
      </c>
      <c r="AO1801" t="s">
        <v>30513</v>
      </c>
      <c r="AP1801" t="s">
        <v>30514</v>
      </c>
      <c r="AQ1801" t="s">
        <v>74</v>
      </c>
      <c r="AR1801" t="s">
        <v>30515</v>
      </c>
      <c r="AS1801" t="s">
        <v>30516</v>
      </c>
      <c r="AT1801" t="s">
        <v>18810</v>
      </c>
      <c r="AU1801">
        <v>2024</v>
      </c>
      <c r="AV1801">
        <v>248</v>
      </c>
      <c r="AW1801" t="s">
        <v>74</v>
      </c>
      <c r="AX1801" t="s">
        <v>74</v>
      </c>
      <c r="AY1801" t="s">
        <v>74</v>
      </c>
      <c r="AZ1801" t="s">
        <v>74</v>
      </c>
      <c r="BA1801" t="s">
        <v>74</v>
      </c>
      <c r="BB1801" t="s">
        <v>74</v>
      </c>
      <c r="BC1801" t="s">
        <v>74</v>
      </c>
      <c r="BD1801">
        <v>123429</v>
      </c>
      <c r="BE1801" t="s">
        <v>30517</v>
      </c>
      <c r="BF1801" t="str">
        <f>HYPERLINK("http://dx.doi.org/10.1016/j.eswa.2024.123429","http://dx.doi.org/10.1016/j.eswa.2024.123429")</f>
        <v>http://dx.doi.org/10.1016/j.eswa.2024.123429</v>
      </c>
      <c r="BG1801" t="s">
        <v>74</v>
      </c>
      <c r="BH1801" t="s">
        <v>786</v>
      </c>
      <c r="BI1801">
        <v>15</v>
      </c>
      <c r="BJ1801" t="s">
        <v>30518</v>
      </c>
      <c r="BK1801" t="s">
        <v>209</v>
      </c>
      <c r="BL1801" t="s">
        <v>30519</v>
      </c>
      <c r="BM1801" t="s">
        <v>30520</v>
      </c>
      <c r="BN1801" t="s">
        <v>74</v>
      </c>
      <c r="BO1801" t="s">
        <v>74</v>
      </c>
      <c r="BP1801" t="s">
        <v>74</v>
      </c>
      <c r="BQ1801" t="s">
        <v>74</v>
      </c>
      <c r="BR1801" t="s">
        <v>102</v>
      </c>
      <c r="BS1801" t="s">
        <v>30521</v>
      </c>
      <c r="BT1801" t="str">
        <f>HYPERLINK("https%3A%2F%2Fwww.webofscience.com%2Fwos%2Fwoscc%2Ffull-record%2FWOS:001187206400001","View Full Record in Web of Science")</f>
        <v>View Full Record in Web of Science</v>
      </c>
    </row>
    <row r="1802" spans="1:72" x14ac:dyDescent="0.35">
      <c r="A1802" t="s">
        <v>72</v>
      </c>
      <c r="B1802" t="s">
        <v>30522</v>
      </c>
      <c r="C1802" t="s">
        <v>74</v>
      </c>
      <c r="D1802" t="s">
        <v>74</v>
      </c>
      <c r="E1802" t="s">
        <v>74</v>
      </c>
      <c r="F1802" t="s">
        <v>30523</v>
      </c>
      <c r="G1802" t="s">
        <v>74</v>
      </c>
      <c r="H1802" t="s">
        <v>74</v>
      </c>
      <c r="I1802" t="s">
        <v>30524</v>
      </c>
      <c r="J1802" t="s">
        <v>30525</v>
      </c>
      <c r="K1802" t="s">
        <v>74</v>
      </c>
      <c r="L1802" t="s">
        <v>74</v>
      </c>
      <c r="M1802" t="s">
        <v>78</v>
      </c>
      <c r="N1802" t="s">
        <v>108</v>
      </c>
      <c r="O1802" t="s">
        <v>74</v>
      </c>
      <c r="P1802" t="s">
        <v>74</v>
      </c>
      <c r="Q1802" t="s">
        <v>74</v>
      </c>
      <c r="R1802" t="s">
        <v>74</v>
      </c>
      <c r="S1802" t="s">
        <v>74</v>
      </c>
      <c r="T1802" t="s">
        <v>30526</v>
      </c>
      <c r="U1802" t="s">
        <v>74</v>
      </c>
      <c r="V1802" t="s">
        <v>30527</v>
      </c>
      <c r="W1802" t="s">
        <v>30528</v>
      </c>
      <c r="X1802" t="s">
        <v>30529</v>
      </c>
      <c r="Y1802" t="s">
        <v>30530</v>
      </c>
      <c r="Z1802" t="s">
        <v>30531</v>
      </c>
      <c r="AA1802" t="s">
        <v>74</v>
      </c>
      <c r="AB1802" t="s">
        <v>30532</v>
      </c>
      <c r="AC1802" t="s">
        <v>74</v>
      </c>
      <c r="AD1802" t="s">
        <v>74</v>
      </c>
      <c r="AE1802" t="s">
        <v>74</v>
      </c>
      <c r="AF1802" t="s">
        <v>74</v>
      </c>
      <c r="AG1802">
        <v>39</v>
      </c>
      <c r="AH1802">
        <v>2</v>
      </c>
      <c r="AI1802">
        <v>2</v>
      </c>
      <c r="AJ1802">
        <v>4</v>
      </c>
      <c r="AK1802">
        <v>10</v>
      </c>
      <c r="AL1802" t="s">
        <v>88</v>
      </c>
      <c r="AM1802" t="s">
        <v>89</v>
      </c>
      <c r="AN1802" t="s">
        <v>90</v>
      </c>
      <c r="AO1802" t="s">
        <v>30533</v>
      </c>
      <c r="AP1802" t="s">
        <v>30534</v>
      </c>
      <c r="AQ1802" t="s">
        <v>74</v>
      </c>
      <c r="AR1802" t="s">
        <v>30535</v>
      </c>
      <c r="AS1802" t="s">
        <v>30536</v>
      </c>
      <c r="AT1802" t="s">
        <v>6029</v>
      </c>
      <c r="AU1802">
        <v>2023</v>
      </c>
      <c r="AV1802">
        <v>104</v>
      </c>
      <c r="AW1802">
        <v>2</v>
      </c>
      <c r="AX1802" t="s">
        <v>74</v>
      </c>
      <c r="AY1802" t="s">
        <v>74</v>
      </c>
      <c r="AZ1802" t="s">
        <v>74</v>
      </c>
      <c r="BA1802" t="s">
        <v>74</v>
      </c>
      <c r="BB1802">
        <v>347</v>
      </c>
      <c r="BC1802">
        <v>364</v>
      </c>
      <c r="BD1802" t="s">
        <v>74</v>
      </c>
      <c r="BE1802" t="s">
        <v>30537</v>
      </c>
      <c r="BF1802" t="str">
        <f>HYPERLINK("http://dx.doi.org/10.1080/0013838X.2023.2170596","http://dx.doi.org/10.1080/0013838X.2023.2170596")</f>
        <v>http://dx.doi.org/10.1080/0013838X.2023.2170596</v>
      </c>
      <c r="BG1802" t="s">
        <v>74</v>
      </c>
      <c r="BH1802" t="s">
        <v>6895</v>
      </c>
      <c r="BI1802">
        <v>18</v>
      </c>
      <c r="BJ1802" t="s">
        <v>3176</v>
      </c>
      <c r="BK1802" t="s">
        <v>316</v>
      </c>
      <c r="BL1802" t="s">
        <v>3176</v>
      </c>
      <c r="BM1802" t="s">
        <v>30538</v>
      </c>
      <c r="BN1802" t="s">
        <v>74</v>
      </c>
      <c r="BO1802" t="s">
        <v>156</v>
      </c>
      <c r="BP1802" t="s">
        <v>74</v>
      </c>
      <c r="BQ1802" t="s">
        <v>74</v>
      </c>
      <c r="BR1802" t="s">
        <v>102</v>
      </c>
      <c r="BS1802" t="s">
        <v>30539</v>
      </c>
      <c r="BT1802" t="str">
        <f>HYPERLINK("https%3A%2F%2Fwww.webofscience.com%2Fwos%2Fwoscc%2Ffull-record%2FWOS:000930333700001","View Full Record in Web of Science")</f>
        <v>View Full Record in Web of Science</v>
      </c>
    </row>
    <row r="1803" spans="1:72" x14ac:dyDescent="0.35">
      <c r="A1803" t="s">
        <v>72</v>
      </c>
      <c r="B1803" t="s">
        <v>30540</v>
      </c>
      <c r="C1803" t="s">
        <v>74</v>
      </c>
      <c r="D1803" t="s">
        <v>74</v>
      </c>
      <c r="E1803" t="s">
        <v>74</v>
      </c>
      <c r="F1803" t="s">
        <v>30541</v>
      </c>
      <c r="G1803" t="s">
        <v>74</v>
      </c>
      <c r="H1803" t="s">
        <v>74</v>
      </c>
      <c r="I1803" t="s">
        <v>30542</v>
      </c>
      <c r="J1803" t="s">
        <v>30543</v>
      </c>
      <c r="K1803" t="s">
        <v>74</v>
      </c>
      <c r="L1803" t="s">
        <v>74</v>
      </c>
      <c r="M1803" t="s">
        <v>78</v>
      </c>
      <c r="N1803" t="s">
        <v>108</v>
      </c>
      <c r="O1803" t="s">
        <v>74</v>
      </c>
      <c r="P1803" t="s">
        <v>74</v>
      </c>
      <c r="Q1803" t="s">
        <v>74</v>
      </c>
      <c r="R1803" t="s">
        <v>74</v>
      </c>
      <c r="S1803" t="s">
        <v>74</v>
      </c>
      <c r="T1803" t="s">
        <v>30544</v>
      </c>
      <c r="U1803" t="s">
        <v>74</v>
      </c>
      <c r="V1803" t="s">
        <v>30545</v>
      </c>
      <c r="W1803" t="s">
        <v>30546</v>
      </c>
      <c r="X1803" t="s">
        <v>30547</v>
      </c>
      <c r="Y1803" t="s">
        <v>30548</v>
      </c>
      <c r="Z1803" t="s">
        <v>30549</v>
      </c>
      <c r="AA1803" t="s">
        <v>74</v>
      </c>
      <c r="AB1803" t="s">
        <v>74</v>
      </c>
      <c r="AC1803" t="s">
        <v>74</v>
      </c>
      <c r="AD1803" t="s">
        <v>74</v>
      </c>
      <c r="AE1803" t="s">
        <v>74</v>
      </c>
      <c r="AF1803" t="s">
        <v>74</v>
      </c>
      <c r="AG1803">
        <v>4</v>
      </c>
      <c r="AH1803">
        <v>0</v>
      </c>
      <c r="AI1803">
        <v>0</v>
      </c>
      <c r="AJ1803">
        <v>0</v>
      </c>
      <c r="AK1803">
        <v>1</v>
      </c>
      <c r="AL1803" t="s">
        <v>30550</v>
      </c>
      <c r="AM1803" t="s">
        <v>30551</v>
      </c>
      <c r="AN1803" t="s">
        <v>30552</v>
      </c>
      <c r="AO1803" t="s">
        <v>30553</v>
      </c>
      <c r="AP1803" t="s">
        <v>30554</v>
      </c>
      <c r="AQ1803" t="s">
        <v>74</v>
      </c>
      <c r="AR1803" t="s">
        <v>30555</v>
      </c>
      <c r="AS1803" t="s">
        <v>30556</v>
      </c>
      <c r="AT1803" t="s">
        <v>74</v>
      </c>
      <c r="AU1803">
        <v>2022</v>
      </c>
      <c r="AV1803">
        <v>33</v>
      </c>
      <c r="AW1803">
        <v>3</v>
      </c>
      <c r="AX1803" t="s">
        <v>74</v>
      </c>
      <c r="AY1803" t="s">
        <v>74</v>
      </c>
      <c r="AZ1803" t="s">
        <v>74</v>
      </c>
      <c r="BA1803" t="s">
        <v>74</v>
      </c>
      <c r="BB1803">
        <v>61</v>
      </c>
      <c r="BC1803">
        <v>70</v>
      </c>
      <c r="BD1803" t="s">
        <v>74</v>
      </c>
      <c r="BE1803" t="s">
        <v>30557</v>
      </c>
      <c r="BF1803" t="str">
        <f>HYPERLINK("http://dx.doi.org/10.33492/JRS-D-21-00068","http://dx.doi.org/10.33492/JRS-D-21-00068")</f>
        <v>http://dx.doi.org/10.33492/JRS-D-21-00068</v>
      </c>
      <c r="BG1803" t="s">
        <v>74</v>
      </c>
      <c r="BH1803" t="s">
        <v>74</v>
      </c>
      <c r="BI1803">
        <v>10</v>
      </c>
      <c r="BJ1803" t="s">
        <v>30558</v>
      </c>
      <c r="BK1803" t="s">
        <v>125</v>
      </c>
      <c r="BL1803" t="s">
        <v>30558</v>
      </c>
      <c r="BM1803" t="s">
        <v>30559</v>
      </c>
      <c r="BN1803" t="s">
        <v>74</v>
      </c>
      <c r="BO1803" t="s">
        <v>235</v>
      </c>
      <c r="BP1803" t="s">
        <v>74</v>
      </c>
      <c r="BQ1803" t="s">
        <v>74</v>
      </c>
      <c r="BR1803" t="s">
        <v>102</v>
      </c>
      <c r="BS1803" t="s">
        <v>30560</v>
      </c>
      <c r="BT1803" t="str">
        <f>HYPERLINK("https%3A%2F%2Fwww.webofscience.com%2Fwos%2Fwoscc%2Ffull-record%2FWOS:001123830900005","View Full Record in Web of Science")</f>
        <v>View Full Record in Web of Science</v>
      </c>
    </row>
    <row r="1804" spans="1:72" x14ac:dyDescent="0.35">
      <c r="A1804" t="s">
        <v>72</v>
      </c>
      <c r="B1804" t="s">
        <v>6033</v>
      </c>
      <c r="C1804" t="s">
        <v>74</v>
      </c>
      <c r="D1804" t="s">
        <v>74</v>
      </c>
      <c r="E1804" t="s">
        <v>74</v>
      </c>
      <c r="F1804" t="s">
        <v>6035</v>
      </c>
      <c r="G1804" t="s">
        <v>74</v>
      </c>
      <c r="H1804" t="s">
        <v>74</v>
      </c>
      <c r="I1804" t="s">
        <v>30561</v>
      </c>
      <c r="J1804" t="s">
        <v>30562</v>
      </c>
      <c r="K1804" t="s">
        <v>74</v>
      </c>
      <c r="L1804" t="s">
        <v>74</v>
      </c>
      <c r="M1804" t="s">
        <v>78</v>
      </c>
      <c r="N1804" t="s">
        <v>108</v>
      </c>
      <c r="O1804" t="s">
        <v>74</v>
      </c>
      <c r="P1804" t="s">
        <v>74</v>
      </c>
      <c r="Q1804" t="s">
        <v>74</v>
      </c>
      <c r="R1804" t="s">
        <v>74</v>
      </c>
      <c r="S1804" t="s">
        <v>74</v>
      </c>
      <c r="T1804" t="s">
        <v>30563</v>
      </c>
      <c r="U1804" t="s">
        <v>74</v>
      </c>
      <c r="V1804" t="s">
        <v>30564</v>
      </c>
      <c r="W1804" t="s">
        <v>30565</v>
      </c>
      <c r="X1804" t="s">
        <v>74</v>
      </c>
      <c r="Y1804" t="s">
        <v>30566</v>
      </c>
      <c r="Z1804" t="s">
        <v>30567</v>
      </c>
      <c r="AA1804" t="s">
        <v>74</v>
      </c>
      <c r="AB1804" t="s">
        <v>74</v>
      </c>
      <c r="AC1804" t="s">
        <v>74</v>
      </c>
      <c r="AD1804" t="s">
        <v>74</v>
      </c>
      <c r="AE1804" t="s">
        <v>74</v>
      </c>
      <c r="AF1804" t="s">
        <v>74</v>
      </c>
      <c r="AG1804">
        <v>8</v>
      </c>
      <c r="AH1804">
        <v>0</v>
      </c>
      <c r="AI1804">
        <v>0</v>
      </c>
      <c r="AJ1804">
        <v>3</v>
      </c>
      <c r="AK1804">
        <v>3</v>
      </c>
      <c r="AL1804" t="s">
        <v>29832</v>
      </c>
      <c r="AM1804" t="s">
        <v>6048</v>
      </c>
      <c r="AN1804" t="s">
        <v>29833</v>
      </c>
      <c r="AO1804" t="s">
        <v>30568</v>
      </c>
      <c r="AP1804" t="s">
        <v>30569</v>
      </c>
      <c r="AQ1804" t="s">
        <v>74</v>
      </c>
      <c r="AR1804" t="s">
        <v>30570</v>
      </c>
      <c r="AS1804" t="s">
        <v>30571</v>
      </c>
      <c r="AT1804" t="s">
        <v>13284</v>
      </c>
      <c r="AU1804">
        <v>2024</v>
      </c>
      <c r="AV1804">
        <v>63</v>
      </c>
      <c r="AW1804">
        <v>7</v>
      </c>
      <c r="AX1804" t="s">
        <v>74</v>
      </c>
      <c r="AY1804" t="s">
        <v>74</v>
      </c>
      <c r="AZ1804" t="s">
        <v>74</v>
      </c>
      <c r="BA1804" t="s">
        <v>74</v>
      </c>
      <c r="BB1804" t="s">
        <v>74</v>
      </c>
      <c r="BC1804" t="s">
        <v>74</v>
      </c>
      <c r="BD1804" t="s">
        <v>74</v>
      </c>
      <c r="BE1804" t="s">
        <v>30572</v>
      </c>
      <c r="BF1804" t="str">
        <f>HYPERLINK("http://dx.doi.org/10.1117/1.OE.63.7.071407","http://dx.doi.org/10.1117/1.OE.63.7.071407")</f>
        <v>http://dx.doi.org/10.1117/1.OE.63.7.071407</v>
      </c>
      <c r="BG1804" t="s">
        <v>74</v>
      </c>
      <c r="BH1804" t="s">
        <v>74</v>
      </c>
      <c r="BI1804">
        <v>8</v>
      </c>
      <c r="BJ1804" t="s">
        <v>30573</v>
      </c>
      <c r="BK1804" t="s">
        <v>209</v>
      </c>
      <c r="BL1804" t="s">
        <v>30573</v>
      </c>
      <c r="BM1804" t="s">
        <v>30574</v>
      </c>
      <c r="BN1804" t="s">
        <v>74</v>
      </c>
      <c r="BO1804" t="s">
        <v>74</v>
      </c>
      <c r="BP1804" t="s">
        <v>74</v>
      </c>
      <c r="BQ1804" t="s">
        <v>74</v>
      </c>
      <c r="BR1804" t="s">
        <v>102</v>
      </c>
      <c r="BS1804" t="s">
        <v>30575</v>
      </c>
      <c r="BT1804" t="str">
        <f>HYPERLINK("https%3A%2F%2Fwww.webofscience.com%2Fwos%2Fwoscc%2Ffull-record%2FWOS:001309392800012","View Full Record in Web of Science")</f>
        <v>View Full Record in Web of Science</v>
      </c>
    </row>
    <row r="1805" spans="1:72" x14ac:dyDescent="0.35">
      <c r="A1805" t="s">
        <v>72</v>
      </c>
      <c r="B1805" t="s">
        <v>30576</v>
      </c>
      <c r="C1805" t="s">
        <v>74</v>
      </c>
      <c r="D1805" t="s">
        <v>74</v>
      </c>
      <c r="E1805" t="s">
        <v>74</v>
      </c>
      <c r="F1805" t="s">
        <v>30577</v>
      </c>
      <c r="G1805" t="s">
        <v>74</v>
      </c>
      <c r="H1805" t="s">
        <v>74</v>
      </c>
      <c r="I1805" t="s">
        <v>30578</v>
      </c>
      <c r="J1805" t="s">
        <v>30579</v>
      </c>
      <c r="K1805" t="s">
        <v>74</v>
      </c>
      <c r="L1805" t="s">
        <v>74</v>
      </c>
      <c r="M1805" t="s">
        <v>78</v>
      </c>
      <c r="N1805" t="s">
        <v>108</v>
      </c>
      <c r="O1805" t="s">
        <v>74</v>
      </c>
      <c r="P1805" t="s">
        <v>74</v>
      </c>
      <c r="Q1805" t="s">
        <v>74</v>
      </c>
      <c r="R1805" t="s">
        <v>74</v>
      </c>
      <c r="S1805" t="s">
        <v>74</v>
      </c>
      <c r="T1805" t="s">
        <v>30580</v>
      </c>
      <c r="U1805" t="s">
        <v>74</v>
      </c>
      <c r="V1805" t="s">
        <v>30581</v>
      </c>
      <c r="W1805" t="s">
        <v>30582</v>
      </c>
      <c r="X1805" t="s">
        <v>30583</v>
      </c>
      <c r="Y1805" t="s">
        <v>30584</v>
      </c>
      <c r="Z1805" t="s">
        <v>30585</v>
      </c>
      <c r="AA1805" t="s">
        <v>74</v>
      </c>
      <c r="AB1805" t="s">
        <v>74</v>
      </c>
      <c r="AC1805" t="s">
        <v>74</v>
      </c>
      <c r="AD1805" t="s">
        <v>74</v>
      </c>
      <c r="AE1805" t="s">
        <v>74</v>
      </c>
      <c r="AF1805" t="s">
        <v>74</v>
      </c>
      <c r="AG1805">
        <v>40</v>
      </c>
      <c r="AH1805">
        <v>0</v>
      </c>
      <c r="AI1805">
        <v>0</v>
      </c>
      <c r="AJ1805">
        <v>3</v>
      </c>
      <c r="AK1805">
        <v>3</v>
      </c>
      <c r="AL1805" t="s">
        <v>30586</v>
      </c>
      <c r="AM1805" t="s">
        <v>30587</v>
      </c>
      <c r="AN1805" t="s">
        <v>30588</v>
      </c>
      <c r="AO1805" t="s">
        <v>30589</v>
      </c>
      <c r="AP1805" t="s">
        <v>30590</v>
      </c>
      <c r="AQ1805" t="s">
        <v>74</v>
      </c>
      <c r="AR1805" t="s">
        <v>30591</v>
      </c>
      <c r="AS1805" t="s">
        <v>30592</v>
      </c>
      <c r="AT1805" t="s">
        <v>74</v>
      </c>
      <c r="AU1805">
        <v>2024</v>
      </c>
      <c r="AV1805">
        <v>19</v>
      </c>
      <c r="AW1805">
        <v>3</v>
      </c>
      <c r="AX1805" t="s">
        <v>74</v>
      </c>
      <c r="AY1805" t="s">
        <v>74</v>
      </c>
      <c r="AZ1805" t="s">
        <v>74</v>
      </c>
      <c r="BA1805" t="s">
        <v>74</v>
      </c>
      <c r="BB1805">
        <v>298</v>
      </c>
      <c r="BC1805">
        <v>302</v>
      </c>
      <c r="BD1805" t="s">
        <v>74</v>
      </c>
      <c r="BE1805" t="s">
        <v>74</v>
      </c>
      <c r="BF1805" t="s">
        <v>74</v>
      </c>
      <c r="BG1805" t="s">
        <v>74</v>
      </c>
      <c r="BH1805" t="s">
        <v>74</v>
      </c>
      <c r="BI1805">
        <v>5</v>
      </c>
      <c r="BJ1805" t="s">
        <v>17747</v>
      </c>
      <c r="BK1805" t="s">
        <v>125</v>
      </c>
      <c r="BL1805" t="s">
        <v>301</v>
      </c>
      <c r="BM1805" t="s">
        <v>30593</v>
      </c>
      <c r="BN1805" t="s">
        <v>74</v>
      </c>
      <c r="BO1805" t="s">
        <v>74</v>
      </c>
      <c r="BP1805" t="s">
        <v>74</v>
      </c>
      <c r="BQ1805" t="s">
        <v>74</v>
      </c>
      <c r="BR1805" t="s">
        <v>102</v>
      </c>
      <c r="BS1805" t="s">
        <v>30594</v>
      </c>
      <c r="BT1805" t="str">
        <f>HYPERLINK("https%3A%2F%2Fwww.webofscience.com%2Fwos%2Fwoscc%2Ffull-record%2FWOS:001296115600010","View Full Record in Web of Science")</f>
        <v>View Full Record in Web of Science</v>
      </c>
    </row>
    <row r="1806" spans="1:72" x14ac:dyDescent="0.35">
      <c r="A1806" t="s">
        <v>72</v>
      </c>
      <c r="B1806" t="s">
        <v>30595</v>
      </c>
      <c r="C1806" t="s">
        <v>74</v>
      </c>
      <c r="D1806" t="s">
        <v>74</v>
      </c>
      <c r="E1806" t="s">
        <v>74</v>
      </c>
      <c r="F1806" t="s">
        <v>30596</v>
      </c>
      <c r="G1806" t="s">
        <v>74</v>
      </c>
      <c r="H1806" t="s">
        <v>74</v>
      </c>
      <c r="I1806" t="s">
        <v>30597</v>
      </c>
      <c r="J1806" t="s">
        <v>30598</v>
      </c>
      <c r="K1806" t="s">
        <v>74</v>
      </c>
      <c r="L1806" t="s">
        <v>74</v>
      </c>
      <c r="M1806" t="s">
        <v>78</v>
      </c>
      <c r="N1806" t="s">
        <v>374</v>
      </c>
      <c r="O1806" t="s">
        <v>74</v>
      </c>
      <c r="P1806" t="s">
        <v>74</v>
      </c>
      <c r="Q1806" t="s">
        <v>74</v>
      </c>
      <c r="R1806" t="s">
        <v>74</v>
      </c>
      <c r="S1806" t="s">
        <v>74</v>
      </c>
      <c r="T1806" t="s">
        <v>30599</v>
      </c>
      <c r="U1806" t="s">
        <v>30600</v>
      </c>
      <c r="V1806" t="s">
        <v>30601</v>
      </c>
      <c r="W1806" t="s">
        <v>30602</v>
      </c>
      <c r="X1806" t="s">
        <v>30603</v>
      </c>
      <c r="Y1806" t="s">
        <v>30604</v>
      </c>
      <c r="Z1806" t="s">
        <v>30605</v>
      </c>
      <c r="AA1806" t="s">
        <v>30606</v>
      </c>
      <c r="AB1806" t="s">
        <v>30607</v>
      </c>
      <c r="AC1806" t="s">
        <v>30608</v>
      </c>
      <c r="AD1806" t="s">
        <v>30609</v>
      </c>
      <c r="AE1806" t="s">
        <v>30610</v>
      </c>
      <c r="AF1806" t="s">
        <v>74</v>
      </c>
      <c r="AG1806">
        <v>75</v>
      </c>
      <c r="AH1806">
        <v>1</v>
      </c>
      <c r="AI1806">
        <v>1</v>
      </c>
      <c r="AJ1806">
        <v>1</v>
      </c>
      <c r="AK1806">
        <v>3</v>
      </c>
      <c r="AL1806" t="s">
        <v>30611</v>
      </c>
      <c r="AM1806" t="s">
        <v>148</v>
      </c>
      <c r="AN1806" t="s">
        <v>30612</v>
      </c>
      <c r="AO1806" t="s">
        <v>74</v>
      </c>
      <c r="AP1806" t="s">
        <v>30613</v>
      </c>
      <c r="AQ1806" t="s">
        <v>74</v>
      </c>
      <c r="AR1806" t="s">
        <v>30614</v>
      </c>
      <c r="AS1806" t="s">
        <v>30615</v>
      </c>
      <c r="AT1806" t="s">
        <v>594</v>
      </c>
      <c r="AU1806">
        <v>2023</v>
      </c>
      <c r="AV1806">
        <v>15</v>
      </c>
      <c r="AW1806">
        <v>4</v>
      </c>
      <c r="AX1806" t="s">
        <v>74</v>
      </c>
      <c r="AY1806" t="s">
        <v>74</v>
      </c>
      <c r="AZ1806" t="s">
        <v>74</v>
      </c>
      <c r="BA1806" t="s">
        <v>74</v>
      </c>
      <c r="BB1806" t="s">
        <v>74</v>
      </c>
      <c r="BC1806" t="s">
        <v>74</v>
      </c>
      <c r="BD1806" t="s">
        <v>30616</v>
      </c>
      <c r="BE1806" t="s">
        <v>30617</v>
      </c>
      <c r="BF1806" t="str">
        <f>HYPERLINK("http://dx.doi.org/10.30935/cedtech/13622","http://dx.doi.org/10.30935/cedtech/13622")</f>
        <v>http://dx.doi.org/10.30935/cedtech/13622</v>
      </c>
      <c r="BG1806" t="s">
        <v>74</v>
      </c>
      <c r="BH1806" t="s">
        <v>74</v>
      </c>
      <c r="BI1806">
        <v>13</v>
      </c>
      <c r="BJ1806" t="s">
        <v>787</v>
      </c>
      <c r="BK1806" t="s">
        <v>125</v>
      </c>
      <c r="BL1806" t="s">
        <v>787</v>
      </c>
      <c r="BM1806" t="s">
        <v>30618</v>
      </c>
      <c r="BN1806" t="s">
        <v>74</v>
      </c>
      <c r="BO1806" t="s">
        <v>156</v>
      </c>
      <c r="BP1806" t="s">
        <v>74</v>
      </c>
      <c r="BQ1806" t="s">
        <v>74</v>
      </c>
      <c r="BR1806" t="s">
        <v>102</v>
      </c>
      <c r="BS1806" t="s">
        <v>30619</v>
      </c>
      <c r="BT1806" t="str">
        <f>HYPERLINK("https%3A%2F%2Fwww.webofscience.com%2Fwos%2Fwoscc%2Ffull-record%2FWOS:001143606500022","View Full Record in Web of Science")</f>
        <v>View Full Record in Web of Science</v>
      </c>
    </row>
    <row r="1807" spans="1:72" x14ac:dyDescent="0.35">
      <c r="A1807" t="s">
        <v>72</v>
      </c>
      <c r="B1807" t="s">
        <v>30620</v>
      </c>
      <c r="C1807" t="s">
        <v>74</v>
      </c>
      <c r="D1807" t="s">
        <v>74</v>
      </c>
      <c r="E1807" t="s">
        <v>74</v>
      </c>
      <c r="F1807" t="s">
        <v>30621</v>
      </c>
      <c r="G1807" t="s">
        <v>74</v>
      </c>
      <c r="H1807" t="s">
        <v>74</v>
      </c>
      <c r="I1807" t="s">
        <v>30622</v>
      </c>
      <c r="J1807" t="s">
        <v>22231</v>
      </c>
      <c r="K1807" t="s">
        <v>74</v>
      </c>
      <c r="L1807" t="s">
        <v>74</v>
      </c>
      <c r="M1807" t="s">
        <v>78</v>
      </c>
      <c r="N1807" t="s">
        <v>108</v>
      </c>
      <c r="O1807" t="s">
        <v>74</v>
      </c>
      <c r="P1807" t="s">
        <v>74</v>
      </c>
      <c r="Q1807" t="s">
        <v>74</v>
      </c>
      <c r="R1807" t="s">
        <v>74</v>
      </c>
      <c r="S1807" t="s">
        <v>74</v>
      </c>
      <c r="T1807" t="s">
        <v>30623</v>
      </c>
      <c r="U1807" t="s">
        <v>30624</v>
      </c>
      <c r="V1807" t="s">
        <v>30625</v>
      </c>
      <c r="W1807" t="s">
        <v>30626</v>
      </c>
      <c r="X1807" t="s">
        <v>30627</v>
      </c>
      <c r="Y1807" t="s">
        <v>30628</v>
      </c>
      <c r="Z1807" t="s">
        <v>30629</v>
      </c>
      <c r="AA1807" t="s">
        <v>74</v>
      </c>
      <c r="AB1807" t="s">
        <v>30630</v>
      </c>
      <c r="AC1807" t="s">
        <v>74</v>
      </c>
      <c r="AD1807" t="s">
        <v>74</v>
      </c>
      <c r="AE1807" t="s">
        <v>74</v>
      </c>
      <c r="AF1807" t="s">
        <v>74</v>
      </c>
      <c r="AG1807">
        <v>49</v>
      </c>
      <c r="AH1807">
        <v>0</v>
      </c>
      <c r="AI1807">
        <v>0</v>
      </c>
      <c r="AJ1807">
        <v>1</v>
      </c>
      <c r="AK1807">
        <v>7</v>
      </c>
      <c r="AL1807" t="s">
        <v>88</v>
      </c>
      <c r="AM1807" t="s">
        <v>89</v>
      </c>
      <c r="AN1807" t="s">
        <v>90</v>
      </c>
      <c r="AO1807" t="s">
        <v>22239</v>
      </c>
      <c r="AP1807" t="s">
        <v>22240</v>
      </c>
      <c r="AQ1807" t="s">
        <v>74</v>
      </c>
      <c r="AR1807" t="s">
        <v>22241</v>
      </c>
      <c r="AS1807" t="s">
        <v>22242</v>
      </c>
      <c r="AT1807" t="s">
        <v>9505</v>
      </c>
      <c r="AU1807">
        <v>2023</v>
      </c>
      <c r="AV1807">
        <v>53</v>
      </c>
      <c r="AW1807">
        <v>3</v>
      </c>
      <c r="AX1807" t="s">
        <v>74</v>
      </c>
      <c r="AY1807" t="s">
        <v>74</v>
      </c>
      <c r="AZ1807" t="s">
        <v>456</v>
      </c>
      <c r="BA1807" t="s">
        <v>74</v>
      </c>
      <c r="BB1807">
        <v>316</v>
      </c>
      <c r="BC1807">
        <v>327</v>
      </c>
      <c r="BD1807" t="s">
        <v>74</v>
      </c>
      <c r="BE1807" t="s">
        <v>30631</v>
      </c>
      <c r="BF1807" t="str">
        <f>HYPERLINK("http://dx.doi.org/10.1080/02773945.2023.2200704","http://dx.doi.org/10.1080/02773945.2023.2200704")</f>
        <v>http://dx.doi.org/10.1080/02773945.2023.2200704</v>
      </c>
      <c r="BG1807" t="s">
        <v>74</v>
      </c>
      <c r="BH1807" t="s">
        <v>180</v>
      </c>
      <c r="BI1807">
        <v>12</v>
      </c>
      <c r="BJ1807" t="s">
        <v>22244</v>
      </c>
      <c r="BK1807" t="s">
        <v>2125</v>
      </c>
      <c r="BL1807" t="s">
        <v>22244</v>
      </c>
      <c r="BM1807" t="s">
        <v>30632</v>
      </c>
      <c r="BN1807" t="s">
        <v>74</v>
      </c>
      <c r="BO1807" t="s">
        <v>74</v>
      </c>
      <c r="BP1807" t="s">
        <v>74</v>
      </c>
      <c r="BQ1807" t="s">
        <v>74</v>
      </c>
      <c r="BR1807" t="s">
        <v>102</v>
      </c>
      <c r="BS1807" t="s">
        <v>30633</v>
      </c>
      <c r="BT1807" t="str">
        <f>HYPERLINK("https%3A%2F%2Fwww.webofscience.com%2Fwos%2Fwoscc%2Ffull-record%2FWOS:000998927100001","View Full Record in Web of Science")</f>
        <v>View Full Record in Web of Science</v>
      </c>
    </row>
    <row r="1808" spans="1:72" x14ac:dyDescent="0.35">
      <c r="A1808" t="s">
        <v>128</v>
      </c>
      <c r="B1808" t="s">
        <v>30634</v>
      </c>
      <c r="C1808" t="s">
        <v>74</v>
      </c>
      <c r="D1808" t="s">
        <v>30635</v>
      </c>
      <c r="E1808" t="s">
        <v>74</v>
      </c>
      <c r="F1808" t="s">
        <v>30636</v>
      </c>
      <c r="G1808" t="s">
        <v>74</v>
      </c>
      <c r="H1808" t="s">
        <v>74</v>
      </c>
      <c r="I1808" t="s">
        <v>30637</v>
      </c>
      <c r="J1808" t="s">
        <v>30638</v>
      </c>
      <c r="K1808" t="s">
        <v>30639</v>
      </c>
      <c r="L1808" t="s">
        <v>74</v>
      </c>
      <c r="M1808" t="s">
        <v>78</v>
      </c>
      <c r="N1808" t="s">
        <v>135</v>
      </c>
      <c r="O1808" t="s">
        <v>30640</v>
      </c>
      <c r="P1808" t="s">
        <v>30641</v>
      </c>
      <c r="Q1808" t="s">
        <v>6651</v>
      </c>
      <c r="R1808" t="s">
        <v>74</v>
      </c>
      <c r="S1808" t="s">
        <v>74</v>
      </c>
      <c r="T1808" t="s">
        <v>74</v>
      </c>
      <c r="U1808" t="s">
        <v>30642</v>
      </c>
      <c r="V1808" t="s">
        <v>30643</v>
      </c>
      <c r="W1808" t="s">
        <v>30644</v>
      </c>
      <c r="X1808" t="s">
        <v>30645</v>
      </c>
      <c r="Y1808" t="s">
        <v>30646</v>
      </c>
      <c r="Z1808" t="s">
        <v>30647</v>
      </c>
      <c r="AA1808" t="s">
        <v>74</v>
      </c>
      <c r="AB1808" t="s">
        <v>74</v>
      </c>
      <c r="AC1808" t="s">
        <v>30648</v>
      </c>
      <c r="AD1808" t="s">
        <v>30649</v>
      </c>
      <c r="AE1808" t="s">
        <v>30650</v>
      </c>
      <c r="AF1808" t="s">
        <v>74</v>
      </c>
      <c r="AG1808">
        <v>36</v>
      </c>
      <c r="AH1808">
        <v>0</v>
      </c>
      <c r="AI1808">
        <v>0</v>
      </c>
      <c r="AJ1808">
        <v>0</v>
      </c>
      <c r="AK1808">
        <v>0</v>
      </c>
      <c r="AL1808" t="s">
        <v>30651</v>
      </c>
      <c r="AM1808" t="s">
        <v>30652</v>
      </c>
      <c r="AN1808" t="s">
        <v>30653</v>
      </c>
      <c r="AO1808" t="s">
        <v>30654</v>
      </c>
      <c r="AP1808" t="s">
        <v>74</v>
      </c>
      <c r="AQ1808" t="s">
        <v>74</v>
      </c>
      <c r="AR1808" t="s">
        <v>30655</v>
      </c>
      <c r="AS1808" t="s">
        <v>74</v>
      </c>
      <c r="AT1808" t="s">
        <v>74</v>
      </c>
      <c r="AU1808">
        <v>2023</v>
      </c>
      <c r="AV1808" t="s">
        <v>74</v>
      </c>
      <c r="AW1808" t="s">
        <v>74</v>
      </c>
      <c r="AX1808" t="s">
        <v>74</v>
      </c>
      <c r="AY1808" t="s">
        <v>74</v>
      </c>
      <c r="AZ1808" t="s">
        <v>74</v>
      </c>
      <c r="BA1808" t="s">
        <v>74</v>
      </c>
      <c r="BB1808" t="s">
        <v>74</v>
      </c>
      <c r="BC1808" t="s">
        <v>74</v>
      </c>
      <c r="BD1808" t="s">
        <v>74</v>
      </c>
      <c r="BE1808" t="s">
        <v>74</v>
      </c>
      <c r="BF1808" t="s">
        <v>74</v>
      </c>
      <c r="BG1808" t="s">
        <v>74</v>
      </c>
      <c r="BH1808" t="s">
        <v>74</v>
      </c>
      <c r="BI1808">
        <v>23</v>
      </c>
      <c r="BJ1808" t="s">
        <v>27757</v>
      </c>
      <c r="BK1808" t="s">
        <v>723</v>
      </c>
      <c r="BL1808" t="s">
        <v>210</v>
      </c>
      <c r="BM1808" t="s">
        <v>30656</v>
      </c>
      <c r="BN1808" t="s">
        <v>74</v>
      </c>
      <c r="BO1808" t="s">
        <v>74</v>
      </c>
      <c r="BP1808" t="s">
        <v>74</v>
      </c>
      <c r="BQ1808" t="s">
        <v>74</v>
      </c>
      <c r="BR1808" t="s">
        <v>102</v>
      </c>
      <c r="BS1808" t="s">
        <v>30657</v>
      </c>
      <c r="BT1808" t="str">
        <f>HYPERLINK("https%3A%2F%2Fwww.webofscience.com%2Fwos%2Fwoscc%2Ffull-record%2FWOS:001224281500020","View Full Record in Web of Science")</f>
        <v>View Full Record in Web of Science</v>
      </c>
    </row>
    <row r="1809" spans="1:72" x14ac:dyDescent="0.35">
      <c r="A1809" t="s">
        <v>72</v>
      </c>
      <c r="B1809" t="s">
        <v>30658</v>
      </c>
      <c r="C1809" t="s">
        <v>74</v>
      </c>
      <c r="D1809" t="s">
        <v>74</v>
      </c>
      <c r="E1809" t="s">
        <v>74</v>
      </c>
      <c r="F1809" t="s">
        <v>30659</v>
      </c>
      <c r="G1809" t="s">
        <v>74</v>
      </c>
      <c r="H1809" t="s">
        <v>74</v>
      </c>
      <c r="I1809" t="s">
        <v>30660</v>
      </c>
      <c r="J1809" t="s">
        <v>30661</v>
      </c>
      <c r="K1809" t="s">
        <v>74</v>
      </c>
      <c r="L1809" t="s">
        <v>74</v>
      </c>
      <c r="M1809" t="s">
        <v>78</v>
      </c>
      <c r="N1809" t="s">
        <v>108</v>
      </c>
      <c r="O1809" t="s">
        <v>74</v>
      </c>
      <c r="P1809" t="s">
        <v>74</v>
      </c>
      <c r="Q1809" t="s">
        <v>74</v>
      </c>
      <c r="R1809" t="s">
        <v>74</v>
      </c>
      <c r="S1809" t="s">
        <v>74</v>
      </c>
      <c r="T1809" t="s">
        <v>30662</v>
      </c>
      <c r="U1809" t="s">
        <v>1814</v>
      </c>
      <c r="V1809" t="s">
        <v>30663</v>
      </c>
      <c r="W1809" t="s">
        <v>30664</v>
      </c>
      <c r="X1809" t="s">
        <v>30665</v>
      </c>
      <c r="Y1809" t="s">
        <v>30666</v>
      </c>
      <c r="Z1809" t="s">
        <v>30667</v>
      </c>
      <c r="AA1809" t="s">
        <v>30668</v>
      </c>
      <c r="AB1809" t="s">
        <v>30669</v>
      </c>
      <c r="AC1809" t="s">
        <v>30670</v>
      </c>
      <c r="AD1809" t="s">
        <v>4847</v>
      </c>
      <c r="AE1809" t="s">
        <v>30671</v>
      </c>
      <c r="AF1809" t="s">
        <v>74</v>
      </c>
      <c r="AG1809">
        <v>30</v>
      </c>
      <c r="AH1809">
        <v>5</v>
      </c>
      <c r="AI1809">
        <v>6</v>
      </c>
      <c r="AJ1809">
        <v>2</v>
      </c>
      <c r="AK1809">
        <v>24</v>
      </c>
      <c r="AL1809" t="s">
        <v>25124</v>
      </c>
      <c r="AM1809" t="s">
        <v>18022</v>
      </c>
      <c r="AN1809" t="s">
        <v>25125</v>
      </c>
      <c r="AO1809" t="s">
        <v>30672</v>
      </c>
      <c r="AP1809" t="s">
        <v>74</v>
      </c>
      <c r="AQ1809" t="s">
        <v>74</v>
      </c>
      <c r="AR1809" t="s">
        <v>30673</v>
      </c>
      <c r="AS1809" t="s">
        <v>30674</v>
      </c>
      <c r="AT1809" t="s">
        <v>10706</v>
      </c>
      <c r="AU1809">
        <v>2021</v>
      </c>
      <c r="AV1809">
        <v>8</v>
      </c>
      <c r="AW1809">
        <v>9</v>
      </c>
      <c r="AX1809" t="s">
        <v>74</v>
      </c>
      <c r="AY1809" t="s">
        <v>74</v>
      </c>
      <c r="AZ1809" t="s">
        <v>74</v>
      </c>
      <c r="BA1809" t="s">
        <v>74</v>
      </c>
      <c r="BB1809">
        <v>7394</v>
      </c>
      <c r="BC1809">
        <v>7406</v>
      </c>
      <c r="BD1809" t="s">
        <v>74</v>
      </c>
      <c r="BE1809" t="s">
        <v>30675</v>
      </c>
      <c r="BF1809" t="str">
        <f>HYPERLINK("http://dx.doi.org/10.1109/JIOT.2020.3039472","http://dx.doi.org/10.1109/JIOT.2020.3039472")</f>
        <v>http://dx.doi.org/10.1109/JIOT.2020.3039472</v>
      </c>
      <c r="BG1809" t="s">
        <v>74</v>
      </c>
      <c r="BH1809" t="s">
        <v>74</v>
      </c>
      <c r="BI1809">
        <v>13</v>
      </c>
      <c r="BJ1809" t="s">
        <v>25129</v>
      </c>
      <c r="BK1809" t="s">
        <v>209</v>
      </c>
      <c r="BL1809" t="s">
        <v>25130</v>
      </c>
      <c r="BM1809" t="s">
        <v>30676</v>
      </c>
      <c r="BN1809" t="s">
        <v>74</v>
      </c>
      <c r="BO1809" t="s">
        <v>74</v>
      </c>
      <c r="BP1809" t="s">
        <v>74</v>
      </c>
      <c r="BQ1809" t="s">
        <v>74</v>
      </c>
      <c r="BR1809" t="s">
        <v>102</v>
      </c>
      <c r="BS1809" t="s">
        <v>30677</v>
      </c>
      <c r="BT1809" t="str">
        <f>HYPERLINK("https%3A%2F%2Fwww.webofscience.com%2Fwos%2Fwoscc%2Ffull-record%2FWOS:000642765500024","View Full Record in Web of Science")</f>
        <v>View Full Record in Web of Science</v>
      </c>
    </row>
    <row r="1810" spans="1:72" x14ac:dyDescent="0.35">
      <c r="A1810" t="s">
        <v>72</v>
      </c>
      <c r="B1810" t="s">
        <v>30678</v>
      </c>
      <c r="C1810" t="s">
        <v>74</v>
      </c>
      <c r="D1810" t="s">
        <v>74</v>
      </c>
      <c r="E1810" t="s">
        <v>74</v>
      </c>
      <c r="F1810" t="s">
        <v>30679</v>
      </c>
      <c r="G1810" t="s">
        <v>74</v>
      </c>
      <c r="H1810" t="s">
        <v>74</v>
      </c>
      <c r="I1810" t="s">
        <v>30680</v>
      </c>
      <c r="J1810" t="s">
        <v>161</v>
      </c>
      <c r="K1810" t="s">
        <v>74</v>
      </c>
      <c r="L1810" t="s">
        <v>74</v>
      </c>
      <c r="M1810" t="s">
        <v>78</v>
      </c>
      <c r="N1810" t="s">
        <v>108</v>
      </c>
      <c r="O1810" t="s">
        <v>74</v>
      </c>
      <c r="P1810" t="s">
        <v>74</v>
      </c>
      <c r="Q1810" t="s">
        <v>74</v>
      </c>
      <c r="R1810" t="s">
        <v>74</v>
      </c>
      <c r="S1810" t="s">
        <v>74</v>
      </c>
      <c r="T1810" t="s">
        <v>30681</v>
      </c>
      <c r="U1810" t="s">
        <v>30682</v>
      </c>
      <c r="V1810" t="s">
        <v>30683</v>
      </c>
      <c r="W1810" t="s">
        <v>30684</v>
      </c>
      <c r="X1810" t="s">
        <v>30685</v>
      </c>
      <c r="Y1810" t="s">
        <v>30686</v>
      </c>
      <c r="Z1810" t="s">
        <v>30687</v>
      </c>
      <c r="AA1810" t="s">
        <v>74</v>
      </c>
      <c r="AB1810" t="s">
        <v>74</v>
      </c>
      <c r="AC1810" t="s">
        <v>74</v>
      </c>
      <c r="AD1810" t="s">
        <v>74</v>
      </c>
      <c r="AE1810" t="s">
        <v>74</v>
      </c>
      <c r="AF1810" t="s">
        <v>74</v>
      </c>
      <c r="AG1810">
        <v>66</v>
      </c>
      <c r="AH1810">
        <v>0</v>
      </c>
      <c r="AI1810">
        <v>0</v>
      </c>
      <c r="AJ1810">
        <v>7</v>
      </c>
      <c r="AK1810">
        <v>9</v>
      </c>
      <c r="AL1810" t="s">
        <v>171</v>
      </c>
      <c r="AM1810" t="s">
        <v>172</v>
      </c>
      <c r="AN1810" t="s">
        <v>173</v>
      </c>
      <c r="AO1810" t="s">
        <v>174</v>
      </c>
      <c r="AP1810" t="s">
        <v>175</v>
      </c>
      <c r="AQ1810" t="s">
        <v>74</v>
      </c>
      <c r="AR1810" t="s">
        <v>176</v>
      </c>
      <c r="AS1810" t="s">
        <v>177</v>
      </c>
      <c r="AT1810" t="s">
        <v>1275</v>
      </c>
      <c r="AU1810">
        <v>2024</v>
      </c>
      <c r="AV1810">
        <v>42</v>
      </c>
      <c r="AW1810">
        <v>6</v>
      </c>
      <c r="AX1810" t="s">
        <v>74</v>
      </c>
      <c r="AY1810" t="s">
        <v>74</v>
      </c>
      <c r="AZ1810" t="s">
        <v>74</v>
      </c>
      <c r="BA1810" t="s">
        <v>74</v>
      </c>
      <c r="BB1810">
        <v>1288</v>
      </c>
      <c r="BC1810">
        <v>1312</v>
      </c>
      <c r="BD1810" t="s">
        <v>74</v>
      </c>
      <c r="BE1810" t="s">
        <v>30688</v>
      </c>
      <c r="BF1810" t="str">
        <f>HYPERLINK("http://dx.doi.org/10.1177/08944393241227554","http://dx.doi.org/10.1177/08944393241227554")</f>
        <v>http://dx.doi.org/10.1177/08944393241227554</v>
      </c>
      <c r="BG1810" t="s">
        <v>74</v>
      </c>
      <c r="BH1810" t="s">
        <v>786</v>
      </c>
      <c r="BI1810">
        <v>25</v>
      </c>
      <c r="BJ1810" t="s">
        <v>181</v>
      </c>
      <c r="BK1810" t="s">
        <v>182</v>
      </c>
      <c r="BL1810" t="s">
        <v>183</v>
      </c>
      <c r="BM1810" t="s">
        <v>30689</v>
      </c>
      <c r="BN1810" t="s">
        <v>74</v>
      </c>
      <c r="BO1810" t="s">
        <v>74</v>
      </c>
      <c r="BP1810" t="s">
        <v>74</v>
      </c>
      <c r="BQ1810" t="s">
        <v>74</v>
      </c>
      <c r="BR1810" t="s">
        <v>102</v>
      </c>
      <c r="BS1810" t="s">
        <v>30690</v>
      </c>
      <c r="BT1810" t="str">
        <f>HYPERLINK("https%3A%2F%2Fwww.webofscience.com%2Fwos%2Fwoscc%2Ffull-record%2FWOS:001157058500001","View Full Record in Web of Science")</f>
        <v>View Full Record in Web of Science</v>
      </c>
    </row>
    <row r="1811" spans="1:72" x14ac:dyDescent="0.35">
      <c r="A1811" t="s">
        <v>72</v>
      </c>
      <c r="B1811" t="s">
        <v>30691</v>
      </c>
      <c r="C1811" t="s">
        <v>74</v>
      </c>
      <c r="D1811" t="s">
        <v>74</v>
      </c>
      <c r="E1811" t="s">
        <v>74</v>
      </c>
      <c r="F1811" t="s">
        <v>30692</v>
      </c>
      <c r="G1811" t="s">
        <v>74</v>
      </c>
      <c r="H1811" t="s">
        <v>74</v>
      </c>
      <c r="I1811" t="s">
        <v>30693</v>
      </c>
      <c r="J1811" t="s">
        <v>30694</v>
      </c>
      <c r="K1811" t="s">
        <v>74</v>
      </c>
      <c r="L1811" t="s">
        <v>74</v>
      </c>
      <c r="M1811" t="s">
        <v>78</v>
      </c>
      <c r="N1811" t="s">
        <v>108</v>
      </c>
      <c r="O1811" t="s">
        <v>74</v>
      </c>
      <c r="P1811" t="s">
        <v>74</v>
      </c>
      <c r="Q1811" t="s">
        <v>74</v>
      </c>
      <c r="R1811" t="s">
        <v>74</v>
      </c>
      <c r="S1811" t="s">
        <v>74</v>
      </c>
      <c r="T1811" t="s">
        <v>30695</v>
      </c>
      <c r="U1811" t="s">
        <v>74</v>
      </c>
      <c r="V1811" t="s">
        <v>30696</v>
      </c>
      <c r="W1811" t="s">
        <v>30697</v>
      </c>
      <c r="X1811" t="s">
        <v>9789</v>
      </c>
      <c r="Y1811" t="s">
        <v>30698</v>
      </c>
      <c r="Z1811" t="s">
        <v>74</v>
      </c>
      <c r="AA1811" t="s">
        <v>74</v>
      </c>
      <c r="AB1811" t="s">
        <v>74</v>
      </c>
      <c r="AC1811" t="s">
        <v>74</v>
      </c>
      <c r="AD1811" t="s">
        <v>74</v>
      </c>
      <c r="AE1811" t="s">
        <v>74</v>
      </c>
      <c r="AF1811" t="s">
        <v>74</v>
      </c>
      <c r="AG1811">
        <v>68</v>
      </c>
      <c r="AH1811">
        <v>0</v>
      </c>
      <c r="AI1811">
        <v>0</v>
      </c>
      <c r="AJ1811">
        <v>1</v>
      </c>
      <c r="AK1811">
        <v>1</v>
      </c>
      <c r="AL1811" t="s">
        <v>1129</v>
      </c>
      <c r="AM1811" t="s">
        <v>89</v>
      </c>
      <c r="AN1811" t="s">
        <v>1130</v>
      </c>
      <c r="AO1811" t="s">
        <v>30699</v>
      </c>
      <c r="AP1811" t="s">
        <v>74</v>
      </c>
      <c r="AQ1811" t="s">
        <v>74</v>
      </c>
      <c r="AR1811" t="s">
        <v>30700</v>
      </c>
      <c r="AS1811" t="s">
        <v>30701</v>
      </c>
      <c r="AT1811" t="s">
        <v>2296</v>
      </c>
      <c r="AU1811">
        <v>2024</v>
      </c>
      <c r="AV1811">
        <v>11</v>
      </c>
      <c r="AW1811">
        <v>1</v>
      </c>
      <c r="AX1811" t="s">
        <v>74</v>
      </c>
      <c r="AY1811" t="s">
        <v>74</v>
      </c>
      <c r="AZ1811" t="s">
        <v>74</v>
      </c>
      <c r="BA1811" t="s">
        <v>74</v>
      </c>
      <c r="BB1811" t="s">
        <v>74</v>
      </c>
      <c r="BC1811" t="s">
        <v>74</v>
      </c>
      <c r="BD1811">
        <v>2425706</v>
      </c>
      <c r="BE1811" t="s">
        <v>30702</v>
      </c>
      <c r="BF1811" t="str">
        <f>HYPERLINK("http://dx.doi.org/10.1080/23311975.2024.2425706","http://dx.doi.org/10.1080/23311975.2024.2425706")</f>
        <v>http://dx.doi.org/10.1080/23311975.2024.2425706</v>
      </c>
      <c r="BG1811" t="s">
        <v>74</v>
      </c>
      <c r="BH1811" t="s">
        <v>74</v>
      </c>
      <c r="BI1811">
        <v>19</v>
      </c>
      <c r="BJ1811" t="s">
        <v>1597</v>
      </c>
      <c r="BK1811" t="s">
        <v>125</v>
      </c>
      <c r="BL1811" t="s">
        <v>480</v>
      </c>
      <c r="BM1811" t="s">
        <v>30703</v>
      </c>
      <c r="BN1811" t="s">
        <v>74</v>
      </c>
      <c r="BO1811" t="s">
        <v>235</v>
      </c>
      <c r="BP1811" t="s">
        <v>74</v>
      </c>
      <c r="BQ1811" t="s">
        <v>74</v>
      </c>
      <c r="BR1811" t="s">
        <v>102</v>
      </c>
      <c r="BS1811" t="s">
        <v>30704</v>
      </c>
      <c r="BT1811" t="str">
        <f>HYPERLINK("https%3A%2F%2Fwww.webofscience.com%2Fwos%2Fwoscc%2Ffull-record%2FWOS:001350116400001","View Full Record in Web of Science")</f>
        <v>View Full Record in Web of Science</v>
      </c>
    </row>
    <row r="1812" spans="1:72" x14ac:dyDescent="0.35">
      <c r="A1812" t="s">
        <v>72</v>
      </c>
      <c r="B1812" t="s">
        <v>30705</v>
      </c>
      <c r="C1812" t="s">
        <v>74</v>
      </c>
      <c r="D1812" t="s">
        <v>74</v>
      </c>
      <c r="E1812" t="s">
        <v>74</v>
      </c>
      <c r="F1812" t="s">
        <v>30706</v>
      </c>
      <c r="G1812" t="s">
        <v>74</v>
      </c>
      <c r="H1812" t="s">
        <v>74</v>
      </c>
      <c r="I1812" t="s">
        <v>30707</v>
      </c>
      <c r="J1812" t="s">
        <v>2582</v>
      </c>
      <c r="K1812" t="s">
        <v>74</v>
      </c>
      <c r="L1812" t="s">
        <v>74</v>
      </c>
      <c r="M1812" t="s">
        <v>78</v>
      </c>
      <c r="N1812" t="s">
        <v>79</v>
      </c>
      <c r="O1812" t="s">
        <v>74</v>
      </c>
      <c r="P1812" t="s">
        <v>74</v>
      </c>
      <c r="Q1812" t="s">
        <v>74</v>
      </c>
      <c r="R1812" t="s">
        <v>74</v>
      </c>
      <c r="S1812" t="s">
        <v>74</v>
      </c>
      <c r="T1812" t="s">
        <v>74</v>
      </c>
      <c r="U1812" t="s">
        <v>30708</v>
      </c>
      <c r="V1812" t="s">
        <v>30709</v>
      </c>
      <c r="W1812" t="s">
        <v>30710</v>
      </c>
      <c r="X1812" t="s">
        <v>30711</v>
      </c>
      <c r="Y1812" t="s">
        <v>30712</v>
      </c>
      <c r="Z1812" t="s">
        <v>30713</v>
      </c>
      <c r="AA1812" t="s">
        <v>30714</v>
      </c>
      <c r="AB1812" t="s">
        <v>74</v>
      </c>
      <c r="AC1812" t="s">
        <v>30715</v>
      </c>
      <c r="AD1812" t="s">
        <v>30715</v>
      </c>
      <c r="AE1812" t="s">
        <v>30716</v>
      </c>
      <c r="AF1812" t="s">
        <v>74</v>
      </c>
      <c r="AG1812">
        <v>56</v>
      </c>
      <c r="AH1812">
        <v>0</v>
      </c>
      <c r="AI1812">
        <v>0</v>
      </c>
      <c r="AJ1812">
        <v>3</v>
      </c>
      <c r="AK1812">
        <v>3</v>
      </c>
      <c r="AL1812" t="s">
        <v>88</v>
      </c>
      <c r="AM1812" t="s">
        <v>89</v>
      </c>
      <c r="AN1812" t="s">
        <v>90</v>
      </c>
      <c r="AO1812" t="s">
        <v>2595</v>
      </c>
      <c r="AP1812" t="s">
        <v>2596</v>
      </c>
      <c r="AQ1812" t="s">
        <v>74</v>
      </c>
      <c r="AR1812" t="s">
        <v>2597</v>
      </c>
      <c r="AS1812" t="s">
        <v>2598</v>
      </c>
      <c r="AT1812" t="s">
        <v>30717</v>
      </c>
      <c r="AU1812">
        <v>2024</v>
      </c>
      <c r="AV1812" t="s">
        <v>74</v>
      </c>
      <c r="AW1812" t="s">
        <v>74</v>
      </c>
      <c r="AX1812" t="s">
        <v>74</v>
      </c>
      <c r="AY1812" t="s">
        <v>74</v>
      </c>
      <c r="AZ1812" t="s">
        <v>74</v>
      </c>
      <c r="BA1812" t="s">
        <v>74</v>
      </c>
      <c r="BB1812" t="s">
        <v>74</v>
      </c>
      <c r="BC1812" t="s">
        <v>74</v>
      </c>
      <c r="BD1812" t="s">
        <v>74</v>
      </c>
      <c r="BE1812" t="s">
        <v>30718</v>
      </c>
      <c r="BF1812" t="str">
        <f>HYPERLINK("http://dx.doi.org/10.1080/13676261.2024.2419085","http://dx.doi.org/10.1080/13676261.2024.2419085")</f>
        <v>http://dx.doi.org/10.1080/13676261.2024.2419085</v>
      </c>
      <c r="BG1812" t="s">
        <v>74</v>
      </c>
      <c r="BH1812" t="s">
        <v>1721</v>
      </c>
      <c r="BI1812">
        <v>17</v>
      </c>
      <c r="BJ1812" t="s">
        <v>98</v>
      </c>
      <c r="BK1812" t="s">
        <v>99</v>
      </c>
      <c r="BL1812" t="s">
        <v>100</v>
      </c>
      <c r="BM1812" t="s">
        <v>30719</v>
      </c>
      <c r="BN1812" t="s">
        <v>74</v>
      </c>
      <c r="BO1812" t="s">
        <v>156</v>
      </c>
      <c r="BP1812" t="s">
        <v>74</v>
      </c>
      <c r="BQ1812" t="s">
        <v>74</v>
      </c>
      <c r="BR1812" t="s">
        <v>102</v>
      </c>
      <c r="BS1812" t="s">
        <v>30720</v>
      </c>
      <c r="BT1812" t="str">
        <f>HYPERLINK("https%3A%2F%2Fwww.webofscience.com%2Fwos%2Fwoscc%2Ffull-record%2FWOS:001343880000001","View Full Record in Web of Science")</f>
        <v>View Full Record in Web of Science</v>
      </c>
    </row>
    <row r="1813" spans="1:72" x14ac:dyDescent="0.35">
      <c r="A1813" t="s">
        <v>72</v>
      </c>
      <c r="B1813" t="s">
        <v>30721</v>
      </c>
      <c r="C1813" t="s">
        <v>74</v>
      </c>
      <c r="D1813" t="s">
        <v>74</v>
      </c>
      <c r="E1813" t="s">
        <v>74</v>
      </c>
      <c r="F1813" t="s">
        <v>30722</v>
      </c>
      <c r="G1813" t="s">
        <v>74</v>
      </c>
      <c r="H1813" t="s">
        <v>74</v>
      </c>
      <c r="I1813" t="s">
        <v>30723</v>
      </c>
      <c r="J1813" t="s">
        <v>30724</v>
      </c>
      <c r="K1813" t="s">
        <v>74</v>
      </c>
      <c r="L1813" t="s">
        <v>74</v>
      </c>
      <c r="M1813" t="s">
        <v>78</v>
      </c>
      <c r="N1813" t="s">
        <v>108</v>
      </c>
      <c r="O1813" t="s">
        <v>74</v>
      </c>
      <c r="P1813" t="s">
        <v>74</v>
      </c>
      <c r="Q1813" t="s">
        <v>74</v>
      </c>
      <c r="R1813" t="s">
        <v>74</v>
      </c>
      <c r="S1813" t="s">
        <v>74</v>
      </c>
      <c r="T1813" t="s">
        <v>74</v>
      </c>
      <c r="U1813" t="s">
        <v>30725</v>
      </c>
      <c r="V1813" t="s">
        <v>30726</v>
      </c>
      <c r="W1813" t="s">
        <v>30727</v>
      </c>
      <c r="X1813" t="s">
        <v>926</v>
      </c>
      <c r="Y1813" t="s">
        <v>30728</v>
      </c>
      <c r="Z1813" t="s">
        <v>30729</v>
      </c>
      <c r="AA1813" t="s">
        <v>30730</v>
      </c>
      <c r="AB1813" t="s">
        <v>30731</v>
      </c>
      <c r="AC1813" t="s">
        <v>74</v>
      </c>
      <c r="AD1813" t="s">
        <v>74</v>
      </c>
      <c r="AE1813" t="s">
        <v>74</v>
      </c>
      <c r="AF1813" t="s">
        <v>74</v>
      </c>
      <c r="AG1813">
        <v>59</v>
      </c>
      <c r="AH1813">
        <v>8</v>
      </c>
      <c r="AI1813">
        <v>8</v>
      </c>
      <c r="AJ1813">
        <v>7</v>
      </c>
      <c r="AK1813">
        <v>25</v>
      </c>
      <c r="AL1813" t="s">
        <v>10592</v>
      </c>
      <c r="AM1813" t="s">
        <v>10224</v>
      </c>
      <c r="AN1813" t="s">
        <v>10593</v>
      </c>
      <c r="AO1813" t="s">
        <v>30732</v>
      </c>
      <c r="AP1813" t="s">
        <v>74</v>
      </c>
      <c r="AQ1813" t="s">
        <v>74</v>
      </c>
      <c r="AR1813" t="s">
        <v>30733</v>
      </c>
      <c r="AS1813" t="s">
        <v>30734</v>
      </c>
      <c r="AT1813" t="s">
        <v>930</v>
      </c>
      <c r="AU1813">
        <v>2023</v>
      </c>
      <c r="AV1813">
        <v>6</v>
      </c>
      <c r="AW1813">
        <v>4</v>
      </c>
      <c r="AX1813" t="s">
        <v>74</v>
      </c>
      <c r="AY1813" t="s">
        <v>74</v>
      </c>
      <c r="AZ1813" t="s">
        <v>74</v>
      </c>
      <c r="BA1813" t="s">
        <v>74</v>
      </c>
      <c r="BB1813" t="s">
        <v>74</v>
      </c>
      <c r="BC1813" t="s">
        <v>74</v>
      </c>
      <c r="BD1813" t="s">
        <v>30735</v>
      </c>
      <c r="BE1813" t="s">
        <v>30736</v>
      </c>
      <c r="BF1813" t="str">
        <f>HYPERLINK("http://dx.doi.org/10.1001/jamanetworkopen.2023.8897","http://dx.doi.org/10.1001/jamanetworkopen.2023.8897")</f>
        <v>http://dx.doi.org/10.1001/jamanetworkopen.2023.8897</v>
      </c>
      <c r="BG1813" t="s">
        <v>74</v>
      </c>
      <c r="BH1813" t="s">
        <v>74</v>
      </c>
      <c r="BI1813">
        <v>12</v>
      </c>
      <c r="BJ1813" t="s">
        <v>811</v>
      </c>
      <c r="BK1813" t="s">
        <v>209</v>
      </c>
      <c r="BL1813" t="s">
        <v>812</v>
      </c>
      <c r="BM1813" t="s">
        <v>30737</v>
      </c>
      <c r="BN1813">
        <v>37074713</v>
      </c>
      <c r="BO1813" t="s">
        <v>552</v>
      </c>
      <c r="BP1813" t="s">
        <v>74</v>
      </c>
      <c r="BQ1813" t="s">
        <v>74</v>
      </c>
      <c r="BR1813" t="s">
        <v>102</v>
      </c>
      <c r="BS1813" t="s">
        <v>30738</v>
      </c>
      <c r="BT1813" t="str">
        <f>HYPERLINK("https%3A%2F%2Fwww.webofscience.com%2Fwos%2Fwoscc%2Ffull-record%2FWOS:001047049600006","View Full Record in Web of Science")</f>
        <v>View Full Record in Web of Science</v>
      </c>
    </row>
    <row r="1814" spans="1:72" x14ac:dyDescent="0.35">
      <c r="A1814" t="s">
        <v>72</v>
      </c>
      <c r="B1814" t="s">
        <v>30739</v>
      </c>
      <c r="C1814" t="s">
        <v>74</v>
      </c>
      <c r="D1814" t="s">
        <v>74</v>
      </c>
      <c r="E1814" t="s">
        <v>74</v>
      </c>
      <c r="F1814" t="s">
        <v>30740</v>
      </c>
      <c r="G1814" t="s">
        <v>74</v>
      </c>
      <c r="H1814" t="s">
        <v>74</v>
      </c>
      <c r="I1814" t="s">
        <v>30741</v>
      </c>
      <c r="J1814" t="s">
        <v>30742</v>
      </c>
      <c r="K1814" t="s">
        <v>74</v>
      </c>
      <c r="L1814" t="s">
        <v>74</v>
      </c>
      <c r="M1814" t="s">
        <v>78</v>
      </c>
      <c r="N1814" t="s">
        <v>79</v>
      </c>
      <c r="O1814" t="s">
        <v>74</v>
      </c>
      <c r="P1814" t="s">
        <v>74</v>
      </c>
      <c r="Q1814" t="s">
        <v>74</v>
      </c>
      <c r="R1814" t="s">
        <v>74</v>
      </c>
      <c r="S1814" t="s">
        <v>74</v>
      </c>
      <c r="T1814" t="s">
        <v>30743</v>
      </c>
      <c r="U1814" t="s">
        <v>1036</v>
      </c>
      <c r="V1814" t="s">
        <v>30744</v>
      </c>
      <c r="W1814" t="s">
        <v>30745</v>
      </c>
      <c r="X1814" t="s">
        <v>30746</v>
      </c>
      <c r="Y1814" t="s">
        <v>30747</v>
      </c>
      <c r="Z1814" t="s">
        <v>30748</v>
      </c>
      <c r="AA1814" t="s">
        <v>30749</v>
      </c>
      <c r="AB1814" t="s">
        <v>30750</v>
      </c>
      <c r="AC1814" t="s">
        <v>74</v>
      </c>
      <c r="AD1814" t="s">
        <v>74</v>
      </c>
      <c r="AE1814" t="s">
        <v>74</v>
      </c>
      <c r="AF1814" t="s">
        <v>74</v>
      </c>
      <c r="AG1814">
        <v>34</v>
      </c>
      <c r="AH1814">
        <v>0</v>
      </c>
      <c r="AI1814">
        <v>0</v>
      </c>
      <c r="AJ1814">
        <v>3</v>
      </c>
      <c r="AK1814">
        <v>7</v>
      </c>
      <c r="AL1814" t="s">
        <v>88</v>
      </c>
      <c r="AM1814" t="s">
        <v>89</v>
      </c>
      <c r="AN1814" t="s">
        <v>90</v>
      </c>
      <c r="AO1814" t="s">
        <v>30751</v>
      </c>
      <c r="AP1814" t="s">
        <v>30752</v>
      </c>
      <c r="AQ1814" t="s">
        <v>74</v>
      </c>
      <c r="AR1814" t="s">
        <v>30753</v>
      </c>
      <c r="AS1814" t="s">
        <v>30754</v>
      </c>
      <c r="AT1814" t="s">
        <v>30755</v>
      </c>
      <c r="AU1814">
        <v>2024</v>
      </c>
      <c r="AV1814" t="s">
        <v>74</v>
      </c>
      <c r="AW1814" t="s">
        <v>74</v>
      </c>
      <c r="AX1814" t="s">
        <v>74</v>
      </c>
      <c r="AY1814" t="s">
        <v>74</v>
      </c>
      <c r="AZ1814" t="s">
        <v>74</v>
      </c>
      <c r="BA1814" t="s">
        <v>74</v>
      </c>
      <c r="BB1814" t="s">
        <v>74</v>
      </c>
      <c r="BC1814" t="s">
        <v>74</v>
      </c>
      <c r="BD1814" t="s">
        <v>74</v>
      </c>
      <c r="BE1814" t="s">
        <v>30756</v>
      </c>
      <c r="BF1814" t="str">
        <f>HYPERLINK("http://dx.doi.org/10.1080/02615479.2024.2308681","http://dx.doi.org/10.1080/02615479.2024.2308681")</f>
        <v>http://dx.doi.org/10.1080/02615479.2024.2308681</v>
      </c>
      <c r="BG1814" t="s">
        <v>74</v>
      </c>
      <c r="BH1814" t="s">
        <v>1377</v>
      </c>
      <c r="BI1814">
        <v>17</v>
      </c>
      <c r="BJ1814" t="s">
        <v>787</v>
      </c>
      <c r="BK1814" t="s">
        <v>125</v>
      </c>
      <c r="BL1814" t="s">
        <v>787</v>
      </c>
      <c r="BM1814" t="s">
        <v>30757</v>
      </c>
      <c r="BN1814" t="s">
        <v>74</v>
      </c>
      <c r="BO1814" t="s">
        <v>4154</v>
      </c>
      <c r="BP1814" t="s">
        <v>74</v>
      </c>
      <c r="BQ1814" t="s">
        <v>74</v>
      </c>
      <c r="BR1814" t="s">
        <v>102</v>
      </c>
      <c r="BS1814" t="s">
        <v>30758</v>
      </c>
      <c r="BT1814" t="str">
        <f>HYPERLINK("https%3A%2F%2Fwww.webofscience.com%2Fwos%2Fwoscc%2Ffull-record%2FWOS:001150673900001","View Full Record in Web of Science")</f>
        <v>View Full Record in Web of Science</v>
      </c>
    </row>
    <row r="1815" spans="1:72" x14ac:dyDescent="0.35">
      <c r="A1815" t="s">
        <v>72</v>
      </c>
      <c r="B1815" t="s">
        <v>30759</v>
      </c>
      <c r="C1815" t="s">
        <v>74</v>
      </c>
      <c r="D1815" t="s">
        <v>74</v>
      </c>
      <c r="E1815" t="s">
        <v>74</v>
      </c>
      <c r="F1815" t="s">
        <v>30760</v>
      </c>
      <c r="G1815" t="s">
        <v>74</v>
      </c>
      <c r="H1815" t="s">
        <v>74</v>
      </c>
      <c r="I1815" t="s">
        <v>30761</v>
      </c>
      <c r="J1815" t="s">
        <v>22804</v>
      </c>
      <c r="K1815" t="s">
        <v>74</v>
      </c>
      <c r="L1815" t="s">
        <v>74</v>
      </c>
      <c r="M1815" t="s">
        <v>78</v>
      </c>
      <c r="N1815" t="s">
        <v>108</v>
      </c>
      <c r="O1815" t="s">
        <v>74</v>
      </c>
      <c r="P1815" t="s">
        <v>74</v>
      </c>
      <c r="Q1815" t="s">
        <v>74</v>
      </c>
      <c r="R1815" t="s">
        <v>74</v>
      </c>
      <c r="S1815" t="s">
        <v>74</v>
      </c>
      <c r="T1815" t="s">
        <v>30762</v>
      </c>
      <c r="U1815" t="s">
        <v>74</v>
      </c>
      <c r="V1815" t="s">
        <v>30763</v>
      </c>
      <c r="W1815" t="s">
        <v>30764</v>
      </c>
      <c r="X1815" t="s">
        <v>30765</v>
      </c>
      <c r="Y1815" t="s">
        <v>30766</v>
      </c>
      <c r="Z1815" t="s">
        <v>30767</v>
      </c>
      <c r="AA1815" t="s">
        <v>30768</v>
      </c>
      <c r="AB1815" t="s">
        <v>30769</v>
      </c>
      <c r="AC1815" t="s">
        <v>74</v>
      </c>
      <c r="AD1815" t="s">
        <v>74</v>
      </c>
      <c r="AE1815" t="s">
        <v>74</v>
      </c>
      <c r="AF1815" t="s">
        <v>74</v>
      </c>
      <c r="AG1815">
        <v>34</v>
      </c>
      <c r="AH1815">
        <v>4</v>
      </c>
      <c r="AI1815">
        <v>4</v>
      </c>
      <c r="AJ1815">
        <v>5</v>
      </c>
      <c r="AK1815">
        <v>25</v>
      </c>
      <c r="AL1815" t="s">
        <v>3632</v>
      </c>
      <c r="AM1815" t="s">
        <v>291</v>
      </c>
      <c r="AN1815" t="s">
        <v>3633</v>
      </c>
      <c r="AO1815" t="s">
        <v>22817</v>
      </c>
      <c r="AP1815" t="s">
        <v>22818</v>
      </c>
      <c r="AQ1815" t="s">
        <v>74</v>
      </c>
      <c r="AR1815" t="s">
        <v>22819</v>
      </c>
      <c r="AS1815" t="s">
        <v>22820</v>
      </c>
      <c r="AT1815" t="s">
        <v>297</v>
      </c>
      <c r="AU1815">
        <v>2023</v>
      </c>
      <c r="AV1815">
        <v>74</v>
      </c>
      <c r="AW1815" t="s">
        <v>74</v>
      </c>
      <c r="AX1815" t="s">
        <v>74</v>
      </c>
      <c r="AY1815" t="s">
        <v>74</v>
      </c>
      <c r="AZ1815" t="s">
        <v>74</v>
      </c>
      <c r="BA1815" t="s">
        <v>74</v>
      </c>
      <c r="BB1815" t="s">
        <v>74</v>
      </c>
      <c r="BC1815" t="s">
        <v>74</v>
      </c>
      <c r="BD1815">
        <v>102279</v>
      </c>
      <c r="BE1815" t="s">
        <v>30770</v>
      </c>
      <c r="BF1815" t="str">
        <f>HYPERLINK("http://dx.doi.org/10.1016/j.techsoc.2023.102279","http://dx.doi.org/10.1016/j.techsoc.2023.102279")</f>
        <v>http://dx.doi.org/10.1016/j.techsoc.2023.102279</v>
      </c>
      <c r="BG1815" t="s">
        <v>74</v>
      </c>
      <c r="BH1815" t="s">
        <v>1954</v>
      </c>
      <c r="BI1815">
        <v>7</v>
      </c>
      <c r="BJ1815" t="s">
        <v>22822</v>
      </c>
      <c r="BK1815" t="s">
        <v>99</v>
      </c>
      <c r="BL1815" t="s">
        <v>22823</v>
      </c>
      <c r="BM1815" t="s">
        <v>30771</v>
      </c>
      <c r="BN1815" t="s">
        <v>74</v>
      </c>
      <c r="BO1815" t="s">
        <v>156</v>
      </c>
      <c r="BP1815" t="s">
        <v>74</v>
      </c>
      <c r="BQ1815" t="s">
        <v>74</v>
      </c>
      <c r="BR1815" t="s">
        <v>102</v>
      </c>
      <c r="BS1815" t="s">
        <v>30772</v>
      </c>
      <c r="BT1815" t="str">
        <f>HYPERLINK("https%3A%2F%2Fwww.webofscience.com%2Fwos%2Fwoscc%2Ffull-record%2FWOS:001015395100001","View Full Record in Web of Science")</f>
        <v>View Full Record in Web of Science</v>
      </c>
    </row>
    <row r="1816" spans="1:72" x14ac:dyDescent="0.35">
      <c r="A1816" t="s">
        <v>128</v>
      </c>
      <c r="B1816" t="s">
        <v>30773</v>
      </c>
      <c r="C1816" t="s">
        <v>74</v>
      </c>
      <c r="D1816" t="s">
        <v>74</v>
      </c>
      <c r="E1816" t="s">
        <v>1677</v>
      </c>
      <c r="F1816" t="s">
        <v>30774</v>
      </c>
      <c r="G1816" t="s">
        <v>74</v>
      </c>
      <c r="H1816" t="s">
        <v>74</v>
      </c>
      <c r="I1816" t="s">
        <v>30775</v>
      </c>
      <c r="J1816" t="s">
        <v>30776</v>
      </c>
      <c r="K1816" t="s">
        <v>30777</v>
      </c>
      <c r="L1816" t="s">
        <v>74</v>
      </c>
      <c r="M1816" t="s">
        <v>78</v>
      </c>
      <c r="N1816" t="s">
        <v>135</v>
      </c>
      <c r="O1816" t="s">
        <v>30778</v>
      </c>
      <c r="P1816" t="s">
        <v>30779</v>
      </c>
      <c r="Q1816" t="s">
        <v>30780</v>
      </c>
      <c r="R1816" t="s">
        <v>30781</v>
      </c>
      <c r="S1816" t="s">
        <v>74</v>
      </c>
      <c r="T1816" t="s">
        <v>30782</v>
      </c>
      <c r="U1816" t="s">
        <v>74</v>
      </c>
      <c r="V1816" t="s">
        <v>30783</v>
      </c>
      <c r="W1816" t="s">
        <v>30784</v>
      </c>
      <c r="X1816" t="s">
        <v>30785</v>
      </c>
      <c r="Y1816" t="s">
        <v>30786</v>
      </c>
      <c r="Z1816" t="s">
        <v>74</v>
      </c>
      <c r="AA1816" t="s">
        <v>30787</v>
      </c>
      <c r="AB1816" t="s">
        <v>30788</v>
      </c>
      <c r="AC1816" t="s">
        <v>30789</v>
      </c>
      <c r="AD1816" t="s">
        <v>30790</v>
      </c>
      <c r="AE1816" t="s">
        <v>30791</v>
      </c>
      <c r="AF1816" t="s">
        <v>74</v>
      </c>
      <c r="AG1816">
        <v>19</v>
      </c>
      <c r="AH1816">
        <v>2</v>
      </c>
      <c r="AI1816">
        <v>3</v>
      </c>
      <c r="AJ1816">
        <v>0</v>
      </c>
      <c r="AK1816">
        <v>2</v>
      </c>
      <c r="AL1816" t="s">
        <v>1677</v>
      </c>
      <c r="AM1816" t="s">
        <v>666</v>
      </c>
      <c r="AN1816" t="s">
        <v>1692</v>
      </c>
      <c r="AO1816" t="s">
        <v>30792</v>
      </c>
      <c r="AP1816" t="s">
        <v>74</v>
      </c>
      <c r="AQ1816" t="s">
        <v>30793</v>
      </c>
      <c r="AR1816" t="s">
        <v>30794</v>
      </c>
      <c r="AS1816" t="s">
        <v>74</v>
      </c>
      <c r="AT1816" t="s">
        <v>74</v>
      </c>
      <c r="AU1816">
        <v>2022</v>
      </c>
      <c r="AV1816" t="s">
        <v>74</v>
      </c>
      <c r="AW1816" t="s">
        <v>74</v>
      </c>
      <c r="AX1816" t="s">
        <v>74</v>
      </c>
      <c r="AY1816" t="s">
        <v>74</v>
      </c>
      <c r="AZ1816" t="s">
        <v>74</v>
      </c>
      <c r="BA1816" t="s">
        <v>74</v>
      </c>
      <c r="BB1816">
        <v>3154</v>
      </c>
      <c r="BC1816">
        <v>3158</v>
      </c>
      <c r="BD1816" t="s">
        <v>74</v>
      </c>
      <c r="BE1816" t="s">
        <v>30795</v>
      </c>
      <c r="BF1816" t="str">
        <f>HYPERLINK("http://dx.doi.org/10.1109/ICASSP43922.2022.9746742","http://dx.doi.org/10.1109/ICASSP43922.2022.9746742")</f>
        <v>http://dx.doi.org/10.1109/ICASSP43922.2022.9746742</v>
      </c>
      <c r="BG1816" t="s">
        <v>74</v>
      </c>
      <c r="BH1816" t="s">
        <v>74</v>
      </c>
      <c r="BI1816">
        <v>5</v>
      </c>
      <c r="BJ1816" t="s">
        <v>30796</v>
      </c>
      <c r="BK1816" t="s">
        <v>723</v>
      </c>
      <c r="BL1816" t="s">
        <v>30797</v>
      </c>
      <c r="BM1816" t="s">
        <v>30798</v>
      </c>
      <c r="BN1816" t="s">
        <v>74</v>
      </c>
      <c r="BO1816" t="s">
        <v>74</v>
      </c>
      <c r="BP1816" t="s">
        <v>74</v>
      </c>
      <c r="BQ1816" t="s">
        <v>74</v>
      </c>
      <c r="BR1816" t="s">
        <v>102</v>
      </c>
      <c r="BS1816" t="s">
        <v>30799</v>
      </c>
      <c r="BT1816" t="str">
        <f>HYPERLINK("https%3A%2F%2Fwww.webofscience.com%2Fwos%2Fwoscc%2Ffull-record%2FWOS:000864187903088","View Full Record in Web of Science")</f>
        <v>View Full Record in Web of Science</v>
      </c>
    </row>
    <row r="1817" spans="1:72" x14ac:dyDescent="0.35">
      <c r="A1817" t="s">
        <v>72</v>
      </c>
      <c r="B1817" t="s">
        <v>30800</v>
      </c>
      <c r="C1817" t="s">
        <v>74</v>
      </c>
      <c r="D1817" t="s">
        <v>74</v>
      </c>
      <c r="E1817" t="s">
        <v>74</v>
      </c>
      <c r="F1817" t="s">
        <v>30801</v>
      </c>
      <c r="G1817" t="s">
        <v>74</v>
      </c>
      <c r="H1817" t="s">
        <v>74</v>
      </c>
      <c r="I1817" t="s">
        <v>30802</v>
      </c>
      <c r="J1817" t="s">
        <v>30803</v>
      </c>
      <c r="K1817" t="s">
        <v>74</v>
      </c>
      <c r="L1817" t="s">
        <v>74</v>
      </c>
      <c r="M1817" t="s">
        <v>78</v>
      </c>
      <c r="N1817" t="s">
        <v>108</v>
      </c>
      <c r="O1817" t="s">
        <v>74</v>
      </c>
      <c r="P1817" t="s">
        <v>74</v>
      </c>
      <c r="Q1817" t="s">
        <v>74</v>
      </c>
      <c r="R1817" t="s">
        <v>74</v>
      </c>
      <c r="S1817" t="s">
        <v>74</v>
      </c>
      <c r="T1817" t="s">
        <v>30804</v>
      </c>
      <c r="U1817" t="s">
        <v>30805</v>
      </c>
      <c r="V1817" t="s">
        <v>30806</v>
      </c>
      <c r="W1817" t="s">
        <v>30807</v>
      </c>
      <c r="X1817" t="s">
        <v>30808</v>
      </c>
      <c r="Y1817" t="s">
        <v>30809</v>
      </c>
      <c r="Z1817" t="s">
        <v>30810</v>
      </c>
      <c r="AA1817" t="s">
        <v>30811</v>
      </c>
      <c r="AB1817" t="s">
        <v>30812</v>
      </c>
      <c r="AC1817" t="s">
        <v>74</v>
      </c>
      <c r="AD1817" t="s">
        <v>74</v>
      </c>
      <c r="AE1817" t="s">
        <v>74</v>
      </c>
      <c r="AF1817" t="s">
        <v>74</v>
      </c>
      <c r="AG1817">
        <v>44</v>
      </c>
      <c r="AH1817">
        <v>0</v>
      </c>
      <c r="AI1817">
        <v>0</v>
      </c>
      <c r="AJ1817">
        <v>1</v>
      </c>
      <c r="AK1817">
        <v>1</v>
      </c>
      <c r="AL1817" t="s">
        <v>30813</v>
      </c>
      <c r="AM1817" t="s">
        <v>30814</v>
      </c>
      <c r="AN1817" t="s">
        <v>30815</v>
      </c>
      <c r="AO1817" t="s">
        <v>30816</v>
      </c>
      <c r="AP1817" t="s">
        <v>74</v>
      </c>
      <c r="AQ1817" t="s">
        <v>74</v>
      </c>
      <c r="AR1817" t="s">
        <v>30817</v>
      </c>
      <c r="AS1817" t="s">
        <v>30818</v>
      </c>
      <c r="AT1817" t="s">
        <v>74</v>
      </c>
      <c r="AU1817">
        <v>2024</v>
      </c>
      <c r="AV1817" t="s">
        <v>74</v>
      </c>
      <c r="AW1817">
        <v>21</v>
      </c>
      <c r="AX1817" t="s">
        <v>74</v>
      </c>
      <c r="AY1817" t="s">
        <v>74</v>
      </c>
      <c r="AZ1817" t="s">
        <v>74</v>
      </c>
      <c r="BA1817" t="s">
        <v>74</v>
      </c>
      <c r="BB1817">
        <v>27</v>
      </c>
      <c r="BC1817">
        <v>45</v>
      </c>
      <c r="BD1817" t="s">
        <v>74</v>
      </c>
      <c r="BE1817" t="s">
        <v>30819</v>
      </c>
      <c r="BF1817" t="str">
        <f>HYPERLINK("http://dx.doi.org/10.13135/2384-8677/8014","http://dx.doi.org/10.13135/2384-8677/8014")</f>
        <v>http://dx.doi.org/10.13135/2384-8677/8014</v>
      </c>
      <c r="BG1817" t="s">
        <v>74</v>
      </c>
      <c r="BH1817" t="s">
        <v>74</v>
      </c>
      <c r="BI1817">
        <v>19</v>
      </c>
      <c r="BJ1817" t="s">
        <v>30820</v>
      </c>
      <c r="BK1817" t="s">
        <v>125</v>
      </c>
      <c r="BL1817" t="s">
        <v>3599</v>
      </c>
      <c r="BM1817" t="s">
        <v>30821</v>
      </c>
      <c r="BN1817" t="s">
        <v>74</v>
      </c>
      <c r="BO1817" t="s">
        <v>74</v>
      </c>
      <c r="BP1817" t="s">
        <v>74</v>
      </c>
      <c r="BQ1817" t="s">
        <v>74</v>
      </c>
      <c r="BR1817" t="s">
        <v>102</v>
      </c>
      <c r="BS1817" t="s">
        <v>30822</v>
      </c>
      <c r="BT1817" t="str">
        <f>HYPERLINK("https%3A%2F%2Fwww.webofscience.com%2Fwos%2Fwoscc%2Ffull-record%2FWOS:001308965900003","View Full Record in Web of Science")</f>
        <v>View Full Record in Web of Science</v>
      </c>
    </row>
    <row r="1818" spans="1:72" x14ac:dyDescent="0.35">
      <c r="A1818" t="s">
        <v>72</v>
      </c>
      <c r="B1818" t="s">
        <v>30823</v>
      </c>
      <c r="C1818" t="s">
        <v>74</v>
      </c>
      <c r="D1818" t="s">
        <v>74</v>
      </c>
      <c r="E1818" t="s">
        <v>74</v>
      </c>
      <c r="F1818" t="s">
        <v>30824</v>
      </c>
      <c r="G1818" t="s">
        <v>74</v>
      </c>
      <c r="H1818" t="s">
        <v>74</v>
      </c>
      <c r="I1818" t="s">
        <v>30825</v>
      </c>
      <c r="J1818" t="s">
        <v>30826</v>
      </c>
      <c r="K1818" t="s">
        <v>74</v>
      </c>
      <c r="L1818" t="s">
        <v>74</v>
      </c>
      <c r="M1818" t="s">
        <v>78</v>
      </c>
      <c r="N1818" t="s">
        <v>108</v>
      </c>
      <c r="O1818" t="s">
        <v>74</v>
      </c>
      <c r="P1818" t="s">
        <v>74</v>
      </c>
      <c r="Q1818" t="s">
        <v>74</v>
      </c>
      <c r="R1818" t="s">
        <v>74</v>
      </c>
      <c r="S1818" t="s">
        <v>74</v>
      </c>
      <c r="T1818" t="s">
        <v>30827</v>
      </c>
      <c r="U1818" t="s">
        <v>30828</v>
      </c>
      <c r="V1818" t="s">
        <v>30829</v>
      </c>
      <c r="W1818" t="s">
        <v>30830</v>
      </c>
      <c r="X1818" t="s">
        <v>30831</v>
      </c>
      <c r="Y1818" t="s">
        <v>30832</v>
      </c>
      <c r="Z1818" t="s">
        <v>30833</v>
      </c>
      <c r="AA1818" t="s">
        <v>74</v>
      </c>
      <c r="AB1818" t="s">
        <v>30834</v>
      </c>
      <c r="AC1818" t="s">
        <v>30835</v>
      </c>
      <c r="AD1818" t="s">
        <v>30836</v>
      </c>
      <c r="AE1818" t="s">
        <v>30837</v>
      </c>
      <c r="AF1818" t="s">
        <v>74</v>
      </c>
      <c r="AG1818">
        <v>38</v>
      </c>
      <c r="AH1818">
        <v>0</v>
      </c>
      <c r="AI1818">
        <v>0</v>
      </c>
      <c r="AJ1818">
        <v>6</v>
      </c>
      <c r="AK1818">
        <v>19</v>
      </c>
      <c r="AL1818" t="s">
        <v>516</v>
      </c>
      <c r="AM1818" t="s">
        <v>517</v>
      </c>
      <c r="AN1818" t="s">
        <v>518</v>
      </c>
      <c r="AO1818" t="s">
        <v>30838</v>
      </c>
      <c r="AP1818" t="s">
        <v>30839</v>
      </c>
      <c r="AQ1818" t="s">
        <v>74</v>
      </c>
      <c r="AR1818" t="s">
        <v>30840</v>
      </c>
      <c r="AS1818" t="s">
        <v>30841</v>
      </c>
      <c r="AT1818" t="s">
        <v>232</v>
      </c>
      <c r="AU1818">
        <v>2024</v>
      </c>
      <c r="AV1818">
        <v>219</v>
      </c>
      <c r="AW1818" t="s">
        <v>74</v>
      </c>
      <c r="AX1818" t="s">
        <v>74</v>
      </c>
      <c r="AY1818" t="s">
        <v>74</v>
      </c>
      <c r="AZ1818" t="s">
        <v>74</v>
      </c>
      <c r="BA1818" t="s">
        <v>74</v>
      </c>
      <c r="BB1818">
        <v>58</v>
      </c>
      <c r="BC1818">
        <v>68</v>
      </c>
      <c r="BD1818" t="s">
        <v>74</v>
      </c>
      <c r="BE1818" t="s">
        <v>30842</v>
      </c>
      <c r="BF1818" t="str">
        <f>HYPERLINK("http://dx.doi.org/10.1016/j.pragma.2023.11.007","http://dx.doi.org/10.1016/j.pragma.2023.11.007")</f>
        <v>http://dx.doi.org/10.1016/j.pragma.2023.11.007</v>
      </c>
      <c r="BG1818" t="s">
        <v>74</v>
      </c>
      <c r="BH1818" t="s">
        <v>1449</v>
      </c>
      <c r="BI1818">
        <v>11</v>
      </c>
      <c r="BJ1818" t="s">
        <v>22620</v>
      </c>
      <c r="BK1818" t="s">
        <v>2125</v>
      </c>
      <c r="BL1818" t="s">
        <v>3285</v>
      </c>
      <c r="BM1818" t="s">
        <v>30843</v>
      </c>
      <c r="BN1818" t="s">
        <v>74</v>
      </c>
      <c r="BO1818" t="s">
        <v>767</v>
      </c>
      <c r="BP1818" t="s">
        <v>74</v>
      </c>
      <c r="BQ1818" t="s">
        <v>74</v>
      </c>
      <c r="BR1818" t="s">
        <v>102</v>
      </c>
      <c r="BS1818" t="s">
        <v>30844</v>
      </c>
      <c r="BT1818" t="str">
        <f>HYPERLINK("https%3A%2F%2Fwww.webofscience.com%2Fwos%2Fwoscc%2Ffull-record%2FWOS:001135142100001","View Full Record in Web of Science")</f>
        <v>View Full Record in Web of Science</v>
      </c>
    </row>
    <row r="1819" spans="1:72" x14ac:dyDescent="0.35">
      <c r="A1819" t="s">
        <v>72</v>
      </c>
      <c r="B1819" t="s">
        <v>30845</v>
      </c>
      <c r="C1819" t="s">
        <v>74</v>
      </c>
      <c r="D1819" t="s">
        <v>74</v>
      </c>
      <c r="E1819" t="s">
        <v>74</v>
      </c>
      <c r="F1819" t="s">
        <v>30846</v>
      </c>
      <c r="G1819" t="s">
        <v>74</v>
      </c>
      <c r="H1819" t="s">
        <v>74</v>
      </c>
      <c r="I1819" t="s">
        <v>30847</v>
      </c>
      <c r="J1819" t="s">
        <v>4135</v>
      </c>
      <c r="K1819" t="s">
        <v>74</v>
      </c>
      <c r="L1819" t="s">
        <v>74</v>
      </c>
      <c r="M1819" t="s">
        <v>78</v>
      </c>
      <c r="N1819" t="s">
        <v>108</v>
      </c>
      <c r="O1819" t="s">
        <v>74</v>
      </c>
      <c r="P1819" t="s">
        <v>74</v>
      </c>
      <c r="Q1819" t="s">
        <v>74</v>
      </c>
      <c r="R1819" t="s">
        <v>74</v>
      </c>
      <c r="S1819" t="s">
        <v>74</v>
      </c>
      <c r="T1819" t="s">
        <v>30848</v>
      </c>
      <c r="U1819" t="s">
        <v>30849</v>
      </c>
      <c r="V1819" t="s">
        <v>30850</v>
      </c>
      <c r="W1819" t="s">
        <v>30851</v>
      </c>
      <c r="X1819" t="s">
        <v>30852</v>
      </c>
      <c r="Y1819" t="s">
        <v>30853</v>
      </c>
      <c r="Z1819" t="s">
        <v>30854</v>
      </c>
      <c r="AA1819" t="s">
        <v>74</v>
      </c>
      <c r="AB1819" t="s">
        <v>74</v>
      </c>
      <c r="AC1819" t="s">
        <v>30855</v>
      </c>
      <c r="AD1819" t="s">
        <v>30856</v>
      </c>
      <c r="AE1819" t="s">
        <v>30857</v>
      </c>
      <c r="AF1819" t="s">
        <v>74</v>
      </c>
      <c r="AG1819">
        <v>100</v>
      </c>
      <c r="AH1819">
        <v>10</v>
      </c>
      <c r="AI1819">
        <v>10</v>
      </c>
      <c r="AJ1819">
        <v>34</v>
      </c>
      <c r="AK1819">
        <v>173</v>
      </c>
      <c r="AL1819" t="s">
        <v>3632</v>
      </c>
      <c r="AM1819" t="s">
        <v>291</v>
      </c>
      <c r="AN1819" t="s">
        <v>3633</v>
      </c>
      <c r="AO1819" t="s">
        <v>4148</v>
      </c>
      <c r="AP1819" t="s">
        <v>4149</v>
      </c>
      <c r="AQ1819" t="s">
        <v>74</v>
      </c>
      <c r="AR1819" t="s">
        <v>4150</v>
      </c>
      <c r="AS1819" t="s">
        <v>4151</v>
      </c>
      <c r="AT1819" t="s">
        <v>745</v>
      </c>
      <c r="AU1819">
        <v>2023</v>
      </c>
      <c r="AV1819">
        <v>72</v>
      </c>
      <c r="AW1819" t="s">
        <v>74</v>
      </c>
      <c r="AX1819" t="s">
        <v>74</v>
      </c>
      <c r="AY1819" t="s">
        <v>74</v>
      </c>
      <c r="AZ1819" t="s">
        <v>74</v>
      </c>
      <c r="BA1819" t="s">
        <v>74</v>
      </c>
      <c r="BB1819" t="s">
        <v>74</v>
      </c>
      <c r="BC1819" t="s">
        <v>74</v>
      </c>
      <c r="BD1819">
        <v>103292</v>
      </c>
      <c r="BE1819" t="s">
        <v>30858</v>
      </c>
      <c r="BF1819" t="str">
        <f>HYPERLINK("http://dx.doi.org/10.1016/j.jretconser.2023.103292","http://dx.doi.org/10.1016/j.jretconser.2023.103292")</f>
        <v>http://dx.doi.org/10.1016/j.jretconser.2023.103292</v>
      </c>
      <c r="BG1819" t="s">
        <v>74</v>
      </c>
      <c r="BH1819" t="s">
        <v>6895</v>
      </c>
      <c r="BI1819">
        <v>13</v>
      </c>
      <c r="BJ1819" t="s">
        <v>1597</v>
      </c>
      <c r="BK1819" t="s">
        <v>99</v>
      </c>
      <c r="BL1819" t="s">
        <v>480</v>
      </c>
      <c r="BM1819" t="s">
        <v>30859</v>
      </c>
      <c r="BN1819" t="s">
        <v>74</v>
      </c>
      <c r="BO1819" t="s">
        <v>74</v>
      </c>
      <c r="BP1819" t="s">
        <v>74</v>
      </c>
      <c r="BQ1819" t="s">
        <v>74</v>
      </c>
      <c r="BR1819" t="s">
        <v>102</v>
      </c>
      <c r="BS1819" t="s">
        <v>30860</v>
      </c>
      <c r="BT1819" t="str">
        <f>HYPERLINK("https%3A%2F%2Fwww.webofscience.com%2Fwos%2Fwoscc%2Ffull-record%2FWOS:000948402500001","View Full Record in Web of Science")</f>
        <v>View Full Record in Web of Science</v>
      </c>
    </row>
    <row r="1820" spans="1:72" x14ac:dyDescent="0.35">
      <c r="A1820" t="s">
        <v>72</v>
      </c>
      <c r="B1820" t="s">
        <v>30861</v>
      </c>
      <c r="C1820" t="s">
        <v>74</v>
      </c>
      <c r="D1820" t="s">
        <v>74</v>
      </c>
      <c r="E1820" t="s">
        <v>74</v>
      </c>
      <c r="F1820" t="s">
        <v>30862</v>
      </c>
      <c r="G1820" t="s">
        <v>74</v>
      </c>
      <c r="H1820" t="s">
        <v>74</v>
      </c>
      <c r="I1820" t="s">
        <v>30863</v>
      </c>
      <c r="J1820" t="s">
        <v>21551</v>
      </c>
      <c r="K1820" t="s">
        <v>74</v>
      </c>
      <c r="L1820" t="s">
        <v>74</v>
      </c>
      <c r="M1820" t="s">
        <v>78</v>
      </c>
      <c r="N1820" t="s">
        <v>108</v>
      </c>
      <c r="O1820" t="s">
        <v>74</v>
      </c>
      <c r="P1820" t="s">
        <v>74</v>
      </c>
      <c r="Q1820" t="s">
        <v>74</v>
      </c>
      <c r="R1820" t="s">
        <v>74</v>
      </c>
      <c r="S1820" t="s">
        <v>74</v>
      </c>
      <c r="T1820" t="s">
        <v>30864</v>
      </c>
      <c r="U1820" t="s">
        <v>30865</v>
      </c>
      <c r="V1820" t="s">
        <v>30866</v>
      </c>
      <c r="W1820" t="s">
        <v>30867</v>
      </c>
      <c r="X1820" t="s">
        <v>30868</v>
      </c>
      <c r="Y1820" t="s">
        <v>30869</v>
      </c>
      <c r="Z1820" t="s">
        <v>30870</v>
      </c>
      <c r="AA1820" t="s">
        <v>30871</v>
      </c>
      <c r="AB1820" t="s">
        <v>30872</v>
      </c>
      <c r="AC1820" t="s">
        <v>74</v>
      </c>
      <c r="AD1820" t="s">
        <v>74</v>
      </c>
      <c r="AE1820" t="s">
        <v>74</v>
      </c>
      <c r="AF1820" t="s">
        <v>74</v>
      </c>
      <c r="AG1820">
        <v>62</v>
      </c>
      <c r="AH1820">
        <v>3</v>
      </c>
      <c r="AI1820">
        <v>3</v>
      </c>
      <c r="AJ1820">
        <v>3</v>
      </c>
      <c r="AK1820">
        <v>3</v>
      </c>
      <c r="AL1820" t="s">
        <v>803</v>
      </c>
      <c r="AM1820" t="s">
        <v>227</v>
      </c>
      <c r="AN1820" t="s">
        <v>804</v>
      </c>
      <c r="AO1820" t="s">
        <v>21566</v>
      </c>
      <c r="AP1820" t="s">
        <v>74</v>
      </c>
      <c r="AQ1820" t="s">
        <v>74</v>
      </c>
      <c r="AR1820" t="s">
        <v>21567</v>
      </c>
      <c r="AS1820" t="s">
        <v>21568</v>
      </c>
      <c r="AT1820" t="s">
        <v>273</v>
      </c>
      <c r="AU1820">
        <v>2022</v>
      </c>
      <c r="AV1820">
        <v>11</v>
      </c>
      <c r="AW1820">
        <v>2</v>
      </c>
      <c r="AX1820" t="s">
        <v>74</v>
      </c>
      <c r="AY1820" t="s">
        <v>74</v>
      </c>
      <c r="AZ1820" t="s">
        <v>74</v>
      </c>
      <c r="BA1820" t="s">
        <v>74</v>
      </c>
      <c r="BB1820">
        <v>323</v>
      </c>
      <c r="BC1820">
        <v>341</v>
      </c>
      <c r="BD1820" t="s">
        <v>74</v>
      </c>
      <c r="BE1820" t="s">
        <v>30873</v>
      </c>
      <c r="BF1820" t="str">
        <f>HYPERLINK("http://dx.doi.org/10.7821/naer.2022.7.1053","http://dx.doi.org/10.7821/naer.2022.7.1053")</f>
        <v>http://dx.doi.org/10.7821/naer.2022.7.1053</v>
      </c>
      <c r="BG1820" t="s">
        <v>74</v>
      </c>
      <c r="BH1820" t="s">
        <v>74</v>
      </c>
      <c r="BI1820">
        <v>19</v>
      </c>
      <c r="BJ1820" t="s">
        <v>787</v>
      </c>
      <c r="BK1820" t="s">
        <v>125</v>
      </c>
      <c r="BL1820" t="s">
        <v>787</v>
      </c>
      <c r="BM1820" t="s">
        <v>30874</v>
      </c>
      <c r="BN1820" t="s">
        <v>74</v>
      </c>
      <c r="BO1820" t="s">
        <v>2389</v>
      </c>
      <c r="BP1820" t="s">
        <v>74</v>
      </c>
      <c r="BQ1820" t="s">
        <v>74</v>
      </c>
      <c r="BR1820" t="s">
        <v>102</v>
      </c>
      <c r="BS1820" t="s">
        <v>30875</v>
      </c>
      <c r="BT1820" t="str">
        <f>HYPERLINK("https%3A%2F%2Fwww.webofscience.com%2Fwos%2Fwoscc%2Ffull-record%2FWOS:000828330300001","View Full Record in Web of Science")</f>
        <v>View Full Record in Web of Science</v>
      </c>
    </row>
    <row r="1821" spans="1:72" x14ac:dyDescent="0.35">
      <c r="A1821" t="s">
        <v>72</v>
      </c>
      <c r="B1821" t="s">
        <v>30876</v>
      </c>
      <c r="C1821" t="s">
        <v>74</v>
      </c>
      <c r="D1821" t="s">
        <v>74</v>
      </c>
      <c r="E1821" t="s">
        <v>74</v>
      </c>
      <c r="F1821" t="s">
        <v>30877</v>
      </c>
      <c r="G1821" t="s">
        <v>74</v>
      </c>
      <c r="H1821" t="s">
        <v>74</v>
      </c>
      <c r="I1821" t="s">
        <v>30878</v>
      </c>
      <c r="J1821" t="s">
        <v>30879</v>
      </c>
      <c r="K1821" t="s">
        <v>74</v>
      </c>
      <c r="L1821" t="s">
        <v>74</v>
      </c>
      <c r="M1821" t="s">
        <v>78</v>
      </c>
      <c r="N1821" t="s">
        <v>108</v>
      </c>
      <c r="O1821" t="s">
        <v>74</v>
      </c>
      <c r="P1821" t="s">
        <v>74</v>
      </c>
      <c r="Q1821" t="s">
        <v>74</v>
      </c>
      <c r="R1821" t="s">
        <v>74</v>
      </c>
      <c r="S1821" t="s">
        <v>74</v>
      </c>
      <c r="T1821" t="s">
        <v>30880</v>
      </c>
      <c r="U1821" t="s">
        <v>582</v>
      </c>
      <c r="V1821" t="s">
        <v>30881</v>
      </c>
      <c r="W1821" t="s">
        <v>30882</v>
      </c>
      <c r="X1821" t="s">
        <v>30883</v>
      </c>
      <c r="Y1821" t="s">
        <v>30884</v>
      </c>
      <c r="Z1821" t="s">
        <v>30885</v>
      </c>
      <c r="AA1821" t="s">
        <v>27898</v>
      </c>
      <c r="AB1821" t="s">
        <v>30886</v>
      </c>
      <c r="AC1821" t="s">
        <v>30887</v>
      </c>
      <c r="AD1821" t="s">
        <v>30888</v>
      </c>
      <c r="AE1821" t="s">
        <v>30889</v>
      </c>
      <c r="AF1821" t="s">
        <v>74</v>
      </c>
      <c r="AG1821">
        <v>67</v>
      </c>
      <c r="AH1821">
        <v>3</v>
      </c>
      <c r="AI1821">
        <v>3</v>
      </c>
      <c r="AJ1821">
        <v>3</v>
      </c>
      <c r="AK1821">
        <v>37</v>
      </c>
      <c r="AL1821" t="s">
        <v>718</v>
      </c>
      <c r="AM1821" t="s">
        <v>666</v>
      </c>
      <c r="AN1821" t="s">
        <v>18480</v>
      </c>
      <c r="AO1821" t="s">
        <v>30890</v>
      </c>
      <c r="AP1821" t="s">
        <v>30891</v>
      </c>
      <c r="AQ1821" t="s">
        <v>74</v>
      </c>
      <c r="AR1821" t="s">
        <v>30892</v>
      </c>
      <c r="AS1821" t="s">
        <v>30893</v>
      </c>
      <c r="AT1821" t="s">
        <v>745</v>
      </c>
      <c r="AU1821">
        <v>2022</v>
      </c>
      <c r="AV1821">
        <v>18</v>
      </c>
      <c r="AW1821">
        <v>2</v>
      </c>
      <c r="AX1821" t="s">
        <v>74</v>
      </c>
      <c r="AY1821" t="s">
        <v>74</v>
      </c>
      <c r="AZ1821" t="s">
        <v>74</v>
      </c>
      <c r="BA1821" t="s">
        <v>74</v>
      </c>
      <c r="BB1821" t="s">
        <v>74</v>
      </c>
      <c r="BC1821" t="s">
        <v>74</v>
      </c>
      <c r="BD1821">
        <v>54</v>
      </c>
      <c r="BE1821" t="s">
        <v>30894</v>
      </c>
      <c r="BF1821" t="str">
        <f>HYPERLINK("http://dx.doi.org/10.1145/3477533","http://dx.doi.org/10.1145/3477533")</f>
        <v>http://dx.doi.org/10.1145/3477533</v>
      </c>
      <c r="BG1821" t="s">
        <v>74</v>
      </c>
      <c r="BH1821" t="s">
        <v>74</v>
      </c>
      <c r="BI1821">
        <v>24</v>
      </c>
      <c r="BJ1821" t="s">
        <v>30895</v>
      </c>
      <c r="BK1821" t="s">
        <v>209</v>
      </c>
      <c r="BL1821" t="s">
        <v>210</v>
      </c>
      <c r="BM1821" t="s">
        <v>30896</v>
      </c>
      <c r="BN1821" t="s">
        <v>74</v>
      </c>
      <c r="BO1821" t="s">
        <v>2738</v>
      </c>
      <c r="BP1821" t="s">
        <v>74</v>
      </c>
      <c r="BQ1821" t="s">
        <v>74</v>
      </c>
      <c r="BR1821" t="s">
        <v>102</v>
      </c>
      <c r="BS1821" t="s">
        <v>30897</v>
      </c>
      <c r="BT1821" t="str">
        <f>HYPERLINK("https%3A%2F%2Fwww.webofscience.com%2Fwos%2Fwoscc%2Ffull-record%2FWOS:000773689400011","View Full Record in Web of Science")</f>
        <v>View Full Record in Web of Science</v>
      </c>
    </row>
    <row r="1822" spans="1:72" x14ac:dyDescent="0.35">
      <c r="A1822" t="s">
        <v>72</v>
      </c>
      <c r="B1822" t="s">
        <v>30898</v>
      </c>
      <c r="C1822" t="s">
        <v>74</v>
      </c>
      <c r="D1822" t="s">
        <v>74</v>
      </c>
      <c r="E1822" t="s">
        <v>74</v>
      </c>
      <c r="F1822" t="s">
        <v>30899</v>
      </c>
      <c r="G1822" t="s">
        <v>74</v>
      </c>
      <c r="H1822" t="s">
        <v>74</v>
      </c>
      <c r="I1822" t="s">
        <v>30900</v>
      </c>
      <c r="J1822" t="s">
        <v>681</v>
      </c>
      <c r="K1822" t="s">
        <v>74</v>
      </c>
      <c r="L1822" t="s">
        <v>74</v>
      </c>
      <c r="M1822" t="s">
        <v>78</v>
      </c>
      <c r="N1822" t="s">
        <v>108</v>
      </c>
      <c r="O1822" t="s">
        <v>74</v>
      </c>
      <c r="P1822" t="s">
        <v>74</v>
      </c>
      <c r="Q1822" t="s">
        <v>74</v>
      </c>
      <c r="R1822" t="s">
        <v>74</v>
      </c>
      <c r="S1822" t="s">
        <v>74</v>
      </c>
      <c r="T1822" t="s">
        <v>30901</v>
      </c>
      <c r="U1822" t="s">
        <v>30902</v>
      </c>
      <c r="V1822" t="s">
        <v>30903</v>
      </c>
      <c r="W1822" t="s">
        <v>30904</v>
      </c>
      <c r="X1822" t="s">
        <v>30905</v>
      </c>
      <c r="Y1822" t="s">
        <v>30906</v>
      </c>
      <c r="Z1822" t="s">
        <v>30907</v>
      </c>
      <c r="AA1822" t="s">
        <v>30908</v>
      </c>
      <c r="AB1822" t="s">
        <v>24519</v>
      </c>
      <c r="AC1822" t="s">
        <v>74</v>
      </c>
      <c r="AD1822" t="s">
        <v>74</v>
      </c>
      <c r="AE1822" t="s">
        <v>74</v>
      </c>
      <c r="AF1822" t="s">
        <v>74</v>
      </c>
      <c r="AG1822">
        <v>62</v>
      </c>
      <c r="AH1822">
        <v>18</v>
      </c>
      <c r="AI1822">
        <v>18</v>
      </c>
      <c r="AJ1822">
        <v>11</v>
      </c>
      <c r="AK1822">
        <v>96</v>
      </c>
      <c r="AL1822" t="s">
        <v>384</v>
      </c>
      <c r="AM1822" t="s">
        <v>385</v>
      </c>
      <c r="AN1822" t="s">
        <v>386</v>
      </c>
      <c r="AO1822" t="s">
        <v>693</v>
      </c>
      <c r="AP1822" t="s">
        <v>74</v>
      </c>
      <c r="AQ1822" t="s">
        <v>74</v>
      </c>
      <c r="AR1822" t="s">
        <v>694</v>
      </c>
      <c r="AS1822" t="s">
        <v>695</v>
      </c>
      <c r="AT1822" t="s">
        <v>30909</v>
      </c>
      <c r="AU1822">
        <v>2021</v>
      </c>
      <c r="AV1822">
        <v>12</v>
      </c>
      <c r="AW1822" t="s">
        <v>74</v>
      </c>
      <c r="AX1822" t="s">
        <v>74</v>
      </c>
      <c r="AY1822" t="s">
        <v>74</v>
      </c>
      <c r="AZ1822" t="s">
        <v>74</v>
      </c>
      <c r="BA1822" t="s">
        <v>74</v>
      </c>
      <c r="BB1822" t="s">
        <v>74</v>
      </c>
      <c r="BC1822" t="s">
        <v>74</v>
      </c>
      <c r="BD1822">
        <v>720880</v>
      </c>
      <c r="BE1822" t="s">
        <v>30910</v>
      </c>
      <c r="BF1822" t="str">
        <f>HYPERLINK("http://dx.doi.org/10.3389/fpsyg.2021.720880","http://dx.doi.org/10.3389/fpsyg.2021.720880")</f>
        <v>http://dx.doi.org/10.3389/fpsyg.2021.720880</v>
      </c>
      <c r="BG1822" t="s">
        <v>74</v>
      </c>
      <c r="BH1822" t="s">
        <v>74</v>
      </c>
      <c r="BI1822">
        <v>13</v>
      </c>
      <c r="BJ1822" t="s">
        <v>698</v>
      </c>
      <c r="BK1822" t="s">
        <v>99</v>
      </c>
      <c r="BL1822" t="s">
        <v>301</v>
      </c>
      <c r="BM1822" t="s">
        <v>30911</v>
      </c>
      <c r="BN1822">
        <v>34421773</v>
      </c>
      <c r="BO1822" t="s">
        <v>552</v>
      </c>
      <c r="BP1822" t="s">
        <v>74</v>
      </c>
      <c r="BQ1822" t="s">
        <v>74</v>
      </c>
      <c r="BR1822" t="s">
        <v>102</v>
      </c>
      <c r="BS1822" t="s">
        <v>30912</v>
      </c>
      <c r="BT1822" t="str">
        <f>HYPERLINK("https%3A%2F%2Fwww.webofscience.com%2Fwos%2Fwoscc%2Ffull-record%2FWOS:000687614000001","View Full Record in Web of Science")</f>
        <v>View Full Record in Web of Science</v>
      </c>
    </row>
    <row r="1823" spans="1:72" x14ac:dyDescent="0.35">
      <c r="A1823" t="s">
        <v>72</v>
      </c>
      <c r="B1823" t="s">
        <v>30913</v>
      </c>
      <c r="C1823" t="s">
        <v>74</v>
      </c>
      <c r="D1823" t="s">
        <v>74</v>
      </c>
      <c r="E1823" t="s">
        <v>74</v>
      </c>
      <c r="F1823" t="s">
        <v>30914</v>
      </c>
      <c r="G1823" t="s">
        <v>74</v>
      </c>
      <c r="H1823" t="s">
        <v>74</v>
      </c>
      <c r="I1823" t="s">
        <v>30915</v>
      </c>
      <c r="J1823" t="s">
        <v>30916</v>
      </c>
      <c r="K1823" t="s">
        <v>74</v>
      </c>
      <c r="L1823" t="s">
        <v>74</v>
      </c>
      <c r="M1823" t="s">
        <v>78</v>
      </c>
      <c r="N1823" t="s">
        <v>108</v>
      </c>
      <c r="O1823" t="s">
        <v>74</v>
      </c>
      <c r="P1823" t="s">
        <v>74</v>
      </c>
      <c r="Q1823" t="s">
        <v>74</v>
      </c>
      <c r="R1823" t="s">
        <v>74</v>
      </c>
      <c r="S1823" t="s">
        <v>74</v>
      </c>
      <c r="T1823" t="s">
        <v>30917</v>
      </c>
      <c r="U1823" t="s">
        <v>30918</v>
      </c>
      <c r="V1823" t="s">
        <v>30919</v>
      </c>
      <c r="W1823" t="s">
        <v>30920</v>
      </c>
      <c r="X1823" t="s">
        <v>30921</v>
      </c>
      <c r="Y1823" t="s">
        <v>30922</v>
      </c>
      <c r="Z1823" t="s">
        <v>30923</v>
      </c>
      <c r="AA1823" t="s">
        <v>30924</v>
      </c>
      <c r="AB1823" t="s">
        <v>74</v>
      </c>
      <c r="AC1823" t="s">
        <v>30925</v>
      </c>
      <c r="AD1823" t="s">
        <v>30925</v>
      </c>
      <c r="AE1823" t="s">
        <v>30926</v>
      </c>
      <c r="AF1823" t="s">
        <v>74</v>
      </c>
      <c r="AG1823">
        <v>89</v>
      </c>
      <c r="AH1823">
        <v>14</v>
      </c>
      <c r="AI1823">
        <v>14</v>
      </c>
      <c r="AJ1823">
        <v>267</v>
      </c>
      <c r="AK1823">
        <v>456</v>
      </c>
      <c r="AL1823" t="s">
        <v>171</v>
      </c>
      <c r="AM1823" t="s">
        <v>172</v>
      </c>
      <c r="AN1823" t="s">
        <v>173</v>
      </c>
      <c r="AO1823" t="s">
        <v>30927</v>
      </c>
      <c r="AP1823" t="s">
        <v>30928</v>
      </c>
      <c r="AQ1823" t="s">
        <v>74</v>
      </c>
      <c r="AR1823" t="s">
        <v>30929</v>
      </c>
      <c r="AS1823" t="s">
        <v>30930</v>
      </c>
      <c r="AT1823" t="s">
        <v>273</v>
      </c>
      <c r="AU1823">
        <v>2024</v>
      </c>
      <c r="AV1823">
        <v>88</v>
      </c>
      <c r="AW1823">
        <v>4</v>
      </c>
      <c r="AX1823" t="s">
        <v>74</v>
      </c>
      <c r="AY1823" t="s">
        <v>74</v>
      </c>
      <c r="AZ1823" t="s">
        <v>74</v>
      </c>
      <c r="BA1823" t="s">
        <v>74</v>
      </c>
      <c r="BB1823">
        <v>107</v>
      </c>
      <c r="BC1823">
        <v>128</v>
      </c>
      <c r="BD1823" t="s">
        <v>74</v>
      </c>
      <c r="BE1823" t="s">
        <v>30931</v>
      </c>
      <c r="BF1823" t="str">
        <f>HYPERLINK("http://dx.doi.org/10.1177/00222429231207636","http://dx.doi.org/10.1177/00222429231207636")</f>
        <v>http://dx.doi.org/10.1177/00222429231207636</v>
      </c>
      <c r="BG1823" t="s">
        <v>74</v>
      </c>
      <c r="BH1823" t="s">
        <v>1377</v>
      </c>
      <c r="BI1823">
        <v>22</v>
      </c>
      <c r="BJ1823" t="s">
        <v>1597</v>
      </c>
      <c r="BK1823" t="s">
        <v>99</v>
      </c>
      <c r="BL1823" t="s">
        <v>480</v>
      </c>
      <c r="BM1823" t="s">
        <v>30932</v>
      </c>
      <c r="BN1823" t="s">
        <v>74</v>
      </c>
      <c r="BO1823" t="s">
        <v>74</v>
      </c>
      <c r="BP1823" t="s">
        <v>395</v>
      </c>
      <c r="BQ1823" t="s">
        <v>396</v>
      </c>
      <c r="BR1823" t="s">
        <v>102</v>
      </c>
      <c r="BS1823" t="s">
        <v>30933</v>
      </c>
      <c r="BT1823" t="str">
        <f>HYPERLINK("https%3A%2F%2Fwww.webofscience.com%2Fwos%2Fwoscc%2Ffull-record%2FWOS:001139696900001","View Full Record in Web of Science")</f>
        <v>View Full Record in Web of Science</v>
      </c>
    </row>
    <row r="1824" spans="1:72" x14ac:dyDescent="0.35">
      <c r="A1824" t="s">
        <v>72</v>
      </c>
      <c r="B1824" t="s">
        <v>30934</v>
      </c>
      <c r="C1824" t="s">
        <v>74</v>
      </c>
      <c r="D1824" t="s">
        <v>74</v>
      </c>
      <c r="E1824" t="s">
        <v>74</v>
      </c>
      <c r="F1824" t="s">
        <v>30935</v>
      </c>
      <c r="G1824" t="s">
        <v>74</v>
      </c>
      <c r="H1824" t="s">
        <v>74</v>
      </c>
      <c r="I1824" t="s">
        <v>30936</v>
      </c>
      <c r="J1824" t="s">
        <v>401</v>
      </c>
      <c r="K1824" t="s">
        <v>74</v>
      </c>
      <c r="L1824" t="s">
        <v>74</v>
      </c>
      <c r="M1824" t="s">
        <v>78</v>
      </c>
      <c r="N1824" t="s">
        <v>108</v>
      </c>
      <c r="O1824" t="s">
        <v>74</v>
      </c>
      <c r="P1824" t="s">
        <v>74</v>
      </c>
      <c r="Q1824" t="s">
        <v>74</v>
      </c>
      <c r="R1824" t="s">
        <v>74</v>
      </c>
      <c r="S1824" t="s">
        <v>74</v>
      </c>
      <c r="T1824" t="s">
        <v>30937</v>
      </c>
      <c r="U1824" t="s">
        <v>74</v>
      </c>
      <c r="V1824" t="s">
        <v>30938</v>
      </c>
      <c r="W1824" t="s">
        <v>30939</v>
      </c>
      <c r="X1824" t="s">
        <v>12189</v>
      </c>
      <c r="Y1824" t="s">
        <v>30940</v>
      </c>
      <c r="Z1824" t="s">
        <v>30941</v>
      </c>
      <c r="AA1824" t="s">
        <v>30942</v>
      </c>
      <c r="AB1824" t="s">
        <v>74</v>
      </c>
      <c r="AC1824" t="s">
        <v>30943</v>
      </c>
      <c r="AD1824" t="s">
        <v>30943</v>
      </c>
      <c r="AE1824" t="s">
        <v>30944</v>
      </c>
      <c r="AF1824" t="s">
        <v>74</v>
      </c>
      <c r="AG1824">
        <v>63</v>
      </c>
      <c r="AH1824">
        <v>0</v>
      </c>
      <c r="AI1824">
        <v>0</v>
      </c>
      <c r="AJ1824">
        <v>2</v>
      </c>
      <c r="AK1824">
        <v>2</v>
      </c>
      <c r="AL1824" t="s">
        <v>409</v>
      </c>
      <c r="AM1824" t="s">
        <v>410</v>
      </c>
      <c r="AN1824" t="s">
        <v>411</v>
      </c>
      <c r="AO1824" t="s">
        <v>412</v>
      </c>
      <c r="AP1824" t="s">
        <v>74</v>
      </c>
      <c r="AQ1824" t="s">
        <v>74</v>
      </c>
      <c r="AR1824" t="s">
        <v>413</v>
      </c>
      <c r="AS1824" t="s">
        <v>414</v>
      </c>
      <c r="AT1824" t="s">
        <v>74</v>
      </c>
      <c r="AU1824">
        <v>2023</v>
      </c>
      <c r="AV1824">
        <v>17</v>
      </c>
      <c r="AW1824" t="s">
        <v>74</v>
      </c>
      <c r="AX1824" t="s">
        <v>74</v>
      </c>
      <c r="AY1824" t="s">
        <v>74</v>
      </c>
      <c r="AZ1824" t="s">
        <v>74</v>
      </c>
      <c r="BA1824" t="s">
        <v>74</v>
      </c>
      <c r="BB1824">
        <v>6786</v>
      </c>
      <c r="BC1824">
        <v>6811</v>
      </c>
      <c r="BD1824" t="s">
        <v>74</v>
      </c>
      <c r="BE1824" t="s">
        <v>74</v>
      </c>
      <c r="BF1824" t="s">
        <v>74</v>
      </c>
      <c r="BG1824" t="s">
        <v>74</v>
      </c>
      <c r="BH1824" t="s">
        <v>74</v>
      </c>
      <c r="BI1824">
        <v>26</v>
      </c>
      <c r="BJ1824" t="s">
        <v>124</v>
      </c>
      <c r="BK1824" t="s">
        <v>99</v>
      </c>
      <c r="BL1824" t="s">
        <v>124</v>
      </c>
      <c r="BM1824" t="s">
        <v>10057</v>
      </c>
      <c r="BN1824" t="s">
        <v>74</v>
      </c>
      <c r="BO1824" t="s">
        <v>74</v>
      </c>
      <c r="BP1824" t="s">
        <v>74</v>
      </c>
      <c r="BQ1824" t="s">
        <v>74</v>
      </c>
      <c r="BR1824" t="s">
        <v>102</v>
      </c>
      <c r="BS1824" t="s">
        <v>30945</v>
      </c>
      <c r="BT1824" t="str">
        <f>HYPERLINK("https%3A%2F%2Fwww.webofscience.com%2Fwos%2Fwoscc%2Ffull-record%2FWOS:001111205800041","View Full Record in Web of Science")</f>
        <v>View Full Record in Web of Science</v>
      </c>
    </row>
    <row r="1825" spans="1:72" x14ac:dyDescent="0.35">
      <c r="A1825" t="s">
        <v>128</v>
      </c>
      <c r="B1825" t="s">
        <v>30946</v>
      </c>
      <c r="C1825" t="s">
        <v>74</v>
      </c>
      <c r="D1825" t="s">
        <v>74</v>
      </c>
      <c r="E1825" t="s">
        <v>702</v>
      </c>
      <c r="F1825" t="s">
        <v>30947</v>
      </c>
      <c r="G1825" t="s">
        <v>74</v>
      </c>
      <c r="H1825" t="s">
        <v>74</v>
      </c>
      <c r="I1825" t="s">
        <v>30948</v>
      </c>
      <c r="J1825" t="s">
        <v>30949</v>
      </c>
      <c r="K1825" t="s">
        <v>74</v>
      </c>
      <c r="L1825" t="s">
        <v>74</v>
      </c>
      <c r="M1825" t="s">
        <v>78</v>
      </c>
      <c r="N1825" t="s">
        <v>135</v>
      </c>
      <c r="O1825" t="s">
        <v>30950</v>
      </c>
      <c r="P1825" t="s">
        <v>30951</v>
      </c>
      <c r="Q1825" t="s">
        <v>30410</v>
      </c>
      <c r="R1825" t="s">
        <v>30952</v>
      </c>
      <c r="S1825" t="s">
        <v>74</v>
      </c>
      <c r="T1825" t="s">
        <v>30953</v>
      </c>
      <c r="U1825" t="s">
        <v>74</v>
      </c>
      <c r="V1825" t="s">
        <v>30954</v>
      </c>
      <c r="W1825" t="s">
        <v>30955</v>
      </c>
      <c r="X1825" t="s">
        <v>30956</v>
      </c>
      <c r="Y1825" t="s">
        <v>30957</v>
      </c>
      <c r="Z1825" t="s">
        <v>30958</v>
      </c>
      <c r="AA1825" t="s">
        <v>30959</v>
      </c>
      <c r="AB1825" t="s">
        <v>30960</v>
      </c>
      <c r="AC1825" t="s">
        <v>30961</v>
      </c>
      <c r="AD1825" t="s">
        <v>30962</v>
      </c>
      <c r="AE1825" t="s">
        <v>30963</v>
      </c>
      <c r="AF1825" t="s">
        <v>74</v>
      </c>
      <c r="AG1825">
        <v>41</v>
      </c>
      <c r="AH1825">
        <v>8</v>
      </c>
      <c r="AI1825">
        <v>8</v>
      </c>
      <c r="AJ1825">
        <v>2</v>
      </c>
      <c r="AK1825">
        <v>6</v>
      </c>
      <c r="AL1825" t="s">
        <v>718</v>
      </c>
      <c r="AM1825" t="s">
        <v>666</v>
      </c>
      <c r="AN1825" t="s">
        <v>719</v>
      </c>
      <c r="AO1825" t="s">
        <v>74</v>
      </c>
      <c r="AP1825" t="s">
        <v>74</v>
      </c>
      <c r="AQ1825" t="s">
        <v>30964</v>
      </c>
      <c r="AR1825" t="s">
        <v>74</v>
      </c>
      <c r="AS1825" t="s">
        <v>74</v>
      </c>
      <c r="AT1825" t="s">
        <v>74</v>
      </c>
      <c r="AU1825">
        <v>2023</v>
      </c>
      <c r="AV1825" t="s">
        <v>74</v>
      </c>
      <c r="AW1825" t="s">
        <v>74</v>
      </c>
      <c r="AX1825" t="s">
        <v>74</v>
      </c>
      <c r="AY1825" t="s">
        <v>74</v>
      </c>
      <c r="AZ1825" t="s">
        <v>74</v>
      </c>
      <c r="BA1825" t="s">
        <v>74</v>
      </c>
      <c r="BB1825">
        <v>1508</v>
      </c>
      <c r="BC1825">
        <v>1517</v>
      </c>
      <c r="BD1825" t="s">
        <v>74</v>
      </c>
      <c r="BE1825" t="s">
        <v>30965</v>
      </c>
      <c r="BF1825" t="str">
        <f>HYPERLINK("http://dx.doi.org/10.1145/3539618.3591716","http://dx.doi.org/10.1145/3539618.3591716")</f>
        <v>http://dx.doi.org/10.1145/3539618.3591716</v>
      </c>
      <c r="BG1825" t="s">
        <v>74</v>
      </c>
      <c r="BH1825" t="s">
        <v>74</v>
      </c>
      <c r="BI1825">
        <v>10</v>
      </c>
      <c r="BJ1825" t="s">
        <v>5399</v>
      </c>
      <c r="BK1825" t="s">
        <v>723</v>
      </c>
      <c r="BL1825" t="s">
        <v>210</v>
      </c>
      <c r="BM1825" t="s">
        <v>30966</v>
      </c>
      <c r="BN1825" t="s">
        <v>74</v>
      </c>
      <c r="BO1825" t="s">
        <v>74</v>
      </c>
      <c r="BP1825" t="s">
        <v>74</v>
      </c>
      <c r="BQ1825" t="s">
        <v>74</v>
      </c>
      <c r="BR1825" t="s">
        <v>102</v>
      </c>
      <c r="BS1825" t="s">
        <v>30967</v>
      </c>
      <c r="BT1825" t="str">
        <f>HYPERLINK("https%3A%2F%2Fwww.webofscience.com%2Fwos%2Fwoscc%2Ffull-record%2FWOS:001118084001056","View Full Record in Web of Science")</f>
        <v>View Full Record in Web of Science</v>
      </c>
    </row>
    <row r="1826" spans="1:72" x14ac:dyDescent="0.35">
      <c r="A1826" t="s">
        <v>72</v>
      </c>
      <c r="B1826" t="s">
        <v>30968</v>
      </c>
      <c r="C1826" t="s">
        <v>74</v>
      </c>
      <c r="D1826" t="s">
        <v>74</v>
      </c>
      <c r="E1826" t="s">
        <v>74</v>
      </c>
      <c r="F1826" t="s">
        <v>30969</v>
      </c>
      <c r="G1826" t="s">
        <v>74</v>
      </c>
      <c r="H1826" t="s">
        <v>74</v>
      </c>
      <c r="I1826" t="s">
        <v>30970</v>
      </c>
      <c r="J1826" t="s">
        <v>6063</v>
      </c>
      <c r="K1826" t="s">
        <v>74</v>
      </c>
      <c r="L1826" t="s">
        <v>74</v>
      </c>
      <c r="M1826" t="s">
        <v>78</v>
      </c>
      <c r="N1826" t="s">
        <v>374</v>
      </c>
      <c r="O1826" t="s">
        <v>74</v>
      </c>
      <c r="P1826" t="s">
        <v>74</v>
      </c>
      <c r="Q1826" t="s">
        <v>74</v>
      </c>
      <c r="R1826" t="s">
        <v>74</v>
      </c>
      <c r="S1826" t="s">
        <v>74</v>
      </c>
      <c r="T1826" t="s">
        <v>74</v>
      </c>
      <c r="U1826" t="s">
        <v>30971</v>
      </c>
      <c r="V1826" t="s">
        <v>30972</v>
      </c>
      <c r="W1826" t="s">
        <v>30973</v>
      </c>
      <c r="X1826" t="s">
        <v>30974</v>
      </c>
      <c r="Y1826" t="s">
        <v>30975</v>
      </c>
      <c r="Z1826" t="s">
        <v>30976</v>
      </c>
      <c r="AA1826" t="s">
        <v>30977</v>
      </c>
      <c r="AB1826" t="s">
        <v>30978</v>
      </c>
      <c r="AC1826" t="s">
        <v>74</v>
      </c>
      <c r="AD1826" t="s">
        <v>74</v>
      </c>
      <c r="AE1826" t="s">
        <v>74</v>
      </c>
      <c r="AF1826" t="s">
        <v>74</v>
      </c>
      <c r="AG1826">
        <v>40</v>
      </c>
      <c r="AH1826">
        <v>3</v>
      </c>
      <c r="AI1826">
        <v>3</v>
      </c>
      <c r="AJ1826">
        <v>4</v>
      </c>
      <c r="AK1826">
        <v>6</v>
      </c>
      <c r="AL1826" t="s">
        <v>803</v>
      </c>
      <c r="AM1826" t="s">
        <v>227</v>
      </c>
      <c r="AN1826" t="s">
        <v>804</v>
      </c>
      <c r="AO1826" t="s">
        <v>6071</v>
      </c>
      <c r="AP1826" t="s">
        <v>6072</v>
      </c>
      <c r="AQ1826" t="s">
        <v>74</v>
      </c>
      <c r="AR1826" t="s">
        <v>6073</v>
      </c>
      <c r="AS1826" t="s">
        <v>6074</v>
      </c>
      <c r="AT1826" t="s">
        <v>523</v>
      </c>
      <c r="AU1826">
        <v>2024</v>
      </c>
      <c r="AV1826">
        <v>36</v>
      </c>
      <c r="AW1826">
        <v>7</v>
      </c>
      <c r="AX1826" t="s">
        <v>74</v>
      </c>
      <c r="AY1826" t="s">
        <v>74</v>
      </c>
      <c r="AZ1826" t="s">
        <v>74</v>
      </c>
      <c r="BA1826" t="s">
        <v>74</v>
      </c>
      <c r="BB1826">
        <v>688</v>
      </c>
      <c r="BC1826">
        <v>692</v>
      </c>
      <c r="BD1826" t="s">
        <v>74</v>
      </c>
      <c r="BE1826" t="s">
        <v>30979</v>
      </c>
      <c r="BF1826" t="str">
        <f>HYPERLINK("http://dx.doi.org/10.1038/s41443-023-00725-1","http://dx.doi.org/10.1038/s41443-023-00725-1")</f>
        <v>http://dx.doi.org/10.1038/s41443-023-00725-1</v>
      </c>
      <c r="BG1826" t="s">
        <v>74</v>
      </c>
      <c r="BH1826" t="s">
        <v>1954</v>
      </c>
      <c r="BI1826">
        <v>5</v>
      </c>
      <c r="BJ1826" t="s">
        <v>1908</v>
      </c>
      <c r="BK1826" t="s">
        <v>209</v>
      </c>
      <c r="BL1826" t="s">
        <v>1908</v>
      </c>
      <c r="BM1826" t="s">
        <v>21006</v>
      </c>
      <c r="BN1826">
        <v>37369784</v>
      </c>
      <c r="BO1826" t="s">
        <v>74</v>
      </c>
      <c r="BP1826" t="s">
        <v>74</v>
      </c>
      <c r="BQ1826" t="s">
        <v>74</v>
      </c>
      <c r="BR1826" t="s">
        <v>102</v>
      </c>
      <c r="BS1826" t="s">
        <v>30980</v>
      </c>
      <c r="BT1826" t="str">
        <f>HYPERLINK("https%3A%2F%2Fwww.webofscience.com%2Fwos%2Fwoscc%2Ffull-record%2FWOS:001017716600001","View Full Record in Web of Science")</f>
        <v>View Full Record in Web of Science</v>
      </c>
    </row>
    <row r="1827" spans="1:72" x14ac:dyDescent="0.35">
      <c r="A1827" t="s">
        <v>72</v>
      </c>
      <c r="B1827" t="s">
        <v>30981</v>
      </c>
      <c r="C1827" t="s">
        <v>74</v>
      </c>
      <c r="D1827" t="s">
        <v>74</v>
      </c>
      <c r="E1827" t="s">
        <v>74</v>
      </c>
      <c r="F1827" t="s">
        <v>30982</v>
      </c>
      <c r="G1827" t="s">
        <v>74</v>
      </c>
      <c r="H1827" t="s">
        <v>74</v>
      </c>
      <c r="I1827" t="s">
        <v>30983</v>
      </c>
      <c r="J1827" t="s">
        <v>3584</v>
      </c>
      <c r="K1827" t="s">
        <v>74</v>
      </c>
      <c r="L1827" t="s">
        <v>74</v>
      </c>
      <c r="M1827" t="s">
        <v>78</v>
      </c>
      <c r="N1827" t="s">
        <v>108</v>
      </c>
      <c r="O1827" t="s">
        <v>74</v>
      </c>
      <c r="P1827" t="s">
        <v>74</v>
      </c>
      <c r="Q1827" t="s">
        <v>74</v>
      </c>
      <c r="R1827" t="s">
        <v>74</v>
      </c>
      <c r="S1827" t="s">
        <v>74</v>
      </c>
      <c r="T1827" t="s">
        <v>30984</v>
      </c>
      <c r="U1827" t="s">
        <v>30985</v>
      </c>
      <c r="V1827" t="s">
        <v>30986</v>
      </c>
      <c r="W1827" t="s">
        <v>30987</v>
      </c>
      <c r="X1827" t="s">
        <v>30988</v>
      </c>
      <c r="Y1827" t="s">
        <v>30989</v>
      </c>
      <c r="Z1827" t="s">
        <v>30990</v>
      </c>
      <c r="AA1827" t="s">
        <v>30991</v>
      </c>
      <c r="AB1827" t="s">
        <v>30992</v>
      </c>
      <c r="AC1827" t="s">
        <v>30993</v>
      </c>
      <c r="AD1827" t="s">
        <v>30994</v>
      </c>
      <c r="AE1827" t="s">
        <v>30995</v>
      </c>
      <c r="AF1827" t="s">
        <v>74</v>
      </c>
      <c r="AG1827">
        <v>37</v>
      </c>
      <c r="AH1827">
        <v>6</v>
      </c>
      <c r="AI1827">
        <v>6</v>
      </c>
      <c r="AJ1827">
        <v>0</v>
      </c>
      <c r="AK1827">
        <v>15</v>
      </c>
      <c r="AL1827" t="s">
        <v>1195</v>
      </c>
      <c r="AM1827" t="s">
        <v>1196</v>
      </c>
      <c r="AN1827" t="s">
        <v>1197</v>
      </c>
      <c r="AO1827" t="s">
        <v>74</v>
      </c>
      <c r="AP1827" t="s">
        <v>3594</v>
      </c>
      <c r="AQ1827" t="s">
        <v>74</v>
      </c>
      <c r="AR1827" t="s">
        <v>3595</v>
      </c>
      <c r="AS1827" t="s">
        <v>3596</v>
      </c>
      <c r="AT1827" t="s">
        <v>745</v>
      </c>
      <c r="AU1827">
        <v>2022</v>
      </c>
      <c r="AV1827">
        <v>14</v>
      </c>
      <c r="AW1827">
        <v>9</v>
      </c>
      <c r="AX1827" t="s">
        <v>74</v>
      </c>
      <c r="AY1827" t="s">
        <v>74</v>
      </c>
      <c r="AZ1827" t="s">
        <v>74</v>
      </c>
      <c r="BA1827" t="s">
        <v>74</v>
      </c>
      <c r="BB1827" t="s">
        <v>74</v>
      </c>
      <c r="BC1827" t="s">
        <v>74</v>
      </c>
      <c r="BD1827">
        <v>5490</v>
      </c>
      <c r="BE1827" t="s">
        <v>30996</v>
      </c>
      <c r="BF1827" t="str">
        <f>HYPERLINK("http://dx.doi.org/10.3390/su14095490","http://dx.doi.org/10.3390/su14095490")</f>
        <v>http://dx.doi.org/10.3390/su14095490</v>
      </c>
      <c r="BG1827" t="s">
        <v>74</v>
      </c>
      <c r="BH1827" t="s">
        <v>74</v>
      </c>
      <c r="BI1827">
        <v>12</v>
      </c>
      <c r="BJ1827" t="s">
        <v>3598</v>
      </c>
      <c r="BK1827" t="s">
        <v>182</v>
      </c>
      <c r="BL1827" t="s">
        <v>3599</v>
      </c>
      <c r="BM1827" t="s">
        <v>30997</v>
      </c>
      <c r="BN1827" t="s">
        <v>74</v>
      </c>
      <c r="BO1827" t="s">
        <v>235</v>
      </c>
      <c r="BP1827" t="s">
        <v>74</v>
      </c>
      <c r="BQ1827" t="s">
        <v>74</v>
      </c>
      <c r="BR1827" t="s">
        <v>102</v>
      </c>
      <c r="BS1827" t="s">
        <v>30998</v>
      </c>
      <c r="BT1827" t="str">
        <f>HYPERLINK("https%3A%2F%2Fwww.webofscience.com%2Fwos%2Fwoscc%2Ffull-record%2FWOS:000796176700001","View Full Record in Web of Science")</f>
        <v>View Full Record in Web of Science</v>
      </c>
    </row>
    <row r="1828" spans="1:72" x14ac:dyDescent="0.35">
      <c r="A1828" t="s">
        <v>72</v>
      </c>
      <c r="B1828" t="s">
        <v>30999</v>
      </c>
      <c r="C1828" t="s">
        <v>74</v>
      </c>
      <c r="D1828" t="s">
        <v>74</v>
      </c>
      <c r="E1828" t="s">
        <v>74</v>
      </c>
      <c r="F1828" t="s">
        <v>31000</v>
      </c>
      <c r="G1828" t="s">
        <v>74</v>
      </c>
      <c r="H1828" t="s">
        <v>74</v>
      </c>
      <c r="I1828" t="s">
        <v>31001</v>
      </c>
      <c r="J1828" t="s">
        <v>681</v>
      </c>
      <c r="K1828" t="s">
        <v>74</v>
      </c>
      <c r="L1828" t="s">
        <v>74</v>
      </c>
      <c r="M1828" t="s">
        <v>78</v>
      </c>
      <c r="N1828" t="s">
        <v>108</v>
      </c>
      <c r="O1828" t="s">
        <v>74</v>
      </c>
      <c r="P1828" t="s">
        <v>74</v>
      </c>
      <c r="Q1828" t="s">
        <v>74</v>
      </c>
      <c r="R1828" t="s">
        <v>74</v>
      </c>
      <c r="S1828" t="s">
        <v>74</v>
      </c>
      <c r="T1828" t="s">
        <v>31002</v>
      </c>
      <c r="U1828" t="s">
        <v>31003</v>
      </c>
      <c r="V1828" t="s">
        <v>31004</v>
      </c>
      <c r="W1828" t="s">
        <v>31005</v>
      </c>
      <c r="X1828" t="s">
        <v>31006</v>
      </c>
      <c r="Y1828" t="s">
        <v>31007</v>
      </c>
      <c r="Z1828" t="s">
        <v>31008</v>
      </c>
      <c r="AA1828" t="s">
        <v>30908</v>
      </c>
      <c r="AB1828" t="s">
        <v>24519</v>
      </c>
      <c r="AC1828" t="s">
        <v>74</v>
      </c>
      <c r="AD1828" t="s">
        <v>74</v>
      </c>
      <c r="AE1828" t="s">
        <v>74</v>
      </c>
      <c r="AF1828" t="s">
        <v>74</v>
      </c>
      <c r="AG1828">
        <v>91</v>
      </c>
      <c r="AH1828">
        <v>8</v>
      </c>
      <c r="AI1828">
        <v>8</v>
      </c>
      <c r="AJ1828">
        <v>16</v>
      </c>
      <c r="AK1828">
        <v>124</v>
      </c>
      <c r="AL1828" t="s">
        <v>384</v>
      </c>
      <c r="AM1828" t="s">
        <v>385</v>
      </c>
      <c r="AN1828" t="s">
        <v>386</v>
      </c>
      <c r="AO1828" t="s">
        <v>693</v>
      </c>
      <c r="AP1828" t="s">
        <v>74</v>
      </c>
      <c r="AQ1828" t="s">
        <v>74</v>
      </c>
      <c r="AR1828" t="s">
        <v>694</v>
      </c>
      <c r="AS1828" t="s">
        <v>695</v>
      </c>
      <c r="AT1828" t="s">
        <v>7394</v>
      </c>
      <c r="AU1828">
        <v>2022</v>
      </c>
      <c r="AV1828">
        <v>12</v>
      </c>
      <c r="AW1828" t="s">
        <v>74</v>
      </c>
      <c r="AX1828" t="s">
        <v>74</v>
      </c>
      <c r="AY1828" t="s">
        <v>74</v>
      </c>
      <c r="AZ1828" t="s">
        <v>74</v>
      </c>
      <c r="BA1828" t="s">
        <v>74</v>
      </c>
      <c r="BB1828" t="s">
        <v>74</v>
      </c>
      <c r="BC1828" t="s">
        <v>74</v>
      </c>
      <c r="BD1828">
        <v>757777</v>
      </c>
      <c r="BE1828" t="s">
        <v>31009</v>
      </c>
      <c r="BF1828" t="str">
        <f>HYPERLINK("http://dx.doi.org/10.3389/fpsyg.2021.757777","http://dx.doi.org/10.3389/fpsyg.2021.757777")</f>
        <v>http://dx.doi.org/10.3389/fpsyg.2021.757777</v>
      </c>
      <c r="BG1828" t="s">
        <v>74</v>
      </c>
      <c r="BH1828" t="s">
        <v>74</v>
      </c>
      <c r="BI1828">
        <v>16</v>
      </c>
      <c r="BJ1828" t="s">
        <v>698</v>
      </c>
      <c r="BK1828" t="s">
        <v>99</v>
      </c>
      <c r="BL1828" t="s">
        <v>301</v>
      </c>
      <c r="BM1828" t="s">
        <v>31010</v>
      </c>
      <c r="BN1828">
        <v>35058839</v>
      </c>
      <c r="BO1828" t="s">
        <v>552</v>
      </c>
      <c r="BP1828" t="s">
        <v>74</v>
      </c>
      <c r="BQ1828" t="s">
        <v>74</v>
      </c>
      <c r="BR1828" t="s">
        <v>102</v>
      </c>
      <c r="BS1828" t="s">
        <v>31011</v>
      </c>
      <c r="BT1828" t="str">
        <f>HYPERLINK("https%3A%2F%2Fwww.webofscience.com%2Fwos%2Fwoscc%2Ffull-record%2FWOS:000745703800001","View Full Record in Web of Science")</f>
        <v>View Full Record in Web of Science</v>
      </c>
    </row>
    <row r="1829" spans="1:72" x14ac:dyDescent="0.35">
      <c r="A1829" t="s">
        <v>72</v>
      </c>
      <c r="B1829" t="s">
        <v>31012</v>
      </c>
      <c r="C1829" t="s">
        <v>74</v>
      </c>
      <c r="D1829" t="s">
        <v>74</v>
      </c>
      <c r="E1829" t="s">
        <v>74</v>
      </c>
      <c r="F1829" t="s">
        <v>31013</v>
      </c>
      <c r="G1829" t="s">
        <v>74</v>
      </c>
      <c r="H1829" t="s">
        <v>74</v>
      </c>
      <c r="I1829" t="s">
        <v>31014</v>
      </c>
      <c r="J1829" t="s">
        <v>31015</v>
      </c>
      <c r="K1829" t="s">
        <v>74</v>
      </c>
      <c r="L1829" t="s">
        <v>74</v>
      </c>
      <c r="M1829" t="s">
        <v>78</v>
      </c>
      <c r="N1829" t="s">
        <v>108</v>
      </c>
      <c r="O1829" t="s">
        <v>74</v>
      </c>
      <c r="P1829" t="s">
        <v>74</v>
      </c>
      <c r="Q1829" t="s">
        <v>74</v>
      </c>
      <c r="R1829" t="s">
        <v>74</v>
      </c>
      <c r="S1829" t="s">
        <v>74</v>
      </c>
      <c r="T1829" t="s">
        <v>31016</v>
      </c>
      <c r="U1829" t="s">
        <v>31017</v>
      </c>
      <c r="V1829" t="s">
        <v>31018</v>
      </c>
      <c r="W1829" t="s">
        <v>31019</v>
      </c>
      <c r="X1829" t="s">
        <v>31020</v>
      </c>
      <c r="Y1829" t="s">
        <v>31021</v>
      </c>
      <c r="Z1829" t="s">
        <v>31022</v>
      </c>
      <c r="AA1829" t="s">
        <v>31023</v>
      </c>
      <c r="AB1829" t="s">
        <v>31024</v>
      </c>
      <c r="AC1829" t="s">
        <v>74</v>
      </c>
      <c r="AD1829" t="s">
        <v>74</v>
      </c>
      <c r="AE1829" t="s">
        <v>74</v>
      </c>
      <c r="AF1829" t="s">
        <v>74</v>
      </c>
      <c r="AG1829">
        <v>45</v>
      </c>
      <c r="AH1829">
        <v>0</v>
      </c>
      <c r="AI1829">
        <v>0</v>
      </c>
      <c r="AJ1829">
        <v>2</v>
      </c>
      <c r="AK1829">
        <v>2</v>
      </c>
      <c r="AL1829" t="s">
        <v>88</v>
      </c>
      <c r="AM1829" t="s">
        <v>89</v>
      </c>
      <c r="AN1829" t="s">
        <v>90</v>
      </c>
      <c r="AO1829" t="s">
        <v>31025</v>
      </c>
      <c r="AP1829" t="s">
        <v>31026</v>
      </c>
      <c r="AQ1829" t="s">
        <v>74</v>
      </c>
      <c r="AR1829" t="s">
        <v>31027</v>
      </c>
      <c r="AS1829" t="s">
        <v>31028</v>
      </c>
      <c r="AT1829" t="s">
        <v>7454</v>
      </c>
      <c r="AU1829">
        <v>2024</v>
      </c>
      <c r="AV1829">
        <v>31</v>
      </c>
      <c r="AW1829">
        <v>4</v>
      </c>
      <c r="AX1829" t="s">
        <v>74</v>
      </c>
      <c r="AY1829" t="s">
        <v>74</v>
      </c>
      <c r="AZ1829" t="s">
        <v>74</v>
      </c>
      <c r="BA1829" t="s">
        <v>74</v>
      </c>
      <c r="BB1829">
        <v>529</v>
      </c>
      <c r="BC1829">
        <v>544</v>
      </c>
      <c r="BD1829" t="s">
        <v>74</v>
      </c>
      <c r="BE1829" t="s">
        <v>31029</v>
      </c>
      <c r="BF1829" t="str">
        <f>HYPERLINK("http://dx.doi.org/10.1080/13183222.2024.2396211","http://dx.doi.org/10.1080/13183222.2024.2396211")</f>
        <v>http://dx.doi.org/10.1080/13183222.2024.2396211</v>
      </c>
      <c r="BG1829" t="s">
        <v>74</v>
      </c>
      <c r="BH1829" t="s">
        <v>1721</v>
      </c>
      <c r="BI1829">
        <v>16</v>
      </c>
      <c r="BJ1829" t="s">
        <v>124</v>
      </c>
      <c r="BK1829" t="s">
        <v>99</v>
      </c>
      <c r="BL1829" t="s">
        <v>124</v>
      </c>
      <c r="BM1829" t="s">
        <v>31030</v>
      </c>
      <c r="BN1829" t="s">
        <v>74</v>
      </c>
      <c r="BO1829" t="s">
        <v>74</v>
      </c>
      <c r="BP1829" t="s">
        <v>74</v>
      </c>
      <c r="BQ1829" t="s">
        <v>74</v>
      </c>
      <c r="BR1829" t="s">
        <v>102</v>
      </c>
      <c r="BS1829" t="s">
        <v>31031</v>
      </c>
      <c r="BT1829" t="str">
        <f>HYPERLINK("https%3A%2F%2Fwww.webofscience.com%2Fwos%2Fwoscc%2Ffull-record%2FWOS:001338227000001","View Full Record in Web of Science")</f>
        <v>View Full Record in Web of Science</v>
      </c>
    </row>
    <row r="1830" spans="1:72" x14ac:dyDescent="0.35">
      <c r="A1830" t="s">
        <v>72</v>
      </c>
      <c r="B1830" t="s">
        <v>31032</v>
      </c>
      <c r="C1830" t="s">
        <v>74</v>
      </c>
      <c r="D1830" t="s">
        <v>74</v>
      </c>
      <c r="E1830" t="s">
        <v>74</v>
      </c>
      <c r="F1830" t="s">
        <v>31033</v>
      </c>
      <c r="G1830" t="s">
        <v>74</v>
      </c>
      <c r="H1830" t="s">
        <v>74</v>
      </c>
      <c r="I1830" t="s">
        <v>31034</v>
      </c>
      <c r="J1830" t="s">
        <v>31035</v>
      </c>
      <c r="K1830" t="s">
        <v>74</v>
      </c>
      <c r="L1830" t="s">
        <v>74</v>
      </c>
      <c r="M1830" t="s">
        <v>78</v>
      </c>
      <c r="N1830" t="s">
        <v>108</v>
      </c>
      <c r="O1830" t="s">
        <v>74</v>
      </c>
      <c r="P1830" t="s">
        <v>74</v>
      </c>
      <c r="Q1830" t="s">
        <v>74</v>
      </c>
      <c r="R1830" t="s">
        <v>74</v>
      </c>
      <c r="S1830" t="s">
        <v>74</v>
      </c>
      <c r="T1830" t="s">
        <v>31036</v>
      </c>
      <c r="U1830" t="s">
        <v>31037</v>
      </c>
      <c r="V1830" t="s">
        <v>31038</v>
      </c>
      <c r="W1830" t="s">
        <v>31039</v>
      </c>
      <c r="X1830" t="s">
        <v>31040</v>
      </c>
      <c r="Y1830" t="s">
        <v>31041</v>
      </c>
      <c r="Z1830" t="s">
        <v>31042</v>
      </c>
      <c r="AA1830" t="s">
        <v>74</v>
      </c>
      <c r="AB1830" t="s">
        <v>31043</v>
      </c>
      <c r="AC1830" t="s">
        <v>31044</v>
      </c>
      <c r="AD1830" t="s">
        <v>31045</v>
      </c>
      <c r="AE1830" t="s">
        <v>31046</v>
      </c>
      <c r="AF1830" t="s">
        <v>74</v>
      </c>
      <c r="AG1830">
        <v>75</v>
      </c>
      <c r="AH1830">
        <v>0</v>
      </c>
      <c r="AI1830">
        <v>0</v>
      </c>
      <c r="AJ1830">
        <v>51</v>
      </c>
      <c r="AK1830">
        <v>73</v>
      </c>
      <c r="AL1830" t="s">
        <v>199</v>
      </c>
      <c r="AM1830" t="s">
        <v>200</v>
      </c>
      <c r="AN1830" t="s">
        <v>471</v>
      </c>
      <c r="AO1830" t="s">
        <v>31047</v>
      </c>
      <c r="AP1830" t="s">
        <v>31048</v>
      </c>
      <c r="AQ1830" t="s">
        <v>74</v>
      </c>
      <c r="AR1830" t="s">
        <v>31049</v>
      </c>
      <c r="AS1830" t="s">
        <v>31050</v>
      </c>
      <c r="AT1830" t="s">
        <v>23618</v>
      </c>
      <c r="AU1830">
        <v>2024</v>
      </c>
      <c r="AV1830">
        <v>126</v>
      </c>
      <c r="AW1830">
        <v>6</v>
      </c>
      <c r="AX1830" t="s">
        <v>74</v>
      </c>
      <c r="AY1830" t="s">
        <v>74</v>
      </c>
      <c r="AZ1830" t="s">
        <v>74</v>
      </c>
      <c r="BA1830" t="s">
        <v>74</v>
      </c>
      <c r="BB1830">
        <v>2500</v>
      </c>
      <c r="BC1830">
        <v>2521</v>
      </c>
      <c r="BD1830" t="s">
        <v>74</v>
      </c>
      <c r="BE1830" t="s">
        <v>31051</v>
      </c>
      <c r="BF1830" t="str">
        <f>HYPERLINK("http://dx.doi.org/10.1108/BFJ-09-2023-0815","http://dx.doi.org/10.1108/BFJ-09-2023-0815")</f>
        <v>http://dx.doi.org/10.1108/BFJ-09-2023-0815</v>
      </c>
      <c r="BG1830" t="s">
        <v>74</v>
      </c>
      <c r="BH1830" t="s">
        <v>2410</v>
      </c>
      <c r="BI1830">
        <v>22</v>
      </c>
      <c r="BJ1830" t="s">
        <v>31052</v>
      </c>
      <c r="BK1830" t="s">
        <v>209</v>
      </c>
      <c r="BL1830" t="s">
        <v>31053</v>
      </c>
      <c r="BM1830" t="s">
        <v>31054</v>
      </c>
      <c r="BN1830" t="s">
        <v>74</v>
      </c>
      <c r="BO1830" t="s">
        <v>74</v>
      </c>
      <c r="BP1830" t="s">
        <v>74</v>
      </c>
      <c r="BQ1830" t="s">
        <v>74</v>
      </c>
      <c r="BR1830" t="s">
        <v>102</v>
      </c>
      <c r="BS1830" t="s">
        <v>31055</v>
      </c>
      <c r="BT1830" t="str">
        <f>HYPERLINK("https%3A%2F%2Fwww.webofscience.com%2Fwos%2Fwoscc%2Ffull-record%2FWOS:001195236400001","View Full Record in Web of Science")</f>
        <v>View Full Record in Web of Science</v>
      </c>
    </row>
    <row r="1831" spans="1:72" x14ac:dyDescent="0.35">
      <c r="A1831" t="s">
        <v>72</v>
      </c>
      <c r="B1831" t="s">
        <v>31056</v>
      </c>
      <c r="C1831" t="s">
        <v>74</v>
      </c>
      <c r="D1831" t="s">
        <v>74</v>
      </c>
      <c r="E1831" t="s">
        <v>74</v>
      </c>
      <c r="F1831" t="s">
        <v>31057</v>
      </c>
      <c r="G1831" t="s">
        <v>74</v>
      </c>
      <c r="H1831" t="s">
        <v>74</v>
      </c>
      <c r="I1831" t="s">
        <v>31058</v>
      </c>
      <c r="J1831" t="s">
        <v>31059</v>
      </c>
      <c r="K1831" t="s">
        <v>74</v>
      </c>
      <c r="L1831" t="s">
        <v>74</v>
      </c>
      <c r="M1831" t="s">
        <v>78</v>
      </c>
      <c r="N1831" t="s">
        <v>374</v>
      </c>
      <c r="O1831" t="s">
        <v>74</v>
      </c>
      <c r="P1831" t="s">
        <v>74</v>
      </c>
      <c r="Q1831" t="s">
        <v>74</v>
      </c>
      <c r="R1831" t="s">
        <v>74</v>
      </c>
      <c r="S1831" t="s">
        <v>74</v>
      </c>
      <c r="T1831" t="s">
        <v>31060</v>
      </c>
      <c r="U1831" t="s">
        <v>31061</v>
      </c>
      <c r="V1831" t="s">
        <v>31062</v>
      </c>
      <c r="W1831" t="s">
        <v>31063</v>
      </c>
      <c r="X1831" t="s">
        <v>30665</v>
      </c>
      <c r="Y1831" t="s">
        <v>31064</v>
      </c>
      <c r="Z1831" t="s">
        <v>31065</v>
      </c>
      <c r="AA1831" t="s">
        <v>74</v>
      </c>
      <c r="AB1831" t="s">
        <v>74</v>
      </c>
      <c r="AC1831" t="s">
        <v>31066</v>
      </c>
      <c r="AD1831" t="s">
        <v>4847</v>
      </c>
      <c r="AE1831" t="s">
        <v>31067</v>
      </c>
      <c r="AF1831" t="s">
        <v>74</v>
      </c>
      <c r="AG1831">
        <v>53</v>
      </c>
      <c r="AH1831">
        <v>16</v>
      </c>
      <c r="AI1831">
        <v>17</v>
      </c>
      <c r="AJ1831">
        <v>6</v>
      </c>
      <c r="AK1831">
        <v>68</v>
      </c>
      <c r="AL1831" t="s">
        <v>3632</v>
      </c>
      <c r="AM1831" t="s">
        <v>148</v>
      </c>
      <c r="AN1831" t="s">
        <v>5053</v>
      </c>
      <c r="AO1831" t="s">
        <v>31068</v>
      </c>
      <c r="AP1831" t="s">
        <v>31069</v>
      </c>
      <c r="AQ1831" t="s">
        <v>74</v>
      </c>
      <c r="AR1831" t="s">
        <v>31070</v>
      </c>
      <c r="AS1831" t="s">
        <v>31071</v>
      </c>
      <c r="AT1831" t="s">
        <v>930</v>
      </c>
      <c r="AU1831">
        <v>2022</v>
      </c>
      <c r="AV1831">
        <v>52</v>
      </c>
      <c r="AW1831" t="s">
        <v>74</v>
      </c>
      <c r="AX1831" t="s">
        <v>74</v>
      </c>
      <c r="AY1831" t="s">
        <v>74</v>
      </c>
      <c r="AZ1831" t="s">
        <v>74</v>
      </c>
      <c r="BA1831" t="s">
        <v>74</v>
      </c>
      <c r="BB1831" t="s">
        <v>74</v>
      </c>
      <c r="BC1831" t="s">
        <v>74</v>
      </c>
      <c r="BD1831">
        <v>101588</v>
      </c>
      <c r="BE1831" t="s">
        <v>31072</v>
      </c>
      <c r="BF1831" t="str">
        <f>HYPERLINK("http://dx.doi.org/10.1016/j.aei.2022.101588","http://dx.doi.org/10.1016/j.aei.2022.101588")</f>
        <v>http://dx.doi.org/10.1016/j.aei.2022.101588</v>
      </c>
      <c r="BG1831" t="s">
        <v>74</v>
      </c>
      <c r="BH1831" t="s">
        <v>4460</v>
      </c>
      <c r="BI1831">
        <v>11</v>
      </c>
      <c r="BJ1831" t="s">
        <v>31073</v>
      </c>
      <c r="BK1831" t="s">
        <v>209</v>
      </c>
      <c r="BL1831" t="s">
        <v>1113</v>
      </c>
      <c r="BM1831" t="s">
        <v>31074</v>
      </c>
      <c r="BN1831" t="s">
        <v>74</v>
      </c>
      <c r="BO1831" t="s">
        <v>74</v>
      </c>
      <c r="BP1831" t="s">
        <v>74</v>
      </c>
      <c r="BQ1831" t="s">
        <v>74</v>
      </c>
      <c r="BR1831" t="s">
        <v>102</v>
      </c>
      <c r="BS1831" t="s">
        <v>31075</v>
      </c>
      <c r="BT1831" t="str">
        <f>HYPERLINK("https%3A%2F%2Fwww.webofscience.com%2Fwos%2Fwoscc%2Ffull-record%2FWOS:000798355000003","View Full Record in Web of Science")</f>
        <v>View Full Record in Web of Science</v>
      </c>
    </row>
    <row r="1832" spans="1:72" x14ac:dyDescent="0.35">
      <c r="A1832" t="s">
        <v>72</v>
      </c>
      <c r="B1832" t="s">
        <v>31076</v>
      </c>
      <c r="C1832" t="s">
        <v>74</v>
      </c>
      <c r="D1832" t="s">
        <v>74</v>
      </c>
      <c r="E1832" t="s">
        <v>74</v>
      </c>
      <c r="F1832" t="s">
        <v>31077</v>
      </c>
      <c r="G1832" t="s">
        <v>74</v>
      </c>
      <c r="H1832" t="s">
        <v>74</v>
      </c>
      <c r="I1832" t="s">
        <v>31078</v>
      </c>
      <c r="J1832" t="s">
        <v>31079</v>
      </c>
      <c r="K1832" t="s">
        <v>74</v>
      </c>
      <c r="L1832" t="s">
        <v>74</v>
      </c>
      <c r="M1832" t="s">
        <v>31080</v>
      </c>
      <c r="N1832" t="s">
        <v>108</v>
      </c>
      <c r="O1832" t="s">
        <v>74</v>
      </c>
      <c r="P1832" t="s">
        <v>74</v>
      </c>
      <c r="Q1832" t="s">
        <v>74</v>
      </c>
      <c r="R1832" t="s">
        <v>74</v>
      </c>
      <c r="S1832" t="s">
        <v>74</v>
      </c>
      <c r="T1832" t="s">
        <v>31081</v>
      </c>
      <c r="U1832" t="s">
        <v>74</v>
      </c>
      <c r="V1832" t="s">
        <v>31082</v>
      </c>
      <c r="W1832" t="s">
        <v>31083</v>
      </c>
      <c r="X1832" t="s">
        <v>31084</v>
      </c>
      <c r="Y1832" t="s">
        <v>31085</v>
      </c>
      <c r="Z1832" t="s">
        <v>31086</v>
      </c>
      <c r="AA1832" t="s">
        <v>74</v>
      </c>
      <c r="AB1832" t="s">
        <v>31087</v>
      </c>
      <c r="AC1832" t="s">
        <v>74</v>
      </c>
      <c r="AD1832" t="s">
        <v>74</v>
      </c>
      <c r="AE1832" t="s">
        <v>74</v>
      </c>
      <c r="AF1832" t="s">
        <v>74</v>
      </c>
      <c r="AG1832">
        <v>16</v>
      </c>
      <c r="AH1832">
        <v>0</v>
      </c>
      <c r="AI1832">
        <v>0</v>
      </c>
      <c r="AJ1832">
        <v>3</v>
      </c>
      <c r="AK1832">
        <v>7</v>
      </c>
      <c r="AL1832" t="s">
        <v>31088</v>
      </c>
      <c r="AM1832" t="s">
        <v>31089</v>
      </c>
      <c r="AN1832" t="s">
        <v>31090</v>
      </c>
      <c r="AO1832" t="s">
        <v>31091</v>
      </c>
      <c r="AP1832" t="s">
        <v>31092</v>
      </c>
      <c r="AQ1832" t="s">
        <v>74</v>
      </c>
      <c r="AR1832" t="s">
        <v>31093</v>
      </c>
      <c r="AS1832" t="s">
        <v>31094</v>
      </c>
      <c r="AT1832" t="s">
        <v>74</v>
      </c>
      <c r="AU1832">
        <v>2023</v>
      </c>
      <c r="AV1832">
        <v>31</v>
      </c>
      <c r="AW1832">
        <v>4</v>
      </c>
      <c r="AX1832" t="s">
        <v>74</v>
      </c>
      <c r="AY1832" t="s">
        <v>4946</v>
      </c>
      <c r="AZ1832" t="s">
        <v>74</v>
      </c>
      <c r="BA1832" t="s">
        <v>74</v>
      </c>
      <c r="BB1832">
        <v>120</v>
      </c>
      <c r="BC1832">
        <v>134</v>
      </c>
      <c r="BD1832" t="s">
        <v>74</v>
      </c>
      <c r="BE1832" t="s">
        <v>31095</v>
      </c>
      <c r="BF1832" t="str">
        <f>HYPERLINK("http://dx.doi.org/10.53656/str2023-4s-10-the","http://dx.doi.org/10.53656/str2023-4s-10-the")</f>
        <v>http://dx.doi.org/10.53656/str2023-4s-10-the</v>
      </c>
      <c r="BG1832" t="s">
        <v>74</v>
      </c>
      <c r="BH1832" t="s">
        <v>74</v>
      </c>
      <c r="BI1832">
        <v>15</v>
      </c>
      <c r="BJ1832" t="s">
        <v>787</v>
      </c>
      <c r="BK1832" t="s">
        <v>125</v>
      </c>
      <c r="BL1832" t="s">
        <v>787</v>
      </c>
      <c r="BM1832" t="s">
        <v>31096</v>
      </c>
      <c r="BN1832" t="s">
        <v>74</v>
      </c>
      <c r="BO1832" t="s">
        <v>74</v>
      </c>
      <c r="BP1832" t="s">
        <v>74</v>
      </c>
      <c r="BQ1832" t="s">
        <v>74</v>
      </c>
      <c r="BR1832" t="s">
        <v>102</v>
      </c>
      <c r="BS1832" t="s">
        <v>31097</v>
      </c>
      <c r="BT1832" t="str">
        <f>HYPERLINK("https%3A%2F%2Fwww.webofscience.com%2Fwos%2Fwoscc%2Ffull-record%2FWOS:001056888600010","View Full Record in Web of Science")</f>
        <v>View Full Record in Web of Science</v>
      </c>
    </row>
    <row r="1833" spans="1:72" x14ac:dyDescent="0.35">
      <c r="A1833" t="s">
        <v>72</v>
      </c>
      <c r="B1833" t="s">
        <v>31098</v>
      </c>
      <c r="C1833" t="s">
        <v>74</v>
      </c>
      <c r="D1833" t="s">
        <v>74</v>
      </c>
      <c r="E1833" t="s">
        <v>74</v>
      </c>
      <c r="F1833" t="s">
        <v>31099</v>
      </c>
      <c r="G1833" t="s">
        <v>74</v>
      </c>
      <c r="H1833" t="s">
        <v>74</v>
      </c>
      <c r="I1833" t="s">
        <v>31100</v>
      </c>
      <c r="J1833" t="s">
        <v>31101</v>
      </c>
      <c r="K1833" t="s">
        <v>74</v>
      </c>
      <c r="L1833" t="s">
        <v>74</v>
      </c>
      <c r="M1833" t="s">
        <v>78</v>
      </c>
      <c r="N1833" t="s">
        <v>108</v>
      </c>
      <c r="O1833" t="s">
        <v>74</v>
      </c>
      <c r="P1833" t="s">
        <v>74</v>
      </c>
      <c r="Q1833" t="s">
        <v>74</v>
      </c>
      <c r="R1833" t="s">
        <v>74</v>
      </c>
      <c r="S1833" t="s">
        <v>74</v>
      </c>
      <c r="T1833" t="s">
        <v>31102</v>
      </c>
      <c r="U1833" t="s">
        <v>31103</v>
      </c>
      <c r="V1833" t="s">
        <v>31104</v>
      </c>
      <c r="W1833" t="s">
        <v>31105</v>
      </c>
      <c r="X1833" t="s">
        <v>8352</v>
      </c>
      <c r="Y1833" t="s">
        <v>31106</v>
      </c>
      <c r="Z1833" t="s">
        <v>31107</v>
      </c>
      <c r="AA1833" t="s">
        <v>31108</v>
      </c>
      <c r="AB1833" t="s">
        <v>31109</v>
      </c>
      <c r="AC1833" t="s">
        <v>31110</v>
      </c>
      <c r="AD1833" t="s">
        <v>31111</v>
      </c>
      <c r="AE1833" t="s">
        <v>31112</v>
      </c>
      <c r="AF1833" t="s">
        <v>74</v>
      </c>
      <c r="AG1833">
        <v>58</v>
      </c>
      <c r="AH1833">
        <v>5</v>
      </c>
      <c r="AI1833">
        <v>5</v>
      </c>
      <c r="AJ1833">
        <v>9</v>
      </c>
      <c r="AK1833">
        <v>14</v>
      </c>
      <c r="AL1833" t="s">
        <v>1965</v>
      </c>
      <c r="AM1833" t="s">
        <v>666</v>
      </c>
      <c r="AN1833" t="s">
        <v>1966</v>
      </c>
      <c r="AO1833" t="s">
        <v>31113</v>
      </c>
      <c r="AP1833" t="s">
        <v>31114</v>
      </c>
      <c r="AQ1833" t="s">
        <v>74</v>
      </c>
      <c r="AR1833" t="s">
        <v>31115</v>
      </c>
      <c r="AS1833" t="s">
        <v>31116</v>
      </c>
      <c r="AT1833" t="s">
        <v>178</v>
      </c>
      <c r="AU1833">
        <v>2024</v>
      </c>
      <c r="AV1833">
        <v>48</v>
      </c>
      <c r="AW1833">
        <v>1</v>
      </c>
      <c r="AX1833" t="s">
        <v>74</v>
      </c>
      <c r="AY1833" t="s">
        <v>74</v>
      </c>
      <c r="AZ1833" t="s">
        <v>74</v>
      </c>
      <c r="BA1833" t="s">
        <v>74</v>
      </c>
      <c r="BB1833" t="s">
        <v>74</v>
      </c>
      <c r="BC1833" t="s">
        <v>74</v>
      </c>
      <c r="BD1833">
        <v>100111</v>
      </c>
      <c r="BE1833" t="s">
        <v>31117</v>
      </c>
      <c r="BF1833" t="str">
        <f>HYPERLINK("http://dx.doi.org/10.1016/j.anzjph.2023.100111","http://dx.doi.org/10.1016/j.anzjph.2023.100111")</f>
        <v>http://dx.doi.org/10.1016/j.anzjph.2023.100111</v>
      </c>
      <c r="BG1833" t="s">
        <v>74</v>
      </c>
      <c r="BH1833" t="s">
        <v>1449</v>
      </c>
      <c r="BI1833">
        <v>8</v>
      </c>
      <c r="BJ1833" t="s">
        <v>392</v>
      </c>
      <c r="BK1833" t="s">
        <v>182</v>
      </c>
      <c r="BL1833" t="s">
        <v>392</v>
      </c>
      <c r="BM1833" t="s">
        <v>31118</v>
      </c>
      <c r="BN1833">
        <v>38141590</v>
      </c>
      <c r="BO1833" t="s">
        <v>235</v>
      </c>
      <c r="BP1833" t="s">
        <v>74</v>
      </c>
      <c r="BQ1833" t="s">
        <v>74</v>
      </c>
      <c r="BR1833" t="s">
        <v>102</v>
      </c>
      <c r="BS1833" t="s">
        <v>31119</v>
      </c>
      <c r="BT1833" t="str">
        <f>HYPERLINK("https%3A%2F%2Fwww.webofscience.com%2Fwos%2Fwoscc%2Ffull-record%2FWOS:001141605200001","View Full Record in Web of Science")</f>
        <v>View Full Record in Web of Science</v>
      </c>
    </row>
    <row r="1834" spans="1:72" x14ac:dyDescent="0.35">
      <c r="A1834" t="s">
        <v>72</v>
      </c>
      <c r="B1834" t="s">
        <v>31120</v>
      </c>
      <c r="C1834" t="s">
        <v>74</v>
      </c>
      <c r="D1834" t="s">
        <v>74</v>
      </c>
      <c r="E1834" t="s">
        <v>74</v>
      </c>
      <c r="F1834" t="s">
        <v>31121</v>
      </c>
      <c r="G1834" t="s">
        <v>74</v>
      </c>
      <c r="H1834" t="s">
        <v>74</v>
      </c>
      <c r="I1834" t="s">
        <v>31122</v>
      </c>
      <c r="J1834" t="s">
        <v>31123</v>
      </c>
      <c r="K1834" t="s">
        <v>74</v>
      </c>
      <c r="L1834" t="s">
        <v>74</v>
      </c>
      <c r="M1834" t="s">
        <v>78</v>
      </c>
      <c r="N1834" t="s">
        <v>374</v>
      </c>
      <c r="O1834" t="s">
        <v>74</v>
      </c>
      <c r="P1834" t="s">
        <v>74</v>
      </c>
      <c r="Q1834" t="s">
        <v>74</v>
      </c>
      <c r="R1834" t="s">
        <v>74</v>
      </c>
      <c r="S1834" t="s">
        <v>74</v>
      </c>
      <c r="T1834" t="s">
        <v>31124</v>
      </c>
      <c r="U1834" t="s">
        <v>31125</v>
      </c>
      <c r="V1834" t="s">
        <v>31126</v>
      </c>
      <c r="W1834" t="s">
        <v>31127</v>
      </c>
      <c r="X1834" t="s">
        <v>31128</v>
      </c>
      <c r="Y1834" t="s">
        <v>31129</v>
      </c>
      <c r="Z1834" t="s">
        <v>31130</v>
      </c>
      <c r="AA1834" t="s">
        <v>31131</v>
      </c>
      <c r="AB1834" t="s">
        <v>31132</v>
      </c>
      <c r="AC1834" t="s">
        <v>74</v>
      </c>
      <c r="AD1834" t="s">
        <v>74</v>
      </c>
      <c r="AE1834" t="s">
        <v>74</v>
      </c>
      <c r="AF1834" t="s">
        <v>74</v>
      </c>
      <c r="AG1834">
        <v>44</v>
      </c>
      <c r="AH1834">
        <v>10</v>
      </c>
      <c r="AI1834">
        <v>10</v>
      </c>
      <c r="AJ1834">
        <v>5</v>
      </c>
      <c r="AK1834">
        <v>15</v>
      </c>
      <c r="AL1834" t="s">
        <v>31133</v>
      </c>
      <c r="AM1834" t="s">
        <v>27126</v>
      </c>
      <c r="AN1834" t="s">
        <v>31134</v>
      </c>
      <c r="AO1834" t="s">
        <v>31135</v>
      </c>
      <c r="AP1834" t="s">
        <v>74</v>
      </c>
      <c r="AQ1834" t="s">
        <v>74</v>
      </c>
      <c r="AR1834" t="s">
        <v>31136</v>
      </c>
      <c r="AS1834" t="s">
        <v>31137</v>
      </c>
      <c r="AT1834" t="s">
        <v>257</v>
      </c>
      <c r="AU1834">
        <v>2023</v>
      </c>
      <c r="AV1834">
        <v>104</v>
      </c>
      <c r="AW1834">
        <v>6</v>
      </c>
      <c r="AX1834" t="s">
        <v>74</v>
      </c>
      <c r="AY1834" t="s">
        <v>74</v>
      </c>
      <c r="AZ1834" t="s">
        <v>74</v>
      </c>
      <c r="BA1834" t="s">
        <v>74</v>
      </c>
      <c r="BB1834">
        <v>265</v>
      </c>
      <c r="BC1834">
        <v>268</v>
      </c>
      <c r="BD1834" t="s">
        <v>74</v>
      </c>
      <c r="BE1834" t="s">
        <v>31138</v>
      </c>
      <c r="BF1834" t="str">
        <f>HYPERLINK("http://dx.doi.org/10.1016/j.diii.2023.01.007","http://dx.doi.org/10.1016/j.diii.2023.01.007")</f>
        <v>http://dx.doi.org/10.1016/j.diii.2023.01.007</v>
      </c>
      <c r="BG1834" t="s">
        <v>74</v>
      </c>
      <c r="BH1834" t="s">
        <v>180</v>
      </c>
      <c r="BI1834">
        <v>4</v>
      </c>
      <c r="BJ1834" t="s">
        <v>2035</v>
      </c>
      <c r="BK1834" t="s">
        <v>209</v>
      </c>
      <c r="BL1834" t="s">
        <v>2035</v>
      </c>
      <c r="BM1834" t="s">
        <v>31139</v>
      </c>
      <c r="BN1834">
        <v>36764919</v>
      </c>
      <c r="BO1834" t="s">
        <v>767</v>
      </c>
      <c r="BP1834" t="s">
        <v>74</v>
      </c>
      <c r="BQ1834" t="s">
        <v>74</v>
      </c>
      <c r="BR1834" t="s">
        <v>102</v>
      </c>
      <c r="BS1834" t="s">
        <v>31140</v>
      </c>
      <c r="BT1834" t="str">
        <f>HYPERLINK("https%3A%2F%2Fwww.webofscience.com%2Fwos%2Fwoscc%2Ffull-record%2FWOS:001010386000001","View Full Record in Web of Science")</f>
        <v>View Full Record in Web of Science</v>
      </c>
    </row>
    <row r="1835" spans="1:72" x14ac:dyDescent="0.35">
      <c r="A1835" t="s">
        <v>72</v>
      </c>
      <c r="B1835" t="s">
        <v>31141</v>
      </c>
      <c r="C1835" t="s">
        <v>74</v>
      </c>
      <c r="D1835" t="s">
        <v>74</v>
      </c>
      <c r="E1835" t="s">
        <v>74</v>
      </c>
      <c r="F1835" t="s">
        <v>31142</v>
      </c>
      <c r="G1835" t="s">
        <v>74</v>
      </c>
      <c r="H1835" t="s">
        <v>74</v>
      </c>
      <c r="I1835" t="s">
        <v>31143</v>
      </c>
      <c r="J1835" t="s">
        <v>3584</v>
      </c>
      <c r="K1835" t="s">
        <v>74</v>
      </c>
      <c r="L1835" t="s">
        <v>74</v>
      </c>
      <c r="M1835" t="s">
        <v>78</v>
      </c>
      <c r="N1835" t="s">
        <v>108</v>
      </c>
      <c r="O1835" t="s">
        <v>74</v>
      </c>
      <c r="P1835" t="s">
        <v>74</v>
      </c>
      <c r="Q1835" t="s">
        <v>74</v>
      </c>
      <c r="R1835" t="s">
        <v>74</v>
      </c>
      <c r="S1835" t="s">
        <v>74</v>
      </c>
      <c r="T1835" t="s">
        <v>31144</v>
      </c>
      <c r="U1835" t="s">
        <v>74</v>
      </c>
      <c r="V1835" t="s">
        <v>31145</v>
      </c>
      <c r="W1835" t="s">
        <v>31146</v>
      </c>
      <c r="X1835" t="s">
        <v>31147</v>
      </c>
      <c r="Y1835" t="s">
        <v>31148</v>
      </c>
      <c r="Z1835" t="s">
        <v>31149</v>
      </c>
      <c r="AA1835" t="s">
        <v>31150</v>
      </c>
      <c r="AB1835" t="s">
        <v>31151</v>
      </c>
      <c r="AC1835" t="s">
        <v>74</v>
      </c>
      <c r="AD1835" t="s">
        <v>74</v>
      </c>
      <c r="AE1835" t="s">
        <v>74</v>
      </c>
      <c r="AF1835" t="s">
        <v>74</v>
      </c>
      <c r="AG1835">
        <v>27</v>
      </c>
      <c r="AH1835">
        <v>12</v>
      </c>
      <c r="AI1835">
        <v>12</v>
      </c>
      <c r="AJ1835">
        <v>2</v>
      </c>
      <c r="AK1835">
        <v>33</v>
      </c>
      <c r="AL1835" t="s">
        <v>1195</v>
      </c>
      <c r="AM1835" t="s">
        <v>1196</v>
      </c>
      <c r="AN1835" t="s">
        <v>1197</v>
      </c>
      <c r="AO1835" t="s">
        <v>74</v>
      </c>
      <c r="AP1835" t="s">
        <v>3594</v>
      </c>
      <c r="AQ1835" t="s">
        <v>74</v>
      </c>
      <c r="AR1835" t="s">
        <v>3595</v>
      </c>
      <c r="AS1835" t="s">
        <v>3596</v>
      </c>
      <c r="AT1835" t="s">
        <v>178</v>
      </c>
      <c r="AU1835">
        <v>2022</v>
      </c>
      <c r="AV1835">
        <v>14</v>
      </c>
      <c r="AW1835">
        <v>4</v>
      </c>
      <c r="AX1835" t="s">
        <v>74</v>
      </c>
      <c r="AY1835" t="s">
        <v>74</v>
      </c>
      <c r="AZ1835" t="s">
        <v>74</v>
      </c>
      <c r="BA1835" t="s">
        <v>74</v>
      </c>
      <c r="BB1835" t="s">
        <v>74</v>
      </c>
      <c r="BC1835" t="s">
        <v>74</v>
      </c>
      <c r="BD1835">
        <v>2195</v>
      </c>
      <c r="BE1835" t="s">
        <v>31152</v>
      </c>
      <c r="BF1835" t="str">
        <f>HYPERLINK("http://dx.doi.org/10.3390/su14042195","http://dx.doi.org/10.3390/su14042195")</f>
        <v>http://dx.doi.org/10.3390/su14042195</v>
      </c>
      <c r="BG1835" t="s">
        <v>74</v>
      </c>
      <c r="BH1835" t="s">
        <v>74</v>
      </c>
      <c r="BI1835">
        <v>10</v>
      </c>
      <c r="BJ1835" t="s">
        <v>3598</v>
      </c>
      <c r="BK1835" t="s">
        <v>182</v>
      </c>
      <c r="BL1835" t="s">
        <v>3599</v>
      </c>
      <c r="BM1835" t="s">
        <v>31153</v>
      </c>
      <c r="BN1835" t="s">
        <v>74</v>
      </c>
      <c r="BO1835" t="s">
        <v>235</v>
      </c>
      <c r="BP1835" t="s">
        <v>74</v>
      </c>
      <c r="BQ1835" t="s">
        <v>74</v>
      </c>
      <c r="BR1835" t="s">
        <v>102</v>
      </c>
      <c r="BS1835" t="s">
        <v>31154</v>
      </c>
      <c r="BT1835" t="str">
        <f>HYPERLINK("https%3A%2F%2Fwww.webofscience.com%2Fwos%2Fwoscc%2Ffull-record%2FWOS:000767994000001","View Full Record in Web of Science")</f>
        <v>View Full Record in Web of Science</v>
      </c>
    </row>
    <row r="1836" spans="1:72" x14ac:dyDescent="0.35">
      <c r="A1836" t="s">
        <v>72</v>
      </c>
      <c r="B1836" t="s">
        <v>31155</v>
      </c>
      <c r="C1836" t="s">
        <v>74</v>
      </c>
      <c r="D1836" t="s">
        <v>74</v>
      </c>
      <c r="E1836" t="s">
        <v>74</v>
      </c>
      <c r="F1836" t="s">
        <v>31156</v>
      </c>
      <c r="G1836" t="s">
        <v>74</v>
      </c>
      <c r="H1836" t="s">
        <v>74</v>
      </c>
      <c r="I1836" t="s">
        <v>31157</v>
      </c>
      <c r="J1836" t="s">
        <v>31158</v>
      </c>
      <c r="K1836" t="s">
        <v>74</v>
      </c>
      <c r="L1836" t="s">
        <v>74</v>
      </c>
      <c r="M1836" t="s">
        <v>78</v>
      </c>
      <c r="N1836" t="s">
        <v>108</v>
      </c>
      <c r="O1836" t="s">
        <v>74</v>
      </c>
      <c r="P1836" t="s">
        <v>74</v>
      </c>
      <c r="Q1836" t="s">
        <v>74</v>
      </c>
      <c r="R1836" t="s">
        <v>74</v>
      </c>
      <c r="S1836" t="s">
        <v>74</v>
      </c>
      <c r="T1836" t="s">
        <v>31159</v>
      </c>
      <c r="U1836" t="s">
        <v>74</v>
      </c>
      <c r="V1836" t="s">
        <v>31160</v>
      </c>
      <c r="W1836" t="s">
        <v>31161</v>
      </c>
      <c r="X1836" t="s">
        <v>31162</v>
      </c>
      <c r="Y1836" t="s">
        <v>31163</v>
      </c>
      <c r="Z1836" t="s">
        <v>31164</v>
      </c>
      <c r="AA1836" t="s">
        <v>31165</v>
      </c>
      <c r="AB1836" t="s">
        <v>31166</v>
      </c>
      <c r="AC1836" t="s">
        <v>74</v>
      </c>
      <c r="AD1836" t="s">
        <v>74</v>
      </c>
      <c r="AE1836" t="s">
        <v>74</v>
      </c>
      <c r="AF1836" t="s">
        <v>74</v>
      </c>
      <c r="AG1836">
        <v>26</v>
      </c>
      <c r="AH1836">
        <v>10</v>
      </c>
      <c r="AI1836">
        <v>10</v>
      </c>
      <c r="AJ1836">
        <v>3</v>
      </c>
      <c r="AK1836">
        <v>15</v>
      </c>
      <c r="AL1836" t="s">
        <v>31167</v>
      </c>
      <c r="AM1836" t="s">
        <v>13498</v>
      </c>
      <c r="AN1836" t="s">
        <v>31168</v>
      </c>
      <c r="AO1836" t="s">
        <v>31169</v>
      </c>
      <c r="AP1836" t="s">
        <v>31170</v>
      </c>
      <c r="AQ1836" t="s">
        <v>74</v>
      </c>
      <c r="AR1836" t="s">
        <v>31171</v>
      </c>
      <c r="AS1836" t="s">
        <v>31172</v>
      </c>
      <c r="AT1836" t="s">
        <v>31173</v>
      </c>
      <c r="AU1836">
        <v>2021</v>
      </c>
      <c r="AV1836">
        <v>36</v>
      </c>
      <c r="AW1836">
        <v>48</v>
      </c>
      <c r="AX1836" t="s">
        <v>74</v>
      </c>
      <c r="AY1836" t="s">
        <v>74</v>
      </c>
      <c r="AZ1836" t="s">
        <v>74</v>
      </c>
      <c r="BA1836" t="s">
        <v>74</v>
      </c>
      <c r="BB1836" t="s">
        <v>74</v>
      </c>
      <c r="BC1836" t="s">
        <v>74</v>
      </c>
      <c r="BD1836" t="s">
        <v>31174</v>
      </c>
      <c r="BE1836" t="s">
        <v>31175</v>
      </c>
      <c r="BF1836" t="str">
        <f>HYPERLINK("http://dx.doi.org/10.3346/jkms.2021.36.e330","http://dx.doi.org/10.3346/jkms.2021.36.e330")</f>
        <v>http://dx.doi.org/10.3346/jkms.2021.36.e330</v>
      </c>
      <c r="BG1836" t="s">
        <v>74</v>
      </c>
      <c r="BH1836" t="s">
        <v>74</v>
      </c>
      <c r="BI1836">
        <v>7</v>
      </c>
      <c r="BJ1836" t="s">
        <v>811</v>
      </c>
      <c r="BK1836" t="s">
        <v>209</v>
      </c>
      <c r="BL1836" t="s">
        <v>812</v>
      </c>
      <c r="BM1836" t="s">
        <v>31176</v>
      </c>
      <c r="BN1836">
        <v>34904408</v>
      </c>
      <c r="BO1836" t="s">
        <v>394</v>
      </c>
      <c r="BP1836" t="s">
        <v>74</v>
      </c>
      <c r="BQ1836" t="s">
        <v>74</v>
      </c>
      <c r="BR1836" t="s">
        <v>102</v>
      </c>
      <c r="BS1836" t="s">
        <v>31177</v>
      </c>
      <c r="BT1836" t="str">
        <f>HYPERLINK("https%3A%2F%2Fwww.webofscience.com%2Fwos%2Fwoscc%2Ffull-record%2FWOS:000731459700003","View Full Record in Web of Science")</f>
        <v>View Full Record in Web of Science</v>
      </c>
    </row>
    <row r="1837" spans="1:72" x14ac:dyDescent="0.35">
      <c r="A1837" t="s">
        <v>72</v>
      </c>
      <c r="B1837" t="s">
        <v>31178</v>
      </c>
      <c r="C1837" t="s">
        <v>74</v>
      </c>
      <c r="D1837" t="s">
        <v>74</v>
      </c>
      <c r="E1837" t="s">
        <v>74</v>
      </c>
      <c r="F1837" t="s">
        <v>31179</v>
      </c>
      <c r="G1837" t="s">
        <v>74</v>
      </c>
      <c r="H1837" t="s">
        <v>74</v>
      </c>
      <c r="I1837" t="s">
        <v>31180</v>
      </c>
      <c r="J1837" t="s">
        <v>2159</v>
      </c>
      <c r="K1837" t="s">
        <v>74</v>
      </c>
      <c r="L1837" t="s">
        <v>74</v>
      </c>
      <c r="M1837" t="s">
        <v>78</v>
      </c>
      <c r="N1837" t="s">
        <v>79</v>
      </c>
      <c r="O1837" t="s">
        <v>74</v>
      </c>
      <c r="P1837" t="s">
        <v>74</v>
      </c>
      <c r="Q1837" t="s">
        <v>74</v>
      </c>
      <c r="R1837" t="s">
        <v>74</v>
      </c>
      <c r="S1837" t="s">
        <v>74</v>
      </c>
      <c r="T1837" t="s">
        <v>31181</v>
      </c>
      <c r="U1837" t="s">
        <v>31182</v>
      </c>
      <c r="V1837" t="s">
        <v>31183</v>
      </c>
      <c r="W1837" t="s">
        <v>31184</v>
      </c>
      <c r="X1837" t="s">
        <v>31185</v>
      </c>
      <c r="Y1837" t="s">
        <v>31186</v>
      </c>
      <c r="Z1837" t="s">
        <v>31187</v>
      </c>
      <c r="AA1837" t="s">
        <v>31188</v>
      </c>
      <c r="AB1837" t="s">
        <v>31189</v>
      </c>
      <c r="AC1837" t="s">
        <v>74</v>
      </c>
      <c r="AD1837" t="s">
        <v>74</v>
      </c>
      <c r="AE1837" t="s">
        <v>74</v>
      </c>
      <c r="AF1837" t="s">
        <v>74</v>
      </c>
      <c r="AG1837">
        <v>48</v>
      </c>
      <c r="AH1837">
        <v>1</v>
      </c>
      <c r="AI1837">
        <v>1</v>
      </c>
      <c r="AJ1837">
        <v>4</v>
      </c>
      <c r="AK1837">
        <v>5</v>
      </c>
      <c r="AL1837" t="s">
        <v>88</v>
      </c>
      <c r="AM1837" t="s">
        <v>89</v>
      </c>
      <c r="AN1837" t="s">
        <v>90</v>
      </c>
      <c r="AO1837" t="s">
        <v>2169</v>
      </c>
      <c r="AP1837" t="s">
        <v>2170</v>
      </c>
      <c r="AQ1837" t="s">
        <v>74</v>
      </c>
      <c r="AR1837" t="s">
        <v>2171</v>
      </c>
      <c r="AS1837" t="s">
        <v>2172</v>
      </c>
      <c r="AT1837" t="s">
        <v>31190</v>
      </c>
      <c r="AU1837">
        <v>2024</v>
      </c>
      <c r="AV1837" t="s">
        <v>74</v>
      </c>
      <c r="AW1837" t="s">
        <v>74</v>
      </c>
      <c r="AX1837" t="s">
        <v>74</v>
      </c>
      <c r="AY1837" t="s">
        <v>74</v>
      </c>
      <c r="AZ1837" t="s">
        <v>74</v>
      </c>
      <c r="BA1837" t="s">
        <v>74</v>
      </c>
      <c r="BB1837" t="s">
        <v>74</v>
      </c>
      <c r="BC1837" t="s">
        <v>74</v>
      </c>
      <c r="BD1837" t="s">
        <v>74</v>
      </c>
      <c r="BE1837" t="s">
        <v>31191</v>
      </c>
      <c r="BF1837" t="str">
        <f>HYPERLINK("http://dx.doi.org/10.1080/14680777.2024.2320684","http://dx.doi.org/10.1080/14680777.2024.2320684")</f>
        <v>http://dx.doi.org/10.1080/14680777.2024.2320684</v>
      </c>
      <c r="BG1837" t="s">
        <v>74</v>
      </c>
      <c r="BH1837" t="s">
        <v>123</v>
      </c>
      <c r="BI1837">
        <v>20</v>
      </c>
      <c r="BJ1837" t="s">
        <v>2176</v>
      </c>
      <c r="BK1837" t="s">
        <v>99</v>
      </c>
      <c r="BL1837" t="s">
        <v>2176</v>
      </c>
      <c r="BM1837" t="s">
        <v>31192</v>
      </c>
      <c r="BN1837" t="s">
        <v>74</v>
      </c>
      <c r="BO1837" t="s">
        <v>74</v>
      </c>
      <c r="BP1837" t="s">
        <v>74</v>
      </c>
      <c r="BQ1837" t="s">
        <v>74</v>
      </c>
      <c r="BR1837" t="s">
        <v>102</v>
      </c>
      <c r="BS1837" t="s">
        <v>31193</v>
      </c>
      <c r="BT1837" t="str">
        <f>HYPERLINK("https%3A%2F%2Fwww.webofscience.com%2Fwos%2Fwoscc%2Ffull-record%2FWOS:001176111400001","View Full Record in Web of Science")</f>
        <v>View Full Record in Web of Science</v>
      </c>
    </row>
    <row r="1838" spans="1:72" x14ac:dyDescent="0.35">
      <c r="A1838" t="s">
        <v>72</v>
      </c>
      <c r="B1838" t="s">
        <v>31194</v>
      </c>
      <c r="C1838" t="s">
        <v>74</v>
      </c>
      <c r="D1838" t="s">
        <v>74</v>
      </c>
      <c r="E1838" t="s">
        <v>74</v>
      </c>
      <c r="F1838" t="s">
        <v>31195</v>
      </c>
      <c r="G1838" t="s">
        <v>74</v>
      </c>
      <c r="H1838" t="s">
        <v>74</v>
      </c>
      <c r="I1838" t="s">
        <v>31196</v>
      </c>
      <c r="J1838" t="s">
        <v>4135</v>
      </c>
      <c r="K1838" t="s">
        <v>74</v>
      </c>
      <c r="L1838" t="s">
        <v>74</v>
      </c>
      <c r="M1838" t="s">
        <v>78</v>
      </c>
      <c r="N1838" t="s">
        <v>108</v>
      </c>
      <c r="O1838" t="s">
        <v>74</v>
      </c>
      <c r="P1838" t="s">
        <v>74</v>
      </c>
      <c r="Q1838" t="s">
        <v>74</v>
      </c>
      <c r="R1838" t="s">
        <v>74</v>
      </c>
      <c r="S1838" t="s">
        <v>74</v>
      </c>
      <c r="T1838" t="s">
        <v>31197</v>
      </c>
      <c r="U1838" t="s">
        <v>31198</v>
      </c>
      <c r="V1838" t="s">
        <v>31199</v>
      </c>
      <c r="W1838" t="s">
        <v>31200</v>
      </c>
      <c r="X1838" t="s">
        <v>31201</v>
      </c>
      <c r="Y1838" t="s">
        <v>31202</v>
      </c>
      <c r="Z1838" t="s">
        <v>31203</v>
      </c>
      <c r="AA1838" t="s">
        <v>31204</v>
      </c>
      <c r="AB1838" t="s">
        <v>31205</v>
      </c>
      <c r="AC1838" t="s">
        <v>74</v>
      </c>
      <c r="AD1838" t="s">
        <v>74</v>
      </c>
      <c r="AE1838" t="s">
        <v>74</v>
      </c>
      <c r="AF1838" t="s">
        <v>74</v>
      </c>
      <c r="AG1838">
        <v>106</v>
      </c>
      <c r="AH1838">
        <v>5</v>
      </c>
      <c r="AI1838">
        <v>5</v>
      </c>
      <c r="AJ1838">
        <v>16</v>
      </c>
      <c r="AK1838">
        <v>53</v>
      </c>
      <c r="AL1838" t="s">
        <v>3632</v>
      </c>
      <c r="AM1838" t="s">
        <v>291</v>
      </c>
      <c r="AN1838" t="s">
        <v>3633</v>
      </c>
      <c r="AO1838" t="s">
        <v>4148</v>
      </c>
      <c r="AP1838" t="s">
        <v>4149</v>
      </c>
      <c r="AQ1838" t="s">
        <v>74</v>
      </c>
      <c r="AR1838" t="s">
        <v>4150</v>
      </c>
      <c r="AS1838" t="s">
        <v>4151</v>
      </c>
      <c r="AT1838" t="s">
        <v>455</v>
      </c>
      <c r="AU1838">
        <v>2023</v>
      </c>
      <c r="AV1838">
        <v>74</v>
      </c>
      <c r="AW1838" t="s">
        <v>74</v>
      </c>
      <c r="AX1838" t="s">
        <v>74</v>
      </c>
      <c r="AY1838" t="s">
        <v>74</v>
      </c>
      <c r="AZ1838" t="s">
        <v>74</v>
      </c>
      <c r="BA1838" t="s">
        <v>74</v>
      </c>
      <c r="BB1838" t="s">
        <v>74</v>
      </c>
      <c r="BC1838" t="s">
        <v>74</v>
      </c>
      <c r="BD1838">
        <v>103392</v>
      </c>
      <c r="BE1838" t="s">
        <v>31206</v>
      </c>
      <c r="BF1838" t="str">
        <f>HYPERLINK("http://dx.doi.org/10.1016/j.jretconser.2023.103392","http://dx.doi.org/10.1016/j.jretconser.2023.103392")</f>
        <v>http://dx.doi.org/10.1016/j.jretconser.2023.103392</v>
      </c>
      <c r="BG1838" t="s">
        <v>74</v>
      </c>
      <c r="BH1838" t="s">
        <v>299</v>
      </c>
      <c r="BI1838">
        <v>9</v>
      </c>
      <c r="BJ1838" t="s">
        <v>1597</v>
      </c>
      <c r="BK1838" t="s">
        <v>99</v>
      </c>
      <c r="BL1838" t="s">
        <v>480</v>
      </c>
      <c r="BM1838" t="s">
        <v>31207</v>
      </c>
      <c r="BN1838" t="s">
        <v>74</v>
      </c>
      <c r="BO1838" t="s">
        <v>74</v>
      </c>
      <c r="BP1838" t="s">
        <v>74</v>
      </c>
      <c r="BQ1838" t="s">
        <v>74</v>
      </c>
      <c r="BR1838" t="s">
        <v>102</v>
      </c>
      <c r="BS1838" t="s">
        <v>31208</v>
      </c>
      <c r="BT1838" t="str">
        <f>HYPERLINK("https%3A%2F%2Fwww.webofscience.com%2Fwos%2Fwoscc%2Ffull-record%2FWOS:000990800000001","View Full Record in Web of Science")</f>
        <v>View Full Record in Web of Science</v>
      </c>
    </row>
    <row r="1839" spans="1:72" x14ac:dyDescent="0.35">
      <c r="A1839" t="s">
        <v>72</v>
      </c>
      <c r="B1839" t="s">
        <v>31209</v>
      </c>
      <c r="C1839" t="s">
        <v>74</v>
      </c>
      <c r="D1839" t="s">
        <v>74</v>
      </c>
      <c r="E1839" t="s">
        <v>74</v>
      </c>
      <c r="F1839" t="s">
        <v>31210</v>
      </c>
      <c r="G1839" t="s">
        <v>74</v>
      </c>
      <c r="H1839" t="s">
        <v>74</v>
      </c>
      <c r="I1839" t="s">
        <v>31211</v>
      </c>
      <c r="J1839" t="s">
        <v>2649</v>
      </c>
      <c r="K1839" t="s">
        <v>74</v>
      </c>
      <c r="L1839" t="s">
        <v>74</v>
      </c>
      <c r="M1839" t="s">
        <v>78</v>
      </c>
      <c r="N1839" t="s">
        <v>108</v>
      </c>
      <c r="O1839" t="s">
        <v>74</v>
      </c>
      <c r="P1839" t="s">
        <v>74</v>
      </c>
      <c r="Q1839" t="s">
        <v>74</v>
      </c>
      <c r="R1839" t="s">
        <v>74</v>
      </c>
      <c r="S1839" t="s">
        <v>74</v>
      </c>
      <c r="T1839" t="s">
        <v>31212</v>
      </c>
      <c r="U1839" t="s">
        <v>74</v>
      </c>
      <c r="V1839" t="s">
        <v>31213</v>
      </c>
      <c r="W1839" t="s">
        <v>31214</v>
      </c>
      <c r="X1839" t="s">
        <v>23933</v>
      </c>
      <c r="Y1839" t="s">
        <v>31215</v>
      </c>
      <c r="Z1839" t="s">
        <v>31216</v>
      </c>
      <c r="AA1839" t="s">
        <v>31217</v>
      </c>
      <c r="AB1839" t="s">
        <v>31218</v>
      </c>
      <c r="AC1839" t="s">
        <v>31219</v>
      </c>
      <c r="AD1839" t="s">
        <v>31220</v>
      </c>
      <c r="AE1839" t="s">
        <v>31221</v>
      </c>
      <c r="AF1839" t="s">
        <v>74</v>
      </c>
      <c r="AG1839">
        <v>52</v>
      </c>
      <c r="AH1839">
        <v>1</v>
      </c>
      <c r="AI1839">
        <v>1</v>
      </c>
      <c r="AJ1839">
        <v>2</v>
      </c>
      <c r="AK1839">
        <v>4</v>
      </c>
      <c r="AL1839" t="s">
        <v>2662</v>
      </c>
      <c r="AM1839" t="s">
        <v>2663</v>
      </c>
      <c r="AN1839" t="s">
        <v>2664</v>
      </c>
      <c r="AO1839" t="s">
        <v>2665</v>
      </c>
      <c r="AP1839" t="s">
        <v>74</v>
      </c>
      <c r="AQ1839" t="s">
        <v>74</v>
      </c>
      <c r="AR1839" t="s">
        <v>2666</v>
      </c>
      <c r="AS1839" t="s">
        <v>2667</v>
      </c>
      <c r="AT1839" t="s">
        <v>74</v>
      </c>
      <c r="AU1839">
        <v>2023</v>
      </c>
      <c r="AV1839">
        <v>11</v>
      </c>
      <c r="AW1839">
        <v>4</v>
      </c>
      <c r="AX1839" t="s">
        <v>74</v>
      </c>
      <c r="AY1839" t="s">
        <v>74</v>
      </c>
      <c r="AZ1839" t="s">
        <v>74</v>
      </c>
      <c r="BA1839" t="s">
        <v>74</v>
      </c>
      <c r="BB1839">
        <v>151</v>
      </c>
      <c r="BC1839">
        <v>163</v>
      </c>
      <c r="BD1839" t="s">
        <v>74</v>
      </c>
      <c r="BE1839" t="s">
        <v>31222</v>
      </c>
      <c r="BF1839" t="str">
        <f>HYPERLINK("http://dx.doi.org/10.17645/mac.v11i4.7059","http://dx.doi.org/10.17645/mac.v11i4.7059")</f>
        <v>http://dx.doi.org/10.17645/mac.v11i4.7059</v>
      </c>
      <c r="BG1839" t="s">
        <v>74</v>
      </c>
      <c r="BH1839" t="s">
        <v>74</v>
      </c>
      <c r="BI1839">
        <v>13</v>
      </c>
      <c r="BJ1839" t="s">
        <v>124</v>
      </c>
      <c r="BK1839" t="s">
        <v>99</v>
      </c>
      <c r="BL1839" t="s">
        <v>124</v>
      </c>
      <c r="BM1839" t="s">
        <v>2702</v>
      </c>
      <c r="BN1839" t="s">
        <v>74</v>
      </c>
      <c r="BO1839" t="s">
        <v>552</v>
      </c>
      <c r="BP1839" t="s">
        <v>74</v>
      </c>
      <c r="BQ1839" t="s">
        <v>74</v>
      </c>
      <c r="BR1839" t="s">
        <v>102</v>
      </c>
      <c r="BS1839" t="s">
        <v>31223</v>
      </c>
      <c r="BT1839" t="str">
        <f>HYPERLINK("https%3A%2F%2Fwww.webofscience.com%2Fwos%2Fwoscc%2Ffull-record%2FWOS:001157268200004","View Full Record in Web of Science")</f>
        <v>View Full Record in Web of Science</v>
      </c>
    </row>
    <row r="1840" spans="1:72" x14ac:dyDescent="0.35">
      <c r="A1840" t="s">
        <v>128</v>
      </c>
      <c r="B1840" t="s">
        <v>31224</v>
      </c>
      <c r="C1840" t="s">
        <v>74</v>
      </c>
      <c r="D1840" t="s">
        <v>31225</v>
      </c>
      <c r="E1840" t="s">
        <v>74</v>
      </c>
      <c r="F1840" t="s">
        <v>31226</v>
      </c>
      <c r="G1840" t="s">
        <v>74</v>
      </c>
      <c r="H1840" t="s">
        <v>74</v>
      </c>
      <c r="I1840" t="s">
        <v>31227</v>
      </c>
      <c r="J1840" t="s">
        <v>31228</v>
      </c>
      <c r="K1840" t="s">
        <v>31229</v>
      </c>
      <c r="L1840" t="s">
        <v>74</v>
      </c>
      <c r="M1840" t="s">
        <v>78</v>
      </c>
      <c r="N1840" t="s">
        <v>135</v>
      </c>
      <c r="O1840" t="s">
        <v>31230</v>
      </c>
      <c r="P1840" t="s">
        <v>31231</v>
      </c>
      <c r="Q1840" t="s">
        <v>138</v>
      </c>
      <c r="R1840" t="s">
        <v>31232</v>
      </c>
      <c r="S1840" t="s">
        <v>74</v>
      </c>
      <c r="T1840" t="s">
        <v>31233</v>
      </c>
      <c r="U1840" t="s">
        <v>74</v>
      </c>
      <c r="V1840" t="s">
        <v>31234</v>
      </c>
      <c r="W1840" t="s">
        <v>31235</v>
      </c>
      <c r="X1840" t="s">
        <v>31236</v>
      </c>
      <c r="Y1840" t="s">
        <v>31237</v>
      </c>
      <c r="Z1840" t="s">
        <v>31238</v>
      </c>
      <c r="AA1840" t="s">
        <v>31239</v>
      </c>
      <c r="AB1840" t="s">
        <v>31240</v>
      </c>
      <c r="AC1840" t="s">
        <v>74</v>
      </c>
      <c r="AD1840" t="s">
        <v>74</v>
      </c>
      <c r="AE1840" t="s">
        <v>74</v>
      </c>
      <c r="AF1840" t="s">
        <v>74</v>
      </c>
      <c r="AG1840">
        <v>54</v>
      </c>
      <c r="AH1840">
        <v>6</v>
      </c>
      <c r="AI1840">
        <v>6</v>
      </c>
      <c r="AJ1840">
        <v>0</v>
      </c>
      <c r="AK1840">
        <v>6</v>
      </c>
      <c r="AL1840" t="s">
        <v>758</v>
      </c>
      <c r="AM1840" t="s">
        <v>759</v>
      </c>
      <c r="AN1840" t="s">
        <v>2146</v>
      </c>
      <c r="AO1840" t="s">
        <v>31241</v>
      </c>
      <c r="AP1840" t="s">
        <v>74</v>
      </c>
      <c r="AQ1840" t="s">
        <v>31242</v>
      </c>
      <c r="AR1840" t="s">
        <v>31243</v>
      </c>
      <c r="AS1840" t="s">
        <v>74</v>
      </c>
      <c r="AT1840" t="s">
        <v>74</v>
      </c>
      <c r="AU1840">
        <v>2021</v>
      </c>
      <c r="AV1840" t="s">
        <v>74</v>
      </c>
      <c r="AW1840" t="s">
        <v>74</v>
      </c>
      <c r="AX1840" t="s">
        <v>74</v>
      </c>
      <c r="AY1840" t="s">
        <v>74</v>
      </c>
      <c r="AZ1840" t="s">
        <v>74</v>
      </c>
      <c r="BA1840" t="s">
        <v>74</v>
      </c>
      <c r="BB1840">
        <v>294</v>
      </c>
      <c r="BC1840">
        <v>303</v>
      </c>
      <c r="BD1840" t="s">
        <v>74</v>
      </c>
      <c r="BE1840" t="s">
        <v>31244</v>
      </c>
      <c r="BF1840" t="str">
        <f>HYPERLINK("http://dx.doi.org/10.1109/ISMAR52148.2021.00045","http://dx.doi.org/10.1109/ISMAR52148.2021.00045")</f>
        <v>http://dx.doi.org/10.1109/ISMAR52148.2021.00045</v>
      </c>
      <c r="BG1840" t="s">
        <v>74</v>
      </c>
      <c r="BH1840" t="s">
        <v>74</v>
      </c>
      <c r="BI1840">
        <v>10</v>
      </c>
      <c r="BJ1840" t="s">
        <v>31245</v>
      </c>
      <c r="BK1840" t="s">
        <v>723</v>
      </c>
      <c r="BL1840" t="s">
        <v>31246</v>
      </c>
      <c r="BM1840" t="s">
        <v>31247</v>
      </c>
      <c r="BN1840" t="s">
        <v>74</v>
      </c>
      <c r="BO1840" t="s">
        <v>2738</v>
      </c>
      <c r="BP1840" t="s">
        <v>74</v>
      </c>
      <c r="BQ1840" t="s">
        <v>74</v>
      </c>
      <c r="BR1840" t="s">
        <v>102</v>
      </c>
      <c r="BS1840" t="s">
        <v>31248</v>
      </c>
      <c r="BT1840" t="str">
        <f>HYPERLINK("https%3A%2F%2Fwww.webofscience.com%2Fwos%2Fwoscc%2Ffull-record%2FWOS:000758216700031","View Full Record in Web of Science")</f>
        <v>View Full Record in Web of Science</v>
      </c>
    </row>
    <row r="1841" spans="1:72" x14ac:dyDescent="0.35">
      <c r="A1841" t="s">
        <v>72</v>
      </c>
      <c r="B1841" t="s">
        <v>31249</v>
      </c>
      <c r="C1841" t="s">
        <v>74</v>
      </c>
      <c r="D1841" t="s">
        <v>74</v>
      </c>
      <c r="E1841" t="s">
        <v>74</v>
      </c>
      <c r="F1841" t="s">
        <v>31250</v>
      </c>
      <c r="G1841" t="s">
        <v>74</v>
      </c>
      <c r="H1841" t="s">
        <v>74</v>
      </c>
      <c r="I1841" t="s">
        <v>31251</v>
      </c>
      <c r="J1841" t="s">
        <v>4018</v>
      </c>
      <c r="K1841" t="s">
        <v>74</v>
      </c>
      <c r="L1841" t="s">
        <v>74</v>
      </c>
      <c r="M1841" t="s">
        <v>78</v>
      </c>
      <c r="N1841" t="s">
        <v>79</v>
      </c>
      <c r="O1841" t="s">
        <v>74</v>
      </c>
      <c r="P1841" t="s">
        <v>74</v>
      </c>
      <c r="Q1841" t="s">
        <v>74</v>
      </c>
      <c r="R1841" t="s">
        <v>74</v>
      </c>
      <c r="S1841" t="s">
        <v>74</v>
      </c>
      <c r="T1841" t="s">
        <v>31252</v>
      </c>
      <c r="U1841" t="s">
        <v>31253</v>
      </c>
      <c r="V1841" t="s">
        <v>31254</v>
      </c>
      <c r="W1841" t="s">
        <v>31255</v>
      </c>
      <c r="X1841" t="s">
        <v>31256</v>
      </c>
      <c r="Y1841" t="s">
        <v>31257</v>
      </c>
      <c r="Z1841" t="s">
        <v>31258</v>
      </c>
      <c r="AA1841" t="s">
        <v>31259</v>
      </c>
      <c r="AB1841" t="s">
        <v>31260</v>
      </c>
      <c r="AC1841" t="s">
        <v>74</v>
      </c>
      <c r="AD1841" t="s">
        <v>74</v>
      </c>
      <c r="AE1841" t="s">
        <v>74</v>
      </c>
      <c r="AF1841" t="s">
        <v>74</v>
      </c>
      <c r="AG1841">
        <v>52</v>
      </c>
      <c r="AH1841">
        <v>4</v>
      </c>
      <c r="AI1841">
        <v>4</v>
      </c>
      <c r="AJ1841">
        <v>18</v>
      </c>
      <c r="AK1841">
        <v>61</v>
      </c>
      <c r="AL1841" t="s">
        <v>665</v>
      </c>
      <c r="AM1841" t="s">
        <v>666</v>
      </c>
      <c r="AN1841" t="s">
        <v>667</v>
      </c>
      <c r="AO1841" t="s">
        <v>4027</v>
      </c>
      <c r="AP1841" t="s">
        <v>4028</v>
      </c>
      <c r="AQ1841" t="s">
        <v>74</v>
      </c>
      <c r="AR1841" t="s">
        <v>4029</v>
      </c>
      <c r="AS1841" t="s">
        <v>4030</v>
      </c>
      <c r="AT1841" t="s">
        <v>31261</v>
      </c>
      <c r="AU1841">
        <v>2023</v>
      </c>
      <c r="AV1841" t="s">
        <v>74</v>
      </c>
      <c r="AW1841" t="s">
        <v>74</v>
      </c>
      <c r="AX1841" t="s">
        <v>74</v>
      </c>
      <c r="AY1841" t="s">
        <v>74</v>
      </c>
      <c r="AZ1841" t="s">
        <v>74</v>
      </c>
      <c r="BA1841" t="s">
        <v>74</v>
      </c>
      <c r="BB1841" t="s">
        <v>74</v>
      </c>
      <c r="BC1841" t="s">
        <v>74</v>
      </c>
      <c r="BD1841" t="s">
        <v>74</v>
      </c>
      <c r="BE1841" t="s">
        <v>31262</v>
      </c>
      <c r="BF1841" t="str">
        <f>HYPERLINK("http://dx.doi.org/10.1007/s11469-023-01081-3","http://dx.doi.org/10.1007/s11469-023-01081-3")</f>
        <v>http://dx.doi.org/10.1007/s11469-023-01081-3</v>
      </c>
      <c r="BG1841" t="s">
        <v>74</v>
      </c>
      <c r="BH1841" t="s">
        <v>180</v>
      </c>
      <c r="BI1841">
        <v>15</v>
      </c>
      <c r="BJ1841" t="s">
        <v>4033</v>
      </c>
      <c r="BK1841" t="s">
        <v>182</v>
      </c>
      <c r="BL1841" t="s">
        <v>4034</v>
      </c>
      <c r="BM1841" t="s">
        <v>31263</v>
      </c>
      <c r="BN1841" t="s">
        <v>74</v>
      </c>
      <c r="BO1841" t="s">
        <v>156</v>
      </c>
      <c r="BP1841" t="s">
        <v>74</v>
      </c>
      <c r="BQ1841" t="s">
        <v>74</v>
      </c>
      <c r="BR1841" t="s">
        <v>102</v>
      </c>
      <c r="BS1841" t="s">
        <v>31264</v>
      </c>
      <c r="BT1841" t="str">
        <f>HYPERLINK("https%3A%2F%2Fwww.webofscience.com%2Fwos%2Fwoscc%2Ffull-record%2FWOS:000993890100001","View Full Record in Web of Science")</f>
        <v>View Full Record in Web of Science</v>
      </c>
    </row>
    <row r="1842" spans="1:72" x14ac:dyDescent="0.35">
      <c r="A1842" t="s">
        <v>128</v>
      </c>
      <c r="B1842" t="s">
        <v>31265</v>
      </c>
      <c r="C1842" t="s">
        <v>74</v>
      </c>
      <c r="D1842" t="s">
        <v>74</v>
      </c>
      <c r="E1842" t="s">
        <v>1677</v>
      </c>
      <c r="F1842" t="s">
        <v>31266</v>
      </c>
      <c r="G1842" t="s">
        <v>74</v>
      </c>
      <c r="H1842" t="s">
        <v>74</v>
      </c>
      <c r="I1842" t="s">
        <v>31267</v>
      </c>
      <c r="J1842" t="s">
        <v>30776</v>
      </c>
      <c r="K1842" t="s">
        <v>30777</v>
      </c>
      <c r="L1842" t="s">
        <v>74</v>
      </c>
      <c r="M1842" t="s">
        <v>78</v>
      </c>
      <c r="N1842" t="s">
        <v>135</v>
      </c>
      <c r="O1842" t="s">
        <v>30778</v>
      </c>
      <c r="P1842" t="s">
        <v>30779</v>
      </c>
      <c r="Q1842" t="s">
        <v>30780</v>
      </c>
      <c r="R1842" t="s">
        <v>30781</v>
      </c>
      <c r="S1842" t="s">
        <v>74</v>
      </c>
      <c r="T1842" t="s">
        <v>31268</v>
      </c>
      <c r="U1842" t="s">
        <v>74</v>
      </c>
      <c r="V1842" t="s">
        <v>31269</v>
      </c>
      <c r="W1842" t="s">
        <v>31270</v>
      </c>
      <c r="X1842" t="s">
        <v>16804</v>
      </c>
      <c r="Y1842" t="s">
        <v>31271</v>
      </c>
      <c r="Z1842" t="s">
        <v>74</v>
      </c>
      <c r="AA1842" t="s">
        <v>31272</v>
      </c>
      <c r="AB1842" t="s">
        <v>74</v>
      </c>
      <c r="AC1842" t="s">
        <v>31273</v>
      </c>
      <c r="AD1842" t="s">
        <v>31274</v>
      </c>
      <c r="AE1842" t="s">
        <v>31275</v>
      </c>
      <c r="AF1842" t="s">
        <v>74</v>
      </c>
      <c r="AG1842">
        <v>26</v>
      </c>
      <c r="AH1842">
        <v>2</v>
      </c>
      <c r="AI1842">
        <v>2</v>
      </c>
      <c r="AJ1842">
        <v>3</v>
      </c>
      <c r="AK1842">
        <v>13</v>
      </c>
      <c r="AL1842" t="s">
        <v>1677</v>
      </c>
      <c r="AM1842" t="s">
        <v>666</v>
      </c>
      <c r="AN1842" t="s">
        <v>1692</v>
      </c>
      <c r="AO1842" t="s">
        <v>30792</v>
      </c>
      <c r="AP1842" t="s">
        <v>74</v>
      </c>
      <c r="AQ1842" t="s">
        <v>30793</v>
      </c>
      <c r="AR1842" t="s">
        <v>30794</v>
      </c>
      <c r="AS1842" t="s">
        <v>74</v>
      </c>
      <c r="AT1842" t="s">
        <v>74</v>
      </c>
      <c r="AU1842">
        <v>2022</v>
      </c>
      <c r="AV1842" t="s">
        <v>74</v>
      </c>
      <c r="AW1842" t="s">
        <v>74</v>
      </c>
      <c r="AX1842" t="s">
        <v>74</v>
      </c>
      <c r="AY1842" t="s">
        <v>74</v>
      </c>
      <c r="AZ1842" t="s">
        <v>74</v>
      </c>
      <c r="BA1842" t="s">
        <v>74</v>
      </c>
      <c r="BB1842">
        <v>4543</v>
      </c>
      <c r="BC1842">
        <v>4547</v>
      </c>
      <c r="BD1842" t="s">
        <v>74</v>
      </c>
      <c r="BE1842" t="s">
        <v>31276</v>
      </c>
      <c r="BF1842" t="str">
        <f>HYPERLINK("http://dx.doi.org/10.1109/ICASSP43922.2022.9746567","http://dx.doi.org/10.1109/ICASSP43922.2022.9746567")</f>
        <v>http://dx.doi.org/10.1109/ICASSP43922.2022.9746567</v>
      </c>
      <c r="BG1842" t="s">
        <v>74</v>
      </c>
      <c r="BH1842" t="s">
        <v>74</v>
      </c>
      <c r="BI1842">
        <v>5</v>
      </c>
      <c r="BJ1842" t="s">
        <v>30796</v>
      </c>
      <c r="BK1842" t="s">
        <v>723</v>
      </c>
      <c r="BL1842" t="s">
        <v>30797</v>
      </c>
      <c r="BM1842" t="s">
        <v>30798</v>
      </c>
      <c r="BN1842" t="s">
        <v>74</v>
      </c>
      <c r="BO1842" t="s">
        <v>74</v>
      </c>
      <c r="BP1842" t="s">
        <v>74</v>
      </c>
      <c r="BQ1842" t="s">
        <v>74</v>
      </c>
      <c r="BR1842" t="s">
        <v>102</v>
      </c>
      <c r="BS1842" t="s">
        <v>31277</v>
      </c>
      <c r="BT1842" t="str">
        <f>HYPERLINK("https%3A%2F%2Fwww.webofscience.com%2Fwos%2Fwoscc%2Ffull-record%2FWOS:000864187904166","View Full Record in Web of Science")</f>
        <v>View Full Record in Web of Science</v>
      </c>
    </row>
    <row r="1843" spans="1:72" x14ac:dyDescent="0.35">
      <c r="A1843" t="s">
        <v>72</v>
      </c>
      <c r="B1843" t="s">
        <v>31278</v>
      </c>
      <c r="C1843" t="s">
        <v>74</v>
      </c>
      <c r="D1843" t="s">
        <v>74</v>
      </c>
      <c r="E1843" t="s">
        <v>74</v>
      </c>
      <c r="F1843" t="s">
        <v>31279</v>
      </c>
      <c r="G1843" t="s">
        <v>74</v>
      </c>
      <c r="H1843" t="s">
        <v>74</v>
      </c>
      <c r="I1843" t="s">
        <v>31280</v>
      </c>
      <c r="J1843" t="s">
        <v>31281</v>
      </c>
      <c r="K1843" t="s">
        <v>74</v>
      </c>
      <c r="L1843" t="s">
        <v>74</v>
      </c>
      <c r="M1843" t="s">
        <v>78</v>
      </c>
      <c r="N1843" t="s">
        <v>108</v>
      </c>
      <c r="O1843" t="s">
        <v>74</v>
      </c>
      <c r="P1843" t="s">
        <v>74</v>
      </c>
      <c r="Q1843" t="s">
        <v>74</v>
      </c>
      <c r="R1843" t="s">
        <v>74</v>
      </c>
      <c r="S1843" t="s">
        <v>74</v>
      </c>
      <c r="T1843" t="s">
        <v>31282</v>
      </c>
      <c r="U1843" t="s">
        <v>74</v>
      </c>
      <c r="V1843" t="s">
        <v>31283</v>
      </c>
      <c r="W1843" t="s">
        <v>31284</v>
      </c>
      <c r="X1843" t="s">
        <v>31285</v>
      </c>
      <c r="Y1843" t="s">
        <v>31286</v>
      </c>
      <c r="Z1843" t="s">
        <v>31287</v>
      </c>
      <c r="AA1843" t="s">
        <v>74</v>
      </c>
      <c r="AB1843" t="s">
        <v>74</v>
      </c>
      <c r="AC1843" t="s">
        <v>74</v>
      </c>
      <c r="AD1843" t="s">
        <v>74</v>
      </c>
      <c r="AE1843" t="s">
        <v>74</v>
      </c>
      <c r="AF1843" t="s">
        <v>74</v>
      </c>
      <c r="AG1843">
        <v>34</v>
      </c>
      <c r="AH1843">
        <v>2</v>
      </c>
      <c r="AI1843">
        <v>2</v>
      </c>
      <c r="AJ1843">
        <v>3</v>
      </c>
      <c r="AK1843">
        <v>8</v>
      </c>
      <c r="AL1843" t="s">
        <v>803</v>
      </c>
      <c r="AM1843" t="s">
        <v>227</v>
      </c>
      <c r="AN1843" t="s">
        <v>804</v>
      </c>
      <c r="AO1843" t="s">
        <v>31288</v>
      </c>
      <c r="AP1843" t="s">
        <v>31289</v>
      </c>
      <c r="AQ1843" t="s">
        <v>74</v>
      </c>
      <c r="AR1843" t="s">
        <v>31290</v>
      </c>
      <c r="AS1843" t="s">
        <v>31291</v>
      </c>
      <c r="AT1843" t="s">
        <v>594</v>
      </c>
      <c r="AU1843">
        <v>2024</v>
      </c>
      <c r="AV1843">
        <v>18</v>
      </c>
      <c r="AW1843">
        <v>4</v>
      </c>
      <c r="AX1843" t="s">
        <v>74</v>
      </c>
      <c r="AY1843" t="s">
        <v>74</v>
      </c>
      <c r="AZ1843" t="s">
        <v>456</v>
      </c>
      <c r="BA1843" t="s">
        <v>74</v>
      </c>
      <c r="BB1843">
        <v>445</v>
      </c>
      <c r="BC1843">
        <v>455</v>
      </c>
      <c r="BD1843" t="s">
        <v>74</v>
      </c>
      <c r="BE1843" t="s">
        <v>31292</v>
      </c>
      <c r="BF1843" t="str">
        <f>HYPERLINK("http://dx.doi.org/10.1007/s41060-023-00437-1","http://dx.doi.org/10.1007/s41060-023-00437-1")</f>
        <v>http://dx.doi.org/10.1007/s41060-023-00437-1</v>
      </c>
      <c r="BG1843" t="s">
        <v>74</v>
      </c>
      <c r="BH1843" t="s">
        <v>3138</v>
      </c>
      <c r="BI1843">
        <v>11</v>
      </c>
      <c r="BJ1843" t="s">
        <v>27757</v>
      </c>
      <c r="BK1843" t="s">
        <v>125</v>
      </c>
      <c r="BL1843" t="s">
        <v>210</v>
      </c>
      <c r="BM1843" t="s">
        <v>31293</v>
      </c>
      <c r="BN1843" t="s">
        <v>74</v>
      </c>
      <c r="BO1843" t="s">
        <v>74</v>
      </c>
      <c r="BP1843" t="s">
        <v>74</v>
      </c>
      <c r="BQ1843" t="s">
        <v>74</v>
      </c>
      <c r="BR1843" t="s">
        <v>102</v>
      </c>
      <c r="BS1843" t="s">
        <v>31294</v>
      </c>
      <c r="BT1843" t="str">
        <f>HYPERLINK("https%3A%2F%2Fwww.webofscience.com%2Fwos%2Fwoscc%2Ffull-record%2FWOS:001050945700002","View Full Record in Web of Science")</f>
        <v>View Full Record in Web of Science</v>
      </c>
    </row>
    <row r="1844" spans="1:72" x14ac:dyDescent="0.35">
      <c r="A1844" t="s">
        <v>72</v>
      </c>
      <c r="B1844" t="s">
        <v>31295</v>
      </c>
      <c r="C1844" t="s">
        <v>74</v>
      </c>
      <c r="D1844" t="s">
        <v>74</v>
      </c>
      <c r="E1844" t="s">
        <v>74</v>
      </c>
      <c r="F1844" t="s">
        <v>31296</v>
      </c>
      <c r="G1844" t="s">
        <v>74</v>
      </c>
      <c r="H1844" t="s">
        <v>74</v>
      </c>
      <c r="I1844" t="s">
        <v>31297</v>
      </c>
      <c r="J1844" t="s">
        <v>31298</v>
      </c>
      <c r="K1844" t="s">
        <v>74</v>
      </c>
      <c r="L1844" t="s">
        <v>74</v>
      </c>
      <c r="M1844" t="s">
        <v>78</v>
      </c>
      <c r="N1844" t="s">
        <v>108</v>
      </c>
      <c r="O1844" t="s">
        <v>74</v>
      </c>
      <c r="P1844" t="s">
        <v>74</v>
      </c>
      <c r="Q1844" t="s">
        <v>74</v>
      </c>
      <c r="R1844" t="s">
        <v>74</v>
      </c>
      <c r="S1844" t="s">
        <v>74</v>
      </c>
      <c r="T1844" t="s">
        <v>31299</v>
      </c>
      <c r="U1844" t="s">
        <v>31300</v>
      </c>
      <c r="V1844" t="s">
        <v>31301</v>
      </c>
      <c r="W1844" t="s">
        <v>31302</v>
      </c>
      <c r="X1844" t="s">
        <v>31303</v>
      </c>
      <c r="Y1844" t="s">
        <v>31304</v>
      </c>
      <c r="Z1844" t="s">
        <v>31305</v>
      </c>
      <c r="AA1844" t="s">
        <v>31306</v>
      </c>
      <c r="AB1844" t="s">
        <v>74</v>
      </c>
      <c r="AC1844" t="s">
        <v>74</v>
      </c>
      <c r="AD1844" t="s">
        <v>74</v>
      </c>
      <c r="AE1844" t="s">
        <v>74</v>
      </c>
      <c r="AF1844" t="s">
        <v>74</v>
      </c>
      <c r="AG1844">
        <v>65</v>
      </c>
      <c r="AH1844">
        <v>0</v>
      </c>
      <c r="AI1844">
        <v>0</v>
      </c>
      <c r="AJ1844">
        <v>0</v>
      </c>
      <c r="AK1844">
        <v>6</v>
      </c>
      <c r="AL1844" t="s">
        <v>88</v>
      </c>
      <c r="AM1844" t="s">
        <v>89</v>
      </c>
      <c r="AN1844" t="s">
        <v>90</v>
      </c>
      <c r="AO1844" t="s">
        <v>31307</v>
      </c>
      <c r="AP1844" t="s">
        <v>31308</v>
      </c>
      <c r="AQ1844" t="s">
        <v>74</v>
      </c>
      <c r="AR1844" t="s">
        <v>31309</v>
      </c>
      <c r="AS1844" t="s">
        <v>31310</v>
      </c>
      <c r="AT1844" t="s">
        <v>498</v>
      </c>
      <c r="AU1844">
        <v>2024</v>
      </c>
      <c r="AV1844">
        <v>15</v>
      </c>
      <c r="AW1844">
        <v>3</v>
      </c>
      <c r="AX1844" t="s">
        <v>74</v>
      </c>
      <c r="AY1844" t="s">
        <v>74</v>
      </c>
      <c r="AZ1844" t="s">
        <v>74</v>
      </c>
      <c r="BA1844" t="s">
        <v>74</v>
      </c>
      <c r="BB1844">
        <v>427</v>
      </c>
      <c r="BC1844">
        <v>447</v>
      </c>
      <c r="BD1844" t="s">
        <v>74</v>
      </c>
      <c r="BE1844" t="s">
        <v>31311</v>
      </c>
      <c r="BF1844" t="str">
        <f>HYPERLINK("http://dx.doi.org/10.1080/19392397.2023.2207743","http://dx.doi.org/10.1080/19392397.2023.2207743")</f>
        <v>http://dx.doi.org/10.1080/19392397.2023.2207743</v>
      </c>
      <c r="BG1844" t="s">
        <v>74</v>
      </c>
      <c r="BH1844" t="s">
        <v>180</v>
      </c>
      <c r="BI1844">
        <v>21</v>
      </c>
      <c r="BJ1844" t="s">
        <v>2124</v>
      </c>
      <c r="BK1844" t="s">
        <v>2125</v>
      </c>
      <c r="BL1844" t="s">
        <v>2124</v>
      </c>
      <c r="BM1844" t="s">
        <v>31312</v>
      </c>
      <c r="BN1844" t="s">
        <v>74</v>
      </c>
      <c r="BO1844" t="s">
        <v>156</v>
      </c>
      <c r="BP1844" t="s">
        <v>74</v>
      </c>
      <c r="BQ1844" t="s">
        <v>74</v>
      </c>
      <c r="BR1844" t="s">
        <v>102</v>
      </c>
      <c r="BS1844" t="s">
        <v>31313</v>
      </c>
      <c r="BT1844" t="str">
        <f>HYPERLINK("https%3A%2F%2Fwww.webofscience.com%2Fwos%2Fwoscc%2Ffull-record%2FWOS:000982910600001","View Full Record in Web of Science")</f>
        <v>View Full Record in Web of Science</v>
      </c>
    </row>
    <row r="1845" spans="1:72" x14ac:dyDescent="0.35">
      <c r="A1845" t="s">
        <v>72</v>
      </c>
      <c r="B1845" t="s">
        <v>31314</v>
      </c>
      <c r="C1845" t="s">
        <v>74</v>
      </c>
      <c r="D1845" t="s">
        <v>74</v>
      </c>
      <c r="E1845" t="s">
        <v>74</v>
      </c>
      <c r="F1845" t="s">
        <v>31315</v>
      </c>
      <c r="G1845" t="s">
        <v>74</v>
      </c>
      <c r="H1845" t="s">
        <v>74</v>
      </c>
      <c r="I1845" t="s">
        <v>31316</v>
      </c>
      <c r="J1845" t="s">
        <v>6803</v>
      </c>
      <c r="K1845" t="s">
        <v>74</v>
      </c>
      <c r="L1845" t="s">
        <v>74</v>
      </c>
      <c r="M1845" t="s">
        <v>78</v>
      </c>
      <c r="N1845" t="s">
        <v>108</v>
      </c>
      <c r="O1845" t="s">
        <v>74</v>
      </c>
      <c r="P1845" t="s">
        <v>74</v>
      </c>
      <c r="Q1845" t="s">
        <v>74</v>
      </c>
      <c r="R1845" t="s">
        <v>74</v>
      </c>
      <c r="S1845" t="s">
        <v>74</v>
      </c>
      <c r="T1845" t="s">
        <v>31317</v>
      </c>
      <c r="U1845" t="s">
        <v>31318</v>
      </c>
      <c r="V1845" t="s">
        <v>31319</v>
      </c>
      <c r="W1845" t="s">
        <v>31320</v>
      </c>
      <c r="X1845" t="s">
        <v>31321</v>
      </c>
      <c r="Y1845" t="s">
        <v>31322</v>
      </c>
      <c r="Z1845" t="s">
        <v>31323</v>
      </c>
      <c r="AA1845" t="s">
        <v>31324</v>
      </c>
      <c r="AB1845" t="s">
        <v>74</v>
      </c>
      <c r="AC1845" t="s">
        <v>31325</v>
      </c>
      <c r="AD1845" t="s">
        <v>4847</v>
      </c>
      <c r="AE1845" t="s">
        <v>31326</v>
      </c>
      <c r="AF1845" t="s">
        <v>74</v>
      </c>
      <c r="AG1845">
        <v>43</v>
      </c>
      <c r="AH1845">
        <v>11</v>
      </c>
      <c r="AI1845">
        <v>11</v>
      </c>
      <c r="AJ1845">
        <v>19</v>
      </c>
      <c r="AK1845">
        <v>109</v>
      </c>
      <c r="AL1845" t="s">
        <v>665</v>
      </c>
      <c r="AM1845" t="s">
        <v>2922</v>
      </c>
      <c r="AN1845" t="s">
        <v>2923</v>
      </c>
      <c r="AO1845" t="s">
        <v>6814</v>
      </c>
      <c r="AP1845" t="s">
        <v>6815</v>
      </c>
      <c r="AQ1845" t="s">
        <v>74</v>
      </c>
      <c r="AR1845" t="s">
        <v>6816</v>
      </c>
      <c r="AS1845" t="s">
        <v>6817</v>
      </c>
      <c r="AT1845" t="s">
        <v>257</v>
      </c>
      <c r="AU1845">
        <v>2024</v>
      </c>
      <c r="AV1845">
        <v>24</v>
      </c>
      <c r="AW1845">
        <v>2</v>
      </c>
      <c r="AX1845" t="s">
        <v>74</v>
      </c>
      <c r="AY1845" t="s">
        <v>74</v>
      </c>
      <c r="AZ1845" t="s">
        <v>456</v>
      </c>
      <c r="BA1845" t="s">
        <v>74</v>
      </c>
      <c r="BB1845">
        <v>1095</v>
      </c>
      <c r="BC1845">
        <v>1118</v>
      </c>
      <c r="BD1845" t="s">
        <v>74</v>
      </c>
      <c r="BE1845" t="s">
        <v>31327</v>
      </c>
      <c r="BF1845" t="str">
        <f>HYPERLINK("http://dx.doi.org/10.1007/s10660-022-09600-5","http://dx.doi.org/10.1007/s10660-022-09600-5")</f>
        <v>http://dx.doi.org/10.1007/s10660-022-09600-5</v>
      </c>
      <c r="BG1845" t="s">
        <v>74</v>
      </c>
      <c r="BH1845" t="s">
        <v>598</v>
      </c>
      <c r="BI1845">
        <v>24</v>
      </c>
      <c r="BJ1845" t="s">
        <v>479</v>
      </c>
      <c r="BK1845" t="s">
        <v>99</v>
      </c>
      <c r="BL1845" t="s">
        <v>480</v>
      </c>
      <c r="BM1845" t="s">
        <v>31328</v>
      </c>
      <c r="BN1845" t="s">
        <v>74</v>
      </c>
      <c r="BO1845" t="s">
        <v>74</v>
      </c>
      <c r="BP1845" t="s">
        <v>74</v>
      </c>
      <c r="BQ1845" t="s">
        <v>74</v>
      </c>
      <c r="BR1845" t="s">
        <v>102</v>
      </c>
      <c r="BS1845" t="s">
        <v>31329</v>
      </c>
      <c r="BT1845" t="str">
        <f>HYPERLINK("https%3A%2F%2Fwww.webofscience.com%2Fwos%2Fwoscc%2Ffull-record%2FWOS:000857810300001","View Full Record in Web of Science")</f>
        <v>View Full Record in Web of Science</v>
      </c>
    </row>
    <row r="1846" spans="1:72" x14ac:dyDescent="0.35">
      <c r="A1846" t="s">
        <v>72</v>
      </c>
      <c r="B1846" t="s">
        <v>31330</v>
      </c>
      <c r="C1846" t="s">
        <v>74</v>
      </c>
      <c r="D1846" t="s">
        <v>74</v>
      </c>
      <c r="E1846" t="s">
        <v>74</v>
      </c>
      <c r="F1846" t="s">
        <v>31331</v>
      </c>
      <c r="G1846" t="s">
        <v>74</v>
      </c>
      <c r="H1846" t="s">
        <v>74</v>
      </c>
      <c r="I1846" t="s">
        <v>31332</v>
      </c>
      <c r="J1846" t="s">
        <v>793</v>
      </c>
      <c r="K1846" t="s">
        <v>74</v>
      </c>
      <c r="L1846" t="s">
        <v>74</v>
      </c>
      <c r="M1846" t="s">
        <v>78</v>
      </c>
      <c r="N1846" t="s">
        <v>374</v>
      </c>
      <c r="O1846" t="s">
        <v>74</v>
      </c>
      <c r="P1846" t="s">
        <v>74</v>
      </c>
      <c r="Q1846" t="s">
        <v>74</v>
      </c>
      <c r="R1846" t="s">
        <v>74</v>
      </c>
      <c r="S1846" t="s">
        <v>74</v>
      </c>
      <c r="T1846" t="s">
        <v>31333</v>
      </c>
      <c r="U1846" t="s">
        <v>31334</v>
      </c>
      <c r="V1846" t="s">
        <v>31335</v>
      </c>
      <c r="W1846" t="s">
        <v>31336</v>
      </c>
      <c r="X1846" t="s">
        <v>26354</v>
      </c>
      <c r="Y1846" t="s">
        <v>31337</v>
      </c>
      <c r="Z1846" t="s">
        <v>31338</v>
      </c>
      <c r="AA1846" t="s">
        <v>74</v>
      </c>
      <c r="AB1846" t="s">
        <v>74</v>
      </c>
      <c r="AC1846" t="s">
        <v>74</v>
      </c>
      <c r="AD1846" t="s">
        <v>74</v>
      </c>
      <c r="AE1846" t="s">
        <v>74</v>
      </c>
      <c r="AF1846" t="s">
        <v>74</v>
      </c>
      <c r="AG1846">
        <v>53</v>
      </c>
      <c r="AH1846">
        <v>0</v>
      </c>
      <c r="AI1846">
        <v>0</v>
      </c>
      <c r="AJ1846">
        <v>0</v>
      </c>
      <c r="AK1846">
        <v>6</v>
      </c>
      <c r="AL1846" t="s">
        <v>803</v>
      </c>
      <c r="AM1846" t="s">
        <v>227</v>
      </c>
      <c r="AN1846" t="s">
        <v>804</v>
      </c>
      <c r="AO1846" t="s">
        <v>74</v>
      </c>
      <c r="AP1846" t="s">
        <v>805</v>
      </c>
      <c r="AQ1846" t="s">
        <v>74</v>
      </c>
      <c r="AR1846" t="s">
        <v>806</v>
      </c>
      <c r="AS1846" t="s">
        <v>807</v>
      </c>
      <c r="AT1846" t="s">
        <v>31339</v>
      </c>
      <c r="AU1846">
        <v>2022</v>
      </c>
      <c r="AV1846">
        <v>14</v>
      </c>
      <c r="AW1846">
        <v>8</v>
      </c>
      <c r="AX1846" t="s">
        <v>74</v>
      </c>
      <c r="AY1846" t="s">
        <v>74</v>
      </c>
      <c r="AZ1846" t="s">
        <v>74</v>
      </c>
      <c r="BA1846" t="s">
        <v>74</v>
      </c>
      <c r="BB1846" t="s">
        <v>74</v>
      </c>
      <c r="BC1846" t="s">
        <v>74</v>
      </c>
      <c r="BD1846" t="s">
        <v>74</v>
      </c>
      <c r="BE1846" t="s">
        <v>31340</v>
      </c>
      <c r="BF1846" t="str">
        <f>HYPERLINK("http://dx.doi.org/10.7759/cureus.28575","http://dx.doi.org/10.7759/cureus.28575")</f>
        <v>http://dx.doi.org/10.7759/cureus.28575</v>
      </c>
      <c r="BG1846" t="s">
        <v>74</v>
      </c>
      <c r="BH1846" t="s">
        <v>74</v>
      </c>
      <c r="BI1846">
        <v>12</v>
      </c>
      <c r="BJ1846" t="s">
        <v>811</v>
      </c>
      <c r="BK1846" t="s">
        <v>125</v>
      </c>
      <c r="BL1846" t="s">
        <v>812</v>
      </c>
      <c r="BM1846" t="s">
        <v>31341</v>
      </c>
      <c r="BN1846">
        <v>36185878</v>
      </c>
      <c r="BO1846" t="s">
        <v>552</v>
      </c>
      <c r="BP1846" t="s">
        <v>74</v>
      </c>
      <c r="BQ1846" t="s">
        <v>74</v>
      </c>
      <c r="BR1846" t="s">
        <v>102</v>
      </c>
      <c r="BS1846" t="s">
        <v>31342</v>
      </c>
      <c r="BT1846" t="str">
        <f>HYPERLINK("https%3A%2F%2Fwww.webofscience.com%2Fwos%2Fwoscc%2Ffull-record%2FWOS:000862858700030","View Full Record in Web of Science")</f>
        <v>View Full Record in Web of Science</v>
      </c>
    </row>
    <row r="1847" spans="1:72" x14ac:dyDescent="0.35">
      <c r="A1847" t="s">
        <v>72</v>
      </c>
      <c r="B1847" t="s">
        <v>31343</v>
      </c>
      <c r="C1847" t="s">
        <v>74</v>
      </c>
      <c r="D1847" t="s">
        <v>74</v>
      </c>
      <c r="E1847" t="s">
        <v>74</v>
      </c>
      <c r="F1847" t="s">
        <v>31344</v>
      </c>
      <c r="G1847" t="s">
        <v>74</v>
      </c>
      <c r="H1847" t="s">
        <v>74</v>
      </c>
      <c r="I1847" t="s">
        <v>31345</v>
      </c>
      <c r="J1847" t="s">
        <v>31346</v>
      </c>
      <c r="K1847" t="s">
        <v>74</v>
      </c>
      <c r="L1847" t="s">
        <v>74</v>
      </c>
      <c r="M1847" t="s">
        <v>78</v>
      </c>
      <c r="N1847" t="s">
        <v>108</v>
      </c>
      <c r="O1847" t="s">
        <v>74</v>
      </c>
      <c r="P1847" t="s">
        <v>74</v>
      </c>
      <c r="Q1847" t="s">
        <v>74</v>
      </c>
      <c r="R1847" t="s">
        <v>74</v>
      </c>
      <c r="S1847" t="s">
        <v>74</v>
      </c>
      <c r="T1847" t="s">
        <v>31347</v>
      </c>
      <c r="U1847" t="s">
        <v>74</v>
      </c>
      <c r="V1847" t="s">
        <v>31348</v>
      </c>
      <c r="W1847" t="s">
        <v>31349</v>
      </c>
      <c r="X1847" t="s">
        <v>31350</v>
      </c>
      <c r="Y1847" t="s">
        <v>31351</v>
      </c>
      <c r="Z1847" t="s">
        <v>31352</v>
      </c>
      <c r="AA1847" t="s">
        <v>31353</v>
      </c>
      <c r="AB1847" t="s">
        <v>31354</v>
      </c>
      <c r="AC1847" t="s">
        <v>31355</v>
      </c>
      <c r="AD1847" t="s">
        <v>31356</v>
      </c>
      <c r="AE1847" t="s">
        <v>31357</v>
      </c>
      <c r="AF1847" t="s">
        <v>74</v>
      </c>
      <c r="AG1847">
        <v>83</v>
      </c>
      <c r="AH1847">
        <v>6</v>
      </c>
      <c r="AI1847">
        <v>6</v>
      </c>
      <c r="AJ1847">
        <v>4</v>
      </c>
      <c r="AK1847">
        <v>8</v>
      </c>
      <c r="AL1847" t="s">
        <v>758</v>
      </c>
      <c r="AM1847" t="s">
        <v>759</v>
      </c>
      <c r="AN1847" t="s">
        <v>760</v>
      </c>
      <c r="AO1847" t="s">
        <v>31358</v>
      </c>
      <c r="AP1847" t="s">
        <v>31359</v>
      </c>
      <c r="AQ1847" t="s">
        <v>74</v>
      </c>
      <c r="AR1847" t="s">
        <v>31360</v>
      </c>
      <c r="AS1847" t="s">
        <v>31361</v>
      </c>
      <c r="AT1847" t="s">
        <v>5690</v>
      </c>
      <c r="AU1847">
        <v>2023</v>
      </c>
      <c r="AV1847">
        <v>49</v>
      </c>
      <c r="AW1847">
        <v>4</v>
      </c>
      <c r="AX1847" t="s">
        <v>74</v>
      </c>
      <c r="AY1847" t="s">
        <v>74</v>
      </c>
      <c r="AZ1847" t="s">
        <v>74</v>
      </c>
      <c r="BA1847" t="s">
        <v>74</v>
      </c>
      <c r="BB1847">
        <v>2941</v>
      </c>
      <c r="BC1847">
        <v>2963</v>
      </c>
      <c r="BD1847" t="s">
        <v>74</v>
      </c>
      <c r="BE1847" t="s">
        <v>31362</v>
      </c>
      <c r="BF1847" t="str">
        <f>HYPERLINK("http://dx.doi.org/10.1109/TSE.2023.3236449","http://dx.doi.org/10.1109/TSE.2023.3236449")</f>
        <v>http://dx.doi.org/10.1109/TSE.2023.3236449</v>
      </c>
      <c r="BG1847" t="s">
        <v>74</v>
      </c>
      <c r="BH1847" t="s">
        <v>74</v>
      </c>
      <c r="BI1847">
        <v>23</v>
      </c>
      <c r="BJ1847" t="s">
        <v>31363</v>
      </c>
      <c r="BK1847" t="s">
        <v>209</v>
      </c>
      <c r="BL1847" t="s">
        <v>1113</v>
      </c>
      <c r="BM1847" t="s">
        <v>31364</v>
      </c>
      <c r="BN1847" t="s">
        <v>74</v>
      </c>
      <c r="BO1847" t="s">
        <v>74</v>
      </c>
      <c r="BP1847" t="s">
        <v>74</v>
      </c>
      <c r="BQ1847" t="s">
        <v>74</v>
      </c>
      <c r="BR1847" t="s">
        <v>102</v>
      </c>
      <c r="BS1847" t="s">
        <v>31365</v>
      </c>
      <c r="BT1847" t="str">
        <f>HYPERLINK("https%3A%2F%2Fwww.webofscience.com%2Fwos%2Fwoscc%2Ffull-record%2FWOS:000978723600086","View Full Record in Web of Science")</f>
        <v>View Full Record in Web of Science</v>
      </c>
    </row>
    <row r="1848" spans="1:72" x14ac:dyDescent="0.35">
      <c r="A1848" t="s">
        <v>72</v>
      </c>
      <c r="B1848" t="s">
        <v>31366</v>
      </c>
      <c r="C1848" t="s">
        <v>74</v>
      </c>
      <c r="D1848" t="s">
        <v>74</v>
      </c>
      <c r="E1848" t="s">
        <v>74</v>
      </c>
      <c r="F1848" t="s">
        <v>31367</v>
      </c>
      <c r="G1848" t="s">
        <v>74</v>
      </c>
      <c r="H1848" t="s">
        <v>74</v>
      </c>
      <c r="I1848" t="s">
        <v>31368</v>
      </c>
      <c r="J1848" t="s">
        <v>31369</v>
      </c>
      <c r="K1848" t="s">
        <v>74</v>
      </c>
      <c r="L1848" t="s">
        <v>74</v>
      </c>
      <c r="M1848" t="s">
        <v>78</v>
      </c>
      <c r="N1848" t="s">
        <v>79</v>
      </c>
      <c r="O1848" t="s">
        <v>74</v>
      </c>
      <c r="P1848" t="s">
        <v>74</v>
      </c>
      <c r="Q1848" t="s">
        <v>74</v>
      </c>
      <c r="R1848" t="s">
        <v>74</v>
      </c>
      <c r="S1848" t="s">
        <v>74</v>
      </c>
      <c r="T1848" t="s">
        <v>74</v>
      </c>
      <c r="U1848" t="s">
        <v>74</v>
      </c>
      <c r="V1848" t="s">
        <v>31370</v>
      </c>
      <c r="W1848" t="s">
        <v>31371</v>
      </c>
      <c r="X1848" t="s">
        <v>14302</v>
      </c>
      <c r="Y1848" t="s">
        <v>31372</v>
      </c>
      <c r="Z1848" t="s">
        <v>74</v>
      </c>
      <c r="AA1848" t="s">
        <v>74</v>
      </c>
      <c r="AB1848" t="s">
        <v>74</v>
      </c>
      <c r="AC1848" t="s">
        <v>74</v>
      </c>
      <c r="AD1848" t="s">
        <v>74</v>
      </c>
      <c r="AE1848" t="s">
        <v>74</v>
      </c>
      <c r="AF1848" t="s">
        <v>74</v>
      </c>
      <c r="AG1848">
        <v>65</v>
      </c>
      <c r="AH1848">
        <v>0</v>
      </c>
      <c r="AI1848">
        <v>0</v>
      </c>
      <c r="AJ1848">
        <v>0</v>
      </c>
      <c r="AK1848">
        <v>0</v>
      </c>
      <c r="AL1848" t="s">
        <v>8334</v>
      </c>
      <c r="AM1848" t="s">
        <v>291</v>
      </c>
      <c r="AN1848" t="s">
        <v>8335</v>
      </c>
      <c r="AO1848" t="s">
        <v>31373</v>
      </c>
      <c r="AP1848" t="s">
        <v>31374</v>
      </c>
      <c r="AQ1848" t="s">
        <v>74</v>
      </c>
      <c r="AR1848" t="s">
        <v>31375</v>
      </c>
      <c r="AS1848" t="s">
        <v>31376</v>
      </c>
      <c r="AT1848" t="s">
        <v>6511</v>
      </c>
      <c r="AU1848">
        <v>2024</v>
      </c>
      <c r="AV1848" t="s">
        <v>74</v>
      </c>
      <c r="AW1848" t="s">
        <v>74</v>
      </c>
      <c r="AX1848" t="s">
        <v>74</v>
      </c>
      <c r="AY1848" t="s">
        <v>74</v>
      </c>
      <c r="AZ1848" t="s">
        <v>74</v>
      </c>
      <c r="BA1848" t="s">
        <v>74</v>
      </c>
      <c r="BB1848" t="s">
        <v>74</v>
      </c>
      <c r="BC1848" t="s">
        <v>74</v>
      </c>
      <c r="BD1848" t="s">
        <v>74</v>
      </c>
      <c r="BE1848" t="s">
        <v>31377</v>
      </c>
      <c r="BF1848" t="str">
        <f>HYPERLINK("http://dx.doi.org/10.1093/joclec/nhae017","http://dx.doi.org/10.1093/joclec/nhae017")</f>
        <v>http://dx.doi.org/10.1093/joclec/nhae017</v>
      </c>
      <c r="BG1848" t="s">
        <v>74</v>
      </c>
      <c r="BH1848" t="s">
        <v>1721</v>
      </c>
      <c r="BI1848">
        <v>36</v>
      </c>
      <c r="BJ1848" t="s">
        <v>31378</v>
      </c>
      <c r="BK1848" t="s">
        <v>99</v>
      </c>
      <c r="BL1848" t="s">
        <v>31379</v>
      </c>
      <c r="BM1848" t="s">
        <v>31380</v>
      </c>
      <c r="BN1848" t="s">
        <v>74</v>
      </c>
      <c r="BO1848" t="s">
        <v>156</v>
      </c>
      <c r="BP1848" t="s">
        <v>74</v>
      </c>
      <c r="BQ1848" t="s">
        <v>74</v>
      </c>
      <c r="BR1848" t="s">
        <v>102</v>
      </c>
      <c r="BS1848" t="s">
        <v>31381</v>
      </c>
      <c r="BT1848" t="str">
        <f>HYPERLINK("https%3A%2F%2Fwww.webofscience.com%2Fwos%2Fwoscc%2Ffull-record%2FWOS:001345838100001","View Full Record in Web of Science")</f>
        <v>View Full Record in Web of Science</v>
      </c>
    </row>
    <row r="1849" spans="1:72" x14ac:dyDescent="0.35">
      <c r="A1849" t="s">
        <v>72</v>
      </c>
      <c r="B1849" t="s">
        <v>31382</v>
      </c>
      <c r="C1849" t="s">
        <v>74</v>
      </c>
      <c r="D1849" t="s">
        <v>74</v>
      </c>
      <c r="E1849" t="s">
        <v>74</v>
      </c>
      <c r="F1849" t="s">
        <v>31383</v>
      </c>
      <c r="G1849" t="s">
        <v>74</v>
      </c>
      <c r="H1849" t="s">
        <v>74</v>
      </c>
      <c r="I1849" t="s">
        <v>31384</v>
      </c>
      <c r="J1849" t="s">
        <v>31385</v>
      </c>
      <c r="K1849" t="s">
        <v>74</v>
      </c>
      <c r="L1849" t="s">
        <v>74</v>
      </c>
      <c r="M1849" t="s">
        <v>78</v>
      </c>
      <c r="N1849" t="s">
        <v>108</v>
      </c>
      <c r="O1849" t="s">
        <v>74</v>
      </c>
      <c r="P1849" t="s">
        <v>74</v>
      </c>
      <c r="Q1849" t="s">
        <v>74</v>
      </c>
      <c r="R1849" t="s">
        <v>74</v>
      </c>
      <c r="S1849" t="s">
        <v>74</v>
      </c>
      <c r="T1849" t="s">
        <v>31386</v>
      </c>
      <c r="U1849" t="s">
        <v>31387</v>
      </c>
      <c r="V1849" t="s">
        <v>31388</v>
      </c>
      <c r="W1849" t="s">
        <v>31389</v>
      </c>
      <c r="X1849" t="s">
        <v>13328</v>
      </c>
      <c r="Y1849" t="s">
        <v>31390</v>
      </c>
      <c r="Z1849" t="s">
        <v>31391</v>
      </c>
      <c r="AA1849" t="s">
        <v>74</v>
      </c>
      <c r="AB1849" t="s">
        <v>31392</v>
      </c>
      <c r="AC1849" t="s">
        <v>74</v>
      </c>
      <c r="AD1849" t="s">
        <v>74</v>
      </c>
      <c r="AE1849" t="s">
        <v>74</v>
      </c>
      <c r="AF1849" t="s">
        <v>74</v>
      </c>
      <c r="AG1849">
        <v>17</v>
      </c>
      <c r="AH1849">
        <v>2</v>
      </c>
      <c r="AI1849">
        <v>2</v>
      </c>
      <c r="AJ1849">
        <v>3</v>
      </c>
      <c r="AK1849">
        <v>11</v>
      </c>
      <c r="AL1849" t="s">
        <v>88</v>
      </c>
      <c r="AM1849" t="s">
        <v>89</v>
      </c>
      <c r="AN1849" t="s">
        <v>90</v>
      </c>
      <c r="AO1849" t="s">
        <v>31393</v>
      </c>
      <c r="AP1849" t="s">
        <v>31394</v>
      </c>
      <c r="AQ1849" t="s">
        <v>74</v>
      </c>
      <c r="AR1849" t="s">
        <v>31395</v>
      </c>
      <c r="AS1849" t="s">
        <v>31396</v>
      </c>
      <c r="AT1849" t="s">
        <v>6989</v>
      </c>
      <c r="AU1849">
        <v>2024</v>
      </c>
      <c r="AV1849">
        <v>58</v>
      </c>
      <c r="AW1849">
        <v>2</v>
      </c>
      <c r="AX1849" t="s">
        <v>74</v>
      </c>
      <c r="AY1849" t="s">
        <v>74</v>
      </c>
      <c r="AZ1849" t="s">
        <v>74</v>
      </c>
      <c r="BA1849" t="s">
        <v>74</v>
      </c>
      <c r="BB1849">
        <v>289</v>
      </c>
      <c r="BC1849">
        <v>296</v>
      </c>
      <c r="BD1849" t="s">
        <v>74</v>
      </c>
      <c r="BE1849" t="s">
        <v>31397</v>
      </c>
      <c r="BF1849" t="str">
        <f>HYPERLINK("http://dx.doi.org/10.1080/00219266.2022.2047098","http://dx.doi.org/10.1080/00219266.2022.2047098")</f>
        <v>http://dx.doi.org/10.1080/00219266.2022.2047098</v>
      </c>
      <c r="BG1849" t="s">
        <v>74</v>
      </c>
      <c r="BH1849" t="s">
        <v>4460</v>
      </c>
      <c r="BI1849">
        <v>8</v>
      </c>
      <c r="BJ1849" t="s">
        <v>31398</v>
      </c>
      <c r="BK1849" t="s">
        <v>182</v>
      </c>
      <c r="BL1849" t="s">
        <v>31399</v>
      </c>
      <c r="BM1849" t="s">
        <v>31400</v>
      </c>
      <c r="BN1849" t="s">
        <v>74</v>
      </c>
      <c r="BO1849" t="s">
        <v>74</v>
      </c>
      <c r="BP1849" t="s">
        <v>74</v>
      </c>
      <c r="BQ1849" t="s">
        <v>74</v>
      </c>
      <c r="BR1849" t="s">
        <v>102</v>
      </c>
      <c r="BS1849" t="s">
        <v>31401</v>
      </c>
      <c r="BT1849" t="str">
        <f>HYPERLINK("https%3A%2F%2Fwww.webofscience.com%2Fwos%2Fwoscc%2Ffull-record%2FWOS:000778236400001","View Full Record in Web of Science")</f>
        <v>View Full Record in Web of Science</v>
      </c>
    </row>
    <row r="1850" spans="1:72" x14ac:dyDescent="0.35">
      <c r="A1850" t="s">
        <v>128</v>
      </c>
      <c r="B1850" t="s">
        <v>31402</v>
      </c>
      <c r="C1850" t="s">
        <v>74</v>
      </c>
      <c r="D1850" t="s">
        <v>31403</v>
      </c>
      <c r="E1850" t="s">
        <v>74</v>
      </c>
      <c r="F1850" t="s">
        <v>31404</v>
      </c>
      <c r="G1850" t="s">
        <v>74</v>
      </c>
      <c r="H1850" t="s">
        <v>74</v>
      </c>
      <c r="I1850" t="s">
        <v>31405</v>
      </c>
      <c r="J1850" t="s">
        <v>31406</v>
      </c>
      <c r="K1850" t="s">
        <v>31407</v>
      </c>
      <c r="L1850" t="s">
        <v>74</v>
      </c>
      <c r="M1850" t="s">
        <v>78</v>
      </c>
      <c r="N1850" t="s">
        <v>135</v>
      </c>
      <c r="O1850" t="s">
        <v>31408</v>
      </c>
      <c r="P1850" t="s">
        <v>31409</v>
      </c>
      <c r="Q1850" t="s">
        <v>31410</v>
      </c>
      <c r="R1850" t="s">
        <v>74</v>
      </c>
      <c r="S1850" t="s">
        <v>74</v>
      </c>
      <c r="T1850" t="s">
        <v>74</v>
      </c>
      <c r="U1850" t="s">
        <v>74</v>
      </c>
      <c r="V1850" t="s">
        <v>31411</v>
      </c>
      <c r="W1850" t="s">
        <v>31412</v>
      </c>
      <c r="X1850" t="s">
        <v>31413</v>
      </c>
      <c r="Y1850" t="s">
        <v>31414</v>
      </c>
      <c r="Z1850" t="s">
        <v>74</v>
      </c>
      <c r="AA1850" t="s">
        <v>74</v>
      </c>
      <c r="AB1850" t="s">
        <v>74</v>
      </c>
      <c r="AC1850" t="s">
        <v>31415</v>
      </c>
      <c r="AD1850" t="s">
        <v>31416</v>
      </c>
      <c r="AE1850" t="s">
        <v>31417</v>
      </c>
      <c r="AF1850" t="s">
        <v>74</v>
      </c>
      <c r="AG1850">
        <v>19</v>
      </c>
      <c r="AH1850">
        <v>0</v>
      </c>
      <c r="AI1850">
        <v>0</v>
      </c>
      <c r="AJ1850">
        <v>0</v>
      </c>
      <c r="AK1850">
        <v>0</v>
      </c>
      <c r="AL1850" t="s">
        <v>31418</v>
      </c>
      <c r="AM1850" t="s">
        <v>12437</v>
      </c>
      <c r="AN1850" t="s">
        <v>31419</v>
      </c>
      <c r="AO1850" t="s">
        <v>31420</v>
      </c>
      <c r="AP1850" t="s">
        <v>74</v>
      </c>
      <c r="AQ1850" t="s">
        <v>74</v>
      </c>
      <c r="AR1850" t="s">
        <v>31421</v>
      </c>
      <c r="AS1850" t="s">
        <v>74</v>
      </c>
      <c r="AT1850" t="s">
        <v>74</v>
      </c>
      <c r="AU1850">
        <v>2022</v>
      </c>
      <c r="AV1850">
        <v>180</v>
      </c>
      <c r="AW1850" t="s">
        <v>74</v>
      </c>
      <c r="AX1850" t="s">
        <v>74</v>
      </c>
      <c r="AY1850" t="s">
        <v>74</v>
      </c>
      <c r="AZ1850" t="s">
        <v>74</v>
      </c>
      <c r="BA1850" t="s">
        <v>74</v>
      </c>
      <c r="BB1850">
        <v>317</v>
      </c>
      <c r="BC1850">
        <v>325</v>
      </c>
      <c r="BD1850" t="s">
        <v>74</v>
      </c>
      <c r="BE1850" t="s">
        <v>74</v>
      </c>
      <c r="BF1850" t="s">
        <v>74</v>
      </c>
      <c r="BG1850" t="s">
        <v>74</v>
      </c>
      <c r="BH1850" t="s">
        <v>74</v>
      </c>
      <c r="BI1850">
        <v>9</v>
      </c>
      <c r="BJ1850" t="s">
        <v>31422</v>
      </c>
      <c r="BK1850" t="s">
        <v>723</v>
      </c>
      <c r="BL1850" t="s">
        <v>30044</v>
      </c>
      <c r="BM1850" t="s">
        <v>31423</v>
      </c>
      <c r="BN1850" t="s">
        <v>74</v>
      </c>
      <c r="BO1850" t="s">
        <v>74</v>
      </c>
      <c r="BP1850" t="s">
        <v>74</v>
      </c>
      <c r="BQ1850" t="s">
        <v>74</v>
      </c>
      <c r="BR1850" t="s">
        <v>102</v>
      </c>
      <c r="BS1850" t="s">
        <v>31424</v>
      </c>
      <c r="BT1850" t="str">
        <f>HYPERLINK("https%3A%2F%2Fwww.webofscience.com%2Fwos%2Fwoscc%2Ffull-record%2FWOS:001228408900031","View Full Record in Web of Science")</f>
        <v>View Full Record in Web of Science</v>
      </c>
    </row>
    <row r="1851" spans="1:72" x14ac:dyDescent="0.35">
      <c r="A1851" t="s">
        <v>72</v>
      </c>
      <c r="B1851" t="s">
        <v>31425</v>
      </c>
      <c r="C1851" t="s">
        <v>74</v>
      </c>
      <c r="D1851" t="s">
        <v>74</v>
      </c>
      <c r="E1851" t="s">
        <v>74</v>
      </c>
      <c r="F1851" t="s">
        <v>31426</v>
      </c>
      <c r="G1851" t="s">
        <v>74</v>
      </c>
      <c r="H1851" t="s">
        <v>74</v>
      </c>
      <c r="I1851" t="s">
        <v>31427</v>
      </c>
      <c r="J1851" t="s">
        <v>31428</v>
      </c>
      <c r="K1851" t="s">
        <v>74</v>
      </c>
      <c r="L1851" t="s">
        <v>74</v>
      </c>
      <c r="M1851" t="s">
        <v>78</v>
      </c>
      <c r="N1851" t="s">
        <v>374</v>
      </c>
      <c r="O1851" t="s">
        <v>74</v>
      </c>
      <c r="P1851" t="s">
        <v>74</v>
      </c>
      <c r="Q1851" t="s">
        <v>74</v>
      </c>
      <c r="R1851" t="s">
        <v>74</v>
      </c>
      <c r="S1851" t="s">
        <v>74</v>
      </c>
      <c r="T1851" t="s">
        <v>31429</v>
      </c>
      <c r="U1851" t="s">
        <v>31430</v>
      </c>
      <c r="V1851" t="s">
        <v>31431</v>
      </c>
      <c r="W1851" t="s">
        <v>31432</v>
      </c>
      <c r="X1851" t="s">
        <v>31433</v>
      </c>
      <c r="Y1851" t="s">
        <v>31434</v>
      </c>
      <c r="Z1851" t="s">
        <v>29423</v>
      </c>
      <c r="AA1851" t="s">
        <v>74</v>
      </c>
      <c r="AB1851" t="s">
        <v>31435</v>
      </c>
      <c r="AC1851" t="s">
        <v>74</v>
      </c>
      <c r="AD1851" t="s">
        <v>74</v>
      </c>
      <c r="AE1851" t="s">
        <v>74</v>
      </c>
      <c r="AF1851" t="s">
        <v>74</v>
      </c>
      <c r="AG1851">
        <v>20</v>
      </c>
      <c r="AH1851">
        <v>0</v>
      </c>
      <c r="AI1851">
        <v>0</v>
      </c>
      <c r="AJ1851">
        <v>0</v>
      </c>
      <c r="AK1851">
        <v>7</v>
      </c>
      <c r="AL1851" t="s">
        <v>226</v>
      </c>
      <c r="AM1851" t="s">
        <v>227</v>
      </c>
      <c r="AN1851" t="s">
        <v>228</v>
      </c>
      <c r="AO1851" t="s">
        <v>31436</v>
      </c>
      <c r="AP1851" t="s">
        <v>31437</v>
      </c>
      <c r="AQ1851" t="s">
        <v>74</v>
      </c>
      <c r="AR1851" t="s">
        <v>31428</v>
      </c>
      <c r="AS1851" t="s">
        <v>31438</v>
      </c>
      <c r="AT1851" t="s">
        <v>257</v>
      </c>
      <c r="AU1851">
        <v>2023</v>
      </c>
      <c r="AV1851">
        <v>32</v>
      </c>
      <c r="AW1851">
        <v>7</v>
      </c>
      <c r="AX1851" t="s">
        <v>74</v>
      </c>
      <c r="AY1851" t="s">
        <v>74</v>
      </c>
      <c r="AZ1851" t="s">
        <v>74</v>
      </c>
      <c r="BA1851" t="s">
        <v>74</v>
      </c>
      <c r="BB1851">
        <v>887</v>
      </c>
      <c r="BC1851">
        <v>892</v>
      </c>
      <c r="BD1851" t="s">
        <v>74</v>
      </c>
      <c r="BE1851" t="s">
        <v>31439</v>
      </c>
      <c r="BF1851" t="str">
        <f>HYPERLINK("http://dx.doi.org/10.1177/09612033231174423","http://dx.doi.org/10.1177/09612033231174423")</f>
        <v>http://dx.doi.org/10.1177/09612033231174423</v>
      </c>
      <c r="BG1851" t="s">
        <v>74</v>
      </c>
      <c r="BH1851" t="s">
        <v>180</v>
      </c>
      <c r="BI1851">
        <v>6</v>
      </c>
      <c r="BJ1851" t="s">
        <v>31440</v>
      </c>
      <c r="BK1851" t="s">
        <v>209</v>
      </c>
      <c r="BL1851" t="s">
        <v>31440</v>
      </c>
      <c r="BM1851" t="s">
        <v>31441</v>
      </c>
      <c r="BN1851">
        <v>37171120</v>
      </c>
      <c r="BO1851" t="s">
        <v>74</v>
      </c>
      <c r="BP1851" t="s">
        <v>74</v>
      </c>
      <c r="BQ1851" t="s">
        <v>74</v>
      </c>
      <c r="BR1851" t="s">
        <v>102</v>
      </c>
      <c r="BS1851" t="s">
        <v>31442</v>
      </c>
      <c r="BT1851" t="str">
        <f>HYPERLINK("https%3A%2F%2Fwww.webofscience.com%2Fwos%2Fwoscc%2Ffull-record%2FWOS:000986263300001","View Full Record in Web of Science")</f>
        <v>View Full Record in Web of Science</v>
      </c>
    </row>
    <row r="1852" spans="1:72" x14ac:dyDescent="0.35">
      <c r="A1852" t="s">
        <v>72</v>
      </c>
      <c r="B1852" t="s">
        <v>31443</v>
      </c>
      <c r="C1852" t="s">
        <v>74</v>
      </c>
      <c r="D1852" t="s">
        <v>74</v>
      </c>
      <c r="E1852" t="s">
        <v>74</v>
      </c>
      <c r="F1852" t="s">
        <v>31444</v>
      </c>
      <c r="G1852" t="s">
        <v>74</v>
      </c>
      <c r="H1852" t="s">
        <v>74</v>
      </c>
      <c r="I1852" t="s">
        <v>31445</v>
      </c>
      <c r="J1852" t="s">
        <v>31446</v>
      </c>
      <c r="K1852" t="s">
        <v>74</v>
      </c>
      <c r="L1852" t="s">
        <v>74</v>
      </c>
      <c r="M1852" t="s">
        <v>78</v>
      </c>
      <c r="N1852" t="s">
        <v>374</v>
      </c>
      <c r="O1852" t="s">
        <v>74</v>
      </c>
      <c r="P1852" t="s">
        <v>74</v>
      </c>
      <c r="Q1852" t="s">
        <v>74</v>
      </c>
      <c r="R1852" t="s">
        <v>74</v>
      </c>
      <c r="S1852" t="s">
        <v>74</v>
      </c>
      <c r="T1852" t="s">
        <v>31447</v>
      </c>
      <c r="U1852" t="s">
        <v>31448</v>
      </c>
      <c r="V1852" t="s">
        <v>31449</v>
      </c>
      <c r="W1852" t="s">
        <v>31450</v>
      </c>
      <c r="X1852" t="s">
        <v>31451</v>
      </c>
      <c r="Y1852" t="s">
        <v>31452</v>
      </c>
      <c r="Z1852" t="s">
        <v>31453</v>
      </c>
      <c r="AA1852" t="s">
        <v>74</v>
      </c>
      <c r="AB1852" t="s">
        <v>74</v>
      </c>
      <c r="AC1852" t="s">
        <v>74</v>
      </c>
      <c r="AD1852" t="s">
        <v>74</v>
      </c>
      <c r="AE1852" t="s">
        <v>74</v>
      </c>
      <c r="AF1852" t="s">
        <v>74</v>
      </c>
      <c r="AG1852">
        <v>174</v>
      </c>
      <c r="AH1852">
        <v>2</v>
      </c>
      <c r="AI1852">
        <v>2</v>
      </c>
      <c r="AJ1852">
        <v>7</v>
      </c>
      <c r="AK1852">
        <v>30</v>
      </c>
      <c r="AL1852" t="s">
        <v>31454</v>
      </c>
      <c r="AM1852" t="s">
        <v>31455</v>
      </c>
      <c r="AN1852" t="s">
        <v>31456</v>
      </c>
      <c r="AO1852" t="s">
        <v>31457</v>
      </c>
      <c r="AP1852" t="s">
        <v>74</v>
      </c>
      <c r="AQ1852" t="s">
        <v>74</v>
      </c>
      <c r="AR1852" t="s">
        <v>31458</v>
      </c>
      <c r="AS1852" t="s">
        <v>31459</v>
      </c>
      <c r="AT1852" t="s">
        <v>74</v>
      </c>
      <c r="AU1852">
        <v>2023</v>
      </c>
      <c r="AV1852">
        <v>10</v>
      </c>
      <c r="AW1852">
        <v>6</v>
      </c>
      <c r="AX1852" t="s">
        <v>74</v>
      </c>
      <c r="AY1852" t="s">
        <v>74</v>
      </c>
      <c r="AZ1852" t="s">
        <v>74</v>
      </c>
      <c r="BA1852" t="s">
        <v>74</v>
      </c>
      <c r="BB1852" t="s">
        <v>74</v>
      </c>
      <c r="BC1852" t="s">
        <v>74</v>
      </c>
      <c r="BD1852">
        <v>3843</v>
      </c>
      <c r="BE1852" t="s">
        <v>31460</v>
      </c>
      <c r="BF1852" t="str">
        <f>HYPERLINK("http://dx.doi.org/10.4108/eetsis.3843","http://dx.doi.org/10.4108/eetsis.3843")</f>
        <v>http://dx.doi.org/10.4108/eetsis.3843</v>
      </c>
      <c r="BG1852" t="s">
        <v>74</v>
      </c>
      <c r="BH1852" t="s">
        <v>74</v>
      </c>
      <c r="BI1852">
        <v>24</v>
      </c>
      <c r="BJ1852" t="s">
        <v>5789</v>
      </c>
      <c r="BK1852" t="s">
        <v>125</v>
      </c>
      <c r="BL1852" t="s">
        <v>210</v>
      </c>
      <c r="BM1852" t="s">
        <v>31461</v>
      </c>
      <c r="BN1852" t="s">
        <v>74</v>
      </c>
      <c r="BO1852" t="s">
        <v>235</v>
      </c>
      <c r="BP1852" t="s">
        <v>74</v>
      </c>
      <c r="BQ1852" t="s">
        <v>74</v>
      </c>
      <c r="BR1852" t="s">
        <v>102</v>
      </c>
      <c r="BS1852" t="s">
        <v>31462</v>
      </c>
      <c r="BT1852" t="str">
        <f>HYPERLINK("https%3A%2F%2Fwww.webofscience.com%2Fwos%2Fwoscc%2Ffull-record%2FWOS:001084724200033","View Full Record in Web of Science")</f>
        <v>View Full Record in Web of Science</v>
      </c>
    </row>
    <row r="1853" spans="1:72" x14ac:dyDescent="0.35">
      <c r="A1853" t="s">
        <v>72</v>
      </c>
      <c r="B1853" t="s">
        <v>31463</v>
      </c>
      <c r="C1853" t="s">
        <v>74</v>
      </c>
      <c r="D1853" t="s">
        <v>74</v>
      </c>
      <c r="E1853" t="s">
        <v>74</v>
      </c>
      <c r="F1853" t="s">
        <v>31464</v>
      </c>
      <c r="G1853" t="s">
        <v>74</v>
      </c>
      <c r="H1853" t="s">
        <v>74</v>
      </c>
      <c r="I1853" t="s">
        <v>31465</v>
      </c>
      <c r="J1853" t="s">
        <v>27266</v>
      </c>
      <c r="K1853" t="s">
        <v>74</v>
      </c>
      <c r="L1853" t="s">
        <v>74</v>
      </c>
      <c r="M1853" t="s">
        <v>78</v>
      </c>
      <c r="N1853" t="s">
        <v>108</v>
      </c>
      <c r="O1853" t="s">
        <v>74</v>
      </c>
      <c r="P1853" t="s">
        <v>74</v>
      </c>
      <c r="Q1853" t="s">
        <v>74</v>
      </c>
      <c r="R1853" t="s">
        <v>74</v>
      </c>
      <c r="S1853" t="s">
        <v>74</v>
      </c>
      <c r="T1853" t="s">
        <v>74</v>
      </c>
      <c r="U1853" t="s">
        <v>74</v>
      </c>
      <c r="V1853" t="s">
        <v>31466</v>
      </c>
      <c r="W1853" t="s">
        <v>74</v>
      </c>
      <c r="X1853" t="s">
        <v>74</v>
      </c>
      <c r="Y1853" t="s">
        <v>74</v>
      </c>
      <c r="Z1853" t="s">
        <v>31467</v>
      </c>
      <c r="AA1853" t="s">
        <v>74</v>
      </c>
      <c r="AB1853" t="s">
        <v>31468</v>
      </c>
      <c r="AC1853" t="s">
        <v>74</v>
      </c>
      <c r="AD1853" t="s">
        <v>74</v>
      </c>
      <c r="AE1853" t="s">
        <v>74</v>
      </c>
      <c r="AF1853" t="s">
        <v>74</v>
      </c>
      <c r="AG1853">
        <v>60</v>
      </c>
      <c r="AH1853">
        <v>2</v>
      </c>
      <c r="AI1853">
        <v>2</v>
      </c>
      <c r="AJ1853">
        <v>2</v>
      </c>
      <c r="AK1853">
        <v>9</v>
      </c>
      <c r="AL1853" t="s">
        <v>1061</v>
      </c>
      <c r="AM1853" t="s">
        <v>1062</v>
      </c>
      <c r="AN1853" t="s">
        <v>1063</v>
      </c>
      <c r="AO1853" t="s">
        <v>27271</v>
      </c>
      <c r="AP1853" t="s">
        <v>27272</v>
      </c>
      <c r="AQ1853" t="s">
        <v>74</v>
      </c>
      <c r="AR1853" t="s">
        <v>27273</v>
      </c>
      <c r="AS1853" t="s">
        <v>27274</v>
      </c>
      <c r="AT1853" t="s">
        <v>594</v>
      </c>
      <c r="AU1853">
        <v>2022</v>
      </c>
      <c r="AV1853">
        <v>19</v>
      </c>
      <c r="AW1853">
        <v>3</v>
      </c>
      <c r="AX1853" t="s">
        <v>74</v>
      </c>
      <c r="AY1853" t="s">
        <v>74</v>
      </c>
      <c r="AZ1853" t="s">
        <v>456</v>
      </c>
      <c r="BA1853" t="s">
        <v>74</v>
      </c>
      <c r="BB1853">
        <v>369</v>
      </c>
      <c r="BC1853">
        <v>392</v>
      </c>
      <c r="BD1853" t="s">
        <v>31469</v>
      </c>
      <c r="BE1853" t="s">
        <v>31470</v>
      </c>
      <c r="BF1853" t="str">
        <f>HYPERLINK("http://dx.doi.org/10.1017/S1478572222000251","http://dx.doi.org/10.1017/S1478572222000251")</f>
        <v>http://dx.doi.org/10.1017/S1478572222000251</v>
      </c>
      <c r="BG1853" t="s">
        <v>74</v>
      </c>
      <c r="BH1853" t="s">
        <v>74</v>
      </c>
      <c r="BI1853">
        <v>24</v>
      </c>
      <c r="BJ1853" t="s">
        <v>6991</v>
      </c>
      <c r="BK1853" t="s">
        <v>316</v>
      </c>
      <c r="BL1853" t="s">
        <v>6991</v>
      </c>
      <c r="BM1853" t="s">
        <v>27277</v>
      </c>
      <c r="BN1853" t="s">
        <v>74</v>
      </c>
      <c r="BO1853" t="s">
        <v>767</v>
      </c>
      <c r="BP1853" t="s">
        <v>74</v>
      </c>
      <c r="BQ1853" t="s">
        <v>74</v>
      </c>
      <c r="BR1853" t="s">
        <v>102</v>
      </c>
      <c r="BS1853" t="s">
        <v>31471</v>
      </c>
      <c r="BT1853" t="str">
        <f>HYPERLINK("https%3A%2F%2Fwww.webofscience.com%2Fwos%2Fwoscc%2Ffull-record%2FWOS:000891448600004","View Full Record in Web of Science")</f>
        <v>View Full Record in Web of Science</v>
      </c>
    </row>
    <row r="1854" spans="1:72" x14ac:dyDescent="0.35">
      <c r="A1854" t="s">
        <v>72</v>
      </c>
      <c r="B1854" t="s">
        <v>31472</v>
      </c>
      <c r="C1854" t="s">
        <v>74</v>
      </c>
      <c r="D1854" t="s">
        <v>74</v>
      </c>
      <c r="E1854" t="s">
        <v>74</v>
      </c>
      <c r="F1854" t="s">
        <v>31473</v>
      </c>
      <c r="G1854" t="s">
        <v>74</v>
      </c>
      <c r="H1854" t="s">
        <v>74</v>
      </c>
      <c r="I1854" t="s">
        <v>31474</v>
      </c>
      <c r="J1854" t="s">
        <v>4892</v>
      </c>
      <c r="K1854" t="s">
        <v>74</v>
      </c>
      <c r="L1854" t="s">
        <v>74</v>
      </c>
      <c r="M1854" t="s">
        <v>3503</v>
      </c>
      <c r="N1854" t="s">
        <v>108</v>
      </c>
      <c r="O1854" t="s">
        <v>74</v>
      </c>
      <c r="P1854" t="s">
        <v>74</v>
      </c>
      <c r="Q1854" t="s">
        <v>74</v>
      </c>
      <c r="R1854" t="s">
        <v>74</v>
      </c>
      <c r="S1854" t="s">
        <v>74</v>
      </c>
      <c r="T1854" t="s">
        <v>31475</v>
      </c>
      <c r="U1854" t="s">
        <v>31476</v>
      </c>
      <c r="V1854" t="s">
        <v>31477</v>
      </c>
      <c r="W1854" t="s">
        <v>31478</v>
      </c>
      <c r="X1854" t="s">
        <v>31479</v>
      </c>
      <c r="Y1854" t="s">
        <v>31480</v>
      </c>
      <c r="Z1854" t="s">
        <v>31481</v>
      </c>
      <c r="AA1854" t="s">
        <v>74</v>
      </c>
      <c r="AB1854" t="s">
        <v>74</v>
      </c>
      <c r="AC1854" t="s">
        <v>74</v>
      </c>
      <c r="AD1854" t="s">
        <v>74</v>
      </c>
      <c r="AE1854" t="s">
        <v>74</v>
      </c>
      <c r="AF1854" t="s">
        <v>74</v>
      </c>
      <c r="AG1854">
        <v>58</v>
      </c>
      <c r="AH1854">
        <v>0</v>
      </c>
      <c r="AI1854">
        <v>0</v>
      </c>
      <c r="AJ1854">
        <v>3</v>
      </c>
      <c r="AK1854">
        <v>3</v>
      </c>
      <c r="AL1854" t="s">
        <v>4900</v>
      </c>
      <c r="AM1854" t="s">
        <v>4901</v>
      </c>
      <c r="AN1854" t="s">
        <v>4902</v>
      </c>
      <c r="AO1854" t="s">
        <v>4903</v>
      </c>
      <c r="AP1854" t="s">
        <v>74</v>
      </c>
      <c r="AQ1854" t="s">
        <v>74</v>
      </c>
      <c r="AR1854" t="s">
        <v>4904</v>
      </c>
      <c r="AS1854" t="s">
        <v>4905</v>
      </c>
      <c r="AT1854" t="s">
        <v>930</v>
      </c>
      <c r="AU1854">
        <v>2024</v>
      </c>
      <c r="AV1854" t="s">
        <v>74</v>
      </c>
      <c r="AW1854">
        <v>45</v>
      </c>
      <c r="AX1854" t="s">
        <v>74</v>
      </c>
      <c r="AY1854" t="s">
        <v>74</v>
      </c>
      <c r="AZ1854" t="s">
        <v>74</v>
      </c>
      <c r="BA1854" t="s">
        <v>74</v>
      </c>
      <c r="BB1854">
        <v>269</v>
      </c>
      <c r="BC1854">
        <v>297</v>
      </c>
      <c r="BD1854" t="s">
        <v>74</v>
      </c>
      <c r="BE1854" t="s">
        <v>31482</v>
      </c>
      <c r="BF1854" t="str">
        <f>HYPERLINK("http://dx.doi.org/10.14198/MEDCOM.22115","http://dx.doi.org/10.14198/MEDCOM.22115")</f>
        <v>http://dx.doi.org/10.14198/MEDCOM.22115</v>
      </c>
      <c r="BG1854" t="s">
        <v>74</v>
      </c>
      <c r="BH1854" t="s">
        <v>74</v>
      </c>
      <c r="BI1854">
        <v>29</v>
      </c>
      <c r="BJ1854" t="s">
        <v>98</v>
      </c>
      <c r="BK1854" t="s">
        <v>125</v>
      </c>
      <c r="BL1854" t="s">
        <v>100</v>
      </c>
      <c r="BM1854" t="s">
        <v>31483</v>
      </c>
      <c r="BN1854" t="s">
        <v>74</v>
      </c>
      <c r="BO1854" t="s">
        <v>552</v>
      </c>
      <c r="BP1854" t="s">
        <v>74</v>
      </c>
      <c r="BQ1854" t="s">
        <v>74</v>
      </c>
      <c r="BR1854" t="s">
        <v>102</v>
      </c>
      <c r="BS1854" t="s">
        <v>31484</v>
      </c>
      <c r="BT1854" t="str">
        <f>HYPERLINK("https%3A%2F%2Fwww.webofscience.com%2Fwos%2Fwoscc%2Ffull-record%2FWOS:001293805600013","View Full Record in Web of Science")</f>
        <v>View Full Record in Web of Science</v>
      </c>
    </row>
    <row r="1855" spans="1:72" x14ac:dyDescent="0.35">
      <c r="A1855" t="s">
        <v>72</v>
      </c>
      <c r="B1855" t="s">
        <v>31485</v>
      </c>
      <c r="C1855" t="s">
        <v>74</v>
      </c>
      <c r="D1855" t="s">
        <v>74</v>
      </c>
      <c r="E1855" t="s">
        <v>74</v>
      </c>
      <c r="F1855" t="s">
        <v>31486</v>
      </c>
      <c r="G1855" t="s">
        <v>74</v>
      </c>
      <c r="H1855" t="s">
        <v>74</v>
      </c>
      <c r="I1855" t="s">
        <v>31487</v>
      </c>
      <c r="J1855" t="s">
        <v>3207</v>
      </c>
      <c r="K1855" t="s">
        <v>74</v>
      </c>
      <c r="L1855" t="s">
        <v>74</v>
      </c>
      <c r="M1855" t="s">
        <v>78</v>
      </c>
      <c r="N1855" t="s">
        <v>108</v>
      </c>
      <c r="O1855" t="s">
        <v>74</v>
      </c>
      <c r="P1855" t="s">
        <v>74</v>
      </c>
      <c r="Q1855" t="s">
        <v>74</v>
      </c>
      <c r="R1855" t="s">
        <v>74</v>
      </c>
      <c r="S1855" t="s">
        <v>74</v>
      </c>
      <c r="T1855" t="s">
        <v>31488</v>
      </c>
      <c r="U1855" t="s">
        <v>31489</v>
      </c>
      <c r="V1855" t="s">
        <v>31490</v>
      </c>
      <c r="W1855" t="s">
        <v>31491</v>
      </c>
      <c r="X1855" t="s">
        <v>31492</v>
      </c>
      <c r="Y1855" t="s">
        <v>31493</v>
      </c>
      <c r="Z1855" t="s">
        <v>31494</v>
      </c>
      <c r="AA1855" t="s">
        <v>74</v>
      </c>
      <c r="AB1855" t="s">
        <v>74</v>
      </c>
      <c r="AC1855" t="s">
        <v>31495</v>
      </c>
      <c r="AD1855" t="s">
        <v>31496</v>
      </c>
      <c r="AE1855" t="s">
        <v>31497</v>
      </c>
      <c r="AF1855" t="s">
        <v>74</v>
      </c>
      <c r="AG1855">
        <v>32</v>
      </c>
      <c r="AH1855">
        <v>0</v>
      </c>
      <c r="AI1855">
        <v>0</v>
      </c>
      <c r="AJ1855">
        <v>16</v>
      </c>
      <c r="AK1855">
        <v>16</v>
      </c>
      <c r="AL1855" t="s">
        <v>3216</v>
      </c>
      <c r="AM1855" t="s">
        <v>3217</v>
      </c>
      <c r="AN1855" t="s">
        <v>3218</v>
      </c>
      <c r="AO1855" t="s">
        <v>3219</v>
      </c>
      <c r="AP1855" t="s">
        <v>74</v>
      </c>
      <c r="AQ1855" t="s">
        <v>74</v>
      </c>
      <c r="AR1855" t="s">
        <v>3220</v>
      </c>
      <c r="AS1855" t="s">
        <v>3221</v>
      </c>
      <c r="AT1855" t="s">
        <v>74</v>
      </c>
      <c r="AU1855">
        <v>2024</v>
      </c>
      <c r="AV1855">
        <v>25</v>
      </c>
      <c r="AW1855">
        <v>1</v>
      </c>
      <c r="AX1855" t="s">
        <v>74</v>
      </c>
      <c r="AY1855" t="s">
        <v>74</v>
      </c>
      <c r="AZ1855" t="s">
        <v>74</v>
      </c>
      <c r="BA1855" t="s">
        <v>74</v>
      </c>
      <c r="BB1855">
        <v>354</v>
      </c>
      <c r="BC1855">
        <v>367</v>
      </c>
      <c r="BD1855" t="s">
        <v>74</v>
      </c>
      <c r="BE1855" t="s">
        <v>31498</v>
      </c>
      <c r="BF1855" t="str">
        <f>HYPERLINK("http://dx.doi.org/10.33736/ijbs.6919.2024","http://dx.doi.org/10.33736/ijbs.6919.2024")</f>
        <v>http://dx.doi.org/10.33736/ijbs.6919.2024</v>
      </c>
      <c r="BG1855" t="s">
        <v>74</v>
      </c>
      <c r="BH1855" t="s">
        <v>74</v>
      </c>
      <c r="BI1855">
        <v>14</v>
      </c>
      <c r="BJ1855" t="s">
        <v>1597</v>
      </c>
      <c r="BK1855" t="s">
        <v>125</v>
      </c>
      <c r="BL1855" t="s">
        <v>480</v>
      </c>
      <c r="BM1855" t="s">
        <v>31499</v>
      </c>
      <c r="BN1855" t="s">
        <v>74</v>
      </c>
      <c r="BO1855" t="s">
        <v>235</v>
      </c>
      <c r="BP1855" t="s">
        <v>74</v>
      </c>
      <c r="BQ1855" t="s">
        <v>74</v>
      </c>
      <c r="BR1855" t="s">
        <v>102</v>
      </c>
      <c r="BS1855" t="s">
        <v>31500</v>
      </c>
      <c r="BT1855" t="str">
        <f>HYPERLINK("https%3A%2F%2Fwww.webofscience.com%2Fwos%2Fwoscc%2Ffull-record%2FWOS:001252323500018","View Full Record in Web of Science")</f>
        <v>View Full Record in Web of Science</v>
      </c>
    </row>
    <row r="1856" spans="1:72" x14ac:dyDescent="0.35">
      <c r="A1856" t="s">
        <v>128</v>
      </c>
      <c r="B1856" t="s">
        <v>31501</v>
      </c>
      <c r="C1856" t="s">
        <v>74</v>
      </c>
      <c r="D1856" t="s">
        <v>74</v>
      </c>
      <c r="E1856" t="s">
        <v>702</v>
      </c>
      <c r="F1856" t="s">
        <v>31502</v>
      </c>
      <c r="G1856" t="s">
        <v>74</v>
      </c>
      <c r="H1856" t="s">
        <v>74</v>
      </c>
      <c r="I1856" t="s">
        <v>31503</v>
      </c>
      <c r="J1856" t="s">
        <v>31504</v>
      </c>
      <c r="K1856" t="s">
        <v>74</v>
      </c>
      <c r="L1856" t="s">
        <v>74</v>
      </c>
      <c r="M1856" t="s">
        <v>78</v>
      </c>
      <c r="N1856" t="s">
        <v>135</v>
      </c>
      <c r="O1856" t="s">
        <v>31505</v>
      </c>
      <c r="P1856" t="s">
        <v>31506</v>
      </c>
      <c r="Q1856" t="s">
        <v>31507</v>
      </c>
      <c r="R1856" t="s">
        <v>30952</v>
      </c>
      <c r="S1856" t="s">
        <v>74</v>
      </c>
      <c r="T1856" t="s">
        <v>31508</v>
      </c>
      <c r="U1856" t="s">
        <v>74</v>
      </c>
      <c r="V1856" t="s">
        <v>31509</v>
      </c>
      <c r="W1856" t="s">
        <v>31510</v>
      </c>
      <c r="X1856" t="s">
        <v>31511</v>
      </c>
      <c r="Y1856" t="s">
        <v>31512</v>
      </c>
      <c r="Z1856" t="s">
        <v>31513</v>
      </c>
      <c r="AA1856" t="s">
        <v>31514</v>
      </c>
      <c r="AB1856" t="s">
        <v>31515</v>
      </c>
      <c r="AC1856" t="s">
        <v>74</v>
      </c>
      <c r="AD1856" t="s">
        <v>74</v>
      </c>
      <c r="AE1856" t="s">
        <v>74</v>
      </c>
      <c r="AF1856" t="s">
        <v>74</v>
      </c>
      <c r="AG1856">
        <v>26</v>
      </c>
      <c r="AH1856">
        <v>36</v>
      </c>
      <c r="AI1856">
        <v>39</v>
      </c>
      <c r="AJ1856">
        <v>1</v>
      </c>
      <c r="AK1856">
        <v>23</v>
      </c>
      <c r="AL1856" t="s">
        <v>718</v>
      </c>
      <c r="AM1856" t="s">
        <v>666</v>
      </c>
      <c r="AN1856" t="s">
        <v>719</v>
      </c>
      <c r="AO1856" t="s">
        <v>74</v>
      </c>
      <c r="AP1856" t="s">
        <v>74</v>
      </c>
      <c r="AQ1856" t="s">
        <v>31516</v>
      </c>
      <c r="AR1856" t="s">
        <v>74</v>
      </c>
      <c r="AS1856" t="s">
        <v>74</v>
      </c>
      <c r="AT1856" t="s">
        <v>74</v>
      </c>
      <c r="AU1856">
        <v>2022</v>
      </c>
      <c r="AV1856" t="s">
        <v>74</v>
      </c>
      <c r="AW1856" t="s">
        <v>74</v>
      </c>
      <c r="AX1856" t="s">
        <v>74</v>
      </c>
      <c r="AY1856" t="s">
        <v>74</v>
      </c>
      <c r="AZ1856" t="s">
        <v>74</v>
      </c>
      <c r="BA1856" t="s">
        <v>74</v>
      </c>
      <c r="BB1856">
        <v>1807</v>
      </c>
      <c r="BC1856">
        <v>1811</v>
      </c>
      <c r="BD1856" t="s">
        <v>74</v>
      </c>
      <c r="BE1856" t="s">
        <v>31517</v>
      </c>
      <c r="BF1856" t="str">
        <f>HYPERLINK("http://dx.doi.org/10.1145/3477495.3532027","http://dx.doi.org/10.1145/3477495.3532027")</f>
        <v>http://dx.doi.org/10.1145/3477495.3532027</v>
      </c>
      <c r="BG1856" t="s">
        <v>74</v>
      </c>
      <c r="BH1856" t="s">
        <v>74</v>
      </c>
      <c r="BI1856">
        <v>5</v>
      </c>
      <c r="BJ1856" t="s">
        <v>5789</v>
      </c>
      <c r="BK1856" t="s">
        <v>723</v>
      </c>
      <c r="BL1856" t="s">
        <v>210</v>
      </c>
      <c r="BM1856" t="s">
        <v>31518</v>
      </c>
      <c r="BN1856" t="s">
        <v>74</v>
      </c>
      <c r="BO1856" t="s">
        <v>6798</v>
      </c>
      <c r="BP1856" t="s">
        <v>74</v>
      </c>
      <c r="BQ1856" t="s">
        <v>74</v>
      </c>
      <c r="BR1856" t="s">
        <v>102</v>
      </c>
      <c r="BS1856" t="s">
        <v>31519</v>
      </c>
      <c r="BT1856" t="str">
        <f>HYPERLINK("https%3A%2F%2Fwww.webofscience.com%2Fwos%2Fwoscc%2Ffull-record%2FWOS:000852715901083","View Full Record in Web of Science")</f>
        <v>View Full Record in Web of Science</v>
      </c>
    </row>
    <row r="1857" spans="1:72" x14ac:dyDescent="0.35">
      <c r="A1857" t="s">
        <v>128</v>
      </c>
      <c r="B1857" t="s">
        <v>31520</v>
      </c>
      <c r="C1857" t="s">
        <v>74</v>
      </c>
      <c r="D1857" t="s">
        <v>31521</v>
      </c>
      <c r="E1857" t="s">
        <v>74</v>
      </c>
      <c r="F1857" t="s">
        <v>31522</v>
      </c>
      <c r="G1857" t="s">
        <v>74</v>
      </c>
      <c r="H1857" t="s">
        <v>74</v>
      </c>
      <c r="I1857" t="s">
        <v>31523</v>
      </c>
      <c r="J1857" t="s">
        <v>31524</v>
      </c>
      <c r="K1857" t="s">
        <v>26380</v>
      </c>
      <c r="L1857" t="s">
        <v>74</v>
      </c>
      <c r="M1857" t="s">
        <v>78</v>
      </c>
      <c r="N1857" t="s">
        <v>135</v>
      </c>
      <c r="O1857" t="s">
        <v>31525</v>
      </c>
      <c r="P1857" t="s">
        <v>31526</v>
      </c>
      <c r="Q1857" t="s">
        <v>31527</v>
      </c>
      <c r="R1857" t="s">
        <v>31528</v>
      </c>
      <c r="S1857" t="s">
        <v>74</v>
      </c>
      <c r="T1857" t="s">
        <v>31529</v>
      </c>
      <c r="U1857" t="s">
        <v>31530</v>
      </c>
      <c r="V1857" t="s">
        <v>31531</v>
      </c>
      <c r="W1857" t="s">
        <v>31532</v>
      </c>
      <c r="X1857" t="s">
        <v>31533</v>
      </c>
      <c r="Y1857" t="s">
        <v>31534</v>
      </c>
      <c r="Z1857" t="s">
        <v>31535</v>
      </c>
      <c r="AA1857" t="s">
        <v>31536</v>
      </c>
      <c r="AB1857" t="s">
        <v>74</v>
      </c>
      <c r="AC1857" t="s">
        <v>31537</v>
      </c>
      <c r="AD1857" t="s">
        <v>31538</v>
      </c>
      <c r="AE1857" t="s">
        <v>31539</v>
      </c>
      <c r="AF1857" t="s">
        <v>74</v>
      </c>
      <c r="AG1857">
        <v>14</v>
      </c>
      <c r="AH1857">
        <v>2</v>
      </c>
      <c r="AI1857">
        <v>2</v>
      </c>
      <c r="AJ1857">
        <v>0</v>
      </c>
      <c r="AK1857">
        <v>4</v>
      </c>
      <c r="AL1857" t="s">
        <v>639</v>
      </c>
      <c r="AM1857" t="s">
        <v>640</v>
      </c>
      <c r="AN1857" t="s">
        <v>641</v>
      </c>
      <c r="AO1857" t="s">
        <v>8380</v>
      </c>
      <c r="AP1857" t="s">
        <v>8381</v>
      </c>
      <c r="AQ1857" t="s">
        <v>31540</v>
      </c>
      <c r="AR1857" t="s">
        <v>26393</v>
      </c>
      <c r="AS1857" t="s">
        <v>74</v>
      </c>
      <c r="AT1857" t="s">
        <v>74</v>
      </c>
      <c r="AU1857">
        <v>2022</v>
      </c>
      <c r="AV1857">
        <v>13395</v>
      </c>
      <c r="AW1857" t="s">
        <v>74</v>
      </c>
      <c r="AX1857" t="s">
        <v>74</v>
      </c>
      <c r="AY1857" t="s">
        <v>74</v>
      </c>
      <c r="AZ1857" t="s">
        <v>74</v>
      </c>
      <c r="BA1857" t="s">
        <v>74</v>
      </c>
      <c r="BB1857">
        <v>672</v>
      </c>
      <c r="BC1857">
        <v>683</v>
      </c>
      <c r="BD1857" t="s">
        <v>74</v>
      </c>
      <c r="BE1857" t="s">
        <v>31541</v>
      </c>
      <c r="BF1857" t="str">
        <f>HYPERLINK("http://dx.doi.org/10.1007/978-3-031-13832-4_55","http://dx.doi.org/10.1007/978-3-031-13832-4_55")</f>
        <v>http://dx.doi.org/10.1007/978-3-031-13832-4_55</v>
      </c>
      <c r="BG1857" t="s">
        <v>74</v>
      </c>
      <c r="BH1857" t="s">
        <v>74</v>
      </c>
      <c r="BI1857">
        <v>12</v>
      </c>
      <c r="BJ1857" t="s">
        <v>2794</v>
      </c>
      <c r="BK1857" t="s">
        <v>723</v>
      </c>
      <c r="BL1857" t="s">
        <v>210</v>
      </c>
      <c r="BM1857" t="s">
        <v>31542</v>
      </c>
      <c r="BN1857" t="s">
        <v>74</v>
      </c>
      <c r="BO1857" t="s">
        <v>74</v>
      </c>
      <c r="BP1857" t="s">
        <v>74</v>
      </c>
      <c r="BQ1857" t="s">
        <v>74</v>
      </c>
      <c r="BR1857" t="s">
        <v>102</v>
      </c>
      <c r="BS1857" t="s">
        <v>31543</v>
      </c>
      <c r="BT1857" t="str">
        <f>HYPERLINK("https%3A%2F%2Fwww.webofscience.com%2Fwos%2Fwoscc%2Ffull-record%2FWOS:000870337200055","View Full Record in Web of Science")</f>
        <v>View Full Record in Web of Science</v>
      </c>
    </row>
    <row r="1858" spans="1:72" x14ac:dyDescent="0.35">
      <c r="A1858" t="s">
        <v>72</v>
      </c>
      <c r="B1858" t="s">
        <v>31544</v>
      </c>
      <c r="C1858" t="s">
        <v>74</v>
      </c>
      <c r="D1858" t="s">
        <v>74</v>
      </c>
      <c r="E1858" t="s">
        <v>74</v>
      </c>
      <c r="F1858" t="s">
        <v>31545</v>
      </c>
      <c r="G1858" t="s">
        <v>74</v>
      </c>
      <c r="H1858" t="s">
        <v>74</v>
      </c>
      <c r="I1858" t="s">
        <v>31546</v>
      </c>
      <c r="J1858" t="s">
        <v>31547</v>
      </c>
      <c r="K1858" t="s">
        <v>74</v>
      </c>
      <c r="L1858" t="s">
        <v>74</v>
      </c>
      <c r="M1858" t="s">
        <v>78</v>
      </c>
      <c r="N1858" t="s">
        <v>79</v>
      </c>
      <c r="O1858" t="s">
        <v>74</v>
      </c>
      <c r="P1858" t="s">
        <v>74</v>
      </c>
      <c r="Q1858" t="s">
        <v>74</v>
      </c>
      <c r="R1858" t="s">
        <v>74</v>
      </c>
      <c r="S1858" t="s">
        <v>74</v>
      </c>
      <c r="T1858" t="s">
        <v>31548</v>
      </c>
      <c r="U1858" t="s">
        <v>74</v>
      </c>
      <c r="V1858" t="s">
        <v>31549</v>
      </c>
      <c r="W1858" t="s">
        <v>31550</v>
      </c>
      <c r="X1858" t="s">
        <v>5410</v>
      </c>
      <c r="Y1858" t="s">
        <v>31551</v>
      </c>
      <c r="Z1858" t="s">
        <v>31552</v>
      </c>
      <c r="AA1858" t="s">
        <v>74</v>
      </c>
      <c r="AB1858" t="s">
        <v>74</v>
      </c>
      <c r="AC1858" t="s">
        <v>74</v>
      </c>
      <c r="AD1858" t="s">
        <v>74</v>
      </c>
      <c r="AE1858" t="s">
        <v>31553</v>
      </c>
      <c r="AF1858" t="s">
        <v>74</v>
      </c>
      <c r="AG1858">
        <v>72</v>
      </c>
      <c r="AH1858">
        <v>0</v>
      </c>
      <c r="AI1858">
        <v>0</v>
      </c>
      <c r="AJ1858">
        <v>2</v>
      </c>
      <c r="AK1858">
        <v>2</v>
      </c>
      <c r="AL1858" t="s">
        <v>665</v>
      </c>
      <c r="AM1858" t="s">
        <v>2922</v>
      </c>
      <c r="AN1858" t="s">
        <v>2923</v>
      </c>
      <c r="AO1858" t="s">
        <v>31554</v>
      </c>
      <c r="AP1858" t="s">
        <v>31555</v>
      </c>
      <c r="AQ1858" t="s">
        <v>74</v>
      </c>
      <c r="AR1858" t="s">
        <v>31556</v>
      </c>
      <c r="AS1858" t="s">
        <v>31557</v>
      </c>
      <c r="AT1858" t="s">
        <v>7183</v>
      </c>
      <c r="AU1858">
        <v>2024</v>
      </c>
      <c r="AV1858" t="s">
        <v>74</v>
      </c>
      <c r="AW1858" t="s">
        <v>74</v>
      </c>
      <c r="AX1858" t="s">
        <v>74</v>
      </c>
      <c r="AY1858" t="s">
        <v>74</v>
      </c>
      <c r="AZ1858" t="s">
        <v>74</v>
      </c>
      <c r="BA1858" t="s">
        <v>74</v>
      </c>
      <c r="BB1858" t="s">
        <v>74</v>
      </c>
      <c r="BC1858" t="s">
        <v>74</v>
      </c>
      <c r="BD1858" t="s">
        <v>74</v>
      </c>
      <c r="BE1858" t="s">
        <v>31558</v>
      </c>
      <c r="BF1858" t="str">
        <f>HYPERLINK("http://dx.doi.org/10.1007/s11245-024-10102-2","http://dx.doi.org/10.1007/s11245-024-10102-2")</f>
        <v>http://dx.doi.org/10.1007/s11245-024-10102-2</v>
      </c>
      <c r="BG1858" t="s">
        <v>74</v>
      </c>
      <c r="BH1858" t="s">
        <v>1721</v>
      </c>
      <c r="BI1858">
        <v>12</v>
      </c>
      <c r="BJ1858" t="s">
        <v>2686</v>
      </c>
      <c r="BK1858" t="s">
        <v>316</v>
      </c>
      <c r="BL1858" t="s">
        <v>2686</v>
      </c>
      <c r="BM1858" t="s">
        <v>31559</v>
      </c>
      <c r="BN1858" t="s">
        <v>74</v>
      </c>
      <c r="BO1858" t="s">
        <v>74</v>
      </c>
      <c r="BP1858" t="s">
        <v>74</v>
      </c>
      <c r="BQ1858" t="s">
        <v>74</v>
      </c>
      <c r="BR1858" t="s">
        <v>102</v>
      </c>
      <c r="BS1858" t="s">
        <v>31560</v>
      </c>
      <c r="BT1858" t="str">
        <f>HYPERLINK("https%3A%2F%2Fwww.webofscience.com%2Fwos%2Fwoscc%2Ffull-record%2FWOS:001329813600002","View Full Record in Web of Science")</f>
        <v>View Full Record in Web of Science</v>
      </c>
    </row>
    <row r="1859" spans="1:72" x14ac:dyDescent="0.35">
      <c r="A1859" t="s">
        <v>72</v>
      </c>
      <c r="B1859" t="s">
        <v>31561</v>
      </c>
      <c r="C1859" t="s">
        <v>74</v>
      </c>
      <c r="D1859" t="s">
        <v>74</v>
      </c>
      <c r="E1859" t="s">
        <v>74</v>
      </c>
      <c r="F1859" t="s">
        <v>31562</v>
      </c>
      <c r="G1859" t="s">
        <v>74</v>
      </c>
      <c r="H1859" t="s">
        <v>74</v>
      </c>
      <c r="I1859" t="s">
        <v>31563</v>
      </c>
      <c r="J1859" t="s">
        <v>2814</v>
      </c>
      <c r="K1859" t="s">
        <v>74</v>
      </c>
      <c r="L1859" t="s">
        <v>74</v>
      </c>
      <c r="M1859" t="s">
        <v>78</v>
      </c>
      <c r="N1859" t="s">
        <v>108</v>
      </c>
      <c r="O1859" t="s">
        <v>74</v>
      </c>
      <c r="P1859" t="s">
        <v>74</v>
      </c>
      <c r="Q1859" t="s">
        <v>74</v>
      </c>
      <c r="R1859" t="s">
        <v>74</v>
      </c>
      <c r="S1859" t="s">
        <v>74</v>
      </c>
      <c r="T1859" t="s">
        <v>31564</v>
      </c>
      <c r="U1859" t="s">
        <v>31565</v>
      </c>
      <c r="V1859" t="s">
        <v>31566</v>
      </c>
      <c r="W1859" t="s">
        <v>31567</v>
      </c>
      <c r="X1859" t="s">
        <v>31568</v>
      </c>
      <c r="Y1859" t="s">
        <v>31569</v>
      </c>
      <c r="Z1859" t="s">
        <v>31570</v>
      </c>
      <c r="AA1859" t="s">
        <v>31571</v>
      </c>
      <c r="AB1859" t="s">
        <v>31572</v>
      </c>
      <c r="AC1859" t="s">
        <v>74</v>
      </c>
      <c r="AD1859" t="s">
        <v>74</v>
      </c>
      <c r="AE1859" t="s">
        <v>74</v>
      </c>
      <c r="AF1859" t="s">
        <v>74</v>
      </c>
      <c r="AG1859">
        <v>60</v>
      </c>
      <c r="AH1859">
        <v>64</v>
      </c>
      <c r="AI1859">
        <v>64</v>
      </c>
      <c r="AJ1859">
        <v>19</v>
      </c>
      <c r="AK1859">
        <v>187</v>
      </c>
      <c r="AL1859" t="s">
        <v>543</v>
      </c>
      <c r="AM1859" t="s">
        <v>544</v>
      </c>
      <c r="AN1859" t="s">
        <v>545</v>
      </c>
      <c r="AO1859" t="s">
        <v>2821</v>
      </c>
      <c r="AP1859" t="s">
        <v>74</v>
      </c>
      <c r="AQ1859" t="s">
        <v>74</v>
      </c>
      <c r="AR1859" t="s">
        <v>2822</v>
      </c>
      <c r="AS1859" t="s">
        <v>2823</v>
      </c>
      <c r="AT1859" t="s">
        <v>22224</v>
      </c>
      <c r="AU1859">
        <v>2022</v>
      </c>
      <c r="AV1859">
        <v>24</v>
      </c>
      <c r="AW1859">
        <v>1</v>
      </c>
      <c r="AX1859" t="s">
        <v>74</v>
      </c>
      <c r="AY1859" t="s">
        <v>74</v>
      </c>
      <c r="AZ1859" t="s">
        <v>74</v>
      </c>
      <c r="BA1859" t="s">
        <v>74</v>
      </c>
      <c r="BB1859" t="s">
        <v>74</v>
      </c>
      <c r="BC1859" t="s">
        <v>74</v>
      </c>
      <c r="BD1859" t="s">
        <v>31573</v>
      </c>
      <c r="BE1859" t="s">
        <v>31574</v>
      </c>
      <c r="BF1859" t="str">
        <f>HYPERLINK("http://dx.doi.org/10.2196/28152","http://dx.doi.org/10.2196/28152")</f>
        <v>http://dx.doi.org/10.2196/28152</v>
      </c>
      <c r="BG1859" t="s">
        <v>74</v>
      </c>
      <c r="BH1859" t="s">
        <v>74</v>
      </c>
      <c r="BI1859">
        <v>17</v>
      </c>
      <c r="BJ1859" t="s">
        <v>550</v>
      </c>
      <c r="BK1859" t="s">
        <v>182</v>
      </c>
      <c r="BL1859" t="s">
        <v>550</v>
      </c>
      <c r="BM1859" t="s">
        <v>31575</v>
      </c>
      <c r="BN1859">
        <v>34951864</v>
      </c>
      <c r="BO1859" t="s">
        <v>394</v>
      </c>
      <c r="BP1859" t="s">
        <v>74</v>
      </c>
      <c r="BQ1859" t="s">
        <v>74</v>
      </c>
      <c r="BR1859" t="s">
        <v>102</v>
      </c>
      <c r="BS1859" t="s">
        <v>31576</v>
      </c>
      <c r="BT1859" t="str">
        <f>HYPERLINK("https%3A%2F%2Fwww.webofscience.com%2Fwos%2Fwoscc%2Ffull-record%2FWOS:000766781300003","View Full Record in Web of Science")</f>
        <v>View Full Record in Web of Science</v>
      </c>
    </row>
    <row r="1860" spans="1:72" x14ac:dyDescent="0.35">
      <c r="A1860" t="s">
        <v>72</v>
      </c>
      <c r="B1860" t="s">
        <v>31577</v>
      </c>
      <c r="C1860" t="s">
        <v>74</v>
      </c>
      <c r="D1860" t="s">
        <v>74</v>
      </c>
      <c r="E1860" t="s">
        <v>74</v>
      </c>
      <c r="F1860" t="s">
        <v>31578</v>
      </c>
      <c r="G1860" t="s">
        <v>74</v>
      </c>
      <c r="H1860" t="s">
        <v>74</v>
      </c>
      <c r="I1860" t="s">
        <v>31579</v>
      </c>
      <c r="J1860" t="s">
        <v>25111</v>
      </c>
      <c r="K1860" t="s">
        <v>74</v>
      </c>
      <c r="L1860" t="s">
        <v>74</v>
      </c>
      <c r="M1860" t="s">
        <v>78</v>
      </c>
      <c r="N1860" t="s">
        <v>108</v>
      </c>
      <c r="O1860" t="s">
        <v>74</v>
      </c>
      <c r="P1860" t="s">
        <v>74</v>
      </c>
      <c r="Q1860" t="s">
        <v>74</v>
      </c>
      <c r="R1860" t="s">
        <v>74</v>
      </c>
      <c r="S1860" t="s">
        <v>74</v>
      </c>
      <c r="T1860" t="s">
        <v>31580</v>
      </c>
      <c r="U1860" t="s">
        <v>31581</v>
      </c>
      <c r="V1860" t="s">
        <v>31582</v>
      </c>
      <c r="W1860" t="s">
        <v>31583</v>
      </c>
      <c r="X1860" t="s">
        <v>74</v>
      </c>
      <c r="Y1860" t="s">
        <v>31584</v>
      </c>
      <c r="Z1860" t="s">
        <v>31585</v>
      </c>
      <c r="AA1860" t="s">
        <v>74</v>
      </c>
      <c r="AB1860" t="s">
        <v>74</v>
      </c>
      <c r="AC1860" t="s">
        <v>74</v>
      </c>
      <c r="AD1860" t="s">
        <v>74</v>
      </c>
      <c r="AE1860" t="s">
        <v>74</v>
      </c>
      <c r="AF1860" t="s">
        <v>74</v>
      </c>
      <c r="AG1860">
        <v>75</v>
      </c>
      <c r="AH1860">
        <v>0</v>
      </c>
      <c r="AI1860">
        <v>0</v>
      </c>
      <c r="AJ1860">
        <v>0</v>
      </c>
      <c r="AK1860">
        <v>0</v>
      </c>
      <c r="AL1860" t="s">
        <v>25124</v>
      </c>
      <c r="AM1860" t="s">
        <v>18022</v>
      </c>
      <c r="AN1860" t="s">
        <v>25125</v>
      </c>
      <c r="AO1860" t="s">
        <v>25126</v>
      </c>
      <c r="AP1860" t="s">
        <v>74</v>
      </c>
      <c r="AQ1860" t="s">
        <v>74</v>
      </c>
      <c r="AR1860" t="s">
        <v>25111</v>
      </c>
      <c r="AS1860" t="s">
        <v>25127</v>
      </c>
      <c r="AT1860" t="s">
        <v>74</v>
      </c>
      <c r="AU1860">
        <v>2024</v>
      </c>
      <c r="AV1860">
        <v>12</v>
      </c>
      <c r="AW1860" t="s">
        <v>74</v>
      </c>
      <c r="AX1860" t="s">
        <v>74</v>
      </c>
      <c r="AY1860" t="s">
        <v>74</v>
      </c>
      <c r="AZ1860" t="s">
        <v>74</v>
      </c>
      <c r="BA1860" t="s">
        <v>74</v>
      </c>
      <c r="BB1860">
        <v>159833</v>
      </c>
      <c r="BC1860">
        <v>159846</v>
      </c>
      <c r="BD1860" t="s">
        <v>74</v>
      </c>
      <c r="BE1860" t="s">
        <v>31586</v>
      </c>
      <c r="BF1860" t="str">
        <f>HYPERLINK("http://dx.doi.org/10.1109/ACCESS.2024.3488072","http://dx.doi.org/10.1109/ACCESS.2024.3488072")</f>
        <v>http://dx.doi.org/10.1109/ACCESS.2024.3488072</v>
      </c>
      <c r="BG1860" t="s">
        <v>74</v>
      </c>
      <c r="BH1860" t="s">
        <v>74</v>
      </c>
      <c r="BI1860">
        <v>14</v>
      </c>
      <c r="BJ1860" t="s">
        <v>25129</v>
      </c>
      <c r="BK1860" t="s">
        <v>209</v>
      </c>
      <c r="BL1860" t="s">
        <v>25130</v>
      </c>
      <c r="BM1860" t="s">
        <v>31587</v>
      </c>
      <c r="BN1860" t="s">
        <v>74</v>
      </c>
      <c r="BO1860" t="s">
        <v>235</v>
      </c>
      <c r="BP1860" t="s">
        <v>74</v>
      </c>
      <c r="BQ1860" t="s">
        <v>74</v>
      </c>
      <c r="BR1860" t="s">
        <v>102</v>
      </c>
      <c r="BS1860" t="s">
        <v>31588</v>
      </c>
      <c r="BT1860" t="str">
        <f>HYPERLINK("https%3A%2F%2Fwww.webofscience.com%2Fwos%2Fwoscc%2Ffull-record%2FWOS:001349762500001","View Full Record in Web of Science")</f>
        <v>View Full Record in Web of Science</v>
      </c>
    </row>
    <row r="1861" spans="1:72" x14ac:dyDescent="0.35">
      <c r="A1861" t="s">
        <v>72</v>
      </c>
      <c r="B1861" t="s">
        <v>31589</v>
      </c>
      <c r="C1861" t="s">
        <v>74</v>
      </c>
      <c r="D1861" t="s">
        <v>74</v>
      </c>
      <c r="E1861" t="s">
        <v>74</v>
      </c>
      <c r="F1861" t="s">
        <v>31590</v>
      </c>
      <c r="G1861" t="s">
        <v>74</v>
      </c>
      <c r="H1861" t="s">
        <v>74</v>
      </c>
      <c r="I1861" t="s">
        <v>31591</v>
      </c>
      <c r="J1861" t="s">
        <v>31592</v>
      </c>
      <c r="K1861" t="s">
        <v>74</v>
      </c>
      <c r="L1861" t="s">
        <v>74</v>
      </c>
      <c r="M1861" t="s">
        <v>78</v>
      </c>
      <c r="N1861" t="s">
        <v>108</v>
      </c>
      <c r="O1861" t="s">
        <v>74</v>
      </c>
      <c r="P1861" t="s">
        <v>74</v>
      </c>
      <c r="Q1861" t="s">
        <v>74</v>
      </c>
      <c r="R1861" t="s">
        <v>74</v>
      </c>
      <c r="S1861" t="s">
        <v>74</v>
      </c>
      <c r="T1861" t="s">
        <v>31593</v>
      </c>
      <c r="U1861" t="s">
        <v>74</v>
      </c>
      <c r="V1861" t="s">
        <v>31594</v>
      </c>
      <c r="W1861" t="s">
        <v>31595</v>
      </c>
      <c r="X1861" t="s">
        <v>31596</v>
      </c>
      <c r="Y1861" t="s">
        <v>31597</v>
      </c>
      <c r="Z1861" t="s">
        <v>31598</v>
      </c>
      <c r="AA1861" t="s">
        <v>31599</v>
      </c>
      <c r="AB1861" t="s">
        <v>74</v>
      </c>
      <c r="AC1861" t="s">
        <v>31600</v>
      </c>
      <c r="AD1861" t="s">
        <v>21588</v>
      </c>
      <c r="AE1861" t="s">
        <v>31601</v>
      </c>
      <c r="AF1861" t="s">
        <v>74</v>
      </c>
      <c r="AG1861">
        <v>22</v>
      </c>
      <c r="AH1861">
        <v>0</v>
      </c>
      <c r="AI1861">
        <v>0</v>
      </c>
      <c r="AJ1861">
        <v>2</v>
      </c>
      <c r="AK1861">
        <v>3</v>
      </c>
      <c r="AL1861" t="s">
        <v>31602</v>
      </c>
      <c r="AM1861" t="s">
        <v>31603</v>
      </c>
      <c r="AN1861" t="s">
        <v>31604</v>
      </c>
      <c r="AO1861" t="s">
        <v>31605</v>
      </c>
      <c r="AP1861" t="s">
        <v>74</v>
      </c>
      <c r="AQ1861" t="s">
        <v>74</v>
      </c>
      <c r="AR1861" t="s">
        <v>31606</v>
      </c>
      <c r="AS1861" t="s">
        <v>31607</v>
      </c>
      <c r="AT1861" t="s">
        <v>74</v>
      </c>
      <c r="AU1861">
        <v>2024</v>
      </c>
      <c r="AV1861">
        <v>25</v>
      </c>
      <c r="AW1861" t="s">
        <v>74</v>
      </c>
      <c r="AX1861" t="s">
        <v>74</v>
      </c>
      <c r="AY1861" t="s">
        <v>74</v>
      </c>
      <c r="AZ1861" t="s">
        <v>74</v>
      </c>
      <c r="BA1861" t="s">
        <v>74</v>
      </c>
      <c r="BB1861">
        <v>1</v>
      </c>
      <c r="BC1861">
        <v>55</v>
      </c>
      <c r="BD1861" t="s">
        <v>74</v>
      </c>
      <c r="BE1861" t="s">
        <v>74</v>
      </c>
      <c r="BF1861" t="s">
        <v>74</v>
      </c>
      <c r="BG1861" t="s">
        <v>74</v>
      </c>
      <c r="BH1861" t="s">
        <v>74</v>
      </c>
      <c r="BI1861">
        <v>55</v>
      </c>
      <c r="BJ1861" t="s">
        <v>29799</v>
      </c>
      <c r="BK1861" t="s">
        <v>209</v>
      </c>
      <c r="BL1861" t="s">
        <v>29800</v>
      </c>
      <c r="BM1861" t="s">
        <v>31608</v>
      </c>
      <c r="BN1861" t="s">
        <v>74</v>
      </c>
      <c r="BO1861" t="s">
        <v>74</v>
      </c>
      <c r="BP1861" t="s">
        <v>74</v>
      </c>
      <c r="BQ1861" t="s">
        <v>74</v>
      </c>
      <c r="BR1861" t="s">
        <v>102</v>
      </c>
      <c r="BS1861" t="s">
        <v>31609</v>
      </c>
      <c r="BT1861" t="str">
        <f>HYPERLINK("https%3A%2F%2Fwww.webofscience.com%2Fwos%2Fwoscc%2Ffull-record%2FWOS:001168526500001","View Full Record in Web of Science")</f>
        <v>View Full Record in Web of Science</v>
      </c>
    </row>
    <row r="1862" spans="1:72" x14ac:dyDescent="0.35">
      <c r="A1862" t="s">
        <v>72</v>
      </c>
      <c r="B1862" t="s">
        <v>31610</v>
      </c>
      <c r="C1862" t="s">
        <v>74</v>
      </c>
      <c r="D1862" t="s">
        <v>74</v>
      </c>
      <c r="E1862" t="s">
        <v>74</v>
      </c>
      <c r="F1862" t="s">
        <v>31611</v>
      </c>
      <c r="G1862" t="s">
        <v>74</v>
      </c>
      <c r="H1862" t="s">
        <v>74</v>
      </c>
      <c r="I1862" t="s">
        <v>31612</v>
      </c>
      <c r="J1862" t="s">
        <v>31613</v>
      </c>
      <c r="K1862" t="s">
        <v>74</v>
      </c>
      <c r="L1862" t="s">
        <v>74</v>
      </c>
      <c r="M1862" t="s">
        <v>78</v>
      </c>
      <c r="N1862" t="s">
        <v>108</v>
      </c>
      <c r="O1862" t="s">
        <v>74</v>
      </c>
      <c r="P1862" t="s">
        <v>74</v>
      </c>
      <c r="Q1862" t="s">
        <v>74</v>
      </c>
      <c r="R1862" t="s">
        <v>74</v>
      </c>
      <c r="S1862" t="s">
        <v>74</v>
      </c>
      <c r="T1862" t="s">
        <v>31614</v>
      </c>
      <c r="U1862" t="s">
        <v>31615</v>
      </c>
      <c r="V1862" t="s">
        <v>31616</v>
      </c>
      <c r="W1862" t="s">
        <v>31617</v>
      </c>
      <c r="X1862" t="s">
        <v>31618</v>
      </c>
      <c r="Y1862" t="s">
        <v>31619</v>
      </c>
      <c r="Z1862" t="s">
        <v>31620</v>
      </c>
      <c r="AA1862" t="s">
        <v>31621</v>
      </c>
      <c r="AB1862" t="s">
        <v>31622</v>
      </c>
      <c r="AC1862" t="s">
        <v>74</v>
      </c>
      <c r="AD1862" t="s">
        <v>74</v>
      </c>
      <c r="AE1862" t="s">
        <v>74</v>
      </c>
      <c r="AF1862" t="s">
        <v>74</v>
      </c>
      <c r="AG1862">
        <v>90</v>
      </c>
      <c r="AH1862">
        <v>0</v>
      </c>
      <c r="AI1862">
        <v>0</v>
      </c>
      <c r="AJ1862">
        <v>19</v>
      </c>
      <c r="AK1862">
        <v>25</v>
      </c>
      <c r="AL1862" t="s">
        <v>199</v>
      </c>
      <c r="AM1862" t="s">
        <v>200</v>
      </c>
      <c r="AN1862" t="s">
        <v>471</v>
      </c>
      <c r="AO1862" t="s">
        <v>31623</v>
      </c>
      <c r="AP1862" t="s">
        <v>31624</v>
      </c>
      <c r="AQ1862" t="s">
        <v>74</v>
      </c>
      <c r="AR1862" t="s">
        <v>31625</v>
      </c>
      <c r="AS1862" t="s">
        <v>31626</v>
      </c>
      <c r="AT1862" t="s">
        <v>31627</v>
      </c>
      <c r="AU1862">
        <v>2023</v>
      </c>
      <c r="AV1862">
        <v>40</v>
      </c>
      <c r="AW1862">
        <v>7</v>
      </c>
      <c r="AX1862" t="s">
        <v>74</v>
      </c>
      <c r="AY1862" t="s">
        <v>74</v>
      </c>
      <c r="AZ1862" t="s">
        <v>74</v>
      </c>
      <c r="BA1862" t="s">
        <v>74</v>
      </c>
      <c r="BB1862">
        <v>1002</v>
      </c>
      <c r="BC1862">
        <v>1016</v>
      </c>
      <c r="BD1862" t="s">
        <v>74</v>
      </c>
      <c r="BE1862" t="s">
        <v>31628</v>
      </c>
      <c r="BF1862" t="str">
        <f>HYPERLINK("http://dx.doi.org/10.1108/JCM-01-2023-5817","http://dx.doi.org/10.1108/JCM-01-2023-5817")</f>
        <v>http://dx.doi.org/10.1108/JCM-01-2023-5817</v>
      </c>
      <c r="BG1862" t="s">
        <v>74</v>
      </c>
      <c r="BH1862" t="s">
        <v>674</v>
      </c>
      <c r="BI1862">
        <v>15</v>
      </c>
      <c r="BJ1862" t="s">
        <v>1597</v>
      </c>
      <c r="BK1862" t="s">
        <v>125</v>
      </c>
      <c r="BL1862" t="s">
        <v>480</v>
      </c>
      <c r="BM1862" t="s">
        <v>31629</v>
      </c>
      <c r="BN1862" t="s">
        <v>74</v>
      </c>
      <c r="BO1862" t="s">
        <v>74</v>
      </c>
      <c r="BP1862" t="s">
        <v>74</v>
      </c>
      <c r="BQ1862" t="s">
        <v>74</v>
      </c>
      <c r="BR1862" t="s">
        <v>102</v>
      </c>
      <c r="BS1862" t="s">
        <v>31630</v>
      </c>
      <c r="BT1862" t="str">
        <f>HYPERLINK("https%3A%2F%2Fwww.webofscience.com%2Fwos%2Fwoscc%2Ffull-record%2FWOS:001103721900001","View Full Record in Web of Science")</f>
        <v>View Full Record in Web of Science</v>
      </c>
    </row>
    <row r="1863" spans="1:72" x14ac:dyDescent="0.35">
      <c r="A1863" t="s">
        <v>72</v>
      </c>
      <c r="B1863" t="s">
        <v>31631</v>
      </c>
      <c r="C1863" t="s">
        <v>74</v>
      </c>
      <c r="D1863" t="s">
        <v>74</v>
      </c>
      <c r="E1863" t="s">
        <v>74</v>
      </c>
      <c r="F1863" t="s">
        <v>31632</v>
      </c>
      <c r="G1863" t="s">
        <v>74</v>
      </c>
      <c r="H1863" t="s">
        <v>74</v>
      </c>
      <c r="I1863" t="s">
        <v>31633</v>
      </c>
      <c r="J1863" t="s">
        <v>12578</v>
      </c>
      <c r="K1863" t="s">
        <v>74</v>
      </c>
      <c r="L1863" t="s">
        <v>74</v>
      </c>
      <c r="M1863" t="s">
        <v>78</v>
      </c>
      <c r="N1863" t="s">
        <v>108</v>
      </c>
      <c r="O1863" t="s">
        <v>74</v>
      </c>
      <c r="P1863" t="s">
        <v>74</v>
      </c>
      <c r="Q1863" t="s">
        <v>74</v>
      </c>
      <c r="R1863" t="s">
        <v>74</v>
      </c>
      <c r="S1863" t="s">
        <v>74</v>
      </c>
      <c r="T1863" t="s">
        <v>74</v>
      </c>
      <c r="U1863" t="s">
        <v>31634</v>
      </c>
      <c r="V1863" t="s">
        <v>31635</v>
      </c>
      <c r="W1863" t="s">
        <v>31636</v>
      </c>
      <c r="X1863" t="s">
        <v>31637</v>
      </c>
      <c r="Y1863" t="s">
        <v>31638</v>
      </c>
      <c r="Z1863" t="s">
        <v>31639</v>
      </c>
      <c r="AA1863" t="s">
        <v>74</v>
      </c>
      <c r="AB1863" t="s">
        <v>31640</v>
      </c>
      <c r="AC1863" t="s">
        <v>74</v>
      </c>
      <c r="AD1863" t="s">
        <v>74</v>
      </c>
      <c r="AE1863" t="s">
        <v>74</v>
      </c>
      <c r="AF1863" t="s">
        <v>74</v>
      </c>
      <c r="AG1863">
        <v>68</v>
      </c>
      <c r="AH1863">
        <v>14</v>
      </c>
      <c r="AI1863">
        <v>14</v>
      </c>
      <c r="AJ1863">
        <v>39</v>
      </c>
      <c r="AK1863">
        <v>141</v>
      </c>
      <c r="AL1863" t="s">
        <v>12586</v>
      </c>
      <c r="AM1863" t="s">
        <v>4435</v>
      </c>
      <c r="AN1863" t="s">
        <v>12587</v>
      </c>
      <c r="AO1863" t="s">
        <v>12588</v>
      </c>
      <c r="AP1863" t="s">
        <v>74</v>
      </c>
      <c r="AQ1863" t="s">
        <v>74</v>
      </c>
      <c r="AR1863" t="s">
        <v>12589</v>
      </c>
      <c r="AS1863" t="s">
        <v>12590</v>
      </c>
      <c r="AT1863" t="s">
        <v>31641</v>
      </c>
      <c r="AU1863">
        <v>2023</v>
      </c>
      <c r="AV1863">
        <v>13</v>
      </c>
      <c r="AW1863">
        <v>1</v>
      </c>
      <c r="AX1863" t="s">
        <v>74</v>
      </c>
      <c r="AY1863" t="s">
        <v>74</v>
      </c>
      <c r="AZ1863" t="s">
        <v>74</v>
      </c>
      <c r="BA1863" t="s">
        <v>74</v>
      </c>
      <c r="BB1863" t="s">
        <v>74</v>
      </c>
      <c r="BC1863" t="s">
        <v>74</v>
      </c>
      <c r="BD1863">
        <v>6282</v>
      </c>
      <c r="BE1863" t="s">
        <v>31642</v>
      </c>
      <c r="BF1863" t="str">
        <f>HYPERLINK("http://dx.doi.org/10.1038/s41598-023-33370-1","http://dx.doi.org/10.1038/s41598-023-33370-1")</f>
        <v>http://dx.doi.org/10.1038/s41598-023-33370-1</v>
      </c>
      <c r="BG1863" t="s">
        <v>74</v>
      </c>
      <c r="BH1863" t="s">
        <v>74</v>
      </c>
      <c r="BI1863">
        <v>17</v>
      </c>
      <c r="BJ1863" t="s">
        <v>1301</v>
      </c>
      <c r="BK1863" t="s">
        <v>209</v>
      </c>
      <c r="BL1863" t="s">
        <v>1302</v>
      </c>
      <c r="BM1863" t="s">
        <v>31643</v>
      </c>
      <c r="BN1863">
        <v>37072484</v>
      </c>
      <c r="BO1863" t="s">
        <v>552</v>
      </c>
      <c r="BP1863" t="s">
        <v>74</v>
      </c>
      <c r="BQ1863" t="s">
        <v>74</v>
      </c>
      <c r="BR1863" t="s">
        <v>102</v>
      </c>
      <c r="BS1863" t="s">
        <v>31644</v>
      </c>
      <c r="BT1863" t="str">
        <f>HYPERLINK("https%3A%2F%2Fwww.webofscience.com%2Fwos%2Fwoscc%2Ffull-record%2FWOS:000985360700016","View Full Record in Web of Science")</f>
        <v>View Full Record in Web of Science</v>
      </c>
    </row>
    <row r="1864" spans="1:72" x14ac:dyDescent="0.35">
      <c r="A1864" t="s">
        <v>72</v>
      </c>
      <c r="B1864" t="s">
        <v>31645</v>
      </c>
      <c r="C1864" t="s">
        <v>74</v>
      </c>
      <c r="D1864" t="s">
        <v>74</v>
      </c>
      <c r="E1864" t="s">
        <v>74</v>
      </c>
      <c r="F1864" t="s">
        <v>31646</v>
      </c>
      <c r="G1864" t="s">
        <v>74</v>
      </c>
      <c r="H1864" t="s">
        <v>74</v>
      </c>
      <c r="I1864" t="s">
        <v>31647</v>
      </c>
      <c r="J1864" t="s">
        <v>31648</v>
      </c>
      <c r="K1864" t="s">
        <v>74</v>
      </c>
      <c r="L1864" t="s">
        <v>74</v>
      </c>
      <c r="M1864" t="s">
        <v>78</v>
      </c>
      <c r="N1864" t="s">
        <v>108</v>
      </c>
      <c r="O1864" t="s">
        <v>74</v>
      </c>
      <c r="P1864" t="s">
        <v>74</v>
      </c>
      <c r="Q1864" t="s">
        <v>74</v>
      </c>
      <c r="R1864" t="s">
        <v>74</v>
      </c>
      <c r="S1864" t="s">
        <v>74</v>
      </c>
      <c r="T1864" t="s">
        <v>31649</v>
      </c>
      <c r="U1864" t="s">
        <v>31650</v>
      </c>
      <c r="V1864" t="s">
        <v>31651</v>
      </c>
      <c r="W1864" t="s">
        <v>31652</v>
      </c>
      <c r="X1864" t="s">
        <v>31653</v>
      </c>
      <c r="Y1864" t="s">
        <v>31654</v>
      </c>
      <c r="Z1864" t="s">
        <v>31655</v>
      </c>
      <c r="AA1864" t="s">
        <v>31656</v>
      </c>
      <c r="AB1864" t="s">
        <v>31657</v>
      </c>
      <c r="AC1864" t="s">
        <v>74</v>
      </c>
      <c r="AD1864" t="s">
        <v>74</v>
      </c>
      <c r="AE1864" t="s">
        <v>74</v>
      </c>
      <c r="AF1864" t="s">
        <v>74</v>
      </c>
      <c r="AG1864">
        <v>67</v>
      </c>
      <c r="AH1864">
        <v>5</v>
      </c>
      <c r="AI1864">
        <v>5</v>
      </c>
      <c r="AJ1864">
        <v>9</v>
      </c>
      <c r="AK1864">
        <v>36</v>
      </c>
      <c r="AL1864" t="s">
        <v>11128</v>
      </c>
      <c r="AM1864" t="s">
        <v>666</v>
      </c>
      <c r="AN1864" t="s">
        <v>11129</v>
      </c>
      <c r="AO1864" t="s">
        <v>31658</v>
      </c>
      <c r="AP1864" t="s">
        <v>31659</v>
      </c>
      <c r="AQ1864" t="s">
        <v>74</v>
      </c>
      <c r="AR1864" t="s">
        <v>31660</v>
      </c>
      <c r="AS1864" t="s">
        <v>31661</v>
      </c>
      <c r="AT1864" t="s">
        <v>297</v>
      </c>
      <c r="AU1864">
        <v>2023</v>
      </c>
      <c r="AV1864">
        <v>52</v>
      </c>
      <c r="AW1864">
        <v>4</v>
      </c>
      <c r="AX1864" t="s">
        <v>74</v>
      </c>
      <c r="AY1864" t="s">
        <v>74</v>
      </c>
      <c r="AZ1864" t="s">
        <v>74</v>
      </c>
      <c r="BA1864" t="s">
        <v>74</v>
      </c>
      <c r="BB1864">
        <v>1263</v>
      </c>
      <c r="BC1864">
        <v>1288</v>
      </c>
      <c r="BD1864" t="s">
        <v>74</v>
      </c>
      <c r="BE1864" t="s">
        <v>31662</v>
      </c>
      <c r="BF1864" t="str">
        <f>HYPERLINK("http://dx.doi.org/10.1007/s10936-023-09942-7","http://dx.doi.org/10.1007/s10936-023-09942-7")</f>
        <v>http://dx.doi.org/10.1007/s10936-023-09942-7</v>
      </c>
      <c r="BG1864" t="s">
        <v>74</v>
      </c>
      <c r="BH1864" t="s">
        <v>6895</v>
      </c>
      <c r="BI1864">
        <v>26</v>
      </c>
      <c r="BJ1864" t="s">
        <v>31663</v>
      </c>
      <c r="BK1864" t="s">
        <v>99</v>
      </c>
      <c r="BL1864" t="s">
        <v>31664</v>
      </c>
      <c r="BM1864" t="s">
        <v>31665</v>
      </c>
      <c r="BN1864">
        <v>36853477</v>
      </c>
      <c r="BO1864" t="s">
        <v>3747</v>
      </c>
      <c r="BP1864" t="s">
        <v>74</v>
      </c>
      <c r="BQ1864" t="s">
        <v>74</v>
      </c>
      <c r="BR1864" t="s">
        <v>102</v>
      </c>
      <c r="BS1864" t="s">
        <v>31666</v>
      </c>
      <c r="BT1864" t="str">
        <f>HYPERLINK("https%3A%2F%2Fwww.webofscience.com%2Fwos%2Fwoscc%2Ffull-record%2FWOS:000940730800001","View Full Record in Web of Science")</f>
        <v>View Full Record in Web of Science</v>
      </c>
    </row>
    <row r="1865" spans="1:72" x14ac:dyDescent="0.35">
      <c r="A1865" t="s">
        <v>128</v>
      </c>
      <c r="B1865" t="s">
        <v>31667</v>
      </c>
      <c r="C1865" t="s">
        <v>74</v>
      </c>
      <c r="D1865" t="s">
        <v>10192</v>
      </c>
      <c r="E1865" t="s">
        <v>74</v>
      </c>
      <c r="F1865" t="s">
        <v>31668</v>
      </c>
      <c r="G1865" t="s">
        <v>74</v>
      </c>
      <c r="H1865" t="s">
        <v>74</v>
      </c>
      <c r="I1865" t="s">
        <v>31669</v>
      </c>
      <c r="J1865" t="s">
        <v>10195</v>
      </c>
      <c r="K1865" t="s">
        <v>10196</v>
      </c>
      <c r="L1865" t="s">
        <v>74</v>
      </c>
      <c r="M1865" t="s">
        <v>78</v>
      </c>
      <c r="N1865" t="s">
        <v>135</v>
      </c>
      <c r="O1865" t="s">
        <v>10197</v>
      </c>
      <c r="P1865" t="s">
        <v>10198</v>
      </c>
      <c r="Q1865" t="s">
        <v>10199</v>
      </c>
      <c r="R1865" t="s">
        <v>74</v>
      </c>
      <c r="S1865" t="s">
        <v>74</v>
      </c>
      <c r="T1865" t="s">
        <v>74</v>
      </c>
      <c r="U1865" t="s">
        <v>74</v>
      </c>
      <c r="V1865" t="s">
        <v>31670</v>
      </c>
      <c r="W1865" t="s">
        <v>31671</v>
      </c>
      <c r="X1865" t="s">
        <v>31672</v>
      </c>
      <c r="Y1865" t="s">
        <v>31673</v>
      </c>
      <c r="Z1865" t="s">
        <v>31674</v>
      </c>
      <c r="AA1865" t="s">
        <v>74</v>
      </c>
      <c r="AB1865" t="s">
        <v>31675</v>
      </c>
      <c r="AC1865" t="s">
        <v>31676</v>
      </c>
      <c r="AD1865" t="s">
        <v>31677</v>
      </c>
      <c r="AE1865" t="s">
        <v>31678</v>
      </c>
      <c r="AF1865" t="s">
        <v>74</v>
      </c>
      <c r="AG1865">
        <v>17</v>
      </c>
      <c r="AH1865">
        <v>0</v>
      </c>
      <c r="AI1865">
        <v>0</v>
      </c>
      <c r="AJ1865">
        <v>1</v>
      </c>
      <c r="AK1865">
        <v>7</v>
      </c>
      <c r="AL1865" t="s">
        <v>639</v>
      </c>
      <c r="AM1865" t="s">
        <v>640</v>
      </c>
      <c r="AN1865" t="s">
        <v>641</v>
      </c>
      <c r="AO1865" t="s">
        <v>10207</v>
      </c>
      <c r="AP1865" t="s">
        <v>10208</v>
      </c>
      <c r="AQ1865" t="s">
        <v>10209</v>
      </c>
      <c r="AR1865" t="s">
        <v>10210</v>
      </c>
      <c r="AS1865" t="s">
        <v>74</v>
      </c>
      <c r="AT1865" t="s">
        <v>74</v>
      </c>
      <c r="AU1865">
        <v>2023</v>
      </c>
      <c r="AV1865">
        <v>318</v>
      </c>
      <c r="AW1865" t="s">
        <v>74</v>
      </c>
      <c r="AX1865" t="s">
        <v>74</v>
      </c>
      <c r="AY1865" t="s">
        <v>74</v>
      </c>
      <c r="AZ1865" t="s">
        <v>74</v>
      </c>
      <c r="BA1865" t="s">
        <v>74</v>
      </c>
      <c r="BB1865">
        <v>91</v>
      </c>
      <c r="BC1865">
        <v>104</v>
      </c>
      <c r="BD1865" t="s">
        <v>74</v>
      </c>
      <c r="BE1865" t="s">
        <v>31679</v>
      </c>
      <c r="BF1865" t="str">
        <f>HYPERLINK("http://dx.doi.org/10.1007/978-981-19-6347-6_9","http://dx.doi.org/10.1007/978-981-19-6347-6_9")</f>
        <v>http://dx.doi.org/10.1007/978-981-19-6347-6_9</v>
      </c>
      <c r="BG1865" t="s">
        <v>74</v>
      </c>
      <c r="BH1865" t="s">
        <v>74</v>
      </c>
      <c r="BI1865">
        <v>14</v>
      </c>
      <c r="BJ1865" t="s">
        <v>10212</v>
      </c>
      <c r="BK1865" t="s">
        <v>648</v>
      </c>
      <c r="BL1865" t="s">
        <v>7740</v>
      </c>
      <c r="BM1865" t="s">
        <v>10213</v>
      </c>
      <c r="BN1865" t="s">
        <v>74</v>
      </c>
      <c r="BO1865" t="s">
        <v>74</v>
      </c>
      <c r="BP1865" t="s">
        <v>74</v>
      </c>
      <c r="BQ1865" t="s">
        <v>74</v>
      </c>
      <c r="BR1865" t="s">
        <v>102</v>
      </c>
      <c r="BS1865" t="s">
        <v>31680</v>
      </c>
      <c r="BT1865" t="str">
        <f>HYPERLINK("https%3A%2F%2Fwww.webofscience.com%2Fwos%2Fwoscc%2Ffull-record%2FWOS:000921943800009","View Full Record in Web of Science")</f>
        <v>View Full Record in Web of Science</v>
      </c>
    </row>
    <row r="1866" spans="1:72" x14ac:dyDescent="0.35">
      <c r="A1866" t="s">
        <v>72</v>
      </c>
      <c r="B1866" t="s">
        <v>31681</v>
      </c>
      <c r="C1866" t="s">
        <v>74</v>
      </c>
      <c r="D1866" t="s">
        <v>74</v>
      </c>
      <c r="E1866" t="s">
        <v>74</v>
      </c>
      <c r="F1866" t="s">
        <v>31682</v>
      </c>
      <c r="G1866" t="s">
        <v>74</v>
      </c>
      <c r="H1866" t="s">
        <v>74</v>
      </c>
      <c r="I1866" t="s">
        <v>31683</v>
      </c>
      <c r="J1866" t="s">
        <v>31684</v>
      </c>
      <c r="K1866" t="s">
        <v>74</v>
      </c>
      <c r="L1866" t="s">
        <v>74</v>
      </c>
      <c r="M1866" t="s">
        <v>78</v>
      </c>
      <c r="N1866" t="s">
        <v>108</v>
      </c>
      <c r="O1866" t="s">
        <v>74</v>
      </c>
      <c r="P1866" t="s">
        <v>74</v>
      </c>
      <c r="Q1866" t="s">
        <v>74</v>
      </c>
      <c r="R1866" t="s">
        <v>74</v>
      </c>
      <c r="S1866" t="s">
        <v>74</v>
      </c>
      <c r="T1866" t="s">
        <v>31685</v>
      </c>
      <c r="U1866" t="s">
        <v>74</v>
      </c>
      <c r="V1866" t="s">
        <v>31686</v>
      </c>
      <c r="W1866" t="s">
        <v>31687</v>
      </c>
      <c r="X1866" t="s">
        <v>31688</v>
      </c>
      <c r="Y1866" t="s">
        <v>31689</v>
      </c>
      <c r="Z1866" t="s">
        <v>31690</v>
      </c>
      <c r="AA1866" t="s">
        <v>31691</v>
      </c>
      <c r="AB1866" t="s">
        <v>74</v>
      </c>
      <c r="AC1866" t="s">
        <v>31692</v>
      </c>
      <c r="AD1866" t="s">
        <v>17211</v>
      </c>
      <c r="AE1866" t="s">
        <v>31693</v>
      </c>
      <c r="AF1866" t="s">
        <v>74</v>
      </c>
      <c r="AG1866">
        <v>47</v>
      </c>
      <c r="AH1866">
        <v>2</v>
      </c>
      <c r="AI1866">
        <v>2</v>
      </c>
      <c r="AJ1866">
        <v>17</v>
      </c>
      <c r="AK1866">
        <v>17</v>
      </c>
      <c r="AL1866" t="s">
        <v>290</v>
      </c>
      <c r="AM1866" t="s">
        <v>291</v>
      </c>
      <c r="AN1866" t="s">
        <v>292</v>
      </c>
      <c r="AO1866" t="s">
        <v>31694</v>
      </c>
      <c r="AP1866" t="s">
        <v>31695</v>
      </c>
      <c r="AQ1866" t="s">
        <v>74</v>
      </c>
      <c r="AR1866" t="s">
        <v>31696</v>
      </c>
      <c r="AS1866" t="s">
        <v>31697</v>
      </c>
      <c r="AT1866" t="s">
        <v>745</v>
      </c>
      <c r="AU1866">
        <v>2024</v>
      </c>
      <c r="AV1866">
        <v>116</v>
      </c>
      <c r="AW1866" t="s">
        <v>74</v>
      </c>
      <c r="AX1866" t="s">
        <v>74</v>
      </c>
      <c r="AY1866" t="s">
        <v>74</v>
      </c>
      <c r="AZ1866" t="s">
        <v>74</v>
      </c>
      <c r="BA1866" t="s">
        <v>74</v>
      </c>
      <c r="BB1866" t="s">
        <v>74</v>
      </c>
      <c r="BC1866" t="s">
        <v>74</v>
      </c>
      <c r="BD1866">
        <v>109213</v>
      </c>
      <c r="BE1866" t="s">
        <v>31698</v>
      </c>
      <c r="BF1866" t="str">
        <f>HYPERLINK("http://dx.doi.org/10.1016/j.compeleceng.2024.109213","http://dx.doi.org/10.1016/j.compeleceng.2024.109213")</f>
        <v>http://dx.doi.org/10.1016/j.compeleceng.2024.109213</v>
      </c>
      <c r="BG1866" t="s">
        <v>74</v>
      </c>
      <c r="BH1866" t="s">
        <v>123</v>
      </c>
      <c r="BI1866">
        <v>16</v>
      </c>
      <c r="BJ1866" t="s">
        <v>31699</v>
      </c>
      <c r="BK1866" t="s">
        <v>209</v>
      </c>
      <c r="BL1866" t="s">
        <v>1113</v>
      </c>
      <c r="BM1866" t="s">
        <v>31700</v>
      </c>
      <c r="BN1866" t="s">
        <v>74</v>
      </c>
      <c r="BO1866" t="s">
        <v>74</v>
      </c>
      <c r="BP1866" t="s">
        <v>74</v>
      </c>
      <c r="BQ1866" t="s">
        <v>74</v>
      </c>
      <c r="BR1866" t="s">
        <v>102</v>
      </c>
      <c r="BS1866" t="s">
        <v>31701</v>
      </c>
      <c r="BT1866" t="str">
        <f>HYPERLINK("https%3A%2F%2Fwww.webofscience.com%2Fwos%2Fwoscc%2Ffull-record%2FWOS:001221074600001","View Full Record in Web of Science")</f>
        <v>View Full Record in Web of Science</v>
      </c>
    </row>
    <row r="1867" spans="1:72" x14ac:dyDescent="0.35">
      <c r="A1867" t="s">
        <v>128</v>
      </c>
      <c r="B1867" t="s">
        <v>31702</v>
      </c>
      <c r="C1867" t="s">
        <v>74</v>
      </c>
      <c r="D1867" t="s">
        <v>74</v>
      </c>
      <c r="E1867" t="s">
        <v>702</v>
      </c>
      <c r="F1867" t="s">
        <v>31703</v>
      </c>
      <c r="G1867" t="s">
        <v>74</v>
      </c>
      <c r="H1867" t="s">
        <v>74</v>
      </c>
      <c r="I1867" t="s">
        <v>31704</v>
      </c>
      <c r="J1867" t="s">
        <v>31705</v>
      </c>
      <c r="K1867" t="s">
        <v>74</v>
      </c>
      <c r="L1867" t="s">
        <v>74</v>
      </c>
      <c r="M1867" t="s">
        <v>78</v>
      </c>
      <c r="N1867" t="s">
        <v>135</v>
      </c>
      <c r="O1867" t="s">
        <v>31706</v>
      </c>
      <c r="P1867" t="s">
        <v>31707</v>
      </c>
      <c r="Q1867" t="s">
        <v>31708</v>
      </c>
      <c r="R1867" t="s">
        <v>31709</v>
      </c>
      <c r="S1867" t="s">
        <v>31710</v>
      </c>
      <c r="T1867" t="s">
        <v>31711</v>
      </c>
      <c r="U1867" t="s">
        <v>74</v>
      </c>
      <c r="V1867" t="s">
        <v>31712</v>
      </c>
      <c r="W1867" t="s">
        <v>31713</v>
      </c>
      <c r="X1867" t="s">
        <v>31714</v>
      </c>
      <c r="Y1867" t="s">
        <v>31715</v>
      </c>
      <c r="Z1867" t="s">
        <v>31716</v>
      </c>
      <c r="AA1867" t="s">
        <v>31717</v>
      </c>
      <c r="AB1867" t="s">
        <v>31718</v>
      </c>
      <c r="AC1867" t="s">
        <v>31719</v>
      </c>
      <c r="AD1867" t="s">
        <v>31720</v>
      </c>
      <c r="AE1867" t="s">
        <v>31721</v>
      </c>
      <c r="AF1867" t="s">
        <v>74</v>
      </c>
      <c r="AG1867">
        <v>20</v>
      </c>
      <c r="AH1867">
        <v>0</v>
      </c>
      <c r="AI1867">
        <v>0</v>
      </c>
      <c r="AJ1867">
        <v>0</v>
      </c>
      <c r="AK1867">
        <v>0</v>
      </c>
      <c r="AL1867" t="s">
        <v>718</v>
      </c>
      <c r="AM1867" t="s">
        <v>666</v>
      </c>
      <c r="AN1867" t="s">
        <v>719</v>
      </c>
      <c r="AO1867" t="s">
        <v>74</v>
      </c>
      <c r="AP1867" t="s">
        <v>74</v>
      </c>
      <c r="AQ1867" t="s">
        <v>31722</v>
      </c>
      <c r="AR1867" t="s">
        <v>74</v>
      </c>
      <c r="AS1867" t="s">
        <v>74</v>
      </c>
      <c r="AT1867" t="s">
        <v>74</v>
      </c>
      <c r="AU1867">
        <v>2024</v>
      </c>
      <c r="AV1867" t="s">
        <v>74</v>
      </c>
      <c r="AW1867" t="s">
        <v>74</v>
      </c>
      <c r="AX1867" t="s">
        <v>74</v>
      </c>
      <c r="AY1867" t="s">
        <v>74</v>
      </c>
      <c r="AZ1867" t="s">
        <v>74</v>
      </c>
      <c r="BA1867" t="s">
        <v>74</v>
      </c>
      <c r="BB1867" t="s">
        <v>74</v>
      </c>
      <c r="BC1867" t="s">
        <v>74</v>
      </c>
      <c r="BD1867">
        <v>6</v>
      </c>
      <c r="BE1867" t="s">
        <v>31723</v>
      </c>
      <c r="BF1867" t="str">
        <f>HYPERLINK("http://dx.doi.org/10.1145/3658852.3659076","http://dx.doi.org/10.1145/3658852.3659076")</f>
        <v>http://dx.doi.org/10.1145/3658852.3659076</v>
      </c>
      <c r="BG1867" t="s">
        <v>74</v>
      </c>
      <c r="BH1867" t="s">
        <v>74</v>
      </c>
      <c r="BI1867">
        <v>9</v>
      </c>
      <c r="BJ1867" t="s">
        <v>31724</v>
      </c>
      <c r="BK1867" t="s">
        <v>648</v>
      </c>
      <c r="BL1867" t="s">
        <v>31725</v>
      </c>
      <c r="BM1867" t="s">
        <v>31726</v>
      </c>
      <c r="BN1867" t="s">
        <v>74</v>
      </c>
      <c r="BO1867" t="s">
        <v>2738</v>
      </c>
      <c r="BP1867" t="s">
        <v>74</v>
      </c>
      <c r="BQ1867" t="s">
        <v>74</v>
      </c>
      <c r="BR1867" t="s">
        <v>102</v>
      </c>
      <c r="BS1867" t="s">
        <v>31727</v>
      </c>
      <c r="BT1867" t="str">
        <f>HYPERLINK("https%3A%2F%2Fwww.webofscience.com%2Fwos%2Fwoscc%2Ffull-record%2FWOS:001263801200006","View Full Record in Web of Science")</f>
        <v>View Full Record in Web of Science</v>
      </c>
    </row>
    <row r="1868" spans="1:72" x14ac:dyDescent="0.35">
      <c r="A1868" t="s">
        <v>128</v>
      </c>
      <c r="B1868" t="s">
        <v>31728</v>
      </c>
      <c r="C1868" t="s">
        <v>74</v>
      </c>
      <c r="D1868" t="s">
        <v>74</v>
      </c>
      <c r="E1868" t="s">
        <v>1677</v>
      </c>
      <c r="F1868" t="s">
        <v>31729</v>
      </c>
      <c r="G1868" t="s">
        <v>74</v>
      </c>
      <c r="H1868" t="s">
        <v>74</v>
      </c>
      <c r="I1868" t="s">
        <v>31730</v>
      </c>
      <c r="J1868" t="s">
        <v>31731</v>
      </c>
      <c r="K1868" t="s">
        <v>31732</v>
      </c>
      <c r="L1868" t="s">
        <v>74</v>
      </c>
      <c r="M1868" t="s">
        <v>78</v>
      </c>
      <c r="N1868" t="s">
        <v>135</v>
      </c>
      <c r="O1868" t="s">
        <v>31733</v>
      </c>
      <c r="P1868" t="s">
        <v>31734</v>
      </c>
      <c r="Q1868" t="s">
        <v>31735</v>
      </c>
      <c r="R1868" t="s">
        <v>1677</v>
      </c>
      <c r="S1868" t="s">
        <v>74</v>
      </c>
      <c r="T1868" t="s">
        <v>31736</v>
      </c>
      <c r="U1868" t="s">
        <v>74</v>
      </c>
      <c r="V1868" t="s">
        <v>31737</v>
      </c>
      <c r="W1868" t="s">
        <v>31738</v>
      </c>
      <c r="X1868" t="s">
        <v>29936</v>
      </c>
      <c r="Y1868" t="s">
        <v>31739</v>
      </c>
      <c r="Z1868" t="s">
        <v>31740</v>
      </c>
      <c r="AA1868" t="s">
        <v>74</v>
      </c>
      <c r="AB1868" t="s">
        <v>74</v>
      </c>
      <c r="AC1868" t="s">
        <v>74</v>
      </c>
      <c r="AD1868" t="s">
        <v>74</v>
      </c>
      <c r="AE1868" t="s">
        <v>74</v>
      </c>
      <c r="AF1868" t="s">
        <v>74</v>
      </c>
      <c r="AG1868">
        <v>17</v>
      </c>
      <c r="AH1868">
        <v>0</v>
      </c>
      <c r="AI1868">
        <v>0</v>
      </c>
      <c r="AJ1868">
        <v>0</v>
      </c>
      <c r="AK1868">
        <v>0</v>
      </c>
      <c r="AL1868" t="s">
        <v>1677</v>
      </c>
      <c r="AM1868" t="s">
        <v>666</v>
      </c>
      <c r="AN1868" t="s">
        <v>1692</v>
      </c>
      <c r="AO1868" t="s">
        <v>31741</v>
      </c>
      <c r="AP1868" t="s">
        <v>74</v>
      </c>
      <c r="AQ1868" t="s">
        <v>31742</v>
      </c>
      <c r="AR1868" t="s">
        <v>31743</v>
      </c>
      <c r="AS1868" t="s">
        <v>74</v>
      </c>
      <c r="AT1868" t="s">
        <v>74</v>
      </c>
      <c r="AU1868">
        <v>2024</v>
      </c>
      <c r="AV1868" t="s">
        <v>74</v>
      </c>
      <c r="AW1868" t="s">
        <v>74</v>
      </c>
      <c r="AX1868" t="s">
        <v>74</v>
      </c>
      <c r="AY1868" t="s">
        <v>74</v>
      </c>
      <c r="AZ1868" t="s">
        <v>74</v>
      </c>
      <c r="BA1868" t="s">
        <v>74</v>
      </c>
      <c r="BB1868" t="s">
        <v>74</v>
      </c>
      <c r="BC1868" t="s">
        <v>74</v>
      </c>
      <c r="BD1868" t="s">
        <v>74</v>
      </c>
      <c r="BE1868" t="s">
        <v>31744</v>
      </c>
      <c r="BF1868" t="str">
        <f>HYPERLINK("http://dx.doi.org/10.1109/SysCon61195.2024.10553468","http://dx.doi.org/10.1109/SysCon61195.2024.10553468")</f>
        <v>http://dx.doi.org/10.1109/SysCon61195.2024.10553468</v>
      </c>
      <c r="BG1868" t="s">
        <v>74</v>
      </c>
      <c r="BH1868" t="s">
        <v>74</v>
      </c>
      <c r="BI1868">
        <v>6</v>
      </c>
      <c r="BJ1868" t="s">
        <v>31745</v>
      </c>
      <c r="BK1868" t="s">
        <v>723</v>
      </c>
      <c r="BL1868" t="s">
        <v>1113</v>
      </c>
      <c r="BM1868" t="s">
        <v>31746</v>
      </c>
      <c r="BN1868" t="s">
        <v>74</v>
      </c>
      <c r="BO1868" t="s">
        <v>74</v>
      </c>
      <c r="BP1868" t="s">
        <v>74</v>
      </c>
      <c r="BQ1868" t="s">
        <v>74</v>
      </c>
      <c r="BR1868" t="s">
        <v>102</v>
      </c>
      <c r="BS1868" t="s">
        <v>31747</v>
      </c>
      <c r="BT1868" t="str">
        <f>HYPERLINK("https%3A%2F%2Fwww.webofscience.com%2Fwos%2Fwoscc%2Ffull-record%2FWOS:001259228200035","View Full Record in Web of Science")</f>
        <v>View Full Record in Web of Science</v>
      </c>
    </row>
    <row r="1869" spans="1:72" x14ac:dyDescent="0.35">
      <c r="A1869" t="s">
        <v>72</v>
      </c>
      <c r="B1869" t="s">
        <v>31748</v>
      </c>
      <c r="C1869" t="s">
        <v>74</v>
      </c>
      <c r="D1869" t="s">
        <v>74</v>
      </c>
      <c r="E1869" t="s">
        <v>74</v>
      </c>
      <c r="F1869" t="s">
        <v>31749</v>
      </c>
      <c r="G1869" t="s">
        <v>74</v>
      </c>
      <c r="H1869" t="s">
        <v>74</v>
      </c>
      <c r="I1869" t="s">
        <v>31750</v>
      </c>
      <c r="J1869" t="s">
        <v>31751</v>
      </c>
      <c r="K1869" t="s">
        <v>74</v>
      </c>
      <c r="L1869" t="s">
        <v>74</v>
      </c>
      <c r="M1869" t="s">
        <v>78</v>
      </c>
      <c r="N1869" t="s">
        <v>79</v>
      </c>
      <c r="O1869" t="s">
        <v>74</v>
      </c>
      <c r="P1869" t="s">
        <v>74</v>
      </c>
      <c r="Q1869" t="s">
        <v>74</v>
      </c>
      <c r="R1869" t="s">
        <v>74</v>
      </c>
      <c r="S1869" t="s">
        <v>74</v>
      </c>
      <c r="T1869" t="s">
        <v>31752</v>
      </c>
      <c r="U1869" t="s">
        <v>31753</v>
      </c>
      <c r="V1869" t="s">
        <v>31754</v>
      </c>
      <c r="W1869" t="s">
        <v>31755</v>
      </c>
      <c r="X1869" t="s">
        <v>31756</v>
      </c>
      <c r="Y1869" t="s">
        <v>31757</v>
      </c>
      <c r="Z1869" t="s">
        <v>31758</v>
      </c>
      <c r="AA1869" t="s">
        <v>74</v>
      </c>
      <c r="AB1869" t="s">
        <v>31759</v>
      </c>
      <c r="AC1869" t="s">
        <v>31760</v>
      </c>
      <c r="AD1869" t="s">
        <v>29411</v>
      </c>
      <c r="AE1869" t="s">
        <v>31761</v>
      </c>
      <c r="AF1869" t="s">
        <v>74</v>
      </c>
      <c r="AG1869">
        <v>63</v>
      </c>
      <c r="AH1869">
        <v>0</v>
      </c>
      <c r="AI1869">
        <v>0</v>
      </c>
      <c r="AJ1869">
        <v>6</v>
      </c>
      <c r="AK1869">
        <v>6</v>
      </c>
      <c r="AL1869" t="s">
        <v>803</v>
      </c>
      <c r="AM1869" t="s">
        <v>227</v>
      </c>
      <c r="AN1869" t="s">
        <v>804</v>
      </c>
      <c r="AO1869" t="s">
        <v>31762</v>
      </c>
      <c r="AP1869" t="s">
        <v>31763</v>
      </c>
      <c r="AQ1869" t="s">
        <v>74</v>
      </c>
      <c r="AR1869" t="s">
        <v>31764</v>
      </c>
      <c r="AS1869" t="s">
        <v>31765</v>
      </c>
      <c r="AT1869" t="s">
        <v>15028</v>
      </c>
      <c r="AU1869">
        <v>2024</v>
      </c>
      <c r="AV1869" t="s">
        <v>74</v>
      </c>
      <c r="AW1869" t="s">
        <v>74</v>
      </c>
      <c r="AX1869" t="s">
        <v>74</v>
      </c>
      <c r="AY1869" t="s">
        <v>74</v>
      </c>
      <c r="AZ1869" t="s">
        <v>74</v>
      </c>
      <c r="BA1869" t="s">
        <v>74</v>
      </c>
      <c r="BB1869" t="s">
        <v>74</v>
      </c>
      <c r="BC1869" t="s">
        <v>74</v>
      </c>
      <c r="BD1869" t="s">
        <v>74</v>
      </c>
      <c r="BE1869" t="s">
        <v>31766</v>
      </c>
      <c r="BF1869" t="str">
        <f>HYPERLINK("http://dx.doi.org/10.1007/s42761-024-00259-9","http://dx.doi.org/10.1007/s42761-024-00259-9")</f>
        <v>http://dx.doi.org/10.1007/s42761-024-00259-9</v>
      </c>
      <c r="BG1869" t="s">
        <v>74</v>
      </c>
      <c r="BH1869" t="s">
        <v>337</v>
      </c>
      <c r="BI1869">
        <v>13</v>
      </c>
      <c r="BJ1869" t="s">
        <v>31767</v>
      </c>
      <c r="BK1869" t="s">
        <v>125</v>
      </c>
      <c r="BL1869" t="s">
        <v>301</v>
      </c>
      <c r="BM1869" t="s">
        <v>31768</v>
      </c>
      <c r="BN1869" t="s">
        <v>74</v>
      </c>
      <c r="BO1869" t="s">
        <v>74</v>
      </c>
      <c r="BP1869" t="s">
        <v>74</v>
      </c>
      <c r="BQ1869" t="s">
        <v>74</v>
      </c>
      <c r="BR1869" t="s">
        <v>102</v>
      </c>
      <c r="BS1869" t="s">
        <v>31769</v>
      </c>
      <c r="BT1869" t="str">
        <f>HYPERLINK("https%3A%2F%2Fwww.webofscience.com%2Fwos%2Fwoscc%2Ffull-record%2FWOS:001306164000001","View Full Record in Web of Science")</f>
        <v>View Full Record in Web of Science</v>
      </c>
    </row>
    <row r="1870" spans="1:72" x14ac:dyDescent="0.35">
      <c r="A1870" t="s">
        <v>72</v>
      </c>
      <c r="B1870" t="s">
        <v>31770</v>
      </c>
      <c r="C1870" t="s">
        <v>74</v>
      </c>
      <c r="D1870" t="s">
        <v>74</v>
      </c>
      <c r="E1870" t="s">
        <v>74</v>
      </c>
      <c r="F1870" t="s">
        <v>31771</v>
      </c>
      <c r="G1870" t="s">
        <v>74</v>
      </c>
      <c r="H1870" t="s">
        <v>74</v>
      </c>
      <c r="I1870" t="s">
        <v>31772</v>
      </c>
      <c r="J1870" t="s">
        <v>31773</v>
      </c>
      <c r="K1870" t="s">
        <v>74</v>
      </c>
      <c r="L1870" t="s">
        <v>74</v>
      </c>
      <c r="M1870" t="s">
        <v>78</v>
      </c>
      <c r="N1870" t="s">
        <v>108</v>
      </c>
      <c r="O1870" t="s">
        <v>74</v>
      </c>
      <c r="P1870" t="s">
        <v>74</v>
      </c>
      <c r="Q1870" t="s">
        <v>74</v>
      </c>
      <c r="R1870" t="s">
        <v>74</v>
      </c>
      <c r="S1870" t="s">
        <v>74</v>
      </c>
      <c r="T1870" t="s">
        <v>31774</v>
      </c>
      <c r="U1870" t="s">
        <v>31775</v>
      </c>
      <c r="V1870" t="s">
        <v>31776</v>
      </c>
      <c r="W1870" t="s">
        <v>31777</v>
      </c>
      <c r="X1870" t="s">
        <v>562</v>
      </c>
      <c r="Y1870" t="s">
        <v>31778</v>
      </c>
      <c r="Z1870" t="s">
        <v>31779</v>
      </c>
      <c r="AA1870" t="s">
        <v>31780</v>
      </c>
      <c r="AB1870" t="s">
        <v>31781</v>
      </c>
      <c r="AC1870" t="s">
        <v>31782</v>
      </c>
      <c r="AD1870" t="s">
        <v>31782</v>
      </c>
      <c r="AE1870" t="s">
        <v>31783</v>
      </c>
      <c r="AF1870" t="s">
        <v>74</v>
      </c>
      <c r="AG1870">
        <v>77</v>
      </c>
      <c r="AH1870">
        <v>0</v>
      </c>
      <c r="AI1870">
        <v>1</v>
      </c>
      <c r="AJ1870">
        <v>1</v>
      </c>
      <c r="AK1870">
        <v>1</v>
      </c>
      <c r="AL1870" t="s">
        <v>1195</v>
      </c>
      <c r="AM1870" t="s">
        <v>1196</v>
      </c>
      <c r="AN1870" t="s">
        <v>1197</v>
      </c>
      <c r="AO1870" t="s">
        <v>74</v>
      </c>
      <c r="AP1870" t="s">
        <v>31784</v>
      </c>
      <c r="AQ1870" t="s">
        <v>74</v>
      </c>
      <c r="AR1870" t="s">
        <v>31785</v>
      </c>
      <c r="AS1870" t="s">
        <v>31786</v>
      </c>
      <c r="AT1870" t="s">
        <v>455</v>
      </c>
      <c r="AU1870">
        <v>2023</v>
      </c>
      <c r="AV1870">
        <v>8</v>
      </c>
      <c r="AW1870">
        <v>3</v>
      </c>
      <c r="AX1870" t="s">
        <v>74</v>
      </c>
      <c r="AY1870" t="s">
        <v>74</v>
      </c>
      <c r="AZ1870" t="s">
        <v>74</v>
      </c>
      <c r="BA1870" t="s">
        <v>74</v>
      </c>
      <c r="BB1870" t="s">
        <v>74</v>
      </c>
      <c r="BC1870" t="s">
        <v>74</v>
      </c>
      <c r="BD1870">
        <v>206</v>
      </c>
      <c r="BE1870" t="s">
        <v>31787</v>
      </c>
      <c r="BF1870" t="str">
        <f>HYPERLINK("http://dx.doi.org/10.3390/languages8030206","http://dx.doi.org/10.3390/languages8030206")</f>
        <v>http://dx.doi.org/10.3390/languages8030206</v>
      </c>
      <c r="BG1870" t="s">
        <v>74</v>
      </c>
      <c r="BH1870" t="s">
        <v>74</v>
      </c>
      <c r="BI1870">
        <v>18</v>
      </c>
      <c r="BJ1870" t="s">
        <v>22620</v>
      </c>
      <c r="BK1870" t="s">
        <v>125</v>
      </c>
      <c r="BL1870" t="s">
        <v>3285</v>
      </c>
      <c r="BM1870" t="s">
        <v>31788</v>
      </c>
      <c r="BN1870" t="s">
        <v>74</v>
      </c>
      <c r="BO1870" t="s">
        <v>394</v>
      </c>
      <c r="BP1870" t="s">
        <v>74</v>
      </c>
      <c r="BQ1870" t="s">
        <v>74</v>
      </c>
      <c r="BR1870" t="s">
        <v>102</v>
      </c>
      <c r="BS1870" t="s">
        <v>31789</v>
      </c>
      <c r="BT1870" t="str">
        <f>HYPERLINK("https%3A%2F%2Fwww.webofscience.com%2Fwos%2Fwoscc%2Ffull-record%2FWOS:001078341300001","View Full Record in Web of Science")</f>
        <v>View Full Record in Web of Science</v>
      </c>
    </row>
    <row r="1871" spans="1:72" x14ac:dyDescent="0.35">
      <c r="A1871" t="s">
        <v>72</v>
      </c>
      <c r="B1871" t="s">
        <v>31790</v>
      </c>
      <c r="C1871" t="s">
        <v>74</v>
      </c>
      <c r="D1871" t="s">
        <v>74</v>
      </c>
      <c r="E1871" t="s">
        <v>74</v>
      </c>
      <c r="F1871" t="s">
        <v>31791</v>
      </c>
      <c r="G1871" t="s">
        <v>74</v>
      </c>
      <c r="H1871" t="s">
        <v>74</v>
      </c>
      <c r="I1871" t="s">
        <v>31792</v>
      </c>
      <c r="J1871" t="s">
        <v>9156</v>
      </c>
      <c r="K1871" t="s">
        <v>74</v>
      </c>
      <c r="L1871" t="s">
        <v>74</v>
      </c>
      <c r="M1871" t="s">
        <v>78</v>
      </c>
      <c r="N1871" t="s">
        <v>79</v>
      </c>
      <c r="O1871" t="s">
        <v>74</v>
      </c>
      <c r="P1871" t="s">
        <v>74</v>
      </c>
      <c r="Q1871" t="s">
        <v>74</v>
      </c>
      <c r="R1871" t="s">
        <v>74</v>
      </c>
      <c r="S1871" t="s">
        <v>74</v>
      </c>
      <c r="T1871" t="s">
        <v>31793</v>
      </c>
      <c r="U1871" t="s">
        <v>31794</v>
      </c>
      <c r="V1871" t="s">
        <v>31795</v>
      </c>
      <c r="W1871" t="s">
        <v>31796</v>
      </c>
      <c r="X1871" t="s">
        <v>31797</v>
      </c>
      <c r="Y1871" t="s">
        <v>31798</v>
      </c>
      <c r="Z1871" t="s">
        <v>31799</v>
      </c>
      <c r="AA1871" t="s">
        <v>31800</v>
      </c>
      <c r="AB1871" t="s">
        <v>74</v>
      </c>
      <c r="AC1871" t="s">
        <v>31801</v>
      </c>
      <c r="AD1871" t="s">
        <v>21684</v>
      </c>
      <c r="AE1871" t="s">
        <v>31802</v>
      </c>
      <c r="AF1871" t="s">
        <v>74</v>
      </c>
      <c r="AG1871">
        <v>45</v>
      </c>
      <c r="AH1871">
        <v>3</v>
      </c>
      <c r="AI1871">
        <v>3</v>
      </c>
      <c r="AJ1871">
        <v>6</v>
      </c>
      <c r="AK1871">
        <v>46</v>
      </c>
      <c r="AL1871" t="s">
        <v>251</v>
      </c>
      <c r="AM1871" t="s">
        <v>252</v>
      </c>
      <c r="AN1871" t="s">
        <v>253</v>
      </c>
      <c r="AO1871" t="s">
        <v>9164</v>
      </c>
      <c r="AP1871" t="s">
        <v>9165</v>
      </c>
      <c r="AQ1871" t="s">
        <v>74</v>
      </c>
      <c r="AR1871" t="s">
        <v>9166</v>
      </c>
      <c r="AS1871" t="s">
        <v>9167</v>
      </c>
      <c r="AT1871" t="s">
        <v>31803</v>
      </c>
      <c r="AU1871">
        <v>2023</v>
      </c>
      <c r="AV1871" t="s">
        <v>74</v>
      </c>
      <c r="AW1871" t="s">
        <v>74</v>
      </c>
      <c r="AX1871" t="s">
        <v>74</v>
      </c>
      <c r="AY1871" t="s">
        <v>74</v>
      </c>
      <c r="AZ1871" t="s">
        <v>74</v>
      </c>
      <c r="BA1871" t="s">
        <v>74</v>
      </c>
      <c r="BB1871" t="s">
        <v>74</v>
      </c>
      <c r="BC1871" t="s">
        <v>74</v>
      </c>
      <c r="BD1871" t="s">
        <v>74</v>
      </c>
      <c r="BE1871" t="s">
        <v>31804</v>
      </c>
      <c r="BF1871" t="str">
        <f>HYPERLINK("http://dx.doi.org/10.1002/jaal.1303","http://dx.doi.org/10.1002/jaal.1303")</f>
        <v>http://dx.doi.org/10.1002/jaal.1303</v>
      </c>
      <c r="BG1871" t="s">
        <v>74</v>
      </c>
      <c r="BH1871" t="s">
        <v>1180</v>
      </c>
      <c r="BI1871">
        <v>12</v>
      </c>
      <c r="BJ1871" t="s">
        <v>787</v>
      </c>
      <c r="BK1871" t="s">
        <v>99</v>
      </c>
      <c r="BL1871" t="s">
        <v>787</v>
      </c>
      <c r="BM1871" t="s">
        <v>31805</v>
      </c>
      <c r="BN1871" t="s">
        <v>74</v>
      </c>
      <c r="BO1871" t="s">
        <v>4154</v>
      </c>
      <c r="BP1871" t="s">
        <v>74</v>
      </c>
      <c r="BQ1871" t="s">
        <v>74</v>
      </c>
      <c r="BR1871" t="s">
        <v>102</v>
      </c>
      <c r="BS1871" t="s">
        <v>31806</v>
      </c>
      <c r="BT1871" t="str">
        <f>HYPERLINK("https%3A%2F%2Fwww.webofscience.com%2Fwos%2Fwoscc%2Ffull-record%2FWOS:001031963800001","View Full Record in Web of Science")</f>
        <v>View Full Record in Web of Science</v>
      </c>
    </row>
    <row r="1872" spans="1:72" x14ac:dyDescent="0.35">
      <c r="A1872" t="s">
        <v>72</v>
      </c>
      <c r="B1872" t="s">
        <v>31807</v>
      </c>
      <c r="C1872" t="s">
        <v>74</v>
      </c>
      <c r="D1872" t="s">
        <v>74</v>
      </c>
      <c r="E1872" t="s">
        <v>74</v>
      </c>
      <c r="F1872" t="s">
        <v>31808</v>
      </c>
      <c r="G1872" t="s">
        <v>74</v>
      </c>
      <c r="H1872" t="s">
        <v>74</v>
      </c>
      <c r="I1872" t="s">
        <v>31809</v>
      </c>
      <c r="J1872" t="s">
        <v>15628</v>
      </c>
      <c r="K1872" t="s">
        <v>74</v>
      </c>
      <c r="L1872" t="s">
        <v>74</v>
      </c>
      <c r="M1872" t="s">
        <v>78</v>
      </c>
      <c r="N1872" t="s">
        <v>108</v>
      </c>
      <c r="O1872" t="s">
        <v>74</v>
      </c>
      <c r="P1872" t="s">
        <v>74</v>
      </c>
      <c r="Q1872" t="s">
        <v>74</v>
      </c>
      <c r="R1872" t="s">
        <v>74</v>
      </c>
      <c r="S1872" t="s">
        <v>74</v>
      </c>
      <c r="T1872" t="s">
        <v>31810</v>
      </c>
      <c r="U1872" t="s">
        <v>31811</v>
      </c>
      <c r="V1872" t="s">
        <v>31812</v>
      </c>
      <c r="W1872" t="s">
        <v>31813</v>
      </c>
      <c r="X1872" t="s">
        <v>31814</v>
      </c>
      <c r="Y1872" t="s">
        <v>31815</v>
      </c>
      <c r="Z1872" t="s">
        <v>31816</v>
      </c>
      <c r="AA1872" t="s">
        <v>31817</v>
      </c>
      <c r="AB1872" t="s">
        <v>31818</v>
      </c>
      <c r="AC1872" t="s">
        <v>31819</v>
      </c>
      <c r="AD1872" t="s">
        <v>31820</v>
      </c>
      <c r="AE1872" t="s">
        <v>2921</v>
      </c>
      <c r="AF1872" t="s">
        <v>74</v>
      </c>
      <c r="AG1872">
        <v>87</v>
      </c>
      <c r="AH1872">
        <v>1</v>
      </c>
      <c r="AI1872">
        <v>1</v>
      </c>
      <c r="AJ1872">
        <v>4</v>
      </c>
      <c r="AK1872">
        <v>4</v>
      </c>
      <c r="AL1872" t="s">
        <v>384</v>
      </c>
      <c r="AM1872" t="s">
        <v>385</v>
      </c>
      <c r="AN1872" t="s">
        <v>386</v>
      </c>
      <c r="AO1872" t="s">
        <v>74</v>
      </c>
      <c r="AP1872" t="s">
        <v>15638</v>
      </c>
      <c r="AQ1872" t="s">
        <v>74</v>
      </c>
      <c r="AR1872" t="s">
        <v>15639</v>
      </c>
      <c r="AS1872" t="s">
        <v>15640</v>
      </c>
      <c r="AT1872" t="s">
        <v>1447</v>
      </c>
      <c r="AU1872">
        <v>2024</v>
      </c>
      <c r="AV1872">
        <v>6</v>
      </c>
      <c r="AW1872" t="s">
        <v>74</v>
      </c>
      <c r="AX1872" t="s">
        <v>74</v>
      </c>
      <c r="AY1872" t="s">
        <v>74</v>
      </c>
      <c r="AZ1872" t="s">
        <v>74</v>
      </c>
      <c r="BA1872" t="s">
        <v>74</v>
      </c>
      <c r="BB1872" t="s">
        <v>74</v>
      </c>
      <c r="BC1872" t="s">
        <v>74</v>
      </c>
      <c r="BD1872">
        <v>1415403</v>
      </c>
      <c r="BE1872" t="s">
        <v>31821</v>
      </c>
      <c r="BF1872" t="str">
        <f>HYPERLINK("http://dx.doi.org/10.3389/fpos.2024.1415403","http://dx.doi.org/10.3389/fpos.2024.1415403")</f>
        <v>http://dx.doi.org/10.3389/fpos.2024.1415403</v>
      </c>
      <c r="BG1872" t="s">
        <v>74</v>
      </c>
      <c r="BH1872" t="s">
        <v>74</v>
      </c>
      <c r="BI1872">
        <v>13</v>
      </c>
      <c r="BJ1872" t="s">
        <v>1004</v>
      </c>
      <c r="BK1872" t="s">
        <v>125</v>
      </c>
      <c r="BL1872" t="s">
        <v>1005</v>
      </c>
      <c r="BM1872" t="s">
        <v>31822</v>
      </c>
      <c r="BN1872" t="s">
        <v>74</v>
      </c>
      <c r="BO1872" t="s">
        <v>235</v>
      </c>
      <c r="BP1872" t="s">
        <v>74</v>
      </c>
      <c r="BQ1872" t="s">
        <v>74</v>
      </c>
      <c r="BR1872" t="s">
        <v>102</v>
      </c>
      <c r="BS1872" t="s">
        <v>31823</v>
      </c>
      <c r="BT1872" t="str">
        <f>HYPERLINK("https%3A%2F%2Fwww.webofscience.com%2Fwos%2Fwoscc%2Ffull-record%2FWOS:001268781200001","View Full Record in Web of Science")</f>
        <v>View Full Record in Web of Science</v>
      </c>
    </row>
    <row r="1873" spans="1:72" x14ac:dyDescent="0.35">
      <c r="A1873" t="s">
        <v>72</v>
      </c>
      <c r="B1873" t="s">
        <v>31824</v>
      </c>
      <c r="C1873" t="s">
        <v>74</v>
      </c>
      <c r="D1873" t="s">
        <v>74</v>
      </c>
      <c r="E1873" t="s">
        <v>74</v>
      </c>
      <c r="F1873" t="s">
        <v>31825</v>
      </c>
      <c r="G1873" t="s">
        <v>74</v>
      </c>
      <c r="H1873" t="s">
        <v>74</v>
      </c>
      <c r="I1873" t="s">
        <v>31826</v>
      </c>
      <c r="J1873" t="s">
        <v>7997</v>
      </c>
      <c r="K1873" t="s">
        <v>74</v>
      </c>
      <c r="L1873" t="s">
        <v>74</v>
      </c>
      <c r="M1873" t="s">
        <v>78</v>
      </c>
      <c r="N1873" t="s">
        <v>108</v>
      </c>
      <c r="O1873" t="s">
        <v>74</v>
      </c>
      <c r="P1873" t="s">
        <v>74</v>
      </c>
      <c r="Q1873" t="s">
        <v>74</v>
      </c>
      <c r="R1873" t="s">
        <v>74</v>
      </c>
      <c r="S1873" t="s">
        <v>74</v>
      </c>
      <c r="T1873" t="s">
        <v>31827</v>
      </c>
      <c r="U1873" t="s">
        <v>74</v>
      </c>
      <c r="V1873" t="s">
        <v>31828</v>
      </c>
      <c r="W1873" t="s">
        <v>31829</v>
      </c>
      <c r="X1873" t="s">
        <v>31830</v>
      </c>
      <c r="Y1873" t="s">
        <v>31831</v>
      </c>
      <c r="Z1873" t="s">
        <v>31832</v>
      </c>
      <c r="AA1873" t="s">
        <v>31833</v>
      </c>
      <c r="AB1873" t="s">
        <v>74</v>
      </c>
      <c r="AC1873" t="s">
        <v>31834</v>
      </c>
      <c r="AD1873" t="s">
        <v>31835</v>
      </c>
      <c r="AE1873" t="s">
        <v>31836</v>
      </c>
      <c r="AF1873" t="s">
        <v>74</v>
      </c>
      <c r="AG1873">
        <v>33</v>
      </c>
      <c r="AH1873">
        <v>0</v>
      </c>
      <c r="AI1873">
        <v>0</v>
      </c>
      <c r="AJ1873">
        <v>4</v>
      </c>
      <c r="AK1873">
        <v>4</v>
      </c>
      <c r="AL1873" t="s">
        <v>8006</v>
      </c>
      <c r="AM1873" t="s">
        <v>8007</v>
      </c>
      <c r="AN1873" t="s">
        <v>8008</v>
      </c>
      <c r="AO1873" t="s">
        <v>8009</v>
      </c>
      <c r="AP1873" t="s">
        <v>8010</v>
      </c>
      <c r="AQ1873" t="s">
        <v>74</v>
      </c>
      <c r="AR1873" t="s">
        <v>8011</v>
      </c>
      <c r="AS1873" t="s">
        <v>8012</v>
      </c>
      <c r="AT1873" t="s">
        <v>930</v>
      </c>
      <c r="AU1873">
        <v>2024</v>
      </c>
      <c r="AV1873">
        <v>14</v>
      </c>
      <c r="AW1873">
        <v>1</v>
      </c>
      <c r="AX1873" t="s">
        <v>74</v>
      </c>
      <c r="AY1873" t="s">
        <v>74</v>
      </c>
      <c r="AZ1873" t="s">
        <v>74</v>
      </c>
      <c r="BA1873" t="s">
        <v>74</v>
      </c>
      <c r="BB1873">
        <v>148</v>
      </c>
      <c r="BC1873">
        <v>159</v>
      </c>
      <c r="BD1873" t="s">
        <v>74</v>
      </c>
      <c r="BE1873" t="s">
        <v>31837</v>
      </c>
      <c r="BF1873" t="str">
        <f>HYPERLINK("http://dx.doi.org/10.26618/ojip.v14i1.12423","http://dx.doi.org/10.26618/ojip.v14i1.12423")</f>
        <v>http://dx.doi.org/10.26618/ojip.v14i1.12423</v>
      </c>
      <c r="BG1873" t="s">
        <v>74</v>
      </c>
      <c r="BH1873" t="s">
        <v>74</v>
      </c>
      <c r="BI1873">
        <v>12</v>
      </c>
      <c r="BJ1873" t="s">
        <v>8014</v>
      </c>
      <c r="BK1873" t="s">
        <v>125</v>
      </c>
      <c r="BL1873" t="s">
        <v>8015</v>
      </c>
      <c r="BM1873" t="s">
        <v>31838</v>
      </c>
      <c r="BN1873" t="s">
        <v>74</v>
      </c>
      <c r="BO1873" t="s">
        <v>235</v>
      </c>
      <c r="BP1873" t="s">
        <v>74</v>
      </c>
      <c r="BQ1873" t="s">
        <v>74</v>
      </c>
      <c r="BR1873" t="s">
        <v>102</v>
      </c>
      <c r="BS1873" t="s">
        <v>31839</v>
      </c>
      <c r="BT1873" t="str">
        <f>HYPERLINK("https%3A%2F%2Fwww.webofscience.com%2Fwos%2Fwoscc%2Ffull-record%2FWOS:001221624100001","View Full Record in Web of Science")</f>
        <v>View Full Record in Web of Science</v>
      </c>
    </row>
    <row r="1874" spans="1:72" x14ac:dyDescent="0.35">
      <c r="A1874" t="s">
        <v>72</v>
      </c>
      <c r="B1874" t="s">
        <v>31840</v>
      </c>
      <c r="C1874" t="s">
        <v>74</v>
      </c>
      <c r="D1874" t="s">
        <v>74</v>
      </c>
      <c r="E1874" t="s">
        <v>74</v>
      </c>
      <c r="F1874" t="s">
        <v>31841</v>
      </c>
      <c r="G1874" t="s">
        <v>74</v>
      </c>
      <c r="H1874" t="s">
        <v>74</v>
      </c>
      <c r="I1874" t="s">
        <v>31842</v>
      </c>
      <c r="J1874" t="s">
        <v>31843</v>
      </c>
      <c r="K1874" t="s">
        <v>74</v>
      </c>
      <c r="L1874" t="s">
        <v>74</v>
      </c>
      <c r="M1874" t="s">
        <v>78</v>
      </c>
      <c r="N1874" t="s">
        <v>108</v>
      </c>
      <c r="O1874" t="s">
        <v>74</v>
      </c>
      <c r="P1874" t="s">
        <v>74</v>
      </c>
      <c r="Q1874" t="s">
        <v>74</v>
      </c>
      <c r="R1874" t="s">
        <v>74</v>
      </c>
      <c r="S1874" t="s">
        <v>74</v>
      </c>
      <c r="T1874" t="s">
        <v>31844</v>
      </c>
      <c r="U1874" t="s">
        <v>31845</v>
      </c>
      <c r="V1874" t="s">
        <v>31846</v>
      </c>
      <c r="W1874" t="s">
        <v>31847</v>
      </c>
      <c r="X1874" t="s">
        <v>31848</v>
      </c>
      <c r="Y1874" t="s">
        <v>31849</v>
      </c>
      <c r="Z1874" t="s">
        <v>31850</v>
      </c>
      <c r="AA1874" t="s">
        <v>74</v>
      </c>
      <c r="AB1874" t="s">
        <v>31851</v>
      </c>
      <c r="AC1874" t="s">
        <v>74</v>
      </c>
      <c r="AD1874" t="s">
        <v>74</v>
      </c>
      <c r="AE1874" t="s">
        <v>74</v>
      </c>
      <c r="AF1874" t="s">
        <v>74</v>
      </c>
      <c r="AG1874">
        <v>80</v>
      </c>
      <c r="AH1874">
        <v>36</v>
      </c>
      <c r="AI1874">
        <v>37</v>
      </c>
      <c r="AJ1874">
        <v>61</v>
      </c>
      <c r="AK1874">
        <v>470</v>
      </c>
      <c r="AL1874" t="s">
        <v>199</v>
      </c>
      <c r="AM1874" t="s">
        <v>15416</v>
      </c>
      <c r="AN1874" t="s">
        <v>15417</v>
      </c>
      <c r="AO1874" t="s">
        <v>31852</v>
      </c>
      <c r="AP1874" t="s">
        <v>31853</v>
      </c>
      <c r="AQ1874" t="s">
        <v>74</v>
      </c>
      <c r="AR1874" t="s">
        <v>31854</v>
      </c>
      <c r="AS1874" t="s">
        <v>31855</v>
      </c>
      <c r="AT1874" t="s">
        <v>31856</v>
      </c>
      <c r="AU1874">
        <v>2023</v>
      </c>
      <c r="AV1874">
        <v>36</v>
      </c>
      <c r="AW1874">
        <v>1</v>
      </c>
      <c r="AX1874" t="s">
        <v>74</v>
      </c>
      <c r="AY1874" t="s">
        <v>74</v>
      </c>
      <c r="AZ1874" t="s">
        <v>74</v>
      </c>
      <c r="BA1874" t="s">
        <v>74</v>
      </c>
      <c r="BB1874">
        <v>387</v>
      </c>
      <c r="BC1874">
        <v>408</v>
      </c>
      <c r="BD1874" t="s">
        <v>74</v>
      </c>
      <c r="BE1874" t="s">
        <v>31857</v>
      </c>
      <c r="BF1874" t="str">
        <f>HYPERLINK("http://dx.doi.org/10.1108/ITP-04-2020-0186","http://dx.doi.org/10.1108/ITP-04-2020-0186")</f>
        <v>http://dx.doi.org/10.1108/ITP-04-2020-0186</v>
      </c>
      <c r="BG1874" t="s">
        <v>74</v>
      </c>
      <c r="BH1874" t="s">
        <v>259</v>
      </c>
      <c r="BI1874">
        <v>22</v>
      </c>
      <c r="BJ1874" t="s">
        <v>1162</v>
      </c>
      <c r="BK1874" t="s">
        <v>99</v>
      </c>
      <c r="BL1874" t="s">
        <v>1162</v>
      </c>
      <c r="BM1874" t="s">
        <v>31858</v>
      </c>
      <c r="BN1874" t="s">
        <v>74</v>
      </c>
      <c r="BO1874" t="s">
        <v>74</v>
      </c>
      <c r="BP1874" t="s">
        <v>74</v>
      </c>
      <c r="BQ1874" t="s">
        <v>74</v>
      </c>
      <c r="BR1874" t="s">
        <v>102</v>
      </c>
      <c r="BS1874" t="s">
        <v>31859</v>
      </c>
      <c r="BT1874" t="str">
        <f>HYPERLINK("https%3A%2F%2Fwww.webofscience.com%2Fwos%2Fwoscc%2Ffull-record%2FWOS:000763388300001","View Full Record in Web of Science")</f>
        <v>View Full Record in Web of Science</v>
      </c>
    </row>
    <row r="1875" spans="1:72" x14ac:dyDescent="0.35">
      <c r="A1875" t="s">
        <v>128</v>
      </c>
      <c r="B1875" t="s">
        <v>31860</v>
      </c>
      <c r="C1875" t="s">
        <v>74</v>
      </c>
      <c r="D1875" t="s">
        <v>74</v>
      </c>
      <c r="E1875" t="s">
        <v>4235</v>
      </c>
      <c r="F1875" t="s">
        <v>31861</v>
      </c>
      <c r="G1875" t="s">
        <v>74</v>
      </c>
      <c r="H1875" t="s">
        <v>74</v>
      </c>
      <c r="I1875" t="s">
        <v>31862</v>
      </c>
      <c r="J1875" t="s">
        <v>31863</v>
      </c>
      <c r="K1875" t="s">
        <v>74</v>
      </c>
      <c r="L1875" t="s">
        <v>74</v>
      </c>
      <c r="M1875" t="s">
        <v>78</v>
      </c>
      <c r="N1875" t="s">
        <v>135</v>
      </c>
      <c r="O1875" t="s">
        <v>31864</v>
      </c>
      <c r="P1875" t="s">
        <v>31865</v>
      </c>
      <c r="Q1875" t="s">
        <v>138</v>
      </c>
      <c r="R1875" t="s">
        <v>31866</v>
      </c>
      <c r="S1875" t="s">
        <v>74</v>
      </c>
      <c r="T1875" t="s">
        <v>31867</v>
      </c>
      <c r="U1875" t="s">
        <v>31868</v>
      </c>
      <c r="V1875" t="s">
        <v>31869</v>
      </c>
      <c r="W1875" t="s">
        <v>31870</v>
      </c>
      <c r="X1875" t="s">
        <v>714</v>
      </c>
      <c r="Y1875" t="s">
        <v>31871</v>
      </c>
      <c r="Z1875" t="s">
        <v>31872</v>
      </c>
      <c r="AA1875" t="s">
        <v>31873</v>
      </c>
      <c r="AB1875" t="s">
        <v>31874</v>
      </c>
      <c r="AC1875" t="s">
        <v>31875</v>
      </c>
      <c r="AD1875" t="s">
        <v>31876</v>
      </c>
      <c r="AE1875" t="s">
        <v>31877</v>
      </c>
      <c r="AF1875" t="s">
        <v>74</v>
      </c>
      <c r="AG1875">
        <v>107</v>
      </c>
      <c r="AH1875">
        <v>23</v>
      </c>
      <c r="AI1875">
        <v>24</v>
      </c>
      <c r="AJ1875">
        <v>0</v>
      </c>
      <c r="AK1875">
        <v>8</v>
      </c>
      <c r="AL1875" t="s">
        <v>718</v>
      </c>
      <c r="AM1875" t="s">
        <v>666</v>
      </c>
      <c r="AN1875" t="s">
        <v>719</v>
      </c>
      <c r="AO1875" t="s">
        <v>74</v>
      </c>
      <c r="AP1875" t="s">
        <v>74</v>
      </c>
      <c r="AQ1875" t="s">
        <v>31878</v>
      </c>
      <c r="AR1875" t="s">
        <v>74</v>
      </c>
      <c r="AS1875" t="s">
        <v>74</v>
      </c>
      <c r="AT1875" t="s">
        <v>74</v>
      </c>
      <c r="AU1875">
        <v>2020</v>
      </c>
      <c r="AV1875" t="s">
        <v>74</v>
      </c>
      <c r="AW1875" t="s">
        <v>74</v>
      </c>
      <c r="AX1875" t="s">
        <v>74</v>
      </c>
      <c r="AY1875" t="s">
        <v>74</v>
      </c>
      <c r="AZ1875" t="s">
        <v>74</v>
      </c>
      <c r="BA1875" t="s">
        <v>74</v>
      </c>
      <c r="BB1875">
        <v>569</v>
      </c>
      <c r="BC1875">
        <v>585</v>
      </c>
      <c r="BD1875" t="s">
        <v>74</v>
      </c>
      <c r="BE1875" t="s">
        <v>31879</v>
      </c>
      <c r="BF1875" t="str">
        <f>HYPERLINK("http://dx.doi.org/10.1145/3372297.3417255","http://dx.doi.org/10.1145/3372297.3417255")</f>
        <v>http://dx.doi.org/10.1145/3372297.3417255</v>
      </c>
      <c r="BG1875" t="s">
        <v>74</v>
      </c>
      <c r="BH1875" t="s">
        <v>74</v>
      </c>
      <c r="BI1875">
        <v>17</v>
      </c>
      <c r="BJ1875" t="s">
        <v>6841</v>
      </c>
      <c r="BK1875" t="s">
        <v>723</v>
      </c>
      <c r="BL1875" t="s">
        <v>1699</v>
      </c>
      <c r="BM1875" t="s">
        <v>31880</v>
      </c>
      <c r="BN1875" t="s">
        <v>74</v>
      </c>
      <c r="BO1875" t="s">
        <v>74</v>
      </c>
      <c r="BP1875" t="s">
        <v>74</v>
      </c>
      <c r="BQ1875" t="s">
        <v>74</v>
      </c>
      <c r="BR1875" t="s">
        <v>102</v>
      </c>
      <c r="BS1875" t="s">
        <v>31881</v>
      </c>
      <c r="BT1875" t="str">
        <f>HYPERLINK("https%3A%2F%2Fwww.webofscience.com%2Fwos%2Fwoscc%2Ffull-record%2FWOS:000768470400037","View Full Record in Web of Science")</f>
        <v>View Full Record in Web of Science</v>
      </c>
    </row>
    <row r="1876" spans="1:72" x14ac:dyDescent="0.35">
      <c r="A1876" t="s">
        <v>72</v>
      </c>
      <c r="B1876" t="s">
        <v>31882</v>
      </c>
      <c r="C1876" t="s">
        <v>74</v>
      </c>
      <c r="D1876" t="s">
        <v>74</v>
      </c>
      <c r="E1876" t="s">
        <v>74</v>
      </c>
      <c r="F1876" t="s">
        <v>31883</v>
      </c>
      <c r="G1876" t="s">
        <v>74</v>
      </c>
      <c r="H1876" t="s">
        <v>74</v>
      </c>
      <c r="I1876" t="s">
        <v>31884</v>
      </c>
      <c r="J1876" t="s">
        <v>31885</v>
      </c>
      <c r="K1876" t="s">
        <v>74</v>
      </c>
      <c r="L1876" t="s">
        <v>74</v>
      </c>
      <c r="M1876" t="s">
        <v>78</v>
      </c>
      <c r="N1876" t="s">
        <v>108</v>
      </c>
      <c r="O1876" t="s">
        <v>74</v>
      </c>
      <c r="P1876" t="s">
        <v>74</v>
      </c>
      <c r="Q1876" t="s">
        <v>74</v>
      </c>
      <c r="R1876" t="s">
        <v>74</v>
      </c>
      <c r="S1876" t="s">
        <v>74</v>
      </c>
      <c r="T1876" t="s">
        <v>31886</v>
      </c>
      <c r="U1876" t="s">
        <v>74</v>
      </c>
      <c r="V1876" t="s">
        <v>31887</v>
      </c>
      <c r="W1876" t="s">
        <v>31888</v>
      </c>
      <c r="X1876" t="s">
        <v>31889</v>
      </c>
      <c r="Y1876" t="s">
        <v>31890</v>
      </c>
      <c r="Z1876" t="s">
        <v>31891</v>
      </c>
      <c r="AA1876" t="s">
        <v>74</v>
      </c>
      <c r="AB1876" t="s">
        <v>74</v>
      </c>
      <c r="AC1876" t="s">
        <v>74</v>
      </c>
      <c r="AD1876" t="s">
        <v>74</v>
      </c>
      <c r="AE1876" t="s">
        <v>74</v>
      </c>
      <c r="AF1876" t="s">
        <v>74</v>
      </c>
      <c r="AG1876">
        <v>25</v>
      </c>
      <c r="AH1876">
        <v>0</v>
      </c>
      <c r="AI1876">
        <v>0</v>
      </c>
      <c r="AJ1876">
        <v>2</v>
      </c>
      <c r="AK1876">
        <v>4</v>
      </c>
      <c r="AL1876" t="s">
        <v>226</v>
      </c>
      <c r="AM1876" t="s">
        <v>227</v>
      </c>
      <c r="AN1876" t="s">
        <v>228</v>
      </c>
      <c r="AO1876" t="s">
        <v>31892</v>
      </c>
      <c r="AP1876" t="s">
        <v>31893</v>
      </c>
      <c r="AQ1876" t="s">
        <v>74</v>
      </c>
      <c r="AR1876" t="s">
        <v>31894</v>
      </c>
      <c r="AS1876" t="s">
        <v>31895</v>
      </c>
      <c r="AT1876" t="s">
        <v>232</v>
      </c>
      <c r="AU1876">
        <v>2024</v>
      </c>
      <c r="AV1876">
        <v>32</v>
      </c>
      <c r="AW1876">
        <v>1</v>
      </c>
      <c r="AX1876" t="s">
        <v>74</v>
      </c>
      <c r="AY1876" t="s">
        <v>74</v>
      </c>
      <c r="AZ1876" t="s">
        <v>74</v>
      </c>
      <c r="BA1876" t="s">
        <v>74</v>
      </c>
      <c r="BB1876" t="s">
        <v>74</v>
      </c>
      <c r="BC1876" t="s">
        <v>74</v>
      </c>
      <c r="BD1876">
        <v>1.0225536231224832E+16</v>
      </c>
      <c r="BE1876" t="s">
        <v>31896</v>
      </c>
      <c r="BF1876" t="str">
        <f>HYPERLINK("http://dx.doi.org/10.1177/10225536231224833","http://dx.doi.org/10.1177/10225536231224833")</f>
        <v>http://dx.doi.org/10.1177/10225536231224833</v>
      </c>
      <c r="BG1876" t="s">
        <v>74</v>
      </c>
      <c r="BH1876" t="s">
        <v>74</v>
      </c>
      <c r="BI1876">
        <v>7</v>
      </c>
      <c r="BJ1876" t="s">
        <v>31897</v>
      </c>
      <c r="BK1876" t="s">
        <v>209</v>
      </c>
      <c r="BL1876" t="s">
        <v>31897</v>
      </c>
      <c r="BM1876" t="s">
        <v>31898</v>
      </c>
      <c r="BN1876">
        <v>38205828</v>
      </c>
      <c r="BO1876" t="s">
        <v>235</v>
      </c>
      <c r="BP1876" t="s">
        <v>74</v>
      </c>
      <c r="BQ1876" t="s">
        <v>74</v>
      </c>
      <c r="BR1876" t="s">
        <v>102</v>
      </c>
      <c r="BS1876" t="s">
        <v>31899</v>
      </c>
      <c r="BT1876" t="str">
        <f>HYPERLINK("https%3A%2F%2Fwww.webofscience.com%2Fwos%2Fwoscc%2Ffull-record%2FWOS:001140699700001","View Full Record in Web of Science")</f>
        <v>View Full Record in Web of Science</v>
      </c>
    </row>
    <row r="1877" spans="1:72" x14ac:dyDescent="0.35">
      <c r="A1877" t="s">
        <v>72</v>
      </c>
      <c r="B1877" t="s">
        <v>31900</v>
      </c>
      <c r="C1877" t="s">
        <v>74</v>
      </c>
      <c r="D1877" t="s">
        <v>74</v>
      </c>
      <c r="E1877" t="s">
        <v>74</v>
      </c>
      <c r="F1877" t="s">
        <v>31901</v>
      </c>
      <c r="G1877" t="s">
        <v>74</v>
      </c>
      <c r="H1877" t="s">
        <v>74</v>
      </c>
      <c r="I1877" t="s">
        <v>31902</v>
      </c>
      <c r="J1877" t="s">
        <v>31903</v>
      </c>
      <c r="K1877" t="s">
        <v>74</v>
      </c>
      <c r="L1877" t="s">
        <v>74</v>
      </c>
      <c r="M1877" t="s">
        <v>78</v>
      </c>
      <c r="N1877" t="s">
        <v>108</v>
      </c>
      <c r="O1877" t="s">
        <v>74</v>
      </c>
      <c r="P1877" t="s">
        <v>74</v>
      </c>
      <c r="Q1877" t="s">
        <v>74</v>
      </c>
      <c r="R1877" t="s">
        <v>74</v>
      </c>
      <c r="S1877" t="s">
        <v>74</v>
      </c>
      <c r="T1877" t="s">
        <v>31904</v>
      </c>
      <c r="U1877" t="s">
        <v>1800</v>
      </c>
      <c r="V1877" t="s">
        <v>31905</v>
      </c>
      <c r="W1877" t="s">
        <v>31906</v>
      </c>
      <c r="X1877" t="s">
        <v>31907</v>
      </c>
      <c r="Y1877" t="s">
        <v>31908</v>
      </c>
      <c r="Z1877" t="s">
        <v>31909</v>
      </c>
      <c r="AA1877" t="s">
        <v>31910</v>
      </c>
      <c r="AB1877" t="s">
        <v>31911</v>
      </c>
      <c r="AC1877" t="s">
        <v>31912</v>
      </c>
      <c r="AD1877" t="s">
        <v>31913</v>
      </c>
      <c r="AE1877" t="s">
        <v>31914</v>
      </c>
      <c r="AF1877" t="s">
        <v>74</v>
      </c>
      <c r="AG1877">
        <v>49</v>
      </c>
      <c r="AH1877">
        <v>0</v>
      </c>
      <c r="AI1877">
        <v>0</v>
      </c>
      <c r="AJ1877">
        <v>2</v>
      </c>
      <c r="AK1877">
        <v>18</v>
      </c>
      <c r="AL1877" t="s">
        <v>88</v>
      </c>
      <c r="AM1877" t="s">
        <v>89</v>
      </c>
      <c r="AN1877" t="s">
        <v>90</v>
      </c>
      <c r="AO1877" t="s">
        <v>31915</v>
      </c>
      <c r="AP1877" t="s">
        <v>31916</v>
      </c>
      <c r="AQ1877" t="s">
        <v>74</v>
      </c>
      <c r="AR1877" t="s">
        <v>31917</v>
      </c>
      <c r="AS1877" t="s">
        <v>31918</v>
      </c>
      <c r="AT1877" t="s">
        <v>498</v>
      </c>
      <c r="AU1877">
        <v>2024</v>
      </c>
      <c r="AV1877">
        <v>21</v>
      </c>
      <c r="AW1877">
        <v>3</v>
      </c>
      <c r="AX1877" t="s">
        <v>74</v>
      </c>
      <c r="AY1877" t="s">
        <v>74</v>
      </c>
      <c r="AZ1877" t="s">
        <v>74</v>
      </c>
      <c r="BA1877" t="s">
        <v>74</v>
      </c>
      <c r="BB1877">
        <v>1680</v>
      </c>
      <c r="BC1877">
        <v>1699</v>
      </c>
      <c r="BD1877" t="s">
        <v>74</v>
      </c>
      <c r="BE1877" t="s">
        <v>31919</v>
      </c>
      <c r="BF1877" t="str">
        <f>HYPERLINK("http://dx.doi.org/10.1080/14790718.2023.2205142","http://dx.doi.org/10.1080/14790718.2023.2205142")</f>
        <v>http://dx.doi.org/10.1080/14790718.2023.2205142</v>
      </c>
      <c r="BG1877" t="s">
        <v>74</v>
      </c>
      <c r="BH1877" t="s">
        <v>180</v>
      </c>
      <c r="BI1877">
        <v>20</v>
      </c>
      <c r="BJ1877" t="s">
        <v>7934</v>
      </c>
      <c r="BK1877" t="s">
        <v>2125</v>
      </c>
      <c r="BL1877" t="s">
        <v>7935</v>
      </c>
      <c r="BM1877" t="s">
        <v>31920</v>
      </c>
      <c r="BN1877" t="s">
        <v>74</v>
      </c>
      <c r="BO1877" t="s">
        <v>156</v>
      </c>
      <c r="BP1877" t="s">
        <v>74</v>
      </c>
      <c r="BQ1877" t="s">
        <v>74</v>
      </c>
      <c r="BR1877" t="s">
        <v>102</v>
      </c>
      <c r="BS1877" t="s">
        <v>31921</v>
      </c>
      <c r="BT1877" t="str">
        <f>HYPERLINK("https%3A%2F%2Fwww.webofscience.com%2Fwos%2Fwoscc%2Ffull-record%2FWOS:000988230400001","View Full Record in Web of Science")</f>
        <v>View Full Record in Web of Science</v>
      </c>
    </row>
    <row r="1878" spans="1:72" x14ac:dyDescent="0.35">
      <c r="A1878" t="s">
        <v>72</v>
      </c>
      <c r="B1878" t="s">
        <v>31922</v>
      </c>
      <c r="C1878" t="s">
        <v>74</v>
      </c>
      <c r="D1878" t="s">
        <v>74</v>
      </c>
      <c r="E1878" t="s">
        <v>74</v>
      </c>
      <c r="F1878" t="s">
        <v>31923</v>
      </c>
      <c r="G1878" t="s">
        <v>74</v>
      </c>
      <c r="H1878" t="s">
        <v>74</v>
      </c>
      <c r="I1878" t="s">
        <v>31924</v>
      </c>
      <c r="J1878" t="s">
        <v>31925</v>
      </c>
      <c r="K1878" t="s">
        <v>74</v>
      </c>
      <c r="L1878" t="s">
        <v>74</v>
      </c>
      <c r="M1878" t="s">
        <v>78</v>
      </c>
      <c r="N1878" t="s">
        <v>108</v>
      </c>
      <c r="O1878" t="s">
        <v>74</v>
      </c>
      <c r="P1878" t="s">
        <v>74</v>
      </c>
      <c r="Q1878" t="s">
        <v>74</v>
      </c>
      <c r="R1878" t="s">
        <v>74</v>
      </c>
      <c r="S1878" t="s">
        <v>74</v>
      </c>
      <c r="T1878" t="s">
        <v>31926</v>
      </c>
      <c r="U1878" t="s">
        <v>74</v>
      </c>
      <c r="V1878" t="s">
        <v>31927</v>
      </c>
      <c r="W1878" t="s">
        <v>31928</v>
      </c>
      <c r="X1878" t="s">
        <v>74</v>
      </c>
      <c r="Y1878" t="s">
        <v>31929</v>
      </c>
      <c r="Z1878" t="s">
        <v>31930</v>
      </c>
      <c r="AA1878" t="s">
        <v>31931</v>
      </c>
      <c r="AB1878" t="s">
        <v>31932</v>
      </c>
      <c r="AC1878" t="s">
        <v>3651</v>
      </c>
      <c r="AD1878" t="s">
        <v>3651</v>
      </c>
      <c r="AE1878" t="s">
        <v>31933</v>
      </c>
      <c r="AF1878" t="s">
        <v>74</v>
      </c>
      <c r="AG1878">
        <v>47</v>
      </c>
      <c r="AH1878">
        <v>0</v>
      </c>
      <c r="AI1878">
        <v>0</v>
      </c>
      <c r="AJ1878">
        <v>4</v>
      </c>
      <c r="AK1878">
        <v>4</v>
      </c>
      <c r="AL1878" t="s">
        <v>1588</v>
      </c>
      <c r="AM1878" t="s">
        <v>1589</v>
      </c>
      <c r="AN1878" t="s">
        <v>1590</v>
      </c>
      <c r="AO1878" t="s">
        <v>31934</v>
      </c>
      <c r="AP1878" t="s">
        <v>31935</v>
      </c>
      <c r="AQ1878" t="s">
        <v>74</v>
      </c>
      <c r="AR1878" t="s">
        <v>31936</v>
      </c>
      <c r="AS1878" t="s">
        <v>31937</v>
      </c>
      <c r="AT1878" t="s">
        <v>455</v>
      </c>
      <c r="AU1878">
        <v>2024</v>
      </c>
      <c r="AV1878">
        <v>29</v>
      </c>
      <c r="AW1878">
        <v>3</v>
      </c>
      <c r="AX1878" t="s">
        <v>74</v>
      </c>
      <c r="AY1878" t="s">
        <v>74</v>
      </c>
      <c r="AZ1878" t="s">
        <v>74</v>
      </c>
      <c r="BA1878" t="s">
        <v>74</v>
      </c>
      <c r="BB1878">
        <v>343</v>
      </c>
      <c r="BC1878">
        <v>360</v>
      </c>
      <c r="BD1878" t="s">
        <v>74</v>
      </c>
      <c r="BE1878" t="s">
        <v>31938</v>
      </c>
      <c r="BF1878" t="str">
        <f>HYPERLINK("http://dx.doi.org/10.1057/s41282-024-00461-5","http://dx.doi.org/10.1057/s41282-024-00461-5")</f>
        <v>http://dx.doi.org/10.1057/s41282-024-00461-5</v>
      </c>
      <c r="BG1878" t="s">
        <v>74</v>
      </c>
      <c r="BH1878" t="s">
        <v>478</v>
      </c>
      <c r="BI1878">
        <v>18</v>
      </c>
      <c r="BJ1878" t="s">
        <v>98</v>
      </c>
      <c r="BK1878" t="s">
        <v>125</v>
      </c>
      <c r="BL1878" t="s">
        <v>100</v>
      </c>
      <c r="BM1878" t="s">
        <v>31939</v>
      </c>
      <c r="BN1878" t="s">
        <v>74</v>
      </c>
      <c r="BO1878" t="s">
        <v>156</v>
      </c>
      <c r="BP1878" t="s">
        <v>74</v>
      </c>
      <c r="BQ1878" t="s">
        <v>74</v>
      </c>
      <c r="BR1878" t="s">
        <v>102</v>
      </c>
      <c r="BS1878" t="s">
        <v>31940</v>
      </c>
      <c r="BT1878" t="str">
        <f>HYPERLINK("https%3A%2F%2Fwww.webofscience.com%2Fwos%2Fwoscc%2Ffull-record%2FWOS:001272941900001","View Full Record in Web of Science")</f>
        <v>View Full Record in Web of Science</v>
      </c>
    </row>
    <row r="1879" spans="1:72" x14ac:dyDescent="0.35">
      <c r="A1879" t="s">
        <v>72</v>
      </c>
      <c r="B1879" t="s">
        <v>31941</v>
      </c>
      <c r="C1879" t="s">
        <v>74</v>
      </c>
      <c r="D1879" t="s">
        <v>74</v>
      </c>
      <c r="E1879" t="s">
        <v>74</v>
      </c>
      <c r="F1879" t="s">
        <v>31942</v>
      </c>
      <c r="G1879" t="s">
        <v>74</v>
      </c>
      <c r="H1879" t="s">
        <v>74</v>
      </c>
      <c r="I1879" t="s">
        <v>31943</v>
      </c>
      <c r="J1879" t="s">
        <v>31944</v>
      </c>
      <c r="K1879" t="s">
        <v>74</v>
      </c>
      <c r="L1879" t="s">
        <v>74</v>
      </c>
      <c r="M1879" t="s">
        <v>78</v>
      </c>
      <c r="N1879" t="s">
        <v>108</v>
      </c>
      <c r="O1879" t="s">
        <v>74</v>
      </c>
      <c r="P1879" t="s">
        <v>74</v>
      </c>
      <c r="Q1879" t="s">
        <v>74</v>
      </c>
      <c r="R1879" t="s">
        <v>74</v>
      </c>
      <c r="S1879" t="s">
        <v>74</v>
      </c>
      <c r="T1879" t="s">
        <v>74</v>
      </c>
      <c r="U1879" t="s">
        <v>31945</v>
      </c>
      <c r="V1879" t="s">
        <v>31946</v>
      </c>
      <c r="W1879" t="s">
        <v>31947</v>
      </c>
      <c r="X1879" t="s">
        <v>31948</v>
      </c>
      <c r="Y1879" t="s">
        <v>31949</v>
      </c>
      <c r="Z1879" t="s">
        <v>31950</v>
      </c>
      <c r="AA1879" t="s">
        <v>31951</v>
      </c>
      <c r="AB1879" t="s">
        <v>31952</v>
      </c>
      <c r="AC1879" t="s">
        <v>31953</v>
      </c>
      <c r="AD1879" t="s">
        <v>31953</v>
      </c>
      <c r="AE1879" t="s">
        <v>31953</v>
      </c>
      <c r="AF1879" t="s">
        <v>74</v>
      </c>
      <c r="AG1879">
        <v>60</v>
      </c>
      <c r="AH1879">
        <v>0</v>
      </c>
      <c r="AI1879">
        <v>0</v>
      </c>
      <c r="AJ1879">
        <v>6</v>
      </c>
      <c r="AK1879">
        <v>15</v>
      </c>
      <c r="AL1879" t="s">
        <v>251</v>
      </c>
      <c r="AM1879" t="s">
        <v>252</v>
      </c>
      <c r="AN1879" t="s">
        <v>253</v>
      </c>
      <c r="AO1879" t="s">
        <v>31954</v>
      </c>
      <c r="AP1879" t="s">
        <v>31955</v>
      </c>
      <c r="AQ1879" t="s">
        <v>74</v>
      </c>
      <c r="AR1879" t="s">
        <v>31944</v>
      </c>
      <c r="AS1879" t="s">
        <v>31956</v>
      </c>
      <c r="AT1879" t="s">
        <v>178</v>
      </c>
      <c r="AU1879">
        <v>2024</v>
      </c>
      <c r="AV1879">
        <v>77</v>
      </c>
      <c r="AW1879">
        <v>1</v>
      </c>
      <c r="AX1879" t="s">
        <v>74</v>
      </c>
      <c r="AY1879" t="s">
        <v>74</v>
      </c>
      <c r="AZ1879" t="s">
        <v>74</v>
      </c>
      <c r="BA1879" t="s">
        <v>74</v>
      </c>
      <c r="BB1879">
        <v>184</v>
      </c>
      <c r="BC1879">
        <v>212</v>
      </c>
      <c r="BD1879" t="s">
        <v>74</v>
      </c>
      <c r="BE1879" t="s">
        <v>31957</v>
      </c>
      <c r="BF1879" t="str">
        <f>HYPERLINK("http://dx.doi.org/10.1111/kykl.12363","http://dx.doi.org/10.1111/kykl.12363")</f>
        <v>http://dx.doi.org/10.1111/kykl.12363</v>
      </c>
      <c r="BG1879" t="s">
        <v>74</v>
      </c>
      <c r="BH1879" t="s">
        <v>674</v>
      </c>
      <c r="BI1879">
        <v>29</v>
      </c>
      <c r="BJ1879" t="s">
        <v>675</v>
      </c>
      <c r="BK1879" t="s">
        <v>99</v>
      </c>
      <c r="BL1879" t="s">
        <v>480</v>
      </c>
      <c r="BM1879" t="s">
        <v>31958</v>
      </c>
      <c r="BN1879" t="s">
        <v>74</v>
      </c>
      <c r="BO1879" t="s">
        <v>1343</v>
      </c>
      <c r="BP1879" t="s">
        <v>74</v>
      </c>
      <c r="BQ1879" t="s">
        <v>74</v>
      </c>
      <c r="BR1879" t="s">
        <v>102</v>
      </c>
      <c r="BS1879" t="s">
        <v>31959</v>
      </c>
      <c r="BT1879" t="str">
        <f>HYPERLINK("https%3A%2F%2Fwww.webofscience.com%2Fwos%2Fwoscc%2Ffull-record%2FWOS:001101728400001","View Full Record in Web of Science")</f>
        <v>View Full Record in Web of Science</v>
      </c>
    </row>
    <row r="1880" spans="1:72" x14ac:dyDescent="0.35">
      <c r="A1880" t="s">
        <v>72</v>
      </c>
      <c r="B1880" t="s">
        <v>31960</v>
      </c>
      <c r="C1880" t="s">
        <v>74</v>
      </c>
      <c r="D1880" t="s">
        <v>74</v>
      </c>
      <c r="E1880" t="s">
        <v>74</v>
      </c>
      <c r="F1880" t="s">
        <v>31961</v>
      </c>
      <c r="G1880" t="s">
        <v>74</v>
      </c>
      <c r="H1880" t="s">
        <v>74</v>
      </c>
      <c r="I1880" t="s">
        <v>31962</v>
      </c>
      <c r="J1880" t="s">
        <v>31963</v>
      </c>
      <c r="K1880" t="s">
        <v>74</v>
      </c>
      <c r="L1880" t="s">
        <v>74</v>
      </c>
      <c r="M1880" t="s">
        <v>3503</v>
      </c>
      <c r="N1880" t="s">
        <v>108</v>
      </c>
      <c r="O1880" t="s">
        <v>74</v>
      </c>
      <c r="P1880" t="s">
        <v>74</v>
      </c>
      <c r="Q1880" t="s">
        <v>74</v>
      </c>
      <c r="R1880" t="s">
        <v>74</v>
      </c>
      <c r="S1880" t="s">
        <v>74</v>
      </c>
      <c r="T1880" t="s">
        <v>31964</v>
      </c>
      <c r="U1880" t="s">
        <v>31965</v>
      </c>
      <c r="V1880" t="s">
        <v>31966</v>
      </c>
      <c r="W1880" t="s">
        <v>31967</v>
      </c>
      <c r="X1880" t="s">
        <v>31968</v>
      </c>
      <c r="Y1880" t="s">
        <v>31969</v>
      </c>
      <c r="Z1880" t="s">
        <v>20484</v>
      </c>
      <c r="AA1880" t="s">
        <v>31970</v>
      </c>
      <c r="AB1880" t="s">
        <v>20486</v>
      </c>
      <c r="AC1880" t="s">
        <v>74</v>
      </c>
      <c r="AD1880" t="s">
        <v>74</v>
      </c>
      <c r="AE1880" t="s">
        <v>74</v>
      </c>
      <c r="AF1880" t="s">
        <v>74</v>
      </c>
      <c r="AG1880">
        <v>100</v>
      </c>
      <c r="AH1880">
        <v>0</v>
      </c>
      <c r="AI1880">
        <v>0</v>
      </c>
      <c r="AJ1880">
        <v>5</v>
      </c>
      <c r="AK1880">
        <v>5</v>
      </c>
      <c r="AL1880" t="s">
        <v>21470</v>
      </c>
      <c r="AM1880" t="s">
        <v>7259</v>
      </c>
      <c r="AN1880" t="s">
        <v>31971</v>
      </c>
      <c r="AO1880" t="s">
        <v>31972</v>
      </c>
      <c r="AP1880" t="s">
        <v>74</v>
      </c>
      <c r="AQ1880" t="s">
        <v>74</v>
      </c>
      <c r="AR1880" t="s">
        <v>31973</v>
      </c>
      <c r="AS1880" t="s">
        <v>31974</v>
      </c>
      <c r="AT1880" t="s">
        <v>74</v>
      </c>
      <c r="AU1880">
        <v>2023</v>
      </c>
      <c r="AV1880" t="s">
        <v>74</v>
      </c>
      <c r="AW1880">
        <v>27</v>
      </c>
      <c r="AX1880" t="s">
        <v>74</v>
      </c>
      <c r="AY1880" t="s">
        <v>74</v>
      </c>
      <c r="AZ1880" t="s">
        <v>74</v>
      </c>
      <c r="BA1880" t="s">
        <v>74</v>
      </c>
      <c r="BB1880">
        <v>215</v>
      </c>
      <c r="BC1880">
        <v>233</v>
      </c>
      <c r="BD1880" t="s">
        <v>74</v>
      </c>
      <c r="BE1880" t="s">
        <v>31975</v>
      </c>
      <c r="BF1880" t="str">
        <f>HYPERLINK("http://dx.doi.org/10.48047/fjc.27.01.13","http://dx.doi.org/10.48047/fjc.27.01.13")</f>
        <v>http://dx.doi.org/10.48047/fjc.27.01.13</v>
      </c>
      <c r="BG1880" t="s">
        <v>74</v>
      </c>
      <c r="BH1880" t="s">
        <v>74</v>
      </c>
      <c r="BI1880">
        <v>19</v>
      </c>
      <c r="BJ1880" t="s">
        <v>124</v>
      </c>
      <c r="BK1880" t="s">
        <v>125</v>
      </c>
      <c r="BL1880" t="s">
        <v>124</v>
      </c>
      <c r="BM1880" t="s">
        <v>31976</v>
      </c>
      <c r="BN1880" t="s">
        <v>74</v>
      </c>
      <c r="BO1880" t="s">
        <v>896</v>
      </c>
      <c r="BP1880" t="s">
        <v>74</v>
      </c>
      <c r="BQ1880" t="s">
        <v>74</v>
      </c>
      <c r="BR1880" t="s">
        <v>102</v>
      </c>
      <c r="BS1880" t="s">
        <v>31977</v>
      </c>
      <c r="BT1880" t="str">
        <f>HYPERLINK("https%3A%2F%2Fwww.webofscience.com%2Fwos%2Fwoscc%2Ffull-record%2FWOS:001253944000011","View Full Record in Web of Science")</f>
        <v>View Full Record in Web of Science</v>
      </c>
    </row>
    <row r="1881" spans="1:72" x14ac:dyDescent="0.35">
      <c r="A1881" t="s">
        <v>128</v>
      </c>
      <c r="B1881" t="s">
        <v>31978</v>
      </c>
      <c r="C1881" t="s">
        <v>74</v>
      </c>
      <c r="D1881" t="s">
        <v>31979</v>
      </c>
      <c r="E1881" t="s">
        <v>74</v>
      </c>
      <c r="F1881" t="s">
        <v>31980</v>
      </c>
      <c r="G1881" t="s">
        <v>74</v>
      </c>
      <c r="H1881" t="s">
        <v>74</v>
      </c>
      <c r="I1881" t="s">
        <v>31981</v>
      </c>
      <c r="J1881" t="s">
        <v>31982</v>
      </c>
      <c r="K1881" t="s">
        <v>8364</v>
      </c>
      <c r="L1881" t="s">
        <v>74</v>
      </c>
      <c r="M1881" t="s">
        <v>78</v>
      </c>
      <c r="N1881" t="s">
        <v>135</v>
      </c>
      <c r="O1881" t="s">
        <v>31983</v>
      </c>
      <c r="P1881" t="s">
        <v>31984</v>
      </c>
      <c r="Q1881" t="s">
        <v>31985</v>
      </c>
      <c r="R1881" t="s">
        <v>74</v>
      </c>
      <c r="S1881" t="s">
        <v>74</v>
      </c>
      <c r="T1881" t="s">
        <v>31986</v>
      </c>
      <c r="U1881" t="s">
        <v>74</v>
      </c>
      <c r="V1881" t="s">
        <v>31987</v>
      </c>
      <c r="W1881" t="s">
        <v>31988</v>
      </c>
      <c r="X1881" t="s">
        <v>31989</v>
      </c>
      <c r="Y1881" t="s">
        <v>31990</v>
      </c>
      <c r="Z1881" t="s">
        <v>31991</v>
      </c>
      <c r="AA1881" t="s">
        <v>31992</v>
      </c>
      <c r="AB1881" t="s">
        <v>74</v>
      </c>
      <c r="AC1881" t="s">
        <v>74</v>
      </c>
      <c r="AD1881" t="s">
        <v>74</v>
      </c>
      <c r="AE1881" t="s">
        <v>74</v>
      </c>
      <c r="AF1881" t="s">
        <v>74</v>
      </c>
      <c r="AG1881">
        <v>40</v>
      </c>
      <c r="AH1881">
        <v>0</v>
      </c>
      <c r="AI1881">
        <v>0</v>
      </c>
      <c r="AJ1881">
        <v>0</v>
      </c>
      <c r="AK1881">
        <v>0</v>
      </c>
      <c r="AL1881" t="s">
        <v>17636</v>
      </c>
      <c r="AM1881" t="s">
        <v>15140</v>
      </c>
      <c r="AN1881" t="s">
        <v>17637</v>
      </c>
      <c r="AO1881" t="s">
        <v>8380</v>
      </c>
      <c r="AP1881" t="s">
        <v>8381</v>
      </c>
      <c r="AQ1881" t="s">
        <v>31993</v>
      </c>
      <c r="AR1881" t="s">
        <v>8383</v>
      </c>
      <c r="AS1881" t="s">
        <v>74</v>
      </c>
      <c r="AT1881" t="s">
        <v>74</v>
      </c>
      <c r="AU1881">
        <v>2024</v>
      </c>
      <c r="AV1881">
        <v>14962</v>
      </c>
      <c r="AW1881" t="s">
        <v>74</v>
      </c>
      <c r="AX1881" t="s">
        <v>74</v>
      </c>
      <c r="AY1881" t="s">
        <v>74</v>
      </c>
      <c r="AZ1881" t="s">
        <v>74</v>
      </c>
      <c r="BA1881" t="s">
        <v>74</v>
      </c>
      <c r="BB1881">
        <v>193</v>
      </c>
      <c r="BC1881">
        <v>208</v>
      </c>
      <c r="BD1881" t="s">
        <v>74</v>
      </c>
      <c r="BE1881" t="s">
        <v>31994</v>
      </c>
      <c r="BF1881" t="str">
        <f>HYPERLINK("http://dx.doi.org/10.1007/978-981-97-7235-3_13","http://dx.doi.org/10.1007/978-981-97-7235-3_13")</f>
        <v>http://dx.doi.org/10.1007/978-981-97-7235-3_13</v>
      </c>
      <c r="BG1881" t="s">
        <v>74</v>
      </c>
      <c r="BH1881" t="s">
        <v>74</v>
      </c>
      <c r="BI1881">
        <v>16</v>
      </c>
      <c r="BJ1881" t="s">
        <v>31995</v>
      </c>
      <c r="BK1881" t="s">
        <v>723</v>
      </c>
      <c r="BL1881" t="s">
        <v>1699</v>
      </c>
      <c r="BM1881" t="s">
        <v>31996</v>
      </c>
      <c r="BN1881" t="s">
        <v>74</v>
      </c>
      <c r="BO1881" t="s">
        <v>74</v>
      </c>
      <c r="BP1881" t="s">
        <v>74</v>
      </c>
      <c r="BQ1881" t="s">
        <v>74</v>
      </c>
      <c r="BR1881" t="s">
        <v>102</v>
      </c>
      <c r="BS1881" t="s">
        <v>31997</v>
      </c>
      <c r="BT1881" t="str">
        <f>HYPERLINK("https%3A%2F%2Fwww.webofscience.com%2Fwos%2Fwoscc%2Ffull-record%2FWOS:001307700300013","View Full Record in Web of Science")</f>
        <v>View Full Record in Web of Science</v>
      </c>
    </row>
    <row r="1882" spans="1:72" x14ac:dyDescent="0.35">
      <c r="A1882" t="s">
        <v>72</v>
      </c>
      <c r="B1882" t="s">
        <v>31998</v>
      </c>
      <c r="C1882" t="s">
        <v>74</v>
      </c>
      <c r="D1882" t="s">
        <v>74</v>
      </c>
      <c r="E1882" t="s">
        <v>74</v>
      </c>
      <c r="F1882" t="s">
        <v>31999</v>
      </c>
      <c r="G1882" t="s">
        <v>74</v>
      </c>
      <c r="H1882" t="s">
        <v>74</v>
      </c>
      <c r="I1882" t="s">
        <v>32000</v>
      </c>
      <c r="J1882" t="s">
        <v>32001</v>
      </c>
      <c r="K1882" t="s">
        <v>74</v>
      </c>
      <c r="L1882" t="s">
        <v>74</v>
      </c>
      <c r="M1882" t="s">
        <v>78</v>
      </c>
      <c r="N1882" t="s">
        <v>108</v>
      </c>
      <c r="O1882" t="s">
        <v>74</v>
      </c>
      <c r="P1882" t="s">
        <v>74</v>
      </c>
      <c r="Q1882" t="s">
        <v>74</v>
      </c>
      <c r="R1882" t="s">
        <v>74</v>
      </c>
      <c r="S1882" t="s">
        <v>74</v>
      </c>
      <c r="T1882" t="s">
        <v>32002</v>
      </c>
      <c r="U1882" t="s">
        <v>20777</v>
      </c>
      <c r="V1882" t="s">
        <v>32003</v>
      </c>
      <c r="W1882" t="s">
        <v>32004</v>
      </c>
      <c r="X1882" t="s">
        <v>32005</v>
      </c>
      <c r="Y1882" t="s">
        <v>32006</v>
      </c>
      <c r="Z1882" t="s">
        <v>74</v>
      </c>
      <c r="AA1882" t="s">
        <v>32007</v>
      </c>
      <c r="AB1882" t="s">
        <v>32008</v>
      </c>
      <c r="AC1882" t="s">
        <v>74</v>
      </c>
      <c r="AD1882" t="s">
        <v>74</v>
      </c>
      <c r="AE1882" t="s">
        <v>74</v>
      </c>
      <c r="AF1882" t="s">
        <v>74</v>
      </c>
      <c r="AG1882">
        <v>29</v>
      </c>
      <c r="AH1882">
        <v>0</v>
      </c>
      <c r="AI1882">
        <v>0</v>
      </c>
      <c r="AJ1882">
        <v>5</v>
      </c>
      <c r="AK1882">
        <v>16</v>
      </c>
      <c r="AL1882" t="s">
        <v>32009</v>
      </c>
      <c r="AM1882" t="s">
        <v>32010</v>
      </c>
      <c r="AN1882" t="s">
        <v>32011</v>
      </c>
      <c r="AO1882" t="s">
        <v>74</v>
      </c>
      <c r="AP1882" t="s">
        <v>32012</v>
      </c>
      <c r="AQ1882" t="s">
        <v>74</v>
      </c>
      <c r="AR1882" t="s">
        <v>32013</v>
      </c>
      <c r="AS1882" t="s">
        <v>32014</v>
      </c>
      <c r="AT1882" t="s">
        <v>930</v>
      </c>
      <c r="AU1882">
        <v>2023</v>
      </c>
      <c r="AV1882">
        <v>12</v>
      </c>
      <c r="AW1882">
        <v>63</v>
      </c>
      <c r="AX1882" t="s">
        <v>74</v>
      </c>
      <c r="AY1882" t="s">
        <v>74</v>
      </c>
      <c r="AZ1882" t="s">
        <v>74</v>
      </c>
      <c r="BA1882" t="s">
        <v>74</v>
      </c>
      <c r="BB1882">
        <v>266</v>
      </c>
      <c r="BC1882">
        <v>276</v>
      </c>
      <c r="BD1882" t="s">
        <v>74</v>
      </c>
      <c r="BE1882" t="s">
        <v>32015</v>
      </c>
      <c r="BF1882" t="str">
        <f>HYPERLINK("http://dx.doi.org/10.34069/AI/2023.63.03.25","http://dx.doi.org/10.34069/AI/2023.63.03.25")</f>
        <v>http://dx.doi.org/10.34069/AI/2023.63.03.25</v>
      </c>
      <c r="BG1882" t="s">
        <v>74</v>
      </c>
      <c r="BH1882" t="s">
        <v>74</v>
      </c>
      <c r="BI1882">
        <v>11</v>
      </c>
      <c r="BJ1882" t="s">
        <v>98</v>
      </c>
      <c r="BK1882" t="s">
        <v>125</v>
      </c>
      <c r="BL1882" t="s">
        <v>100</v>
      </c>
      <c r="BM1882" t="s">
        <v>32016</v>
      </c>
      <c r="BN1882" t="s">
        <v>74</v>
      </c>
      <c r="BO1882" t="s">
        <v>235</v>
      </c>
      <c r="BP1882" t="s">
        <v>74</v>
      </c>
      <c r="BQ1882" t="s">
        <v>74</v>
      </c>
      <c r="BR1882" t="s">
        <v>102</v>
      </c>
      <c r="BS1882" t="s">
        <v>32017</v>
      </c>
      <c r="BT1882" t="str">
        <f>HYPERLINK("https%3A%2F%2Fwww.webofscience.com%2Fwos%2Fwoscc%2Ffull-record%2FWOS:001018360400025","View Full Record in Web of Science")</f>
        <v>View Full Record in Web of Science</v>
      </c>
    </row>
    <row r="1883" spans="1:72" x14ac:dyDescent="0.35">
      <c r="A1883" t="s">
        <v>72</v>
      </c>
      <c r="B1883" t="s">
        <v>32018</v>
      </c>
      <c r="C1883" t="s">
        <v>74</v>
      </c>
      <c r="D1883" t="s">
        <v>74</v>
      </c>
      <c r="E1883" t="s">
        <v>74</v>
      </c>
      <c r="F1883" t="s">
        <v>32019</v>
      </c>
      <c r="G1883" t="s">
        <v>74</v>
      </c>
      <c r="H1883" t="s">
        <v>74</v>
      </c>
      <c r="I1883" t="s">
        <v>32020</v>
      </c>
      <c r="J1883" t="s">
        <v>7208</v>
      </c>
      <c r="K1883" t="s">
        <v>74</v>
      </c>
      <c r="L1883" t="s">
        <v>74</v>
      </c>
      <c r="M1883" t="s">
        <v>78</v>
      </c>
      <c r="N1883" t="s">
        <v>108</v>
      </c>
      <c r="O1883" t="s">
        <v>74</v>
      </c>
      <c r="P1883" t="s">
        <v>74</v>
      </c>
      <c r="Q1883" t="s">
        <v>74</v>
      </c>
      <c r="R1883" t="s">
        <v>74</v>
      </c>
      <c r="S1883" t="s">
        <v>74</v>
      </c>
      <c r="T1883" t="s">
        <v>32021</v>
      </c>
      <c r="U1883" t="s">
        <v>32022</v>
      </c>
      <c r="V1883" t="s">
        <v>32023</v>
      </c>
      <c r="W1883" t="s">
        <v>32024</v>
      </c>
      <c r="X1883" t="s">
        <v>32025</v>
      </c>
      <c r="Y1883" t="s">
        <v>32026</v>
      </c>
      <c r="Z1883" t="s">
        <v>32027</v>
      </c>
      <c r="AA1883" t="s">
        <v>32028</v>
      </c>
      <c r="AB1883" t="s">
        <v>32029</v>
      </c>
      <c r="AC1883" t="s">
        <v>74</v>
      </c>
      <c r="AD1883" t="s">
        <v>74</v>
      </c>
      <c r="AE1883" t="s">
        <v>74</v>
      </c>
      <c r="AF1883" t="s">
        <v>74</v>
      </c>
      <c r="AG1883">
        <v>39</v>
      </c>
      <c r="AH1883">
        <v>6</v>
      </c>
      <c r="AI1883">
        <v>6</v>
      </c>
      <c r="AJ1883">
        <v>5</v>
      </c>
      <c r="AK1883">
        <v>20</v>
      </c>
      <c r="AL1883" t="s">
        <v>1195</v>
      </c>
      <c r="AM1883" t="s">
        <v>1196</v>
      </c>
      <c r="AN1883" t="s">
        <v>1197</v>
      </c>
      <c r="AO1883" t="s">
        <v>74</v>
      </c>
      <c r="AP1883" t="s">
        <v>7217</v>
      </c>
      <c r="AQ1883" t="s">
        <v>74</v>
      </c>
      <c r="AR1883" t="s">
        <v>7218</v>
      </c>
      <c r="AS1883" t="s">
        <v>7219</v>
      </c>
      <c r="AT1883" t="s">
        <v>1275</v>
      </c>
      <c r="AU1883">
        <v>2022</v>
      </c>
      <c r="AV1883">
        <v>11</v>
      </c>
      <c r="AW1883">
        <v>23</v>
      </c>
      <c r="AX1883" t="s">
        <v>74</v>
      </c>
      <c r="AY1883" t="s">
        <v>74</v>
      </c>
      <c r="AZ1883" t="s">
        <v>74</v>
      </c>
      <c r="BA1883" t="s">
        <v>74</v>
      </c>
      <c r="BB1883" t="s">
        <v>74</v>
      </c>
      <c r="BC1883" t="s">
        <v>74</v>
      </c>
      <c r="BD1883">
        <v>3943</v>
      </c>
      <c r="BE1883" t="s">
        <v>32030</v>
      </c>
      <c r="BF1883" t="str">
        <f>HYPERLINK("http://dx.doi.org/10.3390/electronics11233943","http://dx.doi.org/10.3390/electronics11233943")</f>
        <v>http://dx.doi.org/10.3390/electronics11233943</v>
      </c>
      <c r="BG1883" t="s">
        <v>74</v>
      </c>
      <c r="BH1883" t="s">
        <v>74</v>
      </c>
      <c r="BI1883">
        <v>16</v>
      </c>
      <c r="BJ1883" t="s">
        <v>7221</v>
      </c>
      <c r="BK1883" t="s">
        <v>209</v>
      </c>
      <c r="BL1883" t="s">
        <v>7222</v>
      </c>
      <c r="BM1883" t="s">
        <v>32031</v>
      </c>
      <c r="BN1883" t="s">
        <v>74</v>
      </c>
      <c r="BO1883" t="s">
        <v>1888</v>
      </c>
      <c r="BP1883" t="s">
        <v>74</v>
      </c>
      <c r="BQ1883" t="s">
        <v>74</v>
      </c>
      <c r="BR1883" t="s">
        <v>102</v>
      </c>
      <c r="BS1883" t="s">
        <v>32032</v>
      </c>
      <c r="BT1883" t="str">
        <f>HYPERLINK("https%3A%2F%2Fwww.webofscience.com%2Fwos%2Fwoscc%2Ffull-record%2FWOS:000896230100001","View Full Record in Web of Science")</f>
        <v>View Full Record in Web of Science</v>
      </c>
    </row>
    <row r="1884" spans="1:72" x14ac:dyDescent="0.35">
      <c r="A1884" t="s">
        <v>72</v>
      </c>
      <c r="B1884" t="s">
        <v>32033</v>
      </c>
      <c r="C1884" t="s">
        <v>74</v>
      </c>
      <c r="D1884" t="s">
        <v>74</v>
      </c>
      <c r="E1884" t="s">
        <v>74</v>
      </c>
      <c r="F1884" t="s">
        <v>32034</v>
      </c>
      <c r="G1884" t="s">
        <v>74</v>
      </c>
      <c r="H1884" t="s">
        <v>74</v>
      </c>
      <c r="I1884" t="s">
        <v>32035</v>
      </c>
      <c r="J1884" t="s">
        <v>26710</v>
      </c>
      <c r="K1884" t="s">
        <v>74</v>
      </c>
      <c r="L1884" t="s">
        <v>74</v>
      </c>
      <c r="M1884" t="s">
        <v>78</v>
      </c>
      <c r="N1884" t="s">
        <v>108</v>
      </c>
      <c r="O1884" t="s">
        <v>74</v>
      </c>
      <c r="P1884" t="s">
        <v>74</v>
      </c>
      <c r="Q1884" t="s">
        <v>74</v>
      </c>
      <c r="R1884" t="s">
        <v>74</v>
      </c>
      <c r="S1884" t="s">
        <v>74</v>
      </c>
      <c r="T1884" t="s">
        <v>32036</v>
      </c>
      <c r="U1884" t="s">
        <v>32037</v>
      </c>
      <c r="V1884" t="s">
        <v>32038</v>
      </c>
      <c r="W1884" t="s">
        <v>32039</v>
      </c>
      <c r="X1884" t="s">
        <v>32040</v>
      </c>
      <c r="Y1884" t="s">
        <v>32041</v>
      </c>
      <c r="Z1884" t="s">
        <v>32042</v>
      </c>
      <c r="AA1884" t="s">
        <v>32043</v>
      </c>
      <c r="AB1884" t="s">
        <v>32044</v>
      </c>
      <c r="AC1884" t="s">
        <v>74</v>
      </c>
      <c r="AD1884" t="s">
        <v>74</v>
      </c>
      <c r="AE1884" t="s">
        <v>74</v>
      </c>
      <c r="AF1884" t="s">
        <v>74</v>
      </c>
      <c r="AG1884">
        <v>69</v>
      </c>
      <c r="AH1884">
        <v>16</v>
      </c>
      <c r="AI1884">
        <v>17</v>
      </c>
      <c r="AJ1884">
        <v>3</v>
      </c>
      <c r="AK1884">
        <v>17</v>
      </c>
      <c r="AL1884" t="s">
        <v>88</v>
      </c>
      <c r="AM1884" t="s">
        <v>89</v>
      </c>
      <c r="AN1884" t="s">
        <v>90</v>
      </c>
      <c r="AO1884" t="s">
        <v>26717</v>
      </c>
      <c r="AP1884" t="s">
        <v>26718</v>
      </c>
      <c r="AQ1884" t="s">
        <v>74</v>
      </c>
      <c r="AR1884" t="s">
        <v>26719</v>
      </c>
      <c r="AS1884" t="s">
        <v>26720</v>
      </c>
      <c r="AT1884" t="s">
        <v>24463</v>
      </c>
      <c r="AU1884">
        <v>2023</v>
      </c>
      <c r="AV1884">
        <v>27</v>
      </c>
      <c r="AW1884">
        <v>2</v>
      </c>
      <c r="AX1884" t="s">
        <v>74</v>
      </c>
      <c r="AY1884" t="s">
        <v>74</v>
      </c>
      <c r="AZ1884" t="s">
        <v>74</v>
      </c>
      <c r="BA1884" t="s">
        <v>74</v>
      </c>
      <c r="BB1884">
        <v>237</v>
      </c>
      <c r="BC1884">
        <v>268</v>
      </c>
      <c r="BD1884" t="s">
        <v>74</v>
      </c>
      <c r="BE1884" t="s">
        <v>32045</v>
      </c>
      <c r="BF1884" t="str">
        <f>HYPERLINK("http://dx.doi.org/10.1080/1362704X.2021.2017213","http://dx.doi.org/10.1080/1362704X.2021.2017213")</f>
        <v>http://dx.doi.org/10.1080/1362704X.2021.2017213</v>
      </c>
      <c r="BG1884" t="s">
        <v>74</v>
      </c>
      <c r="BH1884" t="s">
        <v>2076</v>
      </c>
      <c r="BI1884">
        <v>32</v>
      </c>
      <c r="BJ1884" t="s">
        <v>4461</v>
      </c>
      <c r="BK1884" t="s">
        <v>316</v>
      </c>
      <c r="BL1884" t="s">
        <v>4462</v>
      </c>
      <c r="BM1884" t="s">
        <v>32046</v>
      </c>
      <c r="BN1884" t="s">
        <v>74</v>
      </c>
      <c r="BO1884" t="s">
        <v>74</v>
      </c>
      <c r="BP1884" t="s">
        <v>74</v>
      </c>
      <c r="BQ1884" t="s">
        <v>74</v>
      </c>
      <c r="BR1884" t="s">
        <v>102</v>
      </c>
      <c r="BS1884" t="s">
        <v>32047</v>
      </c>
      <c r="BT1884" t="str">
        <f>HYPERLINK("https%3A%2F%2Fwww.webofscience.com%2Fwos%2Fwoscc%2Ffull-record%2FWOS:000739717100001","View Full Record in Web of Science")</f>
        <v>View Full Record in Web of Science</v>
      </c>
    </row>
    <row r="1885" spans="1:72" x14ac:dyDescent="0.35">
      <c r="A1885" t="s">
        <v>128</v>
      </c>
      <c r="B1885" t="s">
        <v>32048</v>
      </c>
      <c r="C1885" t="s">
        <v>74</v>
      </c>
      <c r="D1885" t="s">
        <v>32049</v>
      </c>
      <c r="E1885" t="s">
        <v>74</v>
      </c>
      <c r="F1885" t="s">
        <v>32050</v>
      </c>
      <c r="G1885" t="s">
        <v>74</v>
      </c>
      <c r="H1885" t="s">
        <v>74</v>
      </c>
      <c r="I1885" t="s">
        <v>32051</v>
      </c>
      <c r="J1885" t="s">
        <v>32052</v>
      </c>
      <c r="K1885" t="s">
        <v>32053</v>
      </c>
      <c r="L1885" t="s">
        <v>74</v>
      </c>
      <c r="M1885" t="s">
        <v>78</v>
      </c>
      <c r="N1885" t="s">
        <v>135</v>
      </c>
      <c r="O1885" t="s">
        <v>32054</v>
      </c>
      <c r="P1885" t="s">
        <v>32055</v>
      </c>
      <c r="Q1885" t="s">
        <v>32056</v>
      </c>
      <c r="R1885" t="s">
        <v>32057</v>
      </c>
      <c r="S1885" t="s">
        <v>32058</v>
      </c>
      <c r="T1885" t="s">
        <v>74</v>
      </c>
      <c r="U1885" t="s">
        <v>74</v>
      </c>
      <c r="V1885" t="s">
        <v>32059</v>
      </c>
      <c r="W1885" t="s">
        <v>32060</v>
      </c>
      <c r="X1885" t="s">
        <v>32061</v>
      </c>
      <c r="Y1885" t="s">
        <v>32062</v>
      </c>
      <c r="Z1885" t="s">
        <v>32063</v>
      </c>
      <c r="AA1885" t="s">
        <v>32064</v>
      </c>
      <c r="AB1885" t="s">
        <v>32065</v>
      </c>
      <c r="AC1885" t="s">
        <v>32066</v>
      </c>
      <c r="AD1885" t="s">
        <v>32067</v>
      </c>
      <c r="AE1885" t="s">
        <v>32068</v>
      </c>
      <c r="AF1885" t="s">
        <v>74</v>
      </c>
      <c r="AG1885">
        <v>12</v>
      </c>
      <c r="AH1885">
        <v>9</v>
      </c>
      <c r="AI1885">
        <v>9</v>
      </c>
      <c r="AJ1885">
        <v>0</v>
      </c>
      <c r="AK1885">
        <v>5</v>
      </c>
      <c r="AL1885" t="s">
        <v>1677</v>
      </c>
      <c r="AM1885" t="s">
        <v>666</v>
      </c>
      <c r="AN1885" t="s">
        <v>1692</v>
      </c>
      <c r="AO1885" t="s">
        <v>32069</v>
      </c>
      <c r="AP1885" t="s">
        <v>32070</v>
      </c>
      <c r="AQ1885" t="s">
        <v>32071</v>
      </c>
      <c r="AR1885" t="s">
        <v>32072</v>
      </c>
      <c r="AS1885" t="s">
        <v>74</v>
      </c>
      <c r="AT1885" t="s">
        <v>74</v>
      </c>
      <c r="AU1885">
        <v>2021</v>
      </c>
      <c r="AV1885" t="s">
        <v>74</v>
      </c>
      <c r="AW1885" t="s">
        <v>74</v>
      </c>
      <c r="AX1885" t="s">
        <v>74</v>
      </c>
      <c r="AY1885" t="s">
        <v>74</v>
      </c>
      <c r="AZ1885" t="s">
        <v>74</v>
      </c>
      <c r="BA1885" t="s">
        <v>74</v>
      </c>
      <c r="BB1885">
        <v>199</v>
      </c>
      <c r="BC1885">
        <v>205</v>
      </c>
      <c r="BD1885" t="s">
        <v>74</v>
      </c>
      <c r="BE1885" t="s">
        <v>74</v>
      </c>
      <c r="BF1885" t="s">
        <v>74</v>
      </c>
      <c r="BG1885" t="s">
        <v>74</v>
      </c>
      <c r="BH1885" t="s">
        <v>74</v>
      </c>
      <c r="BI1885">
        <v>7</v>
      </c>
      <c r="BJ1885" t="s">
        <v>32073</v>
      </c>
      <c r="BK1885" t="s">
        <v>723</v>
      </c>
      <c r="BL1885" t="s">
        <v>210</v>
      </c>
      <c r="BM1885" t="s">
        <v>32074</v>
      </c>
      <c r="BN1885" t="s">
        <v>74</v>
      </c>
      <c r="BO1885" t="s">
        <v>74</v>
      </c>
      <c r="BP1885" t="s">
        <v>74</v>
      </c>
      <c r="BQ1885" t="s">
        <v>74</v>
      </c>
      <c r="BR1885" t="s">
        <v>102</v>
      </c>
      <c r="BS1885" t="s">
        <v>32075</v>
      </c>
      <c r="BT1885" t="str">
        <f>HYPERLINK("https%3A%2F%2Fwww.webofscience.com%2Fwos%2Fwoscc%2Ffull-record%2FWOS:000853456200026","View Full Record in Web of Science")</f>
        <v>View Full Record in Web of Science</v>
      </c>
    </row>
    <row r="1886" spans="1:72" x14ac:dyDescent="0.35">
      <c r="A1886" t="s">
        <v>72</v>
      </c>
      <c r="B1886" t="s">
        <v>32076</v>
      </c>
      <c r="C1886" t="s">
        <v>74</v>
      </c>
      <c r="D1886" t="s">
        <v>74</v>
      </c>
      <c r="E1886" t="s">
        <v>74</v>
      </c>
      <c r="F1886" t="s">
        <v>32077</v>
      </c>
      <c r="G1886" t="s">
        <v>74</v>
      </c>
      <c r="H1886" t="s">
        <v>74</v>
      </c>
      <c r="I1886" t="s">
        <v>32078</v>
      </c>
      <c r="J1886" t="s">
        <v>32079</v>
      </c>
      <c r="K1886" t="s">
        <v>74</v>
      </c>
      <c r="L1886" t="s">
        <v>74</v>
      </c>
      <c r="M1886" t="s">
        <v>78</v>
      </c>
      <c r="N1886" t="s">
        <v>108</v>
      </c>
      <c r="O1886" t="s">
        <v>74</v>
      </c>
      <c r="P1886" t="s">
        <v>74</v>
      </c>
      <c r="Q1886" t="s">
        <v>74</v>
      </c>
      <c r="R1886" t="s">
        <v>74</v>
      </c>
      <c r="S1886" t="s">
        <v>74</v>
      </c>
      <c r="T1886" t="s">
        <v>32080</v>
      </c>
      <c r="U1886" t="s">
        <v>32081</v>
      </c>
      <c r="V1886" t="s">
        <v>32082</v>
      </c>
      <c r="W1886" t="s">
        <v>32083</v>
      </c>
      <c r="X1886" t="s">
        <v>32084</v>
      </c>
      <c r="Y1886" t="s">
        <v>32085</v>
      </c>
      <c r="Z1886" t="s">
        <v>32086</v>
      </c>
      <c r="AA1886" t="s">
        <v>74</v>
      </c>
      <c r="AB1886" t="s">
        <v>74</v>
      </c>
      <c r="AC1886" t="s">
        <v>32087</v>
      </c>
      <c r="AD1886" t="s">
        <v>32088</v>
      </c>
      <c r="AE1886" t="s">
        <v>32089</v>
      </c>
      <c r="AF1886" t="s">
        <v>74</v>
      </c>
      <c r="AG1886">
        <v>62</v>
      </c>
      <c r="AH1886">
        <v>25</v>
      </c>
      <c r="AI1886">
        <v>25</v>
      </c>
      <c r="AJ1886">
        <v>7</v>
      </c>
      <c r="AK1886">
        <v>71</v>
      </c>
      <c r="AL1886" t="s">
        <v>32090</v>
      </c>
      <c r="AM1886" t="s">
        <v>517</v>
      </c>
      <c r="AN1886" t="s">
        <v>32091</v>
      </c>
      <c r="AO1886" t="s">
        <v>32092</v>
      </c>
      <c r="AP1886" t="s">
        <v>32093</v>
      </c>
      <c r="AQ1886" t="s">
        <v>74</v>
      </c>
      <c r="AR1886" t="s">
        <v>32094</v>
      </c>
      <c r="AS1886" t="s">
        <v>32095</v>
      </c>
      <c r="AT1886" t="s">
        <v>74</v>
      </c>
      <c r="AU1886">
        <v>2021</v>
      </c>
      <c r="AV1886">
        <v>40</v>
      </c>
      <c r="AW1886">
        <v>4</v>
      </c>
      <c r="AX1886" t="s">
        <v>74</v>
      </c>
      <c r="AY1886" t="s">
        <v>74</v>
      </c>
      <c r="AZ1886" t="s">
        <v>74</v>
      </c>
      <c r="BA1886" t="s">
        <v>74</v>
      </c>
      <c r="BB1886">
        <v>619</v>
      </c>
      <c r="BC1886">
        <v>631</v>
      </c>
      <c r="BD1886" t="s">
        <v>74</v>
      </c>
      <c r="BE1886" t="s">
        <v>32096</v>
      </c>
      <c r="BF1886" t="str">
        <f>HYPERLINK("http://dx.doi.org/10.3233/HSM-201057","http://dx.doi.org/10.3233/HSM-201057")</f>
        <v>http://dx.doi.org/10.3233/HSM-201057</v>
      </c>
      <c r="BG1886" t="s">
        <v>74</v>
      </c>
      <c r="BH1886" t="s">
        <v>74</v>
      </c>
      <c r="BI1886">
        <v>13</v>
      </c>
      <c r="BJ1886" t="s">
        <v>1930</v>
      </c>
      <c r="BK1886" t="s">
        <v>125</v>
      </c>
      <c r="BL1886" t="s">
        <v>480</v>
      </c>
      <c r="BM1886" t="s">
        <v>32097</v>
      </c>
      <c r="BN1886" t="s">
        <v>74</v>
      </c>
      <c r="BO1886" t="s">
        <v>74</v>
      </c>
      <c r="BP1886" t="s">
        <v>74</v>
      </c>
      <c r="BQ1886" t="s">
        <v>74</v>
      </c>
      <c r="BR1886" t="s">
        <v>102</v>
      </c>
      <c r="BS1886" t="s">
        <v>32098</v>
      </c>
      <c r="BT1886" t="str">
        <f>HYPERLINK("https%3A%2F%2Fwww.webofscience.com%2Fwos%2Fwoscc%2Ffull-record%2FWOS:000675527300011","View Full Record in Web of Science")</f>
        <v>View Full Record in Web of Science</v>
      </c>
    </row>
    <row r="1887" spans="1:72" x14ac:dyDescent="0.35">
      <c r="A1887" t="s">
        <v>128</v>
      </c>
      <c r="B1887" t="s">
        <v>32099</v>
      </c>
      <c r="C1887" t="s">
        <v>74</v>
      </c>
      <c r="D1887" t="s">
        <v>74</v>
      </c>
      <c r="E1887" t="s">
        <v>702</v>
      </c>
      <c r="F1887" t="s">
        <v>32100</v>
      </c>
      <c r="G1887" t="s">
        <v>74</v>
      </c>
      <c r="H1887" t="s">
        <v>74</v>
      </c>
      <c r="I1887" t="s">
        <v>32101</v>
      </c>
      <c r="J1887" t="s">
        <v>32102</v>
      </c>
      <c r="K1887" t="s">
        <v>74</v>
      </c>
      <c r="L1887" t="s">
        <v>74</v>
      </c>
      <c r="M1887" t="s">
        <v>78</v>
      </c>
      <c r="N1887" t="s">
        <v>135</v>
      </c>
      <c r="O1887" t="s">
        <v>32103</v>
      </c>
      <c r="P1887" t="s">
        <v>32104</v>
      </c>
      <c r="Q1887" t="s">
        <v>32105</v>
      </c>
      <c r="R1887" t="s">
        <v>32106</v>
      </c>
      <c r="S1887" t="s">
        <v>74</v>
      </c>
      <c r="T1887" t="s">
        <v>32107</v>
      </c>
      <c r="U1887" t="s">
        <v>32108</v>
      </c>
      <c r="V1887" t="s">
        <v>32109</v>
      </c>
      <c r="W1887" t="s">
        <v>32110</v>
      </c>
      <c r="X1887" t="s">
        <v>32111</v>
      </c>
      <c r="Y1887" t="s">
        <v>13965</v>
      </c>
      <c r="Z1887" t="s">
        <v>32112</v>
      </c>
      <c r="AA1887" t="s">
        <v>74</v>
      </c>
      <c r="AB1887" t="s">
        <v>32113</v>
      </c>
      <c r="AC1887" t="s">
        <v>74</v>
      </c>
      <c r="AD1887" t="s">
        <v>74</v>
      </c>
      <c r="AE1887" t="s">
        <v>74</v>
      </c>
      <c r="AF1887" t="s">
        <v>74</v>
      </c>
      <c r="AG1887">
        <v>113</v>
      </c>
      <c r="AH1887">
        <v>1</v>
      </c>
      <c r="AI1887">
        <v>1</v>
      </c>
      <c r="AJ1887">
        <v>1</v>
      </c>
      <c r="AK1887">
        <v>2</v>
      </c>
      <c r="AL1887" t="s">
        <v>718</v>
      </c>
      <c r="AM1887" t="s">
        <v>666</v>
      </c>
      <c r="AN1887" t="s">
        <v>719</v>
      </c>
      <c r="AO1887" t="s">
        <v>74</v>
      </c>
      <c r="AP1887" t="s">
        <v>74</v>
      </c>
      <c r="AQ1887" t="s">
        <v>32114</v>
      </c>
      <c r="AR1887" t="s">
        <v>74</v>
      </c>
      <c r="AS1887" t="s">
        <v>74</v>
      </c>
      <c r="AT1887" t="s">
        <v>74</v>
      </c>
      <c r="AU1887">
        <v>2023</v>
      </c>
      <c r="AV1887" t="s">
        <v>74</v>
      </c>
      <c r="AW1887" t="s">
        <v>74</v>
      </c>
      <c r="AX1887" t="s">
        <v>74</v>
      </c>
      <c r="AY1887" t="s">
        <v>74</v>
      </c>
      <c r="AZ1887" t="s">
        <v>74</v>
      </c>
      <c r="BA1887" t="s">
        <v>74</v>
      </c>
      <c r="BB1887">
        <v>17</v>
      </c>
      <c r="BC1887">
        <v>33</v>
      </c>
      <c r="BD1887" t="s">
        <v>74</v>
      </c>
      <c r="BE1887" t="s">
        <v>32115</v>
      </c>
      <c r="BF1887" t="str">
        <f>HYPERLINK("http://dx.doi.org/10.1145/3633500.3633502","http://dx.doi.org/10.1145/3633500.3633502")</f>
        <v>http://dx.doi.org/10.1145/3633500.3633502</v>
      </c>
      <c r="BG1887" t="s">
        <v>74</v>
      </c>
      <c r="BH1887" t="s">
        <v>74</v>
      </c>
      <c r="BI1887">
        <v>17</v>
      </c>
      <c r="BJ1887" t="s">
        <v>5399</v>
      </c>
      <c r="BK1887" t="s">
        <v>723</v>
      </c>
      <c r="BL1887" t="s">
        <v>210</v>
      </c>
      <c r="BM1887" t="s">
        <v>32116</v>
      </c>
      <c r="BN1887" t="s">
        <v>74</v>
      </c>
      <c r="BO1887" t="s">
        <v>74</v>
      </c>
      <c r="BP1887" t="s">
        <v>74</v>
      </c>
      <c r="BQ1887" t="s">
        <v>74</v>
      </c>
      <c r="BR1887" t="s">
        <v>102</v>
      </c>
      <c r="BS1887" t="s">
        <v>32117</v>
      </c>
      <c r="BT1887" t="str">
        <f>HYPERLINK("https%3A%2F%2Fwww.webofscience.com%2Fwos%2Fwoscc%2Ffull-record%2FWOS:001156849200002","View Full Record in Web of Science")</f>
        <v>View Full Record in Web of Science</v>
      </c>
    </row>
    <row r="1888" spans="1:72" x14ac:dyDescent="0.35">
      <c r="A1888" t="s">
        <v>72</v>
      </c>
      <c r="B1888" t="s">
        <v>32118</v>
      </c>
      <c r="C1888" t="s">
        <v>74</v>
      </c>
      <c r="D1888" t="s">
        <v>74</v>
      </c>
      <c r="E1888" t="s">
        <v>74</v>
      </c>
      <c r="F1888" t="s">
        <v>32119</v>
      </c>
      <c r="G1888" t="s">
        <v>74</v>
      </c>
      <c r="H1888" t="s">
        <v>74</v>
      </c>
      <c r="I1888" t="s">
        <v>32120</v>
      </c>
      <c r="J1888" t="s">
        <v>32121</v>
      </c>
      <c r="K1888" t="s">
        <v>74</v>
      </c>
      <c r="L1888" t="s">
        <v>74</v>
      </c>
      <c r="M1888" t="s">
        <v>78</v>
      </c>
      <c r="N1888" t="s">
        <v>108</v>
      </c>
      <c r="O1888" t="s">
        <v>74</v>
      </c>
      <c r="P1888" t="s">
        <v>74</v>
      </c>
      <c r="Q1888" t="s">
        <v>74</v>
      </c>
      <c r="R1888" t="s">
        <v>74</v>
      </c>
      <c r="S1888" t="s">
        <v>74</v>
      </c>
      <c r="T1888" t="s">
        <v>32122</v>
      </c>
      <c r="U1888" t="s">
        <v>74</v>
      </c>
      <c r="V1888" t="s">
        <v>32123</v>
      </c>
      <c r="W1888" t="s">
        <v>32124</v>
      </c>
      <c r="X1888" t="s">
        <v>32125</v>
      </c>
      <c r="Y1888" t="s">
        <v>32126</v>
      </c>
      <c r="Z1888" t="s">
        <v>32127</v>
      </c>
      <c r="AA1888" t="s">
        <v>32128</v>
      </c>
      <c r="AB1888" t="s">
        <v>74</v>
      </c>
      <c r="AC1888" t="s">
        <v>74</v>
      </c>
      <c r="AD1888" t="s">
        <v>74</v>
      </c>
      <c r="AE1888" t="s">
        <v>74</v>
      </c>
      <c r="AF1888" t="s">
        <v>74</v>
      </c>
      <c r="AG1888">
        <v>19</v>
      </c>
      <c r="AH1888">
        <v>5</v>
      </c>
      <c r="AI1888">
        <v>5</v>
      </c>
      <c r="AJ1888">
        <v>2</v>
      </c>
      <c r="AK1888">
        <v>84</v>
      </c>
      <c r="AL1888" t="s">
        <v>32129</v>
      </c>
      <c r="AM1888" t="s">
        <v>32130</v>
      </c>
      <c r="AN1888" t="s">
        <v>32131</v>
      </c>
      <c r="AO1888" t="s">
        <v>32132</v>
      </c>
      <c r="AP1888" t="s">
        <v>74</v>
      </c>
      <c r="AQ1888" t="s">
        <v>74</v>
      </c>
      <c r="AR1888" t="s">
        <v>32133</v>
      </c>
      <c r="AS1888" t="s">
        <v>32134</v>
      </c>
      <c r="AT1888" t="s">
        <v>232</v>
      </c>
      <c r="AU1888">
        <v>2021</v>
      </c>
      <c r="AV1888">
        <v>11</v>
      </c>
      <c r="AW1888">
        <v>1</v>
      </c>
      <c r="AX1888" t="s">
        <v>74</v>
      </c>
      <c r="AY1888" t="s">
        <v>74</v>
      </c>
      <c r="AZ1888" t="s">
        <v>74</v>
      </c>
      <c r="BA1888" t="s">
        <v>74</v>
      </c>
      <c r="BB1888" t="s">
        <v>74</v>
      </c>
      <c r="BC1888" t="s">
        <v>74</v>
      </c>
      <c r="BD1888" t="s">
        <v>32135</v>
      </c>
      <c r="BE1888" t="s">
        <v>32136</v>
      </c>
      <c r="BF1888" t="str">
        <f>HYPERLINK("http://dx.doi.org/10.30935/ojcmt/9615","http://dx.doi.org/10.30935/ojcmt/9615")</f>
        <v>http://dx.doi.org/10.30935/ojcmt/9615</v>
      </c>
      <c r="BG1888" t="s">
        <v>74</v>
      </c>
      <c r="BH1888" t="s">
        <v>74</v>
      </c>
      <c r="BI1888">
        <v>12</v>
      </c>
      <c r="BJ1888" t="s">
        <v>124</v>
      </c>
      <c r="BK1888" t="s">
        <v>125</v>
      </c>
      <c r="BL1888" t="s">
        <v>124</v>
      </c>
      <c r="BM1888" t="s">
        <v>32137</v>
      </c>
      <c r="BN1888" t="s">
        <v>74</v>
      </c>
      <c r="BO1888" t="s">
        <v>552</v>
      </c>
      <c r="BP1888" t="s">
        <v>74</v>
      </c>
      <c r="BQ1888" t="s">
        <v>74</v>
      </c>
      <c r="BR1888" t="s">
        <v>102</v>
      </c>
      <c r="BS1888" t="s">
        <v>32138</v>
      </c>
      <c r="BT1888" t="str">
        <f>HYPERLINK("https%3A%2F%2Fwww.webofscience.com%2Fwos%2Fwoscc%2Ffull-record%2FWOS:000663346700003","View Full Record in Web of Science")</f>
        <v>View Full Record in Web of Science</v>
      </c>
    </row>
    <row r="1889" spans="1:72" x14ac:dyDescent="0.35">
      <c r="A1889" t="s">
        <v>72</v>
      </c>
      <c r="B1889" t="s">
        <v>32139</v>
      </c>
      <c r="C1889" t="s">
        <v>74</v>
      </c>
      <c r="D1889" t="s">
        <v>74</v>
      </c>
      <c r="E1889" t="s">
        <v>74</v>
      </c>
      <c r="F1889" t="s">
        <v>32140</v>
      </c>
      <c r="G1889" t="s">
        <v>74</v>
      </c>
      <c r="H1889" t="s">
        <v>74</v>
      </c>
      <c r="I1889" t="s">
        <v>32141</v>
      </c>
      <c r="J1889" t="s">
        <v>32142</v>
      </c>
      <c r="K1889" t="s">
        <v>74</v>
      </c>
      <c r="L1889" t="s">
        <v>74</v>
      </c>
      <c r="M1889" t="s">
        <v>78</v>
      </c>
      <c r="N1889" t="s">
        <v>108</v>
      </c>
      <c r="O1889" t="s">
        <v>74</v>
      </c>
      <c r="P1889" t="s">
        <v>74</v>
      </c>
      <c r="Q1889" t="s">
        <v>74</v>
      </c>
      <c r="R1889" t="s">
        <v>74</v>
      </c>
      <c r="S1889" t="s">
        <v>74</v>
      </c>
      <c r="T1889" t="s">
        <v>32143</v>
      </c>
      <c r="U1889" t="s">
        <v>74</v>
      </c>
      <c r="V1889" t="s">
        <v>32144</v>
      </c>
      <c r="W1889" t="s">
        <v>32145</v>
      </c>
      <c r="X1889" t="s">
        <v>21354</v>
      </c>
      <c r="Y1889" t="s">
        <v>32146</v>
      </c>
      <c r="Z1889" t="s">
        <v>32147</v>
      </c>
      <c r="AA1889" t="s">
        <v>32148</v>
      </c>
      <c r="AB1889" t="s">
        <v>74</v>
      </c>
      <c r="AC1889" t="s">
        <v>74</v>
      </c>
      <c r="AD1889" t="s">
        <v>74</v>
      </c>
      <c r="AE1889" t="s">
        <v>74</v>
      </c>
      <c r="AF1889" t="s">
        <v>74</v>
      </c>
      <c r="AG1889">
        <v>30</v>
      </c>
      <c r="AH1889">
        <v>0</v>
      </c>
      <c r="AI1889">
        <v>0</v>
      </c>
      <c r="AJ1889">
        <v>3</v>
      </c>
      <c r="AK1889">
        <v>3</v>
      </c>
      <c r="AL1889" t="s">
        <v>2944</v>
      </c>
      <c r="AM1889" t="s">
        <v>2945</v>
      </c>
      <c r="AN1889" t="s">
        <v>2946</v>
      </c>
      <c r="AO1889" t="s">
        <v>32149</v>
      </c>
      <c r="AP1889" t="s">
        <v>74</v>
      </c>
      <c r="AQ1889" t="s">
        <v>74</v>
      </c>
      <c r="AR1889" t="s">
        <v>32150</v>
      </c>
      <c r="AS1889" t="s">
        <v>32151</v>
      </c>
      <c r="AT1889" t="s">
        <v>930</v>
      </c>
      <c r="AU1889">
        <v>2024</v>
      </c>
      <c r="AV1889">
        <v>15</v>
      </c>
      <c r="AW1889">
        <v>1</v>
      </c>
      <c r="AX1889" t="s">
        <v>74</v>
      </c>
      <c r="AY1889" t="s">
        <v>74</v>
      </c>
      <c r="AZ1889" t="s">
        <v>74</v>
      </c>
      <c r="BA1889" t="s">
        <v>74</v>
      </c>
      <c r="BB1889">
        <v>5</v>
      </c>
      <c r="BC1889">
        <v>15</v>
      </c>
      <c r="BD1889" t="s">
        <v>74</v>
      </c>
      <c r="BE1889" t="s">
        <v>32152</v>
      </c>
      <c r="BF1889" t="str">
        <f>HYPERLINK("http://dx.doi.org/10.34135/communicationtoday.2024.Vol.15.No.1.1","http://dx.doi.org/10.34135/communicationtoday.2024.Vol.15.No.1.1")</f>
        <v>http://dx.doi.org/10.34135/communicationtoday.2024.Vol.15.No.1.1</v>
      </c>
      <c r="BG1889" t="s">
        <v>74</v>
      </c>
      <c r="BH1889" t="s">
        <v>74</v>
      </c>
      <c r="BI1889">
        <v>11</v>
      </c>
      <c r="BJ1889" t="s">
        <v>124</v>
      </c>
      <c r="BK1889" t="s">
        <v>125</v>
      </c>
      <c r="BL1889" t="s">
        <v>124</v>
      </c>
      <c r="BM1889" t="s">
        <v>32153</v>
      </c>
      <c r="BN1889" t="s">
        <v>74</v>
      </c>
      <c r="BO1889" t="s">
        <v>767</v>
      </c>
      <c r="BP1889" t="s">
        <v>74</v>
      </c>
      <c r="BQ1889" t="s">
        <v>74</v>
      </c>
      <c r="BR1889" t="s">
        <v>102</v>
      </c>
      <c r="BS1889" t="s">
        <v>32154</v>
      </c>
      <c r="BT1889" t="str">
        <f>HYPERLINK("https%3A%2F%2Fwww.webofscience.com%2Fwos%2Fwoscc%2Ffull-record%2FWOS:001218553900001","View Full Record in Web of Science")</f>
        <v>View Full Record in Web of Science</v>
      </c>
    </row>
    <row r="1890" spans="1:72" x14ac:dyDescent="0.35">
      <c r="A1890" t="s">
        <v>72</v>
      </c>
      <c r="B1890" t="s">
        <v>32155</v>
      </c>
      <c r="C1890" t="s">
        <v>74</v>
      </c>
      <c r="D1890" t="s">
        <v>74</v>
      </c>
      <c r="E1890" t="s">
        <v>74</v>
      </c>
      <c r="F1890" t="s">
        <v>32156</v>
      </c>
      <c r="G1890" t="s">
        <v>74</v>
      </c>
      <c r="H1890" t="s">
        <v>74</v>
      </c>
      <c r="I1890" t="s">
        <v>32157</v>
      </c>
      <c r="J1890" t="s">
        <v>32158</v>
      </c>
      <c r="K1890" t="s">
        <v>74</v>
      </c>
      <c r="L1890" t="s">
        <v>74</v>
      </c>
      <c r="M1890" t="s">
        <v>78</v>
      </c>
      <c r="N1890" t="s">
        <v>108</v>
      </c>
      <c r="O1890" t="s">
        <v>74</v>
      </c>
      <c r="P1890" t="s">
        <v>74</v>
      </c>
      <c r="Q1890" t="s">
        <v>74</v>
      </c>
      <c r="R1890" t="s">
        <v>74</v>
      </c>
      <c r="S1890" t="s">
        <v>74</v>
      </c>
      <c r="T1890" t="s">
        <v>32159</v>
      </c>
      <c r="U1890" t="s">
        <v>32160</v>
      </c>
      <c r="V1890" t="s">
        <v>32161</v>
      </c>
      <c r="W1890" t="s">
        <v>32162</v>
      </c>
      <c r="X1890" t="s">
        <v>32163</v>
      </c>
      <c r="Y1890" t="s">
        <v>32164</v>
      </c>
      <c r="Z1890" t="s">
        <v>32165</v>
      </c>
      <c r="AA1890" t="s">
        <v>32166</v>
      </c>
      <c r="AB1890" t="s">
        <v>32167</v>
      </c>
      <c r="AC1890" t="s">
        <v>74</v>
      </c>
      <c r="AD1890" t="s">
        <v>74</v>
      </c>
      <c r="AE1890" t="s">
        <v>74</v>
      </c>
      <c r="AF1890" t="s">
        <v>74</v>
      </c>
      <c r="AG1890">
        <v>65</v>
      </c>
      <c r="AH1890">
        <v>0</v>
      </c>
      <c r="AI1890">
        <v>0</v>
      </c>
      <c r="AJ1890">
        <v>1</v>
      </c>
      <c r="AK1890">
        <v>6</v>
      </c>
      <c r="AL1890" t="s">
        <v>20673</v>
      </c>
      <c r="AM1890" t="s">
        <v>20674</v>
      </c>
      <c r="AN1890" t="s">
        <v>20675</v>
      </c>
      <c r="AO1890" t="s">
        <v>32168</v>
      </c>
      <c r="AP1890" t="s">
        <v>32169</v>
      </c>
      <c r="AQ1890" t="s">
        <v>74</v>
      </c>
      <c r="AR1890" t="s">
        <v>32170</v>
      </c>
      <c r="AS1890" t="s">
        <v>32171</v>
      </c>
      <c r="AT1890" t="s">
        <v>1484</v>
      </c>
      <c r="AU1890">
        <v>2023</v>
      </c>
      <c r="AV1890">
        <v>17</v>
      </c>
      <c r="AW1890">
        <v>1</v>
      </c>
      <c r="AX1890" t="s">
        <v>74</v>
      </c>
      <c r="AY1890" t="s">
        <v>74</v>
      </c>
      <c r="AZ1890" t="s">
        <v>74</v>
      </c>
      <c r="BA1890" t="s">
        <v>74</v>
      </c>
      <c r="BB1890">
        <v>52</v>
      </c>
      <c r="BC1890">
        <v>66</v>
      </c>
      <c r="BD1890" t="s">
        <v>74</v>
      </c>
      <c r="BE1890" t="s">
        <v>32172</v>
      </c>
      <c r="BF1890" t="str">
        <f>HYPERLINK("http://dx.doi.org/10.3167/proj.2023.170107","http://dx.doi.org/10.3167/proj.2023.170107")</f>
        <v>http://dx.doi.org/10.3167/proj.2023.170107</v>
      </c>
      <c r="BG1890" t="s">
        <v>74</v>
      </c>
      <c r="BH1890" t="s">
        <v>74</v>
      </c>
      <c r="BI1890">
        <v>15</v>
      </c>
      <c r="BJ1890" t="s">
        <v>1571</v>
      </c>
      <c r="BK1890" t="s">
        <v>125</v>
      </c>
      <c r="BL1890" t="s">
        <v>1572</v>
      </c>
      <c r="BM1890" t="s">
        <v>32173</v>
      </c>
      <c r="BN1890" t="s">
        <v>74</v>
      </c>
      <c r="BO1890" t="s">
        <v>74</v>
      </c>
      <c r="BP1890" t="s">
        <v>74</v>
      </c>
      <c r="BQ1890" t="s">
        <v>74</v>
      </c>
      <c r="BR1890" t="s">
        <v>102</v>
      </c>
      <c r="BS1890" t="s">
        <v>32174</v>
      </c>
      <c r="BT1890" t="str">
        <f>HYPERLINK("https%3A%2F%2Fwww.webofscience.com%2Fwos%2Fwoscc%2Ffull-record%2FWOS:000972293400007","View Full Record in Web of Science")</f>
        <v>View Full Record in Web of Science</v>
      </c>
    </row>
    <row r="1891" spans="1:72" x14ac:dyDescent="0.35">
      <c r="A1891" t="s">
        <v>128</v>
      </c>
      <c r="B1891" t="s">
        <v>32175</v>
      </c>
      <c r="C1891" t="s">
        <v>74</v>
      </c>
      <c r="D1891" t="s">
        <v>74</v>
      </c>
      <c r="E1891" t="s">
        <v>702</v>
      </c>
      <c r="F1891" t="s">
        <v>32176</v>
      </c>
      <c r="G1891" t="s">
        <v>74</v>
      </c>
      <c r="H1891" t="s">
        <v>74</v>
      </c>
      <c r="I1891" t="s">
        <v>32177</v>
      </c>
      <c r="J1891" t="s">
        <v>2780</v>
      </c>
      <c r="K1891" t="s">
        <v>74</v>
      </c>
      <c r="L1891" t="s">
        <v>74</v>
      </c>
      <c r="M1891" t="s">
        <v>78</v>
      </c>
      <c r="N1891" t="s">
        <v>135</v>
      </c>
      <c r="O1891" t="s">
        <v>2781</v>
      </c>
      <c r="P1891" t="s">
        <v>2782</v>
      </c>
      <c r="Q1891" t="s">
        <v>2783</v>
      </c>
      <c r="R1891" t="s">
        <v>2784</v>
      </c>
      <c r="S1891" t="s">
        <v>74</v>
      </c>
      <c r="T1891" t="s">
        <v>32178</v>
      </c>
      <c r="U1891" t="s">
        <v>32179</v>
      </c>
      <c r="V1891" t="s">
        <v>32180</v>
      </c>
      <c r="W1891" t="s">
        <v>32181</v>
      </c>
      <c r="X1891" t="s">
        <v>74</v>
      </c>
      <c r="Y1891" t="s">
        <v>32182</v>
      </c>
      <c r="Z1891" t="s">
        <v>32183</v>
      </c>
      <c r="AA1891" t="s">
        <v>74</v>
      </c>
      <c r="AB1891" t="s">
        <v>32184</v>
      </c>
      <c r="AC1891" t="s">
        <v>74</v>
      </c>
      <c r="AD1891" t="s">
        <v>74</v>
      </c>
      <c r="AE1891" t="s">
        <v>74</v>
      </c>
      <c r="AF1891" t="s">
        <v>74</v>
      </c>
      <c r="AG1891">
        <v>21</v>
      </c>
      <c r="AH1891">
        <v>1</v>
      </c>
      <c r="AI1891">
        <v>1</v>
      </c>
      <c r="AJ1891">
        <v>0</v>
      </c>
      <c r="AK1891">
        <v>3</v>
      </c>
      <c r="AL1891" t="s">
        <v>718</v>
      </c>
      <c r="AM1891" t="s">
        <v>666</v>
      </c>
      <c r="AN1891" t="s">
        <v>719</v>
      </c>
      <c r="AO1891" t="s">
        <v>74</v>
      </c>
      <c r="AP1891" t="s">
        <v>74</v>
      </c>
      <c r="AQ1891" t="s">
        <v>2792</v>
      </c>
      <c r="AR1891" t="s">
        <v>74</v>
      </c>
      <c r="AS1891" t="s">
        <v>74</v>
      </c>
      <c r="AT1891" t="s">
        <v>74</v>
      </c>
      <c r="AU1891">
        <v>2023</v>
      </c>
      <c r="AV1891" t="s">
        <v>74</v>
      </c>
      <c r="AW1891" t="s">
        <v>74</v>
      </c>
      <c r="AX1891" t="s">
        <v>74</v>
      </c>
      <c r="AY1891" t="s">
        <v>74</v>
      </c>
      <c r="AZ1891" t="s">
        <v>74</v>
      </c>
      <c r="BA1891" t="s">
        <v>74</v>
      </c>
      <c r="BB1891">
        <v>773</v>
      </c>
      <c r="BC1891">
        <v>777</v>
      </c>
      <c r="BD1891" t="s">
        <v>74</v>
      </c>
      <c r="BE1891" t="s">
        <v>32185</v>
      </c>
      <c r="BF1891" t="str">
        <f>HYPERLINK("http://dx.doi.org/10.1145/3543873.3587679","http://dx.doi.org/10.1145/3543873.3587679")</f>
        <v>http://dx.doi.org/10.1145/3543873.3587679</v>
      </c>
      <c r="BG1891" t="s">
        <v>74</v>
      </c>
      <c r="BH1891" t="s">
        <v>74</v>
      </c>
      <c r="BI1891">
        <v>5</v>
      </c>
      <c r="BJ1891" t="s">
        <v>2794</v>
      </c>
      <c r="BK1891" t="s">
        <v>723</v>
      </c>
      <c r="BL1891" t="s">
        <v>210</v>
      </c>
      <c r="BM1891" t="s">
        <v>2795</v>
      </c>
      <c r="BN1891" t="s">
        <v>74</v>
      </c>
      <c r="BO1891" t="s">
        <v>74</v>
      </c>
      <c r="BP1891" t="s">
        <v>74</v>
      </c>
      <c r="BQ1891" t="s">
        <v>74</v>
      </c>
      <c r="BR1891" t="s">
        <v>102</v>
      </c>
      <c r="BS1891" t="s">
        <v>32186</v>
      </c>
      <c r="BT1891" t="str">
        <f>HYPERLINK("https%3A%2F%2Fwww.webofscience.com%2Fwos%2Fwoscc%2Ffull-record%2FWOS:001124276300158","View Full Record in Web of Science")</f>
        <v>View Full Record in Web of Science</v>
      </c>
    </row>
    <row r="1892" spans="1:72" x14ac:dyDescent="0.35">
      <c r="A1892" t="s">
        <v>72</v>
      </c>
      <c r="B1892" t="s">
        <v>32187</v>
      </c>
      <c r="C1892" t="s">
        <v>74</v>
      </c>
      <c r="D1892" t="s">
        <v>74</v>
      </c>
      <c r="E1892" t="s">
        <v>74</v>
      </c>
      <c r="F1892" t="s">
        <v>32188</v>
      </c>
      <c r="G1892" t="s">
        <v>74</v>
      </c>
      <c r="H1892" t="s">
        <v>74</v>
      </c>
      <c r="I1892" t="s">
        <v>32189</v>
      </c>
      <c r="J1892" t="s">
        <v>32190</v>
      </c>
      <c r="K1892" t="s">
        <v>74</v>
      </c>
      <c r="L1892" t="s">
        <v>74</v>
      </c>
      <c r="M1892" t="s">
        <v>78</v>
      </c>
      <c r="N1892" t="s">
        <v>108</v>
      </c>
      <c r="O1892" t="s">
        <v>74</v>
      </c>
      <c r="P1892" t="s">
        <v>74</v>
      </c>
      <c r="Q1892" t="s">
        <v>74</v>
      </c>
      <c r="R1892" t="s">
        <v>74</v>
      </c>
      <c r="S1892" t="s">
        <v>74</v>
      </c>
      <c r="T1892" t="s">
        <v>32191</v>
      </c>
      <c r="U1892" t="s">
        <v>74</v>
      </c>
      <c r="V1892" t="s">
        <v>32192</v>
      </c>
      <c r="W1892" t="s">
        <v>32193</v>
      </c>
      <c r="X1892" t="s">
        <v>32194</v>
      </c>
      <c r="Y1892" t="s">
        <v>32195</v>
      </c>
      <c r="Z1892" t="s">
        <v>32196</v>
      </c>
      <c r="AA1892" t="s">
        <v>32197</v>
      </c>
      <c r="AB1892" t="s">
        <v>32198</v>
      </c>
      <c r="AC1892" t="s">
        <v>74</v>
      </c>
      <c r="AD1892" t="s">
        <v>74</v>
      </c>
      <c r="AE1892" t="s">
        <v>74</v>
      </c>
      <c r="AF1892" t="s">
        <v>74</v>
      </c>
      <c r="AG1892">
        <v>42</v>
      </c>
      <c r="AH1892">
        <v>0</v>
      </c>
      <c r="AI1892">
        <v>0</v>
      </c>
      <c r="AJ1892">
        <v>5</v>
      </c>
      <c r="AK1892">
        <v>5</v>
      </c>
      <c r="AL1892" t="s">
        <v>28926</v>
      </c>
      <c r="AM1892" t="s">
        <v>28927</v>
      </c>
      <c r="AN1892" t="s">
        <v>28928</v>
      </c>
      <c r="AO1892" t="s">
        <v>32199</v>
      </c>
      <c r="AP1892" t="s">
        <v>74</v>
      </c>
      <c r="AQ1892" t="s">
        <v>74</v>
      </c>
      <c r="AR1892" t="s">
        <v>32200</v>
      </c>
      <c r="AS1892" t="s">
        <v>32201</v>
      </c>
      <c r="AT1892" t="s">
        <v>74</v>
      </c>
      <c r="AU1892">
        <v>2023</v>
      </c>
      <c r="AV1892">
        <v>50</v>
      </c>
      <c r="AW1892">
        <v>6</v>
      </c>
      <c r="AX1892" t="s">
        <v>74</v>
      </c>
      <c r="AY1892" t="s">
        <v>74</v>
      </c>
      <c r="AZ1892" t="s">
        <v>74</v>
      </c>
      <c r="BA1892" t="s">
        <v>74</v>
      </c>
      <c r="BB1892">
        <v>407</v>
      </c>
      <c r="BC1892">
        <v>417</v>
      </c>
      <c r="BD1892" t="s">
        <v>74</v>
      </c>
      <c r="BE1892" t="s">
        <v>32202</v>
      </c>
      <c r="BF1892" t="str">
        <f>HYPERLINK("http://dx.doi.org/10.5771/0943-7444-2023-6-407","http://dx.doi.org/10.5771/0943-7444-2023-6-407")</f>
        <v>http://dx.doi.org/10.5771/0943-7444-2023-6-407</v>
      </c>
      <c r="BG1892" t="s">
        <v>74</v>
      </c>
      <c r="BH1892" t="s">
        <v>74</v>
      </c>
      <c r="BI1892">
        <v>11</v>
      </c>
      <c r="BJ1892" t="s">
        <v>1162</v>
      </c>
      <c r="BK1892" t="s">
        <v>99</v>
      </c>
      <c r="BL1892" t="s">
        <v>1162</v>
      </c>
      <c r="BM1892" t="s">
        <v>32203</v>
      </c>
      <c r="BN1892" t="s">
        <v>74</v>
      </c>
      <c r="BO1892" t="s">
        <v>74</v>
      </c>
      <c r="BP1892" t="s">
        <v>74</v>
      </c>
      <c r="BQ1892" t="s">
        <v>74</v>
      </c>
      <c r="BR1892" t="s">
        <v>102</v>
      </c>
      <c r="BS1892" t="s">
        <v>32204</v>
      </c>
      <c r="BT1892" t="str">
        <f>HYPERLINK("https%3A%2F%2Fwww.webofscience.com%2Fwos%2Fwoscc%2Ffull-record%2FWOS:001165005000003","View Full Record in Web of Science")</f>
        <v>View Full Record in Web of Science</v>
      </c>
    </row>
    <row r="1893" spans="1:72" x14ac:dyDescent="0.35">
      <c r="A1893" t="s">
        <v>72</v>
      </c>
      <c r="B1893" t="s">
        <v>32205</v>
      </c>
      <c r="C1893" t="s">
        <v>74</v>
      </c>
      <c r="D1893" t="s">
        <v>74</v>
      </c>
      <c r="E1893" t="s">
        <v>74</v>
      </c>
      <c r="F1893" t="s">
        <v>32206</v>
      </c>
      <c r="G1893" t="s">
        <v>74</v>
      </c>
      <c r="H1893" t="s">
        <v>74</v>
      </c>
      <c r="I1893" t="s">
        <v>32207</v>
      </c>
      <c r="J1893" t="s">
        <v>27447</v>
      </c>
      <c r="K1893" t="s">
        <v>74</v>
      </c>
      <c r="L1893" t="s">
        <v>74</v>
      </c>
      <c r="M1893" t="s">
        <v>78</v>
      </c>
      <c r="N1893" t="s">
        <v>108</v>
      </c>
      <c r="O1893" t="s">
        <v>74</v>
      </c>
      <c r="P1893" t="s">
        <v>74</v>
      </c>
      <c r="Q1893" t="s">
        <v>74</v>
      </c>
      <c r="R1893" t="s">
        <v>74</v>
      </c>
      <c r="S1893" t="s">
        <v>74</v>
      </c>
      <c r="T1893" t="s">
        <v>32208</v>
      </c>
      <c r="U1893" t="s">
        <v>32209</v>
      </c>
      <c r="V1893" t="s">
        <v>32210</v>
      </c>
      <c r="W1893" t="s">
        <v>32211</v>
      </c>
      <c r="X1893" t="s">
        <v>32212</v>
      </c>
      <c r="Y1893" t="s">
        <v>32213</v>
      </c>
      <c r="Z1893" t="s">
        <v>32214</v>
      </c>
      <c r="AA1893" t="s">
        <v>32215</v>
      </c>
      <c r="AB1893" t="s">
        <v>74</v>
      </c>
      <c r="AC1893" t="s">
        <v>32216</v>
      </c>
      <c r="AD1893" t="s">
        <v>32217</v>
      </c>
      <c r="AE1893" t="s">
        <v>32218</v>
      </c>
      <c r="AF1893" t="s">
        <v>74</v>
      </c>
      <c r="AG1893">
        <v>38</v>
      </c>
      <c r="AH1893">
        <v>4</v>
      </c>
      <c r="AI1893">
        <v>4</v>
      </c>
      <c r="AJ1893">
        <v>8</v>
      </c>
      <c r="AK1893">
        <v>57</v>
      </c>
      <c r="AL1893" t="s">
        <v>1195</v>
      </c>
      <c r="AM1893" t="s">
        <v>1196</v>
      </c>
      <c r="AN1893" t="s">
        <v>1197</v>
      </c>
      <c r="AO1893" t="s">
        <v>74</v>
      </c>
      <c r="AP1893" t="s">
        <v>27459</v>
      </c>
      <c r="AQ1893" t="s">
        <v>74</v>
      </c>
      <c r="AR1893" t="s">
        <v>27460</v>
      </c>
      <c r="AS1893" t="s">
        <v>27461</v>
      </c>
      <c r="AT1893" t="s">
        <v>1275</v>
      </c>
      <c r="AU1893">
        <v>2022</v>
      </c>
      <c r="AV1893">
        <v>12</v>
      </c>
      <c r="AW1893">
        <v>23</v>
      </c>
      <c r="AX1893" t="s">
        <v>74</v>
      </c>
      <c r="AY1893" t="s">
        <v>74</v>
      </c>
      <c r="AZ1893" t="s">
        <v>74</v>
      </c>
      <c r="BA1893" t="s">
        <v>74</v>
      </c>
      <c r="BB1893" t="s">
        <v>74</v>
      </c>
      <c r="BC1893" t="s">
        <v>74</v>
      </c>
      <c r="BD1893">
        <v>11902</v>
      </c>
      <c r="BE1893" t="s">
        <v>32219</v>
      </c>
      <c r="BF1893" t="str">
        <f>HYPERLINK("http://dx.doi.org/10.3390/app122311902","http://dx.doi.org/10.3390/app122311902")</f>
        <v>http://dx.doi.org/10.3390/app122311902</v>
      </c>
      <c r="BG1893" t="s">
        <v>74</v>
      </c>
      <c r="BH1893" t="s">
        <v>74</v>
      </c>
      <c r="BI1893">
        <v>17</v>
      </c>
      <c r="BJ1893" t="s">
        <v>27463</v>
      </c>
      <c r="BK1893" t="s">
        <v>209</v>
      </c>
      <c r="BL1893" t="s">
        <v>27464</v>
      </c>
      <c r="BM1893" t="s">
        <v>32220</v>
      </c>
      <c r="BN1893" t="s">
        <v>74</v>
      </c>
      <c r="BO1893" t="s">
        <v>235</v>
      </c>
      <c r="BP1893" t="s">
        <v>74</v>
      </c>
      <c r="BQ1893" t="s">
        <v>74</v>
      </c>
      <c r="BR1893" t="s">
        <v>102</v>
      </c>
      <c r="BS1893" t="s">
        <v>32221</v>
      </c>
      <c r="BT1893" t="str">
        <f>HYPERLINK("https%3A%2F%2Fwww.webofscience.com%2Fwos%2Fwoscc%2Ffull-record%2FWOS:000895533100001","View Full Record in Web of Science")</f>
        <v>View Full Record in Web of Science</v>
      </c>
    </row>
    <row r="1894" spans="1:72" x14ac:dyDescent="0.35">
      <c r="A1894" t="s">
        <v>128</v>
      </c>
      <c r="B1894" t="s">
        <v>32222</v>
      </c>
      <c r="C1894" t="s">
        <v>74</v>
      </c>
      <c r="D1894" t="s">
        <v>702</v>
      </c>
      <c r="E1894" t="s">
        <v>74</v>
      </c>
      <c r="F1894" t="s">
        <v>32223</v>
      </c>
      <c r="G1894" t="s">
        <v>74</v>
      </c>
      <c r="H1894" t="s">
        <v>74</v>
      </c>
      <c r="I1894" t="s">
        <v>32224</v>
      </c>
      <c r="J1894" t="s">
        <v>32225</v>
      </c>
      <c r="K1894" t="s">
        <v>74</v>
      </c>
      <c r="L1894" t="s">
        <v>74</v>
      </c>
      <c r="M1894" t="s">
        <v>78</v>
      </c>
      <c r="N1894" t="s">
        <v>135</v>
      </c>
      <c r="O1894" t="s">
        <v>32226</v>
      </c>
      <c r="P1894" t="s">
        <v>32227</v>
      </c>
      <c r="Q1894" t="s">
        <v>32228</v>
      </c>
      <c r="R1894" t="s">
        <v>32229</v>
      </c>
      <c r="S1894" t="s">
        <v>74</v>
      </c>
      <c r="T1894" t="s">
        <v>32230</v>
      </c>
      <c r="U1894" t="s">
        <v>74</v>
      </c>
      <c r="V1894" t="s">
        <v>32231</v>
      </c>
      <c r="W1894" t="s">
        <v>32232</v>
      </c>
      <c r="X1894" t="s">
        <v>32233</v>
      </c>
      <c r="Y1894" t="s">
        <v>32234</v>
      </c>
      <c r="Z1894" t="s">
        <v>32235</v>
      </c>
      <c r="AA1894" t="s">
        <v>32236</v>
      </c>
      <c r="AB1894" t="s">
        <v>74</v>
      </c>
      <c r="AC1894" t="s">
        <v>32237</v>
      </c>
      <c r="AD1894" t="s">
        <v>32238</v>
      </c>
      <c r="AE1894" t="s">
        <v>32239</v>
      </c>
      <c r="AF1894" t="s">
        <v>74</v>
      </c>
      <c r="AG1894">
        <v>44</v>
      </c>
      <c r="AH1894">
        <v>11</v>
      </c>
      <c r="AI1894">
        <v>11</v>
      </c>
      <c r="AJ1894">
        <v>2</v>
      </c>
      <c r="AK1894">
        <v>2</v>
      </c>
      <c r="AL1894" t="s">
        <v>718</v>
      </c>
      <c r="AM1894" t="s">
        <v>666</v>
      </c>
      <c r="AN1894" t="s">
        <v>719</v>
      </c>
      <c r="AO1894" t="s">
        <v>74</v>
      </c>
      <c r="AP1894" t="s">
        <v>74</v>
      </c>
      <c r="AQ1894" t="s">
        <v>32240</v>
      </c>
      <c r="AR1894" t="s">
        <v>74</v>
      </c>
      <c r="AS1894" t="s">
        <v>74</v>
      </c>
      <c r="AT1894" t="s">
        <v>74</v>
      </c>
      <c r="AU1894">
        <v>2022</v>
      </c>
      <c r="AV1894" t="s">
        <v>74</v>
      </c>
      <c r="AW1894" t="s">
        <v>74</v>
      </c>
      <c r="AX1894" t="s">
        <v>74</v>
      </c>
      <c r="AY1894" t="s">
        <v>74</v>
      </c>
      <c r="AZ1894" t="s">
        <v>74</v>
      </c>
      <c r="BA1894" t="s">
        <v>74</v>
      </c>
      <c r="BB1894" t="s">
        <v>74</v>
      </c>
      <c r="BC1894" t="s">
        <v>74</v>
      </c>
      <c r="BD1894" t="s">
        <v>74</v>
      </c>
      <c r="BE1894" t="s">
        <v>32241</v>
      </c>
      <c r="BF1894" t="str">
        <f>HYPERLINK("http://dx.doi.org/10.1145/3503161.3548405","http://dx.doi.org/10.1145/3503161.3548405")</f>
        <v>http://dx.doi.org/10.1145/3503161.3548405</v>
      </c>
      <c r="BG1894" t="s">
        <v>74</v>
      </c>
      <c r="BH1894" t="s">
        <v>74</v>
      </c>
      <c r="BI1894">
        <v>10</v>
      </c>
      <c r="BJ1894" t="s">
        <v>23428</v>
      </c>
      <c r="BK1894" t="s">
        <v>723</v>
      </c>
      <c r="BL1894" t="s">
        <v>210</v>
      </c>
      <c r="BM1894" t="s">
        <v>32242</v>
      </c>
      <c r="BN1894" t="s">
        <v>74</v>
      </c>
      <c r="BO1894" t="s">
        <v>74</v>
      </c>
      <c r="BP1894" t="s">
        <v>74</v>
      </c>
      <c r="BQ1894" t="s">
        <v>74</v>
      </c>
      <c r="BR1894" t="s">
        <v>102</v>
      </c>
      <c r="BS1894" t="s">
        <v>32243</v>
      </c>
      <c r="BT1894" t="str">
        <f>HYPERLINK("https%3A%2F%2Fwww.webofscience.com%2Fwos%2Fwoscc%2Ffull-record%2FWOS:001150372700067","View Full Record in Web of Science")</f>
        <v>View Full Record in Web of Science</v>
      </c>
    </row>
    <row r="1895" spans="1:72" x14ac:dyDescent="0.35">
      <c r="A1895" t="s">
        <v>128</v>
      </c>
      <c r="B1895" t="s">
        <v>32244</v>
      </c>
      <c r="C1895" t="s">
        <v>74</v>
      </c>
      <c r="D1895" t="s">
        <v>32245</v>
      </c>
      <c r="E1895" t="s">
        <v>74</v>
      </c>
      <c r="F1895" t="s">
        <v>32246</v>
      </c>
      <c r="G1895" t="s">
        <v>74</v>
      </c>
      <c r="H1895" t="s">
        <v>74</v>
      </c>
      <c r="I1895" t="s">
        <v>32247</v>
      </c>
      <c r="J1895" t="s">
        <v>32248</v>
      </c>
      <c r="K1895" t="s">
        <v>8364</v>
      </c>
      <c r="L1895" t="s">
        <v>74</v>
      </c>
      <c r="M1895" t="s">
        <v>78</v>
      </c>
      <c r="N1895" t="s">
        <v>135</v>
      </c>
      <c r="O1895" t="s">
        <v>32249</v>
      </c>
      <c r="P1895" t="s">
        <v>32250</v>
      </c>
      <c r="Q1895" t="s">
        <v>32251</v>
      </c>
      <c r="R1895" t="s">
        <v>32252</v>
      </c>
      <c r="S1895" t="s">
        <v>74</v>
      </c>
      <c r="T1895" t="s">
        <v>32253</v>
      </c>
      <c r="U1895" t="s">
        <v>218</v>
      </c>
      <c r="V1895" t="s">
        <v>32254</v>
      </c>
      <c r="W1895" t="s">
        <v>32255</v>
      </c>
      <c r="X1895" t="s">
        <v>31285</v>
      </c>
      <c r="Y1895" t="s">
        <v>32256</v>
      </c>
      <c r="Z1895" t="s">
        <v>32257</v>
      </c>
      <c r="AA1895" t="s">
        <v>74</v>
      </c>
      <c r="AB1895" t="s">
        <v>32258</v>
      </c>
      <c r="AC1895" t="s">
        <v>32259</v>
      </c>
      <c r="AD1895" t="s">
        <v>1108</v>
      </c>
      <c r="AE1895" t="s">
        <v>32260</v>
      </c>
      <c r="AF1895" t="s">
        <v>74</v>
      </c>
      <c r="AG1895">
        <v>51</v>
      </c>
      <c r="AH1895">
        <v>2</v>
      </c>
      <c r="AI1895">
        <v>2</v>
      </c>
      <c r="AJ1895">
        <v>5</v>
      </c>
      <c r="AK1895">
        <v>7</v>
      </c>
      <c r="AL1895" t="s">
        <v>639</v>
      </c>
      <c r="AM1895" t="s">
        <v>640</v>
      </c>
      <c r="AN1895" t="s">
        <v>641</v>
      </c>
      <c r="AO1895" t="s">
        <v>8380</v>
      </c>
      <c r="AP1895" t="s">
        <v>8381</v>
      </c>
      <c r="AQ1895" t="s">
        <v>32261</v>
      </c>
      <c r="AR1895" t="s">
        <v>8383</v>
      </c>
      <c r="AS1895" t="s">
        <v>74</v>
      </c>
      <c r="AT1895" t="s">
        <v>74</v>
      </c>
      <c r="AU1895">
        <v>2023</v>
      </c>
      <c r="AV1895">
        <v>14397</v>
      </c>
      <c r="AW1895" t="s">
        <v>74</v>
      </c>
      <c r="AX1895" t="s">
        <v>74</v>
      </c>
      <c r="AY1895" t="s">
        <v>74</v>
      </c>
      <c r="AZ1895" t="s">
        <v>74</v>
      </c>
      <c r="BA1895" t="s">
        <v>74</v>
      </c>
      <c r="BB1895">
        <v>119</v>
      </c>
      <c r="BC1895">
        <v>131</v>
      </c>
      <c r="BD1895" t="s">
        <v>74</v>
      </c>
      <c r="BE1895" t="s">
        <v>32262</v>
      </c>
      <c r="BF1895" t="str">
        <f>HYPERLINK("http://dx.doi.org/10.1007/978-3-031-47896-3_9","http://dx.doi.org/10.1007/978-3-031-47896-3_9")</f>
        <v>http://dx.doi.org/10.1007/978-3-031-47896-3_9</v>
      </c>
      <c r="BG1895" t="s">
        <v>74</v>
      </c>
      <c r="BH1895" t="s">
        <v>74</v>
      </c>
      <c r="BI1895">
        <v>13</v>
      </c>
      <c r="BJ1895" t="s">
        <v>23045</v>
      </c>
      <c r="BK1895" t="s">
        <v>648</v>
      </c>
      <c r="BL1895" t="s">
        <v>23046</v>
      </c>
      <c r="BM1895" t="s">
        <v>32263</v>
      </c>
      <c r="BN1895" t="s">
        <v>74</v>
      </c>
      <c r="BO1895" t="s">
        <v>74</v>
      </c>
      <c r="BP1895" t="s">
        <v>74</v>
      </c>
      <c r="BQ1895" t="s">
        <v>74</v>
      </c>
      <c r="BR1895" t="s">
        <v>102</v>
      </c>
      <c r="BS1895" t="s">
        <v>32264</v>
      </c>
      <c r="BT1895" t="str">
        <f>HYPERLINK("https%3A%2F%2Fwww.webofscience.com%2Fwos%2Fwoscc%2Ffull-record%2FWOS:001160755400009","View Full Record in Web of Science")</f>
        <v>View Full Record in Web of Science</v>
      </c>
    </row>
    <row r="1896" spans="1:72" x14ac:dyDescent="0.35">
      <c r="A1896" t="s">
        <v>72</v>
      </c>
      <c r="B1896" t="s">
        <v>32265</v>
      </c>
      <c r="C1896" t="s">
        <v>74</v>
      </c>
      <c r="D1896" t="s">
        <v>74</v>
      </c>
      <c r="E1896" t="s">
        <v>74</v>
      </c>
      <c r="F1896" t="s">
        <v>32266</v>
      </c>
      <c r="G1896" t="s">
        <v>74</v>
      </c>
      <c r="H1896" t="s">
        <v>74</v>
      </c>
      <c r="I1896" t="s">
        <v>32267</v>
      </c>
      <c r="J1896" t="s">
        <v>32268</v>
      </c>
      <c r="K1896" t="s">
        <v>74</v>
      </c>
      <c r="L1896" t="s">
        <v>74</v>
      </c>
      <c r="M1896" t="s">
        <v>78</v>
      </c>
      <c r="N1896" t="s">
        <v>108</v>
      </c>
      <c r="O1896" t="s">
        <v>74</v>
      </c>
      <c r="P1896" t="s">
        <v>74</v>
      </c>
      <c r="Q1896" t="s">
        <v>74</v>
      </c>
      <c r="R1896" t="s">
        <v>74</v>
      </c>
      <c r="S1896" t="s">
        <v>74</v>
      </c>
      <c r="T1896" t="s">
        <v>32269</v>
      </c>
      <c r="U1896" t="s">
        <v>32270</v>
      </c>
      <c r="V1896" t="s">
        <v>32271</v>
      </c>
      <c r="W1896" t="s">
        <v>32272</v>
      </c>
      <c r="X1896" t="s">
        <v>32273</v>
      </c>
      <c r="Y1896" t="s">
        <v>32274</v>
      </c>
      <c r="Z1896" t="s">
        <v>32275</v>
      </c>
      <c r="AA1896" t="s">
        <v>74</v>
      </c>
      <c r="AB1896" t="s">
        <v>74</v>
      </c>
      <c r="AC1896" t="s">
        <v>74</v>
      </c>
      <c r="AD1896" t="s">
        <v>74</v>
      </c>
      <c r="AE1896" t="s">
        <v>74</v>
      </c>
      <c r="AF1896" t="s">
        <v>74</v>
      </c>
      <c r="AG1896">
        <v>40</v>
      </c>
      <c r="AH1896">
        <v>0</v>
      </c>
      <c r="AI1896">
        <v>0</v>
      </c>
      <c r="AJ1896">
        <v>6</v>
      </c>
      <c r="AK1896">
        <v>20</v>
      </c>
      <c r="AL1896" t="s">
        <v>32276</v>
      </c>
      <c r="AM1896" t="s">
        <v>5232</v>
      </c>
      <c r="AN1896" t="s">
        <v>32277</v>
      </c>
      <c r="AO1896" t="s">
        <v>32278</v>
      </c>
      <c r="AP1896" t="s">
        <v>32279</v>
      </c>
      <c r="AQ1896" t="s">
        <v>74</v>
      </c>
      <c r="AR1896" t="s">
        <v>32280</v>
      </c>
      <c r="AS1896" t="s">
        <v>32281</v>
      </c>
      <c r="AT1896" t="s">
        <v>74</v>
      </c>
      <c r="AU1896">
        <v>2023</v>
      </c>
      <c r="AV1896">
        <v>41</v>
      </c>
      <c r="AW1896">
        <v>1</v>
      </c>
      <c r="AX1896" t="s">
        <v>74</v>
      </c>
      <c r="AY1896" t="s">
        <v>74</v>
      </c>
      <c r="AZ1896" t="s">
        <v>74</v>
      </c>
      <c r="BA1896" t="s">
        <v>74</v>
      </c>
      <c r="BB1896">
        <v>131</v>
      </c>
      <c r="BC1896">
        <v>140</v>
      </c>
      <c r="BD1896" t="s">
        <v>74</v>
      </c>
      <c r="BE1896" t="s">
        <v>32282</v>
      </c>
      <c r="BF1896" t="str">
        <f>HYPERLINK("http://dx.doi.org/10.51698/aloma.2023.41.1.131-140","http://dx.doi.org/10.51698/aloma.2023.41.1.131-140")</f>
        <v>http://dx.doi.org/10.51698/aloma.2023.41.1.131-140</v>
      </c>
      <c r="BG1896" t="s">
        <v>74</v>
      </c>
      <c r="BH1896" t="s">
        <v>74</v>
      </c>
      <c r="BI1896">
        <v>10</v>
      </c>
      <c r="BJ1896" t="s">
        <v>698</v>
      </c>
      <c r="BK1896" t="s">
        <v>125</v>
      </c>
      <c r="BL1896" t="s">
        <v>301</v>
      </c>
      <c r="BM1896" t="s">
        <v>32283</v>
      </c>
      <c r="BN1896" t="s">
        <v>74</v>
      </c>
      <c r="BO1896" t="s">
        <v>156</v>
      </c>
      <c r="BP1896" t="s">
        <v>74</v>
      </c>
      <c r="BQ1896" t="s">
        <v>74</v>
      </c>
      <c r="BR1896" t="s">
        <v>102</v>
      </c>
      <c r="BS1896" t="s">
        <v>32284</v>
      </c>
      <c r="BT1896" t="str">
        <f>HYPERLINK("https%3A%2F%2Fwww.webofscience.com%2Fwos%2Fwoscc%2Ffull-record%2FWOS:001011880000011","View Full Record in Web of Science")</f>
        <v>View Full Record in Web of Science</v>
      </c>
    </row>
    <row r="1897" spans="1:72" x14ac:dyDescent="0.35">
      <c r="A1897" t="s">
        <v>128</v>
      </c>
      <c r="B1897" t="s">
        <v>32285</v>
      </c>
      <c r="C1897" t="s">
        <v>74</v>
      </c>
      <c r="D1897" t="s">
        <v>74</v>
      </c>
      <c r="E1897" t="s">
        <v>1677</v>
      </c>
      <c r="F1897" t="s">
        <v>32286</v>
      </c>
      <c r="G1897" t="s">
        <v>74</v>
      </c>
      <c r="H1897" t="s">
        <v>74</v>
      </c>
      <c r="I1897" t="s">
        <v>32287</v>
      </c>
      <c r="J1897" t="s">
        <v>32288</v>
      </c>
      <c r="K1897" t="s">
        <v>74</v>
      </c>
      <c r="L1897" t="s">
        <v>74</v>
      </c>
      <c r="M1897" t="s">
        <v>78</v>
      </c>
      <c r="N1897" t="s">
        <v>135</v>
      </c>
      <c r="O1897" t="s">
        <v>32289</v>
      </c>
      <c r="P1897" t="s">
        <v>32290</v>
      </c>
      <c r="Q1897" t="s">
        <v>32291</v>
      </c>
      <c r="R1897" t="s">
        <v>1677</v>
      </c>
      <c r="S1897" t="s">
        <v>74</v>
      </c>
      <c r="T1897" t="s">
        <v>32292</v>
      </c>
      <c r="U1897" t="s">
        <v>74</v>
      </c>
      <c r="V1897" t="s">
        <v>32293</v>
      </c>
      <c r="W1897" t="s">
        <v>32294</v>
      </c>
      <c r="X1897" t="s">
        <v>1227</v>
      </c>
      <c r="Y1897" t="s">
        <v>32295</v>
      </c>
      <c r="Z1897" t="s">
        <v>32296</v>
      </c>
      <c r="AA1897" t="s">
        <v>74</v>
      </c>
      <c r="AB1897" t="s">
        <v>32297</v>
      </c>
      <c r="AC1897" t="s">
        <v>74</v>
      </c>
      <c r="AD1897" t="s">
        <v>74</v>
      </c>
      <c r="AE1897" t="s">
        <v>74</v>
      </c>
      <c r="AF1897" t="s">
        <v>74</v>
      </c>
      <c r="AG1897">
        <v>18</v>
      </c>
      <c r="AH1897">
        <v>0</v>
      </c>
      <c r="AI1897">
        <v>0</v>
      </c>
      <c r="AJ1897">
        <v>0</v>
      </c>
      <c r="AK1897">
        <v>0</v>
      </c>
      <c r="AL1897" t="s">
        <v>1677</v>
      </c>
      <c r="AM1897" t="s">
        <v>666</v>
      </c>
      <c r="AN1897" t="s">
        <v>1692</v>
      </c>
      <c r="AO1897" t="s">
        <v>74</v>
      </c>
      <c r="AP1897" t="s">
        <v>74</v>
      </c>
      <c r="AQ1897" t="s">
        <v>32298</v>
      </c>
      <c r="AR1897" t="s">
        <v>74</v>
      </c>
      <c r="AS1897" t="s">
        <v>74</v>
      </c>
      <c r="AT1897" t="s">
        <v>74</v>
      </c>
      <c r="AU1897">
        <v>2022</v>
      </c>
      <c r="AV1897" t="s">
        <v>74</v>
      </c>
      <c r="AW1897" t="s">
        <v>74</v>
      </c>
      <c r="AX1897" t="s">
        <v>74</v>
      </c>
      <c r="AY1897" t="s">
        <v>74</v>
      </c>
      <c r="AZ1897" t="s">
        <v>74</v>
      </c>
      <c r="BA1897" t="s">
        <v>74</v>
      </c>
      <c r="BB1897" t="s">
        <v>74</v>
      </c>
      <c r="BC1897" t="s">
        <v>74</v>
      </c>
      <c r="BD1897" t="s">
        <v>74</v>
      </c>
      <c r="BE1897" t="s">
        <v>32299</v>
      </c>
      <c r="BF1897" t="str">
        <f>HYPERLINK("http://dx.doi.org/10.1109/IETC54973.2022.9796917","http://dx.doi.org/10.1109/IETC54973.2022.9796917")</f>
        <v>http://dx.doi.org/10.1109/IETC54973.2022.9796917</v>
      </c>
      <c r="BG1897" t="s">
        <v>74</v>
      </c>
      <c r="BH1897" t="s">
        <v>74</v>
      </c>
      <c r="BI1897">
        <v>5</v>
      </c>
      <c r="BJ1897" t="s">
        <v>32300</v>
      </c>
      <c r="BK1897" t="s">
        <v>723</v>
      </c>
      <c r="BL1897" t="s">
        <v>1113</v>
      </c>
      <c r="BM1897" t="s">
        <v>32301</v>
      </c>
      <c r="BN1897" t="s">
        <v>74</v>
      </c>
      <c r="BO1897" t="s">
        <v>74</v>
      </c>
      <c r="BP1897" t="s">
        <v>74</v>
      </c>
      <c r="BQ1897" t="s">
        <v>74</v>
      </c>
      <c r="BR1897" t="s">
        <v>102</v>
      </c>
      <c r="BS1897" t="s">
        <v>32302</v>
      </c>
      <c r="BT1897" t="str">
        <f>HYPERLINK("https%3A%2F%2Fwww.webofscience.com%2Fwos%2Fwoscc%2Ffull-record%2FWOS:000852615700078","View Full Record in Web of Science")</f>
        <v>View Full Record in Web of Science</v>
      </c>
    </row>
    <row r="1898" spans="1:72" x14ac:dyDescent="0.35">
      <c r="A1898" t="s">
        <v>72</v>
      </c>
      <c r="B1898" t="s">
        <v>32303</v>
      </c>
      <c r="C1898" t="s">
        <v>74</v>
      </c>
      <c r="D1898" t="s">
        <v>74</v>
      </c>
      <c r="E1898" t="s">
        <v>74</v>
      </c>
      <c r="F1898" t="s">
        <v>32304</v>
      </c>
      <c r="G1898" t="s">
        <v>74</v>
      </c>
      <c r="H1898" t="s">
        <v>74</v>
      </c>
      <c r="I1898" t="s">
        <v>32305</v>
      </c>
      <c r="J1898" t="s">
        <v>32306</v>
      </c>
      <c r="K1898" t="s">
        <v>74</v>
      </c>
      <c r="L1898" t="s">
        <v>74</v>
      </c>
      <c r="M1898" t="s">
        <v>78</v>
      </c>
      <c r="N1898" t="s">
        <v>79</v>
      </c>
      <c r="O1898" t="s">
        <v>74</v>
      </c>
      <c r="P1898" t="s">
        <v>74</v>
      </c>
      <c r="Q1898" t="s">
        <v>74</v>
      </c>
      <c r="R1898" t="s">
        <v>74</v>
      </c>
      <c r="S1898" t="s">
        <v>74</v>
      </c>
      <c r="T1898" t="s">
        <v>32307</v>
      </c>
      <c r="U1898" t="s">
        <v>32308</v>
      </c>
      <c r="V1898" t="s">
        <v>32309</v>
      </c>
      <c r="W1898" t="s">
        <v>32310</v>
      </c>
      <c r="X1898" t="s">
        <v>10055</v>
      </c>
      <c r="Y1898" t="s">
        <v>32311</v>
      </c>
      <c r="Z1898" t="s">
        <v>32312</v>
      </c>
      <c r="AA1898" t="s">
        <v>32313</v>
      </c>
      <c r="AB1898" t="s">
        <v>32314</v>
      </c>
      <c r="AC1898" t="s">
        <v>74</v>
      </c>
      <c r="AD1898" t="s">
        <v>74</v>
      </c>
      <c r="AE1898" t="s">
        <v>74</v>
      </c>
      <c r="AF1898" t="s">
        <v>74</v>
      </c>
      <c r="AG1898">
        <v>54</v>
      </c>
      <c r="AH1898">
        <v>0</v>
      </c>
      <c r="AI1898">
        <v>0</v>
      </c>
      <c r="AJ1898">
        <v>41</v>
      </c>
      <c r="AK1898">
        <v>60</v>
      </c>
      <c r="AL1898" t="s">
        <v>88</v>
      </c>
      <c r="AM1898" t="s">
        <v>89</v>
      </c>
      <c r="AN1898" t="s">
        <v>90</v>
      </c>
      <c r="AO1898" t="s">
        <v>32315</v>
      </c>
      <c r="AP1898" t="s">
        <v>32316</v>
      </c>
      <c r="AQ1898" t="s">
        <v>74</v>
      </c>
      <c r="AR1898" t="s">
        <v>32317</v>
      </c>
      <c r="AS1898" t="s">
        <v>32318</v>
      </c>
      <c r="AT1898" t="s">
        <v>32319</v>
      </c>
      <c r="AU1898">
        <v>2024</v>
      </c>
      <c r="AV1898" t="s">
        <v>74</v>
      </c>
      <c r="AW1898" t="s">
        <v>74</v>
      </c>
      <c r="AX1898" t="s">
        <v>74</v>
      </c>
      <c r="AY1898" t="s">
        <v>74</v>
      </c>
      <c r="AZ1898" t="s">
        <v>74</v>
      </c>
      <c r="BA1898" t="s">
        <v>74</v>
      </c>
      <c r="BB1898" t="s">
        <v>74</v>
      </c>
      <c r="BC1898" t="s">
        <v>74</v>
      </c>
      <c r="BD1898" t="s">
        <v>74</v>
      </c>
      <c r="BE1898" t="s">
        <v>32320</v>
      </c>
      <c r="BF1898" t="str">
        <f>HYPERLINK("http://dx.doi.org/10.1080/17544750.2024.2310523","http://dx.doi.org/10.1080/17544750.2024.2310523")</f>
        <v>http://dx.doi.org/10.1080/17544750.2024.2310523</v>
      </c>
      <c r="BG1898" t="s">
        <v>74</v>
      </c>
      <c r="BH1898" t="s">
        <v>1377</v>
      </c>
      <c r="BI1898">
        <v>17</v>
      </c>
      <c r="BJ1898" t="s">
        <v>124</v>
      </c>
      <c r="BK1898" t="s">
        <v>99</v>
      </c>
      <c r="BL1898" t="s">
        <v>124</v>
      </c>
      <c r="BM1898" t="s">
        <v>32321</v>
      </c>
      <c r="BN1898" t="s">
        <v>74</v>
      </c>
      <c r="BO1898" t="s">
        <v>74</v>
      </c>
      <c r="BP1898" t="s">
        <v>74</v>
      </c>
      <c r="BQ1898" t="s">
        <v>74</v>
      </c>
      <c r="BR1898" t="s">
        <v>102</v>
      </c>
      <c r="BS1898" t="s">
        <v>32322</v>
      </c>
      <c r="BT1898" t="str">
        <f>HYPERLINK("https%3A%2F%2Fwww.webofscience.com%2Fwos%2Fwoscc%2Ffull-record%2FWOS:001157600900001","View Full Record in Web of Science")</f>
        <v>View Full Record in Web of Science</v>
      </c>
    </row>
    <row r="1899" spans="1:72" x14ac:dyDescent="0.35">
      <c r="A1899" t="s">
        <v>72</v>
      </c>
      <c r="B1899" t="s">
        <v>32323</v>
      </c>
      <c r="C1899" t="s">
        <v>74</v>
      </c>
      <c r="D1899" t="s">
        <v>74</v>
      </c>
      <c r="E1899" t="s">
        <v>74</v>
      </c>
      <c r="F1899" t="s">
        <v>32324</v>
      </c>
      <c r="G1899" t="s">
        <v>74</v>
      </c>
      <c r="H1899" t="s">
        <v>74</v>
      </c>
      <c r="I1899" t="s">
        <v>32325</v>
      </c>
      <c r="J1899" t="s">
        <v>1282</v>
      </c>
      <c r="K1899" t="s">
        <v>74</v>
      </c>
      <c r="L1899" t="s">
        <v>74</v>
      </c>
      <c r="M1899" t="s">
        <v>78</v>
      </c>
      <c r="N1899" t="s">
        <v>108</v>
      </c>
      <c r="O1899" t="s">
        <v>74</v>
      </c>
      <c r="P1899" t="s">
        <v>74</v>
      </c>
      <c r="Q1899" t="s">
        <v>74</v>
      </c>
      <c r="R1899" t="s">
        <v>74</v>
      </c>
      <c r="S1899" t="s">
        <v>74</v>
      </c>
      <c r="T1899" t="s">
        <v>32326</v>
      </c>
      <c r="U1899" t="s">
        <v>32327</v>
      </c>
      <c r="V1899" t="s">
        <v>32328</v>
      </c>
      <c r="W1899" t="s">
        <v>32329</v>
      </c>
      <c r="X1899" t="s">
        <v>32330</v>
      </c>
      <c r="Y1899" t="s">
        <v>32331</v>
      </c>
      <c r="Z1899" t="s">
        <v>32332</v>
      </c>
      <c r="AA1899" t="s">
        <v>32333</v>
      </c>
      <c r="AB1899" t="s">
        <v>32334</v>
      </c>
      <c r="AC1899" t="s">
        <v>74</v>
      </c>
      <c r="AD1899" t="s">
        <v>74</v>
      </c>
      <c r="AE1899" t="s">
        <v>74</v>
      </c>
      <c r="AF1899" t="s">
        <v>74</v>
      </c>
      <c r="AG1899">
        <v>66</v>
      </c>
      <c r="AH1899">
        <v>2</v>
      </c>
      <c r="AI1899">
        <v>2</v>
      </c>
      <c r="AJ1899">
        <v>20</v>
      </c>
      <c r="AK1899">
        <v>52</v>
      </c>
      <c r="AL1899" t="s">
        <v>1294</v>
      </c>
      <c r="AM1899" t="s">
        <v>1062</v>
      </c>
      <c r="AN1899" t="s">
        <v>1295</v>
      </c>
      <c r="AO1899" t="s">
        <v>74</v>
      </c>
      <c r="AP1899" t="s">
        <v>1296</v>
      </c>
      <c r="AQ1899" t="s">
        <v>74</v>
      </c>
      <c r="AR1899" t="s">
        <v>1282</v>
      </c>
      <c r="AS1899" t="s">
        <v>1297</v>
      </c>
      <c r="AT1899" t="s">
        <v>32335</v>
      </c>
      <c r="AU1899">
        <v>2024</v>
      </c>
      <c r="AV1899">
        <v>10</v>
      </c>
      <c r="AW1899">
        <v>2</v>
      </c>
      <c r="AX1899" t="s">
        <v>74</v>
      </c>
      <c r="AY1899" t="s">
        <v>74</v>
      </c>
      <c r="AZ1899" t="s">
        <v>74</v>
      </c>
      <c r="BA1899" t="s">
        <v>74</v>
      </c>
      <c r="BB1899" t="s">
        <v>74</v>
      </c>
      <c r="BC1899" t="s">
        <v>74</v>
      </c>
      <c r="BD1899" t="s">
        <v>32336</v>
      </c>
      <c r="BE1899" t="s">
        <v>32337</v>
      </c>
      <c r="BF1899" t="str">
        <f>HYPERLINK("http://dx.doi.org/10.1016/j.heliyon.2024.e24384","http://dx.doi.org/10.1016/j.heliyon.2024.e24384")</f>
        <v>http://dx.doi.org/10.1016/j.heliyon.2024.e24384</v>
      </c>
      <c r="BG1899" t="s">
        <v>74</v>
      </c>
      <c r="BH1899" t="s">
        <v>1377</v>
      </c>
      <c r="BI1899">
        <v>10</v>
      </c>
      <c r="BJ1899" t="s">
        <v>1301</v>
      </c>
      <c r="BK1899" t="s">
        <v>209</v>
      </c>
      <c r="BL1899" t="s">
        <v>1302</v>
      </c>
      <c r="BM1899" t="s">
        <v>32338</v>
      </c>
      <c r="BN1899">
        <v>38293527</v>
      </c>
      <c r="BO1899" t="s">
        <v>552</v>
      </c>
      <c r="BP1899" t="s">
        <v>74</v>
      </c>
      <c r="BQ1899" t="s">
        <v>74</v>
      </c>
      <c r="BR1899" t="s">
        <v>102</v>
      </c>
      <c r="BS1899" t="s">
        <v>32339</v>
      </c>
      <c r="BT1899" t="str">
        <f>HYPERLINK("https%3A%2F%2Fwww.webofscience.com%2Fwos%2Fwoscc%2Ffull-record%2FWOS:001155897800001","View Full Record in Web of Science")</f>
        <v>View Full Record in Web of Science</v>
      </c>
    </row>
    <row r="1900" spans="1:72" x14ac:dyDescent="0.35">
      <c r="A1900" t="s">
        <v>72</v>
      </c>
      <c r="B1900" t="s">
        <v>32340</v>
      </c>
      <c r="C1900" t="s">
        <v>74</v>
      </c>
      <c r="D1900" t="s">
        <v>74</v>
      </c>
      <c r="E1900" t="s">
        <v>74</v>
      </c>
      <c r="F1900" t="s">
        <v>32341</v>
      </c>
      <c r="G1900" t="s">
        <v>74</v>
      </c>
      <c r="H1900" t="s">
        <v>74</v>
      </c>
      <c r="I1900" t="s">
        <v>32342</v>
      </c>
      <c r="J1900" t="s">
        <v>32343</v>
      </c>
      <c r="K1900" t="s">
        <v>74</v>
      </c>
      <c r="L1900" t="s">
        <v>74</v>
      </c>
      <c r="M1900" t="s">
        <v>78</v>
      </c>
      <c r="N1900" t="s">
        <v>79</v>
      </c>
      <c r="O1900" t="s">
        <v>74</v>
      </c>
      <c r="P1900" t="s">
        <v>74</v>
      </c>
      <c r="Q1900" t="s">
        <v>74</v>
      </c>
      <c r="R1900" t="s">
        <v>74</v>
      </c>
      <c r="S1900" t="s">
        <v>74</v>
      </c>
      <c r="T1900" t="s">
        <v>32344</v>
      </c>
      <c r="U1900" t="s">
        <v>32345</v>
      </c>
      <c r="V1900" t="s">
        <v>32346</v>
      </c>
      <c r="W1900" t="s">
        <v>32347</v>
      </c>
      <c r="X1900" t="s">
        <v>32348</v>
      </c>
      <c r="Y1900" t="s">
        <v>32349</v>
      </c>
      <c r="Z1900" t="s">
        <v>32350</v>
      </c>
      <c r="AA1900" t="s">
        <v>74</v>
      </c>
      <c r="AB1900" t="s">
        <v>32351</v>
      </c>
      <c r="AC1900" t="s">
        <v>74</v>
      </c>
      <c r="AD1900" t="s">
        <v>74</v>
      </c>
      <c r="AE1900" t="s">
        <v>74</v>
      </c>
      <c r="AF1900" t="s">
        <v>74</v>
      </c>
      <c r="AG1900">
        <v>30</v>
      </c>
      <c r="AH1900">
        <v>1</v>
      </c>
      <c r="AI1900">
        <v>1</v>
      </c>
      <c r="AJ1900">
        <v>25</v>
      </c>
      <c r="AK1900">
        <v>147</v>
      </c>
      <c r="AL1900" t="s">
        <v>171</v>
      </c>
      <c r="AM1900" t="s">
        <v>172</v>
      </c>
      <c r="AN1900" t="s">
        <v>173</v>
      </c>
      <c r="AO1900" t="s">
        <v>32352</v>
      </c>
      <c r="AP1900" t="s">
        <v>32353</v>
      </c>
      <c r="AQ1900" t="s">
        <v>74</v>
      </c>
      <c r="AR1900" t="s">
        <v>32354</v>
      </c>
      <c r="AS1900" t="s">
        <v>32355</v>
      </c>
      <c r="AT1900" t="s">
        <v>32356</v>
      </c>
      <c r="AU1900">
        <v>2023</v>
      </c>
      <c r="AV1900" t="s">
        <v>74</v>
      </c>
      <c r="AW1900" t="s">
        <v>74</v>
      </c>
      <c r="AX1900" t="s">
        <v>74</v>
      </c>
      <c r="AY1900" t="s">
        <v>74</v>
      </c>
      <c r="AZ1900" t="s">
        <v>74</v>
      </c>
      <c r="BA1900" t="s">
        <v>74</v>
      </c>
      <c r="BB1900" t="s">
        <v>74</v>
      </c>
      <c r="BC1900" t="s">
        <v>74</v>
      </c>
      <c r="BD1900" t="s">
        <v>74</v>
      </c>
      <c r="BE1900" t="s">
        <v>32357</v>
      </c>
      <c r="BF1900" t="str">
        <f>HYPERLINK("http://dx.doi.org/10.1111/poms.13948","http://dx.doi.org/10.1111/poms.13948")</f>
        <v>http://dx.doi.org/10.1111/poms.13948</v>
      </c>
      <c r="BG1900" t="s">
        <v>74</v>
      </c>
      <c r="BH1900" t="s">
        <v>6895</v>
      </c>
      <c r="BI1900">
        <v>18</v>
      </c>
      <c r="BJ1900" t="s">
        <v>32358</v>
      </c>
      <c r="BK1900" t="s">
        <v>209</v>
      </c>
      <c r="BL1900" t="s">
        <v>32359</v>
      </c>
      <c r="BM1900" t="s">
        <v>32360</v>
      </c>
      <c r="BN1900" t="s">
        <v>74</v>
      </c>
      <c r="BO1900" t="s">
        <v>74</v>
      </c>
      <c r="BP1900" t="s">
        <v>74</v>
      </c>
      <c r="BQ1900" t="s">
        <v>74</v>
      </c>
      <c r="BR1900" t="s">
        <v>102</v>
      </c>
      <c r="BS1900" t="s">
        <v>32361</v>
      </c>
      <c r="BT1900" t="str">
        <f>HYPERLINK("https%3A%2F%2Fwww.webofscience.com%2Fwos%2Fwoscc%2Ffull-record%2FWOS:000922188000001","View Full Record in Web of Science")</f>
        <v>View Full Record in Web of Science</v>
      </c>
    </row>
    <row r="1901" spans="1:72" x14ac:dyDescent="0.35">
      <c r="A1901" t="s">
        <v>72</v>
      </c>
      <c r="B1901" t="s">
        <v>32362</v>
      </c>
      <c r="C1901" t="s">
        <v>74</v>
      </c>
      <c r="D1901" t="s">
        <v>74</v>
      </c>
      <c r="E1901" t="s">
        <v>74</v>
      </c>
      <c r="F1901" t="s">
        <v>32363</v>
      </c>
      <c r="G1901" t="s">
        <v>74</v>
      </c>
      <c r="H1901" t="s">
        <v>74</v>
      </c>
      <c r="I1901" t="s">
        <v>32364</v>
      </c>
      <c r="J1901" t="s">
        <v>5361</v>
      </c>
      <c r="K1901" t="s">
        <v>74</v>
      </c>
      <c r="L1901" t="s">
        <v>74</v>
      </c>
      <c r="M1901" t="s">
        <v>78</v>
      </c>
      <c r="N1901" t="s">
        <v>108</v>
      </c>
      <c r="O1901" t="s">
        <v>74</v>
      </c>
      <c r="P1901" t="s">
        <v>74</v>
      </c>
      <c r="Q1901" t="s">
        <v>74</v>
      </c>
      <c r="R1901" t="s">
        <v>74</v>
      </c>
      <c r="S1901" t="s">
        <v>74</v>
      </c>
      <c r="T1901" t="s">
        <v>32365</v>
      </c>
      <c r="U1901" t="s">
        <v>32366</v>
      </c>
      <c r="V1901" t="s">
        <v>32367</v>
      </c>
      <c r="W1901" t="s">
        <v>32368</v>
      </c>
      <c r="X1901" t="s">
        <v>32369</v>
      </c>
      <c r="Y1901" t="s">
        <v>32370</v>
      </c>
      <c r="Z1901" t="s">
        <v>32371</v>
      </c>
      <c r="AA1901" t="s">
        <v>32372</v>
      </c>
      <c r="AB1901" t="s">
        <v>32373</v>
      </c>
      <c r="AC1901" t="s">
        <v>32374</v>
      </c>
      <c r="AD1901" t="s">
        <v>32375</v>
      </c>
      <c r="AE1901" t="s">
        <v>32376</v>
      </c>
      <c r="AF1901" t="s">
        <v>74</v>
      </c>
      <c r="AG1901">
        <v>59</v>
      </c>
      <c r="AH1901">
        <v>27</v>
      </c>
      <c r="AI1901">
        <v>28</v>
      </c>
      <c r="AJ1901">
        <v>59</v>
      </c>
      <c r="AK1901">
        <v>189</v>
      </c>
      <c r="AL1901" t="s">
        <v>1965</v>
      </c>
      <c r="AM1901" t="s">
        <v>666</v>
      </c>
      <c r="AN1901" t="s">
        <v>1966</v>
      </c>
      <c r="AO1901" t="s">
        <v>5370</v>
      </c>
      <c r="AP1901" t="s">
        <v>5371</v>
      </c>
      <c r="AQ1901" t="s">
        <v>74</v>
      </c>
      <c r="AR1901" t="s">
        <v>5372</v>
      </c>
      <c r="AS1901" t="s">
        <v>5373</v>
      </c>
      <c r="AT1901" t="s">
        <v>1484</v>
      </c>
      <c r="AU1901">
        <v>2023</v>
      </c>
      <c r="AV1901">
        <v>188</v>
      </c>
      <c r="AW1901" t="s">
        <v>74</v>
      </c>
      <c r="AX1901" t="s">
        <v>74</v>
      </c>
      <c r="AY1901" t="s">
        <v>74</v>
      </c>
      <c r="AZ1901" t="s">
        <v>74</v>
      </c>
      <c r="BA1901" t="s">
        <v>74</v>
      </c>
      <c r="BB1901" t="s">
        <v>74</v>
      </c>
      <c r="BC1901" t="s">
        <v>74</v>
      </c>
      <c r="BD1901">
        <v>122280</v>
      </c>
      <c r="BE1901" t="s">
        <v>32377</v>
      </c>
      <c r="BF1901" t="str">
        <f>HYPERLINK("http://dx.doi.org/10.1016/j.techfore.2022.122280","http://dx.doi.org/10.1016/j.techfore.2022.122280")</f>
        <v>http://dx.doi.org/10.1016/j.techfore.2022.122280</v>
      </c>
      <c r="BG1901" t="s">
        <v>74</v>
      </c>
      <c r="BH1901" t="s">
        <v>3638</v>
      </c>
      <c r="BI1901">
        <v>11</v>
      </c>
      <c r="BJ1901" t="s">
        <v>5375</v>
      </c>
      <c r="BK1901" t="s">
        <v>99</v>
      </c>
      <c r="BL1901" t="s">
        <v>5376</v>
      </c>
      <c r="BM1901" t="s">
        <v>32378</v>
      </c>
      <c r="BN1901" t="s">
        <v>74</v>
      </c>
      <c r="BO1901" t="s">
        <v>156</v>
      </c>
      <c r="BP1901" t="s">
        <v>395</v>
      </c>
      <c r="BQ1901" t="s">
        <v>396</v>
      </c>
      <c r="BR1901" t="s">
        <v>102</v>
      </c>
      <c r="BS1901" t="s">
        <v>32379</v>
      </c>
      <c r="BT1901" t="str">
        <f>HYPERLINK("https%3A%2F%2Fwww.webofscience.com%2Fwos%2Fwoscc%2Ffull-record%2FWOS:000919022700001","View Full Record in Web of Science")</f>
        <v>View Full Record in Web of Science</v>
      </c>
    </row>
    <row r="1902" spans="1:72" x14ac:dyDescent="0.35">
      <c r="A1902" t="s">
        <v>128</v>
      </c>
      <c r="B1902" t="s">
        <v>32380</v>
      </c>
      <c r="C1902" t="s">
        <v>74</v>
      </c>
      <c r="D1902" t="s">
        <v>32381</v>
      </c>
      <c r="E1902" t="s">
        <v>74</v>
      </c>
      <c r="F1902" t="s">
        <v>32382</v>
      </c>
      <c r="G1902" t="s">
        <v>74</v>
      </c>
      <c r="H1902" t="s">
        <v>74</v>
      </c>
      <c r="I1902" t="s">
        <v>32383</v>
      </c>
      <c r="J1902" t="s">
        <v>32384</v>
      </c>
      <c r="K1902" t="s">
        <v>8364</v>
      </c>
      <c r="L1902" t="s">
        <v>74</v>
      </c>
      <c r="M1902" t="s">
        <v>78</v>
      </c>
      <c r="N1902" t="s">
        <v>135</v>
      </c>
      <c r="O1902" t="s">
        <v>32385</v>
      </c>
      <c r="P1902" t="s">
        <v>32386</v>
      </c>
      <c r="Q1902" t="s">
        <v>32387</v>
      </c>
      <c r="R1902" t="s">
        <v>74</v>
      </c>
      <c r="S1902" t="s">
        <v>74</v>
      </c>
      <c r="T1902" t="s">
        <v>32388</v>
      </c>
      <c r="U1902" t="s">
        <v>74</v>
      </c>
      <c r="V1902" t="s">
        <v>32389</v>
      </c>
      <c r="W1902" t="s">
        <v>32390</v>
      </c>
      <c r="X1902" t="s">
        <v>32391</v>
      </c>
      <c r="Y1902" t="s">
        <v>32392</v>
      </c>
      <c r="Z1902" t="s">
        <v>32393</v>
      </c>
      <c r="AA1902" t="s">
        <v>32394</v>
      </c>
      <c r="AB1902" t="s">
        <v>32395</v>
      </c>
      <c r="AC1902" t="s">
        <v>32396</v>
      </c>
      <c r="AD1902" t="s">
        <v>32397</v>
      </c>
      <c r="AE1902" t="s">
        <v>32398</v>
      </c>
      <c r="AF1902" t="s">
        <v>74</v>
      </c>
      <c r="AG1902">
        <v>70</v>
      </c>
      <c r="AH1902">
        <v>13</v>
      </c>
      <c r="AI1902">
        <v>13</v>
      </c>
      <c r="AJ1902">
        <v>0</v>
      </c>
      <c r="AK1902">
        <v>1</v>
      </c>
      <c r="AL1902" t="s">
        <v>639</v>
      </c>
      <c r="AM1902" t="s">
        <v>640</v>
      </c>
      <c r="AN1902" t="s">
        <v>641</v>
      </c>
      <c r="AO1902" t="s">
        <v>8380</v>
      </c>
      <c r="AP1902" t="s">
        <v>8381</v>
      </c>
      <c r="AQ1902" t="s">
        <v>32399</v>
      </c>
      <c r="AR1902" t="s">
        <v>8383</v>
      </c>
      <c r="AS1902" t="s">
        <v>74</v>
      </c>
      <c r="AT1902" t="s">
        <v>74</v>
      </c>
      <c r="AU1902">
        <v>2022</v>
      </c>
      <c r="AV1902">
        <v>13697</v>
      </c>
      <c r="AW1902" t="s">
        <v>74</v>
      </c>
      <c r="AX1902" t="s">
        <v>74</v>
      </c>
      <c r="AY1902" t="s">
        <v>74</v>
      </c>
      <c r="AZ1902" t="s">
        <v>74</v>
      </c>
      <c r="BA1902" t="s">
        <v>74</v>
      </c>
      <c r="BB1902">
        <v>182</v>
      </c>
      <c r="BC1902">
        <v>199</v>
      </c>
      <c r="BD1902" t="s">
        <v>74</v>
      </c>
      <c r="BE1902" t="s">
        <v>32400</v>
      </c>
      <c r="BF1902" t="str">
        <f>HYPERLINK("http://dx.doi.org/10.1007/978-3-031-19836-6_11","http://dx.doi.org/10.1007/978-3-031-19836-6_11")</f>
        <v>http://dx.doi.org/10.1007/978-3-031-19836-6_11</v>
      </c>
      <c r="BG1902" t="s">
        <v>74</v>
      </c>
      <c r="BH1902" t="s">
        <v>74</v>
      </c>
      <c r="BI1902">
        <v>18</v>
      </c>
      <c r="BJ1902" t="s">
        <v>32401</v>
      </c>
      <c r="BK1902" t="s">
        <v>723</v>
      </c>
      <c r="BL1902" t="s">
        <v>31246</v>
      </c>
      <c r="BM1902" t="s">
        <v>32402</v>
      </c>
      <c r="BN1902" t="s">
        <v>74</v>
      </c>
      <c r="BO1902" t="s">
        <v>74</v>
      </c>
      <c r="BP1902" t="s">
        <v>74</v>
      </c>
      <c r="BQ1902" t="s">
        <v>74</v>
      </c>
      <c r="BR1902" t="s">
        <v>102</v>
      </c>
      <c r="BS1902" t="s">
        <v>32403</v>
      </c>
      <c r="BT1902" t="str">
        <f>HYPERLINK("https%3A%2F%2Fwww.webofscience.com%2Fwos%2Fwoscc%2Ffull-record%2FWOS:000903756400011","View Full Record in Web of Science")</f>
        <v>View Full Record in Web of Science</v>
      </c>
    </row>
    <row r="1903" spans="1:72" x14ac:dyDescent="0.35">
      <c r="A1903" t="s">
        <v>72</v>
      </c>
      <c r="B1903" t="s">
        <v>32404</v>
      </c>
      <c r="C1903" t="s">
        <v>74</v>
      </c>
      <c r="D1903" t="s">
        <v>74</v>
      </c>
      <c r="E1903" t="s">
        <v>74</v>
      </c>
      <c r="F1903" t="s">
        <v>32405</v>
      </c>
      <c r="G1903" t="s">
        <v>74</v>
      </c>
      <c r="H1903" t="s">
        <v>74</v>
      </c>
      <c r="I1903" t="s">
        <v>32406</v>
      </c>
      <c r="J1903" t="s">
        <v>32407</v>
      </c>
      <c r="K1903" t="s">
        <v>74</v>
      </c>
      <c r="L1903" t="s">
        <v>74</v>
      </c>
      <c r="M1903" t="s">
        <v>78</v>
      </c>
      <c r="N1903" t="s">
        <v>108</v>
      </c>
      <c r="O1903" t="s">
        <v>74</v>
      </c>
      <c r="P1903" t="s">
        <v>74</v>
      </c>
      <c r="Q1903" t="s">
        <v>74</v>
      </c>
      <c r="R1903" t="s">
        <v>74</v>
      </c>
      <c r="S1903" t="s">
        <v>74</v>
      </c>
      <c r="T1903" t="s">
        <v>32408</v>
      </c>
      <c r="U1903" t="s">
        <v>32409</v>
      </c>
      <c r="V1903" t="s">
        <v>32410</v>
      </c>
      <c r="W1903" t="s">
        <v>32411</v>
      </c>
      <c r="X1903" t="s">
        <v>7063</v>
      </c>
      <c r="Y1903" t="s">
        <v>32412</v>
      </c>
      <c r="Z1903" t="s">
        <v>32413</v>
      </c>
      <c r="AA1903" t="s">
        <v>32414</v>
      </c>
      <c r="AB1903" t="s">
        <v>32415</v>
      </c>
      <c r="AC1903" t="s">
        <v>32416</v>
      </c>
      <c r="AD1903" t="s">
        <v>32417</v>
      </c>
      <c r="AE1903" t="s">
        <v>32418</v>
      </c>
      <c r="AF1903" t="s">
        <v>74</v>
      </c>
      <c r="AG1903">
        <v>52</v>
      </c>
      <c r="AH1903">
        <v>3</v>
      </c>
      <c r="AI1903">
        <v>4</v>
      </c>
      <c r="AJ1903">
        <v>1</v>
      </c>
      <c r="AK1903">
        <v>6</v>
      </c>
      <c r="AL1903" t="s">
        <v>3632</v>
      </c>
      <c r="AM1903" t="s">
        <v>291</v>
      </c>
      <c r="AN1903" t="s">
        <v>3633</v>
      </c>
      <c r="AO1903" t="s">
        <v>32419</v>
      </c>
      <c r="AP1903" t="s">
        <v>32420</v>
      </c>
      <c r="AQ1903" t="s">
        <v>74</v>
      </c>
      <c r="AR1903" t="s">
        <v>32421</v>
      </c>
      <c r="AS1903" t="s">
        <v>32422</v>
      </c>
      <c r="AT1903" t="s">
        <v>930</v>
      </c>
      <c r="AU1903">
        <v>2023</v>
      </c>
      <c r="AV1903">
        <v>150</v>
      </c>
      <c r="AW1903" t="s">
        <v>74</v>
      </c>
      <c r="AX1903" t="s">
        <v>74</v>
      </c>
      <c r="AY1903" t="s">
        <v>74</v>
      </c>
      <c r="AZ1903" t="s">
        <v>74</v>
      </c>
      <c r="BA1903" t="s">
        <v>74</v>
      </c>
      <c r="BB1903" t="s">
        <v>74</v>
      </c>
      <c r="BC1903" t="s">
        <v>74</v>
      </c>
      <c r="BD1903">
        <v>105517</v>
      </c>
      <c r="BE1903" t="s">
        <v>32423</v>
      </c>
      <c r="BF1903" t="str">
        <f>HYPERLINK("http://dx.doi.org/10.1016/j.marpol.2023.105517","http://dx.doi.org/10.1016/j.marpol.2023.105517")</f>
        <v>http://dx.doi.org/10.1016/j.marpol.2023.105517</v>
      </c>
      <c r="BG1903" t="s">
        <v>74</v>
      </c>
      <c r="BH1903" t="s">
        <v>6895</v>
      </c>
      <c r="BI1903">
        <v>11</v>
      </c>
      <c r="BJ1903" t="s">
        <v>32424</v>
      </c>
      <c r="BK1903" t="s">
        <v>99</v>
      </c>
      <c r="BL1903" t="s">
        <v>32425</v>
      </c>
      <c r="BM1903" t="s">
        <v>32426</v>
      </c>
      <c r="BN1903" t="s">
        <v>74</v>
      </c>
      <c r="BO1903" t="s">
        <v>4154</v>
      </c>
      <c r="BP1903" t="s">
        <v>74</v>
      </c>
      <c r="BQ1903" t="s">
        <v>74</v>
      </c>
      <c r="BR1903" t="s">
        <v>102</v>
      </c>
      <c r="BS1903" t="s">
        <v>32427</v>
      </c>
      <c r="BT1903" t="str">
        <f>HYPERLINK("https%3A%2F%2Fwww.webofscience.com%2Fwos%2Fwoscc%2Ffull-record%2FWOS:000964008900001","View Full Record in Web of Science")</f>
        <v>View Full Record in Web of Science</v>
      </c>
    </row>
    <row r="1904" spans="1:72" x14ac:dyDescent="0.35">
      <c r="A1904" t="s">
        <v>128</v>
      </c>
      <c r="B1904" t="s">
        <v>32428</v>
      </c>
      <c r="C1904" t="s">
        <v>74</v>
      </c>
      <c r="D1904" t="s">
        <v>74</v>
      </c>
      <c r="E1904" t="s">
        <v>702</v>
      </c>
      <c r="F1904" t="s">
        <v>32429</v>
      </c>
      <c r="G1904" t="s">
        <v>74</v>
      </c>
      <c r="H1904" t="s">
        <v>74</v>
      </c>
      <c r="I1904" t="s">
        <v>32430</v>
      </c>
      <c r="J1904" t="s">
        <v>32431</v>
      </c>
      <c r="K1904" t="s">
        <v>74</v>
      </c>
      <c r="L1904" t="s">
        <v>74</v>
      </c>
      <c r="M1904" t="s">
        <v>78</v>
      </c>
      <c r="N1904" t="s">
        <v>135</v>
      </c>
      <c r="O1904" t="s">
        <v>32432</v>
      </c>
      <c r="P1904" t="s">
        <v>32433</v>
      </c>
      <c r="Q1904" t="s">
        <v>32434</v>
      </c>
      <c r="R1904" t="s">
        <v>32229</v>
      </c>
      <c r="S1904" t="s">
        <v>74</v>
      </c>
      <c r="T1904" t="s">
        <v>32435</v>
      </c>
      <c r="U1904" t="s">
        <v>74</v>
      </c>
      <c r="V1904" t="s">
        <v>32436</v>
      </c>
      <c r="W1904" t="s">
        <v>32437</v>
      </c>
      <c r="X1904" t="s">
        <v>32438</v>
      </c>
      <c r="Y1904" t="s">
        <v>32439</v>
      </c>
      <c r="Z1904" t="s">
        <v>32440</v>
      </c>
      <c r="AA1904" t="s">
        <v>32441</v>
      </c>
      <c r="AB1904" t="s">
        <v>74</v>
      </c>
      <c r="AC1904" t="s">
        <v>32442</v>
      </c>
      <c r="AD1904" t="s">
        <v>32443</v>
      </c>
      <c r="AE1904" t="s">
        <v>32444</v>
      </c>
      <c r="AF1904" t="s">
        <v>74</v>
      </c>
      <c r="AG1904">
        <v>42</v>
      </c>
      <c r="AH1904">
        <v>305</v>
      </c>
      <c r="AI1904">
        <v>331</v>
      </c>
      <c r="AJ1904">
        <v>7</v>
      </c>
      <c r="AK1904">
        <v>62</v>
      </c>
      <c r="AL1904" t="s">
        <v>718</v>
      </c>
      <c r="AM1904" t="s">
        <v>666</v>
      </c>
      <c r="AN1904" t="s">
        <v>719</v>
      </c>
      <c r="AO1904" t="s">
        <v>74</v>
      </c>
      <c r="AP1904" t="s">
        <v>74</v>
      </c>
      <c r="AQ1904" t="s">
        <v>32445</v>
      </c>
      <c r="AR1904" t="s">
        <v>74</v>
      </c>
      <c r="AS1904" t="s">
        <v>74</v>
      </c>
      <c r="AT1904" t="s">
        <v>74</v>
      </c>
      <c r="AU1904">
        <v>2019</v>
      </c>
      <c r="AV1904" t="s">
        <v>74</v>
      </c>
      <c r="AW1904" t="s">
        <v>74</v>
      </c>
      <c r="AX1904" t="s">
        <v>74</v>
      </c>
      <c r="AY1904" t="s">
        <v>74</v>
      </c>
      <c r="AZ1904" t="s">
        <v>74</v>
      </c>
      <c r="BA1904" t="s">
        <v>74</v>
      </c>
      <c r="BB1904">
        <v>1437</v>
      </c>
      <c r="BC1904">
        <v>1445</v>
      </c>
      <c r="BD1904" t="s">
        <v>74</v>
      </c>
      <c r="BE1904" t="s">
        <v>32446</v>
      </c>
      <c r="BF1904" t="str">
        <f>HYPERLINK("http://dx.doi.org/10.1145/3343031.3351034","http://dx.doi.org/10.1145/3343031.3351034")</f>
        <v>http://dx.doi.org/10.1145/3343031.3351034</v>
      </c>
      <c r="BG1904" t="s">
        <v>74</v>
      </c>
      <c r="BH1904" t="s">
        <v>74</v>
      </c>
      <c r="BI1904">
        <v>9</v>
      </c>
      <c r="BJ1904" t="s">
        <v>26146</v>
      </c>
      <c r="BK1904" t="s">
        <v>723</v>
      </c>
      <c r="BL1904" t="s">
        <v>210</v>
      </c>
      <c r="BM1904" t="s">
        <v>32447</v>
      </c>
      <c r="BN1904" t="s">
        <v>74</v>
      </c>
      <c r="BO1904" t="s">
        <v>74</v>
      </c>
      <c r="BP1904" t="s">
        <v>74</v>
      </c>
      <c r="BQ1904" t="s">
        <v>74</v>
      </c>
      <c r="BR1904" t="s">
        <v>102</v>
      </c>
      <c r="BS1904" t="s">
        <v>32448</v>
      </c>
      <c r="BT1904" t="str">
        <f>HYPERLINK("https%3A%2F%2Fwww.webofscience.com%2Fwos%2Fwoscc%2Ffull-record%2FWOS:000509743400180","View Full Record in Web of Science")</f>
        <v>View Full Record in Web of Science</v>
      </c>
    </row>
    <row r="1905" spans="1:72" x14ac:dyDescent="0.35">
      <c r="A1905" t="s">
        <v>72</v>
      </c>
      <c r="B1905" t="s">
        <v>13777</v>
      </c>
      <c r="C1905" t="s">
        <v>74</v>
      </c>
      <c r="D1905" t="s">
        <v>74</v>
      </c>
      <c r="E1905" t="s">
        <v>74</v>
      </c>
      <c r="F1905" t="s">
        <v>13778</v>
      </c>
      <c r="G1905" t="s">
        <v>74</v>
      </c>
      <c r="H1905" t="s">
        <v>74</v>
      </c>
      <c r="I1905" t="s">
        <v>32449</v>
      </c>
      <c r="J1905" t="s">
        <v>1774</v>
      </c>
      <c r="K1905" t="s">
        <v>74</v>
      </c>
      <c r="L1905" t="s">
        <v>74</v>
      </c>
      <c r="M1905" t="s">
        <v>78</v>
      </c>
      <c r="N1905" t="s">
        <v>108</v>
      </c>
      <c r="O1905" t="s">
        <v>74</v>
      </c>
      <c r="P1905" t="s">
        <v>74</v>
      </c>
      <c r="Q1905" t="s">
        <v>74</v>
      </c>
      <c r="R1905" t="s">
        <v>74</v>
      </c>
      <c r="S1905" t="s">
        <v>74</v>
      </c>
      <c r="T1905" t="s">
        <v>32450</v>
      </c>
      <c r="U1905" t="s">
        <v>32451</v>
      </c>
      <c r="V1905" t="s">
        <v>32452</v>
      </c>
      <c r="W1905" t="s">
        <v>32453</v>
      </c>
      <c r="X1905" t="s">
        <v>32454</v>
      </c>
      <c r="Y1905" t="s">
        <v>2837</v>
      </c>
      <c r="Z1905" t="s">
        <v>2838</v>
      </c>
      <c r="AA1905" t="s">
        <v>74</v>
      </c>
      <c r="AB1905" t="s">
        <v>74</v>
      </c>
      <c r="AC1905" t="s">
        <v>74</v>
      </c>
      <c r="AD1905" t="s">
        <v>74</v>
      </c>
      <c r="AE1905" t="s">
        <v>74</v>
      </c>
      <c r="AF1905" t="s">
        <v>74</v>
      </c>
      <c r="AG1905">
        <v>65</v>
      </c>
      <c r="AH1905">
        <v>11</v>
      </c>
      <c r="AI1905">
        <v>12</v>
      </c>
      <c r="AJ1905">
        <v>6</v>
      </c>
      <c r="AK1905">
        <v>59</v>
      </c>
      <c r="AL1905" t="s">
        <v>88</v>
      </c>
      <c r="AM1905" t="s">
        <v>89</v>
      </c>
      <c r="AN1905" t="s">
        <v>90</v>
      </c>
      <c r="AO1905" t="s">
        <v>1783</v>
      </c>
      <c r="AP1905" t="s">
        <v>1784</v>
      </c>
      <c r="AQ1905" t="s">
        <v>74</v>
      </c>
      <c r="AR1905" t="s">
        <v>1785</v>
      </c>
      <c r="AS1905" t="s">
        <v>1786</v>
      </c>
      <c r="AT1905" t="s">
        <v>32455</v>
      </c>
      <c r="AU1905">
        <v>2023</v>
      </c>
      <c r="AV1905">
        <v>26</v>
      </c>
      <c r="AW1905">
        <v>14</v>
      </c>
      <c r="AX1905" t="s">
        <v>74</v>
      </c>
      <c r="AY1905" t="s">
        <v>74</v>
      </c>
      <c r="AZ1905" t="s">
        <v>74</v>
      </c>
      <c r="BA1905" t="s">
        <v>74</v>
      </c>
      <c r="BB1905">
        <v>2726</v>
      </c>
      <c r="BC1905">
        <v>2752</v>
      </c>
      <c r="BD1905" t="s">
        <v>74</v>
      </c>
      <c r="BE1905" t="s">
        <v>32456</v>
      </c>
      <c r="BF1905" t="str">
        <f>HYPERLINK("http://dx.doi.org/10.1080/1369118X.2022.2109980","http://dx.doi.org/10.1080/1369118X.2022.2109980")</f>
        <v>http://dx.doi.org/10.1080/1369118X.2022.2109980</v>
      </c>
      <c r="BG1905" t="s">
        <v>74</v>
      </c>
      <c r="BH1905" t="s">
        <v>1527</v>
      </c>
      <c r="BI1905">
        <v>27</v>
      </c>
      <c r="BJ1905" t="s">
        <v>1047</v>
      </c>
      <c r="BK1905" t="s">
        <v>99</v>
      </c>
      <c r="BL1905" t="s">
        <v>1047</v>
      </c>
      <c r="BM1905" t="s">
        <v>32457</v>
      </c>
      <c r="BN1905" t="s">
        <v>74</v>
      </c>
      <c r="BO1905" t="s">
        <v>74</v>
      </c>
      <c r="BP1905" t="s">
        <v>74</v>
      </c>
      <c r="BQ1905" t="s">
        <v>74</v>
      </c>
      <c r="BR1905" t="s">
        <v>102</v>
      </c>
      <c r="BS1905" t="s">
        <v>32458</v>
      </c>
      <c r="BT1905" t="str">
        <f>HYPERLINK("https%3A%2F%2Fwww.webofscience.com%2Fwos%2Fwoscc%2Ffull-record%2FWOS:000840368200001","View Full Record in Web of Science")</f>
        <v>View Full Record in Web of Science</v>
      </c>
    </row>
    <row r="1906" spans="1:72" x14ac:dyDescent="0.35">
      <c r="A1906" t="s">
        <v>72</v>
      </c>
      <c r="B1906" t="s">
        <v>32459</v>
      </c>
      <c r="C1906" t="s">
        <v>74</v>
      </c>
      <c r="D1906" t="s">
        <v>74</v>
      </c>
      <c r="E1906" t="s">
        <v>74</v>
      </c>
      <c r="F1906" t="s">
        <v>32460</v>
      </c>
      <c r="G1906" t="s">
        <v>74</v>
      </c>
      <c r="H1906" t="s">
        <v>74</v>
      </c>
      <c r="I1906" t="s">
        <v>32461</v>
      </c>
      <c r="J1906" t="s">
        <v>2159</v>
      </c>
      <c r="K1906" t="s">
        <v>74</v>
      </c>
      <c r="L1906" t="s">
        <v>74</v>
      </c>
      <c r="M1906" t="s">
        <v>78</v>
      </c>
      <c r="N1906" t="s">
        <v>79</v>
      </c>
      <c r="O1906" t="s">
        <v>74</v>
      </c>
      <c r="P1906" t="s">
        <v>74</v>
      </c>
      <c r="Q1906" t="s">
        <v>74</v>
      </c>
      <c r="R1906" t="s">
        <v>74</v>
      </c>
      <c r="S1906" t="s">
        <v>74</v>
      </c>
      <c r="T1906" t="s">
        <v>32462</v>
      </c>
      <c r="U1906" t="s">
        <v>74</v>
      </c>
      <c r="V1906" t="s">
        <v>32463</v>
      </c>
      <c r="W1906" t="s">
        <v>32464</v>
      </c>
      <c r="X1906" t="s">
        <v>32465</v>
      </c>
      <c r="Y1906" t="s">
        <v>32466</v>
      </c>
      <c r="Z1906" t="s">
        <v>26888</v>
      </c>
      <c r="AA1906" t="s">
        <v>32467</v>
      </c>
      <c r="AB1906" t="s">
        <v>32468</v>
      </c>
      <c r="AC1906" t="s">
        <v>74</v>
      </c>
      <c r="AD1906" t="s">
        <v>74</v>
      </c>
      <c r="AE1906" t="s">
        <v>32469</v>
      </c>
      <c r="AF1906" t="s">
        <v>74</v>
      </c>
      <c r="AG1906">
        <v>61</v>
      </c>
      <c r="AH1906">
        <v>1</v>
      </c>
      <c r="AI1906">
        <v>1</v>
      </c>
      <c r="AJ1906">
        <v>12</v>
      </c>
      <c r="AK1906">
        <v>12</v>
      </c>
      <c r="AL1906" t="s">
        <v>88</v>
      </c>
      <c r="AM1906" t="s">
        <v>89</v>
      </c>
      <c r="AN1906" t="s">
        <v>90</v>
      </c>
      <c r="AO1906" t="s">
        <v>2169</v>
      </c>
      <c r="AP1906" t="s">
        <v>2170</v>
      </c>
      <c r="AQ1906" t="s">
        <v>74</v>
      </c>
      <c r="AR1906" t="s">
        <v>2171</v>
      </c>
      <c r="AS1906" t="s">
        <v>2172</v>
      </c>
      <c r="AT1906" t="s">
        <v>32470</v>
      </c>
      <c r="AU1906">
        <v>2024</v>
      </c>
      <c r="AV1906" t="s">
        <v>74</v>
      </c>
      <c r="AW1906" t="s">
        <v>74</v>
      </c>
      <c r="AX1906" t="s">
        <v>74</v>
      </c>
      <c r="AY1906" t="s">
        <v>74</v>
      </c>
      <c r="AZ1906" t="s">
        <v>74</v>
      </c>
      <c r="BA1906" t="s">
        <v>74</v>
      </c>
      <c r="BB1906" t="s">
        <v>74</v>
      </c>
      <c r="BC1906" t="s">
        <v>74</v>
      </c>
      <c r="BD1906" t="s">
        <v>74</v>
      </c>
      <c r="BE1906" t="s">
        <v>32471</v>
      </c>
      <c r="BF1906" t="str">
        <f>HYPERLINK("http://dx.doi.org/10.1080/14680777.2024.2393187","http://dx.doi.org/10.1080/14680777.2024.2393187")</f>
        <v>http://dx.doi.org/10.1080/14680777.2024.2393187</v>
      </c>
      <c r="BG1906" t="s">
        <v>74</v>
      </c>
      <c r="BH1906" t="s">
        <v>2444</v>
      </c>
      <c r="BI1906">
        <v>18</v>
      </c>
      <c r="BJ1906" t="s">
        <v>2176</v>
      </c>
      <c r="BK1906" t="s">
        <v>99</v>
      </c>
      <c r="BL1906" t="s">
        <v>2176</v>
      </c>
      <c r="BM1906" t="s">
        <v>32472</v>
      </c>
      <c r="BN1906" t="s">
        <v>74</v>
      </c>
      <c r="BO1906" t="s">
        <v>156</v>
      </c>
      <c r="BP1906" t="s">
        <v>74</v>
      </c>
      <c r="BQ1906" t="s">
        <v>74</v>
      </c>
      <c r="BR1906" t="s">
        <v>102</v>
      </c>
      <c r="BS1906" t="s">
        <v>32473</v>
      </c>
      <c r="BT1906" t="str">
        <f>HYPERLINK("https%3A%2F%2Fwww.webofscience.com%2Fwos%2Fwoscc%2Ffull-record%2FWOS:001294241500001","View Full Record in Web of Science")</f>
        <v>View Full Record in Web of Science</v>
      </c>
    </row>
    <row r="1907" spans="1:72" x14ac:dyDescent="0.35">
      <c r="A1907" t="s">
        <v>72</v>
      </c>
      <c r="B1907" t="s">
        <v>32474</v>
      </c>
      <c r="C1907" t="s">
        <v>74</v>
      </c>
      <c r="D1907" t="s">
        <v>74</v>
      </c>
      <c r="E1907" t="s">
        <v>74</v>
      </c>
      <c r="F1907" t="s">
        <v>32475</v>
      </c>
      <c r="G1907" t="s">
        <v>74</v>
      </c>
      <c r="H1907" t="s">
        <v>74</v>
      </c>
      <c r="I1907" t="s">
        <v>32476</v>
      </c>
      <c r="J1907" t="s">
        <v>20775</v>
      </c>
      <c r="K1907" t="s">
        <v>74</v>
      </c>
      <c r="L1907" t="s">
        <v>74</v>
      </c>
      <c r="M1907" t="s">
        <v>78</v>
      </c>
      <c r="N1907" t="s">
        <v>374</v>
      </c>
      <c r="O1907" t="s">
        <v>74</v>
      </c>
      <c r="P1907" t="s">
        <v>74</v>
      </c>
      <c r="Q1907" t="s">
        <v>74</v>
      </c>
      <c r="R1907" t="s">
        <v>74</v>
      </c>
      <c r="S1907" t="s">
        <v>74</v>
      </c>
      <c r="T1907" t="s">
        <v>32477</v>
      </c>
      <c r="U1907" t="s">
        <v>5024</v>
      </c>
      <c r="V1907" t="s">
        <v>32478</v>
      </c>
      <c r="W1907" t="s">
        <v>32479</v>
      </c>
      <c r="X1907" t="s">
        <v>32480</v>
      </c>
      <c r="Y1907" t="s">
        <v>32481</v>
      </c>
      <c r="Z1907" t="s">
        <v>32482</v>
      </c>
      <c r="AA1907" t="s">
        <v>74</v>
      </c>
      <c r="AB1907" t="s">
        <v>32483</v>
      </c>
      <c r="AC1907" t="s">
        <v>74</v>
      </c>
      <c r="AD1907" t="s">
        <v>74</v>
      </c>
      <c r="AE1907" t="s">
        <v>74</v>
      </c>
      <c r="AF1907" t="s">
        <v>74</v>
      </c>
      <c r="AG1907">
        <v>37</v>
      </c>
      <c r="AH1907">
        <v>0</v>
      </c>
      <c r="AI1907">
        <v>0</v>
      </c>
      <c r="AJ1907">
        <v>4</v>
      </c>
      <c r="AK1907">
        <v>5</v>
      </c>
      <c r="AL1907" t="s">
        <v>1901</v>
      </c>
      <c r="AM1907" t="s">
        <v>995</v>
      </c>
      <c r="AN1907" t="s">
        <v>1902</v>
      </c>
      <c r="AO1907" t="s">
        <v>20784</v>
      </c>
      <c r="AP1907" t="s">
        <v>20785</v>
      </c>
      <c r="AQ1907" t="s">
        <v>74</v>
      </c>
      <c r="AR1907" t="s">
        <v>20786</v>
      </c>
      <c r="AS1907" t="s">
        <v>20787</v>
      </c>
      <c r="AT1907" t="s">
        <v>257</v>
      </c>
      <c r="AU1907">
        <v>2024</v>
      </c>
      <c r="AV1907">
        <v>36</v>
      </c>
      <c r="AW1907">
        <v>3</v>
      </c>
      <c r="AX1907" t="s">
        <v>74</v>
      </c>
      <c r="AY1907" t="s">
        <v>74</v>
      </c>
      <c r="AZ1907" t="s">
        <v>74</v>
      </c>
      <c r="BA1907" t="s">
        <v>74</v>
      </c>
      <c r="BB1907">
        <v>315</v>
      </c>
      <c r="BC1907">
        <v>324</v>
      </c>
      <c r="BD1907" t="s">
        <v>74</v>
      </c>
      <c r="BE1907" t="s">
        <v>32484</v>
      </c>
      <c r="BF1907" t="str">
        <f>HYPERLINK("http://dx.doi.org/10.1097/MOP.0000000000001342","http://dx.doi.org/10.1097/MOP.0000000000001342")</f>
        <v>http://dx.doi.org/10.1097/MOP.0000000000001342</v>
      </c>
      <c r="BG1907" t="s">
        <v>74</v>
      </c>
      <c r="BH1907" t="s">
        <v>74</v>
      </c>
      <c r="BI1907">
        <v>10</v>
      </c>
      <c r="BJ1907" t="s">
        <v>6641</v>
      </c>
      <c r="BK1907" t="s">
        <v>209</v>
      </c>
      <c r="BL1907" t="s">
        <v>6641</v>
      </c>
      <c r="BM1907" t="s">
        <v>32485</v>
      </c>
      <c r="BN1907">
        <v>38446153</v>
      </c>
      <c r="BO1907" t="s">
        <v>74</v>
      </c>
      <c r="BP1907" t="s">
        <v>74</v>
      </c>
      <c r="BQ1907" t="s">
        <v>74</v>
      </c>
      <c r="BR1907" t="s">
        <v>102</v>
      </c>
      <c r="BS1907" t="s">
        <v>32486</v>
      </c>
      <c r="BT1907" t="str">
        <f>HYPERLINK("https%3A%2F%2Fwww.webofscience.com%2Fwos%2Fwoscc%2Ffull-record%2FWOS:001233712600004","View Full Record in Web of Science")</f>
        <v>View Full Record in Web of Science</v>
      </c>
    </row>
    <row r="1908" spans="1:72" x14ac:dyDescent="0.35">
      <c r="A1908" t="s">
        <v>128</v>
      </c>
      <c r="B1908" t="s">
        <v>32487</v>
      </c>
      <c r="C1908" t="s">
        <v>74</v>
      </c>
      <c r="D1908" t="s">
        <v>32488</v>
      </c>
      <c r="E1908" t="s">
        <v>74</v>
      </c>
      <c r="F1908" t="s">
        <v>32489</v>
      </c>
      <c r="G1908" t="s">
        <v>74</v>
      </c>
      <c r="H1908" t="s">
        <v>74</v>
      </c>
      <c r="I1908" t="s">
        <v>32490</v>
      </c>
      <c r="J1908" t="s">
        <v>32491</v>
      </c>
      <c r="K1908" t="s">
        <v>32492</v>
      </c>
      <c r="L1908" t="s">
        <v>74</v>
      </c>
      <c r="M1908" t="s">
        <v>3503</v>
      </c>
      <c r="N1908" t="s">
        <v>135</v>
      </c>
      <c r="O1908" t="s">
        <v>32493</v>
      </c>
      <c r="P1908" t="s">
        <v>32494</v>
      </c>
      <c r="Q1908" t="s">
        <v>32495</v>
      </c>
      <c r="R1908" t="s">
        <v>74</v>
      </c>
      <c r="S1908" t="s">
        <v>74</v>
      </c>
      <c r="T1908" t="s">
        <v>32496</v>
      </c>
      <c r="U1908" t="s">
        <v>74</v>
      </c>
      <c r="V1908" t="s">
        <v>32497</v>
      </c>
      <c r="W1908" t="s">
        <v>32498</v>
      </c>
      <c r="X1908" t="s">
        <v>32499</v>
      </c>
      <c r="Y1908" t="s">
        <v>32500</v>
      </c>
      <c r="Z1908" t="s">
        <v>32501</v>
      </c>
      <c r="AA1908" t="s">
        <v>74</v>
      </c>
      <c r="AB1908" t="s">
        <v>74</v>
      </c>
      <c r="AC1908" t="s">
        <v>74</v>
      </c>
      <c r="AD1908" t="s">
        <v>74</v>
      </c>
      <c r="AE1908" t="s">
        <v>74</v>
      </c>
      <c r="AF1908" t="s">
        <v>74</v>
      </c>
      <c r="AG1908">
        <v>19</v>
      </c>
      <c r="AH1908">
        <v>0</v>
      </c>
      <c r="AI1908">
        <v>0</v>
      </c>
      <c r="AJ1908">
        <v>1</v>
      </c>
      <c r="AK1908">
        <v>1</v>
      </c>
      <c r="AL1908" t="s">
        <v>32502</v>
      </c>
      <c r="AM1908" t="s">
        <v>32503</v>
      </c>
      <c r="AN1908" t="s">
        <v>32504</v>
      </c>
      <c r="AO1908" t="s">
        <v>32505</v>
      </c>
      <c r="AP1908" t="s">
        <v>74</v>
      </c>
      <c r="AQ1908" t="s">
        <v>32506</v>
      </c>
      <c r="AR1908" t="s">
        <v>32507</v>
      </c>
      <c r="AS1908" t="s">
        <v>74</v>
      </c>
      <c r="AT1908" t="s">
        <v>74</v>
      </c>
      <c r="AU1908">
        <v>2022</v>
      </c>
      <c r="AV1908" t="s">
        <v>74</v>
      </c>
      <c r="AW1908" t="s">
        <v>74</v>
      </c>
      <c r="AX1908" t="s">
        <v>74</v>
      </c>
      <c r="AY1908" t="s">
        <v>74</v>
      </c>
      <c r="AZ1908" t="s">
        <v>74</v>
      </c>
      <c r="BA1908" t="s">
        <v>74</v>
      </c>
      <c r="BB1908">
        <v>111</v>
      </c>
      <c r="BC1908">
        <v>122</v>
      </c>
      <c r="BD1908" t="s">
        <v>74</v>
      </c>
      <c r="BE1908" t="s">
        <v>32508</v>
      </c>
      <c r="BF1908" t="str">
        <f>HYPERLINK("http://dx.doi.org/10.4995/CIMED22.2022.15445","http://dx.doi.org/10.4995/CIMED22.2022.15445")</f>
        <v>http://dx.doi.org/10.4995/CIMED22.2022.15445</v>
      </c>
      <c r="BG1908" t="s">
        <v>74</v>
      </c>
      <c r="BH1908" t="s">
        <v>74</v>
      </c>
      <c r="BI1908">
        <v>12</v>
      </c>
      <c r="BJ1908" t="s">
        <v>32509</v>
      </c>
      <c r="BK1908" t="s">
        <v>648</v>
      </c>
      <c r="BL1908" t="s">
        <v>32510</v>
      </c>
      <c r="BM1908" t="s">
        <v>32511</v>
      </c>
      <c r="BN1908" t="s">
        <v>74</v>
      </c>
      <c r="BO1908" t="s">
        <v>3747</v>
      </c>
      <c r="BP1908" t="s">
        <v>74</v>
      </c>
      <c r="BQ1908" t="s">
        <v>74</v>
      </c>
      <c r="BR1908" t="s">
        <v>102</v>
      </c>
      <c r="BS1908" t="s">
        <v>32512</v>
      </c>
      <c r="BT1908" t="str">
        <f>HYPERLINK("https%3A%2F%2Fwww.webofscience.com%2Fwos%2Fwoscc%2Ffull-record%2FWOS:001207189500009","View Full Record in Web of Science")</f>
        <v>View Full Record in Web of Science</v>
      </c>
    </row>
    <row r="1909" spans="1:72" x14ac:dyDescent="0.35">
      <c r="A1909" t="s">
        <v>72</v>
      </c>
      <c r="B1909" t="s">
        <v>32513</v>
      </c>
      <c r="C1909" t="s">
        <v>74</v>
      </c>
      <c r="D1909" t="s">
        <v>74</v>
      </c>
      <c r="E1909" t="s">
        <v>74</v>
      </c>
      <c r="F1909" t="s">
        <v>32514</v>
      </c>
      <c r="G1909" t="s">
        <v>74</v>
      </c>
      <c r="H1909" t="s">
        <v>74</v>
      </c>
      <c r="I1909" t="s">
        <v>32515</v>
      </c>
      <c r="J1909" t="s">
        <v>1774</v>
      </c>
      <c r="K1909" t="s">
        <v>74</v>
      </c>
      <c r="L1909" t="s">
        <v>74</v>
      </c>
      <c r="M1909" t="s">
        <v>78</v>
      </c>
      <c r="N1909" t="s">
        <v>108</v>
      </c>
      <c r="O1909" t="s">
        <v>74</v>
      </c>
      <c r="P1909" t="s">
        <v>74</v>
      </c>
      <c r="Q1909" t="s">
        <v>74</v>
      </c>
      <c r="R1909" t="s">
        <v>74</v>
      </c>
      <c r="S1909" t="s">
        <v>74</v>
      </c>
      <c r="T1909" t="s">
        <v>32516</v>
      </c>
      <c r="U1909" t="s">
        <v>1814</v>
      </c>
      <c r="V1909" t="s">
        <v>32517</v>
      </c>
      <c r="W1909" t="s">
        <v>32518</v>
      </c>
      <c r="X1909" t="s">
        <v>30529</v>
      </c>
      <c r="Y1909" t="s">
        <v>32519</v>
      </c>
      <c r="Z1909" t="s">
        <v>32520</v>
      </c>
      <c r="AA1909" t="s">
        <v>74</v>
      </c>
      <c r="AB1909" t="s">
        <v>74</v>
      </c>
      <c r="AC1909" t="s">
        <v>32521</v>
      </c>
      <c r="AD1909" t="s">
        <v>32521</v>
      </c>
      <c r="AE1909" t="s">
        <v>2921</v>
      </c>
      <c r="AF1909" t="s">
        <v>74</v>
      </c>
      <c r="AG1909">
        <v>57</v>
      </c>
      <c r="AH1909">
        <v>0</v>
      </c>
      <c r="AI1909">
        <v>0</v>
      </c>
      <c r="AJ1909">
        <v>13</v>
      </c>
      <c r="AK1909">
        <v>16</v>
      </c>
      <c r="AL1909" t="s">
        <v>88</v>
      </c>
      <c r="AM1909" t="s">
        <v>89</v>
      </c>
      <c r="AN1909" t="s">
        <v>90</v>
      </c>
      <c r="AO1909" t="s">
        <v>1783</v>
      </c>
      <c r="AP1909" t="s">
        <v>1784</v>
      </c>
      <c r="AQ1909" t="s">
        <v>74</v>
      </c>
      <c r="AR1909" t="s">
        <v>1785</v>
      </c>
      <c r="AS1909" t="s">
        <v>1786</v>
      </c>
      <c r="AT1909" t="s">
        <v>14244</v>
      </c>
      <c r="AU1909">
        <v>2024</v>
      </c>
      <c r="AV1909">
        <v>27</v>
      </c>
      <c r="AW1909">
        <v>10</v>
      </c>
      <c r="AX1909" t="s">
        <v>74</v>
      </c>
      <c r="AY1909" t="s">
        <v>74</v>
      </c>
      <c r="AZ1909" t="s">
        <v>456</v>
      </c>
      <c r="BA1909" t="s">
        <v>74</v>
      </c>
      <c r="BB1909">
        <v>2005</v>
      </c>
      <c r="BC1909">
        <v>2021</v>
      </c>
      <c r="BD1909" t="s">
        <v>74</v>
      </c>
      <c r="BE1909" t="s">
        <v>32522</v>
      </c>
      <c r="BF1909" t="str">
        <f>HYPERLINK("http://dx.doi.org/10.1080/1369118X.2024.2352634","http://dx.doi.org/10.1080/1369118X.2024.2352634")</f>
        <v>http://dx.doi.org/10.1080/1369118X.2024.2352634</v>
      </c>
      <c r="BG1909" t="s">
        <v>74</v>
      </c>
      <c r="BH1909" t="s">
        <v>1467</v>
      </c>
      <c r="BI1909">
        <v>17</v>
      </c>
      <c r="BJ1909" t="s">
        <v>1047</v>
      </c>
      <c r="BK1909" t="s">
        <v>99</v>
      </c>
      <c r="BL1909" t="s">
        <v>1047</v>
      </c>
      <c r="BM1909" t="s">
        <v>32523</v>
      </c>
      <c r="BN1909" t="s">
        <v>74</v>
      </c>
      <c r="BO1909" t="s">
        <v>74</v>
      </c>
      <c r="BP1909" t="s">
        <v>74</v>
      </c>
      <c r="BQ1909" t="s">
        <v>74</v>
      </c>
      <c r="BR1909" t="s">
        <v>102</v>
      </c>
      <c r="BS1909" t="s">
        <v>32524</v>
      </c>
      <c r="BT1909" t="str">
        <f>HYPERLINK("https%3A%2F%2Fwww.webofscience.com%2Fwos%2Fwoscc%2Ffull-record%2FWOS:001222426100001","View Full Record in Web of Science")</f>
        <v>View Full Record in Web of Science</v>
      </c>
    </row>
    <row r="1910" spans="1:72" x14ac:dyDescent="0.35">
      <c r="A1910" t="s">
        <v>72</v>
      </c>
      <c r="B1910" t="s">
        <v>32525</v>
      </c>
      <c r="C1910" t="s">
        <v>74</v>
      </c>
      <c r="D1910" t="s">
        <v>74</v>
      </c>
      <c r="E1910" t="s">
        <v>74</v>
      </c>
      <c r="F1910" t="s">
        <v>32526</v>
      </c>
      <c r="G1910" t="s">
        <v>74</v>
      </c>
      <c r="H1910" t="s">
        <v>74</v>
      </c>
      <c r="I1910" t="s">
        <v>32527</v>
      </c>
      <c r="J1910" t="s">
        <v>32528</v>
      </c>
      <c r="K1910" t="s">
        <v>74</v>
      </c>
      <c r="L1910" t="s">
        <v>74</v>
      </c>
      <c r="M1910" t="s">
        <v>78</v>
      </c>
      <c r="N1910" t="s">
        <v>108</v>
      </c>
      <c r="O1910" t="s">
        <v>74</v>
      </c>
      <c r="P1910" t="s">
        <v>74</v>
      </c>
      <c r="Q1910" t="s">
        <v>74</v>
      </c>
      <c r="R1910" t="s">
        <v>74</v>
      </c>
      <c r="S1910" t="s">
        <v>74</v>
      </c>
      <c r="T1910" t="s">
        <v>32529</v>
      </c>
      <c r="U1910" t="s">
        <v>32530</v>
      </c>
      <c r="V1910" t="s">
        <v>32531</v>
      </c>
      <c r="W1910" t="s">
        <v>32532</v>
      </c>
      <c r="X1910" t="s">
        <v>32533</v>
      </c>
      <c r="Y1910" t="s">
        <v>32534</v>
      </c>
      <c r="Z1910" t="s">
        <v>32535</v>
      </c>
      <c r="AA1910" t="s">
        <v>32536</v>
      </c>
      <c r="AB1910" t="s">
        <v>32537</v>
      </c>
      <c r="AC1910" t="s">
        <v>74</v>
      </c>
      <c r="AD1910" t="s">
        <v>74</v>
      </c>
      <c r="AE1910" t="s">
        <v>74</v>
      </c>
      <c r="AF1910" t="s">
        <v>74</v>
      </c>
      <c r="AG1910">
        <v>67</v>
      </c>
      <c r="AH1910">
        <v>8</v>
      </c>
      <c r="AI1910">
        <v>10</v>
      </c>
      <c r="AJ1910">
        <v>84</v>
      </c>
      <c r="AK1910">
        <v>159</v>
      </c>
      <c r="AL1910" t="s">
        <v>171</v>
      </c>
      <c r="AM1910" t="s">
        <v>172</v>
      </c>
      <c r="AN1910" t="s">
        <v>173</v>
      </c>
      <c r="AO1910" t="s">
        <v>32538</v>
      </c>
      <c r="AP1910" t="s">
        <v>32539</v>
      </c>
      <c r="AQ1910" t="s">
        <v>74</v>
      </c>
      <c r="AR1910" t="s">
        <v>32540</v>
      </c>
      <c r="AS1910" t="s">
        <v>32541</v>
      </c>
      <c r="AT1910" t="s">
        <v>257</v>
      </c>
      <c r="AU1910">
        <v>2024</v>
      </c>
      <c r="AV1910">
        <v>61</v>
      </c>
      <c r="AW1910">
        <v>3</v>
      </c>
      <c r="AX1910" t="s">
        <v>74</v>
      </c>
      <c r="AY1910" t="s">
        <v>74</v>
      </c>
      <c r="AZ1910" t="s">
        <v>74</v>
      </c>
      <c r="BA1910" t="s">
        <v>74</v>
      </c>
      <c r="BB1910">
        <v>472</v>
      </c>
      <c r="BC1910">
        <v>495</v>
      </c>
      <c r="BD1910" t="s">
        <v>74</v>
      </c>
      <c r="BE1910" t="s">
        <v>32542</v>
      </c>
      <c r="BF1910" t="str">
        <f>HYPERLINK("http://dx.doi.org/10.1177/00222437231210267","http://dx.doi.org/10.1177/00222437231210267")</f>
        <v>http://dx.doi.org/10.1177/00222437231210267</v>
      </c>
      <c r="BG1910" t="s">
        <v>74</v>
      </c>
      <c r="BH1910" t="s">
        <v>1449</v>
      </c>
      <c r="BI1910">
        <v>24</v>
      </c>
      <c r="BJ1910" t="s">
        <v>1597</v>
      </c>
      <c r="BK1910" t="s">
        <v>99</v>
      </c>
      <c r="BL1910" t="s">
        <v>480</v>
      </c>
      <c r="BM1910" t="s">
        <v>32543</v>
      </c>
      <c r="BN1910" t="s">
        <v>74</v>
      </c>
      <c r="BO1910" t="s">
        <v>74</v>
      </c>
      <c r="BP1910" t="s">
        <v>74</v>
      </c>
      <c r="BQ1910" t="s">
        <v>74</v>
      </c>
      <c r="BR1910" t="s">
        <v>102</v>
      </c>
      <c r="BS1910" t="s">
        <v>32544</v>
      </c>
      <c r="BT1910" t="str">
        <f>HYPERLINK("https%3A%2F%2Fwww.webofscience.com%2Fwos%2Fwoscc%2Ffull-record%2FWOS:001126252500001","View Full Record in Web of Science")</f>
        <v>View Full Record in Web of Science</v>
      </c>
    </row>
    <row r="1911" spans="1:72" x14ac:dyDescent="0.35">
      <c r="A1911" t="s">
        <v>72</v>
      </c>
      <c r="B1911" t="s">
        <v>32545</v>
      </c>
      <c r="C1911" t="s">
        <v>74</v>
      </c>
      <c r="D1911" t="s">
        <v>74</v>
      </c>
      <c r="E1911" t="s">
        <v>74</v>
      </c>
      <c r="F1911" t="s">
        <v>32546</v>
      </c>
      <c r="G1911" t="s">
        <v>74</v>
      </c>
      <c r="H1911" t="s">
        <v>74</v>
      </c>
      <c r="I1911" t="s">
        <v>32547</v>
      </c>
      <c r="J1911" t="s">
        <v>6803</v>
      </c>
      <c r="K1911" t="s">
        <v>74</v>
      </c>
      <c r="L1911" t="s">
        <v>74</v>
      </c>
      <c r="M1911" t="s">
        <v>78</v>
      </c>
      <c r="N1911" t="s">
        <v>79</v>
      </c>
      <c r="O1911" t="s">
        <v>74</v>
      </c>
      <c r="P1911" t="s">
        <v>74</v>
      </c>
      <c r="Q1911" t="s">
        <v>74</v>
      </c>
      <c r="R1911" t="s">
        <v>74</v>
      </c>
      <c r="S1911" t="s">
        <v>74</v>
      </c>
      <c r="T1911" t="s">
        <v>32548</v>
      </c>
      <c r="U1911" t="s">
        <v>32549</v>
      </c>
      <c r="V1911" t="s">
        <v>32550</v>
      </c>
      <c r="W1911" t="s">
        <v>32551</v>
      </c>
      <c r="X1911" t="s">
        <v>29371</v>
      </c>
      <c r="Y1911" t="s">
        <v>32552</v>
      </c>
      <c r="Z1911" t="s">
        <v>32553</v>
      </c>
      <c r="AA1911" t="s">
        <v>74</v>
      </c>
      <c r="AB1911" t="s">
        <v>32554</v>
      </c>
      <c r="AC1911" t="s">
        <v>74</v>
      </c>
      <c r="AD1911" t="s">
        <v>74</v>
      </c>
      <c r="AE1911" t="s">
        <v>74</v>
      </c>
      <c r="AF1911" t="s">
        <v>74</v>
      </c>
      <c r="AG1911">
        <v>104</v>
      </c>
      <c r="AH1911">
        <v>2</v>
      </c>
      <c r="AI1911">
        <v>2</v>
      </c>
      <c r="AJ1911">
        <v>30</v>
      </c>
      <c r="AK1911">
        <v>68</v>
      </c>
      <c r="AL1911" t="s">
        <v>665</v>
      </c>
      <c r="AM1911" t="s">
        <v>2922</v>
      </c>
      <c r="AN1911" t="s">
        <v>2923</v>
      </c>
      <c r="AO1911" t="s">
        <v>6814</v>
      </c>
      <c r="AP1911" t="s">
        <v>6815</v>
      </c>
      <c r="AQ1911" t="s">
        <v>74</v>
      </c>
      <c r="AR1911" t="s">
        <v>6816</v>
      </c>
      <c r="AS1911" t="s">
        <v>6817</v>
      </c>
      <c r="AT1911" t="s">
        <v>29272</v>
      </c>
      <c r="AU1911">
        <v>2023</v>
      </c>
      <c r="AV1911" t="s">
        <v>74</v>
      </c>
      <c r="AW1911" t="s">
        <v>74</v>
      </c>
      <c r="AX1911" t="s">
        <v>74</v>
      </c>
      <c r="AY1911" t="s">
        <v>74</v>
      </c>
      <c r="AZ1911" t="s">
        <v>74</v>
      </c>
      <c r="BA1911" t="s">
        <v>74</v>
      </c>
      <c r="BB1911" t="s">
        <v>74</v>
      </c>
      <c r="BC1911" t="s">
        <v>74</v>
      </c>
      <c r="BD1911" t="s">
        <v>74</v>
      </c>
      <c r="BE1911" t="s">
        <v>32555</v>
      </c>
      <c r="BF1911" t="str">
        <f>HYPERLINK("http://dx.doi.org/10.1007/s10660-023-09760-y","http://dx.doi.org/10.1007/s10660-023-09760-y")</f>
        <v>http://dx.doi.org/10.1007/s10660-023-09760-y</v>
      </c>
      <c r="BG1911" t="s">
        <v>74</v>
      </c>
      <c r="BH1911" t="s">
        <v>207</v>
      </c>
      <c r="BI1911">
        <v>32</v>
      </c>
      <c r="BJ1911" t="s">
        <v>479</v>
      </c>
      <c r="BK1911" t="s">
        <v>99</v>
      </c>
      <c r="BL1911" t="s">
        <v>480</v>
      </c>
      <c r="BM1911" t="s">
        <v>32556</v>
      </c>
      <c r="BN1911" t="s">
        <v>74</v>
      </c>
      <c r="BO1911" t="s">
        <v>74</v>
      </c>
      <c r="BP1911" t="s">
        <v>74</v>
      </c>
      <c r="BQ1911" t="s">
        <v>74</v>
      </c>
      <c r="BR1911" t="s">
        <v>102</v>
      </c>
      <c r="BS1911" t="s">
        <v>32557</v>
      </c>
      <c r="BT1911" t="str">
        <f>HYPERLINK("https%3A%2F%2Fwww.webofscience.com%2Fwos%2Fwoscc%2Ffull-record%2FWOS:001083442000001","View Full Record in Web of Science")</f>
        <v>View Full Record in Web of Science</v>
      </c>
    </row>
    <row r="1912" spans="1:72" x14ac:dyDescent="0.35">
      <c r="A1912" t="s">
        <v>72</v>
      </c>
      <c r="B1912" t="s">
        <v>32558</v>
      </c>
      <c r="C1912" t="s">
        <v>74</v>
      </c>
      <c r="D1912" t="s">
        <v>74</v>
      </c>
      <c r="E1912" t="s">
        <v>74</v>
      </c>
      <c r="F1912" t="s">
        <v>32559</v>
      </c>
      <c r="G1912" t="s">
        <v>74</v>
      </c>
      <c r="H1912" t="s">
        <v>74</v>
      </c>
      <c r="I1912" t="s">
        <v>32560</v>
      </c>
      <c r="J1912" t="s">
        <v>32561</v>
      </c>
      <c r="K1912" t="s">
        <v>74</v>
      </c>
      <c r="L1912" t="s">
        <v>74</v>
      </c>
      <c r="M1912" t="s">
        <v>78</v>
      </c>
      <c r="N1912" t="s">
        <v>108</v>
      </c>
      <c r="O1912" t="s">
        <v>74</v>
      </c>
      <c r="P1912" t="s">
        <v>74</v>
      </c>
      <c r="Q1912" t="s">
        <v>74</v>
      </c>
      <c r="R1912" t="s">
        <v>74</v>
      </c>
      <c r="S1912" t="s">
        <v>74</v>
      </c>
      <c r="T1912" t="s">
        <v>32562</v>
      </c>
      <c r="U1912" t="s">
        <v>32563</v>
      </c>
      <c r="V1912" t="s">
        <v>32564</v>
      </c>
      <c r="W1912" t="s">
        <v>32565</v>
      </c>
      <c r="X1912" t="s">
        <v>32566</v>
      </c>
      <c r="Y1912" t="s">
        <v>32567</v>
      </c>
      <c r="Z1912" t="s">
        <v>32568</v>
      </c>
      <c r="AA1912" t="s">
        <v>74</v>
      </c>
      <c r="AB1912" t="s">
        <v>32569</v>
      </c>
      <c r="AC1912" t="s">
        <v>32570</v>
      </c>
      <c r="AD1912" t="s">
        <v>32571</v>
      </c>
      <c r="AE1912" t="s">
        <v>32572</v>
      </c>
      <c r="AF1912" t="s">
        <v>74</v>
      </c>
      <c r="AG1912">
        <v>42</v>
      </c>
      <c r="AH1912">
        <v>9</v>
      </c>
      <c r="AI1912">
        <v>9</v>
      </c>
      <c r="AJ1912">
        <v>1</v>
      </c>
      <c r="AK1912">
        <v>13</v>
      </c>
      <c r="AL1912" t="s">
        <v>25124</v>
      </c>
      <c r="AM1912" t="s">
        <v>18022</v>
      </c>
      <c r="AN1912" t="s">
        <v>25125</v>
      </c>
      <c r="AO1912" t="s">
        <v>32573</v>
      </c>
      <c r="AP1912" t="s">
        <v>74</v>
      </c>
      <c r="AQ1912" t="s">
        <v>74</v>
      </c>
      <c r="AR1912" t="s">
        <v>32574</v>
      </c>
      <c r="AS1912" t="s">
        <v>32575</v>
      </c>
      <c r="AT1912" t="s">
        <v>364</v>
      </c>
      <c r="AU1912">
        <v>2023</v>
      </c>
      <c r="AV1912">
        <v>11</v>
      </c>
      <c r="AW1912">
        <v>1</v>
      </c>
      <c r="AX1912" t="s">
        <v>74</v>
      </c>
      <c r="AY1912" t="s">
        <v>74</v>
      </c>
      <c r="AZ1912" t="s">
        <v>74</v>
      </c>
      <c r="BA1912" t="s">
        <v>74</v>
      </c>
      <c r="BB1912">
        <v>13</v>
      </c>
      <c r="BC1912">
        <v>24</v>
      </c>
      <c r="BD1912" t="s">
        <v>74</v>
      </c>
      <c r="BE1912" t="s">
        <v>32576</v>
      </c>
      <c r="BF1912" t="str">
        <f>HYPERLINK("http://dx.doi.org/10.1109/TCC.2021.3067834","http://dx.doi.org/10.1109/TCC.2021.3067834")</f>
        <v>http://dx.doi.org/10.1109/TCC.2021.3067834</v>
      </c>
      <c r="BG1912" t="s">
        <v>74</v>
      </c>
      <c r="BH1912" t="s">
        <v>74</v>
      </c>
      <c r="BI1912">
        <v>12</v>
      </c>
      <c r="BJ1912" t="s">
        <v>30895</v>
      </c>
      <c r="BK1912" t="s">
        <v>209</v>
      </c>
      <c r="BL1912" t="s">
        <v>210</v>
      </c>
      <c r="BM1912" t="s">
        <v>32577</v>
      </c>
      <c r="BN1912" t="s">
        <v>74</v>
      </c>
      <c r="BO1912" t="s">
        <v>74</v>
      </c>
      <c r="BP1912" t="s">
        <v>74</v>
      </c>
      <c r="BQ1912" t="s">
        <v>74</v>
      </c>
      <c r="BR1912" t="s">
        <v>102</v>
      </c>
      <c r="BS1912" t="s">
        <v>32578</v>
      </c>
      <c r="BT1912" t="str">
        <f>HYPERLINK("https%3A%2F%2Fwww.webofscience.com%2Fwos%2Fwoscc%2Ffull-record%2FWOS:000965204000001","View Full Record in Web of Science")</f>
        <v>View Full Record in Web of Science</v>
      </c>
    </row>
    <row r="1913" spans="1:72" x14ac:dyDescent="0.35">
      <c r="A1913" t="s">
        <v>72</v>
      </c>
      <c r="B1913" t="s">
        <v>32579</v>
      </c>
      <c r="C1913" t="s">
        <v>74</v>
      </c>
      <c r="D1913" t="s">
        <v>74</v>
      </c>
      <c r="E1913" t="s">
        <v>74</v>
      </c>
      <c r="F1913" t="s">
        <v>32580</v>
      </c>
      <c r="G1913" t="s">
        <v>74</v>
      </c>
      <c r="H1913" t="s">
        <v>74</v>
      </c>
      <c r="I1913" t="s">
        <v>32581</v>
      </c>
      <c r="J1913" t="s">
        <v>11427</v>
      </c>
      <c r="K1913" t="s">
        <v>74</v>
      </c>
      <c r="L1913" t="s">
        <v>74</v>
      </c>
      <c r="M1913" t="s">
        <v>78</v>
      </c>
      <c r="N1913" t="s">
        <v>79</v>
      </c>
      <c r="O1913" t="s">
        <v>74</v>
      </c>
      <c r="P1913" t="s">
        <v>74</v>
      </c>
      <c r="Q1913" t="s">
        <v>74</v>
      </c>
      <c r="R1913" t="s">
        <v>74</v>
      </c>
      <c r="S1913" t="s">
        <v>74</v>
      </c>
      <c r="T1913" t="s">
        <v>32582</v>
      </c>
      <c r="U1913" t="s">
        <v>20519</v>
      </c>
      <c r="V1913" t="s">
        <v>32583</v>
      </c>
      <c r="W1913" t="s">
        <v>32584</v>
      </c>
      <c r="X1913" t="s">
        <v>31020</v>
      </c>
      <c r="Y1913" t="s">
        <v>32585</v>
      </c>
      <c r="Z1913" t="s">
        <v>32586</v>
      </c>
      <c r="AA1913" t="s">
        <v>31023</v>
      </c>
      <c r="AB1913" t="s">
        <v>32587</v>
      </c>
      <c r="AC1913" t="s">
        <v>74</v>
      </c>
      <c r="AD1913" t="s">
        <v>74</v>
      </c>
      <c r="AE1913" t="s">
        <v>74</v>
      </c>
      <c r="AF1913" t="s">
        <v>74</v>
      </c>
      <c r="AG1913">
        <v>36</v>
      </c>
      <c r="AH1913">
        <v>0</v>
      </c>
      <c r="AI1913">
        <v>0</v>
      </c>
      <c r="AJ1913">
        <v>4</v>
      </c>
      <c r="AK1913">
        <v>4</v>
      </c>
      <c r="AL1913" t="s">
        <v>171</v>
      </c>
      <c r="AM1913" t="s">
        <v>172</v>
      </c>
      <c r="AN1913" t="s">
        <v>173</v>
      </c>
      <c r="AO1913" t="s">
        <v>11435</v>
      </c>
      <c r="AP1913" t="s">
        <v>11436</v>
      </c>
      <c r="AQ1913" t="s">
        <v>74</v>
      </c>
      <c r="AR1913" t="s">
        <v>11437</v>
      </c>
      <c r="AS1913" t="s">
        <v>11438</v>
      </c>
      <c r="AT1913" t="s">
        <v>30717</v>
      </c>
      <c r="AU1913">
        <v>2024</v>
      </c>
      <c r="AV1913" t="s">
        <v>74</v>
      </c>
      <c r="AW1913" t="s">
        <v>74</v>
      </c>
      <c r="AX1913" t="s">
        <v>74</v>
      </c>
      <c r="AY1913" t="s">
        <v>74</v>
      </c>
      <c r="AZ1913" t="s">
        <v>74</v>
      </c>
      <c r="BA1913" t="s">
        <v>74</v>
      </c>
      <c r="BB1913" t="s">
        <v>74</v>
      </c>
      <c r="BC1913" t="s">
        <v>74</v>
      </c>
      <c r="BD1913" t="s">
        <v>74</v>
      </c>
      <c r="BE1913" t="s">
        <v>32588</v>
      </c>
      <c r="BF1913" t="str">
        <f>HYPERLINK("http://dx.doi.org/10.1177/17480485241288768","http://dx.doi.org/10.1177/17480485241288768")</f>
        <v>http://dx.doi.org/10.1177/17480485241288768</v>
      </c>
      <c r="BG1913" t="s">
        <v>74</v>
      </c>
      <c r="BH1913" t="s">
        <v>1721</v>
      </c>
      <c r="BI1913">
        <v>26</v>
      </c>
      <c r="BJ1913" t="s">
        <v>124</v>
      </c>
      <c r="BK1913" t="s">
        <v>99</v>
      </c>
      <c r="BL1913" t="s">
        <v>124</v>
      </c>
      <c r="BM1913" t="s">
        <v>32589</v>
      </c>
      <c r="BN1913" t="s">
        <v>74</v>
      </c>
      <c r="BO1913" t="s">
        <v>74</v>
      </c>
      <c r="BP1913" t="s">
        <v>74</v>
      </c>
      <c r="BQ1913" t="s">
        <v>74</v>
      </c>
      <c r="BR1913" t="s">
        <v>102</v>
      </c>
      <c r="BS1913" t="s">
        <v>32590</v>
      </c>
      <c r="BT1913" t="str">
        <f>HYPERLINK("https%3A%2F%2Fwww.webofscience.com%2Fwos%2Fwoscc%2Ffull-record%2FWOS:001343700900001","View Full Record in Web of Science")</f>
        <v>View Full Record in Web of Science</v>
      </c>
    </row>
    <row r="1914" spans="1:72" x14ac:dyDescent="0.35">
      <c r="A1914" t="s">
        <v>72</v>
      </c>
      <c r="B1914" t="s">
        <v>32591</v>
      </c>
      <c r="C1914" t="s">
        <v>74</v>
      </c>
      <c r="D1914" t="s">
        <v>74</v>
      </c>
      <c r="E1914" t="s">
        <v>74</v>
      </c>
      <c r="F1914" t="s">
        <v>32592</v>
      </c>
      <c r="G1914" t="s">
        <v>74</v>
      </c>
      <c r="H1914" t="s">
        <v>74</v>
      </c>
      <c r="I1914" t="s">
        <v>32593</v>
      </c>
      <c r="J1914" t="s">
        <v>32594</v>
      </c>
      <c r="K1914" t="s">
        <v>74</v>
      </c>
      <c r="L1914" t="s">
        <v>74</v>
      </c>
      <c r="M1914" t="s">
        <v>78</v>
      </c>
      <c r="N1914" t="s">
        <v>108</v>
      </c>
      <c r="O1914" t="s">
        <v>74</v>
      </c>
      <c r="P1914" t="s">
        <v>74</v>
      </c>
      <c r="Q1914" t="s">
        <v>74</v>
      </c>
      <c r="R1914" t="s">
        <v>74</v>
      </c>
      <c r="S1914" t="s">
        <v>74</v>
      </c>
      <c r="T1914" t="s">
        <v>32595</v>
      </c>
      <c r="U1914" t="s">
        <v>32596</v>
      </c>
      <c r="V1914" t="s">
        <v>32597</v>
      </c>
      <c r="W1914" t="s">
        <v>32598</v>
      </c>
      <c r="X1914" t="s">
        <v>32599</v>
      </c>
      <c r="Y1914" t="s">
        <v>32600</v>
      </c>
      <c r="Z1914" t="s">
        <v>32601</v>
      </c>
      <c r="AA1914" t="s">
        <v>32602</v>
      </c>
      <c r="AB1914" t="s">
        <v>32603</v>
      </c>
      <c r="AC1914" t="s">
        <v>74</v>
      </c>
      <c r="AD1914" t="s">
        <v>74</v>
      </c>
      <c r="AE1914" t="s">
        <v>74</v>
      </c>
      <c r="AF1914" t="s">
        <v>74</v>
      </c>
      <c r="AG1914">
        <v>51</v>
      </c>
      <c r="AH1914">
        <v>0</v>
      </c>
      <c r="AI1914">
        <v>0</v>
      </c>
      <c r="AJ1914">
        <v>1</v>
      </c>
      <c r="AK1914">
        <v>1</v>
      </c>
      <c r="AL1914" t="s">
        <v>88</v>
      </c>
      <c r="AM1914" t="s">
        <v>89</v>
      </c>
      <c r="AN1914" t="s">
        <v>90</v>
      </c>
      <c r="AO1914" t="s">
        <v>32604</v>
      </c>
      <c r="AP1914" t="s">
        <v>32605</v>
      </c>
      <c r="AQ1914" t="s">
        <v>74</v>
      </c>
      <c r="AR1914" t="s">
        <v>32606</v>
      </c>
      <c r="AS1914" t="s">
        <v>32607</v>
      </c>
      <c r="AT1914" t="s">
        <v>32608</v>
      </c>
      <c r="AU1914">
        <v>2024</v>
      </c>
      <c r="AV1914">
        <v>36</v>
      </c>
      <c r="AW1914">
        <v>5</v>
      </c>
      <c r="AX1914" t="s">
        <v>74</v>
      </c>
      <c r="AY1914" t="s">
        <v>74</v>
      </c>
      <c r="AZ1914" t="s">
        <v>74</v>
      </c>
      <c r="BA1914" t="s">
        <v>74</v>
      </c>
      <c r="BB1914">
        <v>582</v>
      </c>
      <c r="BC1914">
        <v>601</v>
      </c>
      <c r="BD1914" t="s">
        <v>74</v>
      </c>
      <c r="BE1914" t="s">
        <v>32609</v>
      </c>
      <c r="BF1914" t="str">
        <f>HYPERLINK("http://dx.doi.org/10.1080/09555803.2024.2407774","http://dx.doi.org/10.1080/09555803.2024.2407774")</f>
        <v>http://dx.doi.org/10.1080/09555803.2024.2407774</v>
      </c>
      <c r="BG1914" t="s">
        <v>74</v>
      </c>
      <c r="BH1914" t="s">
        <v>337</v>
      </c>
      <c r="BI1914">
        <v>20</v>
      </c>
      <c r="BJ1914" t="s">
        <v>5420</v>
      </c>
      <c r="BK1914" t="s">
        <v>125</v>
      </c>
      <c r="BL1914" t="s">
        <v>5420</v>
      </c>
      <c r="BM1914" t="s">
        <v>32610</v>
      </c>
      <c r="BN1914" t="s">
        <v>74</v>
      </c>
      <c r="BO1914" t="s">
        <v>74</v>
      </c>
      <c r="BP1914" t="s">
        <v>74</v>
      </c>
      <c r="BQ1914" t="s">
        <v>74</v>
      </c>
      <c r="BR1914" t="s">
        <v>102</v>
      </c>
      <c r="BS1914" t="s">
        <v>32611</v>
      </c>
      <c r="BT1914" t="str">
        <f>HYPERLINK("https%3A%2F%2Fwww.webofscience.com%2Fwos%2Fwoscc%2Ffull-record%2FWOS:001321725700001","View Full Record in Web of Science")</f>
        <v>View Full Record in Web of Science</v>
      </c>
    </row>
    <row r="1915" spans="1:72" x14ac:dyDescent="0.35">
      <c r="A1915" t="s">
        <v>72</v>
      </c>
      <c r="B1915" t="s">
        <v>32612</v>
      </c>
      <c r="C1915" t="s">
        <v>74</v>
      </c>
      <c r="D1915" t="s">
        <v>74</v>
      </c>
      <c r="E1915" t="s">
        <v>74</v>
      </c>
      <c r="F1915" t="s">
        <v>32613</v>
      </c>
      <c r="G1915" t="s">
        <v>74</v>
      </c>
      <c r="H1915" t="s">
        <v>74</v>
      </c>
      <c r="I1915" t="s">
        <v>32614</v>
      </c>
      <c r="J1915" t="s">
        <v>32615</v>
      </c>
      <c r="K1915" t="s">
        <v>74</v>
      </c>
      <c r="L1915" t="s">
        <v>74</v>
      </c>
      <c r="M1915" t="s">
        <v>78</v>
      </c>
      <c r="N1915" t="s">
        <v>79</v>
      </c>
      <c r="O1915" t="s">
        <v>74</v>
      </c>
      <c r="P1915" t="s">
        <v>74</v>
      </c>
      <c r="Q1915" t="s">
        <v>74</v>
      </c>
      <c r="R1915" t="s">
        <v>74</v>
      </c>
      <c r="S1915" t="s">
        <v>74</v>
      </c>
      <c r="T1915" t="s">
        <v>32616</v>
      </c>
      <c r="U1915" t="s">
        <v>32617</v>
      </c>
      <c r="V1915" t="s">
        <v>32618</v>
      </c>
      <c r="W1915" t="s">
        <v>32619</v>
      </c>
      <c r="X1915" t="s">
        <v>32620</v>
      </c>
      <c r="Y1915" t="s">
        <v>32621</v>
      </c>
      <c r="Z1915" t="s">
        <v>32622</v>
      </c>
      <c r="AA1915" t="s">
        <v>32623</v>
      </c>
      <c r="AB1915" t="s">
        <v>32624</v>
      </c>
      <c r="AC1915" t="s">
        <v>32625</v>
      </c>
      <c r="AD1915" t="s">
        <v>32626</v>
      </c>
      <c r="AE1915" t="s">
        <v>32627</v>
      </c>
      <c r="AF1915" t="s">
        <v>74</v>
      </c>
      <c r="AG1915">
        <v>72</v>
      </c>
      <c r="AH1915">
        <v>0</v>
      </c>
      <c r="AI1915">
        <v>0</v>
      </c>
      <c r="AJ1915">
        <v>10</v>
      </c>
      <c r="AK1915">
        <v>10</v>
      </c>
      <c r="AL1915" t="s">
        <v>226</v>
      </c>
      <c r="AM1915" t="s">
        <v>227</v>
      </c>
      <c r="AN1915" t="s">
        <v>228</v>
      </c>
      <c r="AO1915" t="s">
        <v>32628</v>
      </c>
      <c r="AP1915" t="s">
        <v>32629</v>
      </c>
      <c r="AQ1915" t="s">
        <v>74</v>
      </c>
      <c r="AR1915" t="s">
        <v>32630</v>
      </c>
      <c r="AS1915" t="s">
        <v>32631</v>
      </c>
      <c r="AT1915" t="s">
        <v>32632</v>
      </c>
      <c r="AU1915">
        <v>2024</v>
      </c>
      <c r="AV1915" t="s">
        <v>74</v>
      </c>
      <c r="AW1915" t="s">
        <v>74</v>
      </c>
      <c r="AX1915" t="s">
        <v>74</v>
      </c>
      <c r="AY1915" t="s">
        <v>74</v>
      </c>
      <c r="AZ1915" t="s">
        <v>74</v>
      </c>
      <c r="BA1915" t="s">
        <v>74</v>
      </c>
      <c r="BB1915" t="s">
        <v>74</v>
      </c>
      <c r="BC1915" t="s">
        <v>74</v>
      </c>
      <c r="BD1915" t="s">
        <v>74</v>
      </c>
      <c r="BE1915" t="s">
        <v>32633</v>
      </c>
      <c r="BF1915" t="str">
        <f>HYPERLINK("http://dx.doi.org/10.1177/14413582241273987","http://dx.doi.org/10.1177/14413582241273987")</f>
        <v>http://dx.doi.org/10.1177/14413582241273987</v>
      </c>
      <c r="BG1915" t="s">
        <v>74</v>
      </c>
      <c r="BH1915" t="s">
        <v>2444</v>
      </c>
      <c r="BI1915">
        <v>14</v>
      </c>
      <c r="BJ1915" t="s">
        <v>1597</v>
      </c>
      <c r="BK1915" t="s">
        <v>125</v>
      </c>
      <c r="BL1915" t="s">
        <v>480</v>
      </c>
      <c r="BM1915" t="s">
        <v>32634</v>
      </c>
      <c r="BN1915" t="s">
        <v>74</v>
      </c>
      <c r="BO1915" t="s">
        <v>156</v>
      </c>
      <c r="BP1915" t="s">
        <v>74</v>
      </c>
      <c r="BQ1915" t="s">
        <v>74</v>
      </c>
      <c r="BR1915" t="s">
        <v>102</v>
      </c>
      <c r="BS1915" t="s">
        <v>32635</v>
      </c>
      <c r="BT1915" t="str">
        <f>HYPERLINK("https%3A%2F%2Fwww.webofscience.com%2Fwos%2Fwoscc%2Ffull-record%2FWOS:001297461700001","View Full Record in Web of Science")</f>
        <v>View Full Record in Web of Science</v>
      </c>
    </row>
    <row r="1916" spans="1:72" x14ac:dyDescent="0.35">
      <c r="A1916" t="s">
        <v>72</v>
      </c>
      <c r="B1916" t="s">
        <v>32636</v>
      </c>
      <c r="C1916" t="s">
        <v>74</v>
      </c>
      <c r="D1916" t="s">
        <v>74</v>
      </c>
      <c r="E1916" t="s">
        <v>74</v>
      </c>
      <c r="F1916" t="s">
        <v>32637</v>
      </c>
      <c r="G1916" t="s">
        <v>74</v>
      </c>
      <c r="H1916" t="s">
        <v>74</v>
      </c>
      <c r="I1916" t="s">
        <v>32638</v>
      </c>
      <c r="J1916" t="s">
        <v>20961</v>
      </c>
      <c r="K1916" t="s">
        <v>74</v>
      </c>
      <c r="L1916" t="s">
        <v>74</v>
      </c>
      <c r="M1916" t="s">
        <v>78</v>
      </c>
      <c r="N1916" t="s">
        <v>108</v>
      </c>
      <c r="O1916" t="s">
        <v>74</v>
      </c>
      <c r="P1916" t="s">
        <v>74</v>
      </c>
      <c r="Q1916" t="s">
        <v>74</v>
      </c>
      <c r="R1916" t="s">
        <v>74</v>
      </c>
      <c r="S1916" t="s">
        <v>74</v>
      </c>
      <c r="T1916" t="s">
        <v>32639</v>
      </c>
      <c r="U1916" t="s">
        <v>32640</v>
      </c>
      <c r="V1916" t="s">
        <v>32641</v>
      </c>
      <c r="W1916" t="s">
        <v>32642</v>
      </c>
      <c r="X1916" t="s">
        <v>23920</v>
      </c>
      <c r="Y1916" t="s">
        <v>32643</v>
      </c>
      <c r="Z1916" t="s">
        <v>32644</v>
      </c>
      <c r="AA1916" t="s">
        <v>32645</v>
      </c>
      <c r="AB1916" t="s">
        <v>32646</v>
      </c>
      <c r="AC1916" t="s">
        <v>32647</v>
      </c>
      <c r="AD1916" t="s">
        <v>32647</v>
      </c>
      <c r="AE1916" t="s">
        <v>2921</v>
      </c>
      <c r="AF1916" t="s">
        <v>74</v>
      </c>
      <c r="AG1916">
        <v>48</v>
      </c>
      <c r="AH1916">
        <v>3</v>
      </c>
      <c r="AI1916">
        <v>3</v>
      </c>
      <c r="AJ1916">
        <v>3</v>
      </c>
      <c r="AK1916">
        <v>6</v>
      </c>
      <c r="AL1916" t="s">
        <v>1195</v>
      </c>
      <c r="AM1916" t="s">
        <v>1196</v>
      </c>
      <c r="AN1916" t="s">
        <v>1197</v>
      </c>
      <c r="AO1916" t="s">
        <v>74</v>
      </c>
      <c r="AP1916" t="s">
        <v>20969</v>
      </c>
      <c r="AQ1916" t="s">
        <v>74</v>
      </c>
      <c r="AR1916" t="s">
        <v>20961</v>
      </c>
      <c r="AS1916" t="s">
        <v>20970</v>
      </c>
      <c r="AT1916" t="s">
        <v>523</v>
      </c>
      <c r="AU1916">
        <v>2023</v>
      </c>
      <c r="AV1916">
        <v>13</v>
      </c>
      <c r="AW1916">
        <v>11</v>
      </c>
      <c r="AX1916" t="s">
        <v>74</v>
      </c>
      <c r="AY1916" t="s">
        <v>74</v>
      </c>
      <c r="AZ1916" t="s">
        <v>74</v>
      </c>
      <c r="BA1916" t="s">
        <v>74</v>
      </c>
      <c r="BB1916" t="s">
        <v>74</v>
      </c>
      <c r="BC1916" t="s">
        <v>74</v>
      </c>
      <c r="BD1916">
        <v>242</v>
      </c>
      <c r="BE1916" t="s">
        <v>32648</v>
      </c>
      <c r="BF1916" t="str">
        <f>HYPERLINK("http://dx.doi.org/10.3390/soc13110242","http://dx.doi.org/10.3390/soc13110242")</f>
        <v>http://dx.doi.org/10.3390/soc13110242</v>
      </c>
      <c r="BG1916" t="s">
        <v>74</v>
      </c>
      <c r="BH1916" t="s">
        <v>74</v>
      </c>
      <c r="BI1916">
        <v>13</v>
      </c>
      <c r="BJ1916" t="s">
        <v>4573</v>
      </c>
      <c r="BK1916" t="s">
        <v>125</v>
      </c>
      <c r="BL1916" t="s">
        <v>4573</v>
      </c>
      <c r="BM1916" t="s">
        <v>32649</v>
      </c>
      <c r="BN1916" t="s">
        <v>74</v>
      </c>
      <c r="BO1916" t="s">
        <v>235</v>
      </c>
      <c r="BP1916" t="s">
        <v>74</v>
      </c>
      <c r="BQ1916" t="s">
        <v>74</v>
      </c>
      <c r="BR1916" t="s">
        <v>102</v>
      </c>
      <c r="BS1916" t="s">
        <v>32650</v>
      </c>
      <c r="BT1916" t="str">
        <f>HYPERLINK("https%3A%2F%2Fwww.webofscience.com%2Fwos%2Fwoscc%2Ffull-record%2FWOS:001118080000001","View Full Record in Web of Science")</f>
        <v>View Full Record in Web of Science</v>
      </c>
    </row>
    <row r="1917" spans="1:72" x14ac:dyDescent="0.35">
      <c r="A1917" t="s">
        <v>72</v>
      </c>
      <c r="B1917" t="s">
        <v>32651</v>
      </c>
      <c r="C1917" t="s">
        <v>74</v>
      </c>
      <c r="D1917" t="s">
        <v>74</v>
      </c>
      <c r="E1917" t="s">
        <v>74</v>
      </c>
      <c r="F1917" t="s">
        <v>32652</v>
      </c>
      <c r="G1917" t="s">
        <v>74</v>
      </c>
      <c r="H1917" t="s">
        <v>74</v>
      </c>
      <c r="I1917" t="s">
        <v>32653</v>
      </c>
      <c r="J1917" t="s">
        <v>2649</v>
      </c>
      <c r="K1917" t="s">
        <v>74</v>
      </c>
      <c r="L1917" t="s">
        <v>74</v>
      </c>
      <c r="M1917" t="s">
        <v>78</v>
      </c>
      <c r="N1917" t="s">
        <v>2042</v>
      </c>
      <c r="O1917" t="s">
        <v>74</v>
      </c>
      <c r="P1917" t="s">
        <v>74</v>
      </c>
      <c r="Q1917" t="s">
        <v>74</v>
      </c>
      <c r="R1917" t="s">
        <v>74</v>
      </c>
      <c r="S1917" t="s">
        <v>74</v>
      </c>
      <c r="T1917" t="s">
        <v>32654</v>
      </c>
      <c r="U1917" t="s">
        <v>32655</v>
      </c>
      <c r="V1917" t="s">
        <v>32656</v>
      </c>
      <c r="W1917" t="s">
        <v>32657</v>
      </c>
      <c r="X1917" t="s">
        <v>32658</v>
      </c>
      <c r="Y1917" t="s">
        <v>32659</v>
      </c>
      <c r="Z1917" t="s">
        <v>32660</v>
      </c>
      <c r="AA1917" t="s">
        <v>32661</v>
      </c>
      <c r="AB1917" t="s">
        <v>32662</v>
      </c>
      <c r="AC1917" t="s">
        <v>32663</v>
      </c>
      <c r="AD1917" t="s">
        <v>32664</v>
      </c>
      <c r="AE1917" t="s">
        <v>32665</v>
      </c>
      <c r="AF1917" t="s">
        <v>74</v>
      </c>
      <c r="AG1917">
        <v>20</v>
      </c>
      <c r="AH1917">
        <v>1</v>
      </c>
      <c r="AI1917">
        <v>1</v>
      </c>
      <c r="AJ1917">
        <v>12</v>
      </c>
      <c r="AK1917">
        <v>23</v>
      </c>
      <c r="AL1917" t="s">
        <v>2662</v>
      </c>
      <c r="AM1917" t="s">
        <v>2663</v>
      </c>
      <c r="AN1917" t="s">
        <v>2664</v>
      </c>
      <c r="AO1917" t="s">
        <v>2665</v>
      </c>
      <c r="AP1917" t="s">
        <v>74</v>
      </c>
      <c r="AQ1917" t="s">
        <v>74</v>
      </c>
      <c r="AR1917" t="s">
        <v>2666</v>
      </c>
      <c r="AS1917" t="s">
        <v>2667</v>
      </c>
      <c r="AT1917" t="s">
        <v>74</v>
      </c>
      <c r="AU1917">
        <v>2023</v>
      </c>
      <c r="AV1917">
        <v>11</v>
      </c>
      <c r="AW1917">
        <v>2</v>
      </c>
      <c r="AX1917" t="s">
        <v>74</v>
      </c>
      <c r="AY1917" t="s">
        <v>74</v>
      </c>
      <c r="AZ1917" t="s">
        <v>74</v>
      </c>
      <c r="BA1917" t="s">
        <v>74</v>
      </c>
      <c r="BB1917">
        <v>109</v>
      </c>
      <c r="BC1917">
        <v>112</v>
      </c>
      <c r="BD1917" t="s">
        <v>74</v>
      </c>
      <c r="BE1917" t="s">
        <v>32666</v>
      </c>
      <c r="BF1917" t="str">
        <f>HYPERLINK("http://dx.doi.org/10.17645/mac.v11i2.7069","http://dx.doi.org/10.17645/mac.v11i2.7069")</f>
        <v>http://dx.doi.org/10.17645/mac.v11i2.7069</v>
      </c>
      <c r="BG1917" t="s">
        <v>74</v>
      </c>
      <c r="BH1917" t="s">
        <v>74</v>
      </c>
      <c r="BI1917">
        <v>4</v>
      </c>
      <c r="BJ1917" t="s">
        <v>124</v>
      </c>
      <c r="BK1917" t="s">
        <v>99</v>
      </c>
      <c r="BL1917" t="s">
        <v>124</v>
      </c>
      <c r="BM1917" t="s">
        <v>2669</v>
      </c>
      <c r="BN1917" t="s">
        <v>74</v>
      </c>
      <c r="BO1917" t="s">
        <v>552</v>
      </c>
      <c r="BP1917" t="s">
        <v>74</v>
      </c>
      <c r="BQ1917" t="s">
        <v>74</v>
      </c>
      <c r="BR1917" t="s">
        <v>102</v>
      </c>
      <c r="BS1917" t="s">
        <v>32667</v>
      </c>
      <c r="BT1917" t="str">
        <f>HYPERLINK("https%3A%2F%2Fwww.webofscience.com%2Fwos%2Fwoscc%2Ffull-record%2FWOS:000996431600001","View Full Record in Web of Science")</f>
        <v>View Full Record in Web of Science</v>
      </c>
    </row>
    <row r="1918" spans="1:72" x14ac:dyDescent="0.35">
      <c r="A1918" t="s">
        <v>128</v>
      </c>
      <c r="B1918" t="s">
        <v>32668</v>
      </c>
      <c r="C1918" t="s">
        <v>74</v>
      </c>
      <c r="D1918" t="s">
        <v>74</v>
      </c>
      <c r="E1918" t="s">
        <v>702</v>
      </c>
      <c r="F1918" t="s">
        <v>32669</v>
      </c>
      <c r="G1918" t="s">
        <v>74</v>
      </c>
      <c r="H1918" t="s">
        <v>74</v>
      </c>
      <c r="I1918" t="s">
        <v>32670</v>
      </c>
      <c r="J1918" t="s">
        <v>2723</v>
      </c>
      <c r="K1918" t="s">
        <v>74</v>
      </c>
      <c r="L1918" t="s">
        <v>74</v>
      </c>
      <c r="M1918" t="s">
        <v>78</v>
      </c>
      <c r="N1918" t="s">
        <v>135</v>
      </c>
      <c r="O1918" t="s">
        <v>2724</v>
      </c>
      <c r="P1918" t="s">
        <v>2725</v>
      </c>
      <c r="Q1918" t="s">
        <v>138</v>
      </c>
      <c r="R1918" t="s">
        <v>2726</v>
      </c>
      <c r="S1918" t="s">
        <v>74</v>
      </c>
      <c r="T1918" t="s">
        <v>32671</v>
      </c>
      <c r="U1918" t="s">
        <v>32672</v>
      </c>
      <c r="V1918" t="s">
        <v>32673</v>
      </c>
      <c r="W1918" t="s">
        <v>32674</v>
      </c>
      <c r="X1918" t="s">
        <v>16755</v>
      </c>
      <c r="Y1918" t="s">
        <v>32675</v>
      </c>
      <c r="Z1918" t="s">
        <v>32676</v>
      </c>
      <c r="AA1918" t="s">
        <v>74</v>
      </c>
      <c r="AB1918" t="s">
        <v>32677</v>
      </c>
      <c r="AC1918" t="s">
        <v>32678</v>
      </c>
      <c r="AD1918" t="s">
        <v>32679</v>
      </c>
      <c r="AE1918" t="s">
        <v>74</v>
      </c>
      <c r="AF1918" t="s">
        <v>74</v>
      </c>
      <c r="AG1918">
        <v>47</v>
      </c>
      <c r="AH1918">
        <v>1</v>
      </c>
      <c r="AI1918">
        <v>1</v>
      </c>
      <c r="AJ1918">
        <v>0</v>
      </c>
      <c r="AK1918">
        <v>2</v>
      </c>
      <c r="AL1918" t="s">
        <v>718</v>
      </c>
      <c r="AM1918" t="s">
        <v>666</v>
      </c>
      <c r="AN1918" t="s">
        <v>719</v>
      </c>
      <c r="AO1918" t="s">
        <v>74</v>
      </c>
      <c r="AP1918" t="s">
        <v>74</v>
      </c>
      <c r="AQ1918" t="s">
        <v>2734</v>
      </c>
      <c r="AR1918" t="s">
        <v>74</v>
      </c>
      <c r="AS1918" t="s">
        <v>74</v>
      </c>
      <c r="AT1918" t="s">
        <v>74</v>
      </c>
      <c r="AU1918">
        <v>2022</v>
      </c>
      <c r="AV1918" t="s">
        <v>74</v>
      </c>
      <c r="AW1918" t="s">
        <v>74</v>
      </c>
      <c r="AX1918" t="s">
        <v>74</v>
      </c>
      <c r="AY1918" t="s">
        <v>74</v>
      </c>
      <c r="AZ1918" t="s">
        <v>74</v>
      </c>
      <c r="BA1918" t="s">
        <v>74</v>
      </c>
      <c r="BB1918">
        <v>3471</v>
      </c>
      <c r="BC1918">
        <v>3479</v>
      </c>
      <c r="BD1918" t="s">
        <v>74</v>
      </c>
      <c r="BE1918" t="s">
        <v>32680</v>
      </c>
      <c r="BF1918" t="str">
        <f>HYPERLINK("http://dx.doi.org/10.1145/3485447.3512283","http://dx.doi.org/10.1145/3485447.3512283")</f>
        <v>http://dx.doi.org/10.1145/3485447.3512283</v>
      </c>
      <c r="BG1918" t="s">
        <v>74</v>
      </c>
      <c r="BH1918" t="s">
        <v>74</v>
      </c>
      <c r="BI1918">
        <v>9</v>
      </c>
      <c r="BJ1918" t="s">
        <v>2736</v>
      </c>
      <c r="BK1918" t="s">
        <v>723</v>
      </c>
      <c r="BL1918" t="s">
        <v>210</v>
      </c>
      <c r="BM1918" t="s">
        <v>2737</v>
      </c>
      <c r="BN1918" t="s">
        <v>74</v>
      </c>
      <c r="BO1918" t="s">
        <v>2738</v>
      </c>
      <c r="BP1918" t="s">
        <v>74</v>
      </c>
      <c r="BQ1918" t="s">
        <v>74</v>
      </c>
      <c r="BR1918" t="s">
        <v>102</v>
      </c>
      <c r="BS1918" t="s">
        <v>32681</v>
      </c>
      <c r="BT1918" t="str">
        <f>HYPERLINK("https%3A%2F%2Fwww.webofscience.com%2Fwos%2Fwoscc%2Ffull-record%2FWOS:000852713003055","View Full Record in Web of Science")</f>
        <v>View Full Record in Web of Science</v>
      </c>
    </row>
    <row r="1919" spans="1:72" x14ac:dyDescent="0.35">
      <c r="A1919" t="s">
        <v>72</v>
      </c>
      <c r="B1919" t="s">
        <v>32682</v>
      </c>
      <c r="C1919" t="s">
        <v>74</v>
      </c>
      <c r="D1919" t="s">
        <v>74</v>
      </c>
      <c r="E1919" t="s">
        <v>74</v>
      </c>
      <c r="F1919" t="s">
        <v>32683</v>
      </c>
      <c r="G1919" t="s">
        <v>74</v>
      </c>
      <c r="H1919" t="s">
        <v>74</v>
      </c>
      <c r="I1919" t="s">
        <v>32684</v>
      </c>
      <c r="J1919" t="s">
        <v>32685</v>
      </c>
      <c r="K1919" t="s">
        <v>74</v>
      </c>
      <c r="L1919" t="s">
        <v>74</v>
      </c>
      <c r="M1919" t="s">
        <v>78</v>
      </c>
      <c r="N1919" t="s">
        <v>108</v>
      </c>
      <c r="O1919" t="s">
        <v>74</v>
      </c>
      <c r="P1919" t="s">
        <v>74</v>
      </c>
      <c r="Q1919" t="s">
        <v>74</v>
      </c>
      <c r="R1919" t="s">
        <v>74</v>
      </c>
      <c r="S1919" t="s">
        <v>74</v>
      </c>
      <c r="T1919" t="s">
        <v>32686</v>
      </c>
      <c r="U1919" t="s">
        <v>32687</v>
      </c>
      <c r="V1919" t="s">
        <v>32688</v>
      </c>
      <c r="W1919" t="s">
        <v>32689</v>
      </c>
      <c r="X1919" t="s">
        <v>32690</v>
      </c>
      <c r="Y1919" t="s">
        <v>32691</v>
      </c>
      <c r="Z1919" t="s">
        <v>32692</v>
      </c>
      <c r="AA1919" t="s">
        <v>74</v>
      </c>
      <c r="AB1919" t="s">
        <v>32693</v>
      </c>
      <c r="AC1919" t="s">
        <v>74</v>
      </c>
      <c r="AD1919" t="s">
        <v>74</v>
      </c>
      <c r="AE1919" t="s">
        <v>74</v>
      </c>
      <c r="AF1919" t="s">
        <v>74</v>
      </c>
      <c r="AG1919">
        <v>136</v>
      </c>
      <c r="AH1919">
        <v>45</v>
      </c>
      <c r="AI1919">
        <v>51</v>
      </c>
      <c r="AJ1919">
        <v>33</v>
      </c>
      <c r="AK1919">
        <v>173</v>
      </c>
      <c r="AL1919" t="s">
        <v>2248</v>
      </c>
      <c r="AM1919" t="s">
        <v>2249</v>
      </c>
      <c r="AN1919" t="s">
        <v>2250</v>
      </c>
      <c r="AO1919" t="s">
        <v>32694</v>
      </c>
      <c r="AP1919" t="s">
        <v>32695</v>
      </c>
      <c r="AQ1919" t="s">
        <v>74</v>
      </c>
      <c r="AR1919" t="s">
        <v>32696</v>
      </c>
      <c r="AS1919" t="s">
        <v>32697</v>
      </c>
      <c r="AT1919" t="s">
        <v>26801</v>
      </c>
      <c r="AU1919">
        <v>2022</v>
      </c>
      <c r="AV1919">
        <v>49</v>
      </c>
      <c r="AW1919">
        <v>1</v>
      </c>
      <c r="AX1919" t="s">
        <v>74</v>
      </c>
      <c r="AY1919" t="s">
        <v>74</v>
      </c>
      <c r="AZ1919" t="s">
        <v>74</v>
      </c>
      <c r="BA1919" t="s">
        <v>74</v>
      </c>
      <c r="BB1919">
        <v>74</v>
      </c>
      <c r="BC1919">
        <v>95</v>
      </c>
      <c r="BD1919" t="s">
        <v>74</v>
      </c>
      <c r="BE1919" t="s">
        <v>32698</v>
      </c>
      <c r="BF1919" t="str">
        <f>HYPERLINK("http://dx.doi.org/10.1093/jcr/ucab044","http://dx.doi.org/10.1093/jcr/ucab044")</f>
        <v>http://dx.doi.org/10.1093/jcr/ucab044</v>
      </c>
      <c r="BG1919" t="s">
        <v>74</v>
      </c>
      <c r="BH1919" t="s">
        <v>2056</v>
      </c>
      <c r="BI1919">
        <v>22</v>
      </c>
      <c r="BJ1919" t="s">
        <v>1597</v>
      </c>
      <c r="BK1919" t="s">
        <v>99</v>
      </c>
      <c r="BL1919" t="s">
        <v>480</v>
      </c>
      <c r="BM1919" t="s">
        <v>32699</v>
      </c>
      <c r="BN1919" t="s">
        <v>74</v>
      </c>
      <c r="BO1919" t="s">
        <v>4154</v>
      </c>
      <c r="BP1919" t="s">
        <v>74</v>
      </c>
      <c r="BQ1919" t="s">
        <v>74</v>
      </c>
      <c r="BR1919" t="s">
        <v>102</v>
      </c>
      <c r="BS1919" t="s">
        <v>32700</v>
      </c>
      <c r="BT1919" t="str">
        <f>HYPERLINK("https%3A%2F%2Fwww.webofscience.com%2Fwos%2Fwoscc%2Ffull-record%2FWOS:000756570600001","View Full Record in Web of Science")</f>
        <v>View Full Record in Web of Science</v>
      </c>
    </row>
    <row r="1920" spans="1:72" x14ac:dyDescent="0.35">
      <c r="A1920" t="s">
        <v>128</v>
      </c>
      <c r="B1920" t="s">
        <v>32701</v>
      </c>
      <c r="C1920" t="s">
        <v>74</v>
      </c>
      <c r="D1920" t="s">
        <v>74</v>
      </c>
      <c r="E1920" t="s">
        <v>1098</v>
      </c>
      <c r="F1920" t="s">
        <v>32702</v>
      </c>
      <c r="G1920" t="s">
        <v>74</v>
      </c>
      <c r="H1920" t="s">
        <v>74</v>
      </c>
      <c r="I1920" t="s">
        <v>32703</v>
      </c>
      <c r="J1920" t="s">
        <v>32704</v>
      </c>
      <c r="K1920" t="s">
        <v>74</v>
      </c>
      <c r="L1920" t="s">
        <v>74</v>
      </c>
      <c r="M1920" t="s">
        <v>78</v>
      </c>
      <c r="N1920" t="s">
        <v>135</v>
      </c>
      <c r="O1920" t="s">
        <v>32705</v>
      </c>
      <c r="P1920" t="s">
        <v>32706</v>
      </c>
      <c r="Q1920" t="s">
        <v>138</v>
      </c>
      <c r="R1920" t="s">
        <v>32707</v>
      </c>
      <c r="S1920" t="s">
        <v>74</v>
      </c>
      <c r="T1920" t="s">
        <v>32708</v>
      </c>
      <c r="U1920" t="s">
        <v>74</v>
      </c>
      <c r="V1920" t="s">
        <v>32709</v>
      </c>
      <c r="W1920" t="s">
        <v>32710</v>
      </c>
      <c r="X1920" t="s">
        <v>28233</v>
      </c>
      <c r="Y1920" t="s">
        <v>32711</v>
      </c>
      <c r="Z1920" t="s">
        <v>32712</v>
      </c>
      <c r="AA1920" t="s">
        <v>74</v>
      </c>
      <c r="AB1920" t="s">
        <v>32713</v>
      </c>
      <c r="AC1920" t="s">
        <v>74</v>
      </c>
      <c r="AD1920" t="s">
        <v>74</v>
      </c>
      <c r="AE1920" t="s">
        <v>74</v>
      </c>
      <c r="AF1920" t="s">
        <v>74</v>
      </c>
      <c r="AG1920">
        <v>66</v>
      </c>
      <c r="AH1920">
        <v>23</v>
      </c>
      <c r="AI1920">
        <v>28</v>
      </c>
      <c r="AJ1920">
        <v>0</v>
      </c>
      <c r="AK1920">
        <v>1</v>
      </c>
      <c r="AL1920" t="s">
        <v>718</v>
      </c>
      <c r="AM1920" t="s">
        <v>666</v>
      </c>
      <c r="AN1920" t="s">
        <v>719</v>
      </c>
      <c r="AO1920" t="s">
        <v>74</v>
      </c>
      <c r="AP1920" t="s">
        <v>74</v>
      </c>
      <c r="AQ1920" t="s">
        <v>32714</v>
      </c>
      <c r="AR1920" t="s">
        <v>74</v>
      </c>
      <c r="AS1920" t="s">
        <v>74</v>
      </c>
      <c r="AT1920" t="s">
        <v>74</v>
      </c>
      <c r="AU1920">
        <v>2021</v>
      </c>
      <c r="AV1920" t="s">
        <v>74</v>
      </c>
      <c r="AW1920" t="s">
        <v>74</v>
      </c>
      <c r="AX1920" t="s">
        <v>74</v>
      </c>
      <c r="AY1920" t="s">
        <v>74</v>
      </c>
      <c r="AZ1920" t="s">
        <v>74</v>
      </c>
      <c r="BA1920" t="s">
        <v>74</v>
      </c>
      <c r="BB1920">
        <v>600</v>
      </c>
      <c r="BC1920">
        <v>615</v>
      </c>
      <c r="BD1920" t="s">
        <v>74</v>
      </c>
      <c r="BE1920" t="s">
        <v>32715</v>
      </c>
      <c r="BF1920" t="str">
        <f>HYPERLINK("http://dx.doi.org/10.1145/3445814.3446723","http://dx.doi.org/10.1145/3445814.3446723")</f>
        <v>http://dx.doi.org/10.1145/3445814.3446723</v>
      </c>
      <c r="BG1920" t="s">
        <v>74</v>
      </c>
      <c r="BH1920" t="s">
        <v>74</v>
      </c>
      <c r="BI1920">
        <v>16</v>
      </c>
      <c r="BJ1920" t="s">
        <v>26996</v>
      </c>
      <c r="BK1920" t="s">
        <v>723</v>
      </c>
      <c r="BL1920" t="s">
        <v>210</v>
      </c>
      <c r="BM1920" t="s">
        <v>32716</v>
      </c>
      <c r="BN1920" t="s">
        <v>74</v>
      </c>
      <c r="BO1920" t="s">
        <v>74</v>
      </c>
      <c r="BP1920" t="s">
        <v>74</v>
      </c>
      <c r="BQ1920" t="s">
        <v>74</v>
      </c>
      <c r="BR1920" t="s">
        <v>102</v>
      </c>
      <c r="BS1920" t="s">
        <v>32717</v>
      </c>
      <c r="BT1920" t="str">
        <f>HYPERLINK("https%3A%2F%2Fwww.webofscience.com%2Fwos%2Fwoscc%2Ffull-record%2FWOS:000829871000042","View Full Record in Web of Science")</f>
        <v>View Full Record in Web of Science</v>
      </c>
    </row>
    <row r="1921" spans="1:72" x14ac:dyDescent="0.35">
      <c r="A1921" t="s">
        <v>72</v>
      </c>
      <c r="B1921" t="s">
        <v>32718</v>
      </c>
      <c r="C1921" t="s">
        <v>74</v>
      </c>
      <c r="D1921" t="s">
        <v>74</v>
      </c>
      <c r="E1921" t="s">
        <v>74</v>
      </c>
      <c r="F1921" t="s">
        <v>32719</v>
      </c>
      <c r="G1921" t="s">
        <v>74</v>
      </c>
      <c r="H1921" t="s">
        <v>74</v>
      </c>
      <c r="I1921" t="s">
        <v>32720</v>
      </c>
      <c r="J1921" t="s">
        <v>32721</v>
      </c>
      <c r="K1921" t="s">
        <v>74</v>
      </c>
      <c r="L1921" t="s">
        <v>74</v>
      </c>
      <c r="M1921" t="s">
        <v>78</v>
      </c>
      <c r="N1921" t="s">
        <v>374</v>
      </c>
      <c r="O1921" t="s">
        <v>74</v>
      </c>
      <c r="P1921" t="s">
        <v>74</v>
      </c>
      <c r="Q1921" t="s">
        <v>74</v>
      </c>
      <c r="R1921" t="s">
        <v>74</v>
      </c>
      <c r="S1921" t="s">
        <v>74</v>
      </c>
      <c r="T1921" t="s">
        <v>32722</v>
      </c>
      <c r="U1921" t="s">
        <v>12117</v>
      </c>
      <c r="V1921" t="s">
        <v>32723</v>
      </c>
      <c r="W1921" t="s">
        <v>32724</v>
      </c>
      <c r="X1921" t="s">
        <v>32725</v>
      </c>
      <c r="Y1921" t="s">
        <v>32726</v>
      </c>
      <c r="Z1921" t="s">
        <v>32727</v>
      </c>
      <c r="AA1921" t="s">
        <v>74</v>
      </c>
      <c r="AB1921" t="s">
        <v>74</v>
      </c>
      <c r="AC1921" t="s">
        <v>74</v>
      </c>
      <c r="AD1921" t="s">
        <v>74</v>
      </c>
      <c r="AE1921" t="s">
        <v>74</v>
      </c>
      <c r="AF1921" t="s">
        <v>74</v>
      </c>
      <c r="AG1921">
        <v>54</v>
      </c>
      <c r="AH1921">
        <v>0</v>
      </c>
      <c r="AI1921">
        <v>0</v>
      </c>
      <c r="AJ1921">
        <v>2</v>
      </c>
      <c r="AK1921">
        <v>2</v>
      </c>
      <c r="AL1921" t="s">
        <v>3489</v>
      </c>
      <c r="AM1921" t="s">
        <v>3490</v>
      </c>
      <c r="AN1921" t="s">
        <v>3491</v>
      </c>
      <c r="AO1921" t="s">
        <v>74</v>
      </c>
      <c r="AP1921" t="s">
        <v>32728</v>
      </c>
      <c r="AQ1921" t="s">
        <v>74</v>
      </c>
      <c r="AR1921" t="s">
        <v>32729</v>
      </c>
      <c r="AS1921" t="s">
        <v>32730</v>
      </c>
      <c r="AT1921" t="s">
        <v>32731</v>
      </c>
      <c r="AU1921">
        <v>2024</v>
      </c>
      <c r="AV1921">
        <v>11</v>
      </c>
      <c r="AW1921">
        <v>1</v>
      </c>
      <c r="AX1921" t="s">
        <v>74</v>
      </c>
      <c r="AY1921" t="s">
        <v>74</v>
      </c>
      <c r="AZ1921" t="s">
        <v>74</v>
      </c>
      <c r="BA1921" t="s">
        <v>74</v>
      </c>
      <c r="BB1921" t="s">
        <v>74</v>
      </c>
      <c r="BC1921" t="s">
        <v>74</v>
      </c>
      <c r="BD1921">
        <v>46</v>
      </c>
      <c r="BE1921" t="s">
        <v>32732</v>
      </c>
      <c r="BF1921" t="str">
        <f>HYPERLINK("http://dx.doi.org/10.1186/s40561-024-00334-5","http://dx.doi.org/10.1186/s40561-024-00334-5")</f>
        <v>http://dx.doi.org/10.1186/s40561-024-00334-5</v>
      </c>
      <c r="BG1921" t="s">
        <v>74</v>
      </c>
      <c r="BH1921" t="s">
        <v>74</v>
      </c>
      <c r="BI1921">
        <v>19</v>
      </c>
      <c r="BJ1921" t="s">
        <v>787</v>
      </c>
      <c r="BK1921" t="s">
        <v>125</v>
      </c>
      <c r="BL1921" t="s">
        <v>787</v>
      </c>
      <c r="BM1921" t="s">
        <v>32733</v>
      </c>
      <c r="BN1921" t="s">
        <v>74</v>
      </c>
      <c r="BO1921" t="s">
        <v>235</v>
      </c>
      <c r="BP1921" t="s">
        <v>74</v>
      </c>
      <c r="BQ1921" t="s">
        <v>74</v>
      </c>
      <c r="BR1921" t="s">
        <v>102</v>
      </c>
      <c r="BS1921" t="s">
        <v>32734</v>
      </c>
      <c r="BT1921" t="str">
        <f>HYPERLINK("https%3A%2F%2Fwww.webofscience.com%2Fwos%2Fwoscc%2Ffull-record%2FWOS:001330078100001","View Full Record in Web of Science")</f>
        <v>View Full Record in Web of Science</v>
      </c>
    </row>
    <row r="1922" spans="1:72" x14ac:dyDescent="0.35">
      <c r="A1922" t="s">
        <v>72</v>
      </c>
      <c r="B1922" t="s">
        <v>32735</v>
      </c>
      <c r="C1922" t="s">
        <v>74</v>
      </c>
      <c r="D1922" t="s">
        <v>74</v>
      </c>
      <c r="E1922" t="s">
        <v>74</v>
      </c>
      <c r="F1922" t="s">
        <v>32736</v>
      </c>
      <c r="G1922" t="s">
        <v>74</v>
      </c>
      <c r="H1922" t="s">
        <v>74</v>
      </c>
      <c r="I1922" t="s">
        <v>32737</v>
      </c>
      <c r="J1922" t="s">
        <v>31547</v>
      </c>
      <c r="K1922" t="s">
        <v>74</v>
      </c>
      <c r="L1922" t="s">
        <v>74</v>
      </c>
      <c r="M1922" t="s">
        <v>78</v>
      </c>
      <c r="N1922" t="s">
        <v>79</v>
      </c>
      <c r="O1922" t="s">
        <v>74</v>
      </c>
      <c r="P1922" t="s">
        <v>74</v>
      </c>
      <c r="Q1922" t="s">
        <v>74</v>
      </c>
      <c r="R1922" t="s">
        <v>74</v>
      </c>
      <c r="S1922" t="s">
        <v>74</v>
      </c>
      <c r="T1922" t="s">
        <v>32738</v>
      </c>
      <c r="U1922" t="s">
        <v>32739</v>
      </c>
      <c r="V1922" t="s">
        <v>32740</v>
      </c>
      <c r="W1922" t="s">
        <v>32741</v>
      </c>
      <c r="X1922" t="s">
        <v>1710</v>
      </c>
      <c r="Y1922" t="s">
        <v>32742</v>
      </c>
      <c r="Z1922" t="s">
        <v>32743</v>
      </c>
      <c r="AA1922" t="s">
        <v>32744</v>
      </c>
      <c r="AB1922" t="s">
        <v>32745</v>
      </c>
      <c r="AC1922" t="s">
        <v>32746</v>
      </c>
      <c r="AD1922" t="s">
        <v>32746</v>
      </c>
      <c r="AE1922" t="s">
        <v>32747</v>
      </c>
      <c r="AF1922" t="s">
        <v>74</v>
      </c>
      <c r="AG1922">
        <v>54</v>
      </c>
      <c r="AH1922">
        <v>0</v>
      </c>
      <c r="AI1922">
        <v>0</v>
      </c>
      <c r="AJ1922">
        <v>1</v>
      </c>
      <c r="AK1922">
        <v>1</v>
      </c>
      <c r="AL1922" t="s">
        <v>665</v>
      </c>
      <c r="AM1922" t="s">
        <v>2922</v>
      </c>
      <c r="AN1922" t="s">
        <v>2923</v>
      </c>
      <c r="AO1922" t="s">
        <v>31554</v>
      </c>
      <c r="AP1922" t="s">
        <v>31555</v>
      </c>
      <c r="AQ1922" t="s">
        <v>74</v>
      </c>
      <c r="AR1922" t="s">
        <v>31556</v>
      </c>
      <c r="AS1922" t="s">
        <v>31557</v>
      </c>
      <c r="AT1922" t="s">
        <v>32748</v>
      </c>
      <c r="AU1922">
        <v>2024</v>
      </c>
      <c r="AV1922" t="s">
        <v>74</v>
      </c>
      <c r="AW1922" t="s">
        <v>74</v>
      </c>
      <c r="AX1922" t="s">
        <v>74</v>
      </c>
      <c r="AY1922" t="s">
        <v>74</v>
      </c>
      <c r="AZ1922" t="s">
        <v>74</v>
      </c>
      <c r="BA1922" t="s">
        <v>74</v>
      </c>
      <c r="BB1922" t="s">
        <v>74</v>
      </c>
      <c r="BC1922" t="s">
        <v>74</v>
      </c>
      <c r="BD1922" t="s">
        <v>74</v>
      </c>
      <c r="BE1922" t="s">
        <v>32749</v>
      </c>
      <c r="BF1922" t="str">
        <f>HYPERLINK("http://dx.doi.org/10.1007/s11245-024-10070-7","http://dx.doi.org/10.1007/s11245-024-10070-7")</f>
        <v>http://dx.doi.org/10.1007/s11245-024-10070-7</v>
      </c>
      <c r="BG1922" t="s">
        <v>74</v>
      </c>
      <c r="BH1922" t="s">
        <v>478</v>
      </c>
      <c r="BI1922">
        <v>14</v>
      </c>
      <c r="BJ1922" t="s">
        <v>2686</v>
      </c>
      <c r="BK1922" t="s">
        <v>316</v>
      </c>
      <c r="BL1922" t="s">
        <v>2686</v>
      </c>
      <c r="BM1922" t="s">
        <v>32750</v>
      </c>
      <c r="BN1922" t="s">
        <v>74</v>
      </c>
      <c r="BO1922" t="s">
        <v>156</v>
      </c>
      <c r="BP1922" t="s">
        <v>74</v>
      </c>
      <c r="BQ1922" t="s">
        <v>74</v>
      </c>
      <c r="BR1922" t="s">
        <v>102</v>
      </c>
      <c r="BS1922" t="s">
        <v>32751</v>
      </c>
      <c r="BT1922" t="str">
        <f>HYPERLINK("https%3A%2F%2Fwww.webofscience.com%2Fwos%2Fwoscc%2Ffull-record%2FWOS:001271489500001","View Full Record in Web of Science")</f>
        <v>View Full Record in Web of Science</v>
      </c>
    </row>
    <row r="1923" spans="1:72" x14ac:dyDescent="0.35">
      <c r="A1923" t="s">
        <v>72</v>
      </c>
      <c r="B1923" t="s">
        <v>32752</v>
      </c>
      <c r="C1923" t="s">
        <v>74</v>
      </c>
      <c r="D1923" t="s">
        <v>74</v>
      </c>
      <c r="E1923" t="s">
        <v>74</v>
      </c>
      <c r="F1923" t="s">
        <v>32753</v>
      </c>
      <c r="G1923" t="s">
        <v>74</v>
      </c>
      <c r="H1923" t="s">
        <v>74</v>
      </c>
      <c r="I1923" t="s">
        <v>32754</v>
      </c>
      <c r="J1923" t="s">
        <v>30505</v>
      </c>
      <c r="K1923" t="s">
        <v>74</v>
      </c>
      <c r="L1923" t="s">
        <v>74</v>
      </c>
      <c r="M1923" t="s">
        <v>78</v>
      </c>
      <c r="N1923" t="s">
        <v>108</v>
      </c>
      <c r="O1923" t="s">
        <v>74</v>
      </c>
      <c r="P1923" t="s">
        <v>74</v>
      </c>
      <c r="Q1923" t="s">
        <v>74</v>
      </c>
      <c r="R1923" t="s">
        <v>74</v>
      </c>
      <c r="S1923" t="s">
        <v>74</v>
      </c>
      <c r="T1923" t="s">
        <v>32755</v>
      </c>
      <c r="U1923" t="s">
        <v>32756</v>
      </c>
      <c r="V1923" t="s">
        <v>32757</v>
      </c>
      <c r="W1923" t="s">
        <v>32758</v>
      </c>
      <c r="X1923" t="s">
        <v>32759</v>
      </c>
      <c r="Y1923" t="s">
        <v>32760</v>
      </c>
      <c r="Z1923" t="s">
        <v>32761</v>
      </c>
      <c r="AA1923" t="s">
        <v>32762</v>
      </c>
      <c r="AB1923" t="s">
        <v>32763</v>
      </c>
      <c r="AC1923" t="s">
        <v>32764</v>
      </c>
      <c r="AD1923" t="s">
        <v>32765</v>
      </c>
      <c r="AE1923" t="s">
        <v>32766</v>
      </c>
      <c r="AF1923" t="s">
        <v>74</v>
      </c>
      <c r="AG1923">
        <v>58</v>
      </c>
      <c r="AH1923">
        <v>0</v>
      </c>
      <c r="AI1923">
        <v>0</v>
      </c>
      <c r="AJ1923">
        <v>9</v>
      </c>
      <c r="AK1923">
        <v>9</v>
      </c>
      <c r="AL1923" t="s">
        <v>290</v>
      </c>
      <c r="AM1923" t="s">
        <v>291</v>
      </c>
      <c r="AN1923" t="s">
        <v>292</v>
      </c>
      <c r="AO1923" t="s">
        <v>30513</v>
      </c>
      <c r="AP1923" t="s">
        <v>30514</v>
      </c>
      <c r="AQ1923" t="s">
        <v>74</v>
      </c>
      <c r="AR1923" t="s">
        <v>30515</v>
      </c>
      <c r="AS1923" t="s">
        <v>30516</v>
      </c>
      <c r="AT1923" t="s">
        <v>696</v>
      </c>
      <c r="AU1923">
        <v>2024</v>
      </c>
      <c r="AV1923">
        <v>255</v>
      </c>
      <c r="AW1923" t="s">
        <v>74</v>
      </c>
      <c r="AX1923" t="s">
        <v>128</v>
      </c>
      <c r="AY1923" t="s">
        <v>74</v>
      </c>
      <c r="AZ1923" t="s">
        <v>74</v>
      </c>
      <c r="BA1923" t="s">
        <v>74</v>
      </c>
      <c r="BB1923" t="s">
        <v>74</v>
      </c>
      <c r="BC1923" t="s">
        <v>74</v>
      </c>
      <c r="BD1923">
        <v>124737</v>
      </c>
      <c r="BE1923" t="s">
        <v>32767</v>
      </c>
      <c r="BF1923" t="str">
        <f>HYPERLINK("http://dx.doi.org/10.1016/j.eswa.2024.124737","http://dx.doi.org/10.1016/j.eswa.2024.124737")</f>
        <v>http://dx.doi.org/10.1016/j.eswa.2024.124737</v>
      </c>
      <c r="BG1923" t="s">
        <v>74</v>
      </c>
      <c r="BH1923" t="s">
        <v>478</v>
      </c>
      <c r="BI1923">
        <v>12</v>
      </c>
      <c r="BJ1923" t="s">
        <v>30518</v>
      </c>
      <c r="BK1923" t="s">
        <v>209</v>
      </c>
      <c r="BL1923" t="s">
        <v>30519</v>
      </c>
      <c r="BM1923" t="s">
        <v>32768</v>
      </c>
      <c r="BN1923" t="s">
        <v>74</v>
      </c>
      <c r="BO1923" t="s">
        <v>2738</v>
      </c>
      <c r="BP1923" t="s">
        <v>74</v>
      </c>
      <c r="BQ1923" t="s">
        <v>74</v>
      </c>
      <c r="BR1923" t="s">
        <v>102</v>
      </c>
      <c r="BS1923" t="s">
        <v>32769</v>
      </c>
      <c r="BT1923" t="str">
        <f>HYPERLINK("https%3A%2F%2Fwww.webofscience.com%2Fwos%2Fwoscc%2Ffull-record%2FWOS:001274219800001","View Full Record in Web of Science")</f>
        <v>View Full Record in Web of Science</v>
      </c>
    </row>
    <row r="1924" spans="1:72" x14ac:dyDescent="0.35">
      <c r="A1924" t="s">
        <v>72</v>
      </c>
      <c r="B1924" t="s">
        <v>32770</v>
      </c>
      <c r="C1924" t="s">
        <v>74</v>
      </c>
      <c r="D1924" t="s">
        <v>74</v>
      </c>
      <c r="E1924" t="s">
        <v>74</v>
      </c>
      <c r="F1924" t="s">
        <v>32771</v>
      </c>
      <c r="G1924" t="s">
        <v>74</v>
      </c>
      <c r="H1924" t="s">
        <v>74</v>
      </c>
      <c r="I1924" t="s">
        <v>32772</v>
      </c>
      <c r="J1924" t="s">
        <v>19756</v>
      </c>
      <c r="K1924" t="s">
        <v>74</v>
      </c>
      <c r="L1924" t="s">
        <v>74</v>
      </c>
      <c r="M1924" t="s">
        <v>78</v>
      </c>
      <c r="N1924" t="s">
        <v>79</v>
      </c>
      <c r="O1924" t="s">
        <v>74</v>
      </c>
      <c r="P1924" t="s">
        <v>74</v>
      </c>
      <c r="Q1924" t="s">
        <v>74</v>
      </c>
      <c r="R1924" t="s">
        <v>74</v>
      </c>
      <c r="S1924" t="s">
        <v>74</v>
      </c>
      <c r="T1924" t="s">
        <v>32773</v>
      </c>
      <c r="U1924" t="s">
        <v>32774</v>
      </c>
      <c r="V1924" t="s">
        <v>32775</v>
      </c>
      <c r="W1924" t="s">
        <v>32776</v>
      </c>
      <c r="X1924" t="s">
        <v>32777</v>
      </c>
      <c r="Y1924" t="s">
        <v>32778</v>
      </c>
      <c r="Z1924" t="s">
        <v>32779</v>
      </c>
      <c r="AA1924" t="s">
        <v>74</v>
      </c>
      <c r="AB1924" t="s">
        <v>74</v>
      </c>
      <c r="AC1924" t="s">
        <v>74</v>
      </c>
      <c r="AD1924" t="s">
        <v>74</v>
      </c>
      <c r="AE1924" t="s">
        <v>74</v>
      </c>
      <c r="AF1924" t="s">
        <v>74</v>
      </c>
      <c r="AG1924">
        <v>70</v>
      </c>
      <c r="AH1924">
        <v>6</v>
      </c>
      <c r="AI1924">
        <v>6</v>
      </c>
      <c r="AJ1924">
        <v>1</v>
      </c>
      <c r="AK1924">
        <v>1</v>
      </c>
      <c r="AL1924" t="s">
        <v>88</v>
      </c>
      <c r="AM1924" t="s">
        <v>89</v>
      </c>
      <c r="AN1924" t="s">
        <v>90</v>
      </c>
      <c r="AO1924" t="s">
        <v>19765</v>
      </c>
      <c r="AP1924" t="s">
        <v>19766</v>
      </c>
      <c r="AQ1924" t="s">
        <v>74</v>
      </c>
      <c r="AR1924" t="s">
        <v>19767</v>
      </c>
      <c r="AS1924" t="s">
        <v>19768</v>
      </c>
      <c r="AT1924" t="s">
        <v>32780</v>
      </c>
      <c r="AU1924">
        <v>2024</v>
      </c>
      <c r="AV1924" t="s">
        <v>74</v>
      </c>
      <c r="AW1924" t="s">
        <v>74</v>
      </c>
      <c r="AX1924" t="s">
        <v>74</v>
      </c>
      <c r="AY1924" t="s">
        <v>74</v>
      </c>
      <c r="AZ1924" t="s">
        <v>74</v>
      </c>
      <c r="BA1924" t="s">
        <v>74</v>
      </c>
      <c r="BB1924" t="s">
        <v>74</v>
      </c>
      <c r="BC1924" t="s">
        <v>74</v>
      </c>
      <c r="BD1924" t="s">
        <v>74</v>
      </c>
      <c r="BE1924" t="s">
        <v>32781</v>
      </c>
      <c r="BF1924" t="str">
        <f>HYPERLINK("http://dx.doi.org/10.1080/10894160.2024.2334138","http://dx.doi.org/10.1080/10894160.2024.2334138")</f>
        <v>http://dx.doi.org/10.1080/10894160.2024.2334138</v>
      </c>
      <c r="BG1924" t="s">
        <v>74</v>
      </c>
      <c r="BH1924" t="s">
        <v>123</v>
      </c>
      <c r="BI1924">
        <v>20</v>
      </c>
      <c r="BJ1924" t="s">
        <v>98</v>
      </c>
      <c r="BK1924" t="s">
        <v>125</v>
      </c>
      <c r="BL1924" t="s">
        <v>100</v>
      </c>
      <c r="BM1924" t="s">
        <v>32782</v>
      </c>
      <c r="BN1924">
        <v>38566309</v>
      </c>
      <c r="BO1924" t="s">
        <v>74</v>
      </c>
      <c r="BP1924" t="s">
        <v>74</v>
      </c>
      <c r="BQ1924" t="s">
        <v>74</v>
      </c>
      <c r="BR1924" t="s">
        <v>102</v>
      </c>
      <c r="BS1924" t="s">
        <v>32783</v>
      </c>
      <c r="BT1924" t="str">
        <f>HYPERLINK("https%3A%2F%2Fwww.webofscience.com%2Fwos%2Fwoscc%2Ffull-record%2FWOS:001195687400001","View Full Record in Web of Science")</f>
        <v>View Full Record in Web of Science</v>
      </c>
    </row>
    <row r="1925" spans="1:72" x14ac:dyDescent="0.35">
      <c r="A1925" t="s">
        <v>72</v>
      </c>
      <c r="B1925" t="s">
        <v>32784</v>
      </c>
      <c r="C1925" t="s">
        <v>74</v>
      </c>
      <c r="D1925" t="s">
        <v>74</v>
      </c>
      <c r="E1925" t="s">
        <v>74</v>
      </c>
      <c r="F1925" t="s">
        <v>32785</v>
      </c>
      <c r="G1925" t="s">
        <v>74</v>
      </c>
      <c r="H1925" t="s">
        <v>74</v>
      </c>
      <c r="I1925" t="s">
        <v>32786</v>
      </c>
      <c r="J1925" t="s">
        <v>4426</v>
      </c>
      <c r="K1925" t="s">
        <v>74</v>
      </c>
      <c r="L1925" t="s">
        <v>74</v>
      </c>
      <c r="M1925" t="s">
        <v>78</v>
      </c>
      <c r="N1925" t="s">
        <v>108</v>
      </c>
      <c r="O1925" t="s">
        <v>74</v>
      </c>
      <c r="P1925" t="s">
        <v>74</v>
      </c>
      <c r="Q1925" t="s">
        <v>74</v>
      </c>
      <c r="R1925" t="s">
        <v>74</v>
      </c>
      <c r="S1925" t="s">
        <v>74</v>
      </c>
      <c r="T1925" t="s">
        <v>32787</v>
      </c>
      <c r="U1925" t="s">
        <v>32788</v>
      </c>
      <c r="V1925" t="s">
        <v>32789</v>
      </c>
      <c r="W1925" t="s">
        <v>32790</v>
      </c>
      <c r="X1925" t="s">
        <v>32791</v>
      </c>
      <c r="Y1925" t="s">
        <v>32792</v>
      </c>
      <c r="Z1925" t="s">
        <v>74</v>
      </c>
      <c r="AA1925" t="s">
        <v>74</v>
      </c>
      <c r="AB1925" t="s">
        <v>74</v>
      </c>
      <c r="AC1925" t="s">
        <v>32793</v>
      </c>
      <c r="AD1925" t="s">
        <v>32794</v>
      </c>
      <c r="AE1925" t="s">
        <v>32795</v>
      </c>
      <c r="AF1925" t="s">
        <v>74</v>
      </c>
      <c r="AG1925">
        <v>87</v>
      </c>
      <c r="AH1925">
        <v>0</v>
      </c>
      <c r="AI1925">
        <v>0</v>
      </c>
      <c r="AJ1925">
        <v>0</v>
      </c>
      <c r="AK1925">
        <v>0</v>
      </c>
      <c r="AL1925" t="s">
        <v>4434</v>
      </c>
      <c r="AM1925" t="s">
        <v>4435</v>
      </c>
      <c r="AN1925" t="s">
        <v>4436</v>
      </c>
      <c r="AO1925" t="s">
        <v>4437</v>
      </c>
      <c r="AP1925" t="s">
        <v>74</v>
      </c>
      <c r="AQ1925" t="s">
        <v>74</v>
      </c>
      <c r="AR1925" t="s">
        <v>4438</v>
      </c>
      <c r="AS1925" t="s">
        <v>4439</v>
      </c>
      <c r="AT1925" t="s">
        <v>74</v>
      </c>
      <c r="AU1925">
        <v>2024</v>
      </c>
      <c r="AV1925">
        <v>13</v>
      </c>
      <c r="AW1925">
        <v>4</v>
      </c>
      <c r="AX1925" t="s">
        <v>74</v>
      </c>
      <c r="AY1925" t="s">
        <v>74</v>
      </c>
      <c r="AZ1925" t="s">
        <v>74</v>
      </c>
      <c r="BA1925" t="s">
        <v>74</v>
      </c>
      <c r="BB1925" t="s">
        <v>74</v>
      </c>
      <c r="BC1925" t="s">
        <v>74</v>
      </c>
      <c r="BD1925">
        <v>1814</v>
      </c>
      <c r="BE1925" t="s">
        <v>32796</v>
      </c>
      <c r="BF1925" t="str">
        <f>HYPERLINK("http://dx.doi.org/10.14763/2024.4.1814","http://dx.doi.org/10.14763/2024.4.1814")</f>
        <v>http://dx.doi.org/10.14763/2024.4.1814</v>
      </c>
      <c r="BG1925" t="s">
        <v>74</v>
      </c>
      <c r="BH1925" t="s">
        <v>74</v>
      </c>
      <c r="BI1925">
        <v>32</v>
      </c>
      <c r="BJ1925" t="s">
        <v>4442</v>
      </c>
      <c r="BK1925" t="s">
        <v>125</v>
      </c>
      <c r="BL1925" t="s">
        <v>1529</v>
      </c>
      <c r="BM1925" t="s">
        <v>32797</v>
      </c>
      <c r="BN1925" t="s">
        <v>74</v>
      </c>
      <c r="BO1925" t="s">
        <v>5678</v>
      </c>
      <c r="BP1925" t="s">
        <v>74</v>
      </c>
      <c r="BQ1925" t="s">
        <v>74</v>
      </c>
      <c r="BR1925" t="s">
        <v>102</v>
      </c>
      <c r="BS1925" t="s">
        <v>32798</v>
      </c>
      <c r="BT1925" t="str">
        <f>HYPERLINK("https%3A%2F%2Fwww.webofscience.com%2Fwos%2Fwoscc%2Ffull-record%2FWOS:001357343000002","View Full Record in Web of Science")</f>
        <v>View Full Record in Web of Science</v>
      </c>
    </row>
    <row r="1926" spans="1:72" x14ac:dyDescent="0.35">
      <c r="A1926" t="s">
        <v>72</v>
      </c>
      <c r="B1926" t="s">
        <v>32799</v>
      </c>
      <c r="C1926" t="s">
        <v>74</v>
      </c>
      <c r="D1926" t="s">
        <v>74</v>
      </c>
      <c r="E1926" t="s">
        <v>74</v>
      </c>
      <c r="F1926" t="s">
        <v>32800</v>
      </c>
      <c r="G1926" t="s">
        <v>74</v>
      </c>
      <c r="H1926" t="s">
        <v>74</v>
      </c>
      <c r="I1926" t="s">
        <v>32801</v>
      </c>
      <c r="J1926" t="s">
        <v>32802</v>
      </c>
      <c r="K1926" t="s">
        <v>74</v>
      </c>
      <c r="L1926" t="s">
        <v>74</v>
      </c>
      <c r="M1926" t="s">
        <v>78</v>
      </c>
      <c r="N1926" t="s">
        <v>108</v>
      </c>
      <c r="O1926" t="s">
        <v>74</v>
      </c>
      <c r="P1926" t="s">
        <v>74</v>
      </c>
      <c r="Q1926" t="s">
        <v>74</v>
      </c>
      <c r="R1926" t="s">
        <v>74</v>
      </c>
      <c r="S1926" t="s">
        <v>74</v>
      </c>
      <c r="T1926" t="s">
        <v>32803</v>
      </c>
      <c r="U1926" t="s">
        <v>32804</v>
      </c>
      <c r="V1926" t="s">
        <v>32805</v>
      </c>
      <c r="W1926" t="s">
        <v>32806</v>
      </c>
      <c r="X1926" t="s">
        <v>32807</v>
      </c>
      <c r="Y1926" t="s">
        <v>32808</v>
      </c>
      <c r="Z1926" t="s">
        <v>29607</v>
      </c>
      <c r="AA1926" t="s">
        <v>32809</v>
      </c>
      <c r="AB1926" t="s">
        <v>32810</v>
      </c>
      <c r="AC1926" t="s">
        <v>32811</v>
      </c>
      <c r="AD1926" t="s">
        <v>32812</v>
      </c>
      <c r="AE1926" t="s">
        <v>32813</v>
      </c>
      <c r="AF1926" t="s">
        <v>74</v>
      </c>
      <c r="AG1926">
        <v>37</v>
      </c>
      <c r="AH1926">
        <v>8</v>
      </c>
      <c r="AI1926">
        <v>8</v>
      </c>
      <c r="AJ1926">
        <v>43</v>
      </c>
      <c r="AK1926">
        <v>93</v>
      </c>
      <c r="AL1926" t="s">
        <v>516</v>
      </c>
      <c r="AM1926" t="s">
        <v>517</v>
      </c>
      <c r="AN1926" t="s">
        <v>518</v>
      </c>
      <c r="AO1926" t="s">
        <v>32814</v>
      </c>
      <c r="AP1926" t="s">
        <v>74</v>
      </c>
      <c r="AQ1926" t="s">
        <v>74</v>
      </c>
      <c r="AR1926" t="s">
        <v>32815</v>
      </c>
      <c r="AS1926" t="s">
        <v>32816</v>
      </c>
      <c r="AT1926" t="s">
        <v>273</v>
      </c>
      <c r="AU1926">
        <v>2023</v>
      </c>
      <c r="AV1926">
        <v>93</v>
      </c>
      <c r="AW1926" t="s">
        <v>74</v>
      </c>
      <c r="AX1926" t="s">
        <v>74</v>
      </c>
      <c r="AY1926" t="s">
        <v>74</v>
      </c>
      <c r="AZ1926" t="s">
        <v>74</v>
      </c>
      <c r="BA1926" t="s">
        <v>74</v>
      </c>
      <c r="BB1926" t="s">
        <v>74</v>
      </c>
      <c r="BC1926" t="s">
        <v>74</v>
      </c>
      <c r="BD1926">
        <v>103780</v>
      </c>
      <c r="BE1926" t="s">
        <v>32817</v>
      </c>
      <c r="BF1926" t="str">
        <f>HYPERLINK("http://dx.doi.org/10.1016/j.ijdrr.2023.103780","http://dx.doi.org/10.1016/j.ijdrr.2023.103780")</f>
        <v>http://dx.doi.org/10.1016/j.ijdrr.2023.103780</v>
      </c>
      <c r="BG1926" t="s">
        <v>74</v>
      </c>
      <c r="BH1926" t="s">
        <v>1954</v>
      </c>
      <c r="BI1926">
        <v>15</v>
      </c>
      <c r="BJ1926" t="s">
        <v>32818</v>
      </c>
      <c r="BK1926" t="s">
        <v>209</v>
      </c>
      <c r="BL1926" t="s">
        <v>32819</v>
      </c>
      <c r="BM1926" t="s">
        <v>32820</v>
      </c>
      <c r="BN1926" t="s">
        <v>74</v>
      </c>
      <c r="BO1926" t="s">
        <v>74</v>
      </c>
      <c r="BP1926" t="s">
        <v>74</v>
      </c>
      <c r="BQ1926" t="s">
        <v>74</v>
      </c>
      <c r="BR1926" t="s">
        <v>102</v>
      </c>
      <c r="BS1926" t="s">
        <v>32821</v>
      </c>
      <c r="BT1926" t="str">
        <f>HYPERLINK("https%3A%2F%2Fwww.webofscience.com%2Fwos%2Fwoscc%2Ffull-record%2FWOS:001015626100001","View Full Record in Web of Science")</f>
        <v>View Full Record in Web of Science</v>
      </c>
    </row>
    <row r="1927" spans="1:72" x14ac:dyDescent="0.35">
      <c r="A1927" t="s">
        <v>72</v>
      </c>
      <c r="B1927" t="s">
        <v>32822</v>
      </c>
      <c r="C1927" t="s">
        <v>74</v>
      </c>
      <c r="D1927" t="s">
        <v>74</v>
      </c>
      <c r="E1927" t="s">
        <v>74</v>
      </c>
      <c r="F1927" t="s">
        <v>32823</v>
      </c>
      <c r="G1927" t="s">
        <v>74</v>
      </c>
      <c r="H1927" t="s">
        <v>74</v>
      </c>
      <c r="I1927" t="s">
        <v>32824</v>
      </c>
      <c r="J1927" t="s">
        <v>32825</v>
      </c>
      <c r="K1927" t="s">
        <v>74</v>
      </c>
      <c r="L1927" t="s">
        <v>74</v>
      </c>
      <c r="M1927" t="s">
        <v>3503</v>
      </c>
      <c r="N1927" t="s">
        <v>108</v>
      </c>
      <c r="O1927" t="s">
        <v>74</v>
      </c>
      <c r="P1927" t="s">
        <v>74</v>
      </c>
      <c r="Q1927" t="s">
        <v>74</v>
      </c>
      <c r="R1927" t="s">
        <v>74</v>
      </c>
      <c r="S1927" t="s">
        <v>74</v>
      </c>
      <c r="T1927" t="s">
        <v>32826</v>
      </c>
      <c r="U1927" t="s">
        <v>74</v>
      </c>
      <c r="V1927" t="s">
        <v>32827</v>
      </c>
      <c r="W1927" t="s">
        <v>32828</v>
      </c>
      <c r="X1927" t="s">
        <v>32829</v>
      </c>
      <c r="Y1927" t="s">
        <v>32830</v>
      </c>
      <c r="Z1927" t="s">
        <v>74</v>
      </c>
      <c r="AA1927" t="s">
        <v>32831</v>
      </c>
      <c r="AB1927" t="s">
        <v>74</v>
      </c>
      <c r="AC1927" t="s">
        <v>74</v>
      </c>
      <c r="AD1927" t="s">
        <v>74</v>
      </c>
      <c r="AE1927" t="s">
        <v>74</v>
      </c>
      <c r="AF1927" t="s">
        <v>74</v>
      </c>
      <c r="AG1927">
        <v>49</v>
      </c>
      <c r="AH1927">
        <v>0</v>
      </c>
      <c r="AI1927">
        <v>0</v>
      </c>
      <c r="AJ1927">
        <v>0</v>
      </c>
      <c r="AK1927">
        <v>4</v>
      </c>
      <c r="AL1927" t="s">
        <v>32832</v>
      </c>
      <c r="AM1927" t="s">
        <v>32833</v>
      </c>
      <c r="AN1927" t="s">
        <v>32834</v>
      </c>
      <c r="AO1927" t="s">
        <v>32835</v>
      </c>
      <c r="AP1927" t="s">
        <v>74</v>
      </c>
      <c r="AQ1927" t="s">
        <v>74</v>
      </c>
      <c r="AR1927" t="s">
        <v>32825</v>
      </c>
      <c r="AS1927" t="s">
        <v>32836</v>
      </c>
      <c r="AT1927" t="s">
        <v>74</v>
      </c>
      <c r="AU1927">
        <v>2022</v>
      </c>
      <c r="AV1927">
        <v>14</v>
      </c>
      <c r="AW1927">
        <v>2</v>
      </c>
      <c r="AX1927" t="s">
        <v>74</v>
      </c>
      <c r="AY1927" t="s">
        <v>74</v>
      </c>
      <c r="AZ1927" t="s">
        <v>74</v>
      </c>
      <c r="BA1927" t="s">
        <v>74</v>
      </c>
      <c r="BB1927">
        <v>23</v>
      </c>
      <c r="BC1927">
        <v>35</v>
      </c>
      <c r="BD1927" t="s">
        <v>74</v>
      </c>
      <c r="BE1927" t="s">
        <v>32837</v>
      </c>
      <c r="BF1927" t="str">
        <f>HYPERLINK("http://dx.doi.org/10.21814/lm.14.2.375","http://dx.doi.org/10.21814/lm.14.2.375")</f>
        <v>http://dx.doi.org/10.21814/lm.14.2.375</v>
      </c>
      <c r="BG1927" t="s">
        <v>74</v>
      </c>
      <c r="BH1927" t="s">
        <v>74</v>
      </c>
      <c r="BI1927">
        <v>13</v>
      </c>
      <c r="BJ1927" t="s">
        <v>3285</v>
      </c>
      <c r="BK1927" t="s">
        <v>125</v>
      </c>
      <c r="BL1927" t="s">
        <v>3285</v>
      </c>
      <c r="BM1927" t="s">
        <v>32838</v>
      </c>
      <c r="BN1927" t="s">
        <v>74</v>
      </c>
      <c r="BO1927" t="s">
        <v>5678</v>
      </c>
      <c r="BP1927" t="s">
        <v>74</v>
      </c>
      <c r="BQ1927" t="s">
        <v>74</v>
      </c>
      <c r="BR1927" t="s">
        <v>102</v>
      </c>
      <c r="BS1927" t="s">
        <v>32839</v>
      </c>
      <c r="BT1927" t="str">
        <f>HYPERLINK("https%3A%2F%2Fwww.webofscience.com%2Fwos%2Fwoscc%2Ffull-record%2FWOS:000926180300002","View Full Record in Web of Science")</f>
        <v>View Full Record in Web of Science</v>
      </c>
    </row>
    <row r="1928" spans="1:72" x14ac:dyDescent="0.35">
      <c r="A1928" t="s">
        <v>72</v>
      </c>
      <c r="B1928" t="s">
        <v>32840</v>
      </c>
      <c r="C1928" t="s">
        <v>74</v>
      </c>
      <c r="D1928" t="s">
        <v>74</v>
      </c>
      <c r="E1928" t="s">
        <v>74</v>
      </c>
      <c r="F1928" t="s">
        <v>32841</v>
      </c>
      <c r="G1928" t="s">
        <v>74</v>
      </c>
      <c r="H1928" t="s">
        <v>74</v>
      </c>
      <c r="I1928" t="s">
        <v>32842</v>
      </c>
      <c r="J1928" t="s">
        <v>32843</v>
      </c>
      <c r="K1928" t="s">
        <v>74</v>
      </c>
      <c r="L1928" t="s">
        <v>74</v>
      </c>
      <c r="M1928" t="s">
        <v>78</v>
      </c>
      <c r="N1928" t="s">
        <v>108</v>
      </c>
      <c r="O1928" t="s">
        <v>74</v>
      </c>
      <c r="P1928" t="s">
        <v>74</v>
      </c>
      <c r="Q1928" t="s">
        <v>74</v>
      </c>
      <c r="R1928" t="s">
        <v>74</v>
      </c>
      <c r="S1928" t="s">
        <v>74</v>
      </c>
      <c r="T1928" t="s">
        <v>32844</v>
      </c>
      <c r="U1928" t="s">
        <v>32845</v>
      </c>
      <c r="V1928" t="s">
        <v>32846</v>
      </c>
      <c r="W1928" t="s">
        <v>32847</v>
      </c>
      <c r="X1928" t="s">
        <v>32848</v>
      </c>
      <c r="Y1928" t="s">
        <v>32849</v>
      </c>
      <c r="Z1928" t="s">
        <v>32850</v>
      </c>
      <c r="AA1928" t="s">
        <v>32851</v>
      </c>
      <c r="AB1928" t="s">
        <v>32852</v>
      </c>
      <c r="AC1928" t="s">
        <v>32853</v>
      </c>
      <c r="AD1928" t="s">
        <v>32854</v>
      </c>
      <c r="AE1928" t="s">
        <v>32855</v>
      </c>
      <c r="AF1928" t="s">
        <v>74</v>
      </c>
      <c r="AG1928">
        <v>48</v>
      </c>
      <c r="AH1928">
        <v>20</v>
      </c>
      <c r="AI1928">
        <v>22</v>
      </c>
      <c r="AJ1928">
        <v>23</v>
      </c>
      <c r="AK1928">
        <v>175</v>
      </c>
      <c r="AL1928" t="s">
        <v>290</v>
      </c>
      <c r="AM1928" t="s">
        <v>291</v>
      </c>
      <c r="AN1928" t="s">
        <v>292</v>
      </c>
      <c r="AO1928" t="s">
        <v>32856</v>
      </c>
      <c r="AP1928" t="s">
        <v>32857</v>
      </c>
      <c r="AQ1928" t="s">
        <v>74</v>
      </c>
      <c r="AR1928" t="s">
        <v>32858</v>
      </c>
      <c r="AS1928" t="s">
        <v>32859</v>
      </c>
      <c r="AT1928" t="s">
        <v>594</v>
      </c>
      <c r="AU1928">
        <v>2021</v>
      </c>
      <c r="AV1928">
        <v>154</v>
      </c>
      <c r="AW1928" t="s">
        <v>74</v>
      </c>
      <c r="AX1928" t="s">
        <v>74</v>
      </c>
      <c r="AY1928" t="s">
        <v>74</v>
      </c>
      <c r="AZ1928" t="s">
        <v>74</v>
      </c>
      <c r="BA1928" t="s">
        <v>74</v>
      </c>
      <c r="BB1928" t="s">
        <v>74</v>
      </c>
      <c r="BC1928" t="s">
        <v>74</v>
      </c>
      <c r="BD1928">
        <v>102479</v>
      </c>
      <c r="BE1928" t="s">
        <v>32860</v>
      </c>
      <c r="BF1928" t="str">
        <f>HYPERLINK("http://dx.doi.org/10.1016/j.tre.2021.102479","http://dx.doi.org/10.1016/j.tre.2021.102479")</f>
        <v>http://dx.doi.org/10.1016/j.tre.2021.102479</v>
      </c>
      <c r="BG1928" t="s">
        <v>74</v>
      </c>
      <c r="BH1928" t="s">
        <v>2056</v>
      </c>
      <c r="BI1928">
        <v>20</v>
      </c>
      <c r="BJ1928" t="s">
        <v>32861</v>
      </c>
      <c r="BK1928" t="s">
        <v>182</v>
      </c>
      <c r="BL1928" t="s">
        <v>32862</v>
      </c>
      <c r="BM1928" t="s">
        <v>32863</v>
      </c>
      <c r="BN1928" t="s">
        <v>74</v>
      </c>
      <c r="BO1928" t="s">
        <v>74</v>
      </c>
      <c r="BP1928" t="s">
        <v>74</v>
      </c>
      <c r="BQ1928" t="s">
        <v>74</v>
      </c>
      <c r="BR1928" t="s">
        <v>102</v>
      </c>
      <c r="BS1928" t="s">
        <v>32864</v>
      </c>
      <c r="BT1928" t="str">
        <f>HYPERLINK("https%3A%2F%2Fwww.webofscience.com%2Fwos%2Fwoscc%2Ffull-record%2FWOS:000706190200002","View Full Record in Web of Science")</f>
        <v>View Full Record in Web of Science</v>
      </c>
    </row>
    <row r="1929" spans="1:72" x14ac:dyDescent="0.35">
      <c r="A1929" t="s">
        <v>128</v>
      </c>
      <c r="B1929" t="s">
        <v>32865</v>
      </c>
      <c r="C1929" t="s">
        <v>74</v>
      </c>
      <c r="D1929" t="s">
        <v>74</v>
      </c>
      <c r="E1929" t="s">
        <v>702</v>
      </c>
      <c r="F1929" t="s">
        <v>32866</v>
      </c>
      <c r="G1929" t="s">
        <v>74</v>
      </c>
      <c r="H1929" t="s">
        <v>74</v>
      </c>
      <c r="I1929" t="s">
        <v>32867</v>
      </c>
      <c r="J1929" t="s">
        <v>32868</v>
      </c>
      <c r="K1929" t="s">
        <v>74</v>
      </c>
      <c r="L1929" t="s">
        <v>74</v>
      </c>
      <c r="M1929" t="s">
        <v>78</v>
      </c>
      <c r="N1929" t="s">
        <v>135</v>
      </c>
      <c r="O1929" t="s">
        <v>32869</v>
      </c>
      <c r="P1929" t="s">
        <v>32870</v>
      </c>
      <c r="Q1929" t="s">
        <v>32871</v>
      </c>
      <c r="R1929" t="s">
        <v>1098</v>
      </c>
      <c r="S1929" t="s">
        <v>74</v>
      </c>
      <c r="T1929" t="s">
        <v>32872</v>
      </c>
      <c r="U1929" t="s">
        <v>74</v>
      </c>
      <c r="V1929" t="s">
        <v>32873</v>
      </c>
      <c r="W1929" t="s">
        <v>32874</v>
      </c>
      <c r="X1929" t="s">
        <v>32875</v>
      </c>
      <c r="Y1929" t="s">
        <v>32876</v>
      </c>
      <c r="Z1929" t="s">
        <v>32877</v>
      </c>
      <c r="AA1929" t="s">
        <v>32878</v>
      </c>
      <c r="AB1929" t="s">
        <v>32879</v>
      </c>
      <c r="AC1929" t="s">
        <v>32880</v>
      </c>
      <c r="AD1929" t="s">
        <v>32881</v>
      </c>
      <c r="AE1929" t="s">
        <v>32882</v>
      </c>
      <c r="AF1929" t="s">
        <v>74</v>
      </c>
      <c r="AG1929">
        <v>94</v>
      </c>
      <c r="AH1929">
        <v>0</v>
      </c>
      <c r="AI1929">
        <v>0</v>
      </c>
      <c r="AJ1929">
        <v>1</v>
      </c>
      <c r="AK1929">
        <v>1</v>
      </c>
      <c r="AL1929" t="s">
        <v>718</v>
      </c>
      <c r="AM1929" t="s">
        <v>666</v>
      </c>
      <c r="AN1929" t="s">
        <v>719</v>
      </c>
      <c r="AO1929" t="s">
        <v>74</v>
      </c>
      <c r="AP1929" t="s">
        <v>74</v>
      </c>
      <c r="AQ1929" t="s">
        <v>32883</v>
      </c>
      <c r="AR1929" t="s">
        <v>74</v>
      </c>
      <c r="AS1929" t="s">
        <v>74</v>
      </c>
      <c r="AT1929" t="s">
        <v>74</v>
      </c>
      <c r="AU1929">
        <v>2023</v>
      </c>
      <c r="AV1929" t="s">
        <v>74</v>
      </c>
      <c r="AW1929" t="s">
        <v>74</v>
      </c>
      <c r="AX1929" t="s">
        <v>74</v>
      </c>
      <c r="AY1929" t="s">
        <v>74</v>
      </c>
      <c r="AZ1929" t="s">
        <v>74</v>
      </c>
      <c r="BA1929" t="s">
        <v>74</v>
      </c>
      <c r="BB1929">
        <v>6410</v>
      </c>
      <c r="BC1929">
        <v>6419</v>
      </c>
      <c r="BD1929" t="s">
        <v>74</v>
      </c>
      <c r="BE1929" t="s">
        <v>32884</v>
      </c>
      <c r="BF1929" t="str">
        <f>HYPERLINK("http://dx.doi.org/10.1145/3581783.3612591","http://dx.doi.org/10.1145/3581783.3612591")</f>
        <v>http://dx.doi.org/10.1145/3581783.3612591</v>
      </c>
      <c r="BG1929" t="s">
        <v>74</v>
      </c>
      <c r="BH1929" t="s">
        <v>74</v>
      </c>
      <c r="BI1929">
        <v>10</v>
      </c>
      <c r="BJ1929" t="s">
        <v>2004</v>
      </c>
      <c r="BK1929" t="s">
        <v>723</v>
      </c>
      <c r="BL1929" t="s">
        <v>210</v>
      </c>
      <c r="BM1929" t="s">
        <v>32885</v>
      </c>
      <c r="BN1929" t="s">
        <v>74</v>
      </c>
      <c r="BO1929" t="s">
        <v>2738</v>
      </c>
      <c r="BP1929" t="s">
        <v>74</v>
      </c>
      <c r="BQ1929" t="s">
        <v>74</v>
      </c>
      <c r="BR1929" t="s">
        <v>102</v>
      </c>
      <c r="BS1929" t="s">
        <v>32886</v>
      </c>
      <c r="BT1929" t="str">
        <f>HYPERLINK("https%3A%2F%2Fwww.webofscience.com%2Fwos%2Fwoscc%2Ffull-record%2FWOS:001199449106044","View Full Record in Web of Science")</f>
        <v>View Full Record in Web of Science</v>
      </c>
    </row>
    <row r="1930" spans="1:72" x14ac:dyDescent="0.35">
      <c r="A1930" t="s">
        <v>72</v>
      </c>
      <c r="B1930" t="s">
        <v>32887</v>
      </c>
      <c r="C1930" t="s">
        <v>74</v>
      </c>
      <c r="D1930" t="s">
        <v>74</v>
      </c>
      <c r="E1930" t="s">
        <v>74</v>
      </c>
      <c r="F1930" t="s">
        <v>32888</v>
      </c>
      <c r="G1930" t="s">
        <v>74</v>
      </c>
      <c r="H1930" t="s">
        <v>74</v>
      </c>
      <c r="I1930" t="s">
        <v>32889</v>
      </c>
      <c r="J1930" t="s">
        <v>14157</v>
      </c>
      <c r="K1930" t="s">
        <v>74</v>
      </c>
      <c r="L1930" t="s">
        <v>74</v>
      </c>
      <c r="M1930" t="s">
        <v>78</v>
      </c>
      <c r="N1930" t="s">
        <v>108</v>
      </c>
      <c r="O1930" t="s">
        <v>74</v>
      </c>
      <c r="P1930" t="s">
        <v>74</v>
      </c>
      <c r="Q1930" t="s">
        <v>74</v>
      </c>
      <c r="R1930" t="s">
        <v>74</v>
      </c>
      <c r="S1930" t="s">
        <v>74</v>
      </c>
      <c r="T1930" t="s">
        <v>32890</v>
      </c>
      <c r="U1930" t="s">
        <v>32891</v>
      </c>
      <c r="V1930" t="s">
        <v>32892</v>
      </c>
      <c r="W1930" t="s">
        <v>32893</v>
      </c>
      <c r="X1930" t="s">
        <v>32894</v>
      </c>
      <c r="Y1930" t="s">
        <v>32895</v>
      </c>
      <c r="Z1930" t="s">
        <v>32896</v>
      </c>
      <c r="AA1930" t="s">
        <v>32897</v>
      </c>
      <c r="AB1930" t="s">
        <v>32898</v>
      </c>
      <c r="AC1930" t="s">
        <v>32899</v>
      </c>
      <c r="AD1930" t="s">
        <v>32900</v>
      </c>
      <c r="AE1930" t="s">
        <v>32901</v>
      </c>
      <c r="AF1930" t="s">
        <v>74</v>
      </c>
      <c r="AG1930">
        <v>52</v>
      </c>
      <c r="AH1930">
        <v>1</v>
      </c>
      <c r="AI1930">
        <v>1</v>
      </c>
      <c r="AJ1930">
        <v>8</v>
      </c>
      <c r="AK1930">
        <v>37</v>
      </c>
      <c r="AL1930" t="s">
        <v>1195</v>
      </c>
      <c r="AM1930" t="s">
        <v>1196</v>
      </c>
      <c r="AN1930" t="s">
        <v>1197</v>
      </c>
      <c r="AO1930" t="s">
        <v>74</v>
      </c>
      <c r="AP1930" t="s">
        <v>14169</v>
      </c>
      <c r="AQ1930" t="s">
        <v>74</v>
      </c>
      <c r="AR1930" t="s">
        <v>14170</v>
      </c>
      <c r="AS1930" t="s">
        <v>14171</v>
      </c>
      <c r="AT1930" t="s">
        <v>1275</v>
      </c>
      <c r="AU1930">
        <v>2022</v>
      </c>
      <c r="AV1930">
        <v>10</v>
      </c>
      <c r="AW1930">
        <v>6</v>
      </c>
      <c r="AX1930" t="s">
        <v>74</v>
      </c>
      <c r="AY1930" t="s">
        <v>74</v>
      </c>
      <c r="AZ1930" t="s">
        <v>74</v>
      </c>
      <c r="BA1930" t="s">
        <v>74</v>
      </c>
      <c r="BB1930" t="s">
        <v>74</v>
      </c>
      <c r="BC1930" t="s">
        <v>74</v>
      </c>
      <c r="BD1930">
        <v>198</v>
      </c>
      <c r="BE1930" t="s">
        <v>32902</v>
      </c>
      <c r="BF1930" t="str">
        <f>HYPERLINK("http://dx.doi.org/10.3390/systems10060198","http://dx.doi.org/10.3390/systems10060198")</f>
        <v>http://dx.doi.org/10.3390/systems10060198</v>
      </c>
      <c r="BG1930" t="s">
        <v>74</v>
      </c>
      <c r="BH1930" t="s">
        <v>74</v>
      </c>
      <c r="BI1930">
        <v>25</v>
      </c>
      <c r="BJ1930" t="s">
        <v>98</v>
      </c>
      <c r="BK1930" t="s">
        <v>99</v>
      </c>
      <c r="BL1930" t="s">
        <v>100</v>
      </c>
      <c r="BM1930" t="s">
        <v>32903</v>
      </c>
      <c r="BN1930" t="s">
        <v>74</v>
      </c>
      <c r="BO1930" t="s">
        <v>235</v>
      </c>
      <c r="BP1930" t="s">
        <v>74</v>
      </c>
      <c r="BQ1930" t="s">
        <v>74</v>
      </c>
      <c r="BR1930" t="s">
        <v>102</v>
      </c>
      <c r="BS1930" t="s">
        <v>32904</v>
      </c>
      <c r="BT1930" t="str">
        <f>HYPERLINK("https%3A%2F%2Fwww.webofscience.com%2Fwos%2Fwoscc%2Ffull-record%2FWOS:000902875400001","View Full Record in Web of Science")</f>
        <v>View Full Record in Web of Science</v>
      </c>
    </row>
    <row r="1931" spans="1:72" x14ac:dyDescent="0.35">
      <c r="A1931" t="s">
        <v>128</v>
      </c>
      <c r="B1931" t="s">
        <v>32905</v>
      </c>
      <c r="C1931" t="s">
        <v>74</v>
      </c>
      <c r="D1931" t="s">
        <v>74</v>
      </c>
      <c r="E1931" t="s">
        <v>702</v>
      </c>
      <c r="F1931" t="s">
        <v>32906</v>
      </c>
      <c r="G1931" t="s">
        <v>74</v>
      </c>
      <c r="H1931" t="s">
        <v>74</v>
      </c>
      <c r="I1931" t="s">
        <v>32907</v>
      </c>
      <c r="J1931" t="s">
        <v>32908</v>
      </c>
      <c r="K1931" t="s">
        <v>74</v>
      </c>
      <c r="L1931" t="s">
        <v>74</v>
      </c>
      <c r="M1931" t="s">
        <v>78</v>
      </c>
      <c r="N1931" t="s">
        <v>135</v>
      </c>
      <c r="O1931" t="s">
        <v>32909</v>
      </c>
      <c r="P1931" t="s">
        <v>32910</v>
      </c>
      <c r="Q1931" t="s">
        <v>32911</v>
      </c>
      <c r="R1931" t="s">
        <v>32912</v>
      </c>
      <c r="S1931" t="s">
        <v>74</v>
      </c>
      <c r="T1931" t="s">
        <v>32913</v>
      </c>
      <c r="U1931" t="s">
        <v>74</v>
      </c>
      <c r="V1931" t="s">
        <v>32914</v>
      </c>
      <c r="W1931" t="s">
        <v>32915</v>
      </c>
      <c r="X1931" t="s">
        <v>32916</v>
      </c>
      <c r="Y1931" t="s">
        <v>32917</v>
      </c>
      <c r="Z1931" t="s">
        <v>32918</v>
      </c>
      <c r="AA1931" t="s">
        <v>74</v>
      </c>
      <c r="AB1931" t="s">
        <v>32919</v>
      </c>
      <c r="AC1931" t="s">
        <v>32920</v>
      </c>
      <c r="AD1931" t="s">
        <v>32920</v>
      </c>
      <c r="AE1931" t="s">
        <v>32921</v>
      </c>
      <c r="AF1931" t="s">
        <v>74</v>
      </c>
      <c r="AG1931">
        <v>78</v>
      </c>
      <c r="AH1931">
        <v>3</v>
      </c>
      <c r="AI1931">
        <v>3</v>
      </c>
      <c r="AJ1931">
        <v>2</v>
      </c>
      <c r="AK1931">
        <v>7</v>
      </c>
      <c r="AL1931" t="s">
        <v>718</v>
      </c>
      <c r="AM1931" t="s">
        <v>666</v>
      </c>
      <c r="AN1931" t="s">
        <v>719</v>
      </c>
      <c r="AO1931" t="s">
        <v>74</v>
      </c>
      <c r="AP1931" t="s">
        <v>74</v>
      </c>
      <c r="AQ1931" t="s">
        <v>32922</v>
      </c>
      <c r="AR1931" t="s">
        <v>74</v>
      </c>
      <c r="AS1931" t="s">
        <v>74</v>
      </c>
      <c r="AT1931" t="s">
        <v>74</v>
      </c>
      <c r="AU1931">
        <v>2023</v>
      </c>
      <c r="AV1931" t="s">
        <v>74</v>
      </c>
      <c r="AW1931" t="s">
        <v>74</v>
      </c>
      <c r="AX1931" t="s">
        <v>74</v>
      </c>
      <c r="AY1931" t="s">
        <v>74</v>
      </c>
      <c r="AZ1931" t="s">
        <v>74</v>
      </c>
      <c r="BA1931" t="s">
        <v>74</v>
      </c>
      <c r="BB1931" t="s">
        <v>74</v>
      </c>
      <c r="BC1931" t="s">
        <v>74</v>
      </c>
      <c r="BD1931">
        <v>14</v>
      </c>
      <c r="BE1931" t="s">
        <v>32923</v>
      </c>
      <c r="BF1931" t="str">
        <f>HYPERLINK("http://dx.doi.org/10.1145/3611659.3615707","http://dx.doi.org/10.1145/3611659.3615707")</f>
        <v>http://dx.doi.org/10.1145/3611659.3615707</v>
      </c>
      <c r="BG1931" t="s">
        <v>74</v>
      </c>
      <c r="BH1931" t="s">
        <v>74</v>
      </c>
      <c r="BI1931">
        <v>14</v>
      </c>
      <c r="BJ1931" t="s">
        <v>32924</v>
      </c>
      <c r="BK1931" t="s">
        <v>723</v>
      </c>
      <c r="BL1931" t="s">
        <v>1113</v>
      </c>
      <c r="BM1931" t="s">
        <v>32925</v>
      </c>
      <c r="BN1931" t="s">
        <v>74</v>
      </c>
      <c r="BO1931" t="s">
        <v>6798</v>
      </c>
      <c r="BP1931" t="s">
        <v>74</v>
      </c>
      <c r="BQ1931" t="s">
        <v>74</v>
      </c>
      <c r="BR1931" t="s">
        <v>102</v>
      </c>
      <c r="BS1931" t="s">
        <v>32926</v>
      </c>
      <c r="BT1931" t="str">
        <f>HYPERLINK("https%3A%2F%2Fwww.webofscience.com%2Fwos%2Fwoscc%2Ffull-record%2FWOS:001125882900014","View Full Record in Web of Science")</f>
        <v>View Full Record in Web of Science</v>
      </c>
    </row>
    <row r="1932" spans="1:72" x14ac:dyDescent="0.35">
      <c r="A1932" t="s">
        <v>72</v>
      </c>
      <c r="B1932" t="s">
        <v>32927</v>
      </c>
      <c r="C1932" t="s">
        <v>74</v>
      </c>
      <c r="D1932" t="s">
        <v>74</v>
      </c>
      <c r="E1932" t="s">
        <v>74</v>
      </c>
      <c r="F1932" t="s">
        <v>32928</v>
      </c>
      <c r="G1932" t="s">
        <v>74</v>
      </c>
      <c r="H1932" t="s">
        <v>74</v>
      </c>
      <c r="I1932" t="s">
        <v>32929</v>
      </c>
      <c r="J1932" t="s">
        <v>280</v>
      </c>
      <c r="K1932" t="s">
        <v>74</v>
      </c>
      <c r="L1932" t="s">
        <v>74</v>
      </c>
      <c r="M1932" t="s">
        <v>78</v>
      </c>
      <c r="N1932" t="s">
        <v>108</v>
      </c>
      <c r="O1932" t="s">
        <v>74</v>
      </c>
      <c r="P1932" t="s">
        <v>74</v>
      </c>
      <c r="Q1932" t="s">
        <v>74</v>
      </c>
      <c r="R1932" t="s">
        <v>74</v>
      </c>
      <c r="S1932" t="s">
        <v>74</v>
      </c>
      <c r="T1932" t="s">
        <v>32930</v>
      </c>
      <c r="U1932" t="s">
        <v>32931</v>
      </c>
      <c r="V1932" t="s">
        <v>32932</v>
      </c>
      <c r="W1932" t="s">
        <v>32933</v>
      </c>
      <c r="X1932" t="s">
        <v>32934</v>
      </c>
      <c r="Y1932" t="s">
        <v>32935</v>
      </c>
      <c r="Z1932" t="s">
        <v>32936</v>
      </c>
      <c r="AA1932" t="s">
        <v>74</v>
      </c>
      <c r="AB1932" t="s">
        <v>32937</v>
      </c>
      <c r="AC1932" t="s">
        <v>32938</v>
      </c>
      <c r="AD1932" t="s">
        <v>32939</v>
      </c>
      <c r="AE1932" t="s">
        <v>32940</v>
      </c>
      <c r="AF1932" t="s">
        <v>74</v>
      </c>
      <c r="AG1932">
        <v>85</v>
      </c>
      <c r="AH1932">
        <v>30</v>
      </c>
      <c r="AI1932">
        <v>32</v>
      </c>
      <c r="AJ1932">
        <v>29</v>
      </c>
      <c r="AK1932">
        <v>319</v>
      </c>
      <c r="AL1932" t="s">
        <v>290</v>
      </c>
      <c r="AM1932" t="s">
        <v>291</v>
      </c>
      <c r="AN1932" t="s">
        <v>292</v>
      </c>
      <c r="AO1932" t="s">
        <v>293</v>
      </c>
      <c r="AP1932" t="s">
        <v>294</v>
      </c>
      <c r="AQ1932" t="s">
        <v>74</v>
      </c>
      <c r="AR1932" t="s">
        <v>295</v>
      </c>
      <c r="AS1932" t="s">
        <v>296</v>
      </c>
      <c r="AT1932" t="s">
        <v>178</v>
      </c>
      <c r="AU1932">
        <v>2022</v>
      </c>
      <c r="AV1932">
        <v>127</v>
      </c>
      <c r="AW1932" t="s">
        <v>74</v>
      </c>
      <c r="AX1932" t="s">
        <v>74</v>
      </c>
      <c r="AY1932" t="s">
        <v>74</v>
      </c>
      <c r="AZ1932" t="s">
        <v>74</v>
      </c>
      <c r="BA1932" t="s">
        <v>74</v>
      </c>
      <c r="BB1932" t="s">
        <v>74</v>
      </c>
      <c r="BC1932" t="s">
        <v>74</v>
      </c>
      <c r="BD1932">
        <v>107024</v>
      </c>
      <c r="BE1932" t="s">
        <v>32941</v>
      </c>
      <c r="BF1932" t="str">
        <f>HYPERLINK("http://dx.doi.org/10.1016/j.chb.2021.107024","http://dx.doi.org/10.1016/j.chb.2021.107024")</f>
        <v>http://dx.doi.org/10.1016/j.chb.2021.107024</v>
      </c>
      <c r="BG1932" t="s">
        <v>74</v>
      </c>
      <c r="BH1932" t="s">
        <v>2056</v>
      </c>
      <c r="BI1932">
        <v>10</v>
      </c>
      <c r="BJ1932" t="s">
        <v>300</v>
      </c>
      <c r="BK1932" t="s">
        <v>99</v>
      </c>
      <c r="BL1932" t="s">
        <v>301</v>
      </c>
      <c r="BM1932" t="s">
        <v>32942</v>
      </c>
      <c r="BN1932" t="s">
        <v>74</v>
      </c>
      <c r="BO1932" t="s">
        <v>74</v>
      </c>
      <c r="BP1932" t="s">
        <v>74</v>
      </c>
      <c r="BQ1932" t="s">
        <v>74</v>
      </c>
      <c r="BR1932" t="s">
        <v>102</v>
      </c>
      <c r="BS1932" t="s">
        <v>32943</v>
      </c>
      <c r="BT1932" t="str">
        <f>HYPERLINK("https%3A%2F%2Fwww.webofscience.com%2Fwos%2Fwoscc%2Ffull-record%2FWOS:000704407400003","View Full Record in Web of Science")</f>
        <v>View Full Record in Web of Science</v>
      </c>
    </row>
    <row r="1933" spans="1:72" x14ac:dyDescent="0.35">
      <c r="A1933" t="s">
        <v>128</v>
      </c>
      <c r="B1933" t="s">
        <v>32944</v>
      </c>
      <c r="C1933" t="s">
        <v>74</v>
      </c>
      <c r="D1933" t="s">
        <v>74</v>
      </c>
      <c r="E1933" t="s">
        <v>702</v>
      </c>
      <c r="F1933" t="s">
        <v>32945</v>
      </c>
      <c r="G1933" t="s">
        <v>74</v>
      </c>
      <c r="H1933" t="s">
        <v>74</v>
      </c>
      <c r="I1933" t="s">
        <v>32946</v>
      </c>
      <c r="J1933" t="s">
        <v>32947</v>
      </c>
      <c r="K1933" t="s">
        <v>74</v>
      </c>
      <c r="L1933" t="s">
        <v>74</v>
      </c>
      <c r="M1933" t="s">
        <v>78</v>
      </c>
      <c r="N1933" t="s">
        <v>135</v>
      </c>
      <c r="O1933" t="s">
        <v>32948</v>
      </c>
      <c r="P1933" t="s">
        <v>32949</v>
      </c>
      <c r="Q1933" t="s">
        <v>32950</v>
      </c>
      <c r="R1933" t="s">
        <v>32951</v>
      </c>
      <c r="S1933" t="s">
        <v>74</v>
      </c>
      <c r="T1933" t="s">
        <v>32952</v>
      </c>
      <c r="U1933" t="s">
        <v>74</v>
      </c>
      <c r="V1933" t="s">
        <v>32953</v>
      </c>
      <c r="W1933" t="s">
        <v>32954</v>
      </c>
      <c r="X1933" t="s">
        <v>4583</v>
      </c>
      <c r="Y1933" t="s">
        <v>32955</v>
      </c>
      <c r="Z1933" t="s">
        <v>32956</v>
      </c>
      <c r="AA1933" t="s">
        <v>32957</v>
      </c>
      <c r="AB1933" t="s">
        <v>32958</v>
      </c>
      <c r="AC1933" t="s">
        <v>32959</v>
      </c>
      <c r="AD1933" t="s">
        <v>32960</v>
      </c>
      <c r="AE1933" t="s">
        <v>32961</v>
      </c>
      <c r="AF1933" t="s">
        <v>74</v>
      </c>
      <c r="AG1933">
        <v>14</v>
      </c>
      <c r="AH1933">
        <v>3</v>
      </c>
      <c r="AI1933">
        <v>3</v>
      </c>
      <c r="AJ1933">
        <v>0</v>
      </c>
      <c r="AK1933">
        <v>1</v>
      </c>
      <c r="AL1933" t="s">
        <v>718</v>
      </c>
      <c r="AM1933" t="s">
        <v>666</v>
      </c>
      <c r="AN1933" t="s">
        <v>719</v>
      </c>
      <c r="AO1933" t="s">
        <v>74</v>
      </c>
      <c r="AP1933" t="s">
        <v>74</v>
      </c>
      <c r="AQ1933" t="s">
        <v>32962</v>
      </c>
      <c r="AR1933" t="s">
        <v>74</v>
      </c>
      <c r="AS1933" t="s">
        <v>74</v>
      </c>
      <c r="AT1933" t="s">
        <v>74</v>
      </c>
      <c r="AU1933">
        <v>2021</v>
      </c>
      <c r="AV1933" t="s">
        <v>74</v>
      </c>
      <c r="AW1933" t="s">
        <v>74</v>
      </c>
      <c r="AX1933" t="s">
        <v>74</v>
      </c>
      <c r="AY1933" t="s">
        <v>74</v>
      </c>
      <c r="AZ1933" t="s">
        <v>74</v>
      </c>
      <c r="BA1933" t="s">
        <v>74</v>
      </c>
      <c r="BB1933">
        <v>43</v>
      </c>
      <c r="BC1933">
        <v>49</v>
      </c>
      <c r="BD1933" t="s">
        <v>74</v>
      </c>
      <c r="BE1933" t="s">
        <v>32963</v>
      </c>
      <c r="BF1933" t="str">
        <f>HYPERLINK("http://dx.doi.org/10.1145/3458306.3460996","http://dx.doi.org/10.1145/3458306.3460996")</f>
        <v>http://dx.doi.org/10.1145/3458306.3460996</v>
      </c>
      <c r="BG1933" t="s">
        <v>74</v>
      </c>
      <c r="BH1933" t="s">
        <v>74</v>
      </c>
      <c r="BI1933">
        <v>7</v>
      </c>
      <c r="BJ1933" t="s">
        <v>32964</v>
      </c>
      <c r="BK1933" t="s">
        <v>723</v>
      </c>
      <c r="BL1933" t="s">
        <v>210</v>
      </c>
      <c r="BM1933" t="s">
        <v>32965</v>
      </c>
      <c r="BN1933" t="s">
        <v>74</v>
      </c>
      <c r="BO1933" t="s">
        <v>74</v>
      </c>
      <c r="BP1933" t="s">
        <v>74</v>
      </c>
      <c r="BQ1933" t="s">
        <v>74</v>
      </c>
      <c r="BR1933" t="s">
        <v>102</v>
      </c>
      <c r="BS1933" t="s">
        <v>32966</v>
      </c>
      <c r="BT1933" t="str">
        <f>HYPERLINK("https%3A%2F%2Fwww.webofscience.com%2Fwos%2Fwoscc%2Ffull-record%2FWOS:000748923900006","View Full Record in Web of Science")</f>
        <v>View Full Record in Web of Science</v>
      </c>
    </row>
    <row r="1934" spans="1:72" x14ac:dyDescent="0.35">
      <c r="A1934" t="s">
        <v>72</v>
      </c>
      <c r="B1934" t="s">
        <v>32967</v>
      </c>
      <c r="C1934" t="s">
        <v>74</v>
      </c>
      <c r="D1934" t="s">
        <v>74</v>
      </c>
      <c r="E1934" t="s">
        <v>74</v>
      </c>
      <c r="F1934" t="s">
        <v>32968</v>
      </c>
      <c r="G1934" t="s">
        <v>74</v>
      </c>
      <c r="H1934" t="s">
        <v>74</v>
      </c>
      <c r="I1934" t="s">
        <v>32969</v>
      </c>
      <c r="J1934" t="s">
        <v>32970</v>
      </c>
      <c r="K1934" t="s">
        <v>74</v>
      </c>
      <c r="L1934" t="s">
        <v>74</v>
      </c>
      <c r="M1934" t="s">
        <v>78</v>
      </c>
      <c r="N1934" t="s">
        <v>108</v>
      </c>
      <c r="O1934" t="s">
        <v>74</v>
      </c>
      <c r="P1934" t="s">
        <v>74</v>
      </c>
      <c r="Q1934" t="s">
        <v>74</v>
      </c>
      <c r="R1934" t="s">
        <v>74</v>
      </c>
      <c r="S1934" t="s">
        <v>74</v>
      </c>
      <c r="T1934" t="s">
        <v>32971</v>
      </c>
      <c r="U1934" t="s">
        <v>32972</v>
      </c>
      <c r="V1934" t="s">
        <v>32973</v>
      </c>
      <c r="W1934" t="s">
        <v>32974</v>
      </c>
      <c r="X1934" t="s">
        <v>32975</v>
      </c>
      <c r="Y1934" t="s">
        <v>32976</v>
      </c>
      <c r="Z1934" t="s">
        <v>32977</v>
      </c>
      <c r="AA1934" t="s">
        <v>32978</v>
      </c>
      <c r="AB1934" t="s">
        <v>32979</v>
      </c>
      <c r="AC1934" t="s">
        <v>74</v>
      </c>
      <c r="AD1934" t="s">
        <v>74</v>
      </c>
      <c r="AE1934" t="s">
        <v>74</v>
      </c>
      <c r="AF1934" t="s">
        <v>74</v>
      </c>
      <c r="AG1934">
        <v>81</v>
      </c>
      <c r="AH1934">
        <v>25</v>
      </c>
      <c r="AI1934">
        <v>25</v>
      </c>
      <c r="AJ1934">
        <v>36</v>
      </c>
      <c r="AK1934">
        <v>178</v>
      </c>
      <c r="AL1934" t="s">
        <v>199</v>
      </c>
      <c r="AM1934" t="s">
        <v>200</v>
      </c>
      <c r="AN1934" t="s">
        <v>471</v>
      </c>
      <c r="AO1934" t="s">
        <v>32980</v>
      </c>
      <c r="AP1934" t="s">
        <v>32981</v>
      </c>
      <c r="AQ1934" t="s">
        <v>74</v>
      </c>
      <c r="AR1934" t="s">
        <v>32982</v>
      </c>
      <c r="AS1934" t="s">
        <v>32983</v>
      </c>
      <c r="AT1934" t="s">
        <v>2323</v>
      </c>
      <c r="AU1934">
        <v>2024</v>
      </c>
      <c r="AV1934">
        <v>76</v>
      </c>
      <c r="AW1934">
        <v>1</v>
      </c>
      <c r="AX1934" t="s">
        <v>74</v>
      </c>
      <c r="AY1934" t="s">
        <v>74</v>
      </c>
      <c r="AZ1934" t="s">
        <v>74</v>
      </c>
      <c r="BA1934" t="s">
        <v>74</v>
      </c>
      <c r="BB1934">
        <v>86</v>
      </c>
      <c r="BC1934">
        <v>103</v>
      </c>
      <c r="BD1934" t="s">
        <v>74</v>
      </c>
      <c r="BE1934" t="s">
        <v>32984</v>
      </c>
      <c r="BF1934" t="str">
        <f>HYPERLINK("http://dx.doi.org/10.1108/AJIM-05-2022-0261","http://dx.doi.org/10.1108/AJIM-05-2022-0261")</f>
        <v>http://dx.doi.org/10.1108/AJIM-05-2022-0261</v>
      </c>
      <c r="BG1934" t="s">
        <v>74</v>
      </c>
      <c r="BH1934" t="s">
        <v>3638</v>
      </c>
      <c r="BI1934">
        <v>18</v>
      </c>
      <c r="BJ1934" t="s">
        <v>5995</v>
      </c>
      <c r="BK1934" t="s">
        <v>182</v>
      </c>
      <c r="BL1934" t="s">
        <v>5996</v>
      </c>
      <c r="BM1934" t="s">
        <v>32985</v>
      </c>
      <c r="BN1934" t="s">
        <v>74</v>
      </c>
      <c r="BO1934" t="s">
        <v>74</v>
      </c>
      <c r="BP1934" t="s">
        <v>74</v>
      </c>
      <c r="BQ1934" t="s">
        <v>74</v>
      </c>
      <c r="BR1934" t="s">
        <v>102</v>
      </c>
      <c r="BS1934" t="s">
        <v>32986</v>
      </c>
      <c r="BT1934" t="str">
        <f>HYPERLINK("https%3A%2F%2Fwww.webofscience.com%2Fwos%2Fwoscc%2Ffull-record%2FWOS:000911821000001","View Full Record in Web of Science")</f>
        <v>View Full Record in Web of Science</v>
      </c>
    </row>
    <row r="1935" spans="1:72" x14ac:dyDescent="0.35">
      <c r="A1935" t="s">
        <v>128</v>
      </c>
      <c r="B1935" t="s">
        <v>32987</v>
      </c>
      <c r="C1935" t="s">
        <v>74</v>
      </c>
      <c r="D1935" t="s">
        <v>74</v>
      </c>
      <c r="E1935" t="s">
        <v>1677</v>
      </c>
      <c r="F1935" t="s">
        <v>32988</v>
      </c>
      <c r="G1935" t="s">
        <v>74</v>
      </c>
      <c r="H1935" t="s">
        <v>74</v>
      </c>
      <c r="I1935" t="s">
        <v>32989</v>
      </c>
      <c r="J1935" t="s">
        <v>32990</v>
      </c>
      <c r="K1935" t="s">
        <v>32991</v>
      </c>
      <c r="L1935" t="s">
        <v>74</v>
      </c>
      <c r="M1935" t="s">
        <v>78</v>
      </c>
      <c r="N1935" t="s">
        <v>135</v>
      </c>
      <c r="O1935" t="s">
        <v>32992</v>
      </c>
      <c r="P1935" t="s">
        <v>32993</v>
      </c>
      <c r="Q1935" t="s">
        <v>138</v>
      </c>
      <c r="R1935" t="s">
        <v>1677</v>
      </c>
      <c r="S1935" t="s">
        <v>74</v>
      </c>
      <c r="T1935" t="s">
        <v>32994</v>
      </c>
      <c r="U1935" t="s">
        <v>32995</v>
      </c>
      <c r="V1935" t="s">
        <v>32996</v>
      </c>
      <c r="W1935" t="s">
        <v>32997</v>
      </c>
      <c r="X1935" t="s">
        <v>74</v>
      </c>
      <c r="Y1935" t="s">
        <v>32998</v>
      </c>
      <c r="Z1935" t="s">
        <v>32999</v>
      </c>
      <c r="AA1935" t="s">
        <v>33000</v>
      </c>
      <c r="AB1935" t="s">
        <v>74</v>
      </c>
      <c r="AC1935" t="s">
        <v>74</v>
      </c>
      <c r="AD1935" t="s">
        <v>74</v>
      </c>
      <c r="AE1935" t="s">
        <v>74</v>
      </c>
      <c r="AF1935" t="s">
        <v>74</v>
      </c>
      <c r="AG1935">
        <v>30</v>
      </c>
      <c r="AH1935">
        <v>0</v>
      </c>
      <c r="AI1935">
        <v>0</v>
      </c>
      <c r="AJ1935">
        <v>0</v>
      </c>
      <c r="AK1935">
        <v>4</v>
      </c>
      <c r="AL1935" t="s">
        <v>758</v>
      </c>
      <c r="AM1935" t="s">
        <v>759</v>
      </c>
      <c r="AN1935" t="s">
        <v>2146</v>
      </c>
      <c r="AO1935" t="s">
        <v>33001</v>
      </c>
      <c r="AP1935" t="s">
        <v>74</v>
      </c>
      <c r="AQ1935" t="s">
        <v>33002</v>
      </c>
      <c r="AR1935" t="s">
        <v>33003</v>
      </c>
      <c r="AS1935" t="s">
        <v>74</v>
      </c>
      <c r="AT1935" t="s">
        <v>74</v>
      </c>
      <c r="AU1935">
        <v>2021</v>
      </c>
      <c r="AV1935" t="s">
        <v>74</v>
      </c>
      <c r="AW1935" t="s">
        <v>74</v>
      </c>
      <c r="AX1935" t="s">
        <v>74</v>
      </c>
      <c r="AY1935" t="s">
        <v>74</v>
      </c>
      <c r="AZ1935" t="s">
        <v>74</v>
      </c>
      <c r="BA1935" t="s">
        <v>74</v>
      </c>
      <c r="BB1935">
        <v>2571</v>
      </c>
      <c r="BC1935">
        <v>2582</v>
      </c>
      <c r="BD1935" t="s">
        <v>74</v>
      </c>
      <c r="BE1935" t="s">
        <v>33004</v>
      </c>
      <c r="BF1935" t="str">
        <f>HYPERLINK("http://dx.doi.org/10.1109/ICDE51399.2021.00288","http://dx.doi.org/10.1109/ICDE51399.2021.00288")</f>
        <v>http://dx.doi.org/10.1109/ICDE51399.2021.00288</v>
      </c>
      <c r="BG1935" t="s">
        <v>74</v>
      </c>
      <c r="BH1935" t="s">
        <v>74</v>
      </c>
      <c r="BI1935">
        <v>12</v>
      </c>
      <c r="BJ1935" t="s">
        <v>5399</v>
      </c>
      <c r="BK1935" t="s">
        <v>723</v>
      </c>
      <c r="BL1935" t="s">
        <v>210</v>
      </c>
      <c r="BM1935" t="s">
        <v>33005</v>
      </c>
      <c r="BN1935" t="s">
        <v>74</v>
      </c>
      <c r="BO1935" t="s">
        <v>74</v>
      </c>
      <c r="BP1935" t="s">
        <v>74</v>
      </c>
      <c r="BQ1935" t="s">
        <v>74</v>
      </c>
      <c r="BR1935" t="s">
        <v>102</v>
      </c>
      <c r="BS1935" t="s">
        <v>33006</v>
      </c>
      <c r="BT1935" t="str">
        <f>HYPERLINK("https%3A%2F%2Fwww.webofscience.com%2Fwos%2Fwoscc%2Ffull-record%2FWOS:000687830800280","View Full Record in Web of Science")</f>
        <v>View Full Record in Web of Science</v>
      </c>
    </row>
    <row r="1936" spans="1:72" x14ac:dyDescent="0.35">
      <c r="A1936" t="s">
        <v>72</v>
      </c>
      <c r="B1936" t="s">
        <v>33007</v>
      </c>
      <c r="C1936" t="s">
        <v>74</v>
      </c>
      <c r="D1936" t="s">
        <v>74</v>
      </c>
      <c r="E1936" t="s">
        <v>74</v>
      </c>
      <c r="F1936" t="s">
        <v>33008</v>
      </c>
      <c r="G1936" t="s">
        <v>74</v>
      </c>
      <c r="H1936" t="s">
        <v>74</v>
      </c>
      <c r="I1936" t="s">
        <v>33009</v>
      </c>
      <c r="J1936" t="s">
        <v>2814</v>
      </c>
      <c r="K1936" t="s">
        <v>74</v>
      </c>
      <c r="L1936" t="s">
        <v>74</v>
      </c>
      <c r="M1936" t="s">
        <v>78</v>
      </c>
      <c r="N1936" t="s">
        <v>108</v>
      </c>
      <c r="O1936" t="s">
        <v>74</v>
      </c>
      <c r="P1936" t="s">
        <v>74</v>
      </c>
      <c r="Q1936" t="s">
        <v>74</v>
      </c>
      <c r="R1936" t="s">
        <v>74</v>
      </c>
      <c r="S1936" t="s">
        <v>74</v>
      </c>
      <c r="T1936" t="s">
        <v>33010</v>
      </c>
      <c r="U1936" t="s">
        <v>33011</v>
      </c>
      <c r="V1936" t="s">
        <v>33012</v>
      </c>
      <c r="W1936" t="s">
        <v>33013</v>
      </c>
      <c r="X1936" t="s">
        <v>33014</v>
      </c>
      <c r="Y1936" t="s">
        <v>33015</v>
      </c>
      <c r="Z1936" t="s">
        <v>33016</v>
      </c>
      <c r="AA1936" t="s">
        <v>33017</v>
      </c>
      <c r="AB1936" t="s">
        <v>33018</v>
      </c>
      <c r="AC1936" t="s">
        <v>74</v>
      </c>
      <c r="AD1936" t="s">
        <v>74</v>
      </c>
      <c r="AE1936" t="s">
        <v>74</v>
      </c>
      <c r="AF1936" t="s">
        <v>74</v>
      </c>
      <c r="AG1936">
        <v>61</v>
      </c>
      <c r="AH1936">
        <v>0</v>
      </c>
      <c r="AI1936">
        <v>0</v>
      </c>
      <c r="AJ1936">
        <v>9</v>
      </c>
      <c r="AK1936">
        <v>9</v>
      </c>
      <c r="AL1936" t="s">
        <v>543</v>
      </c>
      <c r="AM1936" t="s">
        <v>544</v>
      </c>
      <c r="AN1936" t="s">
        <v>545</v>
      </c>
      <c r="AO1936" t="s">
        <v>2821</v>
      </c>
      <c r="AP1936" t="s">
        <v>74</v>
      </c>
      <c r="AQ1936" t="s">
        <v>74</v>
      </c>
      <c r="AR1936" t="s">
        <v>2822</v>
      </c>
      <c r="AS1936" t="s">
        <v>2823</v>
      </c>
      <c r="AT1936" t="s">
        <v>18810</v>
      </c>
      <c r="AU1936">
        <v>2024</v>
      </c>
      <c r="AV1936">
        <v>26</v>
      </c>
      <c r="AW1936" t="s">
        <v>74</v>
      </c>
      <c r="AX1936" t="s">
        <v>74</v>
      </c>
      <c r="AY1936" t="s">
        <v>74</v>
      </c>
      <c r="AZ1936" t="s">
        <v>74</v>
      </c>
      <c r="BA1936" t="s">
        <v>74</v>
      </c>
      <c r="BB1936" t="s">
        <v>74</v>
      </c>
      <c r="BC1936" t="s">
        <v>74</v>
      </c>
      <c r="BD1936" t="s">
        <v>33019</v>
      </c>
      <c r="BE1936" t="s">
        <v>33020</v>
      </c>
      <c r="BF1936" t="str">
        <f>HYPERLINK("http://dx.doi.org/10.2196/49600","http://dx.doi.org/10.2196/49600")</f>
        <v>http://dx.doi.org/10.2196/49600</v>
      </c>
      <c r="BG1936" t="s">
        <v>74</v>
      </c>
      <c r="BH1936" t="s">
        <v>74</v>
      </c>
      <c r="BI1936">
        <v>12</v>
      </c>
      <c r="BJ1936" t="s">
        <v>550</v>
      </c>
      <c r="BK1936" t="s">
        <v>209</v>
      </c>
      <c r="BL1936" t="s">
        <v>550</v>
      </c>
      <c r="BM1936" t="s">
        <v>33021</v>
      </c>
      <c r="BN1936">
        <v>39146532</v>
      </c>
      <c r="BO1936" t="s">
        <v>235</v>
      </c>
      <c r="BP1936" t="s">
        <v>74</v>
      </c>
      <c r="BQ1936" t="s">
        <v>74</v>
      </c>
      <c r="BR1936" t="s">
        <v>102</v>
      </c>
      <c r="BS1936" t="s">
        <v>33022</v>
      </c>
      <c r="BT1936" t="str">
        <f>HYPERLINK("https%3A%2F%2Fwww.webofscience.com%2Fwos%2Fwoscc%2Ffull-record%2FWOS:001303020400002","View Full Record in Web of Science")</f>
        <v>View Full Record in Web of Science</v>
      </c>
    </row>
    <row r="1937" spans="1:72" x14ac:dyDescent="0.35">
      <c r="A1937" t="s">
        <v>72</v>
      </c>
      <c r="B1937" t="s">
        <v>33023</v>
      </c>
      <c r="C1937" t="s">
        <v>74</v>
      </c>
      <c r="D1937" t="s">
        <v>74</v>
      </c>
      <c r="E1937" t="s">
        <v>74</v>
      </c>
      <c r="F1937" t="s">
        <v>33024</v>
      </c>
      <c r="G1937" t="s">
        <v>74</v>
      </c>
      <c r="H1937" t="s">
        <v>74</v>
      </c>
      <c r="I1937" t="s">
        <v>33025</v>
      </c>
      <c r="J1937" t="s">
        <v>33026</v>
      </c>
      <c r="K1937" t="s">
        <v>74</v>
      </c>
      <c r="L1937" t="s">
        <v>74</v>
      </c>
      <c r="M1937" t="s">
        <v>3503</v>
      </c>
      <c r="N1937" t="s">
        <v>108</v>
      </c>
      <c r="O1937" t="s">
        <v>74</v>
      </c>
      <c r="P1937" t="s">
        <v>74</v>
      </c>
      <c r="Q1937" t="s">
        <v>74</v>
      </c>
      <c r="R1937" t="s">
        <v>74</v>
      </c>
      <c r="S1937" t="s">
        <v>74</v>
      </c>
      <c r="T1937" t="s">
        <v>33027</v>
      </c>
      <c r="U1937" t="s">
        <v>74</v>
      </c>
      <c r="V1937" t="s">
        <v>33028</v>
      </c>
      <c r="W1937" t="s">
        <v>33029</v>
      </c>
      <c r="X1937" t="s">
        <v>7254</v>
      </c>
      <c r="Y1937" t="s">
        <v>33030</v>
      </c>
      <c r="Z1937" t="s">
        <v>33031</v>
      </c>
      <c r="AA1937" t="s">
        <v>74</v>
      </c>
      <c r="AB1937" t="s">
        <v>74</v>
      </c>
      <c r="AC1937" t="s">
        <v>74</v>
      </c>
      <c r="AD1937" t="s">
        <v>74</v>
      </c>
      <c r="AE1937" t="s">
        <v>74</v>
      </c>
      <c r="AF1937" t="s">
        <v>74</v>
      </c>
      <c r="AG1937">
        <v>42</v>
      </c>
      <c r="AH1937">
        <v>0</v>
      </c>
      <c r="AI1937">
        <v>0</v>
      </c>
      <c r="AJ1937">
        <v>3</v>
      </c>
      <c r="AK1937">
        <v>5</v>
      </c>
      <c r="AL1937" t="s">
        <v>33032</v>
      </c>
      <c r="AM1937" t="s">
        <v>15719</v>
      </c>
      <c r="AN1937" t="s">
        <v>33033</v>
      </c>
      <c r="AO1937" t="s">
        <v>33034</v>
      </c>
      <c r="AP1937" t="s">
        <v>74</v>
      </c>
      <c r="AQ1937" t="s">
        <v>74</v>
      </c>
      <c r="AR1937" t="s">
        <v>33035</v>
      </c>
      <c r="AS1937" t="s">
        <v>33036</v>
      </c>
      <c r="AT1937" t="s">
        <v>8762</v>
      </c>
      <c r="AU1937">
        <v>2022</v>
      </c>
      <c r="AV1937">
        <v>12</v>
      </c>
      <c r="AW1937">
        <v>24</v>
      </c>
      <c r="AX1937" t="s">
        <v>74</v>
      </c>
      <c r="AY1937" t="s">
        <v>74</v>
      </c>
      <c r="AZ1937" t="s">
        <v>74</v>
      </c>
      <c r="BA1937" t="s">
        <v>74</v>
      </c>
      <c r="BB1937">
        <v>153</v>
      </c>
      <c r="BC1937">
        <v>176</v>
      </c>
      <c r="BD1937" t="s">
        <v>74</v>
      </c>
      <c r="BE1937" t="s">
        <v>33037</v>
      </c>
      <c r="BF1937" t="str">
        <f>HYPERLINK("http://dx.doi.org/10.5783/revrrpp.v12i24.770","http://dx.doi.org/10.5783/revrrpp.v12i24.770")</f>
        <v>http://dx.doi.org/10.5783/revrrpp.v12i24.770</v>
      </c>
      <c r="BG1937" t="s">
        <v>74</v>
      </c>
      <c r="BH1937" t="s">
        <v>74</v>
      </c>
      <c r="BI1937">
        <v>24</v>
      </c>
      <c r="BJ1937" t="s">
        <v>124</v>
      </c>
      <c r="BK1937" t="s">
        <v>125</v>
      </c>
      <c r="BL1937" t="s">
        <v>124</v>
      </c>
      <c r="BM1937" t="s">
        <v>33038</v>
      </c>
      <c r="BN1937" t="s">
        <v>74</v>
      </c>
      <c r="BO1937" t="s">
        <v>5678</v>
      </c>
      <c r="BP1937" t="s">
        <v>74</v>
      </c>
      <c r="BQ1937" t="s">
        <v>74</v>
      </c>
      <c r="BR1937" t="s">
        <v>102</v>
      </c>
      <c r="BS1937" t="s">
        <v>33039</v>
      </c>
      <c r="BT1937" t="str">
        <f>HYPERLINK("https%3A%2F%2Fwww.webofscience.com%2Fwos%2Fwoscc%2Ffull-record%2FWOS:001090687200009","View Full Record in Web of Science")</f>
        <v>View Full Record in Web of Science</v>
      </c>
    </row>
    <row r="1938" spans="1:72" x14ac:dyDescent="0.35">
      <c r="A1938" t="s">
        <v>72</v>
      </c>
      <c r="B1938" t="s">
        <v>33040</v>
      </c>
      <c r="C1938" t="s">
        <v>74</v>
      </c>
      <c r="D1938" t="s">
        <v>74</v>
      </c>
      <c r="E1938" t="s">
        <v>74</v>
      </c>
      <c r="F1938" t="s">
        <v>33041</v>
      </c>
      <c r="G1938" t="s">
        <v>74</v>
      </c>
      <c r="H1938" t="s">
        <v>74</v>
      </c>
      <c r="I1938" t="s">
        <v>33042</v>
      </c>
      <c r="J1938" t="s">
        <v>216</v>
      </c>
      <c r="K1938" t="s">
        <v>74</v>
      </c>
      <c r="L1938" t="s">
        <v>74</v>
      </c>
      <c r="M1938" t="s">
        <v>78</v>
      </c>
      <c r="N1938" t="s">
        <v>108</v>
      </c>
      <c r="O1938" t="s">
        <v>74</v>
      </c>
      <c r="P1938" t="s">
        <v>74</v>
      </c>
      <c r="Q1938" t="s">
        <v>74</v>
      </c>
      <c r="R1938" t="s">
        <v>74</v>
      </c>
      <c r="S1938" t="s">
        <v>74</v>
      </c>
      <c r="T1938" t="s">
        <v>33043</v>
      </c>
      <c r="U1938" t="s">
        <v>74</v>
      </c>
      <c r="V1938" t="s">
        <v>33044</v>
      </c>
      <c r="W1938" t="s">
        <v>33045</v>
      </c>
      <c r="X1938" t="s">
        <v>33046</v>
      </c>
      <c r="Y1938" t="s">
        <v>33047</v>
      </c>
      <c r="Z1938" t="s">
        <v>33048</v>
      </c>
      <c r="AA1938" t="s">
        <v>74</v>
      </c>
      <c r="AB1938" t="s">
        <v>33049</v>
      </c>
      <c r="AC1938" t="s">
        <v>74</v>
      </c>
      <c r="AD1938" t="s">
        <v>74</v>
      </c>
      <c r="AE1938" t="s">
        <v>74</v>
      </c>
      <c r="AF1938" t="s">
        <v>74</v>
      </c>
      <c r="AG1938">
        <v>64</v>
      </c>
      <c r="AH1938">
        <v>1</v>
      </c>
      <c r="AI1938">
        <v>1</v>
      </c>
      <c r="AJ1938">
        <v>8</v>
      </c>
      <c r="AK1938">
        <v>11</v>
      </c>
      <c r="AL1938" t="s">
        <v>226</v>
      </c>
      <c r="AM1938" t="s">
        <v>227</v>
      </c>
      <c r="AN1938" t="s">
        <v>228</v>
      </c>
      <c r="AO1938" t="s">
        <v>229</v>
      </c>
      <c r="AP1938" t="s">
        <v>74</v>
      </c>
      <c r="AQ1938" t="s">
        <v>74</v>
      </c>
      <c r="AR1938" t="s">
        <v>230</v>
      </c>
      <c r="AS1938" t="s">
        <v>231</v>
      </c>
      <c r="AT1938" t="s">
        <v>232</v>
      </c>
      <c r="AU1938">
        <v>2024</v>
      </c>
      <c r="AV1938">
        <v>10</v>
      </c>
      <c r="AW1938">
        <v>1</v>
      </c>
      <c r="AX1938" t="s">
        <v>74</v>
      </c>
      <c r="AY1938" t="s">
        <v>74</v>
      </c>
      <c r="AZ1938" t="s">
        <v>74</v>
      </c>
      <c r="BA1938" t="s">
        <v>74</v>
      </c>
      <c r="BB1938" t="s">
        <v>74</v>
      </c>
      <c r="BC1938" t="s">
        <v>74</v>
      </c>
      <c r="BD1938">
        <v>2.0563051231224272E+16</v>
      </c>
      <c r="BE1938" t="s">
        <v>33050</v>
      </c>
      <c r="BF1938" t="str">
        <f>HYPERLINK("http://dx.doi.org/10.1177/20563051231224270","http://dx.doi.org/10.1177/20563051231224270")</f>
        <v>http://dx.doi.org/10.1177/20563051231224270</v>
      </c>
      <c r="BG1938" t="s">
        <v>74</v>
      </c>
      <c r="BH1938" t="s">
        <v>74</v>
      </c>
      <c r="BI1938">
        <v>10</v>
      </c>
      <c r="BJ1938" t="s">
        <v>124</v>
      </c>
      <c r="BK1938" t="s">
        <v>99</v>
      </c>
      <c r="BL1938" t="s">
        <v>124</v>
      </c>
      <c r="BM1938" t="s">
        <v>33051</v>
      </c>
      <c r="BN1938" t="s">
        <v>74</v>
      </c>
      <c r="BO1938" t="s">
        <v>235</v>
      </c>
      <c r="BP1938" t="s">
        <v>74</v>
      </c>
      <c r="BQ1938" t="s">
        <v>74</v>
      </c>
      <c r="BR1938" t="s">
        <v>102</v>
      </c>
      <c r="BS1938" t="s">
        <v>33052</v>
      </c>
      <c r="BT1938" t="str">
        <f>HYPERLINK("https%3A%2F%2Fwww.webofscience.com%2Fwos%2Fwoscc%2Ffull-record%2FWOS:001150417500001","View Full Record in Web of Science")</f>
        <v>View Full Record in Web of Science</v>
      </c>
    </row>
    <row r="1939" spans="1:72" x14ac:dyDescent="0.35">
      <c r="A1939" t="s">
        <v>72</v>
      </c>
      <c r="B1939" t="s">
        <v>33053</v>
      </c>
      <c r="C1939" t="s">
        <v>74</v>
      </c>
      <c r="D1939" t="s">
        <v>74</v>
      </c>
      <c r="E1939" t="s">
        <v>74</v>
      </c>
      <c r="F1939" t="s">
        <v>33054</v>
      </c>
      <c r="G1939" t="s">
        <v>74</v>
      </c>
      <c r="H1939" t="s">
        <v>74</v>
      </c>
      <c r="I1939" t="s">
        <v>33055</v>
      </c>
      <c r="J1939" t="s">
        <v>33056</v>
      </c>
      <c r="K1939" t="s">
        <v>74</v>
      </c>
      <c r="L1939" t="s">
        <v>74</v>
      </c>
      <c r="M1939" t="s">
        <v>33057</v>
      </c>
      <c r="N1939" t="s">
        <v>108</v>
      </c>
      <c r="O1939" t="s">
        <v>74</v>
      </c>
      <c r="P1939" t="s">
        <v>74</v>
      </c>
      <c r="Q1939" t="s">
        <v>74</v>
      </c>
      <c r="R1939" t="s">
        <v>74</v>
      </c>
      <c r="S1939" t="s">
        <v>74</v>
      </c>
      <c r="T1939" t="s">
        <v>33058</v>
      </c>
      <c r="U1939" t="s">
        <v>33059</v>
      </c>
      <c r="V1939" t="s">
        <v>33060</v>
      </c>
      <c r="W1939" t="s">
        <v>33061</v>
      </c>
      <c r="X1939" t="s">
        <v>33062</v>
      </c>
      <c r="Y1939" t="s">
        <v>33063</v>
      </c>
      <c r="Z1939" t="s">
        <v>33064</v>
      </c>
      <c r="AA1939" t="s">
        <v>74</v>
      </c>
      <c r="AB1939" t="s">
        <v>74</v>
      </c>
      <c r="AC1939" t="s">
        <v>74</v>
      </c>
      <c r="AD1939" t="s">
        <v>74</v>
      </c>
      <c r="AE1939" t="s">
        <v>74</v>
      </c>
      <c r="AF1939" t="s">
        <v>74</v>
      </c>
      <c r="AG1939">
        <v>30</v>
      </c>
      <c r="AH1939">
        <v>0</v>
      </c>
      <c r="AI1939">
        <v>0</v>
      </c>
      <c r="AJ1939">
        <v>3</v>
      </c>
      <c r="AK1939">
        <v>3</v>
      </c>
      <c r="AL1939" t="s">
        <v>33065</v>
      </c>
      <c r="AM1939" t="s">
        <v>12103</v>
      </c>
      <c r="AN1939" t="s">
        <v>33066</v>
      </c>
      <c r="AO1939" t="s">
        <v>33067</v>
      </c>
      <c r="AP1939" t="s">
        <v>33068</v>
      </c>
      <c r="AQ1939" t="s">
        <v>74</v>
      </c>
      <c r="AR1939" t="s">
        <v>33069</v>
      </c>
      <c r="AS1939" t="s">
        <v>33070</v>
      </c>
      <c r="AT1939" t="s">
        <v>74</v>
      </c>
      <c r="AU1939">
        <v>2024</v>
      </c>
      <c r="AV1939">
        <v>40</v>
      </c>
      <c r="AW1939">
        <v>2</v>
      </c>
      <c r="AX1939" t="s">
        <v>74</v>
      </c>
      <c r="AY1939" t="s">
        <v>74</v>
      </c>
      <c r="AZ1939" t="s">
        <v>74</v>
      </c>
      <c r="BA1939" t="s">
        <v>74</v>
      </c>
      <c r="BB1939">
        <v>262</v>
      </c>
      <c r="BC1939">
        <v>280</v>
      </c>
      <c r="BD1939" t="s">
        <v>74</v>
      </c>
      <c r="BE1939" t="s">
        <v>33071</v>
      </c>
      <c r="BF1939" t="str">
        <f>HYPERLINK("http://dx.doi.org/10.17576/JKMJC-2024-4002-15","http://dx.doi.org/10.17576/JKMJC-2024-4002-15")</f>
        <v>http://dx.doi.org/10.17576/JKMJC-2024-4002-15</v>
      </c>
      <c r="BG1939" t="s">
        <v>74</v>
      </c>
      <c r="BH1939" t="s">
        <v>74</v>
      </c>
      <c r="BI1939">
        <v>19</v>
      </c>
      <c r="BJ1939" t="s">
        <v>124</v>
      </c>
      <c r="BK1939" t="s">
        <v>125</v>
      </c>
      <c r="BL1939" t="s">
        <v>124</v>
      </c>
      <c r="BM1939" t="s">
        <v>33072</v>
      </c>
      <c r="BN1939" t="s">
        <v>74</v>
      </c>
      <c r="BO1939" t="s">
        <v>74</v>
      </c>
      <c r="BP1939" t="s">
        <v>74</v>
      </c>
      <c r="BQ1939" t="s">
        <v>74</v>
      </c>
      <c r="BR1939" t="s">
        <v>102</v>
      </c>
      <c r="BS1939" t="s">
        <v>33073</v>
      </c>
      <c r="BT1939" t="str">
        <f>HYPERLINK("https%3A%2F%2Fwww.webofscience.com%2Fwos%2Fwoscc%2Ffull-record%2FWOS:001298576200015","View Full Record in Web of Science")</f>
        <v>View Full Record in Web of Science</v>
      </c>
    </row>
    <row r="1940" spans="1:72" x14ac:dyDescent="0.35">
      <c r="A1940" t="s">
        <v>72</v>
      </c>
      <c r="B1940" t="s">
        <v>33074</v>
      </c>
      <c r="C1940" t="s">
        <v>74</v>
      </c>
      <c r="D1940" t="s">
        <v>74</v>
      </c>
      <c r="E1940" t="s">
        <v>74</v>
      </c>
      <c r="F1940" t="s">
        <v>33075</v>
      </c>
      <c r="G1940" t="s">
        <v>74</v>
      </c>
      <c r="H1940" t="s">
        <v>74</v>
      </c>
      <c r="I1940" t="s">
        <v>33076</v>
      </c>
      <c r="J1940" t="s">
        <v>8449</v>
      </c>
      <c r="K1940" t="s">
        <v>74</v>
      </c>
      <c r="L1940" t="s">
        <v>74</v>
      </c>
      <c r="M1940" t="s">
        <v>78</v>
      </c>
      <c r="N1940" t="s">
        <v>108</v>
      </c>
      <c r="O1940" t="s">
        <v>74</v>
      </c>
      <c r="P1940" t="s">
        <v>74</v>
      </c>
      <c r="Q1940" t="s">
        <v>74</v>
      </c>
      <c r="R1940" t="s">
        <v>74</v>
      </c>
      <c r="S1940" t="s">
        <v>74</v>
      </c>
      <c r="T1940" t="s">
        <v>74</v>
      </c>
      <c r="U1940" t="s">
        <v>33077</v>
      </c>
      <c r="V1940" t="s">
        <v>33078</v>
      </c>
      <c r="W1940" t="s">
        <v>33079</v>
      </c>
      <c r="X1940" t="s">
        <v>33080</v>
      </c>
      <c r="Y1940" t="s">
        <v>33081</v>
      </c>
      <c r="Z1940" t="s">
        <v>33082</v>
      </c>
      <c r="AA1940" t="s">
        <v>74</v>
      </c>
      <c r="AB1940" t="s">
        <v>33083</v>
      </c>
      <c r="AC1940" t="s">
        <v>74</v>
      </c>
      <c r="AD1940" t="s">
        <v>74</v>
      </c>
      <c r="AE1940" t="s">
        <v>74</v>
      </c>
      <c r="AF1940" t="s">
        <v>74</v>
      </c>
      <c r="AG1940">
        <v>96</v>
      </c>
      <c r="AH1940">
        <v>9</v>
      </c>
      <c r="AI1940">
        <v>11</v>
      </c>
      <c r="AJ1940">
        <v>8</v>
      </c>
      <c r="AK1940">
        <v>127</v>
      </c>
      <c r="AL1940" t="s">
        <v>8334</v>
      </c>
      <c r="AM1940" t="s">
        <v>291</v>
      </c>
      <c r="AN1940" t="s">
        <v>8335</v>
      </c>
      <c r="AO1940" t="s">
        <v>8458</v>
      </c>
      <c r="AP1940" t="s">
        <v>8459</v>
      </c>
      <c r="AQ1940" t="s">
        <v>74</v>
      </c>
      <c r="AR1940" t="s">
        <v>8460</v>
      </c>
      <c r="AS1940" t="s">
        <v>8461</v>
      </c>
      <c r="AT1940" t="s">
        <v>33084</v>
      </c>
      <c r="AU1940">
        <v>2022</v>
      </c>
      <c r="AV1940">
        <v>37</v>
      </c>
      <c r="AW1940">
        <v>3</v>
      </c>
      <c r="AX1940" t="s">
        <v>74</v>
      </c>
      <c r="AY1940" t="s">
        <v>74</v>
      </c>
      <c r="AZ1940" t="s">
        <v>74</v>
      </c>
      <c r="BA1940" t="s">
        <v>74</v>
      </c>
      <c r="BB1940">
        <v>167</v>
      </c>
      <c r="BC1940">
        <v>184</v>
      </c>
      <c r="BD1940" t="s">
        <v>74</v>
      </c>
      <c r="BE1940" t="s">
        <v>33085</v>
      </c>
      <c r="BF1940" t="str">
        <f>HYPERLINK("http://dx.doi.org/10.1093/her/cyac010","http://dx.doi.org/10.1093/her/cyac010")</f>
        <v>http://dx.doi.org/10.1093/her/cyac010</v>
      </c>
      <c r="BG1940" t="s">
        <v>74</v>
      </c>
      <c r="BH1940" t="s">
        <v>9082</v>
      </c>
      <c r="BI1940">
        <v>18</v>
      </c>
      <c r="BJ1940" t="s">
        <v>8464</v>
      </c>
      <c r="BK1940" t="s">
        <v>99</v>
      </c>
      <c r="BL1940" t="s">
        <v>8464</v>
      </c>
      <c r="BM1940" t="s">
        <v>33086</v>
      </c>
      <c r="BN1940">
        <v>35543267</v>
      </c>
      <c r="BO1940" t="s">
        <v>6798</v>
      </c>
      <c r="BP1940" t="s">
        <v>74</v>
      </c>
      <c r="BQ1940" t="s">
        <v>74</v>
      </c>
      <c r="BR1940" t="s">
        <v>102</v>
      </c>
      <c r="BS1940" t="s">
        <v>33087</v>
      </c>
      <c r="BT1940" t="str">
        <f>HYPERLINK("https%3A%2F%2Fwww.webofscience.com%2Fwos%2Fwoscc%2Ffull-record%2FWOS:000793210700001","View Full Record in Web of Science")</f>
        <v>View Full Record in Web of Science</v>
      </c>
    </row>
    <row r="1941" spans="1:72" x14ac:dyDescent="0.35">
      <c r="A1941" t="s">
        <v>72</v>
      </c>
      <c r="B1941" t="s">
        <v>33088</v>
      </c>
      <c r="C1941" t="s">
        <v>74</v>
      </c>
      <c r="D1941" t="s">
        <v>74</v>
      </c>
      <c r="E1941" t="s">
        <v>74</v>
      </c>
      <c r="F1941" t="s">
        <v>33089</v>
      </c>
      <c r="G1941" t="s">
        <v>74</v>
      </c>
      <c r="H1941" t="s">
        <v>74</v>
      </c>
      <c r="I1941" t="s">
        <v>33090</v>
      </c>
      <c r="J1941" t="s">
        <v>2557</v>
      </c>
      <c r="K1941" t="s">
        <v>74</v>
      </c>
      <c r="L1941" t="s">
        <v>74</v>
      </c>
      <c r="M1941" t="s">
        <v>78</v>
      </c>
      <c r="N1941" t="s">
        <v>108</v>
      </c>
      <c r="O1941" t="s">
        <v>74</v>
      </c>
      <c r="P1941" t="s">
        <v>74</v>
      </c>
      <c r="Q1941" t="s">
        <v>74</v>
      </c>
      <c r="R1941" t="s">
        <v>74</v>
      </c>
      <c r="S1941" t="s">
        <v>74</v>
      </c>
      <c r="T1941" t="s">
        <v>33091</v>
      </c>
      <c r="U1941" t="s">
        <v>33092</v>
      </c>
      <c r="V1941" t="s">
        <v>33093</v>
      </c>
      <c r="W1941" t="s">
        <v>33094</v>
      </c>
      <c r="X1941" t="s">
        <v>33095</v>
      </c>
      <c r="Y1941" t="s">
        <v>33096</v>
      </c>
      <c r="Z1941" t="s">
        <v>33097</v>
      </c>
      <c r="AA1941" t="s">
        <v>33098</v>
      </c>
      <c r="AB1941" t="s">
        <v>33099</v>
      </c>
      <c r="AC1941" t="s">
        <v>74</v>
      </c>
      <c r="AD1941" t="s">
        <v>74</v>
      </c>
      <c r="AE1941" t="s">
        <v>74</v>
      </c>
      <c r="AF1941" t="s">
        <v>74</v>
      </c>
      <c r="AG1941">
        <v>69</v>
      </c>
      <c r="AH1941">
        <v>24</v>
      </c>
      <c r="AI1941">
        <v>24</v>
      </c>
      <c r="AJ1941">
        <v>44</v>
      </c>
      <c r="AK1941">
        <v>281</v>
      </c>
      <c r="AL1941" t="s">
        <v>199</v>
      </c>
      <c r="AM1941" t="s">
        <v>15416</v>
      </c>
      <c r="AN1941" t="s">
        <v>15417</v>
      </c>
      <c r="AO1941" t="s">
        <v>2570</v>
      </c>
      <c r="AP1941" t="s">
        <v>74</v>
      </c>
      <c r="AQ1941" t="s">
        <v>74</v>
      </c>
      <c r="AR1941" t="s">
        <v>2571</v>
      </c>
      <c r="AS1941" t="s">
        <v>2572</v>
      </c>
      <c r="AT1941" t="s">
        <v>23893</v>
      </c>
      <c r="AU1941">
        <v>2023</v>
      </c>
      <c r="AV1941">
        <v>33</v>
      </c>
      <c r="AW1941">
        <v>7</v>
      </c>
      <c r="AX1941" t="s">
        <v>74</v>
      </c>
      <c r="AY1941" t="s">
        <v>74</v>
      </c>
      <c r="AZ1941" t="s">
        <v>74</v>
      </c>
      <c r="BA1941" t="s">
        <v>74</v>
      </c>
      <c r="BB1941">
        <v>46</v>
      </c>
      <c r="BC1941">
        <v>71</v>
      </c>
      <c r="BD1941" t="s">
        <v>74</v>
      </c>
      <c r="BE1941" t="s">
        <v>33100</v>
      </c>
      <c r="BF1941" t="str">
        <f>HYPERLINK("http://dx.doi.org/10.1108/INTR-11-2021-0861","http://dx.doi.org/10.1108/INTR-11-2021-0861")</f>
        <v>http://dx.doi.org/10.1108/INTR-11-2021-0861</v>
      </c>
      <c r="BG1941" t="s">
        <v>74</v>
      </c>
      <c r="BH1941" t="s">
        <v>1046</v>
      </c>
      <c r="BI1941">
        <v>26</v>
      </c>
      <c r="BJ1941" t="s">
        <v>2575</v>
      </c>
      <c r="BK1941" t="s">
        <v>182</v>
      </c>
      <c r="BL1941" t="s">
        <v>2576</v>
      </c>
      <c r="BM1941" t="s">
        <v>33101</v>
      </c>
      <c r="BN1941" t="s">
        <v>74</v>
      </c>
      <c r="BO1941" t="s">
        <v>4154</v>
      </c>
      <c r="BP1941" t="s">
        <v>74</v>
      </c>
      <c r="BQ1941" t="s">
        <v>74</v>
      </c>
      <c r="BR1941" t="s">
        <v>102</v>
      </c>
      <c r="BS1941" t="s">
        <v>33102</v>
      </c>
      <c r="BT1941" t="str">
        <f>HYPERLINK("https%3A%2F%2Fwww.webofscience.com%2Fwos%2Fwoscc%2Ffull-record%2FWOS:000942871600001","View Full Record in Web of Science")</f>
        <v>View Full Record in Web of Science</v>
      </c>
    </row>
    <row r="1942" spans="1:72" x14ac:dyDescent="0.35">
      <c r="A1942" t="s">
        <v>72</v>
      </c>
      <c r="B1942" t="s">
        <v>33103</v>
      </c>
      <c r="C1942" t="s">
        <v>74</v>
      </c>
      <c r="D1942" t="s">
        <v>74</v>
      </c>
      <c r="E1942" t="s">
        <v>74</v>
      </c>
      <c r="F1942" t="s">
        <v>33104</v>
      </c>
      <c r="G1942" t="s">
        <v>74</v>
      </c>
      <c r="H1942" t="s">
        <v>74</v>
      </c>
      <c r="I1942" t="s">
        <v>33105</v>
      </c>
      <c r="J1942" t="s">
        <v>33106</v>
      </c>
      <c r="K1942" t="s">
        <v>74</v>
      </c>
      <c r="L1942" t="s">
        <v>74</v>
      </c>
      <c r="M1942" t="s">
        <v>78</v>
      </c>
      <c r="N1942" t="s">
        <v>108</v>
      </c>
      <c r="O1942" t="s">
        <v>74</v>
      </c>
      <c r="P1942" t="s">
        <v>74</v>
      </c>
      <c r="Q1942" t="s">
        <v>74</v>
      </c>
      <c r="R1942" t="s">
        <v>74</v>
      </c>
      <c r="S1942" t="s">
        <v>74</v>
      </c>
      <c r="T1942" t="s">
        <v>33107</v>
      </c>
      <c r="U1942" t="s">
        <v>33108</v>
      </c>
      <c r="V1942" t="s">
        <v>33109</v>
      </c>
      <c r="W1942" t="s">
        <v>33110</v>
      </c>
      <c r="X1942" t="s">
        <v>33111</v>
      </c>
      <c r="Y1942" t="s">
        <v>33112</v>
      </c>
      <c r="Z1942" t="s">
        <v>33113</v>
      </c>
      <c r="AA1942" t="s">
        <v>74</v>
      </c>
      <c r="AB1942" t="s">
        <v>33114</v>
      </c>
      <c r="AC1942" t="s">
        <v>74</v>
      </c>
      <c r="AD1942" t="s">
        <v>74</v>
      </c>
      <c r="AE1942" t="s">
        <v>74</v>
      </c>
      <c r="AF1942" t="s">
        <v>74</v>
      </c>
      <c r="AG1942">
        <v>51</v>
      </c>
      <c r="AH1942">
        <v>3</v>
      </c>
      <c r="AI1942">
        <v>3</v>
      </c>
      <c r="AJ1942">
        <v>7</v>
      </c>
      <c r="AK1942">
        <v>37</v>
      </c>
      <c r="AL1942" t="s">
        <v>1195</v>
      </c>
      <c r="AM1942" t="s">
        <v>1196</v>
      </c>
      <c r="AN1942" t="s">
        <v>1197</v>
      </c>
      <c r="AO1942" t="s">
        <v>74</v>
      </c>
      <c r="AP1942" t="s">
        <v>33115</v>
      </c>
      <c r="AQ1942" t="s">
        <v>74</v>
      </c>
      <c r="AR1942" t="s">
        <v>33106</v>
      </c>
      <c r="AS1942" t="s">
        <v>33116</v>
      </c>
      <c r="AT1942" t="s">
        <v>297</v>
      </c>
      <c r="AU1942">
        <v>2023</v>
      </c>
      <c r="AV1942">
        <v>15</v>
      </c>
      <c r="AW1942">
        <v>8</v>
      </c>
      <c r="AX1942" t="s">
        <v>74</v>
      </c>
      <c r="AY1942" t="s">
        <v>74</v>
      </c>
      <c r="AZ1942" t="s">
        <v>74</v>
      </c>
      <c r="BA1942" t="s">
        <v>74</v>
      </c>
      <c r="BB1942" t="s">
        <v>74</v>
      </c>
      <c r="BC1942" t="s">
        <v>74</v>
      </c>
      <c r="BD1942">
        <v>1594</v>
      </c>
      <c r="BE1942" t="s">
        <v>33117</v>
      </c>
      <c r="BF1942" t="str">
        <f>HYPERLINK("http://dx.doi.org/10.3390/sym15081594","http://dx.doi.org/10.3390/sym15081594")</f>
        <v>http://dx.doi.org/10.3390/sym15081594</v>
      </c>
      <c r="BG1942" t="s">
        <v>74</v>
      </c>
      <c r="BH1942" t="s">
        <v>74</v>
      </c>
      <c r="BI1942">
        <v>24</v>
      </c>
      <c r="BJ1942" t="s">
        <v>1301</v>
      </c>
      <c r="BK1942" t="s">
        <v>209</v>
      </c>
      <c r="BL1942" t="s">
        <v>1302</v>
      </c>
      <c r="BM1942" t="s">
        <v>33118</v>
      </c>
      <c r="BN1942" t="s">
        <v>74</v>
      </c>
      <c r="BO1942" t="s">
        <v>235</v>
      </c>
      <c r="BP1942" t="s">
        <v>74</v>
      </c>
      <c r="BQ1942" t="s">
        <v>74</v>
      </c>
      <c r="BR1942" t="s">
        <v>102</v>
      </c>
      <c r="BS1942" t="s">
        <v>33119</v>
      </c>
      <c r="BT1942" t="str">
        <f>HYPERLINK("https%3A%2F%2Fwww.webofscience.com%2Fwos%2Fwoscc%2Ffull-record%2FWOS:001057380100001","View Full Record in Web of Science")</f>
        <v>View Full Record in Web of Science</v>
      </c>
    </row>
    <row r="1943" spans="1:72" x14ac:dyDescent="0.35">
      <c r="A1943" t="s">
        <v>72</v>
      </c>
      <c r="B1943" t="s">
        <v>33120</v>
      </c>
      <c r="C1943" t="s">
        <v>74</v>
      </c>
      <c r="D1943" t="s">
        <v>74</v>
      </c>
      <c r="E1943" t="s">
        <v>74</v>
      </c>
      <c r="F1943" t="s">
        <v>33121</v>
      </c>
      <c r="G1943" t="s">
        <v>74</v>
      </c>
      <c r="H1943" t="s">
        <v>74</v>
      </c>
      <c r="I1943" t="s">
        <v>33122</v>
      </c>
      <c r="J1943" t="s">
        <v>8249</v>
      </c>
      <c r="K1943" t="s">
        <v>74</v>
      </c>
      <c r="L1943" t="s">
        <v>74</v>
      </c>
      <c r="M1943" t="s">
        <v>78</v>
      </c>
      <c r="N1943" t="s">
        <v>2042</v>
      </c>
      <c r="O1943" t="s">
        <v>74</v>
      </c>
      <c r="P1943" t="s">
        <v>74</v>
      </c>
      <c r="Q1943" t="s">
        <v>74</v>
      </c>
      <c r="R1943" t="s">
        <v>74</v>
      </c>
      <c r="S1943" t="s">
        <v>74</v>
      </c>
      <c r="T1943" t="s">
        <v>33123</v>
      </c>
      <c r="U1943" t="s">
        <v>33124</v>
      </c>
      <c r="V1943" t="s">
        <v>33125</v>
      </c>
      <c r="W1943" t="s">
        <v>33126</v>
      </c>
      <c r="X1943" t="s">
        <v>33127</v>
      </c>
      <c r="Y1943" t="s">
        <v>33128</v>
      </c>
      <c r="Z1943" t="s">
        <v>33129</v>
      </c>
      <c r="AA1943" t="s">
        <v>33130</v>
      </c>
      <c r="AB1943" t="s">
        <v>74</v>
      </c>
      <c r="AC1943" t="s">
        <v>74</v>
      </c>
      <c r="AD1943" t="s">
        <v>74</v>
      </c>
      <c r="AE1943" t="s">
        <v>74</v>
      </c>
      <c r="AF1943" t="s">
        <v>74</v>
      </c>
      <c r="AG1943">
        <v>37</v>
      </c>
      <c r="AH1943">
        <v>5</v>
      </c>
      <c r="AI1943">
        <v>5</v>
      </c>
      <c r="AJ1943">
        <v>1</v>
      </c>
      <c r="AK1943">
        <v>8</v>
      </c>
      <c r="AL1943" t="s">
        <v>10032</v>
      </c>
      <c r="AM1943" t="s">
        <v>10033</v>
      </c>
      <c r="AN1943" t="s">
        <v>10034</v>
      </c>
      <c r="AO1943" t="s">
        <v>8259</v>
      </c>
      <c r="AP1943" t="s">
        <v>74</v>
      </c>
      <c r="AQ1943" t="s">
        <v>74</v>
      </c>
      <c r="AR1943" t="s">
        <v>8260</v>
      </c>
      <c r="AS1943" t="s">
        <v>8261</v>
      </c>
      <c r="AT1943" t="s">
        <v>74</v>
      </c>
      <c r="AU1943">
        <v>2022</v>
      </c>
      <c r="AV1943">
        <v>80</v>
      </c>
      <c r="AW1943" t="s">
        <v>74</v>
      </c>
      <c r="AX1943" t="s">
        <v>74</v>
      </c>
      <c r="AY1943" t="s">
        <v>74</v>
      </c>
      <c r="AZ1943" t="s">
        <v>74</v>
      </c>
      <c r="BA1943" t="s">
        <v>74</v>
      </c>
      <c r="BB1943">
        <v>135</v>
      </c>
      <c r="BC1943">
        <v>161</v>
      </c>
      <c r="BD1943" t="s">
        <v>74</v>
      </c>
      <c r="BE1943" t="s">
        <v>33131</v>
      </c>
      <c r="BF1943" t="str">
        <f>HYPERLINK("http://dx.doi.org/10.4185/RLCS-2022-1535","http://dx.doi.org/10.4185/RLCS-2022-1535")</f>
        <v>http://dx.doi.org/10.4185/RLCS-2022-1535</v>
      </c>
      <c r="BG1943" t="s">
        <v>74</v>
      </c>
      <c r="BH1943" t="s">
        <v>74</v>
      </c>
      <c r="BI1943">
        <v>27</v>
      </c>
      <c r="BJ1943" t="s">
        <v>124</v>
      </c>
      <c r="BK1943" t="s">
        <v>125</v>
      </c>
      <c r="BL1943" t="s">
        <v>124</v>
      </c>
      <c r="BM1943" t="s">
        <v>33132</v>
      </c>
      <c r="BN1943" t="s">
        <v>74</v>
      </c>
      <c r="BO1943" t="s">
        <v>3287</v>
      </c>
      <c r="BP1943" t="s">
        <v>74</v>
      </c>
      <c r="BQ1943" t="s">
        <v>74</v>
      </c>
      <c r="BR1943" t="s">
        <v>102</v>
      </c>
      <c r="BS1943" t="s">
        <v>33133</v>
      </c>
      <c r="BT1943" t="str">
        <f>HYPERLINK("https%3A%2F%2Fwww.webofscience.com%2Fwos%2Fwoscc%2Ffull-record%2FWOS:000813468000001","View Full Record in Web of Science")</f>
        <v>View Full Record in Web of Science</v>
      </c>
    </row>
    <row r="1944" spans="1:72" x14ac:dyDescent="0.35">
      <c r="A1944" t="s">
        <v>72</v>
      </c>
      <c r="B1944" t="s">
        <v>33134</v>
      </c>
      <c r="C1944" t="s">
        <v>74</v>
      </c>
      <c r="D1944" t="s">
        <v>74</v>
      </c>
      <c r="E1944" t="s">
        <v>74</v>
      </c>
      <c r="F1944" t="s">
        <v>33135</v>
      </c>
      <c r="G1944" t="s">
        <v>74</v>
      </c>
      <c r="H1944" t="s">
        <v>74</v>
      </c>
      <c r="I1944" t="s">
        <v>33136</v>
      </c>
      <c r="J1944" t="s">
        <v>33137</v>
      </c>
      <c r="K1944" t="s">
        <v>74</v>
      </c>
      <c r="L1944" t="s">
        <v>74</v>
      </c>
      <c r="M1944" t="s">
        <v>78</v>
      </c>
      <c r="N1944" t="s">
        <v>79</v>
      </c>
      <c r="O1944" t="s">
        <v>74</v>
      </c>
      <c r="P1944" t="s">
        <v>74</v>
      </c>
      <c r="Q1944" t="s">
        <v>74</v>
      </c>
      <c r="R1944" t="s">
        <v>74</v>
      </c>
      <c r="S1944" t="s">
        <v>74</v>
      </c>
      <c r="T1944" t="s">
        <v>33138</v>
      </c>
      <c r="U1944" t="s">
        <v>33139</v>
      </c>
      <c r="V1944" t="s">
        <v>33140</v>
      </c>
      <c r="W1944" t="s">
        <v>33141</v>
      </c>
      <c r="X1944" t="s">
        <v>4101</v>
      </c>
      <c r="Y1944" t="s">
        <v>33142</v>
      </c>
      <c r="Z1944" t="s">
        <v>33143</v>
      </c>
      <c r="AA1944" t="s">
        <v>33144</v>
      </c>
      <c r="AB1944" t="s">
        <v>33145</v>
      </c>
      <c r="AC1944" t="s">
        <v>33146</v>
      </c>
      <c r="AD1944" t="s">
        <v>33146</v>
      </c>
      <c r="AE1944" t="s">
        <v>33147</v>
      </c>
      <c r="AF1944" t="s">
        <v>74</v>
      </c>
      <c r="AG1944">
        <v>68</v>
      </c>
      <c r="AH1944">
        <v>0</v>
      </c>
      <c r="AI1944">
        <v>0</v>
      </c>
      <c r="AJ1944">
        <v>16</v>
      </c>
      <c r="AK1944">
        <v>16</v>
      </c>
      <c r="AL1944" t="s">
        <v>88</v>
      </c>
      <c r="AM1944" t="s">
        <v>89</v>
      </c>
      <c r="AN1944" t="s">
        <v>90</v>
      </c>
      <c r="AO1944" t="s">
        <v>33148</v>
      </c>
      <c r="AP1944" t="s">
        <v>33149</v>
      </c>
      <c r="AQ1944" t="s">
        <v>74</v>
      </c>
      <c r="AR1944" t="s">
        <v>33150</v>
      </c>
      <c r="AS1944" t="s">
        <v>33151</v>
      </c>
      <c r="AT1944" t="s">
        <v>33152</v>
      </c>
      <c r="AU1944">
        <v>2024</v>
      </c>
      <c r="AV1944" t="s">
        <v>74</v>
      </c>
      <c r="AW1944" t="s">
        <v>74</v>
      </c>
      <c r="AX1944" t="s">
        <v>74</v>
      </c>
      <c r="AY1944" t="s">
        <v>74</v>
      </c>
      <c r="AZ1944" t="s">
        <v>74</v>
      </c>
      <c r="BA1944" t="s">
        <v>74</v>
      </c>
      <c r="BB1944" t="s">
        <v>74</v>
      </c>
      <c r="BC1944" t="s">
        <v>74</v>
      </c>
      <c r="BD1944" t="s">
        <v>74</v>
      </c>
      <c r="BE1944" t="s">
        <v>33153</v>
      </c>
      <c r="BF1944" t="str">
        <f>HYPERLINK("http://dx.doi.org/10.1080/10357823.2024.2366294","http://dx.doi.org/10.1080/10357823.2024.2366294")</f>
        <v>http://dx.doi.org/10.1080/10357823.2024.2366294</v>
      </c>
      <c r="BG1944" t="s">
        <v>74</v>
      </c>
      <c r="BH1944" t="s">
        <v>478</v>
      </c>
      <c r="BI1944">
        <v>22</v>
      </c>
      <c r="BJ1944" t="s">
        <v>33154</v>
      </c>
      <c r="BK1944" t="s">
        <v>2125</v>
      </c>
      <c r="BL1944" t="s">
        <v>33154</v>
      </c>
      <c r="BM1944" t="s">
        <v>33155</v>
      </c>
      <c r="BN1944" t="s">
        <v>74</v>
      </c>
      <c r="BO1944" t="s">
        <v>156</v>
      </c>
      <c r="BP1944" t="s">
        <v>74</v>
      </c>
      <c r="BQ1944" t="s">
        <v>74</v>
      </c>
      <c r="BR1944" t="s">
        <v>102</v>
      </c>
      <c r="BS1944" t="s">
        <v>33156</v>
      </c>
      <c r="BT1944" t="str">
        <f>HYPERLINK("https%3A%2F%2Fwww.webofscience.com%2Fwos%2Fwoscc%2Ffull-record%2FWOS:001260320900001","View Full Record in Web of Science")</f>
        <v>View Full Record in Web of Science</v>
      </c>
    </row>
    <row r="1945" spans="1:72" x14ac:dyDescent="0.35">
      <c r="A1945" t="s">
        <v>72</v>
      </c>
      <c r="B1945" t="s">
        <v>13777</v>
      </c>
      <c r="C1945" t="s">
        <v>74</v>
      </c>
      <c r="D1945" t="s">
        <v>74</v>
      </c>
      <c r="E1945" t="s">
        <v>74</v>
      </c>
      <c r="F1945" t="s">
        <v>13778</v>
      </c>
      <c r="G1945" t="s">
        <v>74</v>
      </c>
      <c r="H1945" t="s">
        <v>74</v>
      </c>
      <c r="I1945" t="s">
        <v>33157</v>
      </c>
      <c r="J1945" t="s">
        <v>13206</v>
      </c>
      <c r="K1945" t="s">
        <v>74</v>
      </c>
      <c r="L1945" t="s">
        <v>74</v>
      </c>
      <c r="M1945" t="s">
        <v>78</v>
      </c>
      <c r="N1945" t="s">
        <v>108</v>
      </c>
      <c r="O1945" t="s">
        <v>74</v>
      </c>
      <c r="P1945" t="s">
        <v>74</v>
      </c>
      <c r="Q1945" t="s">
        <v>74</v>
      </c>
      <c r="R1945" t="s">
        <v>74</v>
      </c>
      <c r="S1945" t="s">
        <v>74</v>
      </c>
      <c r="T1945" t="s">
        <v>33158</v>
      </c>
      <c r="U1945" t="s">
        <v>74</v>
      </c>
      <c r="V1945" t="s">
        <v>33159</v>
      </c>
      <c r="W1945" t="s">
        <v>33160</v>
      </c>
      <c r="X1945" t="s">
        <v>32454</v>
      </c>
      <c r="Y1945" t="s">
        <v>33161</v>
      </c>
      <c r="Z1945" t="s">
        <v>2838</v>
      </c>
      <c r="AA1945" t="s">
        <v>74</v>
      </c>
      <c r="AB1945" t="s">
        <v>74</v>
      </c>
      <c r="AC1945" t="s">
        <v>74</v>
      </c>
      <c r="AD1945" t="s">
        <v>74</v>
      </c>
      <c r="AE1945" t="s">
        <v>74</v>
      </c>
      <c r="AF1945" t="s">
        <v>74</v>
      </c>
      <c r="AG1945">
        <v>49</v>
      </c>
      <c r="AH1945">
        <v>3</v>
      </c>
      <c r="AI1945">
        <v>3</v>
      </c>
      <c r="AJ1945">
        <v>5</v>
      </c>
      <c r="AK1945">
        <v>10</v>
      </c>
      <c r="AL1945" t="s">
        <v>171</v>
      </c>
      <c r="AM1945" t="s">
        <v>172</v>
      </c>
      <c r="AN1945" t="s">
        <v>173</v>
      </c>
      <c r="AO1945" t="s">
        <v>13213</v>
      </c>
      <c r="AP1945" t="s">
        <v>13214</v>
      </c>
      <c r="AQ1945" t="s">
        <v>74</v>
      </c>
      <c r="AR1945" t="s">
        <v>13215</v>
      </c>
      <c r="AS1945" t="s">
        <v>13216</v>
      </c>
      <c r="AT1945" t="s">
        <v>594</v>
      </c>
      <c r="AU1945">
        <v>2023</v>
      </c>
      <c r="AV1945">
        <v>29</v>
      </c>
      <c r="AW1945">
        <v>5</v>
      </c>
      <c r="AX1945" t="s">
        <v>74</v>
      </c>
      <c r="AY1945" t="s">
        <v>74</v>
      </c>
      <c r="AZ1945" t="s">
        <v>74</v>
      </c>
      <c r="BA1945" t="s">
        <v>74</v>
      </c>
      <c r="BB1945">
        <v>1183</v>
      </c>
      <c r="BC1945">
        <v>1198</v>
      </c>
      <c r="BD1945" t="s">
        <v>74</v>
      </c>
      <c r="BE1945" t="s">
        <v>33162</v>
      </c>
      <c r="BF1945" t="str">
        <f>HYPERLINK("http://dx.doi.org/10.1177/13548565231199987","http://dx.doi.org/10.1177/13548565231199987")</f>
        <v>http://dx.doi.org/10.1177/13548565231199987</v>
      </c>
      <c r="BG1945" t="s">
        <v>74</v>
      </c>
      <c r="BH1945" t="s">
        <v>74</v>
      </c>
      <c r="BI1945">
        <v>16</v>
      </c>
      <c r="BJ1945" t="s">
        <v>124</v>
      </c>
      <c r="BK1945" t="s">
        <v>99</v>
      </c>
      <c r="BL1945" t="s">
        <v>124</v>
      </c>
      <c r="BM1945" t="s">
        <v>13775</v>
      </c>
      <c r="BN1945" t="s">
        <v>74</v>
      </c>
      <c r="BO1945" t="s">
        <v>74</v>
      </c>
      <c r="BP1945" t="s">
        <v>74</v>
      </c>
      <c r="BQ1945" t="s">
        <v>74</v>
      </c>
      <c r="BR1945" t="s">
        <v>102</v>
      </c>
      <c r="BS1945" t="s">
        <v>33163</v>
      </c>
      <c r="BT1945" t="str">
        <f>HYPERLINK("https%3A%2F%2Fwww.webofscience.com%2Fwos%2Fwoscc%2Ffull-record%2FWOS:001173158200005","View Full Record in Web of Science")</f>
        <v>View Full Record in Web of Science</v>
      </c>
    </row>
    <row r="1946" spans="1:72" x14ac:dyDescent="0.35">
      <c r="A1946" t="s">
        <v>72</v>
      </c>
      <c r="B1946" t="s">
        <v>33164</v>
      </c>
      <c r="C1946" t="s">
        <v>74</v>
      </c>
      <c r="D1946" t="s">
        <v>74</v>
      </c>
      <c r="E1946" t="s">
        <v>74</v>
      </c>
      <c r="F1946" t="s">
        <v>33165</v>
      </c>
      <c r="G1946" t="s">
        <v>74</v>
      </c>
      <c r="H1946" t="s">
        <v>74</v>
      </c>
      <c r="I1946" t="s">
        <v>33166</v>
      </c>
      <c r="J1946" t="s">
        <v>33167</v>
      </c>
      <c r="K1946" t="s">
        <v>74</v>
      </c>
      <c r="L1946" t="s">
        <v>74</v>
      </c>
      <c r="M1946" t="s">
        <v>78</v>
      </c>
      <c r="N1946" t="s">
        <v>108</v>
      </c>
      <c r="O1946" t="s">
        <v>74</v>
      </c>
      <c r="P1946" t="s">
        <v>74</v>
      </c>
      <c r="Q1946" t="s">
        <v>74</v>
      </c>
      <c r="R1946" t="s">
        <v>74</v>
      </c>
      <c r="S1946" t="s">
        <v>74</v>
      </c>
      <c r="T1946" t="s">
        <v>33168</v>
      </c>
      <c r="U1946" t="s">
        <v>74</v>
      </c>
      <c r="V1946" t="s">
        <v>33169</v>
      </c>
      <c r="W1946" t="s">
        <v>33170</v>
      </c>
      <c r="X1946" t="s">
        <v>33171</v>
      </c>
      <c r="Y1946" t="s">
        <v>33172</v>
      </c>
      <c r="Z1946" t="s">
        <v>33173</v>
      </c>
      <c r="AA1946" t="s">
        <v>74</v>
      </c>
      <c r="AB1946" t="s">
        <v>74</v>
      </c>
      <c r="AC1946" t="s">
        <v>33174</v>
      </c>
      <c r="AD1946" t="s">
        <v>33175</v>
      </c>
      <c r="AE1946" t="s">
        <v>33176</v>
      </c>
      <c r="AF1946" t="s">
        <v>74</v>
      </c>
      <c r="AG1946">
        <v>27</v>
      </c>
      <c r="AH1946">
        <v>1</v>
      </c>
      <c r="AI1946">
        <v>1</v>
      </c>
      <c r="AJ1946">
        <v>0</v>
      </c>
      <c r="AK1946">
        <v>4</v>
      </c>
      <c r="AL1946" t="s">
        <v>516</v>
      </c>
      <c r="AM1946" t="s">
        <v>517</v>
      </c>
      <c r="AN1946" t="s">
        <v>518</v>
      </c>
      <c r="AO1946" t="s">
        <v>33177</v>
      </c>
      <c r="AP1946" t="s">
        <v>33178</v>
      </c>
      <c r="AQ1946" t="s">
        <v>74</v>
      </c>
      <c r="AR1946" t="s">
        <v>33179</v>
      </c>
      <c r="AS1946" t="s">
        <v>33180</v>
      </c>
      <c r="AT1946" t="s">
        <v>1484</v>
      </c>
      <c r="AU1946">
        <v>2022</v>
      </c>
      <c r="AV1946">
        <v>65</v>
      </c>
      <c r="AW1946" t="s">
        <v>74</v>
      </c>
      <c r="AX1946" t="s">
        <v>74</v>
      </c>
      <c r="AY1946" t="s">
        <v>74</v>
      </c>
      <c r="AZ1946" t="s">
        <v>74</v>
      </c>
      <c r="BA1946" t="s">
        <v>74</v>
      </c>
      <c r="BB1946" t="s">
        <v>74</v>
      </c>
      <c r="BC1946" t="s">
        <v>74</v>
      </c>
      <c r="BD1946">
        <v>103102</v>
      </c>
      <c r="BE1946" t="s">
        <v>33181</v>
      </c>
      <c r="BF1946" t="str">
        <f>HYPERLINK("http://dx.doi.org/10.1016/j.jisa.2021.103102","http://dx.doi.org/10.1016/j.jisa.2021.103102")</f>
        <v>http://dx.doi.org/10.1016/j.jisa.2021.103102</v>
      </c>
      <c r="BG1946" t="s">
        <v>74</v>
      </c>
      <c r="BH1946" t="s">
        <v>259</v>
      </c>
      <c r="BI1946">
        <v>10</v>
      </c>
      <c r="BJ1946" t="s">
        <v>5789</v>
      </c>
      <c r="BK1946" t="s">
        <v>209</v>
      </c>
      <c r="BL1946" t="s">
        <v>210</v>
      </c>
      <c r="BM1946" t="s">
        <v>33182</v>
      </c>
      <c r="BN1946" t="s">
        <v>74</v>
      </c>
      <c r="BO1946" t="s">
        <v>74</v>
      </c>
      <c r="BP1946" t="s">
        <v>74</v>
      </c>
      <c r="BQ1946" t="s">
        <v>74</v>
      </c>
      <c r="BR1946" t="s">
        <v>102</v>
      </c>
      <c r="BS1946" t="s">
        <v>33183</v>
      </c>
      <c r="BT1946" t="str">
        <f>HYPERLINK("https%3A%2F%2Fwww.webofscience.com%2Fwos%2Fwoscc%2Ffull-record%2FWOS:000804767100009","View Full Record in Web of Science")</f>
        <v>View Full Record in Web of Science</v>
      </c>
    </row>
    <row r="1947" spans="1:72" x14ac:dyDescent="0.35">
      <c r="A1947" t="s">
        <v>72</v>
      </c>
      <c r="B1947" t="s">
        <v>33184</v>
      </c>
      <c r="C1947" t="s">
        <v>74</v>
      </c>
      <c r="D1947" t="s">
        <v>74</v>
      </c>
      <c r="E1947" t="s">
        <v>74</v>
      </c>
      <c r="F1947" t="s">
        <v>33185</v>
      </c>
      <c r="G1947" t="s">
        <v>74</v>
      </c>
      <c r="H1947" t="s">
        <v>74</v>
      </c>
      <c r="I1947" t="s">
        <v>33186</v>
      </c>
      <c r="J1947" t="s">
        <v>1282</v>
      </c>
      <c r="K1947" t="s">
        <v>74</v>
      </c>
      <c r="L1947" t="s">
        <v>74</v>
      </c>
      <c r="M1947" t="s">
        <v>78</v>
      </c>
      <c r="N1947" t="s">
        <v>108</v>
      </c>
      <c r="O1947" t="s">
        <v>74</v>
      </c>
      <c r="P1947" t="s">
        <v>74</v>
      </c>
      <c r="Q1947" t="s">
        <v>74</v>
      </c>
      <c r="R1947" t="s">
        <v>74</v>
      </c>
      <c r="S1947" t="s">
        <v>74</v>
      </c>
      <c r="T1947" t="s">
        <v>33187</v>
      </c>
      <c r="U1947" t="s">
        <v>33188</v>
      </c>
      <c r="V1947" t="s">
        <v>33189</v>
      </c>
      <c r="W1947" t="s">
        <v>33190</v>
      </c>
      <c r="X1947" t="s">
        <v>33191</v>
      </c>
      <c r="Y1947" t="s">
        <v>33192</v>
      </c>
      <c r="Z1947" t="s">
        <v>33193</v>
      </c>
      <c r="AA1947" t="s">
        <v>33194</v>
      </c>
      <c r="AB1947" t="s">
        <v>74</v>
      </c>
      <c r="AC1947" t="s">
        <v>74</v>
      </c>
      <c r="AD1947" t="s">
        <v>74</v>
      </c>
      <c r="AE1947" t="s">
        <v>74</v>
      </c>
      <c r="AF1947" t="s">
        <v>74</v>
      </c>
      <c r="AG1947">
        <v>95</v>
      </c>
      <c r="AH1947">
        <v>1</v>
      </c>
      <c r="AI1947">
        <v>1</v>
      </c>
      <c r="AJ1947">
        <v>39</v>
      </c>
      <c r="AK1947">
        <v>63</v>
      </c>
      <c r="AL1947" t="s">
        <v>1294</v>
      </c>
      <c r="AM1947" t="s">
        <v>1062</v>
      </c>
      <c r="AN1947" t="s">
        <v>1295</v>
      </c>
      <c r="AO1947" t="s">
        <v>74</v>
      </c>
      <c r="AP1947" t="s">
        <v>1296</v>
      </c>
      <c r="AQ1947" t="s">
        <v>74</v>
      </c>
      <c r="AR1947" t="s">
        <v>1282</v>
      </c>
      <c r="AS1947" t="s">
        <v>1297</v>
      </c>
      <c r="AT1947" t="s">
        <v>33195</v>
      </c>
      <c r="AU1947">
        <v>2024</v>
      </c>
      <c r="AV1947">
        <v>10</v>
      </c>
      <c r="AW1947">
        <v>8</v>
      </c>
      <c r="AX1947" t="s">
        <v>74</v>
      </c>
      <c r="AY1947" t="s">
        <v>74</v>
      </c>
      <c r="AZ1947" t="s">
        <v>74</v>
      </c>
      <c r="BA1947" t="s">
        <v>74</v>
      </c>
      <c r="BB1947" t="s">
        <v>74</v>
      </c>
      <c r="BC1947" t="s">
        <v>74</v>
      </c>
      <c r="BD1947" t="s">
        <v>33196</v>
      </c>
      <c r="BE1947" t="s">
        <v>33197</v>
      </c>
      <c r="BF1947" t="str">
        <f>HYPERLINK("http://dx.doi.org/10.1016/j.heliyon.2024.e29466","http://dx.doi.org/10.1016/j.heliyon.2024.e29466")</f>
        <v>http://dx.doi.org/10.1016/j.heliyon.2024.e29466</v>
      </c>
      <c r="BG1947" t="s">
        <v>74</v>
      </c>
      <c r="BH1947" t="s">
        <v>74</v>
      </c>
      <c r="BI1947">
        <v>13</v>
      </c>
      <c r="BJ1947" t="s">
        <v>1301</v>
      </c>
      <c r="BK1947" t="s">
        <v>209</v>
      </c>
      <c r="BL1947" t="s">
        <v>1302</v>
      </c>
      <c r="BM1947" t="s">
        <v>33198</v>
      </c>
      <c r="BN1947">
        <v>38638962</v>
      </c>
      <c r="BO1947" t="s">
        <v>394</v>
      </c>
      <c r="BP1947" t="s">
        <v>74</v>
      </c>
      <c r="BQ1947" t="s">
        <v>74</v>
      </c>
      <c r="BR1947" t="s">
        <v>102</v>
      </c>
      <c r="BS1947" t="s">
        <v>33199</v>
      </c>
      <c r="BT1947" t="str">
        <f>HYPERLINK("https%3A%2F%2Fwww.webofscience.com%2Fwos%2Fwoscc%2Ffull-record%2FWOS:001235945700001","View Full Record in Web of Science")</f>
        <v>View Full Record in Web of Science</v>
      </c>
    </row>
    <row r="1948" spans="1:72" x14ac:dyDescent="0.35">
      <c r="A1948" t="s">
        <v>72</v>
      </c>
      <c r="B1948" t="s">
        <v>33200</v>
      </c>
      <c r="C1948" t="s">
        <v>74</v>
      </c>
      <c r="D1948" t="s">
        <v>74</v>
      </c>
      <c r="E1948" t="s">
        <v>74</v>
      </c>
      <c r="F1948" t="s">
        <v>33201</v>
      </c>
      <c r="G1948" t="s">
        <v>74</v>
      </c>
      <c r="H1948" t="s">
        <v>74</v>
      </c>
      <c r="I1948" t="s">
        <v>33202</v>
      </c>
      <c r="J1948" t="s">
        <v>4135</v>
      </c>
      <c r="K1948" t="s">
        <v>74</v>
      </c>
      <c r="L1948" t="s">
        <v>74</v>
      </c>
      <c r="M1948" t="s">
        <v>78</v>
      </c>
      <c r="N1948" t="s">
        <v>108</v>
      </c>
      <c r="O1948" t="s">
        <v>74</v>
      </c>
      <c r="P1948" t="s">
        <v>74</v>
      </c>
      <c r="Q1948" t="s">
        <v>74</v>
      </c>
      <c r="R1948" t="s">
        <v>74</v>
      </c>
      <c r="S1948" t="s">
        <v>74</v>
      </c>
      <c r="T1948" t="s">
        <v>33203</v>
      </c>
      <c r="U1948" t="s">
        <v>33204</v>
      </c>
      <c r="V1948" t="s">
        <v>33205</v>
      </c>
      <c r="W1948" t="s">
        <v>33206</v>
      </c>
      <c r="X1948" t="s">
        <v>33207</v>
      </c>
      <c r="Y1948" t="s">
        <v>33208</v>
      </c>
      <c r="Z1948" t="s">
        <v>33209</v>
      </c>
      <c r="AA1948" t="s">
        <v>33210</v>
      </c>
      <c r="AB1948" t="s">
        <v>33211</v>
      </c>
      <c r="AC1948" t="s">
        <v>74</v>
      </c>
      <c r="AD1948" t="s">
        <v>74</v>
      </c>
      <c r="AE1948" t="s">
        <v>74</v>
      </c>
      <c r="AF1948" t="s">
        <v>74</v>
      </c>
      <c r="AG1948">
        <v>139</v>
      </c>
      <c r="AH1948">
        <v>12</v>
      </c>
      <c r="AI1948">
        <v>12</v>
      </c>
      <c r="AJ1948">
        <v>25</v>
      </c>
      <c r="AK1948">
        <v>85</v>
      </c>
      <c r="AL1948" t="s">
        <v>3632</v>
      </c>
      <c r="AM1948" t="s">
        <v>291</v>
      </c>
      <c r="AN1948" t="s">
        <v>3633</v>
      </c>
      <c r="AO1948" t="s">
        <v>4148</v>
      </c>
      <c r="AP1948" t="s">
        <v>4149</v>
      </c>
      <c r="AQ1948" t="s">
        <v>74</v>
      </c>
      <c r="AR1948" t="s">
        <v>4150</v>
      </c>
      <c r="AS1948" t="s">
        <v>4151</v>
      </c>
      <c r="AT1948" t="s">
        <v>455</v>
      </c>
      <c r="AU1948">
        <v>2023</v>
      </c>
      <c r="AV1948">
        <v>74</v>
      </c>
      <c r="AW1948" t="s">
        <v>74</v>
      </c>
      <c r="AX1948" t="s">
        <v>74</v>
      </c>
      <c r="AY1948" t="s">
        <v>74</v>
      </c>
      <c r="AZ1948" t="s">
        <v>74</v>
      </c>
      <c r="BA1948" t="s">
        <v>74</v>
      </c>
      <c r="BB1948" t="s">
        <v>74</v>
      </c>
      <c r="BC1948" t="s">
        <v>74</v>
      </c>
      <c r="BD1948">
        <v>103410</v>
      </c>
      <c r="BE1948" t="s">
        <v>33212</v>
      </c>
      <c r="BF1948" t="str">
        <f>HYPERLINK("http://dx.doi.org/10.1016/j.jretconser.2023.103410","http://dx.doi.org/10.1016/j.jretconser.2023.103410")</f>
        <v>http://dx.doi.org/10.1016/j.jretconser.2023.103410</v>
      </c>
      <c r="BG1948" t="s">
        <v>74</v>
      </c>
      <c r="BH1948" t="s">
        <v>180</v>
      </c>
      <c r="BI1948">
        <v>14</v>
      </c>
      <c r="BJ1948" t="s">
        <v>1597</v>
      </c>
      <c r="BK1948" t="s">
        <v>99</v>
      </c>
      <c r="BL1948" t="s">
        <v>480</v>
      </c>
      <c r="BM1948" t="s">
        <v>33213</v>
      </c>
      <c r="BN1948" t="s">
        <v>74</v>
      </c>
      <c r="BO1948" t="s">
        <v>74</v>
      </c>
      <c r="BP1948" t="s">
        <v>74</v>
      </c>
      <c r="BQ1948" t="s">
        <v>74</v>
      </c>
      <c r="BR1948" t="s">
        <v>102</v>
      </c>
      <c r="BS1948" t="s">
        <v>33214</v>
      </c>
      <c r="BT1948" t="str">
        <f>HYPERLINK("https%3A%2F%2Fwww.webofscience.com%2Fwos%2Fwoscc%2Ffull-record%2FWOS:001012781400001","View Full Record in Web of Science")</f>
        <v>View Full Record in Web of Science</v>
      </c>
    </row>
    <row r="1949" spans="1:72" x14ac:dyDescent="0.35">
      <c r="A1949" t="s">
        <v>128</v>
      </c>
      <c r="B1949" t="s">
        <v>33215</v>
      </c>
      <c r="C1949" t="s">
        <v>74</v>
      </c>
      <c r="D1949" t="s">
        <v>33216</v>
      </c>
      <c r="E1949" t="s">
        <v>74</v>
      </c>
      <c r="F1949" t="s">
        <v>33217</v>
      </c>
      <c r="G1949" t="s">
        <v>74</v>
      </c>
      <c r="H1949" t="s">
        <v>74</v>
      </c>
      <c r="I1949" t="s">
        <v>33218</v>
      </c>
      <c r="J1949" t="s">
        <v>33219</v>
      </c>
      <c r="K1949" t="s">
        <v>10892</v>
      </c>
      <c r="L1949" t="s">
        <v>74</v>
      </c>
      <c r="M1949" t="s">
        <v>78</v>
      </c>
      <c r="N1949" t="s">
        <v>135</v>
      </c>
      <c r="O1949" t="s">
        <v>33220</v>
      </c>
      <c r="P1949" t="s">
        <v>33221</v>
      </c>
      <c r="Q1949" t="s">
        <v>33222</v>
      </c>
      <c r="R1949" t="s">
        <v>33223</v>
      </c>
      <c r="S1949" t="s">
        <v>33224</v>
      </c>
      <c r="T1949" t="s">
        <v>33225</v>
      </c>
      <c r="U1949" t="s">
        <v>74</v>
      </c>
      <c r="V1949" t="s">
        <v>33226</v>
      </c>
      <c r="W1949" t="s">
        <v>33227</v>
      </c>
      <c r="X1949" t="s">
        <v>909</v>
      </c>
      <c r="Y1949" t="s">
        <v>33228</v>
      </c>
      <c r="Z1949" t="s">
        <v>33229</v>
      </c>
      <c r="AA1949" t="s">
        <v>74</v>
      </c>
      <c r="AB1949" t="s">
        <v>74</v>
      </c>
      <c r="AC1949" t="s">
        <v>33230</v>
      </c>
      <c r="AD1949" t="s">
        <v>33231</v>
      </c>
      <c r="AE1949" t="s">
        <v>33232</v>
      </c>
      <c r="AF1949" t="s">
        <v>74</v>
      </c>
      <c r="AG1949">
        <v>19</v>
      </c>
      <c r="AH1949">
        <v>0</v>
      </c>
      <c r="AI1949">
        <v>0</v>
      </c>
      <c r="AJ1949">
        <v>4</v>
      </c>
      <c r="AK1949">
        <v>4</v>
      </c>
      <c r="AL1949" t="s">
        <v>639</v>
      </c>
      <c r="AM1949" t="s">
        <v>640</v>
      </c>
      <c r="AN1949" t="s">
        <v>641</v>
      </c>
      <c r="AO1949" t="s">
        <v>10902</v>
      </c>
      <c r="AP1949" t="s">
        <v>10903</v>
      </c>
      <c r="AQ1949" t="s">
        <v>33233</v>
      </c>
      <c r="AR1949" t="s">
        <v>10905</v>
      </c>
      <c r="AS1949" t="s">
        <v>74</v>
      </c>
      <c r="AT1949" t="s">
        <v>74</v>
      </c>
      <c r="AU1949">
        <v>2024</v>
      </c>
      <c r="AV1949">
        <v>2151</v>
      </c>
      <c r="AW1949" t="s">
        <v>74</v>
      </c>
      <c r="AX1949" t="s">
        <v>74</v>
      </c>
      <c r="AY1949" t="s">
        <v>74</v>
      </c>
      <c r="AZ1949" t="s">
        <v>74</v>
      </c>
      <c r="BA1949" t="s">
        <v>74</v>
      </c>
      <c r="BB1949">
        <v>3</v>
      </c>
      <c r="BC1949">
        <v>10</v>
      </c>
      <c r="BD1949" t="s">
        <v>74</v>
      </c>
      <c r="BE1949" t="s">
        <v>33234</v>
      </c>
      <c r="BF1949" t="str">
        <f>HYPERLINK("http://dx.doi.org/10.1007/978-3-031-64312-5_1","http://dx.doi.org/10.1007/978-3-031-64312-5_1")</f>
        <v>http://dx.doi.org/10.1007/978-3-031-64312-5_1</v>
      </c>
      <c r="BG1949" t="s">
        <v>74</v>
      </c>
      <c r="BH1949" t="s">
        <v>74</v>
      </c>
      <c r="BI1949">
        <v>8</v>
      </c>
      <c r="BJ1949" t="s">
        <v>33235</v>
      </c>
      <c r="BK1949" t="s">
        <v>648</v>
      </c>
      <c r="BL1949" t="s">
        <v>2643</v>
      </c>
      <c r="BM1949" t="s">
        <v>33236</v>
      </c>
      <c r="BN1949" t="s">
        <v>74</v>
      </c>
      <c r="BO1949" t="s">
        <v>74</v>
      </c>
      <c r="BP1949" t="s">
        <v>74</v>
      </c>
      <c r="BQ1949" t="s">
        <v>74</v>
      </c>
      <c r="BR1949" t="s">
        <v>102</v>
      </c>
      <c r="BS1949" t="s">
        <v>33237</v>
      </c>
      <c r="BT1949" t="str">
        <f>HYPERLINK("https%3A%2F%2Fwww.webofscience.com%2Fwos%2Fwoscc%2Ffull-record%2FWOS:001312957200004","View Full Record in Web of Science")</f>
        <v>View Full Record in Web of Science</v>
      </c>
    </row>
    <row r="1950" spans="1:72" x14ac:dyDescent="0.35">
      <c r="A1950" t="s">
        <v>72</v>
      </c>
      <c r="B1950" t="s">
        <v>33238</v>
      </c>
      <c r="C1950" t="s">
        <v>74</v>
      </c>
      <c r="D1950" t="s">
        <v>74</v>
      </c>
      <c r="E1950" t="s">
        <v>74</v>
      </c>
      <c r="F1950" t="s">
        <v>33239</v>
      </c>
      <c r="G1950" t="s">
        <v>74</v>
      </c>
      <c r="H1950" t="s">
        <v>74</v>
      </c>
      <c r="I1950" t="s">
        <v>33240</v>
      </c>
      <c r="J1950" t="s">
        <v>25111</v>
      </c>
      <c r="K1950" t="s">
        <v>74</v>
      </c>
      <c r="L1950" t="s">
        <v>74</v>
      </c>
      <c r="M1950" t="s">
        <v>78</v>
      </c>
      <c r="N1950" t="s">
        <v>108</v>
      </c>
      <c r="O1950" t="s">
        <v>74</v>
      </c>
      <c r="P1950" t="s">
        <v>74</v>
      </c>
      <c r="Q1950" t="s">
        <v>74</v>
      </c>
      <c r="R1950" t="s">
        <v>74</v>
      </c>
      <c r="S1950" t="s">
        <v>74</v>
      </c>
      <c r="T1950" t="s">
        <v>33241</v>
      </c>
      <c r="U1950" t="s">
        <v>74</v>
      </c>
      <c r="V1950" t="s">
        <v>33242</v>
      </c>
      <c r="W1950" t="s">
        <v>33243</v>
      </c>
      <c r="X1950" t="s">
        <v>33244</v>
      </c>
      <c r="Y1950" t="s">
        <v>33245</v>
      </c>
      <c r="Z1950" t="s">
        <v>33246</v>
      </c>
      <c r="AA1950" t="s">
        <v>33247</v>
      </c>
      <c r="AB1950" t="s">
        <v>33248</v>
      </c>
      <c r="AC1950" t="s">
        <v>33249</v>
      </c>
      <c r="AD1950" t="s">
        <v>33250</v>
      </c>
      <c r="AE1950" t="s">
        <v>2921</v>
      </c>
      <c r="AF1950" t="s">
        <v>74</v>
      </c>
      <c r="AG1950">
        <v>40</v>
      </c>
      <c r="AH1950">
        <v>2</v>
      </c>
      <c r="AI1950">
        <v>2</v>
      </c>
      <c r="AJ1950">
        <v>5</v>
      </c>
      <c r="AK1950">
        <v>14</v>
      </c>
      <c r="AL1950" t="s">
        <v>25124</v>
      </c>
      <c r="AM1950" t="s">
        <v>18022</v>
      </c>
      <c r="AN1950" t="s">
        <v>25125</v>
      </c>
      <c r="AO1950" t="s">
        <v>25126</v>
      </c>
      <c r="AP1950" t="s">
        <v>74</v>
      </c>
      <c r="AQ1950" t="s">
        <v>74</v>
      </c>
      <c r="AR1950" t="s">
        <v>25111</v>
      </c>
      <c r="AS1950" t="s">
        <v>25127</v>
      </c>
      <c r="AT1950" t="s">
        <v>74</v>
      </c>
      <c r="AU1950">
        <v>2024</v>
      </c>
      <c r="AV1950">
        <v>12</v>
      </c>
      <c r="AW1950" t="s">
        <v>74</v>
      </c>
      <c r="AX1950" t="s">
        <v>74</v>
      </c>
      <c r="AY1950" t="s">
        <v>74</v>
      </c>
      <c r="AZ1950" t="s">
        <v>74</v>
      </c>
      <c r="BA1950" t="s">
        <v>74</v>
      </c>
      <c r="BB1950">
        <v>20830</v>
      </c>
      <c r="BC1950">
        <v>20839</v>
      </c>
      <c r="BD1950" t="s">
        <v>74</v>
      </c>
      <c r="BE1950" t="s">
        <v>33251</v>
      </c>
      <c r="BF1950" t="str">
        <f>HYPERLINK("http://dx.doi.org/10.1109/ACCESS.2024.3361680","http://dx.doi.org/10.1109/ACCESS.2024.3361680")</f>
        <v>http://dx.doi.org/10.1109/ACCESS.2024.3361680</v>
      </c>
      <c r="BG1950" t="s">
        <v>74</v>
      </c>
      <c r="BH1950" t="s">
        <v>74</v>
      </c>
      <c r="BI1950">
        <v>10</v>
      </c>
      <c r="BJ1950" t="s">
        <v>25129</v>
      </c>
      <c r="BK1950" t="s">
        <v>209</v>
      </c>
      <c r="BL1950" t="s">
        <v>25130</v>
      </c>
      <c r="BM1950" t="s">
        <v>33252</v>
      </c>
      <c r="BN1950" t="s">
        <v>74</v>
      </c>
      <c r="BO1950" t="s">
        <v>235</v>
      </c>
      <c r="BP1950" t="s">
        <v>74</v>
      </c>
      <c r="BQ1950" t="s">
        <v>74</v>
      </c>
      <c r="BR1950" t="s">
        <v>102</v>
      </c>
      <c r="BS1950" t="s">
        <v>33253</v>
      </c>
      <c r="BT1950" t="str">
        <f>HYPERLINK("https%3A%2F%2Fwww.webofscience.com%2Fwos%2Fwoscc%2Ffull-record%2FWOS:001161987600001","View Full Record in Web of Science")</f>
        <v>View Full Record in Web of Science</v>
      </c>
    </row>
    <row r="1951" spans="1:72" x14ac:dyDescent="0.35">
      <c r="A1951" t="s">
        <v>72</v>
      </c>
      <c r="B1951" t="s">
        <v>33254</v>
      </c>
      <c r="C1951" t="s">
        <v>74</v>
      </c>
      <c r="D1951" t="s">
        <v>74</v>
      </c>
      <c r="E1951" t="s">
        <v>74</v>
      </c>
      <c r="F1951" t="s">
        <v>33255</v>
      </c>
      <c r="G1951" t="s">
        <v>74</v>
      </c>
      <c r="H1951" t="s">
        <v>74</v>
      </c>
      <c r="I1951" t="s">
        <v>33256</v>
      </c>
      <c r="J1951" t="s">
        <v>17784</v>
      </c>
      <c r="K1951" t="s">
        <v>74</v>
      </c>
      <c r="L1951" t="s">
        <v>74</v>
      </c>
      <c r="M1951" t="s">
        <v>78</v>
      </c>
      <c r="N1951" t="s">
        <v>108</v>
      </c>
      <c r="O1951" t="s">
        <v>74</v>
      </c>
      <c r="P1951" t="s">
        <v>74</v>
      </c>
      <c r="Q1951" t="s">
        <v>74</v>
      </c>
      <c r="R1951" t="s">
        <v>74</v>
      </c>
      <c r="S1951" t="s">
        <v>74</v>
      </c>
      <c r="T1951" t="s">
        <v>33257</v>
      </c>
      <c r="U1951" t="s">
        <v>33258</v>
      </c>
      <c r="V1951" t="s">
        <v>33259</v>
      </c>
      <c r="W1951" t="s">
        <v>33260</v>
      </c>
      <c r="X1951" t="s">
        <v>25726</v>
      </c>
      <c r="Y1951" t="s">
        <v>33261</v>
      </c>
      <c r="Z1951" t="s">
        <v>33262</v>
      </c>
      <c r="AA1951" t="s">
        <v>74</v>
      </c>
      <c r="AB1951" t="s">
        <v>74</v>
      </c>
      <c r="AC1951" t="s">
        <v>74</v>
      </c>
      <c r="AD1951" t="s">
        <v>74</v>
      </c>
      <c r="AE1951" t="s">
        <v>74</v>
      </c>
      <c r="AF1951" t="s">
        <v>74</v>
      </c>
      <c r="AG1951">
        <v>37</v>
      </c>
      <c r="AH1951">
        <v>0</v>
      </c>
      <c r="AI1951">
        <v>0</v>
      </c>
      <c r="AJ1951">
        <v>0</v>
      </c>
      <c r="AK1951">
        <v>4</v>
      </c>
      <c r="AL1951" t="s">
        <v>17793</v>
      </c>
      <c r="AM1951" t="s">
        <v>12103</v>
      </c>
      <c r="AN1951" t="s">
        <v>17794</v>
      </c>
      <c r="AO1951" t="s">
        <v>74</v>
      </c>
      <c r="AP1951" t="s">
        <v>17795</v>
      </c>
      <c r="AQ1951" t="s">
        <v>74</v>
      </c>
      <c r="AR1951" t="s">
        <v>17796</v>
      </c>
      <c r="AS1951" t="s">
        <v>17797</v>
      </c>
      <c r="AT1951" t="s">
        <v>273</v>
      </c>
      <c r="AU1951">
        <v>2023</v>
      </c>
      <c r="AV1951">
        <v>15</v>
      </c>
      <c r="AW1951">
        <v>2</v>
      </c>
      <c r="AX1951" t="s">
        <v>74</v>
      </c>
      <c r="AY1951" t="s">
        <v>74</v>
      </c>
      <c r="AZ1951" t="s">
        <v>74</v>
      </c>
      <c r="BA1951" t="s">
        <v>74</v>
      </c>
      <c r="BB1951">
        <v>119</v>
      </c>
      <c r="BC1951">
        <v>132</v>
      </c>
      <c r="BD1951" t="s">
        <v>74</v>
      </c>
      <c r="BE1951" t="s">
        <v>74</v>
      </c>
      <c r="BF1951" t="s">
        <v>74</v>
      </c>
      <c r="BG1951" t="s">
        <v>74</v>
      </c>
      <c r="BH1951" t="s">
        <v>74</v>
      </c>
      <c r="BI1951">
        <v>14</v>
      </c>
      <c r="BJ1951" t="s">
        <v>124</v>
      </c>
      <c r="BK1951" t="s">
        <v>125</v>
      </c>
      <c r="BL1951" t="s">
        <v>124</v>
      </c>
      <c r="BM1951" t="s">
        <v>33263</v>
      </c>
      <c r="BN1951" t="s">
        <v>74</v>
      </c>
      <c r="BO1951" t="s">
        <v>74</v>
      </c>
      <c r="BP1951" t="s">
        <v>74</v>
      </c>
      <c r="BQ1951" t="s">
        <v>74</v>
      </c>
      <c r="BR1951" t="s">
        <v>102</v>
      </c>
      <c r="BS1951" t="s">
        <v>33264</v>
      </c>
      <c r="BT1951" t="str">
        <f>HYPERLINK("https%3A%2F%2Fwww.webofscience.com%2Fwos%2Fwoscc%2Ffull-record%2FWOS:001046134600008","View Full Record in Web of Science")</f>
        <v>View Full Record in Web of Science</v>
      </c>
    </row>
    <row r="1952" spans="1:72" x14ac:dyDescent="0.35">
      <c r="A1952" t="s">
        <v>72</v>
      </c>
      <c r="B1952" t="s">
        <v>33265</v>
      </c>
      <c r="C1952" t="s">
        <v>74</v>
      </c>
      <c r="D1952" t="s">
        <v>74</v>
      </c>
      <c r="E1952" t="s">
        <v>74</v>
      </c>
      <c r="F1952" t="s">
        <v>33266</v>
      </c>
      <c r="G1952" t="s">
        <v>74</v>
      </c>
      <c r="H1952" t="s">
        <v>74</v>
      </c>
      <c r="I1952" t="s">
        <v>33267</v>
      </c>
      <c r="J1952" t="s">
        <v>33268</v>
      </c>
      <c r="K1952" t="s">
        <v>74</v>
      </c>
      <c r="L1952" t="s">
        <v>74</v>
      </c>
      <c r="M1952" t="s">
        <v>78</v>
      </c>
      <c r="N1952" t="s">
        <v>79</v>
      </c>
      <c r="O1952" t="s">
        <v>74</v>
      </c>
      <c r="P1952" t="s">
        <v>74</v>
      </c>
      <c r="Q1952" t="s">
        <v>74</v>
      </c>
      <c r="R1952" t="s">
        <v>74</v>
      </c>
      <c r="S1952" t="s">
        <v>74</v>
      </c>
      <c r="T1952" t="s">
        <v>33269</v>
      </c>
      <c r="U1952" t="s">
        <v>33270</v>
      </c>
      <c r="V1952" t="s">
        <v>33271</v>
      </c>
      <c r="W1952" t="s">
        <v>33272</v>
      </c>
      <c r="X1952" t="s">
        <v>74</v>
      </c>
      <c r="Y1952" t="s">
        <v>33273</v>
      </c>
      <c r="Z1952" t="s">
        <v>33274</v>
      </c>
      <c r="AA1952" t="s">
        <v>74</v>
      </c>
      <c r="AB1952" t="s">
        <v>74</v>
      </c>
      <c r="AC1952" t="s">
        <v>33275</v>
      </c>
      <c r="AD1952" t="s">
        <v>33276</v>
      </c>
      <c r="AE1952" t="s">
        <v>33277</v>
      </c>
      <c r="AF1952" t="s">
        <v>74</v>
      </c>
      <c r="AG1952">
        <v>52</v>
      </c>
      <c r="AH1952">
        <v>0</v>
      </c>
      <c r="AI1952">
        <v>0</v>
      </c>
      <c r="AJ1952">
        <v>0</v>
      </c>
      <c r="AK1952">
        <v>0</v>
      </c>
      <c r="AL1952" t="s">
        <v>251</v>
      </c>
      <c r="AM1952" t="s">
        <v>252</v>
      </c>
      <c r="AN1952" t="s">
        <v>253</v>
      </c>
      <c r="AO1952" t="s">
        <v>33278</v>
      </c>
      <c r="AP1952" t="s">
        <v>33279</v>
      </c>
      <c r="AQ1952" t="s">
        <v>74</v>
      </c>
      <c r="AR1952" t="s">
        <v>33280</v>
      </c>
      <c r="AS1952" t="s">
        <v>33281</v>
      </c>
      <c r="AT1952" t="s">
        <v>33282</v>
      </c>
      <c r="AU1952">
        <v>2024</v>
      </c>
      <c r="AV1952" t="s">
        <v>74</v>
      </c>
      <c r="AW1952" t="s">
        <v>74</v>
      </c>
      <c r="AX1952" t="s">
        <v>74</v>
      </c>
      <c r="AY1952" t="s">
        <v>74</v>
      </c>
      <c r="AZ1952" t="s">
        <v>74</v>
      </c>
      <c r="BA1952" t="s">
        <v>74</v>
      </c>
      <c r="BB1952" t="s">
        <v>74</v>
      </c>
      <c r="BC1952" t="s">
        <v>74</v>
      </c>
      <c r="BD1952" t="s">
        <v>74</v>
      </c>
      <c r="BE1952" t="s">
        <v>33283</v>
      </c>
      <c r="BF1952" t="str">
        <f>HYPERLINK("http://dx.doi.org/10.1111/ijal.12649","http://dx.doi.org/10.1111/ijal.12649")</f>
        <v>http://dx.doi.org/10.1111/ijal.12649</v>
      </c>
      <c r="BG1952" t="s">
        <v>74</v>
      </c>
      <c r="BH1952" t="s">
        <v>4092</v>
      </c>
      <c r="BI1952">
        <v>12</v>
      </c>
      <c r="BJ1952" t="s">
        <v>7934</v>
      </c>
      <c r="BK1952" t="s">
        <v>2125</v>
      </c>
      <c r="BL1952" t="s">
        <v>7935</v>
      </c>
      <c r="BM1952" t="s">
        <v>33284</v>
      </c>
      <c r="BN1952" t="s">
        <v>74</v>
      </c>
      <c r="BO1952" t="s">
        <v>74</v>
      </c>
      <c r="BP1952" t="s">
        <v>74</v>
      </c>
      <c r="BQ1952" t="s">
        <v>74</v>
      </c>
      <c r="BR1952" t="s">
        <v>102</v>
      </c>
      <c r="BS1952" t="s">
        <v>33285</v>
      </c>
      <c r="BT1952" t="str">
        <f>HYPERLINK("https%3A%2F%2Fwww.webofscience.com%2Fwos%2Fwoscc%2Ffull-record%2FWOS:001354152800001","View Full Record in Web of Science")</f>
        <v>View Full Record in Web of Science</v>
      </c>
    </row>
    <row r="1953" spans="1:72" x14ac:dyDescent="0.35">
      <c r="A1953" t="s">
        <v>72</v>
      </c>
      <c r="B1953" t="s">
        <v>33286</v>
      </c>
      <c r="C1953" t="s">
        <v>74</v>
      </c>
      <c r="D1953" t="s">
        <v>74</v>
      </c>
      <c r="E1953" t="s">
        <v>74</v>
      </c>
      <c r="F1953" t="s">
        <v>33287</v>
      </c>
      <c r="G1953" t="s">
        <v>74</v>
      </c>
      <c r="H1953" t="s">
        <v>74</v>
      </c>
      <c r="I1953" t="s">
        <v>33288</v>
      </c>
      <c r="J1953" t="s">
        <v>33026</v>
      </c>
      <c r="K1953" t="s">
        <v>74</v>
      </c>
      <c r="L1953" t="s">
        <v>74</v>
      </c>
      <c r="M1953" t="s">
        <v>3503</v>
      </c>
      <c r="N1953" t="s">
        <v>108</v>
      </c>
      <c r="O1953" t="s">
        <v>74</v>
      </c>
      <c r="P1953" t="s">
        <v>74</v>
      </c>
      <c r="Q1953" t="s">
        <v>74</v>
      </c>
      <c r="R1953" t="s">
        <v>74</v>
      </c>
      <c r="S1953" t="s">
        <v>74</v>
      </c>
      <c r="T1953" t="s">
        <v>33289</v>
      </c>
      <c r="U1953" t="s">
        <v>74</v>
      </c>
      <c r="V1953" t="s">
        <v>33290</v>
      </c>
      <c r="W1953" t="s">
        <v>33291</v>
      </c>
      <c r="X1953" t="s">
        <v>74</v>
      </c>
      <c r="Y1953" t="s">
        <v>33292</v>
      </c>
      <c r="Z1953" t="s">
        <v>33293</v>
      </c>
      <c r="AA1953" t="s">
        <v>33294</v>
      </c>
      <c r="AB1953" t="s">
        <v>33295</v>
      </c>
      <c r="AC1953" t="s">
        <v>74</v>
      </c>
      <c r="AD1953" t="s">
        <v>74</v>
      </c>
      <c r="AE1953" t="s">
        <v>74</v>
      </c>
      <c r="AF1953" t="s">
        <v>74</v>
      </c>
      <c r="AG1953">
        <v>29</v>
      </c>
      <c r="AH1953">
        <v>0</v>
      </c>
      <c r="AI1953">
        <v>0</v>
      </c>
      <c r="AJ1953">
        <v>8</v>
      </c>
      <c r="AK1953">
        <v>10</v>
      </c>
      <c r="AL1953" t="s">
        <v>33032</v>
      </c>
      <c r="AM1953" t="s">
        <v>15719</v>
      </c>
      <c r="AN1953" t="s">
        <v>33033</v>
      </c>
      <c r="AO1953" t="s">
        <v>33034</v>
      </c>
      <c r="AP1953" t="s">
        <v>74</v>
      </c>
      <c r="AQ1953" t="s">
        <v>74</v>
      </c>
      <c r="AR1953" t="s">
        <v>33035</v>
      </c>
      <c r="AS1953" t="s">
        <v>33036</v>
      </c>
      <c r="AT1953" t="s">
        <v>1275</v>
      </c>
      <c r="AU1953">
        <v>2023</v>
      </c>
      <c r="AV1953">
        <v>13</v>
      </c>
      <c r="AW1953">
        <v>26</v>
      </c>
      <c r="AX1953" t="s">
        <v>74</v>
      </c>
      <c r="AY1953" t="s">
        <v>74</v>
      </c>
      <c r="AZ1953" t="s">
        <v>74</v>
      </c>
      <c r="BA1953" t="s">
        <v>74</v>
      </c>
      <c r="BB1953">
        <v>141</v>
      </c>
      <c r="BC1953">
        <v>160</v>
      </c>
      <c r="BD1953" t="s">
        <v>74</v>
      </c>
      <c r="BE1953" t="s">
        <v>33296</v>
      </c>
      <c r="BF1953" t="str">
        <f>HYPERLINK("http://dx.doi.org/10.5783/revrrpp.v13i26.847","http://dx.doi.org/10.5783/revrrpp.v13i26.847")</f>
        <v>http://dx.doi.org/10.5783/revrrpp.v13i26.847</v>
      </c>
      <c r="BG1953" t="s">
        <v>74</v>
      </c>
      <c r="BH1953" t="s">
        <v>74</v>
      </c>
      <c r="BI1953">
        <v>20</v>
      </c>
      <c r="BJ1953" t="s">
        <v>124</v>
      </c>
      <c r="BK1953" t="s">
        <v>125</v>
      </c>
      <c r="BL1953" t="s">
        <v>124</v>
      </c>
      <c r="BM1953" t="s">
        <v>33297</v>
      </c>
      <c r="BN1953" t="s">
        <v>74</v>
      </c>
      <c r="BO1953" t="s">
        <v>235</v>
      </c>
      <c r="BP1953" t="s">
        <v>74</v>
      </c>
      <c r="BQ1953" t="s">
        <v>74</v>
      </c>
      <c r="BR1953" t="s">
        <v>102</v>
      </c>
      <c r="BS1953" t="s">
        <v>33298</v>
      </c>
      <c r="BT1953" t="str">
        <f>HYPERLINK("https%3A%2F%2Fwww.webofscience.com%2Fwos%2Fwoscc%2Ffull-record%2FWOS:001136718300006","View Full Record in Web of Science")</f>
        <v>View Full Record in Web of Science</v>
      </c>
    </row>
    <row r="1954" spans="1:72" x14ac:dyDescent="0.35">
      <c r="A1954" t="s">
        <v>72</v>
      </c>
      <c r="B1954" t="s">
        <v>33299</v>
      </c>
      <c r="C1954" t="s">
        <v>74</v>
      </c>
      <c r="D1954" t="s">
        <v>74</v>
      </c>
      <c r="E1954" t="s">
        <v>74</v>
      </c>
      <c r="F1954" t="s">
        <v>33300</v>
      </c>
      <c r="G1954" t="s">
        <v>74</v>
      </c>
      <c r="H1954" t="s">
        <v>74</v>
      </c>
      <c r="I1954" t="s">
        <v>33301</v>
      </c>
      <c r="J1954" t="s">
        <v>33302</v>
      </c>
      <c r="K1954" t="s">
        <v>74</v>
      </c>
      <c r="L1954" t="s">
        <v>74</v>
      </c>
      <c r="M1954" t="s">
        <v>78</v>
      </c>
      <c r="N1954" t="s">
        <v>108</v>
      </c>
      <c r="O1954" t="s">
        <v>74</v>
      </c>
      <c r="P1954" t="s">
        <v>74</v>
      </c>
      <c r="Q1954" t="s">
        <v>74</v>
      </c>
      <c r="R1954" t="s">
        <v>74</v>
      </c>
      <c r="S1954" t="s">
        <v>74</v>
      </c>
      <c r="T1954" t="s">
        <v>74</v>
      </c>
      <c r="U1954" t="s">
        <v>33303</v>
      </c>
      <c r="V1954" t="s">
        <v>33304</v>
      </c>
      <c r="W1954" t="s">
        <v>33305</v>
      </c>
      <c r="X1954" t="s">
        <v>33306</v>
      </c>
      <c r="Y1954" t="s">
        <v>33307</v>
      </c>
      <c r="Z1954" t="s">
        <v>33308</v>
      </c>
      <c r="AA1954" t="s">
        <v>33309</v>
      </c>
      <c r="AB1954" t="s">
        <v>33310</v>
      </c>
      <c r="AC1954" t="s">
        <v>74</v>
      </c>
      <c r="AD1954" t="s">
        <v>74</v>
      </c>
      <c r="AE1954" t="s">
        <v>74</v>
      </c>
      <c r="AF1954" t="s">
        <v>74</v>
      </c>
      <c r="AG1954">
        <v>141</v>
      </c>
      <c r="AH1954">
        <v>0</v>
      </c>
      <c r="AI1954">
        <v>0</v>
      </c>
      <c r="AJ1954">
        <v>3</v>
      </c>
      <c r="AK1954">
        <v>3</v>
      </c>
      <c r="AL1954" t="s">
        <v>994</v>
      </c>
      <c r="AM1954" t="s">
        <v>995</v>
      </c>
      <c r="AN1954" t="s">
        <v>996</v>
      </c>
      <c r="AO1954" t="s">
        <v>33311</v>
      </c>
      <c r="AP1954" t="s">
        <v>33312</v>
      </c>
      <c r="AQ1954" t="s">
        <v>74</v>
      </c>
      <c r="AR1954" t="s">
        <v>33313</v>
      </c>
      <c r="AS1954" t="s">
        <v>33314</v>
      </c>
      <c r="AT1954" t="s">
        <v>2296</v>
      </c>
      <c r="AU1954">
        <v>2024</v>
      </c>
      <c r="AV1954">
        <v>38</v>
      </c>
      <c r="AW1954">
        <v>1</v>
      </c>
      <c r="AX1954" t="s">
        <v>74</v>
      </c>
      <c r="AY1954" t="s">
        <v>74</v>
      </c>
      <c r="AZ1954" t="s">
        <v>74</v>
      </c>
      <c r="BA1954" t="s">
        <v>74</v>
      </c>
      <c r="BB1954" t="s">
        <v>74</v>
      </c>
      <c r="BC1954" t="s">
        <v>74</v>
      </c>
      <c r="BD1954">
        <v>2389501</v>
      </c>
      <c r="BE1954" t="s">
        <v>33315</v>
      </c>
      <c r="BF1954" t="str">
        <f>HYPERLINK("http://dx.doi.org/10.1080/08839514.2024.2389501","http://dx.doi.org/10.1080/08839514.2024.2389501")</f>
        <v>http://dx.doi.org/10.1080/08839514.2024.2389501</v>
      </c>
      <c r="BG1954" t="s">
        <v>74</v>
      </c>
      <c r="BH1954" t="s">
        <v>74</v>
      </c>
      <c r="BI1954">
        <v>35</v>
      </c>
      <c r="BJ1954" t="s">
        <v>33316</v>
      </c>
      <c r="BK1954" t="s">
        <v>209</v>
      </c>
      <c r="BL1954" t="s">
        <v>1113</v>
      </c>
      <c r="BM1954" t="s">
        <v>33317</v>
      </c>
      <c r="BN1954" t="s">
        <v>74</v>
      </c>
      <c r="BO1954" t="s">
        <v>235</v>
      </c>
      <c r="BP1954" t="s">
        <v>74</v>
      </c>
      <c r="BQ1954" t="s">
        <v>74</v>
      </c>
      <c r="BR1954" t="s">
        <v>102</v>
      </c>
      <c r="BS1954" t="s">
        <v>33318</v>
      </c>
      <c r="BT1954" t="str">
        <f>HYPERLINK("https%3A%2F%2Fwww.webofscience.com%2Fwos%2Fwoscc%2Ffull-record%2FWOS:001298461800001","View Full Record in Web of Science")</f>
        <v>View Full Record in Web of Science</v>
      </c>
    </row>
    <row r="1955" spans="1:72" x14ac:dyDescent="0.35">
      <c r="A1955" t="s">
        <v>128</v>
      </c>
      <c r="B1955" t="s">
        <v>33319</v>
      </c>
      <c r="C1955" t="s">
        <v>74</v>
      </c>
      <c r="D1955" t="s">
        <v>33320</v>
      </c>
      <c r="E1955" t="s">
        <v>74</v>
      </c>
      <c r="F1955" t="s">
        <v>33321</v>
      </c>
      <c r="G1955" t="s">
        <v>74</v>
      </c>
      <c r="H1955" t="s">
        <v>74</v>
      </c>
      <c r="I1955" t="s">
        <v>33322</v>
      </c>
      <c r="J1955" t="s">
        <v>33323</v>
      </c>
      <c r="K1955" t="s">
        <v>33324</v>
      </c>
      <c r="L1955" t="s">
        <v>74</v>
      </c>
      <c r="M1955" t="s">
        <v>78</v>
      </c>
      <c r="N1955" t="s">
        <v>135</v>
      </c>
      <c r="O1955" t="s">
        <v>33325</v>
      </c>
      <c r="P1955" t="s">
        <v>26131</v>
      </c>
      <c r="Q1955" t="s">
        <v>33326</v>
      </c>
      <c r="R1955" t="s">
        <v>33327</v>
      </c>
      <c r="S1955" t="s">
        <v>74</v>
      </c>
      <c r="T1955" t="s">
        <v>33328</v>
      </c>
      <c r="U1955" t="s">
        <v>74</v>
      </c>
      <c r="V1955" t="s">
        <v>33329</v>
      </c>
      <c r="W1955" t="s">
        <v>33330</v>
      </c>
      <c r="X1955" t="s">
        <v>33331</v>
      </c>
      <c r="Y1955" t="s">
        <v>33332</v>
      </c>
      <c r="Z1955" t="s">
        <v>33333</v>
      </c>
      <c r="AA1955" t="s">
        <v>33334</v>
      </c>
      <c r="AB1955" t="s">
        <v>74</v>
      </c>
      <c r="AC1955" t="s">
        <v>74</v>
      </c>
      <c r="AD1955" t="s">
        <v>74</v>
      </c>
      <c r="AE1955" t="s">
        <v>74</v>
      </c>
      <c r="AF1955" t="s">
        <v>74</v>
      </c>
      <c r="AG1955">
        <v>39</v>
      </c>
      <c r="AH1955">
        <v>0</v>
      </c>
      <c r="AI1955">
        <v>0</v>
      </c>
      <c r="AJ1955">
        <v>5</v>
      </c>
      <c r="AK1955">
        <v>5</v>
      </c>
      <c r="AL1955" t="s">
        <v>639</v>
      </c>
      <c r="AM1955" t="s">
        <v>640</v>
      </c>
      <c r="AN1955" t="s">
        <v>641</v>
      </c>
      <c r="AO1955" t="s">
        <v>33335</v>
      </c>
      <c r="AP1955" t="s">
        <v>33336</v>
      </c>
      <c r="AQ1955" t="s">
        <v>33337</v>
      </c>
      <c r="AR1955" t="s">
        <v>33338</v>
      </c>
      <c r="AS1955" t="s">
        <v>74</v>
      </c>
      <c r="AT1955" t="s">
        <v>74</v>
      </c>
      <c r="AU1955">
        <v>2024</v>
      </c>
      <c r="AV1955">
        <v>707</v>
      </c>
      <c r="AW1955" t="s">
        <v>74</v>
      </c>
      <c r="AX1955" t="s">
        <v>74</v>
      </c>
      <c r="AY1955" t="s">
        <v>74</v>
      </c>
      <c r="AZ1955" t="s">
        <v>74</v>
      </c>
      <c r="BA1955" t="s">
        <v>74</v>
      </c>
      <c r="BB1955">
        <v>83</v>
      </c>
      <c r="BC1955">
        <v>96</v>
      </c>
      <c r="BD1955" t="s">
        <v>74</v>
      </c>
      <c r="BE1955" t="s">
        <v>33339</v>
      </c>
      <c r="BF1955" t="str">
        <f>HYPERLINK("http://dx.doi.org/10.1007/978-3-031-62918-1_6","http://dx.doi.org/10.1007/978-3-031-62918-1_6")</f>
        <v>http://dx.doi.org/10.1007/978-3-031-62918-1_6</v>
      </c>
      <c r="BG1955" t="s">
        <v>74</v>
      </c>
      <c r="BH1955" t="s">
        <v>74</v>
      </c>
      <c r="BI1955">
        <v>14</v>
      </c>
      <c r="BJ1955" t="s">
        <v>33340</v>
      </c>
      <c r="BK1955" t="s">
        <v>648</v>
      </c>
      <c r="BL1955" t="s">
        <v>787</v>
      </c>
      <c r="BM1955" t="s">
        <v>33341</v>
      </c>
      <c r="BN1955" t="s">
        <v>74</v>
      </c>
      <c r="BO1955" t="s">
        <v>74</v>
      </c>
      <c r="BP1955" t="s">
        <v>74</v>
      </c>
      <c r="BQ1955" t="s">
        <v>74</v>
      </c>
      <c r="BR1955" t="s">
        <v>102</v>
      </c>
      <c r="BS1955" t="s">
        <v>33342</v>
      </c>
      <c r="BT1955" t="str">
        <f>HYPERLINK("https%3A%2F%2Fwww.webofscience.com%2Fwos%2Fwoscc%2Ffull-record%2FWOS:001295298300006","View Full Record in Web of Science")</f>
        <v>View Full Record in Web of Science</v>
      </c>
    </row>
    <row r="1956" spans="1:72" x14ac:dyDescent="0.35">
      <c r="A1956" t="s">
        <v>72</v>
      </c>
      <c r="B1956" t="s">
        <v>33343</v>
      </c>
      <c r="C1956" t="s">
        <v>74</v>
      </c>
      <c r="D1956" t="s">
        <v>74</v>
      </c>
      <c r="E1956" t="s">
        <v>74</v>
      </c>
      <c r="F1956" t="s">
        <v>33344</v>
      </c>
      <c r="G1956" t="s">
        <v>74</v>
      </c>
      <c r="H1956" t="s">
        <v>74</v>
      </c>
      <c r="I1956" t="s">
        <v>33345</v>
      </c>
      <c r="J1956" t="s">
        <v>33346</v>
      </c>
      <c r="K1956" t="s">
        <v>74</v>
      </c>
      <c r="L1956" t="s">
        <v>74</v>
      </c>
      <c r="M1956" t="s">
        <v>78</v>
      </c>
      <c r="N1956" t="s">
        <v>108</v>
      </c>
      <c r="O1956" t="s">
        <v>74</v>
      </c>
      <c r="P1956" t="s">
        <v>74</v>
      </c>
      <c r="Q1956" t="s">
        <v>74</v>
      </c>
      <c r="R1956" t="s">
        <v>74</v>
      </c>
      <c r="S1956" t="s">
        <v>74</v>
      </c>
      <c r="T1956" t="s">
        <v>33347</v>
      </c>
      <c r="U1956" t="s">
        <v>33348</v>
      </c>
      <c r="V1956" t="s">
        <v>33349</v>
      </c>
      <c r="W1956" t="s">
        <v>33350</v>
      </c>
      <c r="X1956" t="s">
        <v>33351</v>
      </c>
      <c r="Y1956" t="s">
        <v>33352</v>
      </c>
      <c r="Z1956" t="s">
        <v>33353</v>
      </c>
      <c r="AA1956" t="s">
        <v>33354</v>
      </c>
      <c r="AB1956" t="s">
        <v>74</v>
      </c>
      <c r="AC1956" t="s">
        <v>74</v>
      </c>
      <c r="AD1956" t="s">
        <v>74</v>
      </c>
      <c r="AE1956" t="s">
        <v>74</v>
      </c>
      <c r="AF1956" t="s">
        <v>74</v>
      </c>
      <c r="AG1956">
        <v>143</v>
      </c>
      <c r="AH1956">
        <v>0</v>
      </c>
      <c r="AI1956">
        <v>0</v>
      </c>
      <c r="AJ1956">
        <v>20</v>
      </c>
      <c r="AK1956">
        <v>30</v>
      </c>
      <c r="AL1956" t="s">
        <v>3632</v>
      </c>
      <c r="AM1956" t="s">
        <v>148</v>
      </c>
      <c r="AN1956" t="s">
        <v>5053</v>
      </c>
      <c r="AO1956" t="s">
        <v>33355</v>
      </c>
      <c r="AP1956" t="s">
        <v>33356</v>
      </c>
      <c r="AQ1956" t="s">
        <v>74</v>
      </c>
      <c r="AR1956" t="s">
        <v>33357</v>
      </c>
      <c r="AS1956" t="s">
        <v>33358</v>
      </c>
      <c r="AT1956" t="s">
        <v>930</v>
      </c>
      <c r="AU1956">
        <v>2024</v>
      </c>
      <c r="AV1956">
        <v>75</v>
      </c>
      <c r="AW1956" t="s">
        <v>74</v>
      </c>
      <c r="AX1956" t="s">
        <v>74</v>
      </c>
      <c r="AY1956" t="s">
        <v>74</v>
      </c>
      <c r="AZ1956" t="s">
        <v>74</v>
      </c>
      <c r="BA1956" t="s">
        <v>74</v>
      </c>
      <c r="BB1956" t="s">
        <v>74</v>
      </c>
      <c r="BC1956" t="s">
        <v>74</v>
      </c>
      <c r="BD1956">
        <v>102743</v>
      </c>
      <c r="BE1956" t="s">
        <v>33359</v>
      </c>
      <c r="BF1956" t="str">
        <f>HYPERLINK("http://dx.doi.org/10.1016/j.ijinfomgt.2023.102743","http://dx.doi.org/10.1016/j.ijinfomgt.2023.102743")</f>
        <v>http://dx.doi.org/10.1016/j.ijinfomgt.2023.102743</v>
      </c>
      <c r="BG1956" t="s">
        <v>74</v>
      </c>
      <c r="BH1956" t="s">
        <v>1449</v>
      </c>
      <c r="BI1956">
        <v>13</v>
      </c>
      <c r="BJ1956" t="s">
        <v>1162</v>
      </c>
      <c r="BK1956" t="s">
        <v>99</v>
      </c>
      <c r="BL1956" t="s">
        <v>1162</v>
      </c>
      <c r="BM1956" t="s">
        <v>33360</v>
      </c>
      <c r="BN1956" t="s">
        <v>74</v>
      </c>
      <c r="BO1956" t="s">
        <v>23381</v>
      </c>
      <c r="BP1956" t="s">
        <v>74</v>
      </c>
      <c r="BQ1956" t="s">
        <v>74</v>
      </c>
      <c r="BR1956" t="s">
        <v>102</v>
      </c>
      <c r="BS1956" t="s">
        <v>33361</v>
      </c>
      <c r="BT1956" t="str">
        <f>HYPERLINK("https%3A%2F%2Fwww.webofscience.com%2Fwos%2Fwoscc%2Ffull-record%2FWOS:001165918900001","View Full Record in Web of Science")</f>
        <v>View Full Record in Web of Science</v>
      </c>
    </row>
    <row r="1957" spans="1:72" x14ac:dyDescent="0.35">
      <c r="A1957" t="s">
        <v>72</v>
      </c>
      <c r="B1957" t="s">
        <v>33362</v>
      </c>
      <c r="C1957" t="s">
        <v>74</v>
      </c>
      <c r="D1957" t="s">
        <v>74</v>
      </c>
      <c r="E1957" t="s">
        <v>74</v>
      </c>
      <c r="F1957" t="s">
        <v>33363</v>
      </c>
      <c r="G1957" t="s">
        <v>74</v>
      </c>
      <c r="H1957" t="s">
        <v>74</v>
      </c>
      <c r="I1957" t="s">
        <v>33364</v>
      </c>
      <c r="J1957" t="s">
        <v>33365</v>
      </c>
      <c r="K1957" t="s">
        <v>74</v>
      </c>
      <c r="L1957" t="s">
        <v>74</v>
      </c>
      <c r="M1957" t="s">
        <v>78</v>
      </c>
      <c r="N1957" t="s">
        <v>108</v>
      </c>
      <c r="O1957" t="s">
        <v>74</v>
      </c>
      <c r="P1957" t="s">
        <v>74</v>
      </c>
      <c r="Q1957" t="s">
        <v>74</v>
      </c>
      <c r="R1957" t="s">
        <v>74</v>
      </c>
      <c r="S1957" t="s">
        <v>74</v>
      </c>
      <c r="T1957" t="s">
        <v>33366</v>
      </c>
      <c r="U1957" t="s">
        <v>33367</v>
      </c>
      <c r="V1957" t="s">
        <v>33368</v>
      </c>
      <c r="W1957" t="s">
        <v>33369</v>
      </c>
      <c r="X1957" t="s">
        <v>33370</v>
      </c>
      <c r="Y1957" t="s">
        <v>33371</v>
      </c>
      <c r="Z1957" t="s">
        <v>33372</v>
      </c>
      <c r="AA1957" t="s">
        <v>74</v>
      </c>
      <c r="AB1957" t="s">
        <v>33373</v>
      </c>
      <c r="AC1957" t="s">
        <v>74</v>
      </c>
      <c r="AD1957" t="s">
        <v>74</v>
      </c>
      <c r="AE1957" t="s">
        <v>74</v>
      </c>
      <c r="AF1957" t="s">
        <v>74</v>
      </c>
      <c r="AG1957">
        <v>95</v>
      </c>
      <c r="AH1957">
        <v>24</v>
      </c>
      <c r="AI1957">
        <v>24</v>
      </c>
      <c r="AJ1957">
        <v>7</v>
      </c>
      <c r="AK1957">
        <v>21</v>
      </c>
      <c r="AL1957" t="s">
        <v>1129</v>
      </c>
      <c r="AM1957" t="s">
        <v>89</v>
      </c>
      <c r="AN1957" t="s">
        <v>1130</v>
      </c>
      <c r="AO1957" t="s">
        <v>33374</v>
      </c>
      <c r="AP1957" t="s">
        <v>33375</v>
      </c>
      <c r="AQ1957" t="s">
        <v>74</v>
      </c>
      <c r="AR1957" t="s">
        <v>33376</v>
      </c>
      <c r="AS1957" t="s">
        <v>33377</v>
      </c>
      <c r="AT1957" t="s">
        <v>20753</v>
      </c>
      <c r="AU1957">
        <v>2024</v>
      </c>
      <c r="AV1957">
        <v>31</v>
      </c>
      <c r="AW1957">
        <v>2</v>
      </c>
      <c r="AX1957" t="s">
        <v>74</v>
      </c>
      <c r="AY1957" t="s">
        <v>74</v>
      </c>
      <c r="AZ1957" t="s">
        <v>74</v>
      </c>
      <c r="BA1957" t="s">
        <v>74</v>
      </c>
      <c r="BB1957">
        <v>257</v>
      </c>
      <c r="BC1957">
        <v>270</v>
      </c>
      <c r="BD1957" t="s">
        <v>74</v>
      </c>
      <c r="BE1957" t="s">
        <v>33378</v>
      </c>
      <c r="BF1957" t="str">
        <f>HYPERLINK("http://dx.doi.org/10.1080/09687637.2023.2176286","http://dx.doi.org/10.1080/09687637.2023.2176286")</f>
        <v>http://dx.doi.org/10.1080/09687637.2023.2176286</v>
      </c>
      <c r="BG1957" t="s">
        <v>74</v>
      </c>
      <c r="BH1957" t="s">
        <v>6895</v>
      </c>
      <c r="BI1957">
        <v>14</v>
      </c>
      <c r="BJ1957" t="s">
        <v>4614</v>
      </c>
      <c r="BK1957" t="s">
        <v>99</v>
      </c>
      <c r="BL1957" t="s">
        <v>4614</v>
      </c>
      <c r="BM1957" t="s">
        <v>33379</v>
      </c>
      <c r="BN1957" t="s">
        <v>74</v>
      </c>
      <c r="BO1957" t="s">
        <v>74</v>
      </c>
      <c r="BP1957" t="s">
        <v>74</v>
      </c>
      <c r="BQ1957" t="s">
        <v>74</v>
      </c>
      <c r="BR1957" t="s">
        <v>102</v>
      </c>
      <c r="BS1957" t="s">
        <v>33380</v>
      </c>
      <c r="BT1957" t="str">
        <f>HYPERLINK("https%3A%2F%2Fwww.webofscience.com%2Fwos%2Fwoscc%2Ffull-record%2FWOS:000939870400001","View Full Record in Web of Science")</f>
        <v>View Full Record in Web of Science</v>
      </c>
    </row>
    <row r="1958" spans="1:72" x14ac:dyDescent="0.35">
      <c r="A1958" t="s">
        <v>128</v>
      </c>
      <c r="B1958" t="s">
        <v>33381</v>
      </c>
      <c r="C1958" t="s">
        <v>74</v>
      </c>
      <c r="D1958" t="s">
        <v>74</v>
      </c>
      <c r="E1958" t="s">
        <v>1990</v>
      </c>
      <c r="F1958" t="s">
        <v>33382</v>
      </c>
      <c r="G1958" t="s">
        <v>74</v>
      </c>
      <c r="H1958" t="s">
        <v>74</v>
      </c>
      <c r="I1958" t="s">
        <v>33383</v>
      </c>
      <c r="J1958" t="s">
        <v>33384</v>
      </c>
      <c r="K1958" t="s">
        <v>74</v>
      </c>
      <c r="L1958" t="s">
        <v>74</v>
      </c>
      <c r="M1958" t="s">
        <v>78</v>
      </c>
      <c r="N1958" t="s">
        <v>135</v>
      </c>
      <c r="O1958" t="s">
        <v>33385</v>
      </c>
      <c r="P1958" t="s">
        <v>33386</v>
      </c>
      <c r="Q1958" t="s">
        <v>33387</v>
      </c>
      <c r="R1958" t="s">
        <v>33388</v>
      </c>
      <c r="S1958" t="s">
        <v>74</v>
      </c>
      <c r="T1958" t="s">
        <v>33389</v>
      </c>
      <c r="U1958" t="s">
        <v>33390</v>
      </c>
      <c r="V1958" t="s">
        <v>33391</v>
      </c>
      <c r="W1958" t="s">
        <v>33392</v>
      </c>
      <c r="X1958" t="s">
        <v>33393</v>
      </c>
      <c r="Y1958" t="s">
        <v>33394</v>
      </c>
      <c r="Z1958" t="s">
        <v>33395</v>
      </c>
      <c r="AA1958" t="s">
        <v>33396</v>
      </c>
      <c r="AB1958" t="s">
        <v>33397</v>
      </c>
      <c r="AC1958" t="s">
        <v>33398</v>
      </c>
      <c r="AD1958" t="s">
        <v>33399</v>
      </c>
      <c r="AE1958" t="s">
        <v>33400</v>
      </c>
      <c r="AF1958" t="s">
        <v>74</v>
      </c>
      <c r="AG1958">
        <v>56</v>
      </c>
      <c r="AH1958">
        <v>0</v>
      </c>
      <c r="AI1958">
        <v>0</v>
      </c>
      <c r="AJ1958">
        <v>2</v>
      </c>
      <c r="AK1958">
        <v>2</v>
      </c>
      <c r="AL1958" t="s">
        <v>718</v>
      </c>
      <c r="AM1958" t="s">
        <v>666</v>
      </c>
      <c r="AN1958" t="s">
        <v>719</v>
      </c>
      <c r="AO1958" t="s">
        <v>74</v>
      </c>
      <c r="AP1958" t="s">
        <v>74</v>
      </c>
      <c r="AQ1958" t="s">
        <v>33401</v>
      </c>
      <c r="AR1958" t="s">
        <v>74</v>
      </c>
      <c r="AS1958" t="s">
        <v>74</v>
      </c>
      <c r="AT1958" t="s">
        <v>74</v>
      </c>
      <c r="AU1958">
        <v>2024</v>
      </c>
      <c r="AV1958" t="s">
        <v>74</v>
      </c>
      <c r="AW1958" t="s">
        <v>74</v>
      </c>
      <c r="AX1958" t="s">
        <v>74</v>
      </c>
      <c r="AY1958" t="s">
        <v>74</v>
      </c>
      <c r="AZ1958" t="s">
        <v>74</v>
      </c>
      <c r="BA1958" t="s">
        <v>74</v>
      </c>
      <c r="BB1958">
        <v>35</v>
      </c>
      <c r="BC1958">
        <v>50</v>
      </c>
      <c r="BD1958" t="s">
        <v>74</v>
      </c>
      <c r="BE1958" t="s">
        <v>33402</v>
      </c>
      <c r="BF1958" t="str">
        <f>HYPERLINK("http://dx.doi.org/10.1145/3640543.3645146","http://dx.doi.org/10.1145/3640543.3645146")</f>
        <v>http://dx.doi.org/10.1145/3640543.3645146</v>
      </c>
      <c r="BG1958" t="s">
        <v>74</v>
      </c>
      <c r="BH1958" t="s">
        <v>74</v>
      </c>
      <c r="BI1958">
        <v>16</v>
      </c>
      <c r="BJ1958" t="s">
        <v>2004</v>
      </c>
      <c r="BK1958" t="s">
        <v>723</v>
      </c>
      <c r="BL1958" t="s">
        <v>210</v>
      </c>
      <c r="BM1958" t="s">
        <v>33403</v>
      </c>
      <c r="BN1958" t="s">
        <v>74</v>
      </c>
      <c r="BO1958" t="s">
        <v>767</v>
      </c>
      <c r="BP1958" t="s">
        <v>74</v>
      </c>
      <c r="BQ1958" t="s">
        <v>74</v>
      </c>
      <c r="BR1958" t="s">
        <v>102</v>
      </c>
      <c r="BS1958" t="s">
        <v>33404</v>
      </c>
      <c r="BT1958" t="str">
        <f>HYPERLINK("https%3A%2F%2Fwww.webofscience.com%2Fwos%2Fwoscc%2Ffull-record%2FWOS:001209687500003","View Full Record in Web of Science")</f>
        <v>View Full Record in Web of Science</v>
      </c>
    </row>
    <row r="1959" spans="1:72" x14ac:dyDescent="0.35">
      <c r="A1959" t="s">
        <v>72</v>
      </c>
      <c r="B1959" t="s">
        <v>33405</v>
      </c>
      <c r="C1959" t="s">
        <v>74</v>
      </c>
      <c r="D1959" t="s">
        <v>74</v>
      </c>
      <c r="E1959" t="s">
        <v>74</v>
      </c>
      <c r="F1959" t="s">
        <v>33406</v>
      </c>
      <c r="G1959" t="s">
        <v>74</v>
      </c>
      <c r="H1959" t="s">
        <v>74</v>
      </c>
      <c r="I1959" t="s">
        <v>33407</v>
      </c>
      <c r="J1959" t="s">
        <v>29878</v>
      </c>
      <c r="K1959" t="s">
        <v>74</v>
      </c>
      <c r="L1959" t="s">
        <v>74</v>
      </c>
      <c r="M1959" t="s">
        <v>1556</v>
      </c>
      <c r="N1959" t="s">
        <v>108</v>
      </c>
      <c r="O1959" t="s">
        <v>74</v>
      </c>
      <c r="P1959" t="s">
        <v>74</v>
      </c>
      <c r="Q1959" t="s">
        <v>74</v>
      </c>
      <c r="R1959" t="s">
        <v>74</v>
      </c>
      <c r="S1959" t="s">
        <v>74</v>
      </c>
      <c r="T1959" t="s">
        <v>33408</v>
      </c>
      <c r="U1959" t="s">
        <v>218</v>
      </c>
      <c r="V1959" t="s">
        <v>33409</v>
      </c>
      <c r="W1959" t="s">
        <v>33410</v>
      </c>
      <c r="X1959" t="s">
        <v>33411</v>
      </c>
      <c r="Y1959" t="s">
        <v>33412</v>
      </c>
      <c r="Z1959" t="s">
        <v>33413</v>
      </c>
      <c r="AA1959" t="s">
        <v>33414</v>
      </c>
      <c r="AB1959" t="s">
        <v>74</v>
      </c>
      <c r="AC1959" t="s">
        <v>33415</v>
      </c>
      <c r="AD1959" t="s">
        <v>33416</v>
      </c>
      <c r="AE1959" t="s">
        <v>33417</v>
      </c>
      <c r="AF1959" t="s">
        <v>74</v>
      </c>
      <c r="AG1959">
        <v>16</v>
      </c>
      <c r="AH1959">
        <v>0</v>
      </c>
      <c r="AI1959">
        <v>0</v>
      </c>
      <c r="AJ1959">
        <v>4</v>
      </c>
      <c r="AK1959">
        <v>15</v>
      </c>
      <c r="AL1959" t="s">
        <v>29890</v>
      </c>
      <c r="AM1959" t="s">
        <v>29891</v>
      </c>
      <c r="AN1959" t="s">
        <v>29892</v>
      </c>
      <c r="AO1959" t="s">
        <v>29893</v>
      </c>
      <c r="AP1959" t="s">
        <v>74</v>
      </c>
      <c r="AQ1959" t="s">
        <v>74</v>
      </c>
      <c r="AR1959" t="s">
        <v>29894</v>
      </c>
      <c r="AS1959" t="s">
        <v>29895</v>
      </c>
      <c r="AT1959" t="s">
        <v>74</v>
      </c>
      <c r="AU1959">
        <v>2022</v>
      </c>
      <c r="AV1959" t="s">
        <v>74</v>
      </c>
      <c r="AW1959">
        <v>12</v>
      </c>
      <c r="AX1959" t="s">
        <v>74</v>
      </c>
      <c r="AY1959" t="s">
        <v>74</v>
      </c>
      <c r="AZ1959" t="s">
        <v>74</v>
      </c>
      <c r="BA1959" t="s">
        <v>74</v>
      </c>
      <c r="BB1959">
        <v>64</v>
      </c>
      <c r="BC1959">
        <v>75</v>
      </c>
      <c r="BD1959" t="s">
        <v>74</v>
      </c>
      <c r="BE1959" t="s">
        <v>33418</v>
      </c>
      <c r="BF1959" t="str">
        <f>HYPERLINK("http://dx.doi.org/10.31857/S013216250021398-0","http://dx.doi.org/10.31857/S013216250021398-0")</f>
        <v>http://dx.doi.org/10.31857/S013216250021398-0</v>
      </c>
      <c r="BG1959" t="s">
        <v>74</v>
      </c>
      <c r="BH1959" t="s">
        <v>74</v>
      </c>
      <c r="BI1959">
        <v>12</v>
      </c>
      <c r="BJ1959" t="s">
        <v>4573</v>
      </c>
      <c r="BK1959" t="s">
        <v>99</v>
      </c>
      <c r="BL1959" t="s">
        <v>4573</v>
      </c>
      <c r="BM1959" t="s">
        <v>33419</v>
      </c>
      <c r="BN1959" t="s">
        <v>74</v>
      </c>
      <c r="BO1959" t="s">
        <v>74</v>
      </c>
      <c r="BP1959" t="s">
        <v>74</v>
      </c>
      <c r="BQ1959" t="s">
        <v>74</v>
      </c>
      <c r="BR1959" t="s">
        <v>102</v>
      </c>
      <c r="BS1959" t="s">
        <v>33420</v>
      </c>
      <c r="BT1959" t="str">
        <f>HYPERLINK("https%3A%2F%2Fwww.webofscience.com%2Fwos%2Fwoscc%2Ffull-record%2FWOS:000927580100006","View Full Record in Web of Science")</f>
        <v>View Full Record in Web of Science</v>
      </c>
    </row>
    <row r="1960" spans="1:72" x14ac:dyDescent="0.35">
      <c r="A1960" t="s">
        <v>72</v>
      </c>
      <c r="B1960" t="s">
        <v>33421</v>
      </c>
      <c r="C1960" t="s">
        <v>74</v>
      </c>
      <c r="D1960" t="s">
        <v>74</v>
      </c>
      <c r="E1960" t="s">
        <v>74</v>
      </c>
      <c r="F1960" t="s">
        <v>33422</v>
      </c>
      <c r="G1960" t="s">
        <v>74</v>
      </c>
      <c r="H1960" t="s">
        <v>74</v>
      </c>
      <c r="I1960" t="s">
        <v>33423</v>
      </c>
      <c r="J1960" t="s">
        <v>33424</v>
      </c>
      <c r="K1960" t="s">
        <v>74</v>
      </c>
      <c r="L1960" t="s">
        <v>74</v>
      </c>
      <c r="M1960" t="s">
        <v>78</v>
      </c>
      <c r="N1960" t="s">
        <v>108</v>
      </c>
      <c r="O1960" t="s">
        <v>74</v>
      </c>
      <c r="P1960" t="s">
        <v>74</v>
      </c>
      <c r="Q1960" t="s">
        <v>74</v>
      </c>
      <c r="R1960" t="s">
        <v>74</v>
      </c>
      <c r="S1960" t="s">
        <v>74</v>
      </c>
      <c r="T1960" t="s">
        <v>33425</v>
      </c>
      <c r="U1960" t="s">
        <v>33426</v>
      </c>
      <c r="V1960" t="s">
        <v>33427</v>
      </c>
      <c r="W1960" t="s">
        <v>33428</v>
      </c>
      <c r="X1960" t="s">
        <v>74</v>
      </c>
      <c r="Y1960" t="s">
        <v>33429</v>
      </c>
      <c r="Z1960" t="s">
        <v>33430</v>
      </c>
      <c r="AA1960" t="s">
        <v>33431</v>
      </c>
      <c r="AB1960" t="s">
        <v>33432</v>
      </c>
      <c r="AC1960" t="s">
        <v>74</v>
      </c>
      <c r="AD1960" t="s">
        <v>74</v>
      </c>
      <c r="AE1960" t="s">
        <v>74</v>
      </c>
      <c r="AF1960" t="s">
        <v>74</v>
      </c>
      <c r="AG1960">
        <v>69</v>
      </c>
      <c r="AH1960">
        <v>2</v>
      </c>
      <c r="AI1960">
        <v>2</v>
      </c>
      <c r="AJ1960">
        <v>23</v>
      </c>
      <c r="AK1960">
        <v>23</v>
      </c>
      <c r="AL1960" t="s">
        <v>199</v>
      </c>
      <c r="AM1960" t="s">
        <v>200</v>
      </c>
      <c r="AN1960" t="s">
        <v>471</v>
      </c>
      <c r="AO1960" t="s">
        <v>33433</v>
      </c>
      <c r="AP1960" t="s">
        <v>33434</v>
      </c>
      <c r="AQ1960" t="s">
        <v>74</v>
      </c>
      <c r="AR1960" t="s">
        <v>33435</v>
      </c>
      <c r="AS1960" t="s">
        <v>33436</v>
      </c>
      <c r="AT1960" t="s">
        <v>2549</v>
      </c>
      <c r="AU1960">
        <v>2024</v>
      </c>
      <c r="AV1960">
        <v>33</v>
      </c>
      <c r="AW1960">
        <v>3</v>
      </c>
      <c r="AX1960" t="s">
        <v>74</v>
      </c>
      <c r="AY1960" t="s">
        <v>74</v>
      </c>
      <c r="AZ1960" t="s">
        <v>74</v>
      </c>
      <c r="BA1960" t="s">
        <v>74</v>
      </c>
      <c r="BB1960">
        <v>366</v>
      </c>
      <c r="BC1960">
        <v>385</v>
      </c>
      <c r="BD1960" t="s">
        <v>74</v>
      </c>
      <c r="BE1960" t="s">
        <v>33437</v>
      </c>
      <c r="BF1960" t="str">
        <f>HYPERLINK("http://dx.doi.org/10.1108/EJMBE-08-2022-0270","http://dx.doi.org/10.1108/EJMBE-08-2022-0270")</f>
        <v>http://dx.doi.org/10.1108/EJMBE-08-2022-0270</v>
      </c>
      <c r="BG1960" t="s">
        <v>74</v>
      </c>
      <c r="BH1960" t="s">
        <v>74</v>
      </c>
      <c r="BI1960">
        <v>20</v>
      </c>
      <c r="BJ1960" t="s">
        <v>1597</v>
      </c>
      <c r="BK1960" t="s">
        <v>125</v>
      </c>
      <c r="BL1960" t="s">
        <v>480</v>
      </c>
      <c r="BM1960" t="s">
        <v>33438</v>
      </c>
      <c r="BN1960" t="s">
        <v>74</v>
      </c>
      <c r="BO1960" t="s">
        <v>235</v>
      </c>
      <c r="BP1960" t="s">
        <v>74</v>
      </c>
      <c r="BQ1960" t="s">
        <v>74</v>
      </c>
      <c r="BR1960" t="s">
        <v>102</v>
      </c>
      <c r="BS1960" t="s">
        <v>33439</v>
      </c>
      <c r="BT1960" t="str">
        <f>HYPERLINK("https%3A%2F%2Fwww.webofscience.com%2Fwos%2Fwoscc%2Ffull-record%2FWOS:001251036600005","View Full Record in Web of Science")</f>
        <v>View Full Record in Web of Science</v>
      </c>
    </row>
    <row r="1961" spans="1:72" x14ac:dyDescent="0.35">
      <c r="A1961" t="s">
        <v>72</v>
      </c>
      <c r="B1961" t="s">
        <v>33440</v>
      </c>
      <c r="C1961" t="s">
        <v>74</v>
      </c>
      <c r="D1961" t="s">
        <v>74</v>
      </c>
      <c r="E1961" t="s">
        <v>74</v>
      </c>
      <c r="F1961" t="s">
        <v>33441</v>
      </c>
      <c r="G1961" t="s">
        <v>74</v>
      </c>
      <c r="H1961" t="s">
        <v>74</v>
      </c>
      <c r="I1961" t="s">
        <v>33442</v>
      </c>
      <c r="J1961" t="s">
        <v>4135</v>
      </c>
      <c r="K1961" t="s">
        <v>74</v>
      </c>
      <c r="L1961" t="s">
        <v>74</v>
      </c>
      <c r="M1961" t="s">
        <v>78</v>
      </c>
      <c r="N1961" t="s">
        <v>108</v>
      </c>
      <c r="O1961" t="s">
        <v>74</v>
      </c>
      <c r="P1961" t="s">
        <v>74</v>
      </c>
      <c r="Q1961" t="s">
        <v>74</v>
      </c>
      <c r="R1961" t="s">
        <v>74</v>
      </c>
      <c r="S1961" t="s">
        <v>74</v>
      </c>
      <c r="T1961" t="s">
        <v>33443</v>
      </c>
      <c r="U1961" t="s">
        <v>33444</v>
      </c>
      <c r="V1961" t="s">
        <v>33445</v>
      </c>
      <c r="W1961" t="s">
        <v>33446</v>
      </c>
      <c r="X1961" t="s">
        <v>33447</v>
      </c>
      <c r="Y1961" t="s">
        <v>33448</v>
      </c>
      <c r="Z1961" t="s">
        <v>33449</v>
      </c>
      <c r="AA1961" t="s">
        <v>33450</v>
      </c>
      <c r="AB1961" t="s">
        <v>33451</v>
      </c>
      <c r="AC1961" t="s">
        <v>33452</v>
      </c>
      <c r="AD1961" t="s">
        <v>33453</v>
      </c>
      <c r="AE1961" t="s">
        <v>33454</v>
      </c>
      <c r="AF1961" t="s">
        <v>74</v>
      </c>
      <c r="AG1961">
        <v>70</v>
      </c>
      <c r="AH1961">
        <v>10</v>
      </c>
      <c r="AI1961">
        <v>10</v>
      </c>
      <c r="AJ1961">
        <v>93</v>
      </c>
      <c r="AK1961">
        <v>99</v>
      </c>
      <c r="AL1961" t="s">
        <v>3632</v>
      </c>
      <c r="AM1961" t="s">
        <v>148</v>
      </c>
      <c r="AN1961" t="s">
        <v>5053</v>
      </c>
      <c r="AO1961" t="s">
        <v>4148</v>
      </c>
      <c r="AP1961" t="s">
        <v>4149</v>
      </c>
      <c r="AQ1961" t="s">
        <v>74</v>
      </c>
      <c r="AR1961" t="s">
        <v>4150</v>
      </c>
      <c r="AS1961" t="s">
        <v>4151</v>
      </c>
      <c r="AT1961" t="s">
        <v>745</v>
      </c>
      <c r="AU1961">
        <v>2024</v>
      </c>
      <c r="AV1961">
        <v>78</v>
      </c>
      <c r="AW1961" t="s">
        <v>74</v>
      </c>
      <c r="AX1961" t="s">
        <v>74</v>
      </c>
      <c r="AY1961" t="s">
        <v>74</v>
      </c>
      <c r="AZ1961" t="s">
        <v>74</v>
      </c>
      <c r="BA1961" t="s">
        <v>74</v>
      </c>
      <c r="BB1961" t="s">
        <v>74</v>
      </c>
      <c r="BC1961" t="s">
        <v>74</v>
      </c>
      <c r="BD1961">
        <v>103793</v>
      </c>
      <c r="BE1961" t="s">
        <v>33455</v>
      </c>
      <c r="BF1961" t="str">
        <f>HYPERLINK("http://dx.doi.org/10.1016/j.jretconser.2024.103793","http://dx.doi.org/10.1016/j.jretconser.2024.103793")</f>
        <v>http://dx.doi.org/10.1016/j.jretconser.2024.103793</v>
      </c>
      <c r="BG1961" t="s">
        <v>74</v>
      </c>
      <c r="BH1961" t="s">
        <v>123</v>
      </c>
      <c r="BI1961">
        <v>13</v>
      </c>
      <c r="BJ1961" t="s">
        <v>1597</v>
      </c>
      <c r="BK1961" t="s">
        <v>99</v>
      </c>
      <c r="BL1961" t="s">
        <v>480</v>
      </c>
      <c r="BM1961" t="s">
        <v>33456</v>
      </c>
      <c r="BN1961" t="s">
        <v>74</v>
      </c>
      <c r="BO1961" t="s">
        <v>74</v>
      </c>
      <c r="BP1961" t="s">
        <v>74</v>
      </c>
      <c r="BQ1961" t="s">
        <v>74</v>
      </c>
      <c r="BR1961" t="s">
        <v>102</v>
      </c>
      <c r="BS1961" t="s">
        <v>33457</v>
      </c>
      <c r="BT1961" t="str">
        <f>HYPERLINK("https%3A%2F%2Fwww.webofscience.com%2Fwos%2Fwoscc%2Ffull-record%2FWOS:001220745600001","View Full Record in Web of Science")</f>
        <v>View Full Record in Web of Science</v>
      </c>
    </row>
    <row r="1962" spans="1:72" x14ac:dyDescent="0.35">
      <c r="A1962" t="s">
        <v>72</v>
      </c>
      <c r="B1962" t="s">
        <v>33458</v>
      </c>
      <c r="C1962" t="s">
        <v>74</v>
      </c>
      <c r="D1962" t="s">
        <v>74</v>
      </c>
      <c r="E1962" t="s">
        <v>74</v>
      </c>
      <c r="F1962" t="s">
        <v>33459</v>
      </c>
      <c r="G1962" t="s">
        <v>74</v>
      </c>
      <c r="H1962" t="s">
        <v>74</v>
      </c>
      <c r="I1962" t="s">
        <v>33460</v>
      </c>
      <c r="J1962" t="s">
        <v>681</v>
      </c>
      <c r="K1962" t="s">
        <v>74</v>
      </c>
      <c r="L1962" t="s">
        <v>74</v>
      </c>
      <c r="M1962" t="s">
        <v>78</v>
      </c>
      <c r="N1962" t="s">
        <v>108</v>
      </c>
      <c r="O1962" t="s">
        <v>74</v>
      </c>
      <c r="P1962" t="s">
        <v>74</v>
      </c>
      <c r="Q1962" t="s">
        <v>74</v>
      </c>
      <c r="R1962" t="s">
        <v>74</v>
      </c>
      <c r="S1962" t="s">
        <v>74</v>
      </c>
      <c r="T1962" t="s">
        <v>33461</v>
      </c>
      <c r="U1962" t="s">
        <v>33462</v>
      </c>
      <c r="V1962" t="s">
        <v>33463</v>
      </c>
      <c r="W1962" t="s">
        <v>33464</v>
      </c>
      <c r="X1962" t="s">
        <v>33465</v>
      </c>
      <c r="Y1962" t="s">
        <v>33466</v>
      </c>
      <c r="Z1962" t="s">
        <v>33467</v>
      </c>
      <c r="AA1962" t="s">
        <v>33468</v>
      </c>
      <c r="AB1962" t="s">
        <v>33469</v>
      </c>
      <c r="AC1962" t="s">
        <v>33470</v>
      </c>
      <c r="AD1962" t="s">
        <v>33471</v>
      </c>
      <c r="AE1962" t="s">
        <v>33472</v>
      </c>
      <c r="AF1962" t="s">
        <v>74</v>
      </c>
      <c r="AG1962">
        <v>29</v>
      </c>
      <c r="AH1962">
        <v>2</v>
      </c>
      <c r="AI1962">
        <v>2</v>
      </c>
      <c r="AJ1962">
        <v>7</v>
      </c>
      <c r="AK1962">
        <v>15</v>
      </c>
      <c r="AL1962" t="s">
        <v>384</v>
      </c>
      <c r="AM1962" t="s">
        <v>385</v>
      </c>
      <c r="AN1962" t="s">
        <v>386</v>
      </c>
      <c r="AO1962" t="s">
        <v>693</v>
      </c>
      <c r="AP1962" t="s">
        <v>74</v>
      </c>
      <c r="AQ1962" t="s">
        <v>74</v>
      </c>
      <c r="AR1962" t="s">
        <v>694</v>
      </c>
      <c r="AS1962" t="s">
        <v>695</v>
      </c>
      <c r="AT1962" t="s">
        <v>15516</v>
      </c>
      <c r="AU1962">
        <v>2023</v>
      </c>
      <c r="AV1962">
        <v>14</v>
      </c>
      <c r="AW1962" t="s">
        <v>74</v>
      </c>
      <c r="AX1962" t="s">
        <v>74</v>
      </c>
      <c r="AY1962" t="s">
        <v>74</v>
      </c>
      <c r="AZ1962" t="s">
        <v>74</v>
      </c>
      <c r="BA1962" t="s">
        <v>74</v>
      </c>
      <c r="BB1962" t="s">
        <v>74</v>
      </c>
      <c r="BC1962" t="s">
        <v>74</v>
      </c>
      <c r="BD1962">
        <v>1092288</v>
      </c>
      <c r="BE1962" t="s">
        <v>33473</v>
      </c>
      <c r="BF1962" t="str">
        <f>HYPERLINK("http://dx.doi.org/10.3389/fpsyg.2023.1092288","http://dx.doi.org/10.3389/fpsyg.2023.1092288")</f>
        <v>http://dx.doi.org/10.3389/fpsyg.2023.1092288</v>
      </c>
      <c r="BG1962" t="s">
        <v>74</v>
      </c>
      <c r="BH1962" t="s">
        <v>74</v>
      </c>
      <c r="BI1962">
        <v>12</v>
      </c>
      <c r="BJ1962" t="s">
        <v>698</v>
      </c>
      <c r="BK1962" t="s">
        <v>99</v>
      </c>
      <c r="BL1962" t="s">
        <v>301</v>
      </c>
      <c r="BM1962" t="s">
        <v>33474</v>
      </c>
      <c r="BN1962">
        <v>37275684</v>
      </c>
      <c r="BO1962" t="s">
        <v>552</v>
      </c>
      <c r="BP1962" t="s">
        <v>74</v>
      </c>
      <c r="BQ1962" t="s">
        <v>74</v>
      </c>
      <c r="BR1962" t="s">
        <v>102</v>
      </c>
      <c r="BS1962" t="s">
        <v>33475</v>
      </c>
      <c r="BT1962" t="str">
        <f>HYPERLINK("https%3A%2F%2Fwww.webofscience.com%2Fwos%2Fwoscc%2Ffull-record%2FWOS:000999360300001","View Full Record in Web of Science")</f>
        <v>View Full Record in Web of Science</v>
      </c>
    </row>
    <row r="1963" spans="1:72" x14ac:dyDescent="0.35">
      <c r="A1963" t="s">
        <v>72</v>
      </c>
      <c r="B1963" t="s">
        <v>33476</v>
      </c>
      <c r="C1963" t="s">
        <v>74</v>
      </c>
      <c r="D1963" t="s">
        <v>74</v>
      </c>
      <c r="E1963" t="s">
        <v>74</v>
      </c>
      <c r="F1963" t="s">
        <v>33477</v>
      </c>
      <c r="G1963" t="s">
        <v>74</v>
      </c>
      <c r="H1963" t="s">
        <v>74</v>
      </c>
      <c r="I1963" t="s">
        <v>33478</v>
      </c>
      <c r="J1963" t="s">
        <v>13509</v>
      </c>
      <c r="K1963" t="s">
        <v>74</v>
      </c>
      <c r="L1963" t="s">
        <v>74</v>
      </c>
      <c r="M1963" t="s">
        <v>78</v>
      </c>
      <c r="N1963" t="s">
        <v>108</v>
      </c>
      <c r="O1963" t="s">
        <v>74</v>
      </c>
      <c r="P1963" t="s">
        <v>74</v>
      </c>
      <c r="Q1963" t="s">
        <v>74</v>
      </c>
      <c r="R1963" t="s">
        <v>74</v>
      </c>
      <c r="S1963" t="s">
        <v>74</v>
      </c>
      <c r="T1963" t="s">
        <v>33479</v>
      </c>
      <c r="U1963" t="s">
        <v>1036</v>
      </c>
      <c r="V1963" t="s">
        <v>33480</v>
      </c>
      <c r="W1963" t="s">
        <v>33481</v>
      </c>
      <c r="X1963" t="s">
        <v>33482</v>
      </c>
      <c r="Y1963" t="s">
        <v>33483</v>
      </c>
      <c r="Z1963" t="s">
        <v>33484</v>
      </c>
      <c r="AA1963" t="s">
        <v>33485</v>
      </c>
      <c r="AB1963" t="s">
        <v>33486</v>
      </c>
      <c r="AC1963" t="s">
        <v>33487</v>
      </c>
      <c r="AD1963" t="s">
        <v>33487</v>
      </c>
      <c r="AE1963" t="s">
        <v>33488</v>
      </c>
      <c r="AF1963" t="s">
        <v>74</v>
      </c>
      <c r="AG1963">
        <v>47</v>
      </c>
      <c r="AH1963">
        <v>8</v>
      </c>
      <c r="AI1963">
        <v>8</v>
      </c>
      <c r="AJ1963">
        <v>13</v>
      </c>
      <c r="AK1963">
        <v>55</v>
      </c>
      <c r="AL1963" t="s">
        <v>88</v>
      </c>
      <c r="AM1963" t="s">
        <v>89</v>
      </c>
      <c r="AN1963" t="s">
        <v>90</v>
      </c>
      <c r="AO1963" t="s">
        <v>13519</v>
      </c>
      <c r="AP1963" t="s">
        <v>13520</v>
      </c>
      <c r="AQ1963" t="s">
        <v>74</v>
      </c>
      <c r="AR1963" t="s">
        <v>13521</v>
      </c>
      <c r="AS1963" t="s">
        <v>13522</v>
      </c>
      <c r="AT1963" t="s">
        <v>2599</v>
      </c>
      <c r="AU1963">
        <v>2023</v>
      </c>
      <c r="AV1963">
        <v>11</v>
      </c>
      <c r="AW1963">
        <v>8</v>
      </c>
      <c r="AX1963" t="s">
        <v>74</v>
      </c>
      <c r="AY1963" t="s">
        <v>74</v>
      </c>
      <c r="AZ1963" t="s">
        <v>74</v>
      </c>
      <c r="BA1963" t="s">
        <v>74</v>
      </c>
      <c r="BB1963">
        <v>1521</v>
      </c>
      <c r="BC1963">
        <v>1541</v>
      </c>
      <c r="BD1963" t="s">
        <v>74</v>
      </c>
      <c r="BE1963" t="s">
        <v>33489</v>
      </c>
      <c r="BF1963" t="str">
        <f>HYPERLINK("http://dx.doi.org/10.1080/21670811.2022.2121932","http://dx.doi.org/10.1080/21670811.2022.2121932")</f>
        <v>http://dx.doi.org/10.1080/21670811.2022.2121932</v>
      </c>
      <c r="BG1963" t="s">
        <v>74</v>
      </c>
      <c r="BH1963" t="s">
        <v>598</v>
      </c>
      <c r="BI1963">
        <v>21</v>
      </c>
      <c r="BJ1963" t="s">
        <v>124</v>
      </c>
      <c r="BK1963" t="s">
        <v>99</v>
      </c>
      <c r="BL1963" t="s">
        <v>124</v>
      </c>
      <c r="BM1963" t="s">
        <v>19255</v>
      </c>
      <c r="BN1963" t="s">
        <v>74</v>
      </c>
      <c r="BO1963" t="s">
        <v>33490</v>
      </c>
      <c r="BP1963" t="s">
        <v>74</v>
      </c>
      <c r="BQ1963" t="s">
        <v>74</v>
      </c>
      <c r="BR1963" t="s">
        <v>102</v>
      </c>
      <c r="BS1963" t="s">
        <v>33491</v>
      </c>
      <c r="BT1963" t="str">
        <f>HYPERLINK("https%3A%2F%2Fwww.webofscience.com%2Fwos%2Fwoscc%2Ffull-record%2FWOS:000863386800001","View Full Record in Web of Science")</f>
        <v>View Full Record in Web of Science</v>
      </c>
    </row>
    <row r="1964" spans="1:72" x14ac:dyDescent="0.35">
      <c r="A1964" t="s">
        <v>72</v>
      </c>
      <c r="B1964" t="s">
        <v>33492</v>
      </c>
      <c r="C1964" t="s">
        <v>74</v>
      </c>
      <c r="D1964" t="s">
        <v>74</v>
      </c>
      <c r="E1964" t="s">
        <v>74</v>
      </c>
      <c r="F1964" t="s">
        <v>33493</v>
      </c>
      <c r="G1964" t="s">
        <v>74</v>
      </c>
      <c r="H1964" t="s">
        <v>74</v>
      </c>
      <c r="I1964" t="s">
        <v>33494</v>
      </c>
      <c r="J1964" t="s">
        <v>33495</v>
      </c>
      <c r="K1964" t="s">
        <v>74</v>
      </c>
      <c r="L1964" t="s">
        <v>74</v>
      </c>
      <c r="M1964" t="s">
        <v>78</v>
      </c>
      <c r="N1964" t="s">
        <v>374</v>
      </c>
      <c r="O1964" t="s">
        <v>74</v>
      </c>
      <c r="P1964" t="s">
        <v>74</v>
      </c>
      <c r="Q1964" t="s">
        <v>74</v>
      </c>
      <c r="R1964" t="s">
        <v>74</v>
      </c>
      <c r="S1964" t="s">
        <v>74</v>
      </c>
      <c r="T1964" t="s">
        <v>33496</v>
      </c>
      <c r="U1964" t="s">
        <v>218</v>
      </c>
      <c r="V1964" t="s">
        <v>33497</v>
      </c>
      <c r="W1964" t="s">
        <v>33498</v>
      </c>
      <c r="X1964" t="s">
        <v>33499</v>
      </c>
      <c r="Y1964" t="s">
        <v>33500</v>
      </c>
      <c r="Z1964" t="s">
        <v>33501</v>
      </c>
      <c r="AA1964" t="s">
        <v>33502</v>
      </c>
      <c r="AB1964" t="s">
        <v>33503</v>
      </c>
      <c r="AC1964" t="s">
        <v>74</v>
      </c>
      <c r="AD1964" t="s">
        <v>74</v>
      </c>
      <c r="AE1964" t="s">
        <v>74</v>
      </c>
      <c r="AF1964" t="s">
        <v>74</v>
      </c>
      <c r="AG1964">
        <v>30</v>
      </c>
      <c r="AH1964">
        <v>8</v>
      </c>
      <c r="AI1964">
        <v>8</v>
      </c>
      <c r="AJ1964">
        <v>1</v>
      </c>
      <c r="AK1964">
        <v>13</v>
      </c>
      <c r="AL1964" t="s">
        <v>665</v>
      </c>
      <c r="AM1964" t="s">
        <v>666</v>
      </c>
      <c r="AN1964" t="s">
        <v>667</v>
      </c>
      <c r="AO1964" t="s">
        <v>33504</v>
      </c>
      <c r="AP1964" t="s">
        <v>33505</v>
      </c>
      <c r="AQ1964" t="s">
        <v>74</v>
      </c>
      <c r="AR1964" t="s">
        <v>33506</v>
      </c>
      <c r="AS1964" t="s">
        <v>33507</v>
      </c>
      <c r="AT1964" t="s">
        <v>594</v>
      </c>
      <c r="AU1964">
        <v>2021</v>
      </c>
      <c r="AV1964">
        <v>34</v>
      </c>
      <c r="AW1964">
        <v>5</v>
      </c>
      <c r="AX1964" t="s">
        <v>74</v>
      </c>
      <c r="AY1964" t="s">
        <v>74</v>
      </c>
      <c r="AZ1964" t="s">
        <v>74</v>
      </c>
      <c r="BA1964" t="s">
        <v>74</v>
      </c>
      <c r="BB1964">
        <v>1316</v>
      </c>
      <c r="BC1964">
        <v>1327</v>
      </c>
      <c r="BD1964" t="s">
        <v>74</v>
      </c>
      <c r="BE1964" t="s">
        <v>33508</v>
      </c>
      <c r="BF1964" t="str">
        <f>HYPERLINK("http://dx.doi.org/10.1007/s10278-021-00474-x","http://dx.doi.org/10.1007/s10278-021-00474-x")</f>
        <v>http://dx.doi.org/10.1007/s10278-021-00474-x</v>
      </c>
      <c r="BG1964" t="s">
        <v>74</v>
      </c>
      <c r="BH1964" t="s">
        <v>6350</v>
      </c>
      <c r="BI1964">
        <v>12</v>
      </c>
      <c r="BJ1964" t="s">
        <v>2035</v>
      </c>
      <c r="BK1964" t="s">
        <v>209</v>
      </c>
      <c r="BL1964" t="s">
        <v>2035</v>
      </c>
      <c r="BM1964" t="s">
        <v>33509</v>
      </c>
      <c r="BN1964">
        <v>34240272</v>
      </c>
      <c r="BO1964" t="s">
        <v>2194</v>
      </c>
      <c r="BP1964" t="s">
        <v>74</v>
      </c>
      <c r="BQ1964" t="s">
        <v>74</v>
      </c>
      <c r="BR1964" t="s">
        <v>102</v>
      </c>
      <c r="BS1964" t="s">
        <v>33510</v>
      </c>
      <c r="BT1964" t="str">
        <f>HYPERLINK("https%3A%2F%2Fwww.webofscience.com%2Fwos%2Fwoscc%2Ffull-record%2FWOS:000670856800002","View Full Record in Web of Science")</f>
        <v>View Full Record in Web of Science</v>
      </c>
    </row>
    <row r="1965" spans="1:72" x14ac:dyDescent="0.35">
      <c r="A1965" t="s">
        <v>72</v>
      </c>
      <c r="B1965" t="s">
        <v>33511</v>
      </c>
      <c r="C1965" t="s">
        <v>74</v>
      </c>
      <c r="D1965" t="s">
        <v>74</v>
      </c>
      <c r="E1965" t="s">
        <v>74</v>
      </c>
      <c r="F1965" t="s">
        <v>33512</v>
      </c>
      <c r="G1965" t="s">
        <v>74</v>
      </c>
      <c r="H1965" t="s">
        <v>74</v>
      </c>
      <c r="I1965" t="s">
        <v>33513</v>
      </c>
      <c r="J1965" t="s">
        <v>33514</v>
      </c>
      <c r="K1965" t="s">
        <v>74</v>
      </c>
      <c r="L1965" t="s">
        <v>74</v>
      </c>
      <c r="M1965" t="s">
        <v>78</v>
      </c>
      <c r="N1965" t="s">
        <v>79</v>
      </c>
      <c r="O1965" t="s">
        <v>74</v>
      </c>
      <c r="P1965" t="s">
        <v>74</v>
      </c>
      <c r="Q1965" t="s">
        <v>74</v>
      </c>
      <c r="R1965" t="s">
        <v>74</v>
      </c>
      <c r="S1965" t="s">
        <v>74</v>
      </c>
      <c r="T1965" t="s">
        <v>33515</v>
      </c>
      <c r="U1965" t="s">
        <v>33516</v>
      </c>
      <c r="V1965" t="s">
        <v>33517</v>
      </c>
      <c r="W1965" t="s">
        <v>33518</v>
      </c>
      <c r="X1965" t="s">
        <v>33519</v>
      </c>
      <c r="Y1965" t="s">
        <v>33520</v>
      </c>
      <c r="Z1965" t="s">
        <v>33521</v>
      </c>
      <c r="AA1965" t="s">
        <v>74</v>
      </c>
      <c r="AB1965" t="s">
        <v>74</v>
      </c>
      <c r="AC1965" t="s">
        <v>33522</v>
      </c>
      <c r="AD1965" t="s">
        <v>33523</v>
      </c>
      <c r="AE1965" t="s">
        <v>33524</v>
      </c>
      <c r="AF1965" t="s">
        <v>74</v>
      </c>
      <c r="AG1965">
        <v>73</v>
      </c>
      <c r="AH1965">
        <v>0</v>
      </c>
      <c r="AI1965">
        <v>0</v>
      </c>
      <c r="AJ1965">
        <v>22</v>
      </c>
      <c r="AK1965">
        <v>22</v>
      </c>
      <c r="AL1965" t="s">
        <v>1129</v>
      </c>
      <c r="AM1965" t="s">
        <v>89</v>
      </c>
      <c r="AN1965" t="s">
        <v>1130</v>
      </c>
      <c r="AO1965" t="s">
        <v>33525</v>
      </c>
      <c r="AP1965" t="s">
        <v>33526</v>
      </c>
      <c r="AQ1965" t="s">
        <v>74</v>
      </c>
      <c r="AR1965" t="s">
        <v>33527</v>
      </c>
      <c r="AS1965" t="s">
        <v>33528</v>
      </c>
      <c r="AT1965" t="s">
        <v>33529</v>
      </c>
      <c r="AU1965">
        <v>2024</v>
      </c>
      <c r="AV1965" t="s">
        <v>74</v>
      </c>
      <c r="AW1965" t="s">
        <v>74</v>
      </c>
      <c r="AX1965" t="s">
        <v>74</v>
      </c>
      <c r="AY1965" t="s">
        <v>74</v>
      </c>
      <c r="AZ1965" t="s">
        <v>74</v>
      </c>
      <c r="BA1965" t="s">
        <v>74</v>
      </c>
      <c r="BB1965" t="s">
        <v>74</v>
      </c>
      <c r="BC1965" t="s">
        <v>74</v>
      </c>
      <c r="BD1965" t="s">
        <v>74</v>
      </c>
      <c r="BE1965" t="s">
        <v>33530</v>
      </c>
      <c r="BF1965" t="str">
        <f>HYPERLINK("http://dx.doi.org/10.1080/13467581.2024.2399690","http://dx.doi.org/10.1080/13467581.2024.2399690")</f>
        <v>http://dx.doi.org/10.1080/13467581.2024.2399690</v>
      </c>
      <c r="BG1965" t="s">
        <v>74</v>
      </c>
      <c r="BH1965" t="s">
        <v>337</v>
      </c>
      <c r="BI1965">
        <v>19</v>
      </c>
      <c r="BJ1965" t="s">
        <v>33531</v>
      </c>
      <c r="BK1965" t="s">
        <v>17496</v>
      </c>
      <c r="BL1965" t="s">
        <v>33531</v>
      </c>
      <c r="BM1965" t="s">
        <v>33532</v>
      </c>
      <c r="BN1965" t="s">
        <v>74</v>
      </c>
      <c r="BO1965" t="s">
        <v>235</v>
      </c>
      <c r="BP1965" t="s">
        <v>74</v>
      </c>
      <c r="BQ1965" t="s">
        <v>74</v>
      </c>
      <c r="BR1965" t="s">
        <v>102</v>
      </c>
      <c r="BS1965" t="s">
        <v>33533</v>
      </c>
      <c r="BT1965" t="str">
        <f>HYPERLINK("https%3A%2F%2Fwww.webofscience.com%2Fwos%2Fwoscc%2Ffull-record%2FWOS:001310043400001","View Full Record in Web of Science")</f>
        <v>View Full Record in Web of Science</v>
      </c>
    </row>
    <row r="1966" spans="1:72" x14ac:dyDescent="0.35">
      <c r="A1966" t="s">
        <v>128</v>
      </c>
      <c r="B1966" t="s">
        <v>33534</v>
      </c>
      <c r="C1966" t="s">
        <v>74</v>
      </c>
      <c r="D1966" t="s">
        <v>74</v>
      </c>
      <c r="E1966" t="s">
        <v>702</v>
      </c>
      <c r="F1966" t="s">
        <v>33535</v>
      </c>
      <c r="G1966" t="s">
        <v>74</v>
      </c>
      <c r="H1966" t="s">
        <v>74</v>
      </c>
      <c r="I1966" t="s">
        <v>33536</v>
      </c>
      <c r="J1966" t="s">
        <v>33537</v>
      </c>
      <c r="K1966" t="s">
        <v>33538</v>
      </c>
      <c r="L1966" t="s">
        <v>74</v>
      </c>
      <c r="M1966" t="s">
        <v>78</v>
      </c>
      <c r="N1966" t="s">
        <v>135</v>
      </c>
      <c r="O1966" t="s">
        <v>33539</v>
      </c>
      <c r="P1966" t="s">
        <v>33540</v>
      </c>
      <c r="Q1966" t="s">
        <v>33541</v>
      </c>
      <c r="R1966" t="s">
        <v>33542</v>
      </c>
      <c r="S1966" t="s">
        <v>74</v>
      </c>
      <c r="T1966" t="s">
        <v>33543</v>
      </c>
      <c r="U1966" t="s">
        <v>74</v>
      </c>
      <c r="V1966" t="s">
        <v>33544</v>
      </c>
      <c r="W1966" t="s">
        <v>33545</v>
      </c>
      <c r="X1966" t="s">
        <v>33546</v>
      </c>
      <c r="Y1966" t="s">
        <v>33547</v>
      </c>
      <c r="Z1966" t="s">
        <v>33548</v>
      </c>
      <c r="AA1966" t="s">
        <v>74</v>
      </c>
      <c r="AB1966" t="s">
        <v>33549</v>
      </c>
      <c r="AC1966" t="s">
        <v>74</v>
      </c>
      <c r="AD1966" t="s">
        <v>74</v>
      </c>
      <c r="AE1966" t="s">
        <v>74</v>
      </c>
      <c r="AF1966" t="s">
        <v>74</v>
      </c>
      <c r="AG1966">
        <v>34</v>
      </c>
      <c r="AH1966">
        <v>0</v>
      </c>
      <c r="AI1966">
        <v>0</v>
      </c>
      <c r="AJ1966">
        <v>2</v>
      </c>
      <c r="AK1966">
        <v>2</v>
      </c>
      <c r="AL1966" t="s">
        <v>718</v>
      </c>
      <c r="AM1966" t="s">
        <v>666</v>
      </c>
      <c r="AN1966" t="s">
        <v>719</v>
      </c>
      <c r="AO1966" t="s">
        <v>33550</v>
      </c>
      <c r="AP1966" t="s">
        <v>74</v>
      </c>
      <c r="AQ1966" t="s">
        <v>33551</v>
      </c>
      <c r="AR1966" t="s">
        <v>33552</v>
      </c>
      <c r="AS1966" t="s">
        <v>74</v>
      </c>
      <c r="AT1966" t="s">
        <v>74</v>
      </c>
      <c r="AU1966">
        <v>2024</v>
      </c>
      <c r="AV1966" t="s">
        <v>74</v>
      </c>
      <c r="AW1966" t="s">
        <v>74</v>
      </c>
      <c r="AX1966" t="s">
        <v>74</v>
      </c>
      <c r="AY1966" t="s">
        <v>74</v>
      </c>
      <c r="AZ1966" t="s">
        <v>74</v>
      </c>
      <c r="BA1966" t="s">
        <v>74</v>
      </c>
      <c r="BB1966">
        <v>360</v>
      </c>
      <c r="BC1966">
        <v>372</v>
      </c>
      <c r="BD1966" t="s">
        <v>74</v>
      </c>
      <c r="BE1966" t="s">
        <v>33553</v>
      </c>
      <c r="BF1966" t="str">
        <f>HYPERLINK("http://dx.doi.org/10.1145/3626246.3653373","http://dx.doi.org/10.1145/3626246.3653373")</f>
        <v>http://dx.doi.org/10.1145/3626246.3653373</v>
      </c>
      <c r="BG1966" t="s">
        <v>74</v>
      </c>
      <c r="BH1966" t="s">
        <v>74</v>
      </c>
      <c r="BI1966">
        <v>13</v>
      </c>
      <c r="BJ1966" t="s">
        <v>5399</v>
      </c>
      <c r="BK1966" t="s">
        <v>723</v>
      </c>
      <c r="BL1966" t="s">
        <v>210</v>
      </c>
      <c r="BM1966" t="s">
        <v>33554</v>
      </c>
      <c r="BN1966" t="s">
        <v>74</v>
      </c>
      <c r="BO1966" t="s">
        <v>74</v>
      </c>
      <c r="BP1966" t="s">
        <v>74</v>
      </c>
      <c r="BQ1966" t="s">
        <v>74</v>
      </c>
      <c r="BR1966" t="s">
        <v>102</v>
      </c>
      <c r="BS1966" t="s">
        <v>33555</v>
      </c>
      <c r="BT1966" t="str">
        <f>HYPERLINK("https%3A%2F%2Fwww.webofscience.com%2Fwos%2Fwoscc%2Ffull-record%2FWOS:001267334100031","View Full Record in Web of Science")</f>
        <v>View Full Record in Web of Science</v>
      </c>
    </row>
    <row r="1967" spans="1:72" x14ac:dyDescent="0.35">
      <c r="A1967" t="s">
        <v>72</v>
      </c>
      <c r="B1967" t="s">
        <v>33556</v>
      </c>
      <c r="C1967" t="s">
        <v>74</v>
      </c>
      <c r="D1967" t="s">
        <v>74</v>
      </c>
      <c r="E1967" t="s">
        <v>74</v>
      </c>
      <c r="F1967" t="s">
        <v>33557</v>
      </c>
      <c r="G1967" t="s">
        <v>74</v>
      </c>
      <c r="H1967" t="s">
        <v>74</v>
      </c>
      <c r="I1967" t="s">
        <v>33558</v>
      </c>
      <c r="J1967" t="s">
        <v>5060</v>
      </c>
      <c r="K1967" t="s">
        <v>74</v>
      </c>
      <c r="L1967" t="s">
        <v>74</v>
      </c>
      <c r="M1967" t="s">
        <v>78</v>
      </c>
      <c r="N1967" t="s">
        <v>79</v>
      </c>
      <c r="O1967" t="s">
        <v>74</v>
      </c>
      <c r="P1967" t="s">
        <v>74</v>
      </c>
      <c r="Q1967" t="s">
        <v>74</v>
      </c>
      <c r="R1967" t="s">
        <v>74</v>
      </c>
      <c r="S1967" t="s">
        <v>74</v>
      </c>
      <c r="T1967" t="s">
        <v>33559</v>
      </c>
      <c r="U1967" t="s">
        <v>33560</v>
      </c>
      <c r="V1967" t="s">
        <v>33561</v>
      </c>
      <c r="W1967" t="s">
        <v>33562</v>
      </c>
      <c r="X1967" t="s">
        <v>33563</v>
      </c>
      <c r="Y1967" t="s">
        <v>33564</v>
      </c>
      <c r="Z1967" t="s">
        <v>33565</v>
      </c>
      <c r="AA1967" t="s">
        <v>74</v>
      </c>
      <c r="AB1967" t="s">
        <v>74</v>
      </c>
      <c r="AC1967" t="s">
        <v>74</v>
      </c>
      <c r="AD1967" t="s">
        <v>74</v>
      </c>
      <c r="AE1967" t="s">
        <v>74</v>
      </c>
      <c r="AF1967" t="s">
        <v>74</v>
      </c>
      <c r="AG1967">
        <v>138</v>
      </c>
      <c r="AH1967">
        <v>0</v>
      </c>
      <c r="AI1967">
        <v>0</v>
      </c>
      <c r="AJ1967">
        <v>0</v>
      </c>
      <c r="AK1967">
        <v>0</v>
      </c>
      <c r="AL1967" t="s">
        <v>199</v>
      </c>
      <c r="AM1967" t="s">
        <v>200</v>
      </c>
      <c r="AN1967" t="s">
        <v>471</v>
      </c>
      <c r="AO1967" t="s">
        <v>5069</v>
      </c>
      <c r="AP1967" t="s">
        <v>5070</v>
      </c>
      <c r="AQ1967" t="s">
        <v>74</v>
      </c>
      <c r="AR1967" t="s">
        <v>5071</v>
      </c>
      <c r="AS1967" t="s">
        <v>5072</v>
      </c>
      <c r="AT1967" t="s">
        <v>25015</v>
      </c>
      <c r="AU1967">
        <v>2024</v>
      </c>
      <c r="AV1967" t="s">
        <v>74</v>
      </c>
      <c r="AW1967" t="s">
        <v>74</v>
      </c>
      <c r="AX1967" t="s">
        <v>74</v>
      </c>
      <c r="AY1967" t="s">
        <v>74</v>
      </c>
      <c r="AZ1967" t="s">
        <v>74</v>
      </c>
      <c r="BA1967" t="s">
        <v>74</v>
      </c>
      <c r="BB1967" t="s">
        <v>74</v>
      </c>
      <c r="BC1967" t="s">
        <v>74</v>
      </c>
      <c r="BD1967" t="s">
        <v>74</v>
      </c>
      <c r="BE1967" t="s">
        <v>33566</v>
      </c>
      <c r="BF1967" t="str">
        <f>HYPERLINK("http://dx.doi.org/10.1108/JABS-02-2024-0110","http://dx.doi.org/10.1108/JABS-02-2024-0110")</f>
        <v>http://dx.doi.org/10.1108/JABS-02-2024-0110</v>
      </c>
      <c r="BG1967" t="s">
        <v>74</v>
      </c>
      <c r="BH1967" t="s">
        <v>1721</v>
      </c>
      <c r="BI1967">
        <v>31</v>
      </c>
      <c r="BJ1967" t="s">
        <v>1597</v>
      </c>
      <c r="BK1967" t="s">
        <v>125</v>
      </c>
      <c r="BL1967" t="s">
        <v>480</v>
      </c>
      <c r="BM1967" t="s">
        <v>33567</v>
      </c>
      <c r="BN1967" t="s">
        <v>74</v>
      </c>
      <c r="BO1967" t="s">
        <v>74</v>
      </c>
      <c r="BP1967" t="s">
        <v>74</v>
      </c>
      <c r="BQ1967" t="s">
        <v>74</v>
      </c>
      <c r="BR1967" t="s">
        <v>102</v>
      </c>
      <c r="BS1967" t="s">
        <v>33568</v>
      </c>
      <c r="BT1967" t="str">
        <f>HYPERLINK("https%3A%2F%2Fwww.webofscience.com%2Fwos%2Fwoscc%2Ffull-record%2FWOS:001329921800001","View Full Record in Web of Science")</f>
        <v>View Full Record in Web of Science</v>
      </c>
    </row>
    <row r="1968" spans="1:72" x14ac:dyDescent="0.35">
      <c r="A1968" t="s">
        <v>72</v>
      </c>
      <c r="B1968" t="s">
        <v>33569</v>
      </c>
      <c r="C1968" t="s">
        <v>74</v>
      </c>
      <c r="D1968" t="s">
        <v>74</v>
      </c>
      <c r="E1968" t="s">
        <v>74</v>
      </c>
      <c r="F1968" t="s">
        <v>33570</v>
      </c>
      <c r="G1968" t="s">
        <v>74</v>
      </c>
      <c r="H1968" t="s">
        <v>74</v>
      </c>
      <c r="I1968" t="s">
        <v>33571</v>
      </c>
      <c r="J1968" t="s">
        <v>25530</v>
      </c>
      <c r="K1968" t="s">
        <v>74</v>
      </c>
      <c r="L1968" t="s">
        <v>74</v>
      </c>
      <c r="M1968" t="s">
        <v>78</v>
      </c>
      <c r="N1968" t="s">
        <v>108</v>
      </c>
      <c r="O1968" t="s">
        <v>74</v>
      </c>
      <c r="P1968" t="s">
        <v>74</v>
      </c>
      <c r="Q1968" t="s">
        <v>74</v>
      </c>
      <c r="R1968" t="s">
        <v>74</v>
      </c>
      <c r="S1968" t="s">
        <v>74</v>
      </c>
      <c r="T1968" t="s">
        <v>33572</v>
      </c>
      <c r="U1968" t="s">
        <v>33573</v>
      </c>
      <c r="V1968" t="s">
        <v>33574</v>
      </c>
      <c r="W1968" t="s">
        <v>33575</v>
      </c>
      <c r="X1968" t="s">
        <v>6312</v>
      </c>
      <c r="Y1968" t="s">
        <v>33576</v>
      </c>
      <c r="Z1968" t="s">
        <v>33577</v>
      </c>
      <c r="AA1968" t="s">
        <v>74</v>
      </c>
      <c r="AB1968" t="s">
        <v>74</v>
      </c>
      <c r="AC1968" t="s">
        <v>74</v>
      </c>
      <c r="AD1968" t="s">
        <v>74</v>
      </c>
      <c r="AE1968" t="s">
        <v>74</v>
      </c>
      <c r="AF1968" t="s">
        <v>74</v>
      </c>
      <c r="AG1968">
        <v>51</v>
      </c>
      <c r="AH1968">
        <v>0</v>
      </c>
      <c r="AI1968">
        <v>0</v>
      </c>
      <c r="AJ1968">
        <v>12</v>
      </c>
      <c r="AK1968">
        <v>12</v>
      </c>
      <c r="AL1968" t="s">
        <v>290</v>
      </c>
      <c r="AM1968" t="s">
        <v>291</v>
      </c>
      <c r="AN1968" t="s">
        <v>292</v>
      </c>
      <c r="AO1968" t="s">
        <v>25538</v>
      </c>
      <c r="AP1968" t="s">
        <v>25539</v>
      </c>
      <c r="AQ1968" t="s">
        <v>74</v>
      </c>
      <c r="AR1968" t="s">
        <v>25540</v>
      </c>
      <c r="AS1968" t="s">
        <v>25541</v>
      </c>
      <c r="AT1968" t="s">
        <v>297</v>
      </c>
      <c r="AU1968">
        <v>2024</v>
      </c>
      <c r="AV1968">
        <v>355</v>
      </c>
      <c r="AW1968" t="s">
        <v>74</v>
      </c>
      <c r="AX1968" t="s">
        <v>74</v>
      </c>
      <c r="AY1968" t="s">
        <v>74</v>
      </c>
      <c r="AZ1968" t="s">
        <v>74</v>
      </c>
      <c r="BA1968" t="s">
        <v>74</v>
      </c>
      <c r="BB1968" t="s">
        <v>74</v>
      </c>
      <c r="BC1968" t="s">
        <v>74</v>
      </c>
      <c r="BD1968">
        <v>117100</v>
      </c>
      <c r="BE1968" t="s">
        <v>33578</v>
      </c>
      <c r="BF1968" t="str">
        <f>HYPERLINK("http://dx.doi.org/10.1016/j.socscimed.2024.117100","http://dx.doi.org/10.1016/j.socscimed.2024.117100")</f>
        <v>http://dx.doi.org/10.1016/j.socscimed.2024.117100</v>
      </c>
      <c r="BG1968" t="s">
        <v>74</v>
      </c>
      <c r="BH1968" t="s">
        <v>2444</v>
      </c>
      <c r="BI1968">
        <v>8</v>
      </c>
      <c r="BJ1968" t="s">
        <v>11295</v>
      </c>
      <c r="BK1968" t="s">
        <v>182</v>
      </c>
      <c r="BL1968" t="s">
        <v>11296</v>
      </c>
      <c r="BM1968" t="s">
        <v>33579</v>
      </c>
      <c r="BN1968">
        <v>39094218</v>
      </c>
      <c r="BO1968" t="s">
        <v>156</v>
      </c>
      <c r="BP1968" t="s">
        <v>74</v>
      </c>
      <c r="BQ1968" t="s">
        <v>74</v>
      </c>
      <c r="BR1968" t="s">
        <v>102</v>
      </c>
      <c r="BS1968" t="s">
        <v>33580</v>
      </c>
      <c r="BT1968" t="str">
        <f>HYPERLINK("https%3A%2F%2Fwww.webofscience.com%2Fwos%2Fwoscc%2Ffull-record%2FWOS:001288855700001","View Full Record in Web of Science")</f>
        <v>View Full Record in Web of Science</v>
      </c>
    </row>
    <row r="1969" spans="1:72" x14ac:dyDescent="0.35">
      <c r="A1969" t="s">
        <v>72</v>
      </c>
      <c r="B1969" t="s">
        <v>33581</v>
      </c>
      <c r="C1969" t="s">
        <v>74</v>
      </c>
      <c r="D1969" t="s">
        <v>74</v>
      </c>
      <c r="E1969" t="s">
        <v>74</v>
      </c>
      <c r="F1969" t="s">
        <v>33582</v>
      </c>
      <c r="G1969" t="s">
        <v>74</v>
      </c>
      <c r="H1969" t="s">
        <v>74</v>
      </c>
      <c r="I1969" t="s">
        <v>33583</v>
      </c>
      <c r="J1969" t="s">
        <v>33584</v>
      </c>
      <c r="K1969" t="s">
        <v>74</v>
      </c>
      <c r="L1969" t="s">
        <v>74</v>
      </c>
      <c r="M1969" t="s">
        <v>78</v>
      </c>
      <c r="N1969" t="s">
        <v>79</v>
      </c>
      <c r="O1969" t="s">
        <v>74</v>
      </c>
      <c r="P1969" t="s">
        <v>74</v>
      </c>
      <c r="Q1969" t="s">
        <v>74</v>
      </c>
      <c r="R1969" t="s">
        <v>74</v>
      </c>
      <c r="S1969" t="s">
        <v>74</v>
      </c>
      <c r="T1969" t="s">
        <v>33585</v>
      </c>
      <c r="U1969" t="s">
        <v>33586</v>
      </c>
      <c r="V1969" t="s">
        <v>33587</v>
      </c>
      <c r="W1969" t="s">
        <v>33588</v>
      </c>
      <c r="X1969" t="s">
        <v>33589</v>
      </c>
      <c r="Y1969" t="s">
        <v>33590</v>
      </c>
      <c r="Z1969" t="s">
        <v>30713</v>
      </c>
      <c r="AA1969" t="s">
        <v>33591</v>
      </c>
      <c r="AB1969" t="s">
        <v>33592</v>
      </c>
      <c r="AC1969" t="s">
        <v>33593</v>
      </c>
      <c r="AD1969" t="s">
        <v>33593</v>
      </c>
      <c r="AE1969" t="s">
        <v>33594</v>
      </c>
      <c r="AF1969" t="s">
        <v>74</v>
      </c>
      <c r="AG1969">
        <v>62</v>
      </c>
      <c r="AH1969">
        <v>2</v>
      </c>
      <c r="AI1969">
        <v>2</v>
      </c>
      <c r="AJ1969">
        <v>10</v>
      </c>
      <c r="AK1969">
        <v>10</v>
      </c>
      <c r="AL1969" t="s">
        <v>88</v>
      </c>
      <c r="AM1969" t="s">
        <v>89</v>
      </c>
      <c r="AN1969" t="s">
        <v>90</v>
      </c>
      <c r="AO1969" t="s">
        <v>33595</v>
      </c>
      <c r="AP1969" t="s">
        <v>33596</v>
      </c>
      <c r="AQ1969" t="s">
        <v>74</v>
      </c>
      <c r="AR1969" t="s">
        <v>33597</v>
      </c>
      <c r="AS1969" t="s">
        <v>33598</v>
      </c>
      <c r="AT1969" t="s">
        <v>33599</v>
      </c>
      <c r="AU1969">
        <v>2024</v>
      </c>
      <c r="AV1969" t="s">
        <v>74</v>
      </c>
      <c r="AW1969" t="s">
        <v>74</v>
      </c>
      <c r="AX1969" t="s">
        <v>74</v>
      </c>
      <c r="AY1969" t="s">
        <v>74</v>
      </c>
      <c r="AZ1969" t="s">
        <v>74</v>
      </c>
      <c r="BA1969" t="s">
        <v>74</v>
      </c>
      <c r="BB1969" t="s">
        <v>74</v>
      </c>
      <c r="BC1969" t="s">
        <v>74</v>
      </c>
      <c r="BD1969" t="s">
        <v>74</v>
      </c>
      <c r="BE1969" t="s">
        <v>33600</v>
      </c>
      <c r="BF1969" t="str">
        <f>HYPERLINK("http://dx.doi.org/10.1080/03075079.2024.2385614","http://dx.doi.org/10.1080/03075079.2024.2385614")</f>
        <v>http://dx.doi.org/10.1080/03075079.2024.2385614</v>
      </c>
      <c r="BG1969" t="s">
        <v>74</v>
      </c>
      <c r="BH1969" t="s">
        <v>478</v>
      </c>
      <c r="BI1969">
        <v>13</v>
      </c>
      <c r="BJ1969" t="s">
        <v>787</v>
      </c>
      <c r="BK1969" t="s">
        <v>99</v>
      </c>
      <c r="BL1969" t="s">
        <v>787</v>
      </c>
      <c r="BM1969" t="s">
        <v>33601</v>
      </c>
      <c r="BN1969" t="s">
        <v>74</v>
      </c>
      <c r="BO1969" t="s">
        <v>2194</v>
      </c>
      <c r="BP1969" t="s">
        <v>74</v>
      </c>
      <c r="BQ1969" t="s">
        <v>74</v>
      </c>
      <c r="BR1969" t="s">
        <v>102</v>
      </c>
      <c r="BS1969" t="s">
        <v>33602</v>
      </c>
      <c r="BT1969" t="str">
        <f>HYPERLINK("https%3A%2F%2Fwww.webofscience.com%2Fwos%2Fwoscc%2Ffull-record%2FWOS:001280407900001","View Full Record in Web of Science")</f>
        <v>View Full Record in Web of Science</v>
      </c>
    </row>
    <row r="1970" spans="1:72" x14ac:dyDescent="0.35">
      <c r="A1970" t="s">
        <v>72</v>
      </c>
      <c r="B1970" t="s">
        <v>33603</v>
      </c>
      <c r="C1970" t="s">
        <v>74</v>
      </c>
      <c r="D1970" t="s">
        <v>74</v>
      </c>
      <c r="E1970" t="s">
        <v>74</v>
      </c>
      <c r="F1970" t="s">
        <v>33604</v>
      </c>
      <c r="G1970" t="s">
        <v>74</v>
      </c>
      <c r="H1970" t="s">
        <v>74</v>
      </c>
      <c r="I1970" t="s">
        <v>33605</v>
      </c>
      <c r="J1970" t="s">
        <v>30505</v>
      </c>
      <c r="K1970" t="s">
        <v>74</v>
      </c>
      <c r="L1970" t="s">
        <v>74</v>
      </c>
      <c r="M1970" t="s">
        <v>78</v>
      </c>
      <c r="N1970" t="s">
        <v>108</v>
      </c>
      <c r="O1970" t="s">
        <v>74</v>
      </c>
      <c r="P1970" t="s">
        <v>74</v>
      </c>
      <c r="Q1970" t="s">
        <v>74</v>
      </c>
      <c r="R1970" t="s">
        <v>74</v>
      </c>
      <c r="S1970" t="s">
        <v>74</v>
      </c>
      <c r="T1970" t="s">
        <v>33606</v>
      </c>
      <c r="U1970" t="s">
        <v>33607</v>
      </c>
      <c r="V1970" t="s">
        <v>33608</v>
      </c>
      <c r="W1970" t="s">
        <v>33609</v>
      </c>
      <c r="X1970" t="s">
        <v>33610</v>
      </c>
      <c r="Y1970" t="s">
        <v>33611</v>
      </c>
      <c r="Z1970" t="s">
        <v>33612</v>
      </c>
      <c r="AA1970" t="s">
        <v>33613</v>
      </c>
      <c r="AB1970" t="s">
        <v>33614</v>
      </c>
      <c r="AC1970" t="s">
        <v>33615</v>
      </c>
      <c r="AD1970" t="s">
        <v>33616</v>
      </c>
      <c r="AE1970" t="s">
        <v>33617</v>
      </c>
      <c r="AF1970" t="s">
        <v>74</v>
      </c>
      <c r="AG1970">
        <v>71</v>
      </c>
      <c r="AH1970">
        <v>5</v>
      </c>
      <c r="AI1970">
        <v>5</v>
      </c>
      <c r="AJ1970">
        <v>23</v>
      </c>
      <c r="AK1970">
        <v>109</v>
      </c>
      <c r="AL1970" t="s">
        <v>290</v>
      </c>
      <c r="AM1970" t="s">
        <v>291</v>
      </c>
      <c r="AN1970" t="s">
        <v>292</v>
      </c>
      <c r="AO1970" t="s">
        <v>30513</v>
      </c>
      <c r="AP1970" t="s">
        <v>30514</v>
      </c>
      <c r="AQ1970" t="s">
        <v>74</v>
      </c>
      <c r="AR1970" t="s">
        <v>30515</v>
      </c>
      <c r="AS1970" t="s">
        <v>30516</v>
      </c>
      <c r="AT1970" t="s">
        <v>12625</v>
      </c>
      <c r="AU1970">
        <v>2023</v>
      </c>
      <c r="AV1970">
        <v>218</v>
      </c>
      <c r="AW1970" t="s">
        <v>74</v>
      </c>
      <c r="AX1970" t="s">
        <v>74</v>
      </c>
      <c r="AY1970" t="s">
        <v>74</v>
      </c>
      <c r="AZ1970" t="s">
        <v>74</v>
      </c>
      <c r="BA1970" t="s">
        <v>74</v>
      </c>
      <c r="BB1970" t="s">
        <v>74</v>
      </c>
      <c r="BC1970" t="s">
        <v>74</v>
      </c>
      <c r="BD1970">
        <v>119542</v>
      </c>
      <c r="BE1970" t="s">
        <v>33618</v>
      </c>
      <c r="BF1970" t="str">
        <f>HYPERLINK("http://dx.doi.org/10.1016/j.eswa.2023.119542","http://dx.doi.org/10.1016/j.eswa.2023.119542")</f>
        <v>http://dx.doi.org/10.1016/j.eswa.2023.119542</v>
      </c>
      <c r="BG1970" t="s">
        <v>74</v>
      </c>
      <c r="BH1970" t="s">
        <v>3638</v>
      </c>
      <c r="BI1970">
        <v>12</v>
      </c>
      <c r="BJ1970" t="s">
        <v>30518</v>
      </c>
      <c r="BK1970" t="s">
        <v>209</v>
      </c>
      <c r="BL1970" t="s">
        <v>30519</v>
      </c>
      <c r="BM1970" t="s">
        <v>33619</v>
      </c>
      <c r="BN1970" t="s">
        <v>74</v>
      </c>
      <c r="BO1970" t="s">
        <v>74</v>
      </c>
      <c r="BP1970" t="s">
        <v>74</v>
      </c>
      <c r="BQ1970" t="s">
        <v>74</v>
      </c>
      <c r="BR1970" t="s">
        <v>102</v>
      </c>
      <c r="BS1970" t="s">
        <v>33620</v>
      </c>
      <c r="BT1970" t="str">
        <f>HYPERLINK("https%3A%2F%2Fwww.webofscience.com%2Fwos%2Fwoscc%2Ffull-record%2FWOS:000963621400001","View Full Record in Web of Science")</f>
        <v>View Full Record in Web of Science</v>
      </c>
    </row>
    <row r="1971" spans="1:72" x14ac:dyDescent="0.35">
      <c r="A1971" t="s">
        <v>128</v>
      </c>
      <c r="B1971" t="s">
        <v>33621</v>
      </c>
      <c r="C1971" t="s">
        <v>74</v>
      </c>
      <c r="D1971" t="s">
        <v>74</v>
      </c>
      <c r="E1971" t="s">
        <v>1677</v>
      </c>
      <c r="F1971" t="s">
        <v>33622</v>
      </c>
      <c r="G1971" t="s">
        <v>74</v>
      </c>
      <c r="H1971" t="s">
        <v>74</v>
      </c>
      <c r="I1971" t="s">
        <v>33623</v>
      </c>
      <c r="J1971" t="s">
        <v>33624</v>
      </c>
      <c r="K1971" t="s">
        <v>33625</v>
      </c>
      <c r="L1971" t="s">
        <v>74</v>
      </c>
      <c r="M1971" t="s">
        <v>78</v>
      </c>
      <c r="N1971" t="s">
        <v>135</v>
      </c>
      <c r="O1971" t="s">
        <v>33626</v>
      </c>
      <c r="P1971" t="s">
        <v>33627</v>
      </c>
      <c r="Q1971" t="s">
        <v>33628</v>
      </c>
      <c r="R1971" t="s">
        <v>33629</v>
      </c>
      <c r="S1971" t="s">
        <v>74</v>
      </c>
      <c r="T1971" t="s">
        <v>33630</v>
      </c>
      <c r="U1971" t="s">
        <v>33631</v>
      </c>
      <c r="V1971" t="s">
        <v>33632</v>
      </c>
      <c r="W1971" t="s">
        <v>33633</v>
      </c>
      <c r="X1971" t="s">
        <v>33634</v>
      </c>
      <c r="Y1971" t="s">
        <v>33635</v>
      </c>
      <c r="Z1971" t="s">
        <v>33636</v>
      </c>
      <c r="AA1971" t="s">
        <v>33637</v>
      </c>
      <c r="AB1971" t="s">
        <v>74</v>
      </c>
      <c r="AC1971" t="s">
        <v>74</v>
      </c>
      <c r="AD1971" t="s">
        <v>74</v>
      </c>
      <c r="AE1971" t="s">
        <v>74</v>
      </c>
      <c r="AF1971" t="s">
        <v>74</v>
      </c>
      <c r="AG1971">
        <v>65</v>
      </c>
      <c r="AH1971">
        <v>2</v>
      </c>
      <c r="AI1971">
        <v>2</v>
      </c>
      <c r="AJ1971">
        <v>1</v>
      </c>
      <c r="AK1971">
        <v>4</v>
      </c>
      <c r="AL1971" t="s">
        <v>758</v>
      </c>
      <c r="AM1971" t="s">
        <v>759</v>
      </c>
      <c r="AN1971" t="s">
        <v>2146</v>
      </c>
      <c r="AO1971" t="s">
        <v>33638</v>
      </c>
      <c r="AP1971" t="s">
        <v>74</v>
      </c>
      <c r="AQ1971" t="s">
        <v>33639</v>
      </c>
      <c r="AR1971" t="s">
        <v>33640</v>
      </c>
      <c r="AS1971" t="s">
        <v>74</v>
      </c>
      <c r="AT1971" t="s">
        <v>74</v>
      </c>
      <c r="AU1971">
        <v>2023</v>
      </c>
      <c r="AV1971" t="s">
        <v>74</v>
      </c>
      <c r="AW1971" t="s">
        <v>74</v>
      </c>
      <c r="AX1971" t="s">
        <v>74</v>
      </c>
      <c r="AY1971" t="s">
        <v>74</v>
      </c>
      <c r="AZ1971" t="s">
        <v>74</v>
      </c>
      <c r="BA1971" t="s">
        <v>74</v>
      </c>
      <c r="BB1971">
        <v>197</v>
      </c>
      <c r="BC1971">
        <v>206</v>
      </c>
      <c r="BD1971" t="s">
        <v>74</v>
      </c>
      <c r="BE1971" t="s">
        <v>33641</v>
      </c>
      <c r="BF1971" t="str">
        <f>HYPERLINK("http://dx.doi.org/10.1109/PacificVis56936.2023.00029","http://dx.doi.org/10.1109/PacificVis56936.2023.00029")</f>
        <v>http://dx.doi.org/10.1109/PacificVis56936.2023.00029</v>
      </c>
      <c r="BG1971" t="s">
        <v>74</v>
      </c>
      <c r="BH1971" t="s">
        <v>74</v>
      </c>
      <c r="BI1971">
        <v>10</v>
      </c>
      <c r="BJ1971" t="s">
        <v>2794</v>
      </c>
      <c r="BK1971" t="s">
        <v>723</v>
      </c>
      <c r="BL1971" t="s">
        <v>210</v>
      </c>
      <c r="BM1971" t="s">
        <v>33642</v>
      </c>
      <c r="BN1971" t="s">
        <v>74</v>
      </c>
      <c r="BO1971" t="s">
        <v>74</v>
      </c>
      <c r="BP1971" t="s">
        <v>74</v>
      </c>
      <c r="BQ1971" t="s">
        <v>74</v>
      </c>
      <c r="BR1971" t="s">
        <v>102</v>
      </c>
      <c r="BS1971" t="s">
        <v>33643</v>
      </c>
      <c r="BT1971" t="str">
        <f>HYPERLINK("https%3A%2F%2Fwww.webofscience.com%2Fwos%2Fwoscc%2Ffull-record%2FWOS:001016413500023","View Full Record in Web of Science")</f>
        <v>View Full Record in Web of Science</v>
      </c>
    </row>
    <row r="1972" spans="1:72" x14ac:dyDescent="0.35">
      <c r="A1972" t="s">
        <v>128</v>
      </c>
      <c r="B1972" t="s">
        <v>33644</v>
      </c>
      <c r="C1972" t="s">
        <v>74</v>
      </c>
      <c r="D1972" t="s">
        <v>74</v>
      </c>
      <c r="E1972" t="s">
        <v>1677</v>
      </c>
      <c r="F1972" t="s">
        <v>33645</v>
      </c>
      <c r="G1972" t="s">
        <v>74</v>
      </c>
      <c r="H1972" t="s">
        <v>74</v>
      </c>
      <c r="I1972" t="s">
        <v>33646</v>
      </c>
      <c r="J1972" t="s">
        <v>33647</v>
      </c>
      <c r="K1972" t="s">
        <v>33648</v>
      </c>
      <c r="L1972" t="s">
        <v>74</v>
      </c>
      <c r="M1972" t="s">
        <v>78</v>
      </c>
      <c r="N1972" t="s">
        <v>135</v>
      </c>
      <c r="O1972" t="s">
        <v>33649</v>
      </c>
      <c r="P1972" t="s">
        <v>33650</v>
      </c>
      <c r="Q1972" t="s">
        <v>17630</v>
      </c>
      <c r="R1972" t="s">
        <v>33651</v>
      </c>
      <c r="S1972" t="s">
        <v>74</v>
      </c>
      <c r="T1972" t="s">
        <v>33652</v>
      </c>
      <c r="U1972" t="s">
        <v>74</v>
      </c>
      <c r="V1972" t="s">
        <v>33653</v>
      </c>
      <c r="W1972" t="s">
        <v>33654</v>
      </c>
      <c r="X1972" t="s">
        <v>33655</v>
      </c>
      <c r="Y1972" t="s">
        <v>33656</v>
      </c>
      <c r="Z1972" t="s">
        <v>74</v>
      </c>
      <c r="AA1972" t="s">
        <v>33657</v>
      </c>
      <c r="AB1972" t="s">
        <v>33658</v>
      </c>
      <c r="AC1972" t="s">
        <v>33659</v>
      </c>
      <c r="AD1972" t="s">
        <v>33660</v>
      </c>
      <c r="AE1972" t="s">
        <v>33661</v>
      </c>
      <c r="AF1972" t="s">
        <v>74</v>
      </c>
      <c r="AG1972">
        <v>53</v>
      </c>
      <c r="AH1972">
        <v>0</v>
      </c>
      <c r="AI1972">
        <v>0</v>
      </c>
      <c r="AJ1972">
        <v>0</v>
      </c>
      <c r="AK1972">
        <v>2</v>
      </c>
      <c r="AL1972" t="s">
        <v>758</v>
      </c>
      <c r="AM1972" t="s">
        <v>759</v>
      </c>
      <c r="AN1972" t="s">
        <v>2146</v>
      </c>
      <c r="AO1972" t="s">
        <v>33662</v>
      </c>
      <c r="AP1972" t="s">
        <v>74</v>
      </c>
      <c r="AQ1972" t="s">
        <v>33663</v>
      </c>
      <c r="AR1972" t="s">
        <v>33664</v>
      </c>
      <c r="AS1972" t="s">
        <v>74</v>
      </c>
      <c r="AT1972" t="s">
        <v>74</v>
      </c>
      <c r="AU1972">
        <v>2023</v>
      </c>
      <c r="AV1972" t="s">
        <v>74</v>
      </c>
      <c r="AW1972" t="s">
        <v>74</v>
      </c>
      <c r="AX1972" t="s">
        <v>74</v>
      </c>
      <c r="AY1972" t="s">
        <v>74</v>
      </c>
      <c r="AZ1972" t="s">
        <v>74</v>
      </c>
      <c r="BA1972" t="s">
        <v>74</v>
      </c>
      <c r="BB1972">
        <v>214</v>
      </c>
      <c r="BC1972">
        <v>224</v>
      </c>
      <c r="BD1972" t="s">
        <v>74</v>
      </c>
      <c r="BE1972" t="s">
        <v>33665</v>
      </c>
      <c r="BF1972" t="str">
        <f>HYPERLINK("http://dx.doi.org/10.1109/ICDCS57875.2023.00044","http://dx.doi.org/10.1109/ICDCS57875.2023.00044")</f>
        <v>http://dx.doi.org/10.1109/ICDCS57875.2023.00044</v>
      </c>
      <c r="BG1972" t="s">
        <v>74</v>
      </c>
      <c r="BH1972" t="s">
        <v>74</v>
      </c>
      <c r="BI1972">
        <v>11</v>
      </c>
      <c r="BJ1972" t="s">
        <v>33666</v>
      </c>
      <c r="BK1972" t="s">
        <v>723</v>
      </c>
      <c r="BL1972" t="s">
        <v>1699</v>
      </c>
      <c r="BM1972" t="s">
        <v>33667</v>
      </c>
      <c r="BN1972" t="s">
        <v>74</v>
      </c>
      <c r="BO1972" t="s">
        <v>74</v>
      </c>
      <c r="BP1972" t="s">
        <v>74</v>
      </c>
      <c r="BQ1972" t="s">
        <v>74</v>
      </c>
      <c r="BR1972" t="s">
        <v>102</v>
      </c>
      <c r="BS1972" t="s">
        <v>33668</v>
      </c>
      <c r="BT1972" t="str">
        <f>HYPERLINK("https%3A%2F%2Fwww.webofscience.com%2Fwos%2Fwoscc%2Ffull-record%2FWOS:001081242600019","View Full Record in Web of Science")</f>
        <v>View Full Record in Web of Science</v>
      </c>
    </row>
    <row r="1973" spans="1:72" x14ac:dyDescent="0.35">
      <c r="A1973" t="s">
        <v>128</v>
      </c>
      <c r="B1973" t="s">
        <v>33669</v>
      </c>
      <c r="C1973" t="s">
        <v>74</v>
      </c>
      <c r="D1973" t="s">
        <v>74</v>
      </c>
      <c r="E1973" t="s">
        <v>702</v>
      </c>
      <c r="F1973" t="s">
        <v>33670</v>
      </c>
      <c r="G1973" t="s">
        <v>74</v>
      </c>
      <c r="H1973" t="s">
        <v>74</v>
      </c>
      <c r="I1973" t="s">
        <v>33671</v>
      </c>
      <c r="J1973" t="s">
        <v>33672</v>
      </c>
      <c r="K1973" t="s">
        <v>74</v>
      </c>
      <c r="L1973" t="s">
        <v>74</v>
      </c>
      <c r="M1973" t="s">
        <v>78</v>
      </c>
      <c r="N1973" t="s">
        <v>135</v>
      </c>
      <c r="O1973" t="s">
        <v>33673</v>
      </c>
      <c r="P1973" t="s">
        <v>33674</v>
      </c>
      <c r="Q1973" t="s">
        <v>33675</v>
      </c>
      <c r="R1973" t="s">
        <v>27744</v>
      </c>
      <c r="S1973" t="s">
        <v>33676</v>
      </c>
      <c r="T1973" t="s">
        <v>33677</v>
      </c>
      <c r="U1973" t="s">
        <v>74</v>
      </c>
      <c r="V1973" t="s">
        <v>33678</v>
      </c>
      <c r="W1973" t="s">
        <v>33679</v>
      </c>
      <c r="X1973" t="s">
        <v>21123</v>
      </c>
      <c r="Y1973" t="s">
        <v>33680</v>
      </c>
      <c r="Z1973" t="s">
        <v>33681</v>
      </c>
      <c r="AA1973" t="s">
        <v>33682</v>
      </c>
      <c r="AB1973" t="s">
        <v>74</v>
      </c>
      <c r="AC1973" t="s">
        <v>33683</v>
      </c>
      <c r="AD1973" t="s">
        <v>4847</v>
      </c>
      <c r="AE1973" t="s">
        <v>33684</v>
      </c>
      <c r="AF1973" t="s">
        <v>74</v>
      </c>
      <c r="AG1973">
        <v>37</v>
      </c>
      <c r="AH1973">
        <v>21</v>
      </c>
      <c r="AI1973">
        <v>21</v>
      </c>
      <c r="AJ1973">
        <v>0</v>
      </c>
      <c r="AK1973">
        <v>3</v>
      </c>
      <c r="AL1973" t="s">
        <v>718</v>
      </c>
      <c r="AM1973" t="s">
        <v>666</v>
      </c>
      <c r="AN1973" t="s">
        <v>719</v>
      </c>
      <c r="AO1973" t="s">
        <v>74</v>
      </c>
      <c r="AP1973" t="s">
        <v>74</v>
      </c>
      <c r="AQ1973" t="s">
        <v>33685</v>
      </c>
      <c r="AR1973" t="s">
        <v>74</v>
      </c>
      <c r="AS1973" t="s">
        <v>74</v>
      </c>
      <c r="AT1973" t="s">
        <v>74</v>
      </c>
      <c r="AU1973">
        <v>2021</v>
      </c>
      <c r="AV1973" t="s">
        <v>74</v>
      </c>
      <c r="AW1973" t="s">
        <v>74</v>
      </c>
      <c r="AX1973" t="s">
        <v>74</v>
      </c>
      <c r="AY1973" t="s">
        <v>74</v>
      </c>
      <c r="AZ1973" t="s">
        <v>74</v>
      </c>
      <c r="BA1973" t="s">
        <v>74</v>
      </c>
      <c r="BB1973">
        <v>1099</v>
      </c>
      <c r="BC1973">
        <v>1108</v>
      </c>
      <c r="BD1973" t="s">
        <v>74</v>
      </c>
      <c r="BE1973" t="s">
        <v>33686</v>
      </c>
      <c r="BF1973" t="str">
        <f>HYPERLINK("http://dx.doi.org/10.1145/3459637.3482417","http://dx.doi.org/10.1145/3459637.3482417")</f>
        <v>http://dx.doi.org/10.1145/3459637.3482417</v>
      </c>
      <c r="BG1973" t="s">
        <v>74</v>
      </c>
      <c r="BH1973" t="s">
        <v>74</v>
      </c>
      <c r="BI1973">
        <v>10</v>
      </c>
      <c r="BJ1973" t="s">
        <v>5789</v>
      </c>
      <c r="BK1973" t="s">
        <v>723</v>
      </c>
      <c r="BL1973" t="s">
        <v>210</v>
      </c>
      <c r="BM1973" t="s">
        <v>33687</v>
      </c>
      <c r="BN1973" t="s">
        <v>74</v>
      </c>
      <c r="BO1973" t="s">
        <v>2738</v>
      </c>
      <c r="BP1973" t="s">
        <v>74</v>
      </c>
      <c r="BQ1973" t="s">
        <v>74</v>
      </c>
      <c r="BR1973" t="s">
        <v>102</v>
      </c>
      <c r="BS1973" t="s">
        <v>33688</v>
      </c>
      <c r="BT1973" t="str">
        <f>HYPERLINK("https%3A%2F%2Fwww.webofscience.com%2Fwos%2Fwoscc%2Ffull-record%2FWOS:001054156201016","View Full Record in Web of Science")</f>
        <v>View Full Record in Web of Science</v>
      </c>
    </row>
    <row r="1974" spans="1:72" x14ac:dyDescent="0.35">
      <c r="A1974" t="s">
        <v>72</v>
      </c>
      <c r="B1974" t="s">
        <v>33689</v>
      </c>
      <c r="C1974" t="s">
        <v>74</v>
      </c>
      <c r="D1974" t="s">
        <v>74</v>
      </c>
      <c r="E1974" t="s">
        <v>74</v>
      </c>
      <c r="F1974" t="s">
        <v>33690</v>
      </c>
      <c r="G1974" t="s">
        <v>74</v>
      </c>
      <c r="H1974" t="s">
        <v>74</v>
      </c>
      <c r="I1974" t="s">
        <v>33691</v>
      </c>
      <c r="J1974" t="s">
        <v>33692</v>
      </c>
      <c r="K1974" t="s">
        <v>74</v>
      </c>
      <c r="L1974" t="s">
        <v>74</v>
      </c>
      <c r="M1974" t="s">
        <v>78</v>
      </c>
      <c r="N1974" t="s">
        <v>108</v>
      </c>
      <c r="O1974" t="s">
        <v>74</v>
      </c>
      <c r="P1974" t="s">
        <v>74</v>
      </c>
      <c r="Q1974" t="s">
        <v>74</v>
      </c>
      <c r="R1974" t="s">
        <v>74</v>
      </c>
      <c r="S1974" t="s">
        <v>74</v>
      </c>
      <c r="T1974" t="s">
        <v>33693</v>
      </c>
      <c r="U1974" t="s">
        <v>1800</v>
      </c>
      <c r="V1974" t="s">
        <v>33694</v>
      </c>
      <c r="W1974" t="s">
        <v>33695</v>
      </c>
      <c r="X1974" t="s">
        <v>33696</v>
      </c>
      <c r="Y1974" t="s">
        <v>33697</v>
      </c>
      <c r="Z1974" t="s">
        <v>33698</v>
      </c>
      <c r="AA1974" t="s">
        <v>74</v>
      </c>
      <c r="AB1974" t="s">
        <v>33699</v>
      </c>
      <c r="AC1974" t="s">
        <v>33700</v>
      </c>
      <c r="AD1974" t="s">
        <v>33701</v>
      </c>
      <c r="AE1974" t="s">
        <v>33702</v>
      </c>
      <c r="AF1974" t="s">
        <v>74</v>
      </c>
      <c r="AG1974">
        <v>68</v>
      </c>
      <c r="AH1974">
        <v>8</v>
      </c>
      <c r="AI1974">
        <v>8</v>
      </c>
      <c r="AJ1974">
        <v>0</v>
      </c>
      <c r="AK1974">
        <v>12</v>
      </c>
      <c r="AL1974" t="s">
        <v>516</v>
      </c>
      <c r="AM1974" t="s">
        <v>517</v>
      </c>
      <c r="AN1974" t="s">
        <v>518</v>
      </c>
      <c r="AO1974" t="s">
        <v>33703</v>
      </c>
      <c r="AP1974" t="s">
        <v>33704</v>
      </c>
      <c r="AQ1974" t="s">
        <v>74</v>
      </c>
      <c r="AR1974" t="s">
        <v>33692</v>
      </c>
      <c r="AS1974" t="s">
        <v>33705</v>
      </c>
      <c r="AT1974" t="s">
        <v>5638</v>
      </c>
      <c r="AU1974">
        <v>2022</v>
      </c>
      <c r="AV1974">
        <v>472</v>
      </c>
      <c r="AW1974" t="s">
        <v>74</v>
      </c>
      <c r="AX1974" t="s">
        <v>74</v>
      </c>
      <c r="AY1974" t="s">
        <v>74</v>
      </c>
      <c r="AZ1974" t="s">
        <v>74</v>
      </c>
      <c r="BA1974" t="s">
        <v>74</v>
      </c>
      <c r="BB1974">
        <v>294</v>
      </c>
      <c r="BC1974">
        <v>305</v>
      </c>
      <c r="BD1974" t="s">
        <v>74</v>
      </c>
      <c r="BE1974" t="s">
        <v>33706</v>
      </c>
      <c r="BF1974" t="str">
        <f>HYPERLINK("http://dx.doi.org/10.1016/j.neucom.2020.12.137","http://dx.doi.org/10.1016/j.neucom.2020.12.137")</f>
        <v>http://dx.doi.org/10.1016/j.neucom.2020.12.137</v>
      </c>
      <c r="BG1974" t="s">
        <v>74</v>
      </c>
      <c r="BH1974" t="s">
        <v>74</v>
      </c>
      <c r="BI1974">
        <v>12</v>
      </c>
      <c r="BJ1974" t="s">
        <v>4250</v>
      </c>
      <c r="BK1974" t="s">
        <v>209</v>
      </c>
      <c r="BL1974" t="s">
        <v>210</v>
      </c>
      <c r="BM1974" t="s">
        <v>33707</v>
      </c>
      <c r="BN1974" t="s">
        <v>74</v>
      </c>
      <c r="BO1974" t="s">
        <v>74</v>
      </c>
      <c r="BP1974" t="s">
        <v>74</v>
      </c>
      <c r="BQ1974" t="s">
        <v>74</v>
      </c>
      <c r="BR1974" t="s">
        <v>102</v>
      </c>
      <c r="BS1974" t="s">
        <v>33708</v>
      </c>
      <c r="BT1974" t="str">
        <f>HYPERLINK("https%3A%2F%2Fwww.webofscience.com%2Fwos%2Fwoscc%2Ffull-record%2FWOS:000761758600005","View Full Record in Web of Science")</f>
        <v>View Full Record in Web of Science</v>
      </c>
    </row>
    <row r="1975" spans="1:72" x14ac:dyDescent="0.35">
      <c r="A1975" t="s">
        <v>72</v>
      </c>
      <c r="B1975" t="s">
        <v>33709</v>
      </c>
      <c r="C1975" t="s">
        <v>74</v>
      </c>
      <c r="D1975" t="s">
        <v>74</v>
      </c>
      <c r="E1975" t="s">
        <v>74</v>
      </c>
      <c r="F1975" t="s">
        <v>33710</v>
      </c>
      <c r="G1975" t="s">
        <v>74</v>
      </c>
      <c r="H1975" t="s">
        <v>74</v>
      </c>
      <c r="I1975" t="s">
        <v>33711</v>
      </c>
      <c r="J1975" t="s">
        <v>33712</v>
      </c>
      <c r="K1975" t="s">
        <v>74</v>
      </c>
      <c r="L1975" t="s">
        <v>74</v>
      </c>
      <c r="M1975" t="s">
        <v>78</v>
      </c>
      <c r="N1975" t="s">
        <v>108</v>
      </c>
      <c r="O1975" t="s">
        <v>74</v>
      </c>
      <c r="P1975" t="s">
        <v>74</v>
      </c>
      <c r="Q1975" t="s">
        <v>74</v>
      </c>
      <c r="R1975" t="s">
        <v>74</v>
      </c>
      <c r="S1975" t="s">
        <v>74</v>
      </c>
      <c r="T1975" t="s">
        <v>33713</v>
      </c>
      <c r="U1975" t="s">
        <v>33714</v>
      </c>
      <c r="V1975" t="s">
        <v>33715</v>
      </c>
      <c r="W1975" t="s">
        <v>33716</v>
      </c>
      <c r="X1975" t="s">
        <v>33717</v>
      </c>
      <c r="Y1975" t="s">
        <v>33718</v>
      </c>
      <c r="Z1975" t="s">
        <v>33719</v>
      </c>
      <c r="AA1975" t="s">
        <v>74</v>
      </c>
      <c r="AB1975" t="s">
        <v>33720</v>
      </c>
      <c r="AC1975" t="s">
        <v>74</v>
      </c>
      <c r="AD1975" t="s">
        <v>74</v>
      </c>
      <c r="AE1975" t="s">
        <v>74</v>
      </c>
      <c r="AF1975" t="s">
        <v>74</v>
      </c>
      <c r="AG1975">
        <v>45</v>
      </c>
      <c r="AH1975">
        <v>5</v>
      </c>
      <c r="AI1975">
        <v>5</v>
      </c>
      <c r="AJ1975">
        <v>1</v>
      </c>
      <c r="AK1975">
        <v>17</v>
      </c>
      <c r="AL1975" t="s">
        <v>25124</v>
      </c>
      <c r="AM1975" t="s">
        <v>18022</v>
      </c>
      <c r="AN1975" t="s">
        <v>25125</v>
      </c>
      <c r="AO1975" t="s">
        <v>33721</v>
      </c>
      <c r="AP1975" t="s">
        <v>33722</v>
      </c>
      <c r="AQ1975" t="s">
        <v>74</v>
      </c>
      <c r="AR1975" t="s">
        <v>33723</v>
      </c>
      <c r="AS1975" t="s">
        <v>33724</v>
      </c>
      <c r="AT1975" t="s">
        <v>74</v>
      </c>
      <c r="AU1975">
        <v>2020</v>
      </c>
      <c r="AV1975">
        <v>15</v>
      </c>
      <c r="AW1975" t="s">
        <v>74</v>
      </c>
      <c r="AX1975" t="s">
        <v>74</v>
      </c>
      <c r="AY1975" t="s">
        <v>74</v>
      </c>
      <c r="AZ1975" t="s">
        <v>74</v>
      </c>
      <c r="BA1975" t="s">
        <v>74</v>
      </c>
      <c r="BB1975">
        <v>3213</v>
      </c>
      <c r="BC1975">
        <v>3226</v>
      </c>
      <c r="BD1975" t="s">
        <v>74</v>
      </c>
      <c r="BE1975" t="s">
        <v>33725</v>
      </c>
      <c r="BF1975" t="str">
        <f>HYPERLINK("http://dx.doi.org/10.1109/TIFS.2020.2983287","http://dx.doi.org/10.1109/TIFS.2020.2983287")</f>
        <v>http://dx.doi.org/10.1109/TIFS.2020.2983287</v>
      </c>
      <c r="BG1975" t="s">
        <v>74</v>
      </c>
      <c r="BH1975" t="s">
        <v>74</v>
      </c>
      <c r="BI1975">
        <v>14</v>
      </c>
      <c r="BJ1975" t="s">
        <v>33726</v>
      </c>
      <c r="BK1975" t="s">
        <v>209</v>
      </c>
      <c r="BL1975" t="s">
        <v>1113</v>
      </c>
      <c r="BM1975" t="s">
        <v>33727</v>
      </c>
      <c r="BN1975" t="s">
        <v>74</v>
      </c>
      <c r="BO1975" t="s">
        <v>74</v>
      </c>
      <c r="BP1975" t="s">
        <v>74</v>
      </c>
      <c r="BQ1975" t="s">
        <v>74</v>
      </c>
      <c r="BR1975" t="s">
        <v>102</v>
      </c>
      <c r="BS1975" t="s">
        <v>33728</v>
      </c>
      <c r="BT1975" t="str">
        <f>HYPERLINK("https%3A%2F%2Fwww.webofscience.com%2Fwos%2Fwoscc%2Ffull-record%2FWOS:000530269600006","View Full Record in Web of Science")</f>
        <v>View Full Record in Web of Science</v>
      </c>
    </row>
    <row r="1976" spans="1:72" x14ac:dyDescent="0.35">
      <c r="A1976" t="s">
        <v>72</v>
      </c>
      <c r="B1976" t="s">
        <v>33729</v>
      </c>
      <c r="C1976" t="s">
        <v>74</v>
      </c>
      <c r="D1976" t="s">
        <v>74</v>
      </c>
      <c r="E1976" t="s">
        <v>74</v>
      </c>
      <c r="F1976" t="s">
        <v>33730</v>
      </c>
      <c r="G1976" t="s">
        <v>74</v>
      </c>
      <c r="H1976" t="s">
        <v>74</v>
      </c>
      <c r="I1976" t="s">
        <v>33731</v>
      </c>
      <c r="J1976" t="s">
        <v>33732</v>
      </c>
      <c r="K1976" t="s">
        <v>74</v>
      </c>
      <c r="L1976" t="s">
        <v>74</v>
      </c>
      <c r="M1976" t="s">
        <v>78</v>
      </c>
      <c r="N1976" t="s">
        <v>108</v>
      </c>
      <c r="O1976" t="s">
        <v>74</v>
      </c>
      <c r="P1976" t="s">
        <v>74</v>
      </c>
      <c r="Q1976" t="s">
        <v>74</v>
      </c>
      <c r="R1976" t="s">
        <v>74</v>
      </c>
      <c r="S1976" t="s">
        <v>74</v>
      </c>
      <c r="T1976" t="s">
        <v>33733</v>
      </c>
      <c r="U1976" t="s">
        <v>33734</v>
      </c>
      <c r="V1976" t="s">
        <v>33735</v>
      </c>
      <c r="W1976" t="s">
        <v>33736</v>
      </c>
      <c r="X1976" t="s">
        <v>33737</v>
      </c>
      <c r="Y1976" t="s">
        <v>33738</v>
      </c>
      <c r="Z1976" t="s">
        <v>33739</v>
      </c>
      <c r="AA1976" t="s">
        <v>33740</v>
      </c>
      <c r="AB1976" t="s">
        <v>33741</v>
      </c>
      <c r="AC1976" t="s">
        <v>33742</v>
      </c>
      <c r="AD1976" t="s">
        <v>33742</v>
      </c>
      <c r="AE1976" t="s">
        <v>33743</v>
      </c>
      <c r="AF1976" t="s">
        <v>74</v>
      </c>
      <c r="AG1976">
        <v>63</v>
      </c>
      <c r="AH1976">
        <v>0</v>
      </c>
      <c r="AI1976">
        <v>0</v>
      </c>
      <c r="AJ1976">
        <v>5</v>
      </c>
      <c r="AK1976">
        <v>12</v>
      </c>
      <c r="AL1976" t="s">
        <v>665</v>
      </c>
      <c r="AM1976" t="s">
        <v>2922</v>
      </c>
      <c r="AN1976" t="s">
        <v>2923</v>
      </c>
      <c r="AO1976" t="s">
        <v>33744</v>
      </c>
      <c r="AP1976" t="s">
        <v>33745</v>
      </c>
      <c r="AQ1976" t="s">
        <v>74</v>
      </c>
      <c r="AR1976" t="s">
        <v>33746</v>
      </c>
      <c r="AS1976" t="s">
        <v>33747</v>
      </c>
      <c r="AT1976" t="s">
        <v>930</v>
      </c>
      <c r="AU1976">
        <v>2024</v>
      </c>
      <c r="AV1976">
        <v>335</v>
      </c>
      <c r="AW1976">
        <v>2</v>
      </c>
      <c r="AX1976" t="s">
        <v>74</v>
      </c>
      <c r="AY1976" t="s">
        <v>74</v>
      </c>
      <c r="AZ1976" t="s">
        <v>456</v>
      </c>
      <c r="BA1976" t="s">
        <v>74</v>
      </c>
      <c r="BB1976">
        <v>645</v>
      </c>
      <c r="BC1976">
        <v>663</v>
      </c>
      <c r="BD1976" t="s">
        <v>74</v>
      </c>
      <c r="BE1976" t="s">
        <v>33748</v>
      </c>
      <c r="BF1976" t="str">
        <f>HYPERLINK("http://dx.doi.org/10.1007/s10479-023-05617-7","http://dx.doi.org/10.1007/s10479-023-05617-7")</f>
        <v>http://dx.doi.org/10.1007/s10479-023-05617-7</v>
      </c>
      <c r="BG1976" t="s">
        <v>74</v>
      </c>
      <c r="BH1976" t="s">
        <v>207</v>
      </c>
      <c r="BI1976">
        <v>19</v>
      </c>
      <c r="BJ1976" t="s">
        <v>9302</v>
      </c>
      <c r="BK1976" t="s">
        <v>209</v>
      </c>
      <c r="BL1976" t="s">
        <v>9302</v>
      </c>
      <c r="BM1976" t="s">
        <v>33749</v>
      </c>
      <c r="BN1976" t="s">
        <v>74</v>
      </c>
      <c r="BO1976" t="s">
        <v>156</v>
      </c>
      <c r="BP1976" t="s">
        <v>74</v>
      </c>
      <c r="BQ1976" t="s">
        <v>74</v>
      </c>
      <c r="BR1976" t="s">
        <v>102</v>
      </c>
      <c r="BS1976" t="s">
        <v>33750</v>
      </c>
      <c r="BT1976" t="str">
        <f>HYPERLINK("https%3A%2F%2Fwww.webofscience.com%2Fwos%2Fwoscc%2Ffull-record%2FWOS:001088167000003","View Full Record in Web of Science")</f>
        <v>View Full Record in Web of Science</v>
      </c>
    </row>
    <row r="1977" spans="1:72" x14ac:dyDescent="0.35">
      <c r="A1977" t="s">
        <v>128</v>
      </c>
      <c r="B1977" t="s">
        <v>33751</v>
      </c>
      <c r="C1977" t="s">
        <v>74</v>
      </c>
      <c r="D1977" t="s">
        <v>74</v>
      </c>
      <c r="E1977" t="s">
        <v>5380</v>
      </c>
      <c r="F1977" t="s">
        <v>33752</v>
      </c>
      <c r="G1977" t="s">
        <v>74</v>
      </c>
      <c r="H1977" t="s">
        <v>74</v>
      </c>
      <c r="I1977" t="s">
        <v>33753</v>
      </c>
      <c r="J1977" t="s">
        <v>33754</v>
      </c>
      <c r="K1977" t="s">
        <v>74</v>
      </c>
      <c r="L1977" t="s">
        <v>74</v>
      </c>
      <c r="M1977" t="s">
        <v>78</v>
      </c>
      <c r="N1977" t="s">
        <v>135</v>
      </c>
      <c r="O1977" t="s">
        <v>33755</v>
      </c>
      <c r="P1977" t="s">
        <v>33756</v>
      </c>
      <c r="Q1977" t="s">
        <v>33757</v>
      </c>
      <c r="R1977" t="s">
        <v>33758</v>
      </c>
      <c r="S1977" t="s">
        <v>74</v>
      </c>
      <c r="T1977" t="s">
        <v>74</v>
      </c>
      <c r="U1977" t="s">
        <v>74</v>
      </c>
      <c r="V1977" t="s">
        <v>33759</v>
      </c>
      <c r="W1977" t="s">
        <v>33760</v>
      </c>
      <c r="X1977" t="s">
        <v>33761</v>
      </c>
      <c r="Y1977" t="s">
        <v>33762</v>
      </c>
      <c r="Z1977" t="s">
        <v>33763</v>
      </c>
      <c r="AA1977" t="s">
        <v>33764</v>
      </c>
      <c r="AB1977" t="s">
        <v>74</v>
      </c>
      <c r="AC1977" t="s">
        <v>33765</v>
      </c>
      <c r="AD1977" t="s">
        <v>33766</v>
      </c>
      <c r="AE1977" t="s">
        <v>33767</v>
      </c>
      <c r="AF1977" t="s">
        <v>74</v>
      </c>
      <c r="AG1977">
        <v>47</v>
      </c>
      <c r="AH1977">
        <v>0</v>
      </c>
      <c r="AI1977">
        <v>0</v>
      </c>
      <c r="AJ1977">
        <v>2</v>
      </c>
      <c r="AK1977">
        <v>2</v>
      </c>
      <c r="AL1977" t="s">
        <v>5380</v>
      </c>
      <c r="AM1977" t="s">
        <v>5396</v>
      </c>
      <c r="AN1977" t="s">
        <v>5397</v>
      </c>
      <c r="AO1977" t="s">
        <v>74</v>
      </c>
      <c r="AP1977" t="s">
        <v>74</v>
      </c>
      <c r="AQ1977" t="s">
        <v>33768</v>
      </c>
      <c r="AR1977" t="s">
        <v>74</v>
      </c>
      <c r="AS1977" t="s">
        <v>74</v>
      </c>
      <c r="AT1977" t="s">
        <v>74</v>
      </c>
      <c r="AU1977">
        <v>2024</v>
      </c>
      <c r="AV1977" t="s">
        <v>74</v>
      </c>
      <c r="AW1977" t="s">
        <v>74</v>
      </c>
      <c r="AX1977" t="s">
        <v>74</v>
      </c>
      <c r="AY1977" t="s">
        <v>74</v>
      </c>
      <c r="AZ1977" t="s">
        <v>74</v>
      </c>
      <c r="BA1977" t="s">
        <v>74</v>
      </c>
      <c r="BB1977">
        <v>321</v>
      </c>
      <c r="BC1977">
        <v>338</v>
      </c>
      <c r="BD1977" t="s">
        <v>74</v>
      </c>
      <c r="BE1977" t="s">
        <v>74</v>
      </c>
      <c r="BF1977" t="s">
        <v>74</v>
      </c>
      <c r="BG1977" t="s">
        <v>74</v>
      </c>
      <c r="BH1977" t="s">
        <v>74</v>
      </c>
      <c r="BI1977">
        <v>18</v>
      </c>
      <c r="BJ1977" t="s">
        <v>33769</v>
      </c>
      <c r="BK1977" t="s">
        <v>723</v>
      </c>
      <c r="BL1977" t="s">
        <v>210</v>
      </c>
      <c r="BM1977" t="s">
        <v>33770</v>
      </c>
      <c r="BN1977" t="s">
        <v>74</v>
      </c>
      <c r="BO1977" t="s">
        <v>74</v>
      </c>
      <c r="BP1977" t="s">
        <v>74</v>
      </c>
      <c r="BQ1977" t="s">
        <v>74</v>
      </c>
      <c r="BR1977" t="s">
        <v>102</v>
      </c>
      <c r="BS1977" t="s">
        <v>33771</v>
      </c>
      <c r="BT1977" t="str">
        <f>HYPERLINK("https%3A%2F%2Fwww.webofscience.com%2Fwos%2Fwoscc%2Ffull-record%2FWOS:001270899700019","View Full Record in Web of Science")</f>
        <v>View Full Record in Web of Science</v>
      </c>
    </row>
    <row r="1978" spans="1:72" x14ac:dyDescent="0.35">
      <c r="A1978" t="s">
        <v>72</v>
      </c>
      <c r="B1978" t="s">
        <v>33772</v>
      </c>
      <c r="C1978" t="s">
        <v>74</v>
      </c>
      <c r="D1978" t="s">
        <v>74</v>
      </c>
      <c r="E1978" t="s">
        <v>74</v>
      </c>
      <c r="F1978" t="s">
        <v>33773</v>
      </c>
      <c r="G1978" t="s">
        <v>74</v>
      </c>
      <c r="H1978" t="s">
        <v>74</v>
      </c>
      <c r="I1978" t="s">
        <v>33774</v>
      </c>
      <c r="J1978" t="s">
        <v>33775</v>
      </c>
      <c r="K1978" t="s">
        <v>74</v>
      </c>
      <c r="L1978" t="s">
        <v>74</v>
      </c>
      <c r="M1978" t="s">
        <v>78</v>
      </c>
      <c r="N1978" t="s">
        <v>108</v>
      </c>
      <c r="O1978" t="s">
        <v>74</v>
      </c>
      <c r="P1978" t="s">
        <v>74</v>
      </c>
      <c r="Q1978" t="s">
        <v>74</v>
      </c>
      <c r="R1978" t="s">
        <v>74</v>
      </c>
      <c r="S1978" t="s">
        <v>74</v>
      </c>
      <c r="T1978" t="s">
        <v>33776</v>
      </c>
      <c r="U1978" t="s">
        <v>33777</v>
      </c>
      <c r="V1978" t="s">
        <v>33778</v>
      </c>
      <c r="W1978" t="s">
        <v>33779</v>
      </c>
      <c r="X1978" t="s">
        <v>23612</v>
      </c>
      <c r="Y1978" t="s">
        <v>33780</v>
      </c>
      <c r="Z1978" t="s">
        <v>33781</v>
      </c>
      <c r="AA1978" t="s">
        <v>33782</v>
      </c>
      <c r="AB1978" t="s">
        <v>33783</v>
      </c>
      <c r="AC1978" t="s">
        <v>74</v>
      </c>
      <c r="AD1978" t="s">
        <v>74</v>
      </c>
      <c r="AE1978" t="s">
        <v>74</v>
      </c>
      <c r="AF1978" t="s">
        <v>74</v>
      </c>
      <c r="AG1978">
        <v>59</v>
      </c>
      <c r="AH1978">
        <v>1</v>
      </c>
      <c r="AI1978">
        <v>1</v>
      </c>
      <c r="AJ1978">
        <v>4</v>
      </c>
      <c r="AK1978">
        <v>6</v>
      </c>
      <c r="AL1978" t="s">
        <v>88</v>
      </c>
      <c r="AM1978" t="s">
        <v>89</v>
      </c>
      <c r="AN1978" t="s">
        <v>90</v>
      </c>
      <c r="AO1978" t="s">
        <v>33784</v>
      </c>
      <c r="AP1978" t="s">
        <v>33785</v>
      </c>
      <c r="AQ1978" t="s">
        <v>74</v>
      </c>
      <c r="AR1978" t="s">
        <v>33786</v>
      </c>
      <c r="AS1978" t="s">
        <v>33787</v>
      </c>
      <c r="AT1978" t="s">
        <v>2323</v>
      </c>
      <c r="AU1978">
        <v>2024</v>
      </c>
      <c r="AV1978">
        <v>32</v>
      </c>
      <c r="AW1978">
        <v>1</v>
      </c>
      <c r="AX1978" t="s">
        <v>74</v>
      </c>
      <c r="AY1978" t="s">
        <v>74</v>
      </c>
      <c r="AZ1978" t="s">
        <v>74</v>
      </c>
      <c r="BA1978" t="s">
        <v>74</v>
      </c>
      <c r="BB1978">
        <v>35</v>
      </c>
      <c r="BC1978">
        <v>55</v>
      </c>
      <c r="BD1978" t="s">
        <v>74</v>
      </c>
      <c r="BE1978" t="s">
        <v>33788</v>
      </c>
      <c r="BF1978" t="str">
        <f>HYPERLINK("http://dx.doi.org/10.1080/07409710.2024.2298178","http://dx.doi.org/10.1080/07409710.2024.2298178")</f>
        <v>http://dx.doi.org/10.1080/07409710.2024.2298178</v>
      </c>
      <c r="BG1978" t="s">
        <v>74</v>
      </c>
      <c r="BH1978" t="s">
        <v>1449</v>
      </c>
      <c r="BI1978">
        <v>21</v>
      </c>
      <c r="BJ1978" t="s">
        <v>4834</v>
      </c>
      <c r="BK1978" t="s">
        <v>125</v>
      </c>
      <c r="BL1978" t="s">
        <v>4834</v>
      </c>
      <c r="BM1978" t="s">
        <v>33789</v>
      </c>
      <c r="BN1978" t="s">
        <v>74</v>
      </c>
      <c r="BO1978" t="s">
        <v>156</v>
      </c>
      <c r="BP1978" t="s">
        <v>74</v>
      </c>
      <c r="BQ1978" t="s">
        <v>74</v>
      </c>
      <c r="BR1978" t="s">
        <v>102</v>
      </c>
      <c r="BS1978" t="s">
        <v>33790</v>
      </c>
      <c r="BT1978" t="str">
        <f>HYPERLINK("https%3A%2F%2Fwww.webofscience.com%2Fwos%2Fwoscc%2Ffull-record%2FWOS:001138570300001","View Full Record in Web of Science")</f>
        <v>View Full Record in Web of Science</v>
      </c>
    </row>
    <row r="1979" spans="1:72" x14ac:dyDescent="0.35">
      <c r="A1979" t="s">
        <v>72</v>
      </c>
      <c r="B1979" t="s">
        <v>33791</v>
      </c>
      <c r="C1979" t="s">
        <v>74</v>
      </c>
      <c r="D1979" t="s">
        <v>74</v>
      </c>
      <c r="E1979" t="s">
        <v>74</v>
      </c>
      <c r="F1979" t="s">
        <v>33792</v>
      </c>
      <c r="G1979" t="s">
        <v>74</v>
      </c>
      <c r="H1979" t="s">
        <v>74</v>
      </c>
      <c r="I1979" t="s">
        <v>33793</v>
      </c>
      <c r="J1979" t="s">
        <v>8249</v>
      </c>
      <c r="K1979" t="s">
        <v>74</v>
      </c>
      <c r="L1979" t="s">
        <v>74</v>
      </c>
      <c r="M1979" t="s">
        <v>78</v>
      </c>
      <c r="N1979" t="s">
        <v>108</v>
      </c>
      <c r="O1979" t="s">
        <v>74</v>
      </c>
      <c r="P1979" t="s">
        <v>74</v>
      </c>
      <c r="Q1979" t="s">
        <v>74</v>
      </c>
      <c r="R1979" t="s">
        <v>74</v>
      </c>
      <c r="S1979" t="s">
        <v>74</v>
      </c>
      <c r="T1979" t="s">
        <v>33794</v>
      </c>
      <c r="U1979" t="s">
        <v>33795</v>
      </c>
      <c r="V1979" t="s">
        <v>33796</v>
      </c>
      <c r="W1979" t="s">
        <v>33797</v>
      </c>
      <c r="X1979" t="s">
        <v>4583</v>
      </c>
      <c r="Y1979" t="s">
        <v>33798</v>
      </c>
      <c r="Z1979" t="s">
        <v>33799</v>
      </c>
      <c r="AA1979" t="s">
        <v>33800</v>
      </c>
      <c r="AB1979" t="s">
        <v>13482</v>
      </c>
      <c r="AC1979" t="s">
        <v>74</v>
      </c>
      <c r="AD1979" t="s">
        <v>74</v>
      </c>
      <c r="AE1979" t="s">
        <v>74</v>
      </c>
      <c r="AF1979" t="s">
        <v>74</v>
      </c>
      <c r="AG1979">
        <v>70</v>
      </c>
      <c r="AH1979">
        <v>2</v>
      </c>
      <c r="AI1979">
        <v>2</v>
      </c>
      <c r="AJ1979">
        <v>2</v>
      </c>
      <c r="AK1979">
        <v>18</v>
      </c>
      <c r="AL1979" t="s">
        <v>10032</v>
      </c>
      <c r="AM1979" t="s">
        <v>10033</v>
      </c>
      <c r="AN1979" t="s">
        <v>10034</v>
      </c>
      <c r="AO1979" t="s">
        <v>8259</v>
      </c>
      <c r="AP1979" t="s">
        <v>74</v>
      </c>
      <c r="AQ1979" t="s">
        <v>74</v>
      </c>
      <c r="AR1979" t="s">
        <v>8260</v>
      </c>
      <c r="AS1979" t="s">
        <v>8261</v>
      </c>
      <c r="AT1979" t="s">
        <v>74</v>
      </c>
      <c r="AU1979">
        <v>2023</v>
      </c>
      <c r="AV1979">
        <v>81</v>
      </c>
      <c r="AW1979" t="s">
        <v>74</v>
      </c>
      <c r="AX1979" t="s">
        <v>74</v>
      </c>
      <c r="AY1979" t="s">
        <v>74</v>
      </c>
      <c r="AZ1979" t="s">
        <v>74</v>
      </c>
      <c r="BA1979" t="s">
        <v>74</v>
      </c>
      <c r="BB1979">
        <v>209</v>
      </c>
      <c r="BC1979">
        <v>229</v>
      </c>
      <c r="BD1979" t="s">
        <v>74</v>
      </c>
      <c r="BE1979" t="s">
        <v>33801</v>
      </c>
      <c r="BF1979" t="str">
        <f>HYPERLINK("http://dx.doi.org/10.4185/RLCS-2023-1870","http://dx.doi.org/10.4185/RLCS-2023-1870")</f>
        <v>http://dx.doi.org/10.4185/RLCS-2023-1870</v>
      </c>
      <c r="BG1979" t="s">
        <v>74</v>
      </c>
      <c r="BH1979" t="s">
        <v>74</v>
      </c>
      <c r="BI1979">
        <v>21</v>
      </c>
      <c r="BJ1979" t="s">
        <v>124</v>
      </c>
      <c r="BK1979" t="s">
        <v>125</v>
      </c>
      <c r="BL1979" t="s">
        <v>124</v>
      </c>
      <c r="BM1979" t="s">
        <v>33802</v>
      </c>
      <c r="BN1979" t="s">
        <v>74</v>
      </c>
      <c r="BO1979" t="s">
        <v>235</v>
      </c>
      <c r="BP1979" t="s">
        <v>74</v>
      </c>
      <c r="BQ1979" t="s">
        <v>74</v>
      </c>
      <c r="BR1979" t="s">
        <v>102</v>
      </c>
      <c r="BS1979" t="s">
        <v>33803</v>
      </c>
      <c r="BT1979" t="str">
        <f>HYPERLINK("https%3A%2F%2Fwww.webofscience.com%2Fwos%2Fwoscc%2Ffull-record%2FWOS:000922988200001","View Full Record in Web of Science")</f>
        <v>View Full Record in Web of Science</v>
      </c>
    </row>
    <row r="1980" spans="1:72" x14ac:dyDescent="0.35">
      <c r="A1980" t="s">
        <v>72</v>
      </c>
      <c r="B1980" t="s">
        <v>33804</v>
      </c>
      <c r="C1980" t="s">
        <v>74</v>
      </c>
      <c r="D1980" t="s">
        <v>74</v>
      </c>
      <c r="E1980" t="s">
        <v>74</v>
      </c>
      <c r="F1980" t="s">
        <v>33805</v>
      </c>
      <c r="G1980" t="s">
        <v>74</v>
      </c>
      <c r="H1980" t="s">
        <v>74</v>
      </c>
      <c r="I1980" t="s">
        <v>33806</v>
      </c>
      <c r="J1980" t="s">
        <v>33807</v>
      </c>
      <c r="K1980" t="s">
        <v>74</v>
      </c>
      <c r="L1980" t="s">
        <v>74</v>
      </c>
      <c r="M1980" t="s">
        <v>3503</v>
      </c>
      <c r="N1980" t="s">
        <v>108</v>
      </c>
      <c r="O1980" t="s">
        <v>74</v>
      </c>
      <c r="P1980" t="s">
        <v>74</v>
      </c>
      <c r="Q1980" t="s">
        <v>74</v>
      </c>
      <c r="R1980" t="s">
        <v>74</v>
      </c>
      <c r="S1980" t="s">
        <v>74</v>
      </c>
      <c r="T1980" t="s">
        <v>33808</v>
      </c>
      <c r="U1980" t="s">
        <v>4975</v>
      </c>
      <c r="V1980" t="s">
        <v>33809</v>
      </c>
      <c r="W1980" t="s">
        <v>33810</v>
      </c>
      <c r="X1980" t="s">
        <v>74</v>
      </c>
      <c r="Y1980" t="s">
        <v>33811</v>
      </c>
      <c r="Z1980" t="s">
        <v>33812</v>
      </c>
      <c r="AA1980" t="s">
        <v>74</v>
      </c>
      <c r="AB1980" t="s">
        <v>74</v>
      </c>
      <c r="AC1980" t="s">
        <v>74</v>
      </c>
      <c r="AD1980" t="s">
        <v>74</v>
      </c>
      <c r="AE1980" t="s">
        <v>74</v>
      </c>
      <c r="AF1980" t="s">
        <v>74</v>
      </c>
      <c r="AG1980">
        <v>70</v>
      </c>
      <c r="AH1980">
        <v>0</v>
      </c>
      <c r="AI1980">
        <v>0</v>
      </c>
      <c r="AJ1980">
        <v>1</v>
      </c>
      <c r="AK1980">
        <v>1</v>
      </c>
      <c r="AL1980" t="s">
        <v>14437</v>
      </c>
      <c r="AM1980" t="s">
        <v>6529</v>
      </c>
      <c r="AN1980" t="s">
        <v>14438</v>
      </c>
      <c r="AO1980" t="s">
        <v>33813</v>
      </c>
      <c r="AP1980" t="s">
        <v>74</v>
      </c>
      <c r="AQ1980" t="s">
        <v>74</v>
      </c>
      <c r="AR1980" t="s">
        <v>33814</v>
      </c>
      <c r="AS1980" t="s">
        <v>33815</v>
      </c>
      <c r="AT1980" t="s">
        <v>74</v>
      </c>
      <c r="AU1980">
        <v>2022</v>
      </c>
      <c r="AV1980">
        <v>13</v>
      </c>
      <c r="AW1980">
        <v>2</v>
      </c>
      <c r="AX1980" t="s">
        <v>74</v>
      </c>
      <c r="AY1980" t="s">
        <v>74</v>
      </c>
      <c r="AZ1980" t="s">
        <v>74</v>
      </c>
      <c r="BA1980" t="s">
        <v>74</v>
      </c>
      <c r="BB1980">
        <v>745</v>
      </c>
      <c r="BC1980">
        <v>757</v>
      </c>
      <c r="BD1980" t="s">
        <v>74</v>
      </c>
      <c r="BE1980" t="s">
        <v>33816</v>
      </c>
      <c r="BF1980" t="str">
        <f>HYPERLINK("http://dx.doi.org/10.5209/infe.84447","http://dx.doi.org/10.5209/infe.84447")</f>
        <v>http://dx.doi.org/10.5209/infe.84447</v>
      </c>
      <c r="BG1980" t="s">
        <v>74</v>
      </c>
      <c r="BH1980" t="s">
        <v>74</v>
      </c>
      <c r="BI1980">
        <v>13</v>
      </c>
      <c r="BJ1980" t="s">
        <v>4550</v>
      </c>
      <c r="BK1980" t="s">
        <v>125</v>
      </c>
      <c r="BL1980" t="s">
        <v>4550</v>
      </c>
      <c r="BM1980" t="s">
        <v>33817</v>
      </c>
      <c r="BN1980" t="s">
        <v>74</v>
      </c>
      <c r="BO1980" t="s">
        <v>235</v>
      </c>
      <c r="BP1980" t="s">
        <v>74</v>
      </c>
      <c r="BQ1980" t="s">
        <v>74</v>
      </c>
      <c r="BR1980" t="s">
        <v>102</v>
      </c>
      <c r="BS1980" t="s">
        <v>33818</v>
      </c>
      <c r="BT1980" t="str">
        <f>HYPERLINK("https%3A%2F%2Fwww.webofscience.com%2Fwos%2Fwoscc%2Ffull-record%2FWOS:001266984200018","View Full Record in Web of Science")</f>
        <v>View Full Record in Web of Science</v>
      </c>
    </row>
    <row r="1981" spans="1:72" x14ac:dyDescent="0.35">
      <c r="A1981" t="s">
        <v>72</v>
      </c>
      <c r="B1981" t="s">
        <v>33819</v>
      </c>
      <c r="C1981" t="s">
        <v>74</v>
      </c>
      <c r="D1981" t="s">
        <v>74</v>
      </c>
      <c r="E1981" t="s">
        <v>74</v>
      </c>
      <c r="F1981" t="s">
        <v>33820</v>
      </c>
      <c r="G1981" t="s">
        <v>74</v>
      </c>
      <c r="H1981" t="s">
        <v>74</v>
      </c>
      <c r="I1981" t="s">
        <v>33821</v>
      </c>
      <c r="J1981" t="s">
        <v>33822</v>
      </c>
      <c r="K1981" t="s">
        <v>74</v>
      </c>
      <c r="L1981" t="s">
        <v>74</v>
      </c>
      <c r="M1981" t="s">
        <v>78</v>
      </c>
      <c r="N1981" t="s">
        <v>108</v>
      </c>
      <c r="O1981" t="s">
        <v>74</v>
      </c>
      <c r="P1981" t="s">
        <v>74</v>
      </c>
      <c r="Q1981" t="s">
        <v>74</v>
      </c>
      <c r="R1981" t="s">
        <v>74</v>
      </c>
      <c r="S1981" t="s">
        <v>74</v>
      </c>
      <c r="T1981" t="s">
        <v>33823</v>
      </c>
      <c r="U1981" t="s">
        <v>74</v>
      </c>
      <c r="V1981" t="s">
        <v>33824</v>
      </c>
      <c r="W1981" t="s">
        <v>33825</v>
      </c>
      <c r="X1981" t="s">
        <v>74</v>
      </c>
      <c r="Y1981" t="s">
        <v>33826</v>
      </c>
      <c r="Z1981" t="s">
        <v>33827</v>
      </c>
      <c r="AA1981" t="s">
        <v>74</v>
      </c>
      <c r="AB1981" t="s">
        <v>74</v>
      </c>
      <c r="AC1981" t="s">
        <v>74</v>
      </c>
      <c r="AD1981" t="s">
        <v>74</v>
      </c>
      <c r="AE1981" t="s">
        <v>74</v>
      </c>
      <c r="AF1981" t="s">
        <v>74</v>
      </c>
      <c r="AG1981">
        <v>27</v>
      </c>
      <c r="AH1981">
        <v>0</v>
      </c>
      <c r="AI1981">
        <v>0</v>
      </c>
      <c r="AJ1981">
        <v>1</v>
      </c>
      <c r="AK1981">
        <v>3</v>
      </c>
      <c r="AL1981" t="s">
        <v>33828</v>
      </c>
      <c r="AM1981" t="s">
        <v>33829</v>
      </c>
      <c r="AN1981" t="s">
        <v>33830</v>
      </c>
      <c r="AO1981" t="s">
        <v>33831</v>
      </c>
      <c r="AP1981" t="s">
        <v>33832</v>
      </c>
      <c r="AQ1981" t="s">
        <v>74</v>
      </c>
      <c r="AR1981" t="s">
        <v>33833</v>
      </c>
      <c r="AS1981" t="s">
        <v>33834</v>
      </c>
      <c r="AT1981" t="s">
        <v>178</v>
      </c>
      <c r="AU1981">
        <v>2024</v>
      </c>
      <c r="AV1981">
        <v>7</v>
      </c>
      <c r="AW1981">
        <v>1</v>
      </c>
      <c r="AX1981" t="s">
        <v>74</v>
      </c>
      <c r="AY1981" t="s">
        <v>74</v>
      </c>
      <c r="AZ1981" t="s">
        <v>74</v>
      </c>
      <c r="BA1981" t="s">
        <v>74</v>
      </c>
      <c r="BB1981">
        <v>157</v>
      </c>
      <c r="BC1981">
        <v>169</v>
      </c>
      <c r="BD1981" t="s">
        <v>74</v>
      </c>
      <c r="BE1981" t="s">
        <v>33835</v>
      </c>
      <c r="BF1981" t="str">
        <f>HYPERLINK("http://dx.doi.org/10.18860/ijazarabi.V7i1.23680","http://dx.doi.org/10.18860/ijazarabi.V7i1.23680")</f>
        <v>http://dx.doi.org/10.18860/ijazarabi.V7i1.23680</v>
      </c>
      <c r="BG1981" t="s">
        <v>74</v>
      </c>
      <c r="BH1981" t="s">
        <v>74</v>
      </c>
      <c r="BI1981">
        <v>13</v>
      </c>
      <c r="BJ1981" t="s">
        <v>7935</v>
      </c>
      <c r="BK1981" t="s">
        <v>125</v>
      </c>
      <c r="BL1981" t="s">
        <v>7935</v>
      </c>
      <c r="BM1981" t="s">
        <v>33836</v>
      </c>
      <c r="BN1981" t="s">
        <v>74</v>
      </c>
      <c r="BO1981" t="s">
        <v>235</v>
      </c>
      <c r="BP1981" t="s">
        <v>74</v>
      </c>
      <c r="BQ1981" t="s">
        <v>74</v>
      </c>
      <c r="BR1981" t="s">
        <v>102</v>
      </c>
      <c r="BS1981" t="s">
        <v>33837</v>
      </c>
      <c r="BT1981" t="str">
        <f>HYPERLINK("https%3A%2F%2Fwww.webofscience.com%2Fwos%2Fwoscc%2Ffull-record%2FWOS:001168619500005","View Full Record in Web of Science")</f>
        <v>View Full Record in Web of Science</v>
      </c>
    </row>
    <row r="1982" spans="1:72" x14ac:dyDescent="0.35">
      <c r="A1982" t="s">
        <v>128</v>
      </c>
      <c r="B1982" t="s">
        <v>33838</v>
      </c>
      <c r="C1982" t="s">
        <v>74</v>
      </c>
      <c r="D1982" t="s">
        <v>74</v>
      </c>
      <c r="E1982" t="s">
        <v>33839</v>
      </c>
      <c r="F1982" t="s">
        <v>33840</v>
      </c>
      <c r="G1982" t="s">
        <v>74</v>
      </c>
      <c r="H1982" t="s">
        <v>74</v>
      </c>
      <c r="I1982" t="s">
        <v>33841</v>
      </c>
      <c r="J1982" t="s">
        <v>33842</v>
      </c>
      <c r="K1982" t="s">
        <v>74</v>
      </c>
      <c r="L1982" t="s">
        <v>74</v>
      </c>
      <c r="M1982" t="s">
        <v>78</v>
      </c>
      <c r="N1982" t="s">
        <v>135</v>
      </c>
      <c r="O1982" t="s">
        <v>33843</v>
      </c>
      <c r="P1982" t="s">
        <v>33844</v>
      </c>
      <c r="Q1982" t="s">
        <v>33845</v>
      </c>
      <c r="R1982" t="s">
        <v>33846</v>
      </c>
      <c r="S1982" t="s">
        <v>74</v>
      </c>
      <c r="T1982" t="s">
        <v>33847</v>
      </c>
      <c r="U1982" t="s">
        <v>74</v>
      </c>
      <c r="V1982" t="s">
        <v>33848</v>
      </c>
      <c r="W1982" t="s">
        <v>33849</v>
      </c>
      <c r="X1982" t="s">
        <v>33850</v>
      </c>
      <c r="Y1982" t="s">
        <v>33851</v>
      </c>
      <c r="Z1982" t="s">
        <v>33852</v>
      </c>
      <c r="AA1982" t="s">
        <v>33853</v>
      </c>
      <c r="AB1982" t="s">
        <v>33854</v>
      </c>
      <c r="AC1982" t="s">
        <v>33855</v>
      </c>
      <c r="AD1982" t="s">
        <v>33856</v>
      </c>
      <c r="AE1982" t="s">
        <v>33857</v>
      </c>
      <c r="AF1982" t="s">
        <v>74</v>
      </c>
      <c r="AG1982">
        <v>36</v>
      </c>
      <c r="AH1982">
        <v>0</v>
      </c>
      <c r="AI1982">
        <v>0</v>
      </c>
      <c r="AJ1982">
        <v>1</v>
      </c>
      <c r="AK1982">
        <v>1</v>
      </c>
      <c r="AL1982" t="s">
        <v>718</v>
      </c>
      <c r="AM1982" t="s">
        <v>666</v>
      </c>
      <c r="AN1982" t="s">
        <v>719</v>
      </c>
      <c r="AO1982" t="s">
        <v>74</v>
      </c>
      <c r="AP1982" t="s">
        <v>74</v>
      </c>
      <c r="AQ1982" t="s">
        <v>33858</v>
      </c>
      <c r="AR1982" t="s">
        <v>74</v>
      </c>
      <c r="AS1982" t="s">
        <v>74</v>
      </c>
      <c r="AT1982" t="s">
        <v>74</v>
      </c>
      <c r="AU1982">
        <v>2024</v>
      </c>
      <c r="AV1982" t="s">
        <v>74</v>
      </c>
      <c r="AW1982" t="s">
        <v>74</v>
      </c>
      <c r="AX1982" t="s">
        <v>74</v>
      </c>
      <c r="AY1982" t="s">
        <v>74</v>
      </c>
      <c r="AZ1982" t="s">
        <v>74</v>
      </c>
      <c r="BA1982" t="s">
        <v>74</v>
      </c>
      <c r="BB1982">
        <v>396</v>
      </c>
      <c r="BC1982">
        <v>404</v>
      </c>
      <c r="BD1982" t="s">
        <v>74</v>
      </c>
      <c r="BE1982" t="s">
        <v>33859</v>
      </c>
      <c r="BF1982" t="str">
        <f>HYPERLINK("http://dx.doi.org/10.1145/3616855.3635797","http://dx.doi.org/10.1145/3616855.3635797")</f>
        <v>http://dx.doi.org/10.1145/3616855.3635797</v>
      </c>
      <c r="BG1982" t="s">
        <v>74</v>
      </c>
      <c r="BH1982" t="s">
        <v>74</v>
      </c>
      <c r="BI1982">
        <v>9</v>
      </c>
      <c r="BJ1982" t="s">
        <v>894</v>
      </c>
      <c r="BK1982" t="s">
        <v>723</v>
      </c>
      <c r="BL1982" t="s">
        <v>210</v>
      </c>
      <c r="BM1982" t="s">
        <v>33860</v>
      </c>
      <c r="BN1982" t="s">
        <v>74</v>
      </c>
      <c r="BO1982" t="s">
        <v>896</v>
      </c>
      <c r="BP1982" t="s">
        <v>74</v>
      </c>
      <c r="BQ1982" t="s">
        <v>74</v>
      </c>
      <c r="BR1982" t="s">
        <v>102</v>
      </c>
      <c r="BS1982" t="s">
        <v>33861</v>
      </c>
      <c r="BT1982" t="str">
        <f>HYPERLINK("https%3A%2F%2Fwww.webofscience.com%2Fwos%2Fwoscc%2Ffull-record%2FWOS:001182230100047","View Full Record in Web of Science")</f>
        <v>View Full Record in Web of Science</v>
      </c>
    </row>
    <row r="1983" spans="1:72" x14ac:dyDescent="0.35">
      <c r="A1983" t="s">
        <v>128</v>
      </c>
      <c r="B1983" t="s">
        <v>33862</v>
      </c>
      <c r="C1983" t="s">
        <v>74</v>
      </c>
      <c r="D1983" t="s">
        <v>74</v>
      </c>
      <c r="E1983" t="s">
        <v>718</v>
      </c>
      <c r="F1983" t="s">
        <v>33863</v>
      </c>
      <c r="G1983" t="s">
        <v>74</v>
      </c>
      <c r="H1983" t="s">
        <v>74</v>
      </c>
      <c r="I1983" t="s">
        <v>33864</v>
      </c>
      <c r="J1983" t="s">
        <v>33865</v>
      </c>
      <c r="K1983" t="s">
        <v>74</v>
      </c>
      <c r="L1983" t="s">
        <v>74</v>
      </c>
      <c r="M1983" t="s">
        <v>78</v>
      </c>
      <c r="N1983" t="s">
        <v>135</v>
      </c>
      <c r="O1983" t="s">
        <v>33866</v>
      </c>
      <c r="P1983" t="s">
        <v>33867</v>
      </c>
      <c r="Q1983" t="s">
        <v>6828</v>
      </c>
      <c r="R1983" t="s">
        <v>30952</v>
      </c>
      <c r="S1983" t="s">
        <v>74</v>
      </c>
      <c r="T1983" t="s">
        <v>33868</v>
      </c>
      <c r="U1983" t="s">
        <v>74</v>
      </c>
      <c r="V1983" t="s">
        <v>33869</v>
      </c>
      <c r="W1983" t="s">
        <v>33870</v>
      </c>
      <c r="X1983" t="s">
        <v>74</v>
      </c>
      <c r="Y1983" t="s">
        <v>33871</v>
      </c>
      <c r="Z1983" t="s">
        <v>33872</v>
      </c>
      <c r="AA1983" t="s">
        <v>33873</v>
      </c>
      <c r="AB1983" t="s">
        <v>33874</v>
      </c>
      <c r="AC1983" t="s">
        <v>74</v>
      </c>
      <c r="AD1983" t="s">
        <v>74</v>
      </c>
      <c r="AE1983" t="s">
        <v>74</v>
      </c>
      <c r="AF1983" t="s">
        <v>74</v>
      </c>
      <c r="AG1983">
        <v>17</v>
      </c>
      <c r="AH1983">
        <v>0</v>
      </c>
      <c r="AI1983">
        <v>0</v>
      </c>
      <c r="AJ1983">
        <v>0</v>
      </c>
      <c r="AK1983">
        <v>0</v>
      </c>
      <c r="AL1983" t="s">
        <v>718</v>
      </c>
      <c r="AM1983" t="s">
        <v>666</v>
      </c>
      <c r="AN1983" t="s">
        <v>719</v>
      </c>
      <c r="AO1983" t="s">
        <v>74</v>
      </c>
      <c r="AP1983" t="s">
        <v>74</v>
      </c>
      <c r="AQ1983" t="s">
        <v>33875</v>
      </c>
      <c r="AR1983" t="s">
        <v>74</v>
      </c>
      <c r="AS1983" t="s">
        <v>74</v>
      </c>
      <c r="AT1983" t="s">
        <v>74</v>
      </c>
      <c r="AU1983">
        <v>2024</v>
      </c>
      <c r="AV1983" t="s">
        <v>74</v>
      </c>
      <c r="AW1983" t="s">
        <v>74</v>
      </c>
      <c r="AX1983" t="s">
        <v>74</v>
      </c>
      <c r="AY1983" t="s">
        <v>74</v>
      </c>
      <c r="AZ1983" t="s">
        <v>74</v>
      </c>
      <c r="BA1983" t="s">
        <v>74</v>
      </c>
      <c r="BB1983">
        <v>2935</v>
      </c>
      <c r="BC1983">
        <v>2939</v>
      </c>
      <c r="BD1983" t="s">
        <v>74</v>
      </c>
      <c r="BE1983" t="s">
        <v>33876</v>
      </c>
      <c r="BF1983" t="str">
        <f>HYPERLINK("http://dx.doi.org/10.1145/3626772.3661368","http://dx.doi.org/10.1145/3626772.3661368")</f>
        <v>http://dx.doi.org/10.1145/3626772.3661368</v>
      </c>
      <c r="BG1983" t="s">
        <v>74</v>
      </c>
      <c r="BH1983" t="s">
        <v>74</v>
      </c>
      <c r="BI1983">
        <v>5</v>
      </c>
      <c r="BJ1983" t="s">
        <v>894</v>
      </c>
      <c r="BK1983" t="s">
        <v>723</v>
      </c>
      <c r="BL1983" t="s">
        <v>210</v>
      </c>
      <c r="BM1983" t="s">
        <v>33877</v>
      </c>
      <c r="BN1983" t="s">
        <v>74</v>
      </c>
      <c r="BO1983" t="s">
        <v>2738</v>
      </c>
      <c r="BP1983" t="s">
        <v>74</v>
      </c>
      <c r="BQ1983" t="s">
        <v>74</v>
      </c>
      <c r="BR1983" t="s">
        <v>102</v>
      </c>
      <c r="BS1983" t="s">
        <v>33878</v>
      </c>
      <c r="BT1983" t="str">
        <f>HYPERLINK("https%3A%2F%2Fwww.webofscience.com%2Fwos%2Fwoscc%2Ffull-record%2FWOS:001273410003006","View Full Record in Web of Science")</f>
        <v>View Full Record in Web of Science</v>
      </c>
    </row>
    <row r="1984" spans="1:72" x14ac:dyDescent="0.35">
      <c r="A1984" t="s">
        <v>72</v>
      </c>
      <c r="B1984" t="s">
        <v>33879</v>
      </c>
      <c r="C1984" t="s">
        <v>74</v>
      </c>
      <c r="D1984" t="s">
        <v>74</v>
      </c>
      <c r="E1984" t="s">
        <v>74</v>
      </c>
      <c r="F1984" t="s">
        <v>33880</v>
      </c>
      <c r="G1984" t="s">
        <v>74</v>
      </c>
      <c r="H1984" t="s">
        <v>74</v>
      </c>
      <c r="I1984" t="s">
        <v>33881</v>
      </c>
      <c r="J1984" t="s">
        <v>4341</v>
      </c>
      <c r="K1984" t="s">
        <v>74</v>
      </c>
      <c r="L1984" t="s">
        <v>74</v>
      </c>
      <c r="M1984" t="s">
        <v>78</v>
      </c>
      <c r="N1984" t="s">
        <v>374</v>
      </c>
      <c r="O1984" t="s">
        <v>74</v>
      </c>
      <c r="P1984" t="s">
        <v>74</v>
      </c>
      <c r="Q1984" t="s">
        <v>74</v>
      </c>
      <c r="R1984" t="s">
        <v>74</v>
      </c>
      <c r="S1984" t="s">
        <v>74</v>
      </c>
      <c r="T1984" t="s">
        <v>33882</v>
      </c>
      <c r="U1984" t="s">
        <v>33883</v>
      </c>
      <c r="V1984" t="s">
        <v>33884</v>
      </c>
      <c r="W1984" t="s">
        <v>33885</v>
      </c>
      <c r="X1984" t="s">
        <v>33886</v>
      </c>
      <c r="Y1984" t="s">
        <v>33887</v>
      </c>
      <c r="Z1984" t="s">
        <v>33888</v>
      </c>
      <c r="AA1984" t="s">
        <v>33889</v>
      </c>
      <c r="AB1984" t="s">
        <v>33890</v>
      </c>
      <c r="AC1984" t="s">
        <v>74</v>
      </c>
      <c r="AD1984" t="s">
        <v>74</v>
      </c>
      <c r="AE1984" t="s">
        <v>74</v>
      </c>
      <c r="AF1984" t="s">
        <v>74</v>
      </c>
      <c r="AG1984">
        <v>98</v>
      </c>
      <c r="AH1984">
        <v>1</v>
      </c>
      <c r="AI1984">
        <v>1</v>
      </c>
      <c r="AJ1984">
        <v>3</v>
      </c>
      <c r="AK1984">
        <v>3</v>
      </c>
      <c r="AL1984" t="s">
        <v>1195</v>
      </c>
      <c r="AM1984" t="s">
        <v>1196</v>
      </c>
      <c r="AN1984" t="s">
        <v>1197</v>
      </c>
      <c r="AO1984" t="s">
        <v>74</v>
      </c>
      <c r="AP1984" t="s">
        <v>4353</v>
      </c>
      <c r="AQ1984" t="s">
        <v>74</v>
      </c>
      <c r="AR1984" t="s">
        <v>4354</v>
      </c>
      <c r="AS1984" t="s">
        <v>4355</v>
      </c>
      <c r="AT1984" t="s">
        <v>257</v>
      </c>
      <c r="AU1984">
        <v>2024</v>
      </c>
      <c r="AV1984">
        <v>12</v>
      </c>
      <c r="AW1984">
        <v>11</v>
      </c>
      <c r="AX1984" t="s">
        <v>74</v>
      </c>
      <c r="AY1984" t="s">
        <v>74</v>
      </c>
      <c r="AZ1984" t="s">
        <v>74</v>
      </c>
      <c r="BA1984" t="s">
        <v>74</v>
      </c>
      <c r="BB1984" t="s">
        <v>74</v>
      </c>
      <c r="BC1984" t="s">
        <v>74</v>
      </c>
      <c r="BD1984">
        <v>1106</v>
      </c>
      <c r="BE1984" t="s">
        <v>33891</v>
      </c>
      <c r="BF1984" t="str">
        <f>HYPERLINK("http://dx.doi.org/10.3390/healthcare12111106","http://dx.doi.org/10.3390/healthcare12111106")</f>
        <v>http://dx.doi.org/10.3390/healthcare12111106</v>
      </c>
      <c r="BG1984" t="s">
        <v>74</v>
      </c>
      <c r="BH1984" t="s">
        <v>74</v>
      </c>
      <c r="BI1984">
        <v>18</v>
      </c>
      <c r="BJ1984" t="s">
        <v>4357</v>
      </c>
      <c r="BK1984" t="s">
        <v>182</v>
      </c>
      <c r="BL1984" t="s">
        <v>4358</v>
      </c>
      <c r="BM1984" t="s">
        <v>33892</v>
      </c>
      <c r="BN1984">
        <v>38891181</v>
      </c>
      <c r="BO1984" t="s">
        <v>552</v>
      </c>
      <c r="BP1984" t="s">
        <v>74</v>
      </c>
      <c r="BQ1984" t="s">
        <v>74</v>
      </c>
      <c r="BR1984" t="s">
        <v>102</v>
      </c>
      <c r="BS1984" t="s">
        <v>33893</v>
      </c>
      <c r="BT1984" t="str">
        <f>HYPERLINK("https%3A%2F%2Fwww.webofscience.com%2Fwos%2Fwoscc%2Ffull-record%2FWOS:001245466000001","View Full Record in Web of Science")</f>
        <v>View Full Record in Web of Science</v>
      </c>
    </row>
    <row r="1985" spans="1:72" x14ac:dyDescent="0.35">
      <c r="A1985" t="s">
        <v>72</v>
      </c>
      <c r="B1985" t="s">
        <v>33894</v>
      </c>
      <c r="C1985" t="s">
        <v>74</v>
      </c>
      <c r="D1985" t="s">
        <v>74</v>
      </c>
      <c r="E1985" t="s">
        <v>74</v>
      </c>
      <c r="F1985" t="s">
        <v>33895</v>
      </c>
      <c r="G1985" t="s">
        <v>74</v>
      </c>
      <c r="H1985" t="s">
        <v>74</v>
      </c>
      <c r="I1985" t="s">
        <v>33896</v>
      </c>
      <c r="J1985" t="s">
        <v>30879</v>
      </c>
      <c r="K1985" t="s">
        <v>74</v>
      </c>
      <c r="L1985" t="s">
        <v>74</v>
      </c>
      <c r="M1985" t="s">
        <v>78</v>
      </c>
      <c r="N1985" t="s">
        <v>108</v>
      </c>
      <c r="O1985" t="s">
        <v>74</v>
      </c>
      <c r="P1985" t="s">
        <v>74</v>
      </c>
      <c r="Q1985" t="s">
        <v>74</v>
      </c>
      <c r="R1985" t="s">
        <v>74</v>
      </c>
      <c r="S1985" t="s">
        <v>74</v>
      </c>
      <c r="T1985" t="s">
        <v>33897</v>
      </c>
      <c r="U1985" t="s">
        <v>74</v>
      </c>
      <c r="V1985" t="s">
        <v>33898</v>
      </c>
      <c r="W1985" t="s">
        <v>33899</v>
      </c>
      <c r="X1985" t="s">
        <v>33900</v>
      </c>
      <c r="Y1985" t="s">
        <v>33901</v>
      </c>
      <c r="Z1985" t="s">
        <v>33902</v>
      </c>
      <c r="AA1985" t="s">
        <v>33903</v>
      </c>
      <c r="AB1985" t="s">
        <v>74</v>
      </c>
      <c r="AC1985" t="s">
        <v>74</v>
      </c>
      <c r="AD1985" t="s">
        <v>74</v>
      </c>
      <c r="AE1985" t="s">
        <v>74</v>
      </c>
      <c r="AF1985" t="s">
        <v>74</v>
      </c>
      <c r="AG1985">
        <v>43</v>
      </c>
      <c r="AH1985">
        <v>7</v>
      </c>
      <c r="AI1985">
        <v>8</v>
      </c>
      <c r="AJ1985">
        <v>7</v>
      </c>
      <c r="AK1985">
        <v>28</v>
      </c>
      <c r="AL1985" t="s">
        <v>718</v>
      </c>
      <c r="AM1985" t="s">
        <v>666</v>
      </c>
      <c r="AN1985" t="s">
        <v>18480</v>
      </c>
      <c r="AO1985" t="s">
        <v>30890</v>
      </c>
      <c r="AP1985" t="s">
        <v>30891</v>
      </c>
      <c r="AQ1985" t="s">
        <v>74</v>
      </c>
      <c r="AR1985" t="s">
        <v>30892</v>
      </c>
      <c r="AS1985" t="s">
        <v>30893</v>
      </c>
      <c r="AT1985" t="s">
        <v>257</v>
      </c>
      <c r="AU1985">
        <v>2023</v>
      </c>
      <c r="AV1985">
        <v>19</v>
      </c>
      <c r="AW1985">
        <v>3</v>
      </c>
      <c r="AX1985" t="s">
        <v>74</v>
      </c>
      <c r="AY1985" t="s">
        <v>4946</v>
      </c>
      <c r="AZ1985" t="s">
        <v>74</v>
      </c>
      <c r="BA1985" t="s">
        <v>74</v>
      </c>
      <c r="BB1985" t="s">
        <v>74</v>
      </c>
      <c r="BC1985" t="s">
        <v>74</v>
      </c>
      <c r="BD1985">
        <v>138</v>
      </c>
      <c r="BE1985" t="s">
        <v>33904</v>
      </c>
      <c r="BF1985" t="str">
        <f>HYPERLINK("http://dx.doi.org/10.1145/3573010","http://dx.doi.org/10.1145/3573010")</f>
        <v>http://dx.doi.org/10.1145/3573010</v>
      </c>
      <c r="BG1985" t="s">
        <v>74</v>
      </c>
      <c r="BH1985" t="s">
        <v>74</v>
      </c>
      <c r="BI1985">
        <v>18</v>
      </c>
      <c r="BJ1985" t="s">
        <v>30895</v>
      </c>
      <c r="BK1985" t="s">
        <v>209</v>
      </c>
      <c r="BL1985" t="s">
        <v>210</v>
      </c>
      <c r="BM1985" t="s">
        <v>33905</v>
      </c>
      <c r="BN1985" t="s">
        <v>74</v>
      </c>
      <c r="BO1985" t="s">
        <v>74</v>
      </c>
      <c r="BP1985" t="s">
        <v>74</v>
      </c>
      <c r="BQ1985" t="s">
        <v>74</v>
      </c>
      <c r="BR1985" t="s">
        <v>102</v>
      </c>
      <c r="BS1985" t="s">
        <v>33906</v>
      </c>
      <c r="BT1985" t="str">
        <f>HYPERLINK("https%3A%2F%2Fwww.webofscience.com%2Fwos%2Fwoscc%2Ffull-record%2FWOS:001011934700013","View Full Record in Web of Science")</f>
        <v>View Full Record in Web of Science</v>
      </c>
    </row>
    <row r="1986" spans="1:72" x14ac:dyDescent="0.35">
      <c r="A1986" t="s">
        <v>72</v>
      </c>
      <c r="B1986" t="s">
        <v>33907</v>
      </c>
      <c r="C1986" t="s">
        <v>74</v>
      </c>
      <c r="D1986" t="s">
        <v>74</v>
      </c>
      <c r="E1986" t="s">
        <v>74</v>
      </c>
      <c r="F1986" t="s">
        <v>33908</v>
      </c>
      <c r="G1986" t="s">
        <v>74</v>
      </c>
      <c r="H1986" t="s">
        <v>74</v>
      </c>
      <c r="I1986" t="s">
        <v>33909</v>
      </c>
      <c r="J1986" t="s">
        <v>33910</v>
      </c>
      <c r="K1986" t="s">
        <v>74</v>
      </c>
      <c r="L1986" t="s">
        <v>74</v>
      </c>
      <c r="M1986" t="s">
        <v>78</v>
      </c>
      <c r="N1986" t="s">
        <v>108</v>
      </c>
      <c r="O1986" t="s">
        <v>74</v>
      </c>
      <c r="P1986" t="s">
        <v>74</v>
      </c>
      <c r="Q1986" t="s">
        <v>74</v>
      </c>
      <c r="R1986" t="s">
        <v>74</v>
      </c>
      <c r="S1986" t="s">
        <v>74</v>
      </c>
      <c r="T1986" t="s">
        <v>33911</v>
      </c>
      <c r="U1986" t="s">
        <v>74</v>
      </c>
      <c r="V1986" t="s">
        <v>33912</v>
      </c>
      <c r="W1986" t="s">
        <v>33913</v>
      </c>
      <c r="X1986" t="s">
        <v>74</v>
      </c>
      <c r="Y1986" t="s">
        <v>33914</v>
      </c>
      <c r="Z1986" t="s">
        <v>33915</v>
      </c>
      <c r="AA1986" t="s">
        <v>33916</v>
      </c>
      <c r="AB1986" t="s">
        <v>74</v>
      </c>
      <c r="AC1986" t="s">
        <v>74</v>
      </c>
      <c r="AD1986" t="s">
        <v>74</v>
      </c>
      <c r="AE1986" t="s">
        <v>74</v>
      </c>
      <c r="AF1986" t="s">
        <v>74</v>
      </c>
      <c r="AG1986">
        <v>44</v>
      </c>
      <c r="AH1986">
        <v>0</v>
      </c>
      <c r="AI1986">
        <v>0</v>
      </c>
      <c r="AJ1986">
        <v>3</v>
      </c>
      <c r="AK1986">
        <v>10</v>
      </c>
      <c r="AL1986" t="s">
        <v>33917</v>
      </c>
      <c r="AM1986" t="s">
        <v>33918</v>
      </c>
      <c r="AN1986" t="s">
        <v>33919</v>
      </c>
      <c r="AO1986" t="s">
        <v>33920</v>
      </c>
      <c r="AP1986" t="s">
        <v>33921</v>
      </c>
      <c r="AQ1986" t="s">
        <v>74</v>
      </c>
      <c r="AR1986" t="s">
        <v>33922</v>
      </c>
      <c r="AS1986" t="s">
        <v>33923</v>
      </c>
      <c r="AT1986" t="s">
        <v>2213</v>
      </c>
      <c r="AU1986">
        <v>2022</v>
      </c>
      <c r="AV1986">
        <v>67</v>
      </c>
      <c r="AW1986">
        <v>4</v>
      </c>
      <c r="AX1986" t="s">
        <v>74</v>
      </c>
      <c r="AY1986" t="s">
        <v>74</v>
      </c>
      <c r="AZ1986" t="s">
        <v>74</v>
      </c>
      <c r="BA1986" t="s">
        <v>74</v>
      </c>
      <c r="BB1986">
        <v>165</v>
      </c>
      <c r="BC1986">
        <v>186</v>
      </c>
      <c r="BD1986" t="s">
        <v>74</v>
      </c>
      <c r="BE1986" t="s">
        <v>33924</v>
      </c>
      <c r="BF1986" t="str">
        <f>HYPERLINK("http://dx.doi.org/10.24193/subbphilo.2022.4.08","http://dx.doi.org/10.24193/subbphilo.2022.4.08")</f>
        <v>http://dx.doi.org/10.24193/subbphilo.2022.4.08</v>
      </c>
      <c r="BG1986" t="s">
        <v>74</v>
      </c>
      <c r="BH1986" t="s">
        <v>74</v>
      </c>
      <c r="BI1986">
        <v>22</v>
      </c>
      <c r="BJ1986" t="s">
        <v>3176</v>
      </c>
      <c r="BK1986" t="s">
        <v>125</v>
      </c>
      <c r="BL1986" t="s">
        <v>3176</v>
      </c>
      <c r="BM1986" t="s">
        <v>33925</v>
      </c>
      <c r="BN1986" t="s">
        <v>74</v>
      </c>
      <c r="BO1986" t="s">
        <v>235</v>
      </c>
      <c r="BP1986" t="s">
        <v>74</v>
      </c>
      <c r="BQ1986" t="s">
        <v>74</v>
      </c>
      <c r="BR1986" t="s">
        <v>102</v>
      </c>
      <c r="BS1986" t="s">
        <v>33926</v>
      </c>
      <c r="BT1986" t="str">
        <f>HYPERLINK("https%3A%2F%2Fwww.webofscience.com%2Fwos%2Fwoscc%2Ffull-record%2FWOS:000965930400009","View Full Record in Web of Science")</f>
        <v>View Full Record in Web of Science</v>
      </c>
    </row>
    <row r="1987" spans="1:72" x14ac:dyDescent="0.35">
      <c r="A1987" t="s">
        <v>128</v>
      </c>
      <c r="B1987" t="s">
        <v>33927</v>
      </c>
      <c r="C1987" t="s">
        <v>74</v>
      </c>
      <c r="D1987" t="s">
        <v>74</v>
      </c>
      <c r="E1987" t="s">
        <v>702</v>
      </c>
      <c r="F1987" t="s">
        <v>33928</v>
      </c>
      <c r="G1987" t="s">
        <v>74</v>
      </c>
      <c r="H1987" t="s">
        <v>74</v>
      </c>
      <c r="I1987" t="s">
        <v>33929</v>
      </c>
      <c r="J1987" t="s">
        <v>33672</v>
      </c>
      <c r="K1987" t="s">
        <v>74</v>
      </c>
      <c r="L1987" t="s">
        <v>74</v>
      </c>
      <c r="M1987" t="s">
        <v>78</v>
      </c>
      <c r="N1987" t="s">
        <v>135</v>
      </c>
      <c r="O1987" t="s">
        <v>33673</v>
      </c>
      <c r="P1987" t="s">
        <v>33674</v>
      </c>
      <c r="Q1987" t="s">
        <v>33675</v>
      </c>
      <c r="R1987" t="s">
        <v>27744</v>
      </c>
      <c r="S1987" t="s">
        <v>33676</v>
      </c>
      <c r="T1987" t="s">
        <v>33930</v>
      </c>
      <c r="U1987" t="s">
        <v>74</v>
      </c>
      <c r="V1987" t="s">
        <v>33931</v>
      </c>
      <c r="W1987" t="s">
        <v>33932</v>
      </c>
      <c r="X1987" t="s">
        <v>33933</v>
      </c>
      <c r="Y1987" t="s">
        <v>33934</v>
      </c>
      <c r="Z1987" t="s">
        <v>33935</v>
      </c>
      <c r="AA1987" t="s">
        <v>33936</v>
      </c>
      <c r="AB1987" t="s">
        <v>33937</v>
      </c>
      <c r="AC1987" t="s">
        <v>33938</v>
      </c>
      <c r="AD1987" t="s">
        <v>33939</v>
      </c>
      <c r="AE1987" t="s">
        <v>33940</v>
      </c>
      <c r="AF1987" t="s">
        <v>74</v>
      </c>
      <c r="AG1987">
        <v>46</v>
      </c>
      <c r="AH1987">
        <v>25</v>
      </c>
      <c r="AI1987">
        <v>27</v>
      </c>
      <c r="AJ1987">
        <v>0</v>
      </c>
      <c r="AK1987">
        <v>10</v>
      </c>
      <c r="AL1987" t="s">
        <v>718</v>
      </c>
      <c r="AM1987" t="s">
        <v>666</v>
      </c>
      <c r="AN1987" t="s">
        <v>719</v>
      </c>
      <c r="AO1987" t="s">
        <v>74</v>
      </c>
      <c r="AP1987" t="s">
        <v>74</v>
      </c>
      <c r="AQ1987" t="s">
        <v>33685</v>
      </c>
      <c r="AR1987" t="s">
        <v>74</v>
      </c>
      <c r="AS1987" t="s">
        <v>74</v>
      </c>
      <c r="AT1987" t="s">
        <v>74</v>
      </c>
      <c r="AU1987">
        <v>2021</v>
      </c>
      <c r="AV1987" t="s">
        <v>74</v>
      </c>
      <c r="AW1987" t="s">
        <v>74</v>
      </c>
      <c r="AX1987" t="s">
        <v>74</v>
      </c>
      <c r="AY1987" t="s">
        <v>74</v>
      </c>
      <c r="AZ1987" t="s">
        <v>74</v>
      </c>
      <c r="BA1987" t="s">
        <v>74</v>
      </c>
      <c r="BB1987">
        <v>690</v>
      </c>
      <c r="BC1987">
        <v>699</v>
      </c>
      <c r="BD1987" t="s">
        <v>74</v>
      </c>
      <c r="BE1987" t="s">
        <v>33941</v>
      </c>
      <c r="BF1987" t="str">
        <f>HYPERLINK("http://dx.doi.org/10.1145/3459637.3482327","http://dx.doi.org/10.1145/3459637.3482327")</f>
        <v>http://dx.doi.org/10.1145/3459637.3482327</v>
      </c>
      <c r="BG1987" t="s">
        <v>74</v>
      </c>
      <c r="BH1987" t="s">
        <v>74</v>
      </c>
      <c r="BI1987">
        <v>10</v>
      </c>
      <c r="BJ1987" t="s">
        <v>5789</v>
      </c>
      <c r="BK1987" t="s">
        <v>723</v>
      </c>
      <c r="BL1987" t="s">
        <v>210</v>
      </c>
      <c r="BM1987" t="s">
        <v>33687</v>
      </c>
      <c r="BN1987" t="s">
        <v>74</v>
      </c>
      <c r="BO1987" t="s">
        <v>7742</v>
      </c>
      <c r="BP1987" t="s">
        <v>74</v>
      </c>
      <c r="BQ1987" t="s">
        <v>74</v>
      </c>
      <c r="BR1987" t="s">
        <v>102</v>
      </c>
      <c r="BS1987" t="s">
        <v>33942</v>
      </c>
      <c r="BT1987" t="str">
        <f>HYPERLINK("https%3A%2F%2Fwww.webofscience.com%2Fwos%2Fwoscc%2Ffull-record%2FWOS:001054156200071","View Full Record in Web of Science")</f>
        <v>View Full Record in Web of Science</v>
      </c>
    </row>
    <row r="1988" spans="1:72" x14ac:dyDescent="0.35">
      <c r="A1988" t="s">
        <v>72</v>
      </c>
      <c r="B1988" t="s">
        <v>33943</v>
      </c>
      <c r="C1988" t="s">
        <v>74</v>
      </c>
      <c r="D1988" t="s">
        <v>74</v>
      </c>
      <c r="E1988" t="s">
        <v>74</v>
      </c>
      <c r="F1988" t="s">
        <v>33944</v>
      </c>
      <c r="G1988" t="s">
        <v>74</v>
      </c>
      <c r="H1988" t="s">
        <v>74</v>
      </c>
      <c r="I1988" t="s">
        <v>33945</v>
      </c>
      <c r="J1988" t="s">
        <v>33946</v>
      </c>
      <c r="K1988" t="s">
        <v>74</v>
      </c>
      <c r="L1988" t="s">
        <v>74</v>
      </c>
      <c r="M1988" t="s">
        <v>78</v>
      </c>
      <c r="N1988" t="s">
        <v>108</v>
      </c>
      <c r="O1988" t="s">
        <v>74</v>
      </c>
      <c r="P1988" t="s">
        <v>74</v>
      </c>
      <c r="Q1988" t="s">
        <v>74</v>
      </c>
      <c r="R1988" t="s">
        <v>74</v>
      </c>
      <c r="S1988" t="s">
        <v>74</v>
      </c>
      <c r="T1988" t="s">
        <v>33947</v>
      </c>
      <c r="U1988" t="s">
        <v>33948</v>
      </c>
      <c r="V1988" t="s">
        <v>33949</v>
      </c>
      <c r="W1988" t="s">
        <v>33950</v>
      </c>
      <c r="X1988" t="s">
        <v>33951</v>
      </c>
      <c r="Y1988" t="s">
        <v>33952</v>
      </c>
      <c r="Z1988" t="s">
        <v>33953</v>
      </c>
      <c r="AA1988" t="s">
        <v>74</v>
      </c>
      <c r="AB1988" t="s">
        <v>74</v>
      </c>
      <c r="AC1988" t="s">
        <v>33954</v>
      </c>
      <c r="AD1988" t="s">
        <v>33955</v>
      </c>
      <c r="AE1988" t="s">
        <v>33956</v>
      </c>
      <c r="AF1988" t="s">
        <v>74</v>
      </c>
      <c r="AG1988">
        <v>33</v>
      </c>
      <c r="AH1988">
        <v>0</v>
      </c>
      <c r="AI1988">
        <v>0</v>
      </c>
      <c r="AJ1988">
        <v>5</v>
      </c>
      <c r="AK1988">
        <v>5</v>
      </c>
      <c r="AL1988" t="s">
        <v>1195</v>
      </c>
      <c r="AM1988" t="s">
        <v>1196</v>
      </c>
      <c r="AN1988" t="s">
        <v>1197</v>
      </c>
      <c r="AO1988" t="s">
        <v>74</v>
      </c>
      <c r="AP1988" t="s">
        <v>33957</v>
      </c>
      <c r="AQ1988" t="s">
        <v>74</v>
      </c>
      <c r="AR1988" t="s">
        <v>33946</v>
      </c>
      <c r="AS1988" t="s">
        <v>33958</v>
      </c>
      <c r="AT1988" t="s">
        <v>455</v>
      </c>
      <c r="AU1988">
        <v>2024</v>
      </c>
      <c r="AV1988">
        <v>16</v>
      </c>
      <c r="AW1988">
        <v>17</v>
      </c>
      <c r="AX1988" t="s">
        <v>74</v>
      </c>
      <c r="AY1988" t="s">
        <v>74</v>
      </c>
      <c r="AZ1988" t="s">
        <v>74</v>
      </c>
      <c r="BA1988" t="s">
        <v>74</v>
      </c>
      <c r="BB1988" t="s">
        <v>74</v>
      </c>
      <c r="BC1988" t="s">
        <v>74</v>
      </c>
      <c r="BD1988">
        <v>2987</v>
      </c>
      <c r="BE1988" t="s">
        <v>33959</v>
      </c>
      <c r="BF1988" t="str">
        <f>HYPERLINK("http://dx.doi.org/10.3390/nu16172987","http://dx.doi.org/10.3390/nu16172987")</f>
        <v>http://dx.doi.org/10.3390/nu16172987</v>
      </c>
      <c r="BG1988" t="s">
        <v>74</v>
      </c>
      <c r="BH1988" t="s">
        <v>74</v>
      </c>
      <c r="BI1988">
        <v>12</v>
      </c>
      <c r="BJ1988" t="s">
        <v>1071</v>
      </c>
      <c r="BK1988" t="s">
        <v>209</v>
      </c>
      <c r="BL1988" t="s">
        <v>1071</v>
      </c>
      <c r="BM1988" t="s">
        <v>33960</v>
      </c>
      <c r="BN1988">
        <v>39275302</v>
      </c>
      <c r="BO1988" t="s">
        <v>235</v>
      </c>
      <c r="BP1988" t="s">
        <v>74</v>
      </c>
      <c r="BQ1988" t="s">
        <v>74</v>
      </c>
      <c r="BR1988" t="s">
        <v>102</v>
      </c>
      <c r="BS1988" t="s">
        <v>33961</v>
      </c>
      <c r="BT1988" t="str">
        <f>HYPERLINK("https%3A%2F%2Fwww.webofscience.com%2Fwos%2Fwoscc%2Ffull-record%2FWOS:001310963600001","View Full Record in Web of Science")</f>
        <v>View Full Record in Web of Science</v>
      </c>
    </row>
    <row r="1989" spans="1:72" x14ac:dyDescent="0.35">
      <c r="A1989" t="s">
        <v>72</v>
      </c>
      <c r="B1989" t="s">
        <v>33962</v>
      </c>
      <c r="C1989" t="s">
        <v>74</v>
      </c>
      <c r="D1989" t="s">
        <v>74</v>
      </c>
      <c r="E1989" t="s">
        <v>74</v>
      </c>
      <c r="F1989" t="s">
        <v>33963</v>
      </c>
      <c r="G1989" t="s">
        <v>74</v>
      </c>
      <c r="H1989" t="s">
        <v>74</v>
      </c>
      <c r="I1989" t="s">
        <v>33964</v>
      </c>
      <c r="J1989" t="s">
        <v>32001</v>
      </c>
      <c r="K1989" t="s">
        <v>74</v>
      </c>
      <c r="L1989" t="s">
        <v>74</v>
      </c>
      <c r="M1989" t="s">
        <v>78</v>
      </c>
      <c r="N1989" t="s">
        <v>108</v>
      </c>
      <c r="O1989" t="s">
        <v>74</v>
      </c>
      <c r="P1989" t="s">
        <v>74</v>
      </c>
      <c r="Q1989" t="s">
        <v>74</v>
      </c>
      <c r="R1989" t="s">
        <v>74</v>
      </c>
      <c r="S1989" t="s">
        <v>74</v>
      </c>
      <c r="T1989" t="s">
        <v>33965</v>
      </c>
      <c r="U1989" t="s">
        <v>33966</v>
      </c>
      <c r="V1989" t="s">
        <v>33967</v>
      </c>
      <c r="W1989" t="s">
        <v>33968</v>
      </c>
      <c r="X1989" t="s">
        <v>33969</v>
      </c>
      <c r="Y1989" t="s">
        <v>33970</v>
      </c>
      <c r="Z1989" t="s">
        <v>74</v>
      </c>
      <c r="AA1989" t="s">
        <v>33971</v>
      </c>
      <c r="AB1989" t="s">
        <v>33972</v>
      </c>
      <c r="AC1989" t="s">
        <v>74</v>
      </c>
      <c r="AD1989" t="s">
        <v>74</v>
      </c>
      <c r="AE1989" t="s">
        <v>74</v>
      </c>
      <c r="AF1989" t="s">
        <v>74</v>
      </c>
      <c r="AG1989">
        <v>36</v>
      </c>
      <c r="AH1989">
        <v>2</v>
      </c>
      <c r="AI1989">
        <v>2</v>
      </c>
      <c r="AJ1989">
        <v>4</v>
      </c>
      <c r="AK1989">
        <v>41</v>
      </c>
      <c r="AL1989" t="s">
        <v>33973</v>
      </c>
      <c r="AM1989" t="s">
        <v>33974</v>
      </c>
      <c r="AN1989" t="s">
        <v>33975</v>
      </c>
      <c r="AO1989" t="s">
        <v>74</v>
      </c>
      <c r="AP1989" t="s">
        <v>32012</v>
      </c>
      <c r="AQ1989" t="s">
        <v>74</v>
      </c>
      <c r="AR1989" t="s">
        <v>32013</v>
      </c>
      <c r="AS1989" t="s">
        <v>32014</v>
      </c>
      <c r="AT1989" t="s">
        <v>297</v>
      </c>
      <c r="AU1989">
        <v>2021</v>
      </c>
      <c r="AV1989">
        <v>10</v>
      </c>
      <c r="AW1989">
        <v>44</v>
      </c>
      <c r="AX1989" t="s">
        <v>74</v>
      </c>
      <c r="AY1989" t="s">
        <v>74</v>
      </c>
      <c r="AZ1989" t="s">
        <v>74</v>
      </c>
      <c r="BA1989" t="s">
        <v>74</v>
      </c>
      <c r="BB1989">
        <v>198</v>
      </c>
      <c r="BC1989">
        <v>206</v>
      </c>
      <c r="BD1989" t="s">
        <v>74</v>
      </c>
      <c r="BE1989" t="s">
        <v>33976</v>
      </c>
      <c r="BF1989" t="str">
        <f>HYPERLINK("http://dx.doi.org/10.34069/AI/2021.44.08.19","http://dx.doi.org/10.34069/AI/2021.44.08.19")</f>
        <v>http://dx.doi.org/10.34069/AI/2021.44.08.19</v>
      </c>
      <c r="BG1989" t="s">
        <v>74</v>
      </c>
      <c r="BH1989" t="s">
        <v>74</v>
      </c>
      <c r="BI1989">
        <v>9</v>
      </c>
      <c r="BJ1989" t="s">
        <v>98</v>
      </c>
      <c r="BK1989" t="s">
        <v>125</v>
      </c>
      <c r="BL1989" t="s">
        <v>100</v>
      </c>
      <c r="BM1989" t="s">
        <v>33977</v>
      </c>
      <c r="BN1989" t="s">
        <v>74</v>
      </c>
      <c r="BO1989" t="s">
        <v>3287</v>
      </c>
      <c r="BP1989" t="s">
        <v>74</v>
      </c>
      <c r="BQ1989" t="s">
        <v>74</v>
      </c>
      <c r="BR1989" t="s">
        <v>102</v>
      </c>
      <c r="BS1989" t="s">
        <v>33978</v>
      </c>
      <c r="BT1989" t="str">
        <f>HYPERLINK("https%3A%2F%2Fwww.webofscience.com%2Fwos%2Fwoscc%2Ffull-record%2FWOS:000704484300020","View Full Record in Web of Science")</f>
        <v>View Full Record in Web of Science</v>
      </c>
    </row>
    <row r="1990" spans="1:72" x14ac:dyDescent="0.35">
      <c r="A1990" t="s">
        <v>72</v>
      </c>
      <c r="B1990" t="s">
        <v>33979</v>
      </c>
      <c r="C1990" t="s">
        <v>74</v>
      </c>
      <c r="D1990" t="s">
        <v>74</v>
      </c>
      <c r="E1990" t="s">
        <v>74</v>
      </c>
      <c r="F1990" t="s">
        <v>33980</v>
      </c>
      <c r="G1990" t="s">
        <v>74</v>
      </c>
      <c r="H1990" t="s">
        <v>74</v>
      </c>
      <c r="I1990" t="s">
        <v>33981</v>
      </c>
      <c r="J1990" t="s">
        <v>33982</v>
      </c>
      <c r="K1990" t="s">
        <v>74</v>
      </c>
      <c r="L1990" t="s">
        <v>74</v>
      </c>
      <c r="M1990" t="s">
        <v>78</v>
      </c>
      <c r="N1990" t="s">
        <v>108</v>
      </c>
      <c r="O1990" t="s">
        <v>74</v>
      </c>
      <c r="P1990" t="s">
        <v>74</v>
      </c>
      <c r="Q1990" t="s">
        <v>74</v>
      </c>
      <c r="R1990" t="s">
        <v>74</v>
      </c>
      <c r="S1990" t="s">
        <v>74</v>
      </c>
      <c r="T1990" t="s">
        <v>33983</v>
      </c>
      <c r="U1990" t="s">
        <v>33984</v>
      </c>
      <c r="V1990" t="s">
        <v>33985</v>
      </c>
      <c r="W1990" t="s">
        <v>33986</v>
      </c>
      <c r="X1990" t="s">
        <v>33987</v>
      </c>
      <c r="Y1990" t="s">
        <v>33988</v>
      </c>
      <c r="Z1990" t="s">
        <v>33989</v>
      </c>
      <c r="AA1990" t="s">
        <v>74</v>
      </c>
      <c r="AB1990" t="s">
        <v>33990</v>
      </c>
      <c r="AC1990" t="s">
        <v>74</v>
      </c>
      <c r="AD1990" t="s">
        <v>74</v>
      </c>
      <c r="AE1990" t="s">
        <v>74</v>
      </c>
      <c r="AF1990" t="s">
        <v>74</v>
      </c>
      <c r="AG1990">
        <v>166</v>
      </c>
      <c r="AH1990">
        <v>0</v>
      </c>
      <c r="AI1990">
        <v>0</v>
      </c>
      <c r="AJ1990">
        <v>30</v>
      </c>
      <c r="AK1990">
        <v>30</v>
      </c>
      <c r="AL1990" t="s">
        <v>88</v>
      </c>
      <c r="AM1990" t="s">
        <v>89</v>
      </c>
      <c r="AN1990" t="s">
        <v>90</v>
      </c>
      <c r="AO1990" t="s">
        <v>33991</v>
      </c>
      <c r="AP1990" t="s">
        <v>33992</v>
      </c>
      <c r="AQ1990" t="s">
        <v>74</v>
      </c>
      <c r="AR1990" t="s">
        <v>33993</v>
      </c>
      <c r="AS1990" t="s">
        <v>33994</v>
      </c>
      <c r="AT1990" t="s">
        <v>498</v>
      </c>
      <c r="AU1990">
        <v>2024</v>
      </c>
      <c r="AV1990">
        <v>23</v>
      </c>
      <c r="AW1990">
        <v>3</v>
      </c>
      <c r="AX1990" t="s">
        <v>74</v>
      </c>
      <c r="AY1990" t="s">
        <v>74</v>
      </c>
      <c r="AZ1990" t="s">
        <v>74</v>
      </c>
      <c r="BA1990" t="s">
        <v>74</v>
      </c>
      <c r="BB1990">
        <v>284</v>
      </c>
      <c r="BC1990">
        <v>327</v>
      </c>
      <c r="BD1990" t="s">
        <v>74</v>
      </c>
      <c r="BE1990" t="s">
        <v>33995</v>
      </c>
      <c r="BF1990" t="str">
        <f>HYPERLINK("http://dx.doi.org/10.1080/15332861.2024.2375966","http://dx.doi.org/10.1080/15332861.2024.2375966")</f>
        <v>http://dx.doi.org/10.1080/15332861.2024.2375966</v>
      </c>
      <c r="BG1990" t="s">
        <v>74</v>
      </c>
      <c r="BH1990" t="s">
        <v>478</v>
      </c>
      <c r="BI1990">
        <v>44</v>
      </c>
      <c r="BJ1990" t="s">
        <v>1597</v>
      </c>
      <c r="BK1990" t="s">
        <v>125</v>
      </c>
      <c r="BL1990" t="s">
        <v>480</v>
      </c>
      <c r="BM1990" t="s">
        <v>33996</v>
      </c>
      <c r="BN1990" t="s">
        <v>74</v>
      </c>
      <c r="BO1990" t="s">
        <v>74</v>
      </c>
      <c r="BP1990" t="s">
        <v>74</v>
      </c>
      <c r="BQ1990" t="s">
        <v>74</v>
      </c>
      <c r="BR1990" t="s">
        <v>102</v>
      </c>
      <c r="BS1990" t="s">
        <v>33997</v>
      </c>
      <c r="BT1990" t="str">
        <f>HYPERLINK("https%3A%2F%2Fwww.webofscience.com%2Fwos%2Fwoscc%2Ffull-record%2FWOS:001267939200001","View Full Record in Web of Science")</f>
        <v>View Full Record in Web of Science</v>
      </c>
    </row>
    <row r="1991" spans="1:72" x14ac:dyDescent="0.35">
      <c r="A1991" t="s">
        <v>72</v>
      </c>
      <c r="B1991" t="s">
        <v>33998</v>
      </c>
      <c r="C1991" t="s">
        <v>74</v>
      </c>
      <c r="D1991" t="s">
        <v>74</v>
      </c>
      <c r="E1991" t="s">
        <v>74</v>
      </c>
      <c r="F1991" t="s">
        <v>33999</v>
      </c>
      <c r="G1991" t="s">
        <v>74</v>
      </c>
      <c r="H1991" t="s">
        <v>74</v>
      </c>
      <c r="I1991" t="s">
        <v>34000</v>
      </c>
      <c r="J1991" t="s">
        <v>4426</v>
      </c>
      <c r="K1991" t="s">
        <v>74</v>
      </c>
      <c r="L1991" t="s">
        <v>74</v>
      </c>
      <c r="M1991" t="s">
        <v>78</v>
      </c>
      <c r="N1991" t="s">
        <v>374</v>
      </c>
      <c r="O1991" t="s">
        <v>74</v>
      </c>
      <c r="P1991" t="s">
        <v>74</v>
      </c>
      <c r="Q1991" t="s">
        <v>74</v>
      </c>
      <c r="R1991" t="s">
        <v>74</v>
      </c>
      <c r="S1991" t="s">
        <v>74</v>
      </c>
      <c r="T1991" t="s">
        <v>34001</v>
      </c>
      <c r="U1991" t="s">
        <v>74</v>
      </c>
      <c r="V1991" t="s">
        <v>34002</v>
      </c>
      <c r="W1991" t="s">
        <v>34003</v>
      </c>
      <c r="X1991" t="s">
        <v>34004</v>
      </c>
      <c r="Y1991" t="s">
        <v>34005</v>
      </c>
      <c r="Z1991" t="s">
        <v>74</v>
      </c>
      <c r="AA1991" t="s">
        <v>74</v>
      </c>
      <c r="AB1991" t="s">
        <v>74</v>
      </c>
      <c r="AC1991" t="s">
        <v>34006</v>
      </c>
      <c r="AD1991" t="s">
        <v>25772</v>
      </c>
      <c r="AE1991" t="s">
        <v>34007</v>
      </c>
      <c r="AF1991" t="s">
        <v>74</v>
      </c>
      <c r="AG1991">
        <v>33</v>
      </c>
      <c r="AH1991">
        <v>0</v>
      </c>
      <c r="AI1991">
        <v>0</v>
      </c>
      <c r="AJ1991">
        <v>1</v>
      </c>
      <c r="AK1991">
        <v>1</v>
      </c>
      <c r="AL1991" t="s">
        <v>4434</v>
      </c>
      <c r="AM1991" t="s">
        <v>4435</v>
      </c>
      <c r="AN1991" t="s">
        <v>4436</v>
      </c>
      <c r="AO1991" t="s">
        <v>4437</v>
      </c>
      <c r="AP1991" t="s">
        <v>74</v>
      </c>
      <c r="AQ1991" t="s">
        <v>74</v>
      </c>
      <c r="AR1991" t="s">
        <v>4438</v>
      </c>
      <c r="AS1991" t="s">
        <v>4439</v>
      </c>
      <c r="AT1991" t="s">
        <v>74</v>
      </c>
      <c r="AU1991">
        <v>2024</v>
      </c>
      <c r="AV1991">
        <v>13</v>
      </c>
      <c r="AW1991">
        <v>3</v>
      </c>
      <c r="AX1991" t="s">
        <v>74</v>
      </c>
      <c r="AY1991" t="s">
        <v>74</v>
      </c>
      <c r="AZ1991" t="s">
        <v>74</v>
      </c>
      <c r="BA1991" t="s">
        <v>74</v>
      </c>
      <c r="BB1991" t="s">
        <v>74</v>
      </c>
      <c r="BC1991" t="s">
        <v>74</v>
      </c>
      <c r="BD1991">
        <v>1786</v>
      </c>
      <c r="BE1991" t="s">
        <v>34008</v>
      </c>
      <c r="BF1991" t="str">
        <f>HYPERLINK("http://dx.doi.org/10.14763/2024.3.1786","http://dx.doi.org/10.14763/2024.3.1786")</f>
        <v>http://dx.doi.org/10.14763/2024.3.1786</v>
      </c>
      <c r="BG1991" t="s">
        <v>74</v>
      </c>
      <c r="BH1991" t="s">
        <v>74</v>
      </c>
      <c r="BI1991">
        <v>21</v>
      </c>
      <c r="BJ1991" t="s">
        <v>4442</v>
      </c>
      <c r="BK1991" t="s">
        <v>125</v>
      </c>
      <c r="BL1991" t="s">
        <v>1529</v>
      </c>
      <c r="BM1991" t="s">
        <v>34009</v>
      </c>
      <c r="BN1991" t="s">
        <v>74</v>
      </c>
      <c r="BO1991" t="s">
        <v>3287</v>
      </c>
      <c r="BP1991" t="s">
        <v>74</v>
      </c>
      <c r="BQ1991" t="s">
        <v>74</v>
      </c>
      <c r="BR1991" t="s">
        <v>102</v>
      </c>
      <c r="BS1991" t="s">
        <v>34010</v>
      </c>
      <c r="BT1991" t="str">
        <f>HYPERLINK("https%3A%2F%2Fwww.webofscience.com%2Fwos%2Fwoscc%2Ffull-record%2FWOS:001279181900002","View Full Record in Web of Science")</f>
        <v>View Full Record in Web of Science</v>
      </c>
    </row>
    <row r="1992" spans="1:72" x14ac:dyDescent="0.35">
      <c r="A1992" t="s">
        <v>72</v>
      </c>
      <c r="B1992" t="s">
        <v>34011</v>
      </c>
      <c r="C1992" t="s">
        <v>74</v>
      </c>
      <c r="D1992" t="s">
        <v>74</v>
      </c>
      <c r="E1992" t="s">
        <v>74</v>
      </c>
      <c r="F1992" t="s">
        <v>34012</v>
      </c>
      <c r="G1992" t="s">
        <v>74</v>
      </c>
      <c r="H1992" t="s">
        <v>74</v>
      </c>
      <c r="I1992" t="s">
        <v>34013</v>
      </c>
      <c r="J1992" t="s">
        <v>12618</v>
      </c>
      <c r="K1992" t="s">
        <v>74</v>
      </c>
      <c r="L1992" t="s">
        <v>74</v>
      </c>
      <c r="M1992" t="s">
        <v>78</v>
      </c>
      <c r="N1992" t="s">
        <v>374</v>
      </c>
      <c r="O1992" t="s">
        <v>74</v>
      </c>
      <c r="P1992" t="s">
        <v>74</v>
      </c>
      <c r="Q1992" t="s">
        <v>74</v>
      </c>
      <c r="R1992" t="s">
        <v>74</v>
      </c>
      <c r="S1992" t="s">
        <v>74</v>
      </c>
      <c r="T1992" t="s">
        <v>34014</v>
      </c>
      <c r="U1992" t="s">
        <v>795</v>
      </c>
      <c r="V1992" t="s">
        <v>34015</v>
      </c>
      <c r="W1992" t="s">
        <v>34016</v>
      </c>
      <c r="X1992" t="s">
        <v>29421</v>
      </c>
      <c r="Y1992" t="s">
        <v>34017</v>
      </c>
      <c r="Z1992" t="s">
        <v>34018</v>
      </c>
      <c r="AA1992" t="s">
        <v>74</v>
      </c>
      <c r="AB1992" t="s">
        <v>34019</v>
      </c>
      <c r="AC1992" t="s">
        <v>74</v>
      </c>
      <c r="AD1992" t="s">
        <v>74</v>
      </c>
      <c r="AE1992" t="s">
        <v>74</v>
      </c>
      <c r="AF1992" t="s">
        <v>74</v>
      </c>
      <c r="AG1992">
        <v>23</v>
      </c>
      <c r="AH1992">
        <v>1</v>
      </c>
      <c r="AI1992">
        <v>1</v>
      </c>
      <c r="AJ1992">
        <v>2</v>
      </c>
      <c r="AK1992">
        <v>7</v>
      </c>
      <c r="AL1992" t="s">
        <v>8334</v>
      </c>
      <c r="AM1992" t="s">
        <v>291</v>
      </c>
      <c r="AN1992" t="s">
        <v>8335</v>
      </c>
      <c r="AO1992" t="s">
        <v>12621</v>
      </c>
      <c r="AP1992" t="s">
        <v>12622</v>
      </c>
      <c r="AQ1992" t="s">
        <v>74</v>
      </c>
      <c r="AR1992" t="s">
        <v>12623</v>
      </c>
      <c r="AS1992" t="s">
        <v>12624</v>
      </c>
      <c r="AT1992" t="s">
        <v>34020</v>
      </c>
      <c r="AU1992">
        <v>2024</v>
      </c>
      <c r="AV1992">
        <v>45</v>
      </c>
      <c r="AW1992">
        <v>3</v>
      </c>
      <c r="AX1992" t="s">
        <v>74</v>
      </c>
      <c r="AY1992" t="s">
        <v>74</v>
      </c>
      <c r="AZ1992" t="s">
        <v>74</v>
      </c>
      <c r="BA1992" t="s">
        <v>74</v>
      </c>
      <c r="BB1992">
        <v>753</v>
      </c>
      <c r="BC1992">
        <v>756</v>
      </c>
      <c r="BD1992" t="s">
        <v>74</v>
      </c>
      <c r="BE1992" t="s">
        <v>34021</v>
      </c>
      <c r="BF1992" t="str">
        <f>HYPERLINK("http://dx.doi.org/10.1093/jbcr/irad188","http://dx.doi.org/10.1093/jbcr/irad188")</f>
        <v>http://dx.doi.org/10.1093/jbcr/irad188</v>
      </c>
      <c r="BG1992" t="s">
        <v>74</v>
      </c>
      <c r="BH1992" t="s">
        <v>1449</v>
      </c>
      <c r="BI1992">
        <v>4</v>
      </c>
      <c r="BJ1992" t="s">
        <v>12629</v>
      </c>
      <c r="BK1992" t="s">
        <v>209</v>
      </c>
      <c r="BL1992" t="s">
        <v>12630</v>
      </c>
      <c r="BM1992" t="s">
        <v>34022</v>
      </c>
      <c r="BN1992">
        <v>38000913</v>
      </c>
      <c r="BO1992" t="s">
        <v>74</v>
      </c>
      <c r="BP1992" t="s">
        <v>74</v>
      </c>
      <c r="BQ1992" t="s">
        <v>74</v>
      </c>
      <c r="BR1992" t="s">
        <v>102</v>
      </c>
      <c r="BS1992" t="s">
        <v>34023</v>
      </c>
      <c r="BT1992" t="str">
        <f>HYPERLINK("https%3A%2F%2Fwww.webofscience.com%2Fwos%2Fwoscc%2Ffull-record%2FWOS:001119817300001","View Full Record in Web of Science")</f>
        <v>View Full Record in Web of Science</v>
      </c>
    </row>
    <row r="1993" spans="1:72" x14ac:dyDescent="0.35">
      <c r="A1993" t="s">
        <v>72</v>
      </c>
      <c r="B1993" t="s">
        <v>34024</v>
      </c>
      <c r="C1993" t="s">
        <v>74</v>
      </c>
      <c r="D1993" t="s">
        <v>74</v>
      </c>
      <c r="E1993" t="s">
        <v>74</v>
      </c>
      <c r="F1993" t="s">
        <v>34025</v>
      </c>
      <c r="G1993" t="s">
        <v>74</v>
      </c>
      <c r="H1993" t="s">
        <v>74</v>
      </c>
      <c r="I1993" t="s">
        <v>34026</v>
      </c>
      <c r="J1993" t="s">
        <v>6200</v>
      </c>
      <c r="K1993" t="s">
        <v>74</v>
      </c>
      <c r="L1993" t="s">
        <v>74</v>
      </c>
      <c r="M1993" t="s">
        <v>78</v>
      </c>
      <c r="N1993" t="s">
        <v>108</v>
      </c>
      <c r="O1993" t="s">
        <v>74</v>
      </c>
      <c r="P1993" t="s">
        <v>74</v>
      </c>
      <c r="Q1993" t="s">
        <v>74</v>
      </c>
      <c r="R1993" t="s">
        <v>74</v>
      </c>
      <c r="S1993" t="s">
        <v>74</v>
      </c>
      <c r="T1993" t="s">
        <v>34027</v>
      </c>
      <c r="U1993" t="s">
        <v>34028</v>
      </c>
      <c r="V1993" t="s">
        <v>34029</v>
      </c>
      <c r="W1993" t="s">
        <v>34030</v>
      </c>
      <c r="X1993" t="s">
        <v>34031</v>
      </c>
      <c r="Y1993" t="s">
        <v>34032</v>
      </c>
      <c r="Z1993" t="s">
        <v>34033</v>
      </c>
      <c r="AA1993" t="s">
        <v>34034</v>
      </c>
      <c r="AB1993" t="s">
        <v>34035</v>
      </c>
      <c r="AC1993" t="s">
        <v>74</v>
      </c>
      <c r="AD1993" t="s">
        <v>74</v>
      </c>
      <c r="AE1993" t="s">
        <v>74</v>
      </c>
      <c r="AF1993" t="s">
        <v>74</v>
      </c>
      <c r="AG1993">
        <v>76</v>
      </c>
      <c r="AH1993">
        <v>0</v>
      </c>
      <c r="AI1993">
        <v>0</v>
      </c>
      <c r="AJ1993">
        <v>7</v>
      </c>
      <c r="AK1993">
        <v>7</v>
      </c>
      <c r="AL1993" t="s">
        <v>6210</v>
      </c>
      <c r="AM1993" t="s">
        <v>6211</v>
      </c>
      <c r="AN1993" t="s">
        <v>6212</v>
      </c>
      <c r="AO1993" t="s">
        <v>6213</v>
      </c>
      <c r="AP1993" t="s">
        <v>6214</v>
      </c>
      <c r="AQ1993" t="s">
        <v>74</v>
      </c>
      <c r="AR1993" t="s">
        <v>6200</v>
      </c>
      <c r="AS1993" t="s">
        <v>6215</v>
      </c>
      <c r="AT1993" t="s">
        <v>745</v>
      </c>
      <c r="AU1993">
        <v>2024</v>
      </c>
      <c r="AV1993">
        <v>27</v>
      </c>
      <c r="AW1993">
        <v>2</v>
      </c>
      <c r="AX1993" t="s">
        <v>74</v>
      </c>
      <c r="AY1993" t="s">
        <v>74</v>
      </c>
      <c r="AZ1993" t="s">
        <v>74</v>
      </c>
      <c r="BA1993" t="s">
        <v>74</v>
      </c>
      <c r="BB1993" t="s">
        <v>74</v>
      </c>
      <c r="BC1993" t="s">
        <v>74</v>
      </c>
      <c r="BD1993" t="s">
        <v>34036</v>
      </c>
      <c r="BE1993" t="s">
        <v>34037</v>
      </c>
      <c r="BF1993" t="str">
        <f>HYPERLINK("http://dx.doi.org/10.5294/pacla.2024.27.2.8","http://dx.doi.org/10.5294/pacla.2024.27.2.8")</f>
        <v>http://dx.doi.org/10.5294/pacla.2024.27.2.8</v>
      </c>
      <c r="BG1993" t="s">
        <v>74</v>
      </c>
      <c r="BH1993" t="s">
        <v>74</v>
      </c>
      <c r="BI1993">
        <v>33</v>
      </c>
      <c r="BJ1993" t="s">
        <v>124</v>
      </c>
      <c r="BK1993" t="s">
        <v>125</v>
      </c>
      <c r="BL1993" t="s">
        <v>124</v>
      </c>
      <c r="BM1993" t="s">
        <v>34038</v>
      </c>
      <c r="BN1993" t="s">
        <v>74</v>
      </c>
      <c r="BO1993" t="s">
        <v>235</v>
      </c>
      <c r="BP1993" t="s">
        <v>74</v>
      </c>
      <c r="BQ1993" t="s">
        <v>74</v>
      </c>
      <c r="BR1993" t="s">
        <v>102</v>
      </c>
      <c r="BS1993" t="s">
        <v>34039</v>
      </c>
      <c r="BT1993" t="str">
        <f>HYPERLINK("https%3A%2F%2Fwww.webofscience.com%2Fwos%2Fwoscc%2Ffull-record%2FWOS:001239406900001","View Full Record in Web of Science")</f>
        <v>View Full Record in Web of Science</v>
      </c>
    </row>
    <row r="1994" spans="1:72" x14ac:dyDescent="0.35">
      <c r="A1994" t="s">
        <v>72</v>
      </c>
      <c r="B1994" t="s">
        <v>34040</v>
      </c>
      <c r="C1994" t="s">
        <v>74</v>
      </c>
      <c r="D1994" t="s">
        <v>74</v>
      </c>
      <c r="E1994" t="s">
        <v>74</v>
      </c>
      <c r="F1994" t="s">
        <v>34041</v>
      </c>
      <c r="G1994" t="s">
        <v>74</v>
      </c>
      <c r="H1994" t="s">
        <v>74</v>
      </c>
      <c r="I1994" t="s">
        <v>34042</v>
      </c>
      <c r="J1994" t="s">
        <v>34043</v>
      </c>
      <c r="K1994" t="s">
        <v>74</v>
      </c>
      <c r="L1994" t="s">
        <v>74</v>
      </c>
      <c r="M1994" t="s">
        <v>78</v>
      </c>
      <c r="N1994" t="s">
        <v>108</v>
      </c>
      <c r="O1994" t="s">
        <v>74</v>
      </c>
      <c r="P1994" t="s">
        <v>74</v>
      </c>
      <c r="Q1994" t="s">
        <v>74</v>
      </c>
      <c r="R1994" t="s">
        <v>74</v>
      </c>
      <c r="S1994" t="s">
        <v>74</v>
      </c>
      <c r="T1994" t="s">
        <v>34044</v>
      </c>
      <c r="U1994" t="s">
        <v>34045</v>
      </c>
      <c r="V1994" t="s">
        <v>34046</v>
      </c>
      <c r="W1994" t="s">
        <v>34047</v>
      </c>
      <c r="X1994" t="s">
        <v>30665</v>
      </c>
      <c r="Y1994" t="s">
        <v>34048</v>
      </c>
      <c r="Z1994" t="s">
        <v>34049</v>
      </c>
      <c r="AA1994" t="s">
        <v>34050</v>
      </c>
      <c r="AB1994" t="s">
        <v>74</v>
      </c>
      <c r="AC1994" t="s">
        <v>34051</v>
      </c>
      <c r="AD1994" t="s">
        <v>34052</v>
      </c>
      <c r="AE1994" t="s">
        <v>34053</v>
      </c>
      <c r="AF1994" t="s">
        <v>74</v>
      </c>
      <c r="AG1994">
        <v>45</v>
      </c>
      <c r="AH1994">
        <v>3</v>
      </c>
      <c r="AI1994">
        <v>3</v>
      </c>
      <c r="AJ1994">
        <v>8</v>
      </c>
      <c r="AK1994">
        <v>8</v>
      </c>
      <c r="AL1994" t="s">
        <v>516</v>
      </c>
      <c r="AM1994" t="s">
        <v>517</v>
      </c>
      <c r="AN1994" t="s">
        <v>518</v>
      </c>
      <c r="AO1994" t="s">
        <v>34054</v>
      </c>
      <c r="AP1994" t="s">
        <v>34055</v>
      </c>
      <c r="AQ1994" t="s">
        <v>74</v>
      </c>
      <c r="AR1994" t="s">
        <v>34043</v>
      </c>
      <c r="AS1994" t="s">
        <v>34056</v>
      </c>
      <c r="AT1994" t="s">
        <v>273</v>
      </c>
      <c r="AU1994">
        <v>2024</v>
      </c>
      <c r="AV1994">
        <v>83</v>
      </c>
      <c r="AW1994" t="s">
        <v>74</v>
      </c>
      <c r="AX1994" t="s">
        <v>74</v>
      </c>
      <c r="AY1994" t="s">
        <v>74</v>
      </c>
      <c r="AZ1994" t="s">
        <v>74</v>
      </c>
      <c r="BA1994" t="s">
        <v>74</v>
      </c>
      <c r="BB1994" t="s">
        <v>74</v>
      </c>
      <c r="BC1994" t="s">
        <v>74</v>
      </c>
      <c r="BD1994">
        <v>102719</v>
      </c>
      <c r="BE1994" t="s">
        <v>34057</v>
      </c>
      <c r="BF1994" t="str">
        <f>HYPERLINK("http://dx.doi.org/10.1016/j.displa.2024.102719","http://dx.doi.org/10.1016/j.displa.2024.102719")</f>
        <v>http://dx.doi.org/10.1016/j.displa.2024.102719</v>
      </c>
      <c r="BG1994" t="s">
        <v>74</v>
      </c>
      <c r="BH1994" t="s">
        <v>2410</v>
      </c>
      <c r="BI1994">
        <v>9</v>
      </c>
      <c r="BJ1994" t="s">
        <v>34058</v>
      </c>
      <c r="BK1994" t="s">
        <v>209</v>
      </c>
      <c r="BL1994" t="s">
        <v>34059</v>
      </c>
      <c r="BM1994" t="s">
        <v>34060</v>
      </c>
      <c r="BN1994" t="s">
        <v>74</v>
      </c>
      <c r="BO1994" t="s">
        <v>74</v>
      </c>
      <c r="BP1994" t="s">
        <v>74</v>
      </c>
      <c r="BQ1994" t="s">
        <v>74</v>
      </c>
      <c r="BR1994" t="s">
        <v>102</v>
      </c>
      <c r="BS1994" t="s">
        <v>34061</v>
      </c>
      <c r="BT1994" t="str">
        <f>HYPERLINK("https%3A%2F%2Fwww.webofscience.com%2Fwos%2Fwoscc%2Ffull-record%2FWOS:001236244300001","View Full Record in Web of Science")</f>
        <v>View Full Record in Web of Science</v>
      </c>
    </row>
    <row r="1995" spans="1:72" x14ac:dyDescent="0.35">
      <c r="A1995" t="s">
        <v>72</v>
      </c>
      <c r="B1995" t="s">
        <v>34062</v>
      </c>
      <c r="C1995" t="s">
        <v>74</v>
      </c>
      <c r="D1995" t="s">
        <v>74</v>
      </c>
      <c r="E1995" t="s">
        <v>74</v>
      </c>
      <c r="F1995" t="s">
        <v>34063</v>
      </c>
      <c r="G1995" t="s">
        <v>74</v>
      </c>
      <c r="H1995" t="s">
        <v>74</v>
      </c>
      <c r="I1995" t="s">
        <v>34064</v>
      </c>
      <c r="J1995" t="s">
        <v>25160</v>
      </c>
      <c r="K1995" t="s">
        <v>74</v>
      </c>
      <c r="L1995" t="s">
        <v>74</v>
      </c>
      <c r="M1995" t="s">
        <v>78</v>
      </c>
      <c r="N1995" t="s">
        <v>108</v>
      </c>
      <c r="O1995" t="s">
        <v>74</v>
      </c>
      <c r="P1995" t="s">
        <v>74</v>
      </c>
      <c r="Q1995" t="s">
        <v>74</v>
      </c>
      <c r="R1995" t="s">
        <v>74</v>
      </c>
      <c r="S1995" t="s">
        <v>74</v>
      </c>
      <c r="T1995" t="s">
        <v>34065</v>
      </c>
      <c r="U1995" t="s">
        <v>74</v>
      </c>
      <c r="V1995" t="s">
        <v>34066</v>
      </c>
      <c r="W1995" t="s">
        <v>34067</v>
      </c>
      <c r="X1995" t="s">
        <v>34068</v>
      </c>
      <c r="Y1995" t="s">
        <v>34069</v>
      </c>
      <c r="Z1995" t="s">
        <v>34070</v>
      </c>
      <c r="AA1995" t="s">
        <v>34071</v>
      </c>
      <c r="AB1995" t="s">
        <v>34072</v>
      </c>
      <c r="AC1995" t="s">
        <v>34073</v>
      </c>
      <c r="AD1995" t="s">
        <v>32238</v>
      </c>
      <c r="AE1995" t="s">
        <v>34074</v>
      </c>
      <c r="AF1995" t="s">
        <v>74</v>
      </c>
      <c r="AG1995">
        <v>54</v>
      </c>
      <c r="AH1995">
        <v>0</v>
      </c>
      <c r="AI1995">
        <v>0</v>
      </c>
      <c r="AJ1995">
        <v>11</v>
      </c>
      <c r="AK1995">
        <v>17</v>
      </c>
      <c r="AL1995" t="s">
        <v>718</v>
      </c>
      <c r="AM1995" t="s">
        <v>666</v>
      </c>
      <c r="AN1995" t="s">
        <v>18480</v>
      </c>
      <c r="AO1995" t="s">
        <v>25168</v>
      </c>
      <c r="AP1995" t="s">
        <v>25169</v>
      </c>
      <c r="AQ1995" t="s">
        <v>74</v>
      </c>
      <c r="AR1995" t="s">
        <v>25170</v>
      </c>
      <c r="AS1995" t="s">
        <v>25171</v>
      </c>
      <c r="AT1995" t="s">
        <v>1484</v>
      </c>
      <c r="AU1995">
        <v>2024</v>
      </c>
      <c r="AV1995">
        <v>42</v>
      </c>
      <c r="AW1995">
        <v>2</v>
      </c>
      <c r="AX1995" t="s">
        <v>74</v>
      </c>
      <c r="AY1995" t="s">
        <v>74</v>
      </c>
      <c r="AZ1995" t="s">
        <v>74</v>
      </c>
      <c r="BA1995" t="s">
        <v>74</v>
      </c>
      <c r="BB1995" t="s">
        <v>74</v>
      </c>
      <c r="BC1995" t="s">
        <v>74</v>
      </c>
      <c r="BD1995">
        <v>44</v>
      </c>
      <c r="BE1995" t="s">
        <v>34075</v>
      </c>
      <c r="BF1995" t="str">
        <f>HYPERLINK("http://dx.doi.org/10.1145/3617826","http://dx.doi.org/10.1145/3617826")</f>
        <v>http://dx.doi.org/10.1145/3617826</v>
      </c>
      <c r="BG1995" t="s">
        <v>74</v>
      </c>
      <c r="BH1995" t="s">
        <v>74</v>
      </c>
      <c r="BI1995">
        <v>24</v>
      </c>
      <c r="BJ1995" t="s">
        <v>5789</v>
      </c>
      <c r="BK1995" t="s">
        <v>209</v>
      </c>
      <c r="BL1995" t="s">
        <v>210</v>
      </c>
      <c r="BM1995" t="s">
        <v>34076</v>
      </c>
      <c r="BN1995" t="s">
        <v>74</v>
      </c>
      <c r="BO1995" t="s">
        <v>2738</v>
      </c>
      <c r="BP1995" t="s">
        <v>74</v>
      </c>
      <c r="BQ1995" t="s">
        <v>74</v>
      </c>
      <c r="BR1995" t="s">
        <v>102</v>
      </c>
      <c r="BS1995" t="s">
        <v>34077</v>
      </c>
      <c r="BT1995" t="str">
        <f>HYPERLINK("https%3A%2F%2Fwww.webofscience.com%2Fwos%2Fwoscc%2Ffull-record%2FWOS:001152702600012","View Full Record in Web of Science")</f>
        <v>View Full Record in Web of Science</v>
      </c>
    </row>
    <row r="1996" spans="1:72" x14ac:dyDescent="0.35">
      <c r="A1996" t="s">
        <v>72</v>
      </c>
      <c r="B1996" t="s">
        <v>34078</v>
      </c>
      <c r="C1996" t="s">
        <v>74</v>
      </c>
      <c r="D1996" t="s">
        <v>74</v>
      </c>
      <c r="E1996" t="s">
        <v>74</v>
      </c>
      <c r="F1996" t="s">
        <v>34079</v>
      </c>
      <c r="G1996" t="s">
        <v>74</v>
      </c>
      <c r="H1996" t="s">
        <v>74</v>
      </c>
      <c r="I1996" t="s">
        <v>34080</v>
      </c>
      <c r="J1996" t="s">
        <v>34081</v>
      </c>
      <c r="K1996" t="s">
        <v>74</v>
      </c>
      <c r="L1996" t="s">
        <v>74</v>
      </c>
      <c r="M1996" t="s">
        <v>78</v>
      </c>
      <c r="N1996" t="s">
        <v>108</v>
      </c>
      <c r="O1996" t="s">
        <v>74</v>
      </c>
      <c r="P1996" t="s">
        <v>74</v>
      </c>
      <c r="Q1996" t="s">
        <v>74</v>
      </c>
      <c r="R1996" t="s">
        <v>74</v>
      </c>
      <c r="S1996" t="s">
        <v>74</v>
      </c>
      <c r="T1996" t="s">
        <v>34082</v>
      </c>
      <c r="U1996" t="s">
        <v>74</v>
      </c>
      <c r="V1996" t="s">
        <v>34083</v>
      </c>
      <c r="W1996" t="s">
        <v>34084</v>
      </c>
      <c r="X1996" t="s">
        <v>34085</v>
      </c>
      <c r="Y1996" t="s">
        <v>34086</v>
      </c>
      <c r="Z1996" t="s">
        <v>34087</v>
      </c>
      <c r="AA1996" t="s">
        <v>34088</v>
      </c>
      <c r="AB1996" t="s">
        <v>34089</v>
      </c>
      <c r="AC1996" t="s">
        <v>34090</v>
      </c>
      <c r="AD1996" t="s">
        <v>34091</v>
      </c>
      <c r="AE1996" t="s">
        <v>34092</v>
      </c>
      <c r="AF1996" t="s">
        <v>74</v>
      </c>
      <c r="AG1996">
        <v>37</v>
      </c>
      <c r="AH1996">
        <v>4</v>
      </c>
      <c r="AI1996">
        <v>4</v>
      </c>
      <c r="AJ1996">
        <v>0</v>
      </c>
      <c r="AK1996">
        <v>6</v>
      </c>
      <c r="AL1996" t="s">
        <v>758</v>
      </c>
      <c r="AM1996" t="s">
        <v>759</v>
      </c>
      <c r="AN1996" t="s">
        <v>760</v>
      </c>
      <c r="AO1996" t="s">
        <v>34093</v>
      </c>
      <c r="AP1996" t="s">
        <v>74</v>
      </c>
      <c r="AQ1996" t="s">
        <v>74</v>
      </c>
      <c r="AR1996" t="s">
        <v>34094</v>
      </c>
      <c r="AS1996" t="s">
        <v>34095</v>
      </c>
      <c r="AT1996" t="s">
        <v>18579</v>
      </c>
      <c r="AU1996">
        <v>2023</v>
      </c>
      <c r="AV1996">
        <v>16</v>
      </c>
      <c r="AW1996">
        <v>2</v>
      </c>
      <c r="AX1996" t="s">
        <v>74</v>
      </c>
      <c r="AY1996" t="s">
        <v>74</v>
      </c>
      <c r="AZ1996" t="s">
        <v>74</v>
      </c>
      <c r="BA1996" t="s">
        <v>74</v>
      </c>
      <c r="BB1996">
        <v>1066</v>
      </c>
      <c r="BC1996">
        <v>1078</v>
      </c>
      <c r="BD1996" t="s">
        <v>74</v>
      </c>
      <c r="BE1996" t="s">
        <v>34096</v>
      </c>
      <c r="BF1996" t="str">
        <f>HYPERLINK("http://dx.doi.org/10.1109/TSC.2022.3150012","http://dx.doi.org/10.1109/TSC.2022.3150012")</f>
        <v>http://dx.doi.org/10.1109/TSC.2022.3150012</v>
      </c>
      <c r="BG1996" t="s">
        <v>74</v>
      </c>
      <c r="BH1996" t="s">
        <v>74</v>
      </c>
      <c r="BI1996">
        <v>13</v>
      </c>
      <c r="BJ1996" t="s">
        <v>34097</v>
      </c>
      <c r="BK1996" t="s">
        <v>209</v>
      </c>
      <c r="BL1996" t="s">
        <v>210</v>
      </c>
      <c r="BM1996" t="s">
        <v>34098</v>
      </c>
      <c r="BN1996" t="s">
        <v>74</v>
      </c>
      <c r="BO1996" t="s">
        <v>74</v>
      </c>
      <c r="BP1996" t="s">
        <v>74</v>
      </c>
      <c r="BQ1996" t="s">
        <v>74</v>
      </c>
      <c r="BR1996" t="s">
        <v>102</v>
      </c>
      <c r="BS1996" t="s">
        <v>34099</v>
      </c>
      <c r="BT1996" t="str">
        <f>HYPERLINK("https%3A%2F%2Fwww.webofscience.com%2Fwos%2Fwoscc%2Ffull-record%2FWOS:000965129700022","View Full Record in Web of Science")</f>
        <v>View Full Record in Web of Science</v>
      </c>
    </row>
    <row r="1997" spans="1:72" x14ac:dyDescent="0.35">
      <c r="A1997" t="s">
        <v>128</v>
      </c>
      <c r="B1997" t="s">
        <v>34100</v>
      </c>
      <c r="C1997" t="s">
        <v>74</v>
      </c>
      <c r="D1997" t="s">
        <v>74</v>
      </c>
      <c r="E1997" t="s">
        <v>702</v>
      </c>
      <c r="F1997" t="s">
        <v>34101</v>
      </c>
      <c r="G1997" t="s">
        <v>74</v>
      </c>
      <c r="H1997" t="s">
        <v>74</v>
      </c>
      <c r="I1997" t="s">
        <v>34102</v>
      </c>
      <c r="J1997" t="s">
        <v>34103</v>
      </c>
      <c r="K1997" t="s">
        <v>74</v>
      </c>
      <c r="L1997" t="s">
        <v>74</v>
      </c>
      <c r="M1997" t="s">
        <v>78</v>
      </c>
      <c r="N1997" t="s">
        <v>135</v>
      </c>
      <c r="O1997" t="s">
        <v>34104</v>
      </c>
      <c r="P1997" t="s">
        <v>34105</v>
      </c>
      <c r="Q1997" t="s">
        <v>30780</v>
      </c>
      <c r="R1997" t="s">
        <v>1098</v>
      </c>
      <c r="S1997" t="s">
        <v>74</v>
      </c>
      <c r="T1997" t="s">
        <v>34106</v>
      </c>
      <c r="U1997" t="s">
        <v>34107</v>
      </c>
      <c r="V1997" t="s">
        <v>34108</v>
      </c>
      <c r="W1997" t="s">
        <v>34109</v>
      </c>
      <c r="X1997" t="s">
        <v>34110</v>
      </c>
      <c r="Y1997" t="s">
        <v>34111</v>
      </c>
      <c r="Z1997" t="s">
        <v>34112</v>
      </c>
      <c r="AA1997" t="s">
        <v>34113</v>
      </c>
      <c r="AB1997" t="s">
        <v>34114</v>
      </c>
      <c r="AC1997" t="s">
        <v>74</v>
      </c>
      <c r="AD1997" t="s">
        <v>74</v>
      </c>
      <c r="AE1997" t="s">
        <v>74</v>
      </c>
      <c r="AF1997" t="s">
        <v>74</v>
      </c>
      <c r="AG1997">
        <v>38</v>
      </c>
      <c r="AH1997">
        <v>0</v>
      </c>
      <c r="AI1997">
        <v>0</v>
      </c>
      <c r="AJ1997">
        <v>0</v>
      </c>
      <c r="AK1997">
        <v>0</v>
      </c>
      <c r="AL1997" t="s">
        <v>718</v>
      </c>
      <c r="AM1997" t="s">
        <v>666</v>
      </c>
      <c r="AN1997" t="s">
        <v>719</v>
      </c>
      <c r="AO1997" t="s">
        <v>74</v>
      </c>
      <c r="AP1997" t="s">
        <v>74</v>
      </c>
      <c r="AQ1997" t="s">
        <v>34115</v>
      </c>
      <c r="AR1997" t="s">
        <v>74</v>
      </c>
      <c r="AS1997" t="s">
        <v>74</v>
      </c>
      <c r="AT1997" t="s">
        <v>74</v>
      </c>
      <c r="AU1997">
        <v>2023</v>
      </c>
      <c r="AV1997" t="s">
        <v>74</v>
      </c>
      <c r="AW1997" t="s">
        <v>74</v>
      </c>
      <c r="AX1997" t="s">
        <v>74</v>
      </c>
      <c r="AY1997" t="s">
        <v>74</v>
      </c>
      <c r="AZ1997" t="s">
        <v>74</v>
      </c>
      <c r="BA1997" t="s">
        <v>74</v>
      </c>
      <c r="BB1997">
        <v>455</v>
      </c>
      <c r="BC1997">
        <v>466</v>
      </c>
      <c r="BD1997" t="s">
        <v>74</v>
      </c>
      <c r="BE1997" t="s">
        <v>34116</v>
      </c>
      <c r="BF1997" t="str">
        <f>HYPERLINK("http://dx.doi.org/10.1145/3604915.3608808","http://dx.doi.org/10.1145/3604915.3608808")</f>
        <v>http://dx.doi.org/10.1145/3604915.3608808</v>
      </c>
      <c r="BG1997" t="s">
        <v>74</v>
      </c>
      <c r="BH1997" t="s">
        <v>74</v>
      </c>
      <c r="BI1997">
        <v>12</v>
      </c>
      <c r="BJ1997" t="s">
        <v>894</v>
      </c>
      <c r="BK1997" t="s">
        <v>723</v>
      </c>
      <c r="BL1997" t="s">
        <v>210</v>
      </c>
      <c r="BM1997" t="s">
        <v>34117</v>
      </c>
      <c r="BN1997" t="s">
        <v>74</v>
      </c>
      <c r="BO1997" t="s">
        <v>5037</v>
      </c>
      <c r="BP1997" t="s">
        <v>74</v>
      </c>
      <c r="BQ1997" t="s">
        <v>74</v>
      </c>
      <c r="BR1997" t="s">
        <v>102</v>
      </c>
      <c r="BS1997" t="s">
        <v>34118</v>
      </c>
      <c r="BT1997" t="str">
        <f>HYPERLINK("https%3A%2F%2Fwww.webofscience.com%2Fwos%2Fwoscc%2Ffull-record%2FWOS:001156630300046","View Full Record in Web of Science")</f>
        <v>View Full Record in Web of Science</v>
      </c>
    </row>
    <row r="1998" spans="1:72" x14ac:dyDescent="0.35">
      <c r="A1998" t="s">
        <v>72</v>
      </c>
      <c r="B1998" t="s">
        <v>34119</v>
      </c>
      <c r="C1998" t="s">
        <v>74</v>
      </c>
      <c r="D1998" t="s">
        <v>74</v>
      </c>
      <c r="E1998" t="s">
        <v>74</v>
      </c>
      <c r="F1998" t="s">
        <v>34120</v>
      </c>
      <c r="G1998" t="s">
        <v>74</v>
      </c>
      <c r="H1998" t="s">
        <v>74</v>
      </c>
      <c r="I1998" t="s">
        <v>34121</v>
      </c>
      <c r="J1998" t="s">
        <v>34122</v>
      </c>
      <c r="K1998" t="s">
        <v>74</v>
      </c>
      <c r="L1998" t="s">
        <v>74</v>
      </c>
      <c r="M1998" t="s">
        <v>78</v>
      </c>
      <c r="N1998" t="s">
        <v>108</v>
      </c>
      <c r="O1998" t="s">
        <v>74</v>
      </c>
      <c r="P1998" t="s">
        <v>74</v>
      </c>
      <c r="Q1998" t="s">
        <v>74</v>
      </c>
      <c r="R1998" t="s">
        <v>74</v>
      </c>
      <c r="S1998" t="s">
        <v>74</v>
      </c>
      <c r="T1998" t="s">
        <v>34123</v>
      </c>
      <c r="U1998" t="s">
        <v>34124</v>
      </c>
      <c r="V1998" t="s">
        <v>34125</v>
      </c>
      <c r="W1998" t="s">
        <v>34126</v>
      </c>
      <c r="X1998" t="s">
        <v>34127</v>
      </c>
      <c r="Y1998" t="s">
        <v>34128</v>
      </c>
      <c r="Z1998" t="s">
        <v>34129</v>
      </c>
      <c r="AA1998" t="s">
        <v>34130</v>
      </c>
      <c r="AB1998" t="s">
        <v>34131</v>
      </c>
      <c r="AC1998" t="s">
        <v>74</v>
      </c>
      <c r="AD1998" t="s">
        <v>74</v>
      </c>
      <c r="AE1998" t="s">
        <v>74</v>
      </c>
      <c r="AF1998" t="s">
        <v>74</v>
      </c>
      <c r="AG1998">
        <v>94</v>
      </c>
      <c r="AH1998">
        <v>4</v>
      </c>
      <c r="AI1998">
        <v>4</v>
      </c>
      <c r="AJ1998">
        <v>12</v>
      </c>
      <c r="AK1998">
        <v>12</v>
      </c>
      <c r="AL1998" t="s">
        <v>34132</v>
      </c>
      <c r="AM1998" t="s">
        <v>6529</v>
      </c>
      <c r="AN1998" t="s">
        <v>34133</v>
      </c>
      <c r="AO1998" t="s">
        <v>34134</v>
      </c>
      <c r="AP1998" t="s">
        <v>74</v>
      </c>
      <c r="AQ1998" t="s">
        <v>74</v>
      </c>
      <c r="AR1998" t="s">
        <v>34135</v>
      </c>
      <c r="AS1998" t="s">
        <v>34136</v>
      </c>
      <c r="AT1998" t="s">
        <v>74</v>
      </c>
      <c r="AU1998">
        <v>2023</v>
      </c>
      <c r="AV1998">
        <v>11</v>
      </c>
      <c r="AW1998" t="s">
        <v>74</v>
      </c>
      <c r="AX1998" t="s">
        <v>74</v>
      </c>
      <c r="AY1998" t="s">
        <v>74</v>
      </c>
      <c r="AZ1998" t="s">
        <v>74</v>
      </c>
      <c r="BA1998" t="s">
        <v>74</v>
      </c>
      <c r="BB1998">
        <v>127</v>
      </c>
      <c r="BC1998">
        <v>149</v>
      </c>
      <c r="BD1998" t="s">
        <v>74</v>
      </c>
      <c r="BE1998" t="s">
        <v>34137</v>
      </c>
      <c r="BF1998" t="str">
        <f>HYPERLINK("http://dx.doi.org/10.5680/RCR.V11.5","http://dx.doi.org/10.5680/RCR.V11.5")</f>
        <v>http://dx.doi.org/10.5680/RCR.V11.5</v>
      </c>
      <c r="BG1998" t="s">
        <v>74</v>
      </c>
      <c r="BH1998" t="s">
        <v>74</v>
      </c>
      <c r="BI1998">
        <v>23</v>
      </c>
      <c r="BJ1998" t="s">
        <v>124</v>
      </c>
      <c r="BK1998" t="s">
        <v>125</v>
      </c>
      <c r="BL1998" t="s">
        <v>124</v>
      </c>
      <c r="BM1998" t="s">
        <v>34138</v>
      </c>
      <c r="BN1998" t="s">
        <v>74</v>
      </c>
      <c r="BO1998" t="s">
        <v>74</v>
      </c>
      <c r="BP1998" t="s">
        <v>74</v>
      </c>
      <c r="BQ1998" t="s">
        <v>74</v>
      </c>
      <c r="BR1998" t="s">
        <v>102</v>
      </c>
      <c r="BS1998" t="s">
        <v>34139</v>
      </c>
      <c r="BT1998" t="str">
        <f>HYPERLINK("https%3A%2F%2Fwww.webofscience.com%2Fwos%2Fwoscc%2Ffull-record%2FWOS:001224158300001","View Full Record in Web of Science")</f>
        <v>View Full Record in Web of Science</v>
      </c>
    </row>
    <row r="1999" spans="1:72" x14ac:dyDescent="0.35">
      <c r="A1999" t="s">
        <v>72</v>
      </c>
      <c r="B1999" t="s">
        <v>34140</v>
      </c>
      <c r="C1999" t="s">
        <v>74</v>
      </c>
      <c r="D1999" t="s">
        <v>74</v>
      </c>
      <c r="E1999" t="s">
        <v>74</v>
      </c>
      <c r="F1999" t="s">
        <v>34141</v>
      </c>
      <c r="G1999" t="s">
        <v>74</v>
      </c>
      <c r="H1999" t="s">
        <v>74</v>
      </c>
      <c r="I1999" t="s">
        <v>34142</v>
      </c>
      <c r="J1999" t="s">
        <v>4384</v>
      </c>
      <c r="K1999" t="s">
        <v>74</v>
      </c>
      <c r="L1999" t="s">
        <v>74</v>
      </c>
      <c r="M1999" t="s">
        <v>78</v>
      </c>
      <c r="N1999" t="s">
        <v>108</v>
      </c>
      <c r="O1999" t="s">
        <v>74</v>
      </c>
      <c r="P1999" t="s">
        <v>74</v>
      </c>
      <c r="Q1999" t="s">
        <v>74</v>
      </c>
      <c r="R1999" t="s">
        <v>74</v>
      </c>
      <c r="S1999" t="s">
        <v>74</v>
      </c>
      <c r="T1999" t="s">
        <v>74</v>
      </c>
      <c r="U1999" t="s">
        <v>34143</v>
      </c>
      <c r="V1999" t="s">
        <v>34144</v>
      </c>
      <c r="W1999" t="s">
        <v>34145</v>
      </c>
      <c r="X1999" t="s">
        <v>34146</v>
      </c>
      <c r="Y1999" t="s">
        <v>34147</v>
      </c>
      <c r="Z1999" t="s">
        <v>34148</v>
      </c>
      <c r="AA1999" t="s">
        <v>74</v>
      </c>
      <c r="AB1999" t="s">
        <v>34149</v>
      </c>
      <c r="AC1999" t="s">
        <v>34150</v>
      </c>
      <c r="AD1999" t="s">
        <v>34151</v>
      </c>
      <c r="AE1999" t="s">
        <v>34152</v>
      </c>
      <c r="AF1999" t="s">
        <v>74</v>
      </c>
      <c r="AG1999">
        <v>75</v>
      </c>
      <c r="AH1999">
        <v>0</v>
      </c>
      <c r="AI1999">
        <v>0</v>
      </c>
      <c r="AJ1999">
        <v>4</v>
      </c>
      <c r="AK1999">
        <v>4</v>
      </c>
      <c r="AL1999" t="s">
        <v>803</v>
      </c>
      <c r="AM1999" t="s">
        <v>227</v>
      </c>
      <c r="AN1999" t="s">
        <v>804</v>
      </c>
      <c r="AO1999" t="s">
        <v>74</v>
      </c>
      <c r="AP1999" t="s">
        <v>4395</v>
      </c>
      <c r="AQ1999" t="s">
        <v>74</v>
      </c>
      <c r="AR1999" t="s">
        <v>4396</v>
      </c>
      <c r="AS1999" t="s">
        <v>4397</v>
      </c>
      <c r="AT1999" t="s">
        <v>11844</v>
      </c>
      <c r="AU1999">
        <v>2024</v>
      </c>
      <c r="AV1999">
        <v>11</v>
      </c>
      <c r="AW1999">
        <v>1</v>
      </c>
      <c r="AX1999" t="s">
        <v>74</v>
      </c>
      <c r="AY1999" t="s">
        <v>74</v>
      </c>
      <c r="AZ1999" t="s">
        <v>74</v>
      </c>
      <c r="BA1999" t="s">
        <v>74</v>
      </c>
      <c r="BB1999" t="s">
        <v>74</v>
      </c>
      <c r="BC1999" t="s">
        <v>74</v>
      </c>
      <c r="BD1999">
        <v>1109</v>
      </c>
      <c r="BE1999" t="s">
        <v>34153</v>
      </c>
      <c r="BF1999" t="str">
        <f>HYPERLINK("http://dx.doi.org/10.1057/s41599-024-03477-5","http://dx.doi.org/10.1057/s41599-024-03477-5")</f>
        <v>http://dx.doi.org/10.1057/s41599-024-03477-5</v>
      </c>
      <c r="BG1999" t="s">
        <v>74</v>
      </c>
      <c r="BH1999" t="s">
        <v>74</v>
      </c>
      <c r="BI1999">
        <v>15</v>
      </c>
      <c r="BJ1999" t="s">
        <v>4400</v>
      </c>
      <c r="BK1999" t="s">
        <v>2125</v>
      </c>
      <c r="BL1999" t="s">
        <v>4401</v>
      </c>
      <c r="BM1999" t="s">
        <v>34154</v>
      </c>
      <c r="BN1999" t="s">
        <v>74</v>
      </c>
      <c r="BO1999" t="s">
        <v>235</v>
      </c>
      <c r="BP1999" t="s">
        <v>74</v>
      </c>
      <c r="BQ1999" t="s">
        <v>74</v>
      </c>
      <c r="BR1999" t="s">
        <v>102</v>
      </c>
      <c r="BS1999" t="s">
        <v>34155</v>
      </c>
      <c r="BT1999" t="str">
        <f>HYPERLINK("https%3A%2F%2Fwww.webofscience.com%2Fwos%2Fwoscc%2Ffull-record%2FWOS:001302462400002","View Full Record in Web of Science")</f>
        <v>View Full Record in Web of Science</v>
      </c>
    </row>
    <row r="2000" spans="1:72" x14ac:dyDescent="0.35">
      <c r="A2000" t="s">
        <v>72</v>
      </c>
      <c r="B2000" t="s">
        <v>34156</v>
      </c>
      <c r="C2000" t="s">
        <v>74</v>
      </c>
      <c r="D2000" t="s">
        <v>74</v>
      </c>
      <c r="E2000" t="s">
        <v>74</v>
      </c>
      <c r="F2000" t="s">
        <v>34157</v>
      </c>
      <c r="G2000" t="s">
        <v>74</v>
      </c>
      <c r="H2000" t="s">
        <v>74</v>
      </c>
      <c r="I2000" t="s">
        <v>34158</v>
      </c>
      <c r="J2000" t="s">
        <v>1774</v>
      </c>
      <c r="K2000" t="s">
        <v>74</v>
      </c>
      <c r="L2000" t="s">
        <v>74</v>
      </c>
      <c r="M2000" t="s">
        <v>78</v>
      </c>
      <c r="N2000" t="s">
        <v>79</v>
      </c>
      <c r="O2000" t="s">
        <v>74</v>
      </c>
      <c r="P2000" t="s">
        <v>74</v>
      </c>
      <c r="Q2000" t="s">
        <v>74</v>
      </c>
      <c r="R2000" t="s">
        <v>74</v>
      </c>
      <c r="S2000" t="s">
        <v>74</v>
      </c>
      <c r="T2000" t="s">
        <v>34159</v>
      </c>
      <c r="U2000" t="s">
        <v>34160</v>
      </c>
      <c r="V2000" t="s">
        <v>34161</v>
      </c>
      <c r="W2000" t="s">
        <v>34162</v>
      </c>
      <c r="X2000" t="s">
        <v>5306</v>
      </c>
      <c r="Y2000" t="s">
        <v>34163</v>
      </c>
      <c r="Z2000" t="s">
        <v>34164</v>
      </c>
      <c r="AA2000" t="s">
        <v>74</v>
      </c>
      <c r="AB2000" t="s">
        <v>34165</v>
      </c>
      <c r="AC2000" t="s">
        <v>34166</v>
      </c>
      <c r="AD2000" t="s">
        <v>34166</v>
      </c>
      <c r="AE2000" t="s">
        <v>34167</v>
      </c>
      <c r="AF2000" t="s">
        <v>74</v>
      </c>
      <c r="AG2000">
        <v>62</v>
      </c>
      <c r="AH2000">
        <v>0</v>
      </c>
      <c r="AI2000">
        <v>0</v>
      </c>
      <c r="AJ2000">
        <v>8</v>
      </c>
      <c r="AK2000">
        <v>8</v>
      </c>
      <c r="AL2000" t="s">
        <v>88</v>
      </c>
      <c r="AM2000" t="s">
        <v>89</v>
      </c>
      <c r="AN2000" t="s">
        <v>90</v>
      </c>
      <c r="AO2000" t="s">
        <v>1783</v>
      </c>
      <c r="AP2000" t="s">
        <v>1784</v>
      </c>
      <c r="AQ2000" t="s">
        <v>74</v>
      </c>
      <c r="AR2000" t="s">
        <v>1785</v>
      </c>
      <c r="AS2000" t="s">
        <v>1786</v>
      </c>
      <c r="AT2000" t="s">
        <v>5556</v>
      </c>
      <c r="AU2000">
        <v>2024</v>
      </c>
      <c r="AV2000" t="s">
        <v>74</v>
      </c>
      <c r="AW2000" t="s">
        <v>74</v>
      </c>
      <c r="AX2000" t="s">
        <v>74</v>
      </c>
      <c r="AY2000" t="s">
        <v>74</v>
      </c>
      <c r="AZ2000" t="s">
        <v>74</v>
      </c>
      <c r="BA2000" t="s">
        <v>74</v>
      </c>
      <c r="BB2000" t="s">
        <v>74</v>
      </c>
      <c r="BC2000" t="s">
        <v>74</v>
      </c>
      <c r="BD2000" t="s">
        <v>74</v>
      </c>
      <c r="BE2000" t="s">
        <v>34168</v>
      </c>
      <c r="BF2000" t="str">
        <f>HYPERLINK("http://dx.doi.org/10.1080/1369118X.2024.2363926","http://dx.doi.org/10.1080/1369118X.2024.2363926")</f>
        <v>http://dx.doi.org/10.1080/1369118X.2024.2363926</v>
      </c>
      <c r="BG2000" t="s">
        <v>74</v>
      </c>
      <c r="BH2000" t="s">
        <v>500</v>
      </c>
      <c r="BI2000">
        <v>20</v>
      </c>
      <c r="BJ2000" t="s">
        <v>1047</v>
      </c>
      <c r="BK2000" t="s">
        <v>99</v>
      </c>
      <c r="BL2000" t="s">
        <v>1047</v>
      </c>
      <c r="BM2000" t="s">
        <v>34169</v>
      </c>
      <c r="BN2000" t="s">
        <v>74</v>
      </c>
      <c r="BO2000" t="s">
        <v>896</v>
      </c>
      <c r="BP2000" t="s">
        <v>74</v>
      </c>
      <c r="BQ2000" t="s">
        <v>74</v>
      </c>
      <c r="BR2000" t="s">
        <v>102</v>
      </c>
      <c r="BS2000" t="s">
        <v>34170</v>
      </c>
      <c r="BT2000" t="str">
        <f>HYPERLINK("https%3A%2F%2Fwww.webofscience.com%2Fwos%2Fwoscc%2Ffull-record%2FWOS:001261606000001","View Full Record in Web of Science")</f>
        <v>View Full Record in Web of Science</v>
      </c>
    </row>
    <row r="2001" spans="1:72" x14ac:dyDescent="0.35">
      <c r="A2001" t="s">
        <v>128</v>
      </c>
      <c r="B2001" t="s">
        <v>34171</v>
      </c>
      <c r="C2001" t="s">
        <v>74</v>
      </c>
      <c r="D2001" t="s">
        <v>34172</v>
      </c>
      <c r="E2001" t="s">
        <v>74</v>
      </c>
      <c r="F2001" t="s">
        <v>34173</v>
      </c>
      <c r="G2001" t="s">
        <v>74</v>
      </c>
      <c r="H2001" t="s">
        <v>74</v>
      </c>
      <c r="I2001" t="s">
        <v>34174</v>
      </c>
      <c r="J2001" t="s">
        <v>34175</v>
      </c>
      <c r="K2001" t="s">
        <v>8364</v>
      </c>
      <c r="L2001" t="s">
        <v>74</v>
      </c>
      <c r="M2001" t="s">
        <v>78</v>
      </c>
      <c r="N2001" t="s">
        <v>135</v>
      </c>
      <c r="O2001" t="s">
        <v>34176</v>
      </c>
      <c r="P2001" t="s">
        <v>34177</v>
      </c>
      <c r="Q2001" t="s">
        <v>34178</v>
      </c>
      <c r="R2001" t="s">
        <v>74</v>
      </c>
      <c r="S2001" t="s">
        <v>74</v>
      </c>
      <c r="T2001" t="s">
        <v>34179</v>
      </c>
      <c r="U2001" t="s">
        <v>74</v>
      </c>
      <c r="V2001" t="s">
        <v>34180</v>
      </c>
      <c r="W2001" t="s">
        <v>34181</v>
      </c>
      <c r="X2001" t="s">
        <v>34182</v>
      </c>
      <c r="Y2001" t="s">
        <v>34183</v>
      </c>
      <c r="Z2001" t="s">
        <v>34184</v>
      </c>
      <c r="AA2001" t="s">
        <v>74</v>
      </c>
      <c r="AB2001" t="s">
        <v>74</v>
      </c>
      <c r="AC2001" t="s">
        <v>74</v>
      </c>
      <c r="AD2001" t="s">
        <v>74</v>
      </c>
      <c r="AE2001" t="s">
        <v>74</v>
      </c>
      <c r="AF2001" t="s">
        <v>74</v>
      </c>
      <c r="AG2001">
        <v>25</v>
      </c>
      <c r="AH2001">
        <v>0</v>
      </c>
      <c r="AI2001">
        <v>0</v>
      </c>
      <c r="AJ2001">
        <v>4</v>
      </c>
      <c r="AK2001">
        <v>4</v>
      </c>
      <c r="AL2001" t="s">
        <v>17636</v>
      </c>
      <c r="AM2001" t="s">
        <v>15140</v>
      </c>
      <c r="AN2001" t="s">
        <v>17637</v>
      </c>
      <c r="AO2001" t="s">
        <v>8380</v>
      </c>
      <c r="AP2001" t="s">
        <v>8381</v>
      </c>
      <c r="AQ2001" t="s">
        <v>34185</v>
      </c>
      <c r="AR2001" t="s">
        <v>8383</v>
      </c>
      <c r="AS2001" t="s">
        <v>74</v>
      </c>
      <c r="AT2001" t="s">
        <v>74</v>
      </c>
      <c r="AU2001">
        <v>2024</v>
      </c>
      <c r="AV2001">
        <v>14487</v>
      </c>
      <c r="AW2001" t="s">
        <v>74</v>
      </c>
      <c r="AX2001" t="s">
        <v>74</v>
      </c>
      <c r="AY2001" t="s">
        <v>74</v>
      </c>
      <c r="AZ2001" t="s">
        <v>74</v>
      </c>
      <c r="BA2001" t="s">
        <v>74</v>
      </c>
      <c r="BB2001">
        <v>1</v>
      </c>
      <c r="BC2001">
        <v>16</v>
      </c>
      <c r="BD2001" t="s">
        <v>74</v>
      </c>
      <c r="BE2001" t="s">
        <v>34186</v>
      </c>
      <c r="BF2001" t="str">
        <f>HYPERLINK("http://dx.doi.org/10.1007/978-981-97-0834-5_1","http://dx.doi.org/10.1007/978-981-97-0834-5_1")</f>
        <v>http://dx.doi.org/10.1007/978-981-97-0834-5_1</v>
      </c>
      <c r="BG2001" t="s">
        <v>74</v>
      </c>
      <c r="BH2001" t="s">
        <v>74</v>
      </c>
      <c r="BI2001">
        <v>16</v>
      </c>
      <c r="BJ2001" t="s">
        <v>21129</v>
      </c>
      <c r="BK2001" t="s">
        <v>723</v>
      </c>
      <c r="BL2001" t="s">
        <v>210</v>
      </c>
      <c r="BM2001" t="s">
        <v>34187</v>
      </c>
      <c r="BN2001" t="s">
        <v>74</v>
      </c>
      <c r="BO2001" t="s">
        <v>74</v>
      </c>
      <c r="BP2001" t="s">
        <v>74</v>
      </c>
      <c r="BQ2001" t="s">
        <v>74</v>
      </c>
      <c r="BR2001" t="s">
        <v>102</v>
      </c>
      <c r="BS2001" t="s">
        <v>34188</v>
      </c>
      <c r="BT2001" t="str">
        <f>HYPERLINK("https%3A%2F%2Fwww.webofscience.com%2Fwos%2Fwoscc%2Ffull-record%2FWOS:001212400600001","View Full Record in Web of Science")</f>
        <v>View Full Record in Web of Science</v>
      </c>
    </row>
    <row r="2002" spans="1:72" x14ac:dyDescent="0.35">
      <c r="A2002" t="s">
        <v>72</v>
      </c>
      <c r="B2002" t="s">
        <v>34189</v>
      </c>
      <c r="C2002" t="s">
        <v>74</v>
      </c>
      <c r="D2002" t="s">
        <v>74</v>
      </c>
      <c r="E2002" t="s">
        <v>74</v>
      </c>
      <c r="F2002" t="s">
        <v>34190</v>
      </c>
      <c r="G2002" t="s">
        <v>74</v>
      </c>
      <c r="H2002" t="s">
        <v>74</v>
      </c>
      <c r="I2002" t="s">
        <v>34191</v>
      </c>
      <c r="J2002" t="s">
        <v>34192</v>
      </c>
      <c r="K2002" t="s">
        <v>74</v>
      </c>
      <c r="L2002" t="s">
        <v>74</v>
      </c>
      <c r="M2002" t="s">
        <v>78</v>
      </c>
      <c r="N2002" t="s">
        <v>108</v>
      </c>
      <c r="O2002" t="s">
        <v>74</v>
      </c>
      <c r="P2002" t="s">
        <v>74</v>
      </c>
      <c r="Q2002" t="s">
        <v>74</v>
      </c>
      <c r="R2002" t="s">
        <v>74</v>
      </c>
      <c r="S2002" t="s">
        <v>74</v>
      </c>
      <c r="T2002" t="s">
        <v>34193</v>
      </c>
      <c r="U2002" t="s">
        <v>34194</v>
      </c>
      <c r="V2002" t="s">
        <v>34195</v>
      </c>
      <c r="W2002" t="s">
        <v>34196</v>
      </c>
      <c r="X2002" t="s">
        <v>29605</v>
      </c>
      <c r="Y2002" t="s">
        <v>34197</v>
      </c>
      <c r="Z2002" t="s">
        <v>34198</v>
      </c>
      <c r="AA2002" t="s">
        <v>74</v>
      </c>
      <c r="AB2002" t="s">
        <v>34199</v>
      </c>
      <c r="AC2002" t="s">
        <v>74</v>
      </c>
      <c r="AD2002" t="s">
        <v>74</v>
      </c>
      <c r="AE2002" t="s">
        <v>74</v>
      </c>
      <c r="AF2002" t="s">
        <v>74</v>
      </c>
      <c r="AG2002">
        <v>75</v>
      </c>
      <c r="AH2002">
        <v>11</v>
      </c>
      <c r="AI2002">
        <v>13</v>
      </c>
      <c r="AJ2002">
        <v>15</v>
      </c>
      <c r="AK2002">
        <v>70</v>
      </c>
      <c r="AL2002" t="s">
        <v>171</v>
      </c>
      <c r="AM2002" t="s">
        <v>172</v>
      </c>
      <c r="AN2002" t="s">
        <v>173</v>
      </c>
      <c r="AO2002" t="s">
        <v>34200</v>
      </c>
      <c r="AP2002" t="s">
        <v>34201</v>
      </c>
      <c r="AQ2002" t="s">
        <v>74</v>
      </c>
      <c r="AR2002" t="s">
        <v>34202</v>
      </c>
      <c r="AS2002" t="s">
        <v>34203</v>
      </c>
      <c r="AT2002" t="s">
        <v>523</v>
      </c>
      <c r="AU2002">
        <v>2022</v>
      </c>
      <c r="AV2002">
        <v>48</v>
      </c>
      <c r="AW2002" t="s">
        <v>34204</v>
      </c>
      <c r="AX2002" t="s">
        <v>74</v>
      </c>
      <c r="AY2002" t="s">
        <v>74</v>
      </c>
      <c r="AZ2002" t="s">
        <v>74</v>
      </c>
      <c r="BA2002" t="s">
        <v>74</v>
      </c>
      <c r="BB2002">
        <v>1221</v>
      </c>
      <c r="BC2002">
        <v>1236</v>
      </c>
      <c r="BD2002">
        <v>8969205221101451</v>
      </c>
      <c r="BE2002" t="s">
        <v>34205</v>
      </c>
      <c r="BF2002" t="str">
        <f>HYPERLINK("http://dx.doi.org/10.1177/08969205221101451","http://dx.doi.org/10.1177/08969205221101451")</f>
        <v>http://dx.doi.org/10.1177/08969205221101451</v>
      </c>
      <c r="BG2002" t="s">
        <v>74</v>
      </c>
      <c r="BH2002" t="s">
        <v>1428</v>
      </c>
      <c r="BI2002">
        <v>16</v>
      </c>
      <c r="BJ2002" t="s">
        <v>4573</v>
      </c>
      <c r="BK2002" t="s">
        <v>99</v>
      </c>
      <c r="BL2002" t="s">
        <v>4573</v>
      </c>
      <c r="BM2002" t="s">
        <v>34206</v>
      </c>
      <c r="BN2002" t="s">
        <v>74</v>
      </c>
      <c r="BO2002" t="s">
        <v>74</v>
      </c>
      <c r="BP2002" t="s">
        <v>74</v>
      </c>
      <c r="BQ2002" t="s">
        <v>74</v>
      </c>
      <c r="BR2002" t="s">
        <v>102</v>
      </c>
      <c r="BS2002" t="s">
        <v>34207</v>
      </c>
      <c r="BT2002" t="str">
        <f>HYPERLINK("https%3A%2F%2Fwww.webofscience.com%2Fwos%2Fwoscc%2Ffull-record%2FWOS:000808361900001","View Full Record in Web of Science")</f>
        <v>View Full Record in Web of Science</v>
      </c>
    </row>
    <row r="2003" spans="1:72" x14ac:dyDescent="0.35">
      <c r="A2003" t="s">
        <v>72</v>
      </c>
      <c r="B2003" t="s">
        <v>34208</v>
      </c>
      <c r="C2003" t="s">
        <v>74</v>
      </c>
      <c r="D2003" t="s">
        <v>74</v>
      </c>
      <c r="E2003" t="s">
        <v>74</v>
      </c>
      <c r="F2003" t="s">
        <v>34209</v>
      </c>
      <c r="G2003" t="s">
        <v>74</v>
      </c>
      <c r="H2003" t="s">
        <v>74</v>
      </c>
      <c r="I2003" t="s">
        <v>34210</v>
      </c>
      <c r="J2003" t="s">
        <v>8636</v>
      </c>
      <c r="K2003" t="s">
        <v>74</v>
      </c>
      <c r="L2003" t="s">
        <v>74</v>
      </c>
      <c r="M2003" t="s">
        <v>78</v>
      </c>
      <c r="N2003" t="s">
        <v>108</v>
      </c>
      <c r="O2003" t="s">
        <v>74</v>
      </c>
      <c r="P2003" t="s">
        <v>74</v>
      </c>
      <c r="Q2003" t="s">
        <v>74</v>
      </c>
      <c r="R2003" t="s">
        <v>74</v>
      </c>
      <c r="S2003" t="s">
        <v>74</v>
      </c>
      <c r="T2003" t="s">
        <v>34211</v>
      </c>
      <c r="U2003" t="s">
        <v>34212</v>
      </c>
      <c r="V2003" t="s">
        <v>34213</v>
      </c>
      <c r="W2003" t="s">
        <v>34214</v>
      </c>
      <c r="X2003" t="s">
        <v>34215</v>
      </c>
      <c r="Y2003" t="s">
        <v>34216</v>
      </c>
      <c r="Z2003" t="s">
        <v>34217</v>
      </c>
      <c r="AA2003" t="s">
        <v>34218</v>
      </c>
      <c r="AB2003" t="s">
        <v>34219</v>
      </c>
      <c r="AC2003" t="s">
        <v>28442</v>
      </c>
      <c r="AD2003" t="s">
        <v>28442</v>
      </c>
      <c r="AE2003" t="s">
        <v>34220</v>
      </c>
      <c r="AF2003" t="s">
        <v>74</v>
      </c>
      <c r="AG2003">
        <v>105</v>
      </c>
      <c r="AH2003">
        <v>5</v>
      </c>
      <c r="AI2003">
        <v>5</v>
      </c>
      <c r="AJ2003">
        <v>0</v>
      </c>
      <c r="AK2003">
        <v>2</v>
      </c>
      <c r="AL2003" t="s">
        <v>251</v>
      </c>
      <c r="AM2003" t="s">
        <v>252</v>
      </c>
      <c r="AN2003" t="s">
        <v>253</v>
      </c>
      <c r="AO2003" t="s">
        <v>8648</v>
      </c>
      <c r="AP2003" t="s">
        <v>74</v>
      </c>
      <c r="AQ2003" t="s">
        <v>74</v>
      </c>
      <c r="AR2003" t="s">
        <v>8649</v>
      </c>
      <c r="AS2003" t="s">
        <v>8650</v>
      </c>
      <c r="AT2003" t="s">
        <v>1484</v>
      </c>
      <c r="AU2003">
        <v>2024</v>
      </c>
      <c r="AV2003">
        <v>11</v>
      </c>
      <c r="AW2003">
        <v>3</v>
      </c>
      <c r="AX2003" t="s">
        <v>74</v>
      </c>
      <c r="AY2003" t="s">
        <v>74</v>
      </c>
      <c r="AZ2003" t="s">
        <v>74</v>
      </c>
      <c r="BA2003" t="s">
        <v>74</v>
      </c>
      <c r="BB2003">
        <v>227</v>
      </c>
      <c r="BC2003">
        <v>237</v>
      </c>
      <c r="BD2003" t="s">
        <v>74</v>
      </c>
      <c r="BE2003" t="s">
        <v>34221</v>
      </c>
      <c r="BF2003" t="str">
        <f>HYPERLINK("http://dx.doi.org/10.1002/mdc3.13932","http://dx.doi.org/10.1002/mdc3.13932")</f>
        <v>http://dx.doi.org/10.1002/mdc3.13932</v>
      </c>
      <c r="BG2003" t="s">
        <v>74</v>
      </c>
      <c r="BH2003" t="s">
        <v>1449</v>
      </c>
      <c r="BI2003">
        <v>11</v>
      </c>
      <c r="BJ2003" t="s">
        <v>8652</v>
      </c>
      <c r="BK2003" t="s">
        <v>209</v>
      </c>
      <c r="BL2003" t="s">
        <v>2258</v>
      </c>
      <c r="BM2003" t="s">
        <v>34222</v>
      </c>
      <c r="BN2003">
        <v>38468554</v>
      </c>
      <c r="BO2003" t="s">
        <v>1343</v>
      </c>
      <c r="BP2003" t="s">
        <v>74</v>
      </c>
      <c r="BQ2003" t="s">
        <v>74</v>
      </c>
      <c r="BR2003" t="s">
        <v>102</v>
      </c>
      <c r="BS2003" t="s">
        <v>34223</v>
      </c>
      <c r="BT2003" t="str">
        <f>HYPERLINK("https%3A%2F%2Fwww.webofscience.com%2Fwos%2Fwoscc%2Ffull-record%2FWOS:001122796800001","View Full Record in Web of Science")</f>
        <v>View Full Record in Web of Science</v>
      </c>
    </row>
    <row r="2004" spans="1:72" x14ac:dyDescent="0.35">
      <c r="A2004" t="s">
        <v>72</v>
      </c>
      <c r="B2004" t="s">
        <v>34224</v>
      </c>
      <c r="C2004" t="s">
        <v>74</v>
      </c>
      <c r="D2004" t="s">
        <v>74</v>
      </c>
      <c r="E2004" t="s">
        <v>74</v>
      </c>
      <c r="F2004" t="s">
        <v>34225</v>
      </c>
      <c r="G2004" t="s">
        <v>74</v>
      </c>
      <c r="H2004" t="s">
        <v>74</v>
      </c>
      <c r="I2004" t="s">
        <v>34226</v>
      </c>
      <c r="J2004" t="s">
        <v>30694</v>
      </c>
      <c r="K2004" t="s">
        <v>74</v>
      </c>
      <c r="L2004" t="s">
        <v>74</v>
      </c>
      <c r="M2004" t="s">
        <v>78</v>
      </c>
      <c r="N2004" t="s">
        <v>108</v>
      </c>
      <c r="O2004" t="s">
        <v>74</v>
      </c>
      <c r="P2004" t="s">
        <v>74</v>
      </c>
      <c r="Q2004" t="s">
        <v>74</v>
      </c>
      <c r="R2004" t="s">
        <v>74</v>
      </c>
      <c r="S2004" t="s">
        <v>74</v>
      </c>
      <c r="T2004" t="s">
        <v>34227</v>
      </c>
      <c r="U2004" t="s">
        <v>34228</v>
      </c>
      <c r="V2004" t="s">
        <v>34229</v>
      </c>
      <c r="W2004" t="s">
        <v>34230</v>
      </c>
      <c r="X2004" t="s">
        <v>34231</v>
      </c>
      <c r="Y2004" t="s">
        <v>34232</v>
      </c>
      <c r="Z2004" t="s">
        <v>34233</v>
      </c>
      <c r="AA2004" t="s">
        <v>74</v>
      </c>
      <c r="AB2004" t="s">
        <v>74</v>
      </c>
      <c r="AC2004" t="s">
        <v>74</v>
      </c>
      <c r="AD2004" t="s">
        <v>74</v>
      </c>
      <c r="AE2004" t="s">
        <v>74</v>
      </c>
      <c r="AF2004" t="s">
        <v>74</v>
      </c>
      <c r="AG2004">
        <v>68</v>
      </c>
      <c r="AH2004">
        <v>0</v>
      </c>
      <c r="AI2004">
        <v>0</v>
      </c>
      <c r="AJ2004">
        <v>12</v>
      </c>
      <c r="AK2004">
        <v>12</v>
      </c>
      <c r="AL2004" t="s">
        <v>1129</v>
      </c>
      <c r="AM2004" t="s">
        <v>89</v>
      </c>
      <c r="AN2004" t="s">
        <v>1130</v>
      </c>
      <c r="AO2004" t="s">
        <v>30699</v>
      </c>
      <c r="AP2004" t="s">
        <v>74</v>
      </c>
      <c r="AQ2004" t="s">
        <v>74</v>
      </c>
      <c r="AR2004" t="s">
        <v>30700</v>
      </c>
      <c r="AS2004" t="s">
        <v>30701</v>
      </c>
      <c r="AT2004" t="s">
        <v>2296</v>
      </c>
      <c r="AU2004">
        <v>2024</v>
      </c>
      <c r="AV2004">
        <v>11</v>
      </c>
      <c r="AW2004">
        <v>1</v>
      </c>
      <c r="AX2004" t="s">
        <v>74</v>
      </c>
      <c r="AY2004" t="s">
        <v>74</v>
      </c>
      <c r="AZ2004" t="s">
        <v>74</v>
      </c>
      <c r="BA2004" t="s">
        <v>74</v>
      </c>
      <c r="BB2004" t="s">
        <v>74</v>
      </c>
      <c r="BC2004" t="s">
        <v>74</v>
      </c>
      <c r="BD2004">
        <v>2400600</v>
      </c>
      <c r="BE2004" t="s">
        <v>34234</v>
      </c>
      <c r="BF2004" t="str">
        <f>HYPERLINK("http://dx.doi.org/10.1080/23311975.2024.2400600","http://dx.doi.org/10.1080/23311975.2024.2400600")</f>
        <v>http://dx.doi.org/10.1080/23311975.2024.2400600</v>
      </c>
      <c r="BG2004" t="s">
        <v>74</v>
      </c>
      <c r="BH2004" t="s">
        <v>74</v>
      </c>
      <c r="BI2004">
        <v>16</v>
      </c>
      <c r="BJ2004" t="s">
        <v>1597</v>
      </c>
      <c r="BK2004" t="s">
        <v>125</v>
      </c>
      <c r="BL2004" t="s">
        <v>480</v>
      </c>
      <c r="BM2004" t="s">
        <v>34235</v>
      </c>
      <c r="BN2004" t="s">
        <v>74</v>
      </c>
      <c r="BO2004" t="s">
        <v>235</v>
      </c>
      <c r="BP2004" t="s">
        <v>74</v>
      </c>
      <c r="BQ2004" t="s">
        <v>74</v>
      </c>
      <c r="BR2004" t="s">
        <v>102</v>
      </c>
      <c r="BS2004" t="s">
        <v>34236</v>
      </c>
      <c r="BT2004" t="str">
        <f>HYPERLINK("https%3A%2F%2Fwww.webofscience.com%2Fwos%2Fwoscc%2Ffull-record%2FWOS:001309272600001","View Full Record in Web of Science")</f>
        <v>View Full Record in Web of Science</v>
      </c>
    </row>
    <row r="2005" spans="1:72" x14ac:dyDescent="0.35">
      <c r="A2005" t="s">
        <v>72</v>
      </c>
      <c r="B2005" t="s">
        <v>34237</v>
      </c>
      <c r="C2005" t="s">
        <v>74</v>
      </c>
      <c r="D2005" t="s">
        <v>74</v>
      </c>
      <c r="E2005" t="s">
        <v>74</v>
      </c>
      <c r="F2005" t="s">
        <v>34238</v>
      </c>
      <c r="G2005" t="s">
        <v>74</v>
      </c>
      <c r="H2005" t="s">
        <v>74</v>
      </c>
      <c r="I2005" t="s">
        <v>34239</v>
      </c>
      <c r="J2005" t="s">
        <v>4384</v>
      </c>
      <c r="K2005" t="s">
        <v>74</v>
      </c>
      <c r="L2005" t="s">
        <v>74</v>
      </c>
      <c r="M2005" t="s">
        <v>78</v>
      </c>
      <c r="N2005" t="s">
        <v>108</v>
      </c>
      <c r="O2005" t="s">
        <v>74</v>
      </c>
      <c r="P2005" t="s">
        <v>74</v>
      </c>
      <c r="Q2005" t="s">
        <v>74</v>
      </c>
      <c r="R2005" t="s">
        <v>74</v>
      </c>
      <c r="S2005" t="s">
        <v>74</v>
      </c>
      <c r="T2005" t="s">
        <v>74</v>
      </c>
      <c r="U2005" t="s">
        <v>34240</v>
      </c>
      <c r="V2005" t="s">
        <v>34241</v>
      </c>
      <c r="W2005" t="s">
        <v>34242</v>
      </c>
      <c r="X2005" t="s">
        <v>34243</v>
      </c>
      <c r="Y2005" t="s">
        <v>19608</v>
      </c>
      <c r="Z2005" t="s">
        <v>19609</v>
      </c>
      <c r="AA2005" t="s">
        <v>34244</v>
      </c>
      <c r="AB2005" t="s">
        <v>34245</v>
      </c>
      <c r="AC2005" t="s">
        <v>34246</v>
      </c>
      <c r="AD2005" t="s">
        <v>34247</v>
      </c>
      <c r="AE2005" t="s">
        <v>34248</v>
      </c>
      <c r="AF2005" t="s">
        <v>74</v>
      </c>
      <c r="AG2005">
        <v>50</v>
      </c>
      <c r="AH2005">
        <v>1</v>
      </c>
      <c r="AI2005">
        <v>1</v>
      </c>
      <c r="AJ2005">
        <v>15</v>
      </c>
      <c r="AK2005">
        <v>38</v>
      </c>
      <c r="AL2005" t="s">
        <v>803</v>
      </c>
      <c r="AM2005" t="s">
        <v>227</v>
      </c>
      <c r="AN2005" t="s">
        <v>804</v>
      </c>
      <c r="AO2005" t="s">
        <v>74</v>
      </c>
      <c r="AP2005" t="s">
        <v>4395</v>
      </c>
      <c r="AQ2005" t="s">
        <v>74</v>
      </c>
      <c r="AR2005" t="s">
        <v>4396</v>
      </c>
      <c r="AS2005" t="s">
        <v>4397</v>
      </c>
      <c r="AT2005" t="s">
        <v>17493</v>
      </c>
      <c r="AU2005">
        <v>2023</v>
      </c>
      <c r="AV2005">
        <v>10</v>
      </c>
      <c r="AW2005">
        <v>1</v>
      </c>
      <c r="AX2005" t="s">
        <v>74</v>
      </c>
      <c r="AY2005" t="s">
        <v>74</v>
      </c>
      <c r="AZ2005" t="s">
        <v>74</v>
      </c>
      <c r="BA2005" t="s">
        <v>74</v>
      </c>
      <c r="BB2005" t="s">
        <v>74</v>
      </c>
      <c r="BC2005" t="s">
        <v>74</v>
      </c>
      <c r="BD2005">
        <v>729</v>
      </c>
      <c r="BE2005" t="s">
        <v>34249</v>
      </c>
      <c r="BF2005" t="str">
        <f>HYPERLINK("http://dx.doi.org/10.1057/s41599-023-02170-3","http://dx.doi.org/10.1057/s41599-023-02170-3")</f>
        <v>http://dx.doi.org/10.1057/s41599-023-02170-3</v>
      </c>
      <c r="BG2005" t="s">
        <v>74</v>
      </c>
      <c r="BH2005" t="s">
        <v>74</v>
      </c>
      <c r="BI2005">
        <v>16</v>
      </c>
      <c r="BJ2005" t="s">
        <v>4400</v>
      </c>
      <c r="BK2005" t="s">
        <v>2125</v>
      </c>
      <c r="BL2005" t="s">
        <v>4401</v>
      </c>
      <c r="BM2005" t="s">
        <v>34250</v>
      </c>
      <c r="BN2005" t="s">
        <v>74</v>
      </c>
      <c r="BO2005" t="s">
        <v>235</v>
      </c>
      <c r="BP2005" t="s">
        <v>74</v>
      </c>
      <c r="BQ2005" t="s">
        <v>74</v>
      </c>
      <c r="BR2005" t="s">
        <v>102</v>
      </c>
      <c r="BS2005" t="s">
        <v>34251</v>
      </c>
      <c r="BT2005" t="str">
        <f>HYPERLINK("https%3A%2F%2Fwww.webofscience.com%2Fwos%2Fwoscc%2Ffull-record%2FWOS:001097587400001","View Full Record in Web of Science")</f>
        <v>View Full Record in Web of Science</v>
      </c>
    </row>
    <row r="2006" spans="1:72" x14ac:dyDescent="0.35">
      <c r="A2006" t="s">
        <v>72</v>
      </c>
      <c r="B2006" t="s">
        <v>34252</v>
      </c>
      <c r="C2006" t="s">
        <v>74</v>
      </c>
      <c r="D2006" t="s">
        <v>74</v>
      </c>
      <c r="E2006" t="s">
        <v>74</v>
      </c>
      <c r="F2006" t="s">
        <v>34253</v>
      </c>
      <c r="G2006" t="s">
        <v>74</v>
      </c>
      <c r="H2006" t="s">
        <v>74</v>
      </c>
      <c r="I2006" t="s">
        <v>34254</v>
      </c>
      <c r="J2006" t="s">
        <v>34255</v>
      </c>
      <c r="K2006" t="s">
        <v>74</v>
      </c>
      <c r="L2006" t="s">
        <v>74</v>
      </c>
      <c r="M2006" t="s">
        <v>78</v>
      </c>
      <c r="N2006" t="s">
        <v>79</v>
      </c>
      <c r="O2006" t="s">
        <v>74</v>
      </c>
      <c r="P2006" t="s">
        <v>74</v>
      </c>
      <c r="Q2006" t="s">
        <v>74</v>
      </c>
      <c r="R2006" t="s">
        <v>74</v>
      </c>
      <c r="S2006" t="s">
        <v>74</v>
      </c>
      <c r="T2006" t="s">
        <v>34256</v>
      </c>
      <c r="U2006" t="s">
        <v>74</v>
      </c>
      <c r="V2006" t="s">
        <v>34257</v>
      </c>
      <c r="W2006" t="s">
        <v>34258</v>
      </c>
      <c r="X2006" t="s">
        <v>34259</v>
      </c>
      <c r="Y2006" t="s">
        <v>34260</v>
      </c>
      <c r="Z2006" t="s">
        <v>34261</v>
      </c>
      <c r="AA2006" t="s">
        <v>74</v>
      </c>
      <c r="AB2006" t="s">
        <v>34262</v>
      </c>
      <c r="AC2006" t="s">
        <v>34263</v>
      </c>
      <c r="AD2006" t="s">
        <v>34263</v>
      </c>
      <c r="AE2006" t="s">
        <v>34264</v>
      </c>
      <c r="AF2006" t="s">
        <v>74</v>
      </c>
      <c r="AG2006">
        <v>54</v>
      </c>
      <c r="AH2006">
        <v>0</v>
      </c>
      <c r="AI2006">
        <v>0</v>
      </c>
      <c r="AJ2006">
        <v>2</v>
      </c>
      <c r="AK2006">
        <v>2</v>
      </c>
      <c r="AL2006" t="s">
        <v>665</v>
      </c>
      <c r="AM2006" t="s">
        <v>2922</v>
      </c>
      <c r="AN2006" t="s">
        <v>2923</v>
      </c>
      <c r="AO2006" t="s">
        <v>34265</v>
      </c>
      <c r="AP2006" t="s">
        <v>34266</v>
      </c>
      <c r="AQ2006" t="s">
        <v>74</v>
      </c>
      <c r="AR2006" t="s">
        <v>34267</v>
      </c>
      <c r="AS2006" t="s">
        <v>34268</v>
      </c>
      <c r="AT2006" t="s">
        <v>34269</v>
      </c>
      <c r="AU2006">
        <v>2024</v>
      </c>
      <c r="AV2006" t="s">
        <v>74</v>
      </c>
      <c r="AW2006" t="s">
        <v>74</v>
      </c>
      <c r="AX2006" t="s">
        <v>74</v>
      </c>
      <c r="AY2006" t="s">
        <v>74</v>
      </c>
      <c r="AZ2006" t="s">
        <v>74</v>
      </c>
      <c r="BA2006" t="s">
        <v>74</v>
      </c>
      <c r="BB2006" t="s">
        <v>74</v>
      </c>
      <c r="BC2006" t="s">
        <v>74</v>
      </c>
      <c r="BD2006" t="s">
        <v>74</v>
      </c>
      <c r="BE2006" t="s">
        <v>34270</v>
      </c>
      <c r="BF2006" t="str">
        <f>HYPERLINK("http://dx.doi.org/10.1007/s11217-024-09939-2","http://dx.doi.org/10.1007/s11217-024-09939-2")</f>
        <v>http://dx.doi.org/10.1007/s11217-024-09939-2</v>
      </c>
      <c r="BG2006" t="s">
        <v>74</v>
      </c>
      <c r="BH2006" t="s">
        <v>500</v>
      </c>
      <c r="BI2006">
        <v>18</v>
      </c>
      <c r="BJ2006" t="s">
        <v>34271</v>
      </c>
      <c r="BK2006" t="s">
        <v>2125</v>
      </c>
      <c r="BL2006" t="s">
        <v>34271</v>
      </c>
      <c r="BM2006" t="s">
        <v>34272</v>
      </c>
      <c r="BN2006" t="s">
        <v>74</v>
      </c>
      <c r="BO2006" t="s">
        <v>156</v>
      </c>
      <c r="BP2006" t="s">
        <v>74</v>
      </c>
      <c r="BQ2006" t="s">
        <v>74</v>
      </c>
      <c r="BR2006" t="s">
        <v>102</v>
      </c>
      <c r="BS2006" t="s">
        <v>34273</v>
      </c>
      <c r="BT2006" t="str">
        <f>HYPERLINK("https%3A%2F%2Fwww.webofscience.com%2Fwos%2Fwoscc%2Ffull-record%2FWOS:001250259000001","View Full Record in Web of Science")</f>
        <v>View Full Record in Web of Science</v>
      </c>
    </row>
    <row r="2007" spans="1:72" x14ac:dyDescent="0.35">
      <c r="A2007" t="s">
        <v>128</v>
      </c>
      <c r="B2007" t="s">
        <v>34274</v>
      </c>
      <c r="C2007" t="s">
        <v>74</v>
      </c>
      <c r="D2007" t="s">
        <v>34275</v>
      </c>
      <c r="E2007" t="s">
        <v>74</v>
      </c>
      <c r="F2007" t="s">
        <v>34276</v>
      </c>
      <c r="G2007" t="s">
        <v>74</v>
      </c>
      <c r="H2007" t="s">
        <v>74</v>
      </c>
      <c r="I2007" t="s">
        <v>34277</v>
      </c>
      <c r="J2007" t="s">
        <v>34278</v>
      </c>
      <c r="K2007" t="s">
        <v>34279</v>
      </c>
      <c r="L2007" t="s">
        <v>74</v>
      </c>
      <c r="M2007" t="s">
        <v>3503</v>
      </c>
      <c r="N2007" t="s">
        <v>135</v>
      </c>
      <c r="O2007" t="s">
        <v>34280</v>
      </c>
      <c r="P2007" t="s">
        <v>34281</v>
      </c>
      <c r="Q2007" t="s">
        <v>31507</v>
      </c>
      <c r="R2007" t="s">
        <v>34282</v>
      </c>
      <c r="S2007" t="s">
        <v>74</v>
      </c>
      <c r="T2007" t="s">
        <v>34283</v>
      </c>
      <c r="U2007" t="s">
        <v>74</v>
      </c>
      <c r="V2007" t="s">
        <v>34284</v>
      </c>
      <c r="W2007" t="s">
        <v>34285</v>
      </c>
      <c r="X2007" t="s">
        <v>34286</v>
      </c>
      <c r="Y2007" t="s">
        <v>34287</v>
      </c>
      <c r="Z2007" t="s">
        <v>34288</v>
      </c>
      <c r="AA2007" t="s">
        <v>34289</v>
      </c>
      <c r="AB2007" t="s">
        <v>74</v>
      </c>
      <c r="AC2007" t="s">
        <v>74</v>
      </c>
      <c r="AD2007" t="s">
        <v>74</v>
      </c>
      <c r="AE2007" t="s">
        <v>74</v>
      </c>
      <c r="AF2007" t="s">
        <v>74</v>
      </c>
      <c r="AG2007">
        <v>8</v>
      </c>
      <c r="AH2007">
        <v>0</v>
      </c>
      <c r="AI2007">
        <v>0</v>
      </c>
      <c r="AJ2007">
        <v>0</v>
      </c>
      <c r="AK2007">
        <v>1</v>
      </c>
      <c r="AL2007" t="s">
        <v>1677</v>
      </c>
      <c r="AM2007" t="s">
        <v>666</v>
      </c>
      <c r="AN2007" t="s">
        <v>1692</v>
      </c>
      <c r="AO2007" t="s">
        <v>34290</v>
      </c>
      <c r="AP2007" t="s">
        <v>74</v>
      </c>
      <c r="AQ2007" t="s">
        <v>34291</v>
      </c>
      <c r="AR2007" t="s">
        <v>34292</v>
      </c>
      <c r="AS2007" t="s">
        <v>74</v>
      </c>
      <c r="AT2007" t="s">
        <v>74</v>
      </c>
      <c r="AU2007">
        <v>2022</v>
      </c>
      <c r="AV2007" t="s">
        <v>74</v>
      </c>
      <c r="AW2007" t="s">
        <v>74</v>
      </c>
      <c r="AX2007" t="s">
        <v>74</v>
      </c>
      <c r="AY2007" t="s">
        <v>74</v>
      </c>
      <c r="AZ2007" t="s">
        <v>74</v>
      </c>
      <c r="BA2007" t="s">
        <v>74</v>
      </c>
      <c r="BB2007" t="s">
        <v>74</v>
      </c>
      <c r="BC2007" t="s">
        <v>74</v>
      </c>
      <c r="BD2007" t="s">
        <v>74</v>
      </c>
      <c r="BE2007" t="s">
        <v>74</v>
      </c>
      <c r="BF2007" t="s">
        <v>74</v>
      </c>
      <c r="BG2007" t="s">
        <v>74</v>
      </c>
      <c r="BH2007" t="s">
        <v>74</v>
      </c>
      <c r="BI2007">
        <v>5</v>
      </c>
      <c r="BJ2007" t="s">
        <v>5789</v>
      </c>
      <c r="BK2007" t="s">
        <v>723</v>
      </c>
      <c r="BL2007" t="s">
        <v>210</v>
      </c>
      <c r="BM2007" t="s">
        <v>34293</v>
      </c>
      <c r="BN2007" t="s">
        <v>74</v>
      </c>
      <c r="BO2007" t="s">
        <v>74</v>
      </c>
      <c r="BP2007" t="s">
        <v>74</v>
      </c>
      <c r="BQ2007" t="s">
        <v>74</v>
      </c>
      <c r="BR2007" t="s">
        <v>102</v>
      </c>
      <c r="BS2007" t="s">
        <v>34294</v>
      </c>
      <c r="BT2007" t="str">
        <f>HYPERLINK("https%3A%2F%2Fwww.webofscience.com%2Fwos%2Fwoscc%2Ffull-record%2FWOS:000848616300003","View Full Record in Web of Science")</f>
        <v>View Full Record in Web of Science</v>
      </c>
    </row>
    <row r="2008" spans="1:72" x14ac:dyDescent="0.35">
      <c r="A2008" t="s">
        <v>72</v>
      </c>
      <c r="B2008" t="s">
        <v>34295</v>
      </c>
      <c r="C2008" t="s">
        <v>74</v>
      </c>
      <c r="D2008" t="s">
        <v>74</v>
      </c>
      <c r="E2008" t="s">
        <v>74</v>
      </c>
      <c r="F2008" t="s">
        <v>34296</v>
      </c>
      <c r="G2008" t="s">
        <v>74</v>
      </c>
      <c r="H2008" t="s">
        <v>74</v>
      </c>
      <c r="I2008" t="s">
        <v>34297</v>
      </c>
      <c r="J2008" t="s">
        <v>32343</v>
      </c>
      <c r="K2008" t="s">
        <v>74</v>
      </c>
      <c r="L2008" t="s">
        <v>74</v>
      </c>
      <c r="M2008" t="s">
        <v>78</v>
      </c>
      <c r="N2008" t="s">
        <v>79</v>
      </c>
      <c r="O2008" t="s">
        <v>74</v>
      </c>
      <c r="P2008" t="s">
        <v>74</v>
      </c>
      <c r="Q2008" t="s">
        <v>74</v>
      </c>
      <c r="R2008" t="s">
        <v>74</v>
      </c>
      <c r="S2008" t="s">
        <v>74</v>
      </c>
      <c r="T2008" t="s">
        <v>34298</v>
      </c>
      <c r="U2008" t="s">
        <v>34299</v>
      </c>
      <c r="V2008" t="s">
        <v>34300</v>
      </c>
      <c r="W2008" t="s">
        <v>34301</v>
      </c>
      <c r="X2008" t="s">
        <v>34302</v>
      </c>
      <c r="Y2008" t="s">
        <v>34303</v>
      </c>
      <c r="Z2008" t="s">
        <v>34304</v>
      </c>
      <c r="AA2008" t="s">
        <v>34305</v>
      </c>
      <c r="AB2008" t="s">
        <v>74</v>
      </c>
      <c r="AC2008" t="s">
        <v>74</v>
      </c>
      <c r="AD2008" t="s">
        <v>74</v>
      </c>
      <c r="AE2008" t="s">
        <v>74</v>
      </c>
      <c r="AF2008" t="s">
        <v>74</v>
      </c>
      <c r="AG2008">
        <v>65</v>
      </c>
      <c r="AH2008">
        <v>4</v>
      </c>
      <c r="AI2008">
        <v>4</v>
      </c>
      <c r="AJ2008">
        <v>95</v>
      </c>
      <c r="AK2008">
        <v>95</v>
      </c>
      <c r="AL2008" t="s">
        <v>171</v>
      </c>
      <c r="AM2008" t="s">
        <v>172</v>
      </c>
      <c r="AN2008" t="s">
        <v>173</v>
      </c>
      <c r="AO2008" t="s">
        <v>32352</v>
      </c>
      <c r="AP2008" t="s">
        <v>32353</v>
      </c>
      <c r="AQ2008" t="s">
        <v>74</v>
      </c>
      <c r="AR2008" t="s">
        <v>32354</v>
      </c>
      <c r="AS2008" t="s">
        <v>32355</v>
      </c>
      <c r="AT2008" t="s">
        <v>34306</v>
      </c>
      <c r="AU2008">
        <v>2024</v>
      </c>
      <c r="AV2008" t="s">
        <v>74</v>
      </c>
      <c r="AW2008" t="s">
        <v>74</v>
      </c>
      <c r="AX2008" t="s">
        <v>74</v>
      </c>
      <c r="AY2008" t="s">
        <v>74</v>
      </c>
      <c r="AZ2008" t="s">
        <v>74</v>
      </c>
      <c r="BA2008" t="s">
        <v>74</v>
      </c>
      <c r="BB2008" t="s">
        <v>74</v>
      </c>
      <c r="BC2008" t="s">
        <v>74</v>
      </c>
      <c r="BD2008" t="s">
        <v>74</v>
      </c>
      <c r="BE2008" t="s">
        <v>34307</v>
      </c>
      <c r="BF2008" t="str">
        <f>HYPERLINK("http://dx.doi.org/10.1177/10591478231224938","http://dx.doi.org/10.1177/10591478231224938")</f>
        <v>http://dx.doi.org/10.1177/10591478231224938</v>
      </c>
      <c r="BG2008" t="s">
        <v>74</v>
      </c>
      <c r="BH2008" t="s">
        <v>123</v>
      </c>
      <c r="BI2008">
        <v>17</v>
      </c>
      <c r="BJ2008" t="s">
        <v>32358</v>
      </c>
      <c r="BK2008" t="s">
        <v>209</v>
      </c>
      <c r="BL2008" t="s">
        <v>32359</v>
      </c>
      <c r="BM2008" t="s">
        <v>34308</v>
      </c>
      <c r="BN2008" t="s">
        <v>74</v>
      </c>
      <c r="BO2008" t="s">
        <v>74</v>
      </c>
      <c r="BP2008" t="s">
        <v>74</v>
      </c>
      <c r="BQ2008" t="s">
        <v>74</v>
      </c>
      <c r="BR2008" t="s">
        <v>102</v>
      </c>
      <c r="BS2008" t="s">
        <v>34309</v>
      </c>
      <c r="BT2008" t="str">
        <f>HYPERLINK("https%3A%2F%2Fwww.webofscience.com%2Fwos%2Fwoscc%2Ffull-record%2FWOS:001224938500001","View Full Record in Web of Science")</f>
        <v>View Full Record in Web of Science</v>
      </c>
    </row>
    <row r="2009" spans="1:72" x14ac:dyDescent="0.35">
      <c r="A2009" t="s">
        <v>72</v>
      </c>
      <c r="B2009" t="s">
        <v>34310</v>
      </c>
      <c r="C2009" t="s">
        <v>74</v>
      </c>
      <c r="D2009" t="s">
        <v>74</v>
      </c>
      <c r="E2009" t="s">
        <v>74</v>
      </c>
      <c r="F2009" t="s">
        <v>34311</v>
      </c>
      <c r="G2009" t="s">
        <v>74</v>
      </c>
      <c r="H2009" t="s">
        <v>74</v>
      </c>
      <c r="I2009" t="s">
        <v>34312</v>
      </c>
      <c r="J2009" t="s">
        <v>3584</v>
      </c>
      <c r="K2009" t="s">
        <v>74</v>
      </c>
      <c r="L2009" t="s">
        <v>74</v>
      </c>
      <c r="M2009" t="s">
        <v>78</v>
      </c>
      <c r="N2009" t="s">
        <v>108</v>
      </c>
      <c r="O2009" t="s">
        <v>74</v>
      </c>
      <c r="P2009" t="s">
        <v>74</v>
      </c>
      <c r="Q2009" t="s">
        <v>74</v>
      </c>
      <c r="R2009" t="s">
        <v>74</v>
      </c>
      <c r="S2009" t="s">
        <v>74</v>
      </c>
      <c r="T2009" t="s">
        <v>34313</v>
      </c>
      <c r="U2009" t="s">
        <v>34314</v>
      </c>
      <c r="V2009" t="s">
        <v>34315</v>
      </c>
      <c r="W2009" t="s">
        <v>34316</v>
      </c>
      <c r="X2009" t="s">
        <v>34317</v>
      </c>
      <c r="Y2009" t="s">
        <v>34318</v>
      </c>
      <c r="Z2009" t="s">
        <v>34319</v>
      </c>
      <c r="AA2009" t="s">
        <v>34320</v>
      </c>
      <c r="AB2009" t="s">
        <v>34321</v>
      </c>
      <c r="AC2009" t="s">
        <v>74</v>
      </c>
      <c r="AD2009" t="s">
        <v>74</v>
      </c>
      <c r="AE2009" t="s">
        <v>74</v>
      </c>
      <c r="AF2009" t="s">
        <v>74</v>
      </c>
      <c r="AG2009">
        <v>93</v>
      </c>
      <c r="AH2009">
        <v>13</v>
      </c>
      <c r="AI2009">
        <v>13</v>
      </c>
      <c r="AJ2009">
        <v>22</v>
      </c>
      <c r="AK2009">
        <v>177</v>
      </c>
      <c r="AL2009" t="s">
        <v>1195</v>
      </c>
      <c r="AM2009" t="s">
        <v>1196</v>
      </c>
      <c r="AN2009" t="s">
        <v>1197</v>
      </c>
      <c r="AO2009" t="s">
        <v>74</v>
      </c>
      <c r="AP2009" t="s">
        <v>3594</v>
      </c>
      <c r="AQ2009" t="s">
        <v>74</v>
      </c>
      <c r="AR2009" t="s">
        <v>3595</v>
      </c>
      <c r="AS2009" t="s">
        <v>3596</v>
      </c>
      <c r="AT2009" t="s">
        <v>455</v>
      </c>
      <c r="AU2009">
        <v>2022</v>
      </c>
      <c r="AV2009">
        <v>14</v>
      </c>
      <c r="AW2009">
        <v>17</v>
      </c>
      <c r="AX2009" t="s">
        <v>74</v>
      </c>
      <c r="AY2009" t="s">
        <v>74</v>
      </c>
      <c r="AZ2009" t="s">
        <v>74</v>
      </c>
      <c r="BA2009" t="s">
        <v>74</v>
      </c>
      <c r="BB2009" t="s">
        <v>74</v>
      </c>
      <c r="BC2009" t="s">
        <v>74</v>
      </c>
      <c r="BD2009">
        <v>10890</v>
      </c>
      <c r="BE2009" t="s">
        <v>34322</v>
      </c>
      <c r="BF2009" t="str">
        <f>HYPERLINK("http://dx.doi.org/10.3390/su141710890","http://dx.doi.org/10.3390/su141710890")</f>
        <v>http://dx.doi.org/10.3390/su141710890</v>
      </c>
      <c r="BG2009" t="s">
        <v>74</v>
      </c>
      <c r="BH2009" t="s">
        <v>74</v>
      </c>
      <c r="BI2009">
        <v>19</v>
      </c>
      <c r="BJ2009" t="s">
        <v>3598</v>
      </c>
      <c r="BK2009" t="s">
        <v>182</v>
      </c>
      <c r="BL2009" t="s">
        <v>3599</v>
      </c>
      <c r="BM2009" t="s">
        <v>34323</v>
      </c>
      <c r="BN2009" t="s">
        <v>74</v>
      </c>
      <c r="BO2009" t="s">
        <v>235</v>
      </c>
      <c r="BP2009" t="s">
        <v>74</v>
      </c>
      <c r="BQ2009" t="s">
        <v>74</v>
      </c>
      <c r="BR2009" t="s">
        <v>102</v>
      </c>
      <c r="BS2009" t="s">
        <v>34324</v>
      </c>
      <c r="BT2009" t="str">
        <f>HYPERLINK("https%3A%2F%2Fwww.webofscience.com%2Fwos%2Fwoscc%2Ffull-record%2FWOS:000851702100001","View Full Record in Web of Science")</f>
        <v>View Full Record in Web of Science</v>
      </c>
    </row>
    <row r="2010" spans="1:72" x14ac:dyDescent="0.35">
      <c r="A2010" t="s">
        <v>128</v>
      </c>
      <c r="B2010" t="s">
        <v>34325</v>
      </c>
      <c r="C2010" t="s">
        <v>74</v>
      </c>
      <c r="D2010" t="s">
        <v>34326</v>
      </c>
      <c r="E2010" t="s">
        <v>74</v>
      </c>
      <c r="F2010" t="s">
        <v>34327</v>
      </c>
      <c r="G2010" t="s">
        <v>74</v>
      </c>
      <c r="H2010" t="s">
        <v>74</v>
      </c>
      <c r="I2010" t="s">
        <v>34328</v>
      </c>
      <c r="J2010" t="s">
        <v>34329</v>
      </c>
      <c r="K2010" t="s">
        <v>8364</v>
      </c>
      <c r="L2010" t="s">
        <v>74</v>
      </c>
      <c r="M2010" t="s">
        <v>78</v>
      </c>
      <c r="N2010" t="s">
        <v>135</v>
      </c>
      <c r="O2010" t="s">
        <v>34330</v>
      </c>
      <c r="P2010" t="s">
        <v>34331</v>
      </c>
      <c r="Q2010" t="s">
        <v>138</v>
      </c>
      <c r="R2010" t="s">
        <v>34332</v>
      </c>
      <c r="S2010" t="s">
        <v>74</v>
      </c>
      <c r="T2010" t="s">
        <v>34333</v>
      </c>
      <c r="U2010" t="s">
        <v>74</v>
      </c>
      <c r="V2010" t="s">
        <v>34334</v>
      </c>
      <c r="W2010" t="s">
        <v>34335</v>
      </c>
      <c r="X2010" t="s">
        <v>34336</v>
      </c>
      <c r="Y2010" t="s">
        <v>34337</v>
      </c>
      <c r="Z2010" t="s">
        <v>34338</v>
      </c>
      <c r="AA2010" t="s">
        <v>34339</v>
      </c>
      <c r="AB2010" t="s">
        <v>34340</v>
      </c>
      <c r="AC2010" t="s">
        <v>74</v>
      </c>
      <c r="AD2010" t="s">
        <v>74</v>
      </c>
      <c r="AE2010" t="s">
        <v>74</v>
      </c>
      <c r="AF2010" t="s">
        <v>74</v>
      </c>
      <c r="AG2010">
        <v>36</v>
      </c>
      <c r="AH2010">
        <v>1</v>
      </c>
      <c r="AI2010">
        <v>1</v>
      </c>
      <c r="AJ2010">
        <v>1</v>
      </c>
      <c r="AK2010">
        <v>4</v>
      </c>
      <c r="AL2010" t="s">
        <v>639</v>
      </c>
      <c r="AM2010" t="s">
        <v>640</v>
      </c>
      <c r="AN2010" t="s">
        <v>641</v>
      </c>
      <c r="AO2010" t="s">
        <v>8380</v>
      </c>
      <c r="AP2010" t="s">
        <v>8381</v>
      </c>
      <c r="AQ2010" t="s">
        <v>34341</v>
      </c>
      <c r="AR2010" t="s">
        <v>8383</v>
      </c>
      <c r="AS2010" t="s">
        <v>74</v>
      </c>
      <c r="AT2010" t="s">
        <v>74</v>
      </c>
      <c r="AU2010">
        <v>2022</v>
      </c>
      <c r="AV2010">
        <v>13176</v>
      </c>
      <c r="AW2010" t="s">
        <v>74</v>
      </c>
      <c r="AX2010" t="s">
        <v>74</v>
      </c>
      <c r="AY2010" t="s">
        <v>74</v>
      </c>
      <c r="AZ2010" t="s">
        <v>74</v>
      </c>
      <c r="BA2010" t="s">
        <v>74</v>
      </c>
      <c r="BB2010">
        <v>24</v>
      </c>
      <c r="BC2010">
        <v>42</v>
      </c>
      <c r="BD2010" t="s">
        <v>74</v>
      </c>
      <c r="BE2010" t="s">
        <v>34342</v>
      </c>
      <c r="BF2010" t="str">
        <f>HYPERLINK("http://dx.doi.org/10.1007/978-3-031-10183-0_2","http://dx.doi.org/10.1007/978-3-031-10183-0_2")</f>
        <v>http://dx.doi.org/10.1007/978-3-031-10183-0_2</v>
      </c>
      <c r="BG2010" t="s">
        <v>74</v>
      </c>
      <c r="BH2010" t="s">
        <v>74</v>
      </c>
      <c r="BI2010">
        <v>19</v>
      </c>
      <c r="BJ2010" t="s">
        <v>34343</v>
      </c>
      <c r="BK2010" t="s">
        <v>648</v>
      </c>
      <c r="BL2010" t="s">
        <v>16308</v>
      </c>
      <c r="BM2010" t="s">
        <v>34344</v>
      </c>
      <c r="BN2010" t="s">
        <v>74</v>
      </c>
      <c r="BO2010" t="s">
        <v>74</v>
      </c>
      <c r="BP2010" t="s">
        <v>74</v>
      </c>
      <c r="BQ2010" t="s">
        <v>74</v>
      </c>
      <c r="BR2010" t="s">
        <v>102</v>
      </c>
      <c r="BS2010" t="s">
        <v>34345</v>
      </c>
      <c r="BT2010" t="str">
        <f>HYPERLINK("https%3A%2F%2Fwww.webofscience.com%2Fwos%2Fwoscc%2Ffull-record%2FWOS:000917659900002","View Full Record in Web of Science")</f>
        <v>View Full Record in Web of Science</v>
      </c>
    </row>
    <row r="2011" spans="1:72" x14ac:dyDescent="0.35">
      <c r="A2011" t="s">
        <v>72</v>
      </c>
      <c r="B2011" t="s">
        <v>34346</v>
      </c>
      <c r="C2011" t="s">
        <v>74</v>
      </c>
      <c r="D2011" t="s">
        <v>74</v>
      </c>
      <c r="E2011" t="s">
        <v>74</v>
      </c>
      <c r="F2011" t="s">
        <v>34346</v>
      </c>
      <c r="G2011" t="s">
        <v>74</v>
      </c>
      <c r="H2011" t="s">
        <v>74</v>
      </c>
      <c r="I2011" t="s">
        <v>34347</v>
      </c>
      <c r="J2011" t="s">
        <v>34348</v>
      </c>
      <c r="K2011" t="s">
        <v>74</v>
      </c>
      <c r="L2011" t="s">
        <v>74</v>
      </c>
      <c r="M2011" t="s">
        <v>78</v>
      </c>
      <c r="N2011" t="s">
        <v>108</v>
      </c>
      <c r="O2011" t="s">
        <v>74</v>
      </c>
      <c r="P2011" t="s">
        <v>74</v>
      </c>
      <c r="Q2011" t="s">
        <v>74</v>
      </c>
      <c r="R2011" t="s">
        <v>74</v>
      </c>
      <c r="S2011" t="s">
        <v>74</v>
      </c>
      <c r="T2011" t="s">
        <v>34349</v>
      </c>
      <c r="U2011" t="s">
        <v>74</v>
      </c>
      <c r="V2011" t="s">
        <v>34350</v>
      </c>
      <c r="W2011" t="s">
        <v>34351</v>
      </c>
      <c r="X2011" t="s">
        <v>74</v>
      </c>
      <c r="Y2011" t="s">
        <v>34352</v>
      </c>
      <c r="Z2011" t="s">
        <v>34353</v>
      </c>
      <c r="AA2011" t="s">
        <v>74</v>
      </c>
      <c r="AB2011" t="s">
        <v>74</v>
      </c>
      <c r="AC2011" t="s">
        <v>74</v>
      </c>
      <c r="AD2011" t="s">
        <v>74</v>
      </c>
      <c r="AE2011" t="s">
        <v>74</v>
      </c>
      <c r="AF2011" t="s">
        <v>74</v>
      </c>
      <c r="AG2011">
        <v>70</v>
      </c>
      <c r="AH2011">
        <v>0</v>
      </c>
      <c r="AI2011">
        <v>0</v>
      </c>
      <c r="AJ2011">
        <v>1</v>
      </c>
      <c r="AK2011">
        <v>7</v>
      </c>
      <c r="AL2011" t="s">
        <v>34354</v>
      </c>
      <c r="AM2011" t="s">
        <v>5859</v>
      </c>
      <c r="AN2011" t="s">
        <v>34355</v>
      </c>
      <c r="AO2011" t="s">
        <v>34356</v>
      </c>
      <c r="AP2011" t="s">
        <v>74</v>
      </c>
      <c r="AQ2011" t="s">
        <v>74</v>
      </c>
      <c r="AR2011" t="s">
        <v>34357</v>
      </c>
      <c r="AS2011" t="s">
        <v>34358</v>
      </c>
      <c r="AT2011" t="s">
        <v>74</v>
      </c>
      <c r="AU2011">
        <v>2022</v>
      </c>
      <c r="AV2011">
        <v>12</v>
      </c>
      <c r="AW2011">
        <v>2</v>
      </c>
      <c r="AX2011" t="s">
        <v>74</v>
      </c>
      <c r="AY2011" t="s">
        <v>74</v>
      </c>
      <c r="AZ2011" t="s">
        <v>74</v>
      </c>
      <c r="BA2011" t="s">
        <v>74</v>
      </c>
      <c r="BB2011">
        <v>123</v>
      </c>
      <c r="BC2011">
        <v>132</v>
      </c>
      <c r="BD2011" t="s">
        <v>74</v>
      </c>
      <c r="BE2011" t="s">
        <v>34359</v>
      </c>
      <c r="BF2011" t="str">
        <f>HYPERLINK("http://dx.doi.org/10.47750/pegegog.12.02.12","http://dx.doi.org/10.47750/pegegog.12.02.12")</f>
        <v>http://dx.doi.org/10.47750/pegegog.12.02.12</v>
      </c>
      <c r="BG2011" t="s">
        <v>74</v>
      </c>
      <c r="BH2011" t="s">
        <v>74</v>
      </c>
      <c r="BI2011">
        <v>10</v>
      </c>
      <c r="BJ2011" t="s">
        <v>787</v>
      </c>
      <c r="BK2011" t="s">
        <v>125</v>
      </c>
      <c r="BL2011" t="s">
        <v>787</v>
      </c>
      <c r="BM2011" t="s">
        <v>34360</v>
      </c>
      <c r="BN2011" t="s">
        <v>74</v>
      </c>
      <c r="BO2011" t="s">
        <v>156</v>
      </c>
      <c r="BP2011" t="s">
        <v>74</v>
      </c>
      <c r="BQ2011" t="s">
        <v>74</v>
      </c>
      <c r="BR2011" t="s">
        <v>102</v>
      </c>
      <c r="BS2011" t="s">
        <v>34361</v>
      </c>
      <c r="BT2011" t="str">
        <f>HYPERLINK("https%3A%2F%2Fwww.webofscience.com%2Fwos%2Fwoscc%2Ffull-record%2FWOS:000817969800012","View Full Record in Web of Science")</f>
        <v>View Full Record in Web of Science</v>
      </c>
    </row>
    <row r="2012" spans="1:72" x14ac:dyDescent="0.35">
      <c r="A2012" t="s">
        <v>72</v>
      </c>
      <c r="B2012" t="s">
        <v>34362</v>
      </c>
      <c r="C2012" t="s">
        <v>74</v>
      </c>
      <c r="D2012" t="s">
        <v>74</v>
      </c>
      <c r="E2012" t="s">
        <v>74</v>
      </c>
      <c r="F2012" t="s">
        <v>34363</v>
      </c>
      <c r="G2012" t="s">
        <v>74</v>
      </c>
      <c r="H2012" t="s">
        <v>74</v>
      </c>
      <c r="I2012" t="s">
        <v>34364</v>
      </c>
      <c r="J2012" t="s">
        <v>280</v>
      </c>
      <c r="K2012" t="s">
        <v>74</v>
      </c>
      <c r="L2012" t="s">
        <v>74</v>
      </c>
      <c r="M2012" t="s">
        <v>78</v>
      </c>
      <c r="N2012" t="s">
        <v>108</v>
      </c>
      <c r="O2012" t="s">
        <v>74</v>
      </c>
      <c r="P2012" t="s">
        <v>74</v>
      </c>
      <c r="Q2012" t="s">
        <v>74</v>
      </c>
      <c r="R2012" t="s">
        <v>74</v>
      </c>
      <c r="S2012" t="s">
        <v>74</v>
      </c>
      <c r="T2012" t="s">
        <v>34365</v>
      </c>
      <c r="U2012" t="s">
        <v>34366</v>
      </c>
      <c r="V2012" t="s">
        <v>34367</v>
      </c>
      <c r="W2012" t="s">
        <v>34368</v>
      </c>
      <c r="X2012" t="s">
        <v>34369</v>
      </c>
      <c r="Y2012" t="s">
        <v>34370</v>
      </c>
      <c r="Z2012" t="s">
        <v>74</v>
      </c>
      <c r="AA2012" t="s">
        <v>74</v>
      </c>
      <c r="AB2012" t="s">
        <v>74</v>
      </c>
      <c r="AC2012" t="s">
        <v>34371</v>
      </c>
      <c r="AD2012" t="s">
        <v>4847</v>
      </c>
      <c r="AE2012" t="s">
        <v>34372</v>
      </c>
      <c r="AF2012" t="s">
        <v>74</v>
      </c>
      <c r="AG2012">
        <v>82</v>
      </c>
      <c r="AH2012">
        <v>0</v>
      </c>
      <c r="AI2012">
        <v>0</v>
      </c>
      <c r="AJ2012">
        <v>0</v>
      </c>
      <c r="AK2012">
        <v>0</v>
      </c>
      <c r="AL2012" t="s">
        <v>290</v>
      </c>
      <c r="AM2012" t="s">
        <v>291</v>
      </c>
      <c r="AN2012" t="s">
        <v>292</v>
      </c>
      <c r="AO2012" t="s">
        <v>293</v>
      </c>
      <c r="AP2012" t="s">
        <v>294</v>
      </c>
      <c r="AQ2012" t="s">
        <v>74</v>
      </c>
      <c r="AR2012" t="s">
        <v>295</v>
      </c>
      <c r="AS2012" t="s">
        <v>296</v>
      </c>
      <c r="AT2012" t="s">
        <v>523</v>
      </c>
      <c r="AU2012">
        <v>2024</v>
      </c>
      <c r="AV2012">
        <v>160</v>
      </c>
      <c r="AW2012" t="s">
        <v>74</v>
      </c>
      <c r="AX2012" t="s">
        <v>74</v>
      </c>
      <c r="AY2012" t="s">
        <v>74</v>
      </c>
      <c r="AZ2012" t="s">
        <v>74</v>
      </c>
      <c r="BA2012" t="s">
        <v>74</v>
      </c>
      <c r="BB2012" t="s">
        <v>74</v>
      </c>
      <c r="BC2012" t="s">
        <v>74</v>
      </c>
      <c r="BD2012">
        <v>108357</v>
      </c>
      <c r="BE2012" t="s">
        <v>34373</v>
      </c>
      <c r="BF2012" t="str">
        <f>HYPERLINK("http://dx.doi.org/10.1016/j.chb.2024.108357","http://dx.doi.org/10.1016/j.chb.2024.108357")</f>
        <v>http://dx.doi.org/10.1016/j.chb.2024.108357</v>
      </c>
      <c r="BG2012" t="s">
        <v>74</v>
      </c>
      <c r="BH2012" t="s">
        <v>74</v>
      </c>
      <c r="BI2012">
        <v>14</v>
      </c>
      <c r="BJ2012" t="s">
        <v>300</v>
      </c>
      <c r="BK2012" t="s">
        <v>99</v>
      </c>
      <c r="BL2012" t="s">
        <v>301</v>
      </c>
      <c r="BM2012" t="s">
        <v>34374</v>
      </c>
      <c r="BN2012" t="s">
        <v>74</v>
      </c>
      <c r="BO2012" t="s">
        <v>74</v>
      </c>
      <c r="BP2012" t="s">
        <v>74</v>
      </c>
      <c r="BQ2012" t="s">
        <v>74</v>
      </c>
      <c r="BR2012" t="s">
        <v>102</v>
      </c>
      <c r="BS2012" t="s">
        <v>34375</v>
      </c>
      <c r="BT2012" t="str">
        <f>HYPERLINK("https%3A%2F%2Fwww.webofscience.com%2Fwos%2Fwoscc%2Ffull-record%2FWOS:001353692000001","View Full Record in Web of Science")</f>
        <v>View Full Record in Web of Science</v>
      </c>
    </row>
    <row r="2013" spans="1:72" x14ac:dyDescent="0.35">
      <c r="A2013" t="s">
        <v>72</v>
      </c>
      <c r="B2013" t="s">
        <v>34376</v>
      </c>
      <c r="C2013" t="s">
        <v>74</v>
      </c>
      <c r="D2013" t="s">
        <v>74</v>
      </c>
      <c r="E2013" t="s">
        <v>74</v>
      </c>
      <c r="F2013" t="s">
        <v>34377</v>
      </c>
      <c r="G2013" t="s">
        <v>74</v>
      </c>
      <c r="H2013" t="s">
        <v>74</v>
      </c>
      <c r="I2013" t="s">
        <v>34378</v>
      </c>
      <c r="J2013" t="s">
        <v>34379</v>
      </c>
      <c r="K2013" t="s">
        <v>74</v>
      </c>
      <c r="L2013" t="s">
        <v>74</v>
      </c>
      <c r="M2013" t="s">
        <v>78</v>
      </c>
      <c r="N2013" t="s">
        <v>108</v>
      </c>
      <c r="O2013" t="s">
        <v>74</v>
      </c>
      <c r="P2013" t="s">
        <v>74</v>
      </c>
      <c r="Q2013" t="s">
        <v>74</v>
      </c>
      <c r="R2013" t="s">
        <v>74</v>
      </c>
      <c r="S2013" t="s">
        <v>74</v>
      </c>
      <c r="T2013" t="s">
        <v>34380</v>
      </c>
      <c r="U2013" t="s">
        <v>34381</v>
      </c>
      <c r="V2013" t="s">
        <v>34382</v>
      </c>
      <c r="W2013" t="s">
        <v>34383</v>
      </c>
      <c r="X2013" t="s">
        <v>34384</v>
      </c>
      <c r="Y2013" t="s">
        <v>34385</v>
      </c>
      <c r="Z2013" t="s">
        <v>34386</v>
      </c>
      <c r="AA2013" t="s">
        <v>34387</v>
      </c>
      <c r="AB2013" t="s">
        <v>34388</v>
      </c>
      <c r="AC2013" t="s">
        <v>34389</v>
      </c>
      <c r="AD2013" t="s">
        <v>34390</v>
      </c>
      <c r="AE2013" t="s">
        <v>34391</v>
      </c>
      <c r="AF2013" t="s">
        <v>74</v>
      </c>
      <c r="AG2013">
        <v>41</v>
      </c>
      <c r="AH2013">
        <v>0</v>
      </c>
      <c r="AI2013">
        <v>0</v>
      </c>
      <c r="AJ2013">
        <v>25</v>
      </c>
      <c r="AK2013">
        <v>79</v>
      </c>
      <c r="AL2013" t="s">
        <v>226</v>
      </c>
      <c r="AM2013" t="s">
        <v>227</v>
      </c>
      <c r="AN2013" t="s">
        <v>228</v>
      </c>
      <c r="AO2013" t="s">
        <v>34392</v>
      </c>
      <c r="AP2013" t="s">
        <v>34393</v>
      </c>
      <c r="AQ2013" t="s">
        <v>74</v>
      </c>
      <c r="AR2013" t="s">
        <v>34394</v>
      </c>
      <c r="AS2013" t="s">
        <v>34395</v>
      </c>
      <c r="AT2013" t="s">
        <v>1484</v>
      </c>
      <c r="AU2013">
        <v>2024</v>
      </c>
      <c r="AV2013">
        <v>51</v>
      </c>
      <c r="AW2013">
        <v>3</v>
      </c>
      <c r="AX2013" t="s">
        <v>74</v>
      </c>
      <c r="AY2013" t="s">
        <v>74</v>
      </c>
      <c r="AZ2013" t="s">
        <v>74</v>
      </c>
      <c r="BA2013" t="s">
        <v>74</v>
      </c>
      <c r="BB2013">
        <v>689</v>
      </c>
      <c r="BC2013">
        <v>704</v>
      </c>
      <c r="BD2013" t="s">
        <v>74</v>
      </c>
      <c r="BE2013" t="s">
        <v>34396</v>
      </c>
      <c r="BF2013" t="str">
        <f>HYPERLINK("http://dx.doi.org/10.1177/23998083231193236","http://dx.doi.org/10.1177/23998083231193236")</f>
        <v>http://dx.doi.org/10.1177/23998083231193236</v>
      </c>
      <c r="BG2013" t="s">
        <v>74</v>
      </c>
      <c r="BH2013" t="s">
        <v>3138</v>
      </c>
      <c r="BI2013">
        <v>16</v>
      </c>
      <c r="BJ2013" t="s">
        <v>34397</v>
      </c>
      <c r="BK2013" t="s">
        <v>99</v>
      </c>
      <c r="BL2013" t="s">
        <v>34398</v>
      </c>
      <c r="BM2013" t="s">
        <v>34399</v>
      </c>
      <c r="BN2013" t="s">
        <v>74</v>
      </c>
      <c r="BO2013" t="s">
        <v>74</v>
      </c>
      <c r="BP2013" t="s">
        <v>74</v>
      </c>
      <c r="BQ2013" t="s">
        <v>74</v>
      </c>
      <c r="BR2013" t="s">
        <v>102</v>
      </c>
      <c r="BS2013" t="s">
        <v>34400</v>
      </c>
      <c r="BT2013" t="str">
        <f>HYPERLINK("https%3A%2F%2Fwww.webofscience.com%2Fwos%2Fwoscc%2Ffull-record%2FWOS:001044121800001","View Full Record in Web of Science")</f>
        <v>View Full Record in Web of Science</v>
      </c>
    </row>
    <row r="2014" spans="1:72" x14ac:dyDescent="0.35">
      <c r="A2014" t="s">
        <v>72</v>
      </c>
      <c r="B2014" t="s">
        <v>34401</v>
      </c>
      <c r="C2014" t="s">
        <v>74</v>
      </c>
      <c r="D2014" t="s">
        <v>74</v>
      </c>
      <c r="E2014" t="s">
        <v>74</v>
      </c>
      <c r="F2014" t="s">
        <v>34402</v>
      </c>
      <c r="G2014" t="s">
        <v>74</v>
      </c>
      <c r="H2014" t="s">
        <v>74</v>
      </c>
      <c r="I2014" t="s">
        <v>34403</v>
      </c>
      <c r="J2014" t="s">
        <v>34404</v>
      </c>
      <c r="K2014" t="s">
        <v>74</v>
      </c>
      <c r="L2014" t="s">
        <v>74</v>
      </c>
      <c r="M2014" t="s">
        <v>78</v>
      </c>
      <c r="N2014" t="s">
        <v>108</v>
      </c>
      <c r="O2014" t="s">
        <v>74</v>
      </c>
      <c r="P2014" t="s">
        <v>74</v>
      </c>
      <c r="Q2014" t="s">
        <v>74</v>
      </c>
      <c r="R2014" t="s">
        <v>74</v>
      </c>
      <c r="S2014" t="s">
        <v>74</v>
      </c>
      <c r="T2014" t="s">
        <v>34405</v>
      </c>
      <c r="U2014" t="s">
        <v>34406</v>
      </c>
      <c r="V2014" t="s">
        <v>34407</v>
      </c>
      <c r="W2014" t="s">
        <v>34408</v>
      </c>
      <c r="X2014" t="s">
        <v>34409</v>
      </c>
      <c r="Y2014" t="s">
        <v>34410</v>
      </c>
      <c r="Z2014" t="s">
        <v>34411</v>
      </c>
      <c r="AA2014" t="s">
        <v>74</v>
      </c>
      <c r="AB2014" t="s">
        <v>34412</v>
      </c>
      <c r="AC2014" t="s">
        <v>34413</v>
      </c>
      <c r="AD2014" t="s">
        <v>34414</v>
      </c>
      <c r="AE2014" t="s">
        <v>34415</v>
      </c>
      <c r="AF2014" t="s">
        <v>74</v>
      </c>
      <c r="AG2014">
        <v>20</v>
      </c>
      <c r="AH2014">
        <v>3</v>
      </c>
      <c r="AI2014">
        <v>3</v>
      </c>
      <c r="AJ2014">
        <v>8</v>
      </c>
      <c r="AK2014">
        <v>60</v>
      </c>
      <c r="AL2014" t="s">
        <v>251</v>
      </c>
      <c r="AM2014" t="s">
        <v>252</v>
      </c>
      <c r="AN2014" t="s">
        <v>253</v>
      </c>
      <c r="AO2014" t="s">
        <v>34416</v>
      </c>
      <c r="AP2014" t="s">
        <v>34417</v>
      </c>
      <c r="AQ2014" t="s">
        <v>74</v>
      </c>
      <c r="AR2014" t="s">
        <v>34418</v>
      </c>
      <c r="AS2014" t="s">
        <v>34419</v>
      </c>
      <c r="AT2014" t="s">
        <v>257</v>
      </c>
      <c r="AU2014">
        <v>2023</v>
      </c>
      <c r="AV2014">
        <v>26</v>
      </c>
      <c r="AW2014">
        <v>3</v>
      </c>
      <c r="AX2014" t="s">
        <v>74</v>
      </c>
      <c r="AY2014" t="s">
        <v>74</v>
      </c>
      <c r="AZ2014" t="s">
        <v>74</v>
      </c>
      <c r="BA2014" t="s">
        <v>74</v>
      </c>
      <c r="BB2014">
        <v>1221</v>
      </c>
      <c r="BC2014">
        <v>1226</v>
      </c>
      <c r="BD2014" t="s">
        <v>74</v>
      </c>
      <c r="BE2014" t="s">
        <v>34420</v>
      </c>
      <c r="BF2014" t="str">
        <f>HYPERLINK("http://dx.doi.org/10.1111/hex.13737","http://dx.doi.org/10.1111/hex.13737")</f>
        <v>http://dx.doi.org/10.1111/hex.13737</v>
      </c>
      <c r="BG2014" t="s">
        <v>74</v>
      </c>
      <c r="BH2014" t="s">
        <v>6895</v>
      </c>
      <c r="BI2014">
        <v>6</v>
      </c>
      <c r="BJ2014" t="s">
        <v>34421</v>
      </c>
      <c r="BK2014" t="s">
        <v>182</v>
      </c>
      <c r="BL2014" t="s">
        <v>4129</v>
      </c>
      <c r="BM2014" t="s">
        <v>34422</v>
      </c>
      <c r="BN2014">
        <v>36807969</v>
      </c>
      <c r="BO2014" t="s">
        <v>552</v>
      </c>
      <c r="BP2014" t="s">
        <v>74</v>
      </c>
      <c r="BQ2014" t="s">
        <v>74</v>
      </c>
      <c r="BR2014" t="s">
        <v>102</v>
      </c>
      <c r="BS2014" t="s">
        <v>34423</v>
      </c>
      <c r="BT2014" t="str">
        <f>HYPERLINK("https%3A%2F%2Fwww.webofscience.com%2Fwos%2Fwoscc%2Ffull-record%2FWOS:000937618900001","View Full Record in Web of Science")</f>
        <v>View Full Record in Web of Science</v>
      </c>
    </row>
    <row r="2015" spans="1:72" x14ac:dyDescent="0.35">
      <c r="A2015" t="s">
        <v>72</v>
      </c>
      <c r="B2015" t="s">
        <v>34424</v>
      </c>
      <c r="C2015" t="s">
        <v>74</v>
      </c>
      <c r="D2015" t="s">
        <v>74</v>
      </c>
      <c r="E2015" t="s">
        <v>74</v>
      </c>
      <c r="F2015" t="s">
        <v>34425</v>
      </c>
      <c r="G2015" t="s">
        <v>74</v>
      </c>
      <c r="H2015" t="s">
        <v>74</v>
      </c>
      <c r="I2015" t="s">
        <v>34426</v>
      </c>
      <c r="J2015" t="s">
        <v>1119</v>
      </c>
      <c r="K2015" t="s">
        <v>74</v>
      </c>
      <c r="L2015" t="s">
        <v>74</v>
      </c>
      <c r="M2015" t="s">
        <v>78</v>
      </c>
      <c r="N2015" t="s">
        <v>79</v>
      </c>
      <c r="O2015" t="s">
        <v>74</v>
      </c>
      <c r="P2015" t="s">
        <v>74</v>
      </c>
      <c r="Q2015" t="s">
        <v>74</v>
      </c>
      <c r="R2015" t="s">
        <v>74</v>
      </c>
      <c r="S2015" t="s">
        <v>74</v>
      </c>
      <c r="T2015" t="s">
        <v>34427</v>
      </c>
      <c r="U2015" t="s">
        <v>34428</v>
      </c>
      <c r="V2015" t="s">
        <v>34429</v>
      </c>
      <c r="W2015" t="s">
        <v>34430</v>
      </c>
      <c r="X2015" t="s">
        <v>34431</v>
      </c>
      <c r="Y2015" t="s">
        <v>34432</v>
      </c>
      <c r="Z2015" t="s">
        <v>34433</v>
      </c>
      <c r="AA2015" t="s">
        <v>74</v>
      </c>
      <c r="AB2015" t="s">
        <v>34434</v>
      </c>
      <c r="AC2015" t="s">
        <v>34435</v>
      </c>
      <c r="AD2015" t="s">
        <v>34436</v>
      </c>
      <c r="AE2015" t="s">
        <v>34437</v>
      </c>
      <c r="AF2015" t="s">
        <v>74</v>
      </c>
      <c r="AG2015">
        <v>203</v>
      </c>
      <c r="AH2015">
        <v>0</v>
      </c>
      <c r="AI2015">
        <v>0</v>
      </c>
      <c r="AJ2015">
        <v>39</v>
      </c>
      <c r="AK2015">
        <v>39</v>
      </c>
      <c r="AL2015" t="s">
        <v>1129</v>
      </c>
      <c r="AM2015" t="s">
        <v>89</v>
      </c>
      <c r="AN2015" t="s">
        <v>1130</v>
      </c>
      <c r="AO2015" t="s">
        <v>1131</v>
      </c>
      <c r="AP2015" t="s">
        <v>1132</v>
      </c>
      <c r="AQ2015" t="s">
        <v>74</v>
      </c>
      <c r="AR2015" t="s">
        <v>1133</v>
      </c>
      <c r="AS2015" t="s">
        <v>1134</v>
      </c>
      <c r="AT2015" t="s">
        <v>34438</v>
      </c>
      <c r="AU2015">
        <v>2024</v>
      </c>
      <c r="AV2015" t="s">
        <v>74</v>
      </c>
      <c r="AW2015" t="s">
        <v>74</v>
      </c>
      <c r="AX2015" t="s">
        <v>74</v>
      </c>
      <c r="AY2015" t="s">
        <v>74</v>
      </c>
      <c r="AZ2015" t="s">
        <v>74</v>
      </c>
      <c r="BA2015" t="s">
        <v>74</v>
      </c>
      <c r="BB2015" t="s">
        <v>74</v>
      </c>
      <c r="BC2015" t="s">
        <v>74</v>
      </c>
      <c r="BD2015" t="s">
        <v>74</v>
      </c>
      <c r="BE2015" t="s">
        <v>34439</v>
      </c>
      <c r="BF2015" t="str">
        <f>HYPERLINK("http://dx.doi.org/10.1080/0144929X.2024.2361349","http://dx.doi.org/10.1080/0144929X.2024.2361349")</f>
        <v>http://dx.doi.org/10.1080/0144929X.2024.2361349</v>
      </c>
      <c r="BG2015" t="s">
        <v>74</v>
      </c>
      <c r="BH2015" t="s">
        <v>500</v>
      </c>
      <c r="BI2015">
        <v>28</v>
      </c>
      <c r="BJ2015" t="s">
        <v>1137</v>
      </c>
      <c r="BK2015" t="s">
        <v>182</v>
      </c>
      <c r="BL2015" t="s">
        <v>1113</v>
      </c>
      <c r="BM2015" t="s">
        <v>34440</v>
      </c>
      <c r="BN2015" t="s">
        <v>74</v>
      </c>
      <c r="BO2015" t="s">
        <v>74</v>
      </c>
      <c r="BP2015" t="s">
        <v>74</v>
      </c>
      <c r="BQ2015" t="s">
        <v>74</v>
      </c>
      <c r="BR2015" t="s">
        <v>102</v>
      </c>
      <c r="BS2015" t="s">
        <v>34441</v>
      </c>
      <c r="BT2015" t="str">
        <f>HYPERLINK("https%3A%2F%2Fwww.webofscience.com%2Fwos%2Fwoscc%2Ffull-record%2FWOS:001238145700001","View Full Record in Web of Science")</f>
        <v>View Full Record in Web of Science</v>
      </c>
    </row>
    <row r="2016" spans="1:72" x14ac:dyDescent="0.35">
      <c r="A2016" t="s">
        <v>72</v>
      </c>
      <c r="B2016" t="s">
        <v>34442</v>
      </c>
      <c r="C2016" t="s">
        <v>74</v>
      </c>
      <c r="D2016" t="s">
        <v>74</v>
      </c>
      <c r="E2016" t="s">
        <v>74</v>
      </c>
      <c r="F2016" t="s">
        <v>34443</v>
      </c>
      <c r="G2016" t="s">
        <v>74</v>
      </c>
      <c r="H2016" t="s">
        <v>74</v>
      </c>
      <c r="I2016" t="s">
        <v>34444</v>
      </c>
      <c r="J2016" t="s">
        <v>19602</v>
      </c>
      <c r="K2016" t="s">
        <v>74</v>
      </c>
      <c r="L2016" t="s">
        <v>74</v>
      </c>
      <c r="M2016" t="s">
        <v>78</v>
      </c>
      <c r="N2016" t="s">
        <v>108</v>
      </c>
      <c r="O2016" t="s">
        <v>74</v>
      </c>
      <c r="P2016" t="s">
        <v>74</v>
      </c>
      <c r="Q2016" t="s">
        <v>74</v>
      </c>
      <c r="R2016" t="s">
        <v>74</v>
      </c>
      <c r="S2016" t="s">
        <v>74</v>
      </c>
      <c r="T2016" t="s">
        <v>34445</v>
      </c>
      <c r="U2016" t="s">
        <v>34446</v>
      </c>
      <c r="V2016" t="s">
        <v>34447</v>
      </c>
      <c r="W2016" t="s">
        <v>34448</v>
      </c>
      <c r="X2016" t="s">
        <v>34449</v>
      </c>
      <c r="Y2016" t="s">
        <v>34450</v>
      </c>
      <c r="Z2016" t="s">
        <v>34451</v>
      </c>
      <c r="AA2016" t="s">
        <v>34452</v>
      </c>
      <c r="AB2016" t="s">
        <v>34453</v>
      </c>
      <c r="AC2016" t="s">
        <v>74</v>
      </c>
      <c r="AD2016" t="s">
        <v>74</v>
      </c>
      <c r="AE2016" t="s">
        <v>74</v>
      </c>
      <c r="AF2016" t="s">
        <v>74</v>
      </c>
      <c r="AG2016">
        <v>27</v>
      </c>
      <c r="AH2016">
        <v>0</v>
      </c>
      <c r="AI2016">
        <v>0</v>
      </c>
      <c r="AJ2016">
        <v>0</v>
      </c>
      <c r="AK2016">
        <v>4</v>
      </c>
      <c r="AL2016" t="s">
        <v>3489</v>
      </c>
      <c r="AM2016" t="s">
        <v>3490</v>
      </c>
      <c r="AN2016" t="s">
        <v>3491</v>
      </c>
      <c r="AO2016" t="s">
        <v>19615</v>
      </c>
      <c r="AP2016" t="s">
        <v>19616</v>
      </c>
      <c r="AQ2016" t="s">
        <v>74</v>
      </c>
      <c r="AR2016" t="s">
        <v>19617</v>
      </c>
      <c r="AS2016" t="s">
        <v>19618</v>
      </c>
      <c r="AT2016" t="s">
        <v>1275</v>
      </c>
      <c r="AU2016">
        <v>2024</v>
      </c>
      <c r="AV2016">
        <v>32</v>
      </c>
      <c r="AW2016">
        <v>12</v>
      </c>
      <c r="AX2016" t="s">
        <v>74</v>
      </c>
      <c r="AY2016" t="s">
        <v>74</v>
      </c>
      <c r="AZ2016" t="s">
        <v>74</v>
      </c>
      <c r="BA2016" t="s">
        <v>74</v>
      </c>
      <c r="BB2016">
        <v>2223</v>
      </c>
      <c r="BC2016">
        <v>2231</v>
      </c>
      <c r="BD2016" t="s">
        <v>74</v>
      </c>
      <c r="BE2016" t="s">
        <v>34454</v>
      </c>
      <c r="BF2016" t="str">
        <f>HYPERLINK("http://dx.doi.org/10.1007/s10389-023-01979-1","http://dx.doi.org/10.1007/s10389-023-01979-1")</f>
        <v>http://dx.doi.org/10.1007/s10389-023-01979-1</v>
      </c>
      <c r="BG2016" t="s">
        <v>74</v>
      </c>
      <c r="BH2016" t="s">
        <v>1954</v>
      </c>
      <c r="BI2016">
        <v>9</v>
      </c>
      <c r="BJ2016" t="s">
        <v>392</v>
      </c>
      <c r="BK2016" t="s">
        <v>125</v>
      </c>
      <c r="BL2016" t="s">
        <v>392</v>
      </c>
      <c r="BM2016" t="s">
        <v>34455</v>
      </c>
      <c r="BN2016" t="s">
        <v>74</v>
      </c>
      <c r="BO2016" t="s">
        <v>74</v>
      </c>
      <c r="BP2016" t="s">
        <v>74</v>
      </c>
      <c r="BQ2016" t="s">
        <v>74</v>
      </c>
      <c r="BR2016" t="s">
        <v>102</v>
      </c>
      <c r="BS2016" t="s">
        <v>34456</v>
      </c>
      <c r="BT2016" t="str">
        <f>HYPERLINK("https%3A%2F%2Fwww.webofscience.com%2Fwos%2Fwoscc%2Ffull-record%2FWOS:001011968100001","View Full Record in Web of Science")</f>
        <v>View Full Record in Web of Science</v>
      </c>
    </row>
    <row r="2017" spans="1:72" x14ac:dyDescent="0.35">
      <c r="A2017" t="s">
        <v>72</v>
      </c>
      <c r="B2017" t="s">
        <v>34457</v>
      </c>
      <c r="C2017" t="s">
        <v>74</v>
      </c>
      <c r="D2017" t="s">
        <v>74</v>
      </c>
      <c r="E2017" t="s">
        <v>74</v>
      </c>
      <c r="F2017" t="s">
        <v>34458</v>
      </c>
      <c r="G2017" t="s">
        <v>74</v>
      </c>
      <c r="H2017" t="s">
        <v>74</v>
      </c>
      <c r="I2017" t="s">
        <v>34459</v>
      </c>
      <c r="J2017" t="s">
        <v>5221</v>
      </c>
      <c r="K2017" t="s">
        <v>74</v>
      </c>
      <c r="L2017" t="s">
        <v>74</v>
      </c>
      <c r="M2017" t="s">
        <v>78</v>
      </c>
      <c r="N2017" t="s">
        <v>2042</v>
      </c>
      <c r="O2017" t="s">
        <v>74</v>
      </c>
      <c r="P2017" t="s">
        <v>74</v>
      </c>
      <c r="Q2017" t="s">
        <v>74</v>
      </c>
      <c r="R2017" t="s">
        <v>74</v>
      </c>
      <c r="S2017" t="s">
        <v>74</v>
      </c>
      <c r="T2017" t="s">
        <v>34460</v>
      </c>
      <c r="U2017" t="s">
        <v>34461</v>
      </c>
      <c r="V2017" t="s">
        <v>34462</v>
      </c>
      <c r="W2017" t="s">
        <v>34463</v>
      </c>
      <c r="X2017" t="s">
        <v>34464</v>
      </c>
      <c r="Y2017" t="s">
        <v>34465</v>
      </c>
      <c r="Z2017" t="s">
        <v>34466</v>
      </c>
      <c r="AA2017" t="s">
        <v>34467</v>
      </c>
      <c r="AB2017" t="s">
        <v>34468</v>
      </c>
      <c r="AC2017" t="s">
        <v>34469</v>
      </c>
      <c r="AD2017" t="s">
        <v>34470</v>
      </c>
      <c r="AE2017" t="s">
        <v>34471</v>
      </c>
      <c r="AF2017" t="s">
        <v>74</v>
      </c>
      <c r="AG2017">
        <v>150</v>
      </c>
      <c r="AH2017">
        <v>2</v>
      </c>
      <c r="AI2017">
        <v>2</v>
      </c>
      <c r="AJ2017">
        <v>15</v>
      </c>
      <c r="AK2017">
        <v>42</v>
      </c>
      <c r="AL2017" t="s">
        <v>5231</v>
      </c>
      <c r="AM2017" t="s">
        <v>5232</v>
      </c>
      <c r="AN2017" t="s">
        <v>5233</v>
      </c>
      <c r="AO2017" t="s">
        <v>5234</v>
      </c>
      <c r="AP2017" t="s">
        <v>5235</v>
      </c>
      <c r="AQ2017" t="s">
        <v>74</v>
      </c>
      <c r="AR2017" t="s">
        <v>5236</v>
      </c>
      <c r="AS2017" t="s">
        <v>5237</v>
      </c>
      <c r="AT2017" t="s">
        <v>74</v>
      </c>
      <c r="AU2017">
        <v>2023</v>
      </c>
      <c r="AV2017">
        <v>32</v>
      </c>
      <c r="AW2017">
        <v>3</v>
      </c>
      <c r="AX2017" t="s">
        <v>74</v>
      </c>
      <c r="AY2017" t="s">
        <v>74</v>
      </c>
      <c r="AZ2017" t="s">
        <v>74</v>
      </c>
      <c r="BA2017" t="s">
        <v>74</v>
      </c>
      <c r="BB2017" t="s">
        <v>74</v>
      </c>
      <c r="BC2017" t="s">
        <v>74</v>
      </c>
      <c r="BD2017" t="s">
        <v>34472</v>
      </c>
      <c r="BE2017" t="s">
        <v>34473</v>
      </c>
      <c r="BF2017" t="str">
        <f>HYPERLINK("http://dx.doi.org/10.3145/epi.2023.may.03","http://dx.doi.org/10.3145/epi.2023.may.03")</f>
        <v>http://dx.doi.org/10.3145/epi.2023.may.03</v>
      </c>
      <c r="BG2017" t="s">
        <v>74</v>
      </c>
      <c r="BH2017" t="s">
        <v>74</v>
      </c>
      <c r="BI2017">
        <v>16</v>
      </c>
      <c r="BJ2017" t="s">
        <v>5240</v>
      </c>
      <c r="BK2017" t="s">
        <v>99</v>
      </c>
      <c r="BL2017" t="s">
        <v>5240</v>
      </c>
      <c r="BM2017" t="s">
        <v>16136</v>
      </c>
      <c r="BN2017" t="s">
        <v>74</v>
      </c>
      <c r="BO2017" t="s">
        <v>156</v>
      </c>
      <c r="BP2017" t="s">
        <v>74</v>
      </c>
      <c r="BQ2017" t="s">
        <v>74</v>
      </c>
      <c r="BR2017" t="s">
        <v>102</v>
      </c>
      <c r="BS2017" t="s">
        <v>34474</v>
      </c>
      <c r="BT2017" t="str">
        <f>HYPERLINK("https%3A%2F%2Fwww.webofscience.com%2Fwos%2Fwoscc%2Ffull-record%2FWOS:001074871700001","View Full Record in Web of Science")</f>
        <v>View Full Record in Web of Science</v>
      </c>
    </row>
    <row r="2018" spans="1:72" x14ac:dyDescent="0.35">
      <c r="A2018" t="s">
        <v>72</v>
      </c>
      <c r="B2018" t="s">
        <v>34475</v>
      </c>
      <c r="C2018" t="s">
        <v>74</v>
      </c>
      <c r="D2018" t="s">
        <v>74</v>
      </c>
      <c r="E2018" t="s">
        <v>74</v>
      </c>
      <c r="F2018" t="s">
        <v>34476</v>
      </c>
      <c r="G2018" t="s">
        <v>74</v>
      </c>
      <c r="H2018" t="s">
        <v>74</v>
      </c>
      <c r="I2018" t="s">
        <v>34477</v>
      </c>
      <c r="J2018" t="s">
        <v>34478</v>
      </c>
      <c r="K2018" t="s">
        <v>74</v>
      </c>
      <c r="L2018" t="s">
        <v>74</v>
      </c>
      <c r="M2018" t="s">
        <v>78</v>
      </c>
      <c r="N2018" t="s">
        <v>108</v>
      </c>
      <c r="O2018" t="s">
        <v>74</v>
      </c>
      <c r="P2018" t="s">
        <v>74</v>
      </c>
      <c r="Q2018" t="s">
        <v>74</v>
      </c>
      <c r="R2018" t="s">
        <v>74</v>
      </c>
      <c r="S2018" t="s">
        <v>74</v>
      </c>
      <c r="T2018" t="s">
        <v>34479</v>
      </c>
      <c r="U2018" t="s">
        <v>34480</v>
      </c>
      <c r="V2018" t="s">
        <v>34481</v>
      </c>
      <c r="W2018" t="s">
        <v>34482</v>
      </c>
      <c r="X2018" t="s">
        <v>9478</v>
      </c>
      <c r="Y2018" t="s">
        <v>34483</v>
      </c>
      <c r="Z2018" t="s">
        <v>34484</v>
      </c>
      <c r="AA2018" t="s">
        <v>74</v>
      </c>
      <c r="AB2018" t="s">
        <v>34485</v>
      </c>
      <c r="AC2018" t="s">
        <v>74</v>
      </c>
      <c r="AD2018" t="s">
        <v>74</v>
      </c>
      <c r="AE2018" t="s">
        <v>74</v>
      </c>
      <c r="AF2018" t="s">
        <v>74</v>
      </c>
      <c r="AG2018">
        <v>44</v>
      </c>
      <c r="AH2018">
        <v>1</v>
      </c>
      <c r="AI2018">
        <v>1</v>
      </c>
      <c r="AJ2018">
        <v>22</v>
      </c>
      <c r="AK2018">
        <v>22</v>
      </c>
      <c r="AL2018" t="s">
        <v>251</v>
      </c>
      <c r="AM2018" t="s">
        <v>252</v>
      </c>
      <c r="AN2018" t="s">
        <v>253</v>
      </c>
      <c r="AO2018" t="s">
        <v>34486</v>
      </c>
      <c r="AP2018" t="s">
        <v>34487</v>
      </c>
      <c r="AQ2018" t="s">
        <v>74</v>
      </c>
      <c r="AR2018" t="s">
        <v>34488</v>
      </c>
      <c r="AS2018" t="s">
        <v>34489</v>
      </c>
      <c r="AT2018" t="s">
        <v>273</v>
      </c>
      <c r="AU2018">
        <v>2024</v>
      </c>
      <c r="AV2018">
        <v>25</v>
      </c>
      <c r="AW2018">
        <v>3</v>
      </c>
      <c r="AX2018" t="s">
        <v>74</v>
      </c>
      <c r="AY2018" t="s">
        <v>74</v>
      </c>
      <c r="AZ2018" t="s">
        <v>74</v>
      </c>
      <c r="BA2018" t="s">
        <v>74</v>
      </c>
      <c r="BB2018" t="s">
        <v>74</v>
      </c>
      <c r="BC2018" t="s">
        <v>74</v>
      </c>
      <c r="BD2018" t="s">
        <v>34490</v>
      </c>
      <c r="BE2018" t="s">
        <v>34491</v>
      </c>
      <c r="BF2018" t="str">
        <f>HYPERLINK("http://dx.doi.org/10.1111/nup.12493","http://dx.doi.org/10.1111/nup.12493")</f>
        <v>http://dx.doi.org/10.1111/nup.12493</v>
      </c>
      <c r="BG2018" t="s">
        <v>74</v>
      </c>
      <c r="BH2018" t="s">
        <v>74</v>
      </c>
      <c r="BI2018">
        <v>9</v>
      </c>
      <c r="BJ2018" t="s">
        <v>8110</v>
      </c>
      <c r="BK2018" t="s">
        <v>182</v>
      </c>
      <c r="BL2018" t="s">
        <v>8110</v>
      </c>
      <c r="BM2018" t="s">
        <v>34492</v>
      </c>
      <c r="BN2018">
        <v>39038218</v>
      </c>
      <c r="BO2018" t="s">
        <v>156</v>
      </c>
      <c r="BP2018" t="s">
        <v>74</v>
      </c>
      <c r="BQ2018" t="s">
        <v>74</v>
      </c>
      <c r="BR2018" t="s">
        <v>102</v>
      </c>
      <c r="BS2018" t="s">
        <v>34493</v>
      </c>
      <c r="BT2018" t="str">
        <f>HYPERLINK("https%3A%2F%2Fwww.webofscience.com%2Fwos%2Fwoscc%2Ffull-record%2FWOS:001273809000001","View Full Record in Web of Science")</f>
        <v>View Full Record in Web of Science</v>
      </c>
    </row>
    <row r="2019" spans="1:72" x14ac:dyDescent="0.35">
      <c r="A2019" t="s">
        <v>72</v>
      </c>
      <c r="B2019" t="s">
        <v>34494</v>
      </c>
      <c r="C2019" t="s">
        <v>74</v>
      </c>
      <c r="D2019" t="s">
        <v>74</v>
      </c>
      <c r="E2019" t="s">
        <v>74</v>
      </c>
      <c r="F2019" t="s">
        <v>34495</v>
      </c>
      <c r="G2019" t="s">
        <v>74</v>
      </c>
      <c r="H2019" t="s">
        <v>74</v>
      </c>
      <c r="I2019" t="s">
        <v>34496</v>
      </c>
      <c r="J2019" t="s">
        <v>34497</v>
      </c>
      <c r="K2019" t="s">
        <v>74</v>
      </c>
      <c r="L2019" t="s">
        <v>74</v>
      </c>
      <c r="M2019" t="s">
        <v>78</v>
      </c>
      <c r="N2019" t="s">
        <v>374</v>
      </c>
      <c r="O2019" t="s">
        <v>74</v>
      </c>
      <c r="P2019" t="s">
        <v>74</v>
      </c>
      <c r="Q2019" t="s">
        <v>74</v>
      </c>
      <c r="R2019" t="s">
        <v>74</v>
      </c>
      <c r="S2019" t="s">
        <v>74</v>
      </c>
      <c r="T2019" t="s">
        <v>34498</v>
      </c>
      <c r="U2019" t="s">
        <v>74</v>
      </c>
      <c r="V2019" t="s">
        <v>34499</v>
      </c>
      <c r="W2019" t="s">
        <v>34500</v>
      </c>
      <c r="X2019" t="s">
        <v>34501</v>
      </c>
      <c r="Y2019" t="s">
        <v>34502</v>
      </c>
      <c r="Z2019" t="s">
        <v>34503</v>
      </c>
      <c r="AA2019" t="s">
        <v>34504</v>
      </c>
      <c r="AB2019" t="s">
        <v>34505</v>
      </c>
      <c r="AC2019" t="s">
        <v>74</v>
      </c>
      <c r="AD2019" t="s">
        <v>74</v>
      </c>
      <c r="AE2019" t="s">
        <v>74</v>
      </c>
      <c r="AF2019" t="s">
        <v>74</v>
      </c>
      <c r="AG2019">
        <v>43</v>
      </c>
      <c r="AH2019">
        <v>0</v>
      </c>
      <c r="AI2019">
        <v>0</v>
      </c>
      <c r="AJ2019">
        <v>4</v>
      </c>
      <c r="AK2019">
        <v>6</v>
      </c>
      <c r="AL2019" t="s">
        <v>88</v>
      </c>
      <c r="AM2019" t="s">
        <v>89</v>
      </c>
      <c r="AN2019" t="s">
        <v>90</v>
      </c>
      <c r="AO2019" t="s">
        <v>34506</v>
      </c>
      <c r="AP2019" t="s">
        <v>34507</v>
      </c>
      <c r="AQ2019" t="s">
        <v>74</v>
      </c>
      <c r="AR2019" t="s">
        <v>34508</v>
      </c>
      <c r="AS2019" t="s">
        <v>34509</v>
      </c>
      <c r="AT2019" t="s">
        <v>13174</v>
      </c>
      <c r="AU2019">
        <v>2023</v>
      </c>
      <c r="AV2019">
        <v>82</v>
      </c>
      <c r="AW2019" t="s">
        <v>4010</v>
      </c>
      <c r="AX2019" t="s">
        <v>74</v>
      </c>
      <c r="AY2019" t="s">
        <v>74</v>
      </c>
      <c r="AZ2019" t="s">
        <v>74</v>
      </c>
      <c r="BA2019" t="s">
        <v>74</v>
      </c>
      <c r="BB2019">
        <v>300</v>
      </c>
      <c r="BC2019">
        <v>315</v>
      </c>
      <c r="BD2019" t="s">
        <v>74</v>
      </c>
      <c r="BE2019" t="s">
        <v>34510</v>
      </c>
      <c r="BF2019" t="str">
        <f>HYPERLINK("http://dx.doi.org/10.1080/00020184.2024.2304199","http://dx.doi.org/10.1080/00020184.2024.2304199")</f>
        <v>http://dx.doi.org/10.1080/00020184.2024.2304199</v>
      </c>
      <c r="BG2019" t="s">
        <v>74</v>
      </c>
      <c r="BH2019" t="s">
        <v>786</v>
      </c>
      <c r="BI2019">
        <v>16</v>
      </c>
      <c r="BJ2019" t="s">
        <v>5420</v>
      </c>
      <c r="BK2019" t="s">
        <v>99</v>
      </c>
      <c r="BL2019" t="s">
        <v>5420</v>
      </c>
      <c r="BM2019" t="s">
        <v>34511</v>
      </c>
      <c r="BN2019" t="s">
        <v>74</v>
      </c>
      <c r="BO2019" t="s">
        <v>74</v>
      </c>
      <c r="BP2019" t="s">
        <v>74</v>
      </c>
      <c r="BQ2019" t="s">
        <v>74</v>
      </c>
      <c r="BR2019" t="s">
        <v>102</v>
      </c>
      <c r="BS2019" t="s">
        <v>34512</v>
      </c>
      <c r="BT2019" t="str">
        <f>HYPERLINK("https%3A%2F%2Fwww.webofscience.com%2Fwos%2Fwoscc%2Ffull-record%2FWOS:001169284800001","View Full Record in Web of Science")</f>
        <v>View Full Record in Web of Science</v>
      </c>
    </row>
    <row r="2020" spans="1:72" x14ac:dyDescent="0.35">
      <c r="A2020" t="s">
        <v>72</v>
      </c>
      <c r="B2020" t="s">
        <v>34513</v>
      </c>
      <c r="C2020" t="s">
        <v>74</v>
      </c>
      <c r="D2020" t="s">
        <v>74</v>
      </c>
      <c r="E2020" t="s">
        <v>74</v>
      </c>
      <c r="F2020" t="s">
        <v>34514</v>
      </c>
      <c r="G2020" t="s">
        <v>74</v>
      </c>
      <c r="H2020" t="s">
        <v>74</v>
      </c>
      <c r="I2020" t="s">
        <v>34515</v>
      </c>
      <c r="J2020" t="s">
        <v>34516</v>
      </c>
      <c r="K2020" t="s">
        <v>74</v>
      </c>
      <c r="L2020" t="s">
        <v>74</v>
      </c>
      <c r="M2020" t="s">
        <v>78</v>
      </c>
      <c r="N2020" t="s">
        <v>108</v>
      </c>
      <c r="O2020" t="s">
        <v>74</v>
      </c>
      <c r="P2020" t="s">
        <v>74</v>
      </c>
      <c r="Q2020" t="s">
        <v>74</v>
      </c>
      <c r="R2020" t="s">
        <v>74</v>
      </c>
      <c r="S2020" t="s">
        <v>74</v>
      </c>
      <c r="T2020" t="s">
        <v>34517</v>
      </c>
      <c r="U2020" t="s">
        <v>34518</v>
      </c>
      <c r="V2020" t="s">
        <v>34519</v>
      </c>
      <c r="W2020" t="s">
        <v>34520</v>
      </c>
      <c r="X2020" t="s">
        <v>34521</v>
      </c>
      <c r="Y2020" t="s">
        <v>34522</v>
      </c>
      <c r="Z2020" t="s">
        <v>34523</v>
      </c>
      <c r="AA2020" t="s">
        <v>74</v>
      </c>
      <c r="AB2020" t="s">
        <v>34524</v>
      </c>
      <c r="AC2020" t="s">
        <v>34525</v>
      </c>
      <c r="AD2020" t="s">
        <v>34526</v>
      </c>
      <c r="AE2020" t="s">
        <v>34527</v>
      </c>
      <c r="AF2020" t="s">
        <v>74</v>
      </c>
      <c r="AG2020">
        <v>35</v>
      </c>
      <c r="AH2020">
        <v>9</v>
      </c>
      <c r="AI2020">
        <v>9</v>
      </c>
      <c r="AJ2020">
        <v>9</v>
      </c>
      <c r="AK2020">
        <v>56</v>
      </c>
      <c r="AL2020" t="s">
        <v>290</v>
      </c>
      <c r="AM2020" t="s">
        <v>291</v>
      </c>
      <c r="AN2020" t="s">
        <v>292</v>
      </c>
      <c r="AO2020" t="s">
        <v>34528</v>
      </c>
      <c r="AP2020" t="s">
        <v>34529</v>
      </c>
      <c r="AQ2020" t="s">
        <v>74</v>
      </c>
      <c r="AR2020" t="s">
        <v>34530</v>
      </c>
      <c r="AS2020" t="s">
        <v>34531</v>
      </c>
      <c r="AT2020" t="s">
        <v>1275</v>
      </c>
      <c r="AU2020">
        <v>2022</v>
      </c>
      <c r="AV2020">
        <v>165</v>
      </c>
      <c r="AW2020" t="s">
        <v>74</v>
      </c>
      <c r="AX2020">
        <v>2</v>
      </c>
      <c r="AY2020" t="s">
        <v>74</v>
      </c>
      <c r="AZ2020" t="s">
        <v>74</v>
      </c>
      <c r="BA2020" t="s">
        <v>74</v>
      </c>
      <c r="BB2020" t="s">
        <v>74</v>
      </c>
      <c r="BC2020" t="s">
        <v>74</v>
      </c>
      <c r="BD2020">
        <v>112801</v>
      </c>
      <c r="BE2020" t="s">
        <v>34532</v>
      </c>
      <c r="BF2020" t="str">
        <f>HYPERLINK("http://dx.doi.org/10.1016/j.chaos.2022.112801","http://dx.doi.org/10.1016/j.chaos.2022.112801")</f>
        <v>http://dx.doi.org/10.1016/j.chaos.2022.112801</v>
      </c>
      <c r="BG2020" t="s">
        <v>74</v>
      </c>
      <c r="BH2020" t="s">
        <v>2034</v>
      </c>
      <c r="BI2020">
        <v>11</v>
      </c>
      <c r="BJ2020" t="s">
        <v>34533</v>
      </c>
      <c r="BK2020" t="s">
        <v>209</v>
      </c>
      <c r="BL2020" t="s">
        <v>34534</v>
      </c>
      <c r="BM2020" t="s">
        <v>34535</v>
      </c>
      <c r="BN2020" t="s">
        <v>74</v>
      </c>
      <c r="BO2020" t="s">
        <v>74</v>
      </c>
      <c r="BP2020" t="s">
        <v>74</v>
      </c>
      <c r="BQ2020" t="s">
        <v>74</v>
      </c>
      <c r="BR2020" t="s">
        <v>102</v>
      </c>
      <c r="BS2020" t="s">
        <v>34536</v>
      </c>
      <c r="BT2020" t="str">
        <f>HYPERLINK("https%3A%2F%2Fwww.webofscience.com%2Fwos%2Fwoscc%2Ffull-record%2FWOS:000877497600001","View Full Record in Web of Science")</f>
        <v>View Full Record in Web of Science</v>
      </c>
    </row>
    <row r="2021" spans="1:72" x14ac:dyDescent="0.35">
      <c r="A2021" t="s">
        <v>72</v>
      </c>
      <c r="B2021" t="s">
        <v>34537</v>
      </c>
      <c r="C2021" t="s">
        <v>74</v>
      </c>
      <c r="D2021" t="s">
        <v>74</v>
      </c>
      <c r="E2021" t="s">
        <v>74</v>
      </c>
      <c r="F2021" t="s">
        <v>34538</v>
      </c>
      <c r="G2021" t="s">
        <v>74</v>
      </c>
      <c r="H2021" t="s">
        <v>74</v>
      </c>
      <c r="I2021" t="s">
        <v>34539</v>
      </c>
      <c r="J2021" t="s">
        <v>34540</v>
      </c>
      <c r="K2021" t="s">
        <v>74</v>
      </c>
      <c r="L2021" t="s">
        <v>74</v>
      </c>
      <c r="M2021" t="s">
        <v>78</v>
      </c>
      <c r="N2021" t="s">
        <v>79</v>
      </c>
      <c r="O2021" t="s">
        <v>74</v>
      </c>
      <c r="P2021" t="s">
        <v>74</v>
      </c>
      <c r="Q2021" t="s">
        <v>74</v>
      </c>
      <c r="R2021" t="s">
        <v>74</v>
      </c>
      <c r="S2021" t="s">
        <v>74</v>
      </c>
      <c r="T2021" t="s">
        <v>34541</v>
      </c>
      <c r="U2021" t="s">
        <v>34542</v>
      </c>
      <c r="V2021" t="s">
        <v>34543</v>
      </c>
      <c r="W2021" t="s">
        <v>34544</v>
      </c>
      <c r="X2021" t="s">
        <v>34545</v>
      </c>
      <c r="Y2021" t="s">
        <v>34546</v>
      </c>
      <c r="Z2021" t="s">
        <v>34547</v>
      </c>
      <c r="AA2021" t="s">
        <v>34548</v>
      </c>
      <c r="AB2021" t="s">
        <v>34549</v>
      </c>
      <c r="AC2021" t="s">
        <v>17211</v>
      </c>
      <c r="AD2021" t="s">
        <v>17211</v>
      </c>
      <c r="AE2021" t="s">
        <v>34550</v>
      </c>
      <c r="AF2021" t="s">
        <v>74</v>
      </c>
      <c r="AG2021">
        <v>71</v>
      </c>
      <c r="AH2021">
        <v>0</v>
      </c>
      <c r="AI2021">
        <v>0</v>
      </c>
      <c r="AJ2021">
        <v>10</v>
      </c>
      <c r="AK2021">
        <v>10</v>
      </c>
      <c r="AL2021" t="s">
        <v>3489</v>
      </c>
      <c r="AM2021" t="s">
        <v>3490</v>
      </c>
      <c r="AN2021" t="s">
        <v>3491</v>
      </c>
      <c r="AO2021" t="s">
        <v>34551</v>
      </c>
      <c r="AP2021" t="s">
        <v>34552</v>
      </c>
      <c r="AQ2021" t="s">
        <v>74</v>
      </c>
      <c r="AR2021" t="s">
        <v>34553</v>
      </c>
      <c r="AS2021" t="s">
        <v>34554</v>
      </c>
      <c r="AT2021" t="s">
        <v>8968</v>
      </c>
      <c r="AU2021">
        <v>2024</v>
      </c>
      <c r="AV2021" t="s">
        <v>74</v>
      </c>
      <c r="AW2021" t="s">
        <v>74</v>
      </c>
      <c r="AX2021" t="s">
        <v>74</v>
      </c>
      <c r="AY2021" t="s">
        <v>74</v>
      </c>
      <c r="AZ2021" t="s">
        <v>74</v>
      </c>
      <c r="BA2021" t="s">
        <v>74</v>
      </c>
      <c r="BB2021" t="s">
        <v>74</v>
      </c>
      <c r="BC2021" t="s">
        <v>74</v>
      </c>
      <c r="BD2021" t="s">
        <v>74</v>
      </c>
      <c r="BE2021" t="s">
        <v>34555</v>
      </c>
      <c r="BF2021" t="str">
        <f>HYPERLINK("http://dx.doi.org/10.1007/s00127-024-02756-5","http://dx.doi.org/10.1007/s00127-024-02756-5")</f>
        <v>http://dx.doi.org/10.1007/s00127-024-02756-5</v>
      </c>
      <c r="BG2021" t="s">
        <v>74</v>
      </c>
      <c r="BH2021" t="s">
        <v>337</v>
      </c>
      <c r="BI2021">
        <v>12</v>
      </c>
      <c r="BJ2021" t="s">
        <v>1847</v>
      </c>
      <c r="BK2021" t="s">
        <v>182</v>
      </c>
      <c r="BL2021" t="s">
        <v>1847</v>
      </c>
      <c r="BM2021" t="s">
        <v>34556</v>
      </c>
      <c r="BN2021">
        <v>39230735</v>
      </c>
      <c r="BO2021" t="s">
        <v>74</v>
      </c>
      <c r="BP2021" t="s">
        <v>74</v>
      </c>
      <c r="BQ2021" t="s">
        <v>74</v>
      </c>
      <c r="BR2021" t="s">
        <v>102</v>
      </c>
      <c r="BS2021" t="s">
        <v>34557</v>
      </c>
      <c r="BT2021" t="str">
        <f>HYPERLINK("https%3A%2F%2Fwww.webofscience.com%2Fwos%2Fwoscc%2Ffull-record%2FWOS:001306238000002","View Full Record in Web of Science")</f>
        <v>View Full Record in Web of Science</v>
      </c>
    </row>
    <row r="2022" spans="1:72" x14ac:dyDescent="0.35">
      <c r="A2022" t="s">
        <v>72</v>
      </c>
      <c r="B2022" t="s">
        <v>34558</v>
      </c>
      <c r="C2022" t="s">
        <v>74</v>
      </c>
      <c r="D2022" t="s">
        <v>74</v>
      </c>
      <c r="E2022" t="s">
        <v>74</v>
      </c>
      <c r="F2022" t="s">
        <v>34559</v>
      </c>
      <c r="G2022" t="s">
        <v>74</v>
      </c>
      <c r="H2022" t="s">
        <v>74</v>
      </c>
      <c r="I2022" t="s">
        <v>34560</v>
      </c>
      <c r="J2022" t="s">
        <v>557</v>
      </c>
      <c r="K2022" t="s">
        <v>74</v>
      </c>
      <c r="L2022" t="s">
        <v>74</v>
      </c>
      <c r="M2022" t="s">
        <v>78</v>
      </c>
      <c r="N2022" t="s">
        <v>79</v>
      </c>
      <c r="O2022" t="s">
        <v>74</v>
      </c>
      <c r="P2022" t="s">
        <v>74</v>
      </c>
      <c r="Q2022" t="s">
        <v>74</v>
      </c>
      <c r="R2022" t="s">
        <v>74</v>
      </c>
      <c r="S2022" t="s">
        <v>74</v>
      </c>
      <c r="T2022" t="s">
        <v>34561</v>
      </c>
      <c r="U2022" t="s">
        <v>34562</v>
      </c>
      <c r="V2022" t="s">
        <v>34563</v>
      </c>
      <c r="W2022" t="s">
        <v>34564</v>
      </c>
      <c r="X2022" t="s">
        <v>34565</v>
      </c>
      <c r="Y2022" t="s">
        <v>34566</v>
      </c>
      <c r="Z2022" t="s">
        <v>34567</v>
      </c>
      <c r="AA2022" t="s">
        <v>34568</v>
      </c>
      <c r="AB2022" t="s">
        <v>34569</v>
      </c>
      <c r="AC2022" t="s">
        <v>34570</v>
      </c>
      <c r="AD2022" t="s">
        <v>34571</v>
      </c>
      <c r="AE2022" t="s">
        <v>34572</v>
      </c>
      <c r="AF2022" t="s">
        <v>74</v>
      </c>
      <c r="AG2022">
        <v>76</v>
      </c>
      <c r="AH2022">
        <v>1</v>
      </c>
      <c r="AI2022">
        <v>1</v>
      </c>
      <c r="AJ2022">
        <v>49</v>
      </c>
      <c r="AK2022">
        <v>49</v>
      </c>
      <c r="AL2022" t="s">
        <v>88</v>
      </c>
      <c r="AM2022" t="s">
        <v>89</v>
      </c>
      <c r="AN2022" t="s">
        <v>90</v>
      </c>
      <c r="AO2022" t="s">
        <v>567</v>
      </c>
      <c r="AP2022" t="s">
        <v>568</v>
      </c>
      <c r="AQ2022" t="s">
        <v>74</v>
      </c>
      <c r="AR2022" t="s">
        <v>569</v>
      </c>
      <c r="AS2022" t="s">
        <v>570</v>
      </c>
      <c r="AT2022" t="s">
        <v>476</v>
      </c>
      <c r="AU2022">
        <v>2024</v>
      </c>
      <c r="AV2022" t="s">
        <v>74</v>
      </c>
      <c r="AW2022" t="s">
        <v>74</v>
      </c>
      <c r="AX2022" t="s">
        <v>74</v>
      </c>
      <c r="AY2022" t="s">
        <v>74</v>
      </c>
      <c r="AZ2022" t="s">
        <v>74</v>
      </c>
      <c r="BA2022" t="s">
        <v>74</v>
      </c>
      <c r="BB2022" t="s">
        <v>74</v>
      </c>
      <c r="BC2022" t="s">
        <v>74</v>
      </c>
      <c r="BD2022" t="s">
        <v>74</v>
      </c>
      <c r="BE2022" t="s">
        <v>34573</v>
      </c>
      <c r="BF2022" t="str">
        <f>HYPERLINK("http://dx.doi.org/10.1080/13683500.2024.2371029","http://dx.doi.org/10.1080/13683500.2024.2371029")</f>
        <v>http://dx.doi.org/10.1080/13683500.2024.2371029</v>
      </c>
      <c r="BG2022" t="s">
        <v>74</v>
      </c>
      <c r="BH2022" t="s">
        <v>478</v>
      </c>
      <c r="BI2022">
        <v>20</v>
      </c>
      <c r="BJ2022" t="s">
        <v>574</v>
      </c>
      <c r="BK2022" t="s">
        <v>99</v>
      </c>
      <c r="BL2022" t="s">
        <v>100</v>
      </c>
      <c r="BM2022" t="s">
        <v>34574</v>
      </c>
      <c r="BN2022" t="s">
        <v>74</v>
      </c>
      <c r="BO2022" t="s">
        <v>74</v>
      </c>
      <c r="BP2022" t="s">
        <v>74</v>
      </c>
      <c r="BQ2022" t="s">
        <v>74</v>
      </c>
      <c r="BR2022" t="s">
        <v>102</v>
      </c>
      <c r="BS2022" t="s">
        <v>34575</v>
      </c>
      <c r="BT2022" t="str">
        <f>HYPERLINK("https%3A%2F%2Fwww.webofscience.com%2Fwos%2Fwoscc%2Ffull-record%2FWOS:001260164100001","View Full Record in Web of Science")</f>
        <v>View Full Record in Web of Science</v>
      </c>
    </row>
    <row r="2023" spans="1:72" x14ac:dyDescent="0.35">
      <c r="A2023" t="s">
        <v>72</v>
      </c>
      <c r="B2023" t="s">
        <v>34576</v>
      </c>
      <c r="C2023" t="s">
        <v>74</v>
      </c>
      <c r="D2023" t="s">
        <v>74</v>
      </c>
      <c r="E2023" t="s">
        <v>74</v>
      </c>
      <c r="F2023" t="s">
        <v>34577</v>
      </c>
      <c r="G2023" t="s">
        <v>74</v>
      </c>
      <c r="H2023" t="s">
        <v>74</v>
      </c>
      <c r="I2023" t="s">
        <v>34578</v>
      </c>
      <c r="J2023" t="s">
        <v>14178</v>
      </c>
      <c r="K2023" t="s">
        <v>74</v>
      </c>
      <c r="L2023" t="s">
        <v>74</v>
      </c>
      <c r="M2023" t="s">
        <v>78</v>
      </c>
      <c r="N2023" t="s">
        <v>79</v>
      </c>
      <c r="O2023" t="s">
        <v>74</v>
      </c>
      <c r="P2023" t="s">
        <v>74</v>
      </c>
      <c r="Q2023" t="s">
        <v>74</v>
      </c>
      <c r="R2023" t="s">
        <v>74</v>
      </c>
      <c r="S2023" t="s">
        <v>74</v>
      </c>
      <c r="T2023" t="s">
        <v>34579</v>
      </c>
      <c r="U2023" t="s">
        <v>20519</v>
      </c>
      <c r="V2023" t="s">
        <v>34580</v>
      </c>
      <c r="W2023" t="s">
        <v>34581</v>
      </c>
      <c r="X2023" t="s">
        <v>34582</v>
      </c>
      <c r="Y2023" t="s">
        <v>34583</v>
      </c>
      <c r="Z2023" t="s">
        <v>34584</v>
      </c>
      <c r="AA2023" t="s">
        <v>34585</v>
      </c>
      <c r="AB2023" t="s">
        <v>34586</v>
      </c>
      <c r="AC2023" t="s">
        <v>34587</v>
      </c>
      <c r="AD2023" t="s">
        <v>34588</v>
      </c>
      <c r="AE2023" t="s">
        <v>34589</v>
      </c>
      <c r="AF2023" t="s">
        <v>74</v>
      </c>
      <c r="AG2023">
        <v>30</v>
      </c>
      <c r="AH2023">
        <v>0</v>
      </c>
      <c r="AI2023">
        <v>0</v>
      </c>
      <c r="AJ2023">
        <v>2</v>
      </c>
      <c r="AK2023">
        <v>2</v>
      </c>
      <c r="AL2023" t="s">
        <v>665</v>
      </c>
      <c r="AM2023" t="s">
        <v>666</v>
      </c>
      <c r="AN2023" t="s">
        <v>667</v>
      </c>
      <c r="AO2023" t="s">
        <v>14185</v>
      </c>
      <c r="AP2023" t="s">
        <v>14186</v>
      </c>
      <c r="AQ2023" t="s">
        <v>74</v>
      </c>
      <c r="AR2023" t="s">
        <v>14187</v>
      </c>
      <c r="AS2023" t="s">
        <v>14188</v>
      </c>
      <c r="AT2023" t="s">
        <v>9300</v>
      </c>
      <c r="AU2023">
        <v>2024</v>
      </c>
      <c r="AV2023" t="s">
        <v>74</v>
      </c>
      <c r="AW2023" t="s">
        <v>74</v>
      </c>
      <c r="AX2023" t="s">
        <v>74</v>
      </c>
      <c r="AY2023" t="s">
        <v>74</v>
      </c>
      <c r="AZ2023" t="s">
        <v>74</v>
      </c>
      <c r="BA2023" t="s">
        <v>74</v>
      </c>
      <c r="BB2023" t="s">
        <v>74</v>
      </c>
      <c r="BC2023" t="s">
        <v>74</v>
      </c>
      <c r="BD2023" t="s">
        <v>74</v>
      </c>
      <c r="BE2023" t="s">
        <v>34590</v>
      </c>
      <c r="BF2023" t="str">
        <f>HYPERLINK("http://dx.doi.org/10.1007/s10900-024-01414-w","http://dx.doi.org/10.1007/s10900-024-01414-w")</f>
        <v>http://dx.doi.org/10.1007/s10900-024-01414-w</v>
      </c>
      <c r="BG2023" t="s">
        <v>74</v>
      </c>
      <c r="BH2023" t="s">
        <v>1721</v>
      </c>
      <c r="BI2023">
        <v>8</v>
      </c>
      <c r="BJ2023" t="s">
        <v>14190</v>
      </c>
      <c r="BK2023" t="s">
        <v>99</v>
      </c>
      <c r="BL2023" t="s">
        <v>4129</v>
      </c>
      <c r="BM2023" t="s">
        <v>34591</v>
      </c>
      <c r="BN2023">
        <v>39427056</v>
      </c>
      <c r="BO2023" t="s">
        <v>74</v>
      </c>
      <c r="BP2023" t="s">
        <v>74</v>
      </c>
      <c r="BQ2023" t="s">
        <v>74</v>
      </c>
      <c r="BR2023" t="s">
        <v>102</v>
      </c>
      <c r="BS2023" t="s">
        <v>34592</v>
      </c>
      <c r="BT2023" t="str">
        <f>HYPERLINK("https%3A%2F%2Fwww.webofscience.com%2Fwos%2Fwoscc%2Ffull-record%2FWOS:001336250600003","View Full Record in Web of Science")</f>
        <v>View Full Record in Web of Science</v>
      </c>
    </row>
    <row r="2024" spans="1:72" x14ac:dyDescent="0.35">
      <c r="A2024" t="s">
        <v>128</v>
      </c>
      <c r="B2024" t="s">
        <v>34593</v>
      </c>
      <c r="C2024" t="s">
        <v>74</v>
      </c>
      <c r="D2024" t="s">
        <v>74</v>
      </c>
      <c r="E2024" t="s">
        <v>702</v>
      </c>
      <c r="F2024" t="s">
        <v>34594</v>
      </c>
      <c r="G2024" t="s">
        <v>74</v>
      </c>
      <c r="H2024" t="s">
        <v>74</v>
      </c>
      <c r="I2024" t="s">
        <v>34595</v>
      </c>
      <c r="J2024" t="s">
        <v>2723</v>
      </c>
      <c r="K2024" t="s">
        <v>74</v>
      </c>
      <c r="L2024" t="s">
        <v>74</v>
      </c>
      <c r="M2024" t="s">
        <v>78</v>
      </c>
      <c r="N2024" t="s">
        <v>135</v>
      </c>
      <c r="O2024" t="s">
        <v>2724</v>
      </c>
      <c r="P2024" t="s">
        <v>2725</v>
      </c>
      <c r="Q2024" t="s">
        <v>138</v>
      </c>
      <c r="R2024" t="s">
        <v>34596</v>
      </c>
      <c r="S2024" t="s">
        <v>74</v>
      </c>
      <c r="T2024" t="s">
        <v>34597</v>
      </c>
      <c r="U2024" t="s">
        <v>34598</v>
      </c>
      <c r="V2024" t="s">
        <v>34599</v>
      </c>
      <c r="W2024" t="s">
        <v>34600</v>
      </c>
      <c r="X2024" t="s">
        <v>34601</v>
      </c>
      <c r="Y2024" t="s">
        <v>34602</v>
      </c>
      <c r="Z2024" t="s">
        <v>34603</v>
      </c>
      <c r="AA2024" t="s">
        <v>74</v>
      </c>
      <c r="AB2024" t="s">
        <v>74</v>
      </c>
      <c r="AC2024" t="s">
        <v>34604</v>
      </c>
      <c r="AD2024" t="s">
        <v>34605</v>
      </c>
      <c r="AE2024" t="s">
        <v>34606</v>
      </c>
      <c r="AF2024" t="s">
        <v>74</v>
      </c>
      <c r="AG2024">
        <v>70</v>
      </c>
      <c r="AH2024">
        <v>4</v>
      </c>
      <c r="AI2024">
        <v>4</v>
      </c>
      <c r="AJ2024">
        <v>1</v>
      </c>
      <c r="AK2024">
        <v>7</v>
      </c>
      <c r="AL2024" t="s">
        <v>718</v>
      </c>
      <c r="AM2024" t="s">
        <v>666</v>
      </c>
      <c r="AN2024" t="s">
        <v>719</v>
      </c>
      <c r="AO2024" t="s">
        <v>74</v>
      </c>
      <c r="AP2024" t="s">
        <v>74</v>
      </c>
      <c r="AQ2024" t="s">
        <v>2734</v>
      </c>
      <c r="AR2024" t="s">
        <v>74</v>
      </c>
      <c r="AS2024" t="s">
        <v>74</v>
      </c>
      <c r="AT2024" t="s">
        <v>74</v>
      </c>
      <c r="AU2024">
        <v>2022</v>
      </c>
      <c r="AV2024" t="s">
        <v>74</v>
      </c>
      <c r="AW2024" t="s">
        <v>74</v>
      </c>
      <c r="AX2024" t="s">
        <v>74</v>
      </c>
      <c r="AY2024" t="s">
        <v>74</v>
      </c>
      <c r="AZ2024" t="s">
        <v>74</v>
      </c>
      <c r="BA2024" t="s">
        <v>74</v>
      </c>
      <c r="BB2024">
        <v>3020</v>
      </c>
      <c r="BC2024">
        <v>3030</v>
      </c>
      <c r="BD2024" t="s">
        <v>74</v>
      </c>
      <c r="BE2024" t="s">
        <v>34607</v>
      </c>
      <c r="BF2024" t="str">
        <f>HYPERLINK("http://dx.doi.org/10.1145/3485447.3512022","http://dx.doi.org/10.1145/3485447.3512022")</f>
        <v>http://dx.doi.org/10.1145/3485447.3512022</v>
      </c>
      <c r="BG2024" t="s">
        <v>74</v>
      </c>
      <c r="BH2024" t="s">
        <v>74</v>
      </c>
      <c r="BI2024">
        <v>11</v>
      </c>
      <c r="BJ2024" t="s">
        <v>2736</v>
      </c>
      <c r="BK2024" t="s">
        <v>723</v>
      </c>
      <c r="BL2024" t="s">
        <v>210</v>
      </c>
      <c r="BM2024" t="s">
        <v>2737</v>
      </c>
      <c r="BN2024" t="s">
        <v>74</v>
      </c>
      <c r="BO2024" t="s">
        <v>2738</v>
      </c>
      <c r="BP2024" t="s">
        <v>74</v>
      </c>
      <c r="BQ2024" t="s">
        <v>74</v>
      </c>
      <c r="BR2024" t="s">
        <v>102</v>
      </c>
      <c r="BS2024" t="s">
        <v>34608</v>
      </c>
      <c r="BT2024" t="str">
        <f>HYPERLINK("https%3A%2F%2Fwww.webofscience.com%2Fwos%2Fwoscc%2Ffull-record%2FWOS:000852713003010","View Full Record in Web of Science")</f>
        <v>View Full Record in Web of Science</v>
      </c>
    </row>
    <row r="2025" spans="1:72" x14ac:dyDescent="0.35">
      <c r="A2025" t="s">
        <v>72</v>
      </c>
      <c r="B2025" t="s">
        <v>34609</v>
      </c>
      <c r="C2025" t="s">
        <v>74</v>
      </c>
      <c r="D2025" t="s">
        <v>74</v>
      </c>
      <c r="E2025" t="s">
        <v>74</v>
      </c>
      <c r="F2025" t="s">
        <v>34610</v>
      </c>
      <c r="G2025" t="s">
        <v>74</v>
      </c>
      <c r="H2025" t="s">
        <v>74</v>
      </c>
      <c r="I2025" t="s">
        <v>34611</v>
      </c>
      <c r="J2025" t="s">
        <v>4384</v>
      </c>
      <c r="K2025" t="s">
        <v>74</v>
      </c>
      <c r="L2025" t="s">
        <v>74</v>
      </c>
      <c r="M2025" t="s">
        <v>78</v>
      </c>
      <c r="N2025" t="s">
        <v>108</v>
      </c>
      <c r="O2025" t="s">
        <v>74</v>
      </c>
      <c r="P2025" t="s">
        <v>74</v>
      </c>
      <c r="Q2025" t="s">
        <v>74</v>
      </c>
      <c r="R2025" t="s">
        <v>74</v>
      </c>
      <c r="S2025" t="s">
        <v>74</v>
      </c>
      <c r="T2025" t="s">
        <v>74</v>
      </c>
      <c r="U2025" t="s">
        <v>34612</v>
      </c>
      <c r="V2025" t="s">
        <v>34613</v>
      </c>
      <c r="W2025" t="s">
        <v>34614</v>
      </c>
      <c r="X2025" t="s">
        <v>34615</v>
      </c>
      <c r="Y2025" t="s">
        <v>34616</v>
      </c>
      <c r="Z2025" t="s">
        <v>34617</v>
      </c>
      <c r="AA2025" t="s">
        <v>34618</v>
      </c>
      <c r="AB2025" t="s">
        <v>34619</v>
      </c>
      <c r="AC2025" t="s">
        <v>34620</v>
      </c>
      <c r="AD2025" t="s">
        <v>34621</v>
      </c>
      <c r="AE2025" t="s">
        <v>34622</v>
      </c>
      <c r="AF2025" t="s">
        <v>74</v>
      </c>
      <c r="AG2025">
        <v>58</v>
      </c>
      <c r="AH2025">
        <v>1</v>
      </c>
      <c r="AI2025">
        <v>1</v>
      </c>
      <c r="AJ2025">
        <v>2</v>
      </c>
      <c r="AK2025">
        <v>3</v>
      </c>
      <c r="AL2025" t="s">
        <v>803</v>
      </c>
      <c r="AM2025" t="s">
        <v>227</v>
      </c>
      <c r="AN2025" t="s">
        <v>804</v>
      </c>
      <c r="AO2025" t="s">
        <v>74</v>
      </c>
      <c r="AP2025" t="s">
        <v>4395</v>
      </c>
      <c r="AQ2025" t="s">
        <v>74</v>
      </c>
      <c r="AR2025" t="s">
        <v>4396</v>
      </c>
      <c r="AS2025" t="s">
        <v>4397</v>
      </c>
      <c r="AT2025" t="s">
        <v>14933</v>
      </c>
      <c r="AU2025">
        <v>2024</v>
      </c>
      <c r="AV2025">
        <v>11</v>
      </c>
      <c r="AW2025">
        <v>1</v>
      </c>
      <c r="AX2025" t="s">
        <v>74</v>
      </c>
      <c r="AY2025" t="s">
        <v>74</v>
      </c>
      <c r="AZ2025" t="s">
        <v>74</v>
      </c>
      <c r="BA2025" t="s">
        <v>74</v>
      </c>
      <c r="BB2025" t="s">
        <v>74</v>
      </c>
      <c r="BC2025" t="s">
        <v>74</v>
      </c>
      <c r="BD2025">
        <v>281</v>
      </c>
      <c r="BE2025" t="s">
        <v>34623</v>
      </c>
      <c r="BF2025" t="str">
        <f>HYPERLINK("http://dx.doi.org/10.1057/s41599-024-02743-w","http://dx.doi.org/10.1057/s41599-024-02743-w")</f>
        <v>http://dx.doi.org/10.1057/s41599-024-02743-w</v>
      </c>
      <c r="BG2025" t="s">
        <v>74</v>
      </c>
      <c r="BH2025" t="s">
        <v>74</v>
      </c>
      <c r="BI2025">
        <v>9</v>
      </c>
      <c r="BJ2025" t="s">
        <v>4400</v>
      </c>
      <c r="BK2025" t="s">
        <v>2125</v>
      </c>
      <c r="BL2025" t="s">
        <v>4401</v>
      </c>
      <c r="BM2025" t="s">
        <v>34624</v>
      </c>
      <c r="BN2025" t="s">
        <v>74</v>
      </c>
      <c r="BO2025" t="s">
        <v>235</v>
      </c>
      <c r="BP2025" t="s">
        <v>74</v>
      </c>
      <c r="BQ2025" t="s">
        <v>74</v>
      </c>
      <c r="BR2025" t="s">
        <v>102</v>
      </c>
      <c r="BS2025" t="s">
        <v>34625</v>
      </c>
      <c r="BT2025" t="str">
        <f>HYPERLINK("https%3A%2F%2Fwww.webofscience.com%2Fwos%2Fwoscc%2Ffull-record%2FWOS:001164431800006","View Full Record in Web of Science")</f>
        <v>View Full Record in Web of Science</v>
      </c>
    </row>
    <row r="2026" spans="1:72" x14ac:dyDescent="0.35">
      <c r="A2026" t="s">
        <v>72</v>
      </c>
      <c r="B2026" t="s">
        <v>34626</v>
      </c>
      <c r="C2026" t="s">
        <v>74</v>
      </c>
      <c r="D2026" t="s">
        <v>74</v>
      </c>
      <c r="E2026" t="s">
        <v>74</v>
      </c>
      <c r="F2026" t="s">
        <v>34627</v>
      </c>
      <c r="G2026" t="s">
        <v>74</v>
      </c>
      <c r="H2026" t="s">
        <v>74</v>
      </c>
      <c r="I2026" t="s">
        <v>34628</v>
      </c>
      <c r="J2026" t="s">
        <v>30694</v>
      </c>
      <c r="K2026" t="s">
        <v>74</v>
      </c>
      <c r="L2026" t="s">
        <v>74</v>
      </c>
      <c r="M2026" t="s">
        <v>78</v>
      </c>
      <c r="N2026" t="s">
        <v>108</v>
      </c>
      <c r="O2026" t="s">
        <v>74</v>
      </c>
      <c r="P2026" t="s">
        <v>74</v>
      </c>
      <c r="Q2026" t="s">
        <v>74</v>
      </c>
      <c r="R2026" t="s">
        <v>74</v>
      </c>
      <c r="S2026" t="s">
        <v>74</v>
      </c>
      <c r="T2026" t="s">
        <v>34629</v>
      </c>
      <c r="U2026" t="s">
        <v>34630</v>
      </c>
      <c r="V2026" t="s">
        <v>34631</v>
      </c>
      <c r="W2026" t="s">
        <v>34632</v>
      </c>
      <c r="X2026" t="s">
        <v>74</v>
      </c>
      <c r="Y2026" t="s">
        <v>34633</v>
      </c>
      <c r="Z2026" t="s">
        <v>34634</v>
      </c>
      <c r="AA2026" t="s">
        <v>34635</v>
      </c>
      <c r="AB2026" t="s">
        <v>34636</v>
      </c>
      <c r="AC2026" t="s">
        <v>34637</v>
      </c>
      <c r="AD2026" t="s">
        <v>34637</v>
      </c>
      <c r="AE2026" t="s">
        <v>34638</v>
      </c>
      <c r="AF2026" t="s">
        <v>74</v>
      </c>
      <c r="AG2026">
        <v>113</v>
      </c>
      <c r="AH2026">
        <v>0</v>
      </c>
      <c r="AI2026">
        <v>0</v>
      </c>
      <c r="AJ2026">
        <v>14</v>
      </c>
      <c r="AK2026">
        <v>16</v>
      </c>
      <c r="AL2026" t="s">
        <v>2290</v>
      </c>
      <c r="AM2026" t="s">
        <v>2291</v>
      </c>
      <c r="AN2026" t="s">
        <v>2292</v>
      </c>
      <c r="AO2026" t="s">
        <v>30699</v>
      </c>
      <c r="AP2026" t="s">
        <v>74</v>
      </c>
      <c r="AQ2026" t="s">
        <v>74</v>
      </c>
      <c r="AR2026" t="s">
        <v>30700</v>
      </c>
      <c r="AS2026" t="s">
        <v>30701</v>
      </c>
      <c r="AT2026" t="s">
        <v>2296</v>
      </c>
      <c r="AU2026">
        <v>2024</v>
      </c>
      <c r="AV2026">
        <v>11</v>
      </c>
      <c r="AW2026">
        <v>1</v>
      </c>
      <c r="AX2026" t="s">
        <v>74</v>
      </c>
      <c r="AY2026" t="s">
        <v>74</v>
      </c>
      <c r="AZ2026" t="s">
        <v>74</v>
      </c>
      <c r="BA2026" t="s">
        <v>74</v>
      </c>
      <c r="BB2026" t="s">
        <v>74</v>
      </c>
      <c r="BC2026" t="s">
        <v>74</v>
      </c>
      <c r="BD2026">
        <v>2351095</v>
      </c>
      <c r="BE2026" t="s">
        <v>34639</v>
      </c>
      <c r="BF2026" t="str">
        <f>HYPERLINK("http://dx.doi.org/10.1080/23311975.2024.2351095","http://dx.doi.org/10.1080/23311975.2024.2351095")</f>
        <v>http://dx.doi.org/10.1080/23311975.2024.2351095</v>
      </c>
      <c r="BG2026" t="s">
        <v>74</v>
      </c>
      <c r="BH2026" t="s">
        <v>74</v>
      </c>
      <c r="BI2026">
        <v>18</v>
      </c>
      <c r="BJ2026" t="s">
        <v>1597</v>
      </c>
      <c r="BK2026" t="s">
        <v>125</v>
      </c>
      <c r="BL2026" t="s">
        <v>480</v>
      </c>
      <c r="BM2026" t="s">
        <v>34640</v>
      </c>
      <c r="BN2026" t="s">
        <v>74</v>
      </c>
      <c r="BO2026" t="s">
        <v>235</v>
      </c>
      <c r="BP2026" t="s">
        <v>74</v>
      </c>
      <c r="BQ2026" t="s">
        <v>74</v>
      </c>
      <c r="BR2026" t="s">
        <v>102</v>
      </c>
      <c r="BS2026" t="s">
        <v>34641</v>
      </c>
      <c r="BT2026" t="str">
        <f>HYPERLINK("https%3A%2F%2Fwww.webofscience.com%2Fwos%2Fwoscc%2Ffull-record%2FWOS:001221556700001","View Full Record in Web of Science")</f>
        <v>View Full Record in Web of Science</v>
      </c>
    </row>
    <row r="2027" spans="1:72" x14ac:dyDescent="0.35">
      <c r="A2027" t="s">
        <v>72</v>
      </c>
      <c r="B2027" t="s">
        <v>34642</v>
      </c>
      <c r="C2027" t="s">
        <v>74</v>
      </c>
      <c r="D2027" t="s">
        <v>74</v>
      </c>
      <c r="E2027" t="s">
        <v>74</v>
      </c>
      <c r="F2027" t="s">
        <v>34643</v>
      </c>
      <c r="G2027" t="s">
        <v>74</v>
      </c>
      <c r="H2027" t="s">
        <v>74</v>
      </c>
      <c r="I2027" t="s">
        <v>34644</v>
      </c>
      <c r="J2027" t="s">
        <v>506</v>
      </c>
      <c r="K2027" t="s">
        <v>74</v>
      </c>
      <c r="L2027" t="s">
        <v>74</v>
      </c>
      <c r="M2027" t="s">
        <v>78</v>
      </c>
      <c r="N2027" t="s">
        <v>108</v>
      </c>
      <c r="O2027" t="s">
        <v>74</v>
      </c>
      <c r="P2027" t="s">
        <v>74</v>
      </c>
      <c r="Q2027" t="s">
        <v>74</v>
      </c>
      <c r="R2027" t="s">
        <v>74</v>
      </c>
      <c r="S2027" t="s">
        <v>74</v>
      </c>
      <c r="T2027" t="s">
        <v>34645</v>
      </c>
      <c r="U2027" t="s">
        <v>34646</v>
      </c>
      <c r="V2027" t="s">
        <v>34647</v>
      </c>
      <c r="W2027" t="s">
        <v>34648</v>
      </c>
      <c r="X2027" t="s">
        <v>34649</v>
      </c>
      <c r="Y2027" t="s">
        <v>34650</v>
      </c>
      <c r="Z2027" t="s">
        <v>34651</v>
      </c>
      <c r="AA2027" t="s">
        <v>74</v>
      </c>
      <c r="AB2027" t="s">
        <v>34652</v>
      </c>
      <c r="AC2027" t="s">
        <v>74</v>
      </c>
      <c r="AD2027" t="s">
        <v>74</v>
      </c>
      <c r="AE2027" t="s">
        <v>74</v>
      </c>
      <c r="AF2027" t="s">
        <v>74</v>
      </c>
      <c r="AG2027">
        <v>80</v>
      </c>
      <c r="AH2027">
        <v>0</v>
      </c>
      <c r="AI2027">
        <v>0</v>
      </c>
      <c r="AJ2027">
        <v>3</v>
      </c>
      <c r="AK2027">
        <v>3</v>
      </c>
      <c r="AL2027" t="s">
        <v>516</v>
      </c>
      <c r="AM2027" t="s">
        <v>517</v>
      </c>
      <c r="AN2027" t="s">
        <v>518</v>
      </c>
      <c r="AO2027" t="s">
        <v>519</v>
      </c>
      <c r="AP2027" t="s">
        <v>520</v>
      </c>
      <c r="AQ2027" t="s">
        <v>74</v>
      </c>
      <c r="AR2027" t="s">
        <v>521</v>
      </c>
      <c r="AS2027" t="s">
        <v>522</v>
      </c>
      <c r="AT2027" t="s">
        <v>594</v>
      </c>
      <c r="AU2027">
        <v>2024</v>
      </c>
      <c r="AV2027">
        <v>250</v>
      </c>
      <c r="AW2027" t="s">
        <v>74</v>
      </c>
      <c r="AX2027" t="s">
        <v>74</v>
      </c>
      <c r="AY2027" t="s">
        <v>74</v>
      </c>
      <c r="AZ2027" t="s">
        <v>74</v>
      </c>
      <c r="BA2027" t="s">
        <v>74</v>
      </c>
      <c r="BB2027" t="s">
        <v>74</v>
      </c>
      <c r="BC2027" t="s">
        <v>74</v>
      </c>
      <c r="BD2027">
        <v>104534</v>
      </c>
      <c r="BE2027" t="s">
        <v>34653</v>
      </c>
      <c r="BF2027" t="str">
        <f>HYPERLINK("http://dx.doi.org/10.1016/j.actpsy.2024.104534","http://dx.doi.org/10.1016/j.actpsy.2024.104534")</f>
        <v>http://dx.doi.org/10.1016/j.actpsy.2024.104534</v>
      </c>
      <c r="BG2027" t="s">
        <v>74</v>
      </c>
      <c r="BH2027" t="s">
        <v>1721</v>
      </c>
      <c r="BI2027">
        <v>11</v>
      </c>
      <c r="BJ2027" t="s">
        <v>525</v>
      </c>
      <c r="BK2027" t="s">
        <v>99</v>
      </c>
      <c r="BL2027" t="s">
        <v>301</v>
      </c>
      <c r="BM2027" t="s">
        <v>34654</v>
      </c>
      <c r="BN2027">
        <v>39427556</v>
      </c>
      <c r="BO2027" t="s">
        <v>235</v>
      </c>
      <c r="BP2027" t="s">
        <v>74</v>
      </c>
      <c r="BQ2027" t="s">
        <v>74</v>
      </c>
      <c r="BR2027" t="s">
        <v>102</v>
      </c>
      <c r="BS2027" t="s">
        <v>34655</v>
      </c>
      <c r="BT2027" t="str">
        <f>HYPERLINK("https%3A%2F%2Fwww.webofscience.com%2Fwos%2Fwoscc%2Ffull-record%2FWOS:001339637700001","View Full Record in Web of Science")</f>
        <v>View Full Record in Web of Science</v>
      </c>
    </row>
    <row r="2028" spans="1:72" x14ac:dyDescent="0.35">
      <c r="A2028" t="s">
        <v>72</v>
      </c>
      <c r="B2028" t="s">
        <v>34656</v>
      </c>
      <c r="C2028" t="s">
        <v>74</v>
      </c>
      <c r="D2028" t="s">
        <v>74</v>
      </c>
      <c r="E2028" t="s">
        <v>74</v>
      </c>
      <c r="F2028" t="s">
        <v>34657</v>
      </c>
      <c r="G2028" t="s">
        <v>74</v>
      </c>
      <c r="H2028" t="s">
        <v>74</v>
      </c>
      <c r="I2028" t="s">
        <v>34658</v>
      </c>
      <c r="J2028" t="s">
        <v>12167</v>
      </c>
      <c r="K2028" t="s">
        <v>74</v>
      </c>
      <c r="L2028" t="s">
        <v>74</v>
      </c>
      <c r="M2028" t="s">
        <v>78</v>
      </c>
      <c r="N2028" t="s">
        <v>108</v>
      </c>
      <c r="O2028" t="s">
        <v>74</v>
      </c>
      <c r="P2028" t="s">
        <v>74</v>
      </c>
      <c r="Q2028" t="s">
        <v>74</v>
      </c>
      <c r="R2028" t="s">
        <v>74</v>
      </c>
      <c r="S2028" t="s">
        <v>74</v>
      </c>
      <c r="T2028" t="s">
        <v>34659</v>
      </c>
      <c r="U2028" t="s">
        <v>34660</v>
      </c>
      <c r="V2028" t="s">
        <v>34661</v>
      </c>
      <c r="W2028" t="s">
        <v>34662</v>
      </c>
      <c r="X2028" t="s">
        <v>21851</v>
      </c>
      <c r="Y2028" t="s">
        <v>34663</v>
      </c>
      <c r="Z2028" t="s">
        <v>34664</v>
      </c>
      <c r="AA2028" t="s">
        <v>34665</v>
      </c>
      <c r="AB2028" t="s">
        <v>34666</v>
      </c>
      <c r="AC2028" t="s">
        <v>74</v>
      </c>
      <c r="AD2028" t="s">
        <v>74</v>
      </c>
      <c r="AE2028" t="s">
        <v>74</v>
      </c>
      <c r="AF2028" t="s">
        <v>74</v>
      </c>
      <c r="AG2028">
        <v>38</v>
      </c>
      <c r="AH2028">
        <v>0</v>
      </c>
      <c r="AI2028">
        <v>0</v>
      </c>
      <c r="AJ2028">
        <v>2</v>
      </c>
      <c r="AK2028">
        <v>11</v>
      </c>
      <c r="AL2028" t="s">
        <v>12174</v>
      </c>
      <c r="AM2028" t="s">
        <v>12175</v>
      </c>
      <c r="AN2028" t="s">
        <v>12176</v>
      </c>
      <c r="AO2028" t="s">
        <v>12177</v>
      </c>
      <c r="AP2028" t="s">
        <v>12178</v>
      </c>
      <c r="AQ2028" t="s">
        <v>74</v>
      </c>
      <c r="AR2028" t="s">
        <v>12179</v>
      </c>
      <c r="AS2028" t="s">
        <v>12180</v>
      </c>
      <c r="AT2028" t="s">
        <v>273</v>
      </c>
      <c r="AU2028">
        <v>2023</v>
      </c>
      <c r="AV2028" t="s">
        <v>74</v>
      </c>
      <c r="AW2028">
        <v>26</v>
      </c>
      <c r="AX2028" t="s">
        <v>74</v>
      </c>
      <c r="AY2028" t="s">
        <v>74</v>
      </c>
      <c r="AZ2028" t="s">
        <v>74</v>
      </c>
      <c r="BA2028" t="s">
        <v>74</v>
      </c>
      <c r="BB2028">
        <v>97</v>
      </c>
      <c r="BC2028">
        <v>126</v>
      </c>
      <c r="BD2028" t="s">
        <v>74</v>
      </c>
      <c r="BE2028" t="s">
        <v>34667</v>
      </c>
      <c r="BF2028" t="str">
        <f>HYPERLINK("http://dx.doi.org/10.6035/adcomunica.7305","http://dx.doi.org/10.6035/adcomunica.7305")</f>
        <v>http://dx.doi.org/10.6035/adcomunica.7305</v>
      </c>
      <c r="BG2028" t="s">
        <v>74</v>
      </c>
      <c r="BH2028" t="s">
        <v>74</v>
      </c>
      <c r="BI2028">
        <v>30</v>
      </c>
      <c r="BJ2028" t="s">
        <v>124</v>
      </c>
      <c r="BK2028" t="s">
        <v>125</v>
      </c>
      <c r="BL2028" t="s">
        <v>124</v>
      </c>
      <c r="BM2028" t="s">
        <v>34668</v>
      </c>
      <c r="BN2028" t="s">
        <v>74</v>
      </c>
      <c r="BO2028" t="s">
        <v>394</v>
      </c>
      <c r="BP2028" t="s">
        <v>74</v>
      </c>
      <c r="BQ2028" t="s">
        <v>74</v>
      </c>
      <c r="BR2028" t="s">
        <v>102</v>
      </c>
      <c r="BS2028" t="s">
        <v>34669</v>
      </c>
      <c r="BT2028" t="str">
        <f>HYPERLINK("https%3A%2F%2Fwww.webofscience.com%2Fwos%2Fwoscc%2Ffull-record%2FWOS:001046672400006","View Full Record in Web of Science")</f>
        <v>View Full Record in Web of Science</v>
      </c>
    </row>
    <row r="2029" spans="1:72" x14ac:dyDescent="0.35">
      <c r="A2029" t="s">
        <v>128</v>
      </c>
      <c r="B2029" t="s">
        <v>34670</v>
      </c>
      <c r="C2029" t="s">
        <v>74</v>
      </c>
      <c r="D2029" t="s">
        <v>34671</v>
      </c>
      <c r="E2029" t="s">
        <v>74</v>
      </c>
      <c r="F2029" t="s">
        <v>34672</v>
      </c>
      <c r="G2029" t="s">
        <v>74</v>
      </c>
      <c r="H2029" t="s">
        <v>74</v>
      </c>
      <c r="I2029" t="s">
        <v>34673</v>
      </c>
      <c r="J2029" t="s">
        <v>34674</v>
      </c>
      <c r="K2029" t="s">
        <v>8364</v>
      </c>
      <c r="L2029" t="s">
        <v>74</v>
      </c>
      <c r="M2029" t="s">
        <v>78</v>
      </c>
      <c r="N2029" t="s">
        <v>135</v>
      </c>
      <c r="O2029" t="s">
        <v>8365</v>
      </c>
      <c r="P2029" t="s">
        <v>8366</v>
      </c>
      <c r="Q2029" t="s">
        <v>8367</v>
      </c>
      <c r="R2029" t="s">
        <v>74</v>
      </c>
      <c r="S2029" t="s">
        <v>74</v>
      </c>
      <c r="T2029" t="s">
        <v>34675</v>
      </c>
      <c r="U2029" t="s">
        <v>34676</v>
      </c>
      <c r="V2029" t="s">
        <v>34677</v>
      </c>
      <c r="W2029" t="s">
        <v>34678</v>
      </c>
      <c r="X2029" t="s">
        <v>23822</v>
      </c>
      <c r="Y2029" t="s">
        <v>34679</v>
      </c>
      <c r="Z2029" t="s">
        <v>34680</v>
      </c>
      <c r="AA2029" t="s">
        <v>74</v>
      </c>
      <c r="AB2029" t="s">
        <v>74</v>
      </c>
      <c r="AC2029" t="s">
        <v>74</v>
      </c>
      <c r="AD2029" t="s">
        <v>74</v>
      </c>
      <c r="AE2029" t="s">
        <v>74</v>
      </c>
      <c r="AF2029" t="s">
        <v>74</v>
      </c>
      <c r="AG2029">
        <v>24</v>
      </c>
      <c r="AH2029">
        <v>0</v>
      </c>
      <c r="AI2029">
        <v>0</v>
      </c>
      <c r="AJ2029">
        <v>2</v>
      </c>
      <c r="AK2029">
        <v>4</v>
      </c>
      <c r="AL2029" t="s">
        <v>639</v>
      </c>
      <c r="AM2029" t="s">
        <v>640</v>
      </c>
      <c r="AN2029" t="s">
        <v>641</v>
      </c>
      <c r="AO2029" t="s">
        <v>8380</v>
      </c>
      <c r="AP2029" t="s">
        <v>8381</v>
      </c>
      <c r="AQ2029" t="s">
        <v>34681</v>
      </c>
      <c r="AR2029" t="s">
        <v>8383</v>
      </c>
      <c r="AS2029" t="s">
        <v>74</v>
      </c>
      <c r="AT2029" t="s">
        <v>74</v>
      </c>
      <c r="AU2029">
        <v>2023</v>
      </c>
      <c r="AV2029">
        <v>14057</v>
      </c>
      <c r="AW2029" t="s">
        <v>74</v>
      </c>
      <c r="AX2029" t="s">
        <v>74</v>
      </c>
      <c r="AY2029" t="s">
        <v>74</v>
      </c>
      <c r="AZ2029" t="s">
        <v>74</v>
      </c>
      <c r="BA2029" t="s">
        <v>74</v>
      </c>
      <c r="BB2029">
        <v>340</v>
      </c>
      <c r="BC2029">
        <v>350</v>
      </c>
      <c r="BD2029" t="s">
        <v>74</v>
      </c>
      <c r="BE2029" t="s">
        <v>34682</v>
      </c>
      <c r="BF2029" t="str">
        <f>HYPERLINK("http://dx.doi.org/10.1007/978-3-031-48047-8_22","http://dx.doi.org/10.1007/978-3-031-48047-8_22")</f>
        <v>http://dx.doi.org/10.1007/978-3-031-48047-8_22</v>
      </c>
      <c r="BG2029" t="s">
        <v>74</v>
      </c>
      <c r="BH2029" t="s">
        <v>74</v>
      </c>
      <c r="BI2029">
        <v>11</v>
      </c>
      <c r="BJ2029" t="s">
        <v>34683</v>
      </c>
      <c r="BK2029" t="s">
        <v>723</v>
      </c>
      <c r="BL2029" t="s">
        <v>210</v>
      </c>
      <c r="BM2029" t="s">
        <v>34684</v>
      </c>
      <c r="BN2029" t="s">
        <v>74</v>
      </c>
      <c r="BO2029" t="s">
        <v>74</v>
      </c>
      <c r="BP2029" t="s">
        <v>74</v>
      </c>
      <c r="BQ2029" t="s">
        <v>74</v>
      </c>
      <c r="BR2029" t="s">
        <v>102</v>
      </c>
      <c r="BS2029" t="s">
        <v>34685</v>
      </c>
      <c r="BT2029" t="str">
        <f>HYPERLINK("https%3A%2F%2Fwww.webofscience.com%2Fwos%2Fwoscc%2Ffull-record%2FWOS:001159620100022","View Full Record in Web of Science")</f>
        <v>View Full Record in Web of Science</v>
      </c>
    </row>
    <row r="2030" spans="1:72" x14ac:dyDescent="0.35">
      <c r="A2030" t="s">
        <v>72</v>
      </c>
      <c r="B2030" t="s">
        <v>34686</v>
      </c>
      <c r="C2030" t="s">
        <v>74</v>
      </c>
      <c r="D2030" t="s">
        <v>74</v>
      </c>
      <c r="E2030" t="s">
        <v>74</v>
      </c>
      <c r="F2030" t="s">
        <v>34687</v>
      </c>
      <c r="G2030" t="s">
        <v>74</v>
      </c>
      <c r="H2030" t="s">
        <v>74</v>
      </c>
      <c r="I2030" t="s">
        <v>34688</v>
      </c>
      <c r="J2030" t="s">
        <v>2394</v>
      </c>
      <c r="K2030" t="s">
        <v>74</v>
      </c>
      <c r="L2030" t="s">
        <v>74</v>
      </c>
      <c r="M2030" t="s">
        <v>78</v>
      </c>
      <c r="N2030" t="s">
        <v>108</v>
      </c>
      <c r="O2030" t="s">
        <v>74</v>
      </c>
      <c r="P2030" t="s">
        <v>74</v>
      </c>
      <c r="Q2030" t="s">
        <v>74</v>
      </c>
      <c r="R2030" t="s">
        <v>74</v>
      </c>
      <c r="S2030" t="s">
        <v>74</v>
      </c>
      <c r="T2030" t="s">
        <v>34689</v>
      </c>
      <c r="U2030" t="s">
        <v>34690</v>
      </c>
      <c r="V2030" t="s">
        <v>34691</v>
      </c>
      <c r="W2030" t="s">
        <v>34692</v>
      </c>
      <c r="X2030" t="s">
        <v>34693</v>
      </c>
      <c r="Y2030" t="s">
        <v>34694</v>
      </c>
      <c r="Z2030" t="s">
        <v>34695</v>
      </c>
      <c r="AA2030" t="s">
        <v>74</v>
      </c>
      <c r="AB2030" t="s">
        <v>74</v>
      </c>
      <c r="AC2030" t="s">
        <v>74</v>
      </c>
      <c r="AD2030" t="s">
        <v>74</v>
      </c>
      <c r="AE2030" t="s">
        <v>74</v>
      </c>
      <c r="AF2030" t="s">
        <v>74</v>
      </c>
      <c r="AG2030">
        <v>43</v>
      </c>
      <c r="AH2030">
        <v>2</v>
      </c>
      <c r="AI2030">
        <v>2</v>
      </c>
      <c r="AJ2030">
        <v>5</v>
      </c>
      <c r="AK2030">
        <v>17</v>
      </c>
      <c r="AL2030" t="s">
        <v>665</v>
      </c>
      <c r="AM2030" t="s">
        <v>666</v>
      </c>
      <c r="AN2030" t="s">
        <v>667</v>
      </c>
      <c r="AO2030" t="s">
        <v>2405</v>
      </c>
      <c r="AP2030" t="s">
        <v>2406</v>
      </c>
      <c r="AQ2030" t="s">
        <v>74</v>
      </c>
      <c r="AR2030" t="s">
        <v>2407</v>
      </c>
      <c r="AS2030" t="s">
        <v>2408</v>
      </c>
      <c r="AT2030" t="s">
        <v>257</v>
      </c>
      <c r="AU2030">
        <v>2024</v>
      </c>
      <c r="AV2030">
        <v>43</v>
      </c>
      <c r="AW2030">
        <v>24</v>
      </c>
      <c r="AX2030" t="s">
        <v>74</v>
      </c>
      <c r="AY2030" t="s">
        <v>74</v>
      </c>
      <c r="AZ2030" t="s">
        <v>74</v>
      </c>
      <c r="BA2030" t="s">
        <v>74</v>
      </c>
      <c r="BB2030">
        <v>20891</v>
      </c>
      <c r="BC2030">
        <v>20898</v>
      </c>
      <c r="BD2030" t="s">
        <v>74</v>
      </c>
      <c r="BE2030" t="s">
        <v>34696</v>
      </c>
      <c r="BF2030" t="str">
        <f>HYPERLINK("http://dx.doi.org/10.1007/s12144-024-05925-6","http://dx.doi.org/10.1007/s12144-024-05925-6")</f>
        <v>http://dx.doi.org/10.1007/s12144-024-05925-6</v>
      </c>
      <c r="BG2030" t="s">
        <v>74</v>
      </c>
      <c r="BH2030" t="s">
        <v>2410</v>
      </c>
      <c r="BI2030">
        <v>8</v>
      </c>
      <c r="BJ2030" t="s">
        <v>698</v>
      </c>
      <c r="BK2030" t="s">
        <v>99</v>
      </c>
      <c r="BL2030" t="s">
        <v>301</v>
      </c>
      <c r="BM2030" t="s">
        <v>34697</v>
      </c>
      <c r="BN2030" t="s">
        <v>74</v>
      </c>
      <c r="BO2030" t="s">
        <v>74</v>
      </c>
      <c r="BP2030" t="s">
        <v>74</v>
      </c>
      <c r="BQ2030" t="s">
        <v>74</v>
      </c>
      <c r="BR2030" t="s">
        <v>102</v>
      </c>
      <c r="BS2030" t="s">
        <v>34698</v>
      </c>
      <c r="BT2030" t="str">
        <f>HYPERLINK("https%3A%2F%2Fwww.webofscience.com%2Fwos%2Fwoscc%2Ffull-record%2FWOS:001197093900001","View Full Record in Web of Science")</f>
        <v>View Full Record in Web of Science</v>
      </c>
    </row>
    <row r="2031" spans="1:72" x14ac:dyDescent="0.35">
      <c r="A2031" t="s">
        <v>128</v>
      </c>
      <c r="B2031" t="s">
        <v>34699</v>
      </c>
      <c r="C2031" t="s">
        <v>74</v>
      </c>
      <c r="D2031" t="s">
        <v>34700</v>
      </c>
      <c r="E2031" t="s">
        <v>74</v>
      </c>
      <c r="F2031" t="s">
        <v>34701</v>
      </c>
      <c r="G2031" t="s">
        <v>74</v>
      </c>
      <c r="H2031" t="s">
        <v>74</v>
      </c>
      <c r="I2031" t="s">
        <v>34702</v>
      </c>
      <c r="J2031" t="s">
        <v>34703</v>
      </c>
      <c r="K2031" t="s">
        <v>74</v>
      </c>
      <c r="L2031" t="s">
        <v>74</v>
      </c>
      <c r="M2031" t="s">
        <v>78</v>
      </c>
      <c r="N2031" t="s">
        <v>135</v>
      </c>
      <c r="O2031" t="s">
        <v>34704</v>
      </c>
      <c r="P2031" t="s">
        <v>34705</v>
      </c>
      <c r="Q2031" t="s">
        <v>34706</v>
      </c>
      <c r="R2031" t="s">
        <v>74</v>
      </c>
      <c r="S2031" t="s">
        <v>74</v>
      </c>
      <c r="T2031" t="s">
        <v>74</v>
      </c>
      <c r="U2031" t="s">
        <v>1800</v>
      </c>
      <c r="V2031" t="s">
        <v>34707</v>
      </c>
      <c r="W2031" t="s">
        <v>34708</v>
      </c>
      <c r="X2031" t="s">
        <v>34709</v>
      </c>
      <c r="Y2031" t="s">
        <v>34710</v>
      </c>
      <c r="Z2031" t="s">
        <v>74</v>
      </c>
      <c r="AA2031" t="s">
        <v>34711</v>
      </c>
      <c r="AB2031" t="s">
        <v>74</v>
      </c>
      <c r="AC2031" t="s">
        <v>74</v>
      </c>
      <c r="AD2031" t="s">
        <v>74</v>
      </c>
      <c r="AE2031" t="s">
        <v>74</v>
      </c>
      <c r="AF2031" t="s">
        <v>74</v>
      </c>
      <c r="AG2031">
        <v>27</v>
      </c>
      <c r="AH2031">
        <v>0</v>
      </c>
      <c r="AI2031">
        <v>0</v>
      </c>
      <c r="AJ2031">
        <v>1</v>
      </c>
      <c r="AK2031">
        <v>1</v>
      </c>
      <c r="AL2031" t="s">
        <v>8855</v>
      </c>
      <c r="AM2031" t="s">
        <v>89</v>
      </c>
      <c r="AN2031" t="s">
        <v>8856</v>
      </c>
      <c r="AO2031" t="s">
        <v>74</v>
      </c>
      <c r="AP2031" t="s">
        <v>74</v>
      </c>
      <c r="AQ2031" t="s">
        <v>34712</v>
      </c>
      <c r="AR2031" t="s">
        <v>74</v>
      </c>
      <c r="AS2031" t="s">
        <v>74</v>
      </c>
      <c r="AT2031" t="s">
        <v>74</v>
      </c>
      <c r="AU2031">
        <v>2024</v>
      </c>
      <c r="AV2031" t="s">
        <v>74</v>
      </c>
      <c r="AW2031" t="s">
        <v>74</v>
      </c>
      <c r="AX2031" t="s">
        <v>74</v>
      </c>
      <c r="AY2031" t="s">
        <v>74</v>
      </c>
      <c r="AZ2031" t="s">
        <v>74</v>
      </c>
      <c r="BA2031" t="s">
        <v>74</v>
      </c>
      <c r="BB2031">
        <v>111</v>
      </c>
      <c r="BC2031">
        <v>124</v>
      </c>
      <c r="BD2031" t="s">
        <v>74</v>
      </c>
      <c r="BE2031" t="s">
        <v>34713</v>
      </c>
      <c r="BF2031" t="str">
        <f>HYPERLINK("http://dx.doi.org/10.1201/9781003376125-16","http://dx.doi.org/10.1201/9781003376125-16")</f>
        <v>http://dx.doi.org/10.1201/9781003376125-16</v>
      </c>
      <c r="BG2031" t="s">
        <v>74</v>
      </c>
      <c r="BH2031" t="s">
        <v>74</v>
      </c>
      <c r="BI2031">
        <v>14</v>
      </c>
      <c r="BJ2031" t="s">
        <v>787</v>
      </c>
      <c r="BK2031" t="s">
        <v>154</v>
      </c>
      <c r="BL2031" t="s">
        <v>787</v>
      </c>
      <c r="BM2031" t="s">
        <v>34714</v>
      </c>
      <c r="BN2031" t="s">
        <v>74</v>
      </c>
      <c r="BO2031" t="s">
        <v>156</v>
      </c>
      <c r="BP2031" t="s">
        <v>74</v>
      </c>
      <c r="BQ2031" t="s">
        <v>74</v>
      </c>
      <c r="BR2031" t="s">
        <v>102</v>
      </c>
      <c r="BS2031" t="s">
        <v>34715</v>
      </c>
      <c r="BT2031" t="str">
        <f>HYPERLINK("https%3A%2F%2Fwww.webofscience.com%2Fwos%2Fwoscc%2Ffull-record%2FWOS:001253692400016","View Full Record in Web of Science")</f>
        <v>View Full Record in Web of Science</v>
      </c>
    </row>
    <row r="2032" spans="1:72" x14ac:dyDescent="0.35">
      <c r="A2032" t="s">
        <v>128</v>
      </c>
      <c r="B2032" t="s">
        <v>34716</v>
      </c>
      <c r="C2032" t="s">
        <v>74</v>
      </c>
      <c r="D2032" t="s">
        <v>74</v>
      </c>
      <c r="E2032" t="s">
        <v>702</v>
      </c>
      <c r="F2032" t="s">
        <v>34717</v>
      </c>
      <c r="G2032" t="s">
        <v>74</v>
      </c>
      <c r="H2032" t="s">
        <v>74</v>
      </c>
      <c r="I2032" t="s">
        <v>34718</v>
      </c>
      <c r="J2032" t="s">
        <v>34719</v>
      </c>
      <c r="K2032" t="s">
        <v>74</v>
      </c>
      <c r="L2032" t="s">
        <v>74</v>
      </c>
      <c r="M2032" t="s">
        <v>78</v>
      </c>
      <c r="N2032" t="s">
        <v>135</v>
      </c>
      <c r="O2032" t="s">
        <v>34720</v>
      </c>
      <c r="P2032" t="s">
        <v>34721</v>
      </c>
      <c r="Q2032" t="s">
        <v>12289</v>
      </c>
      <c r="R2032" t="s">
        <v>34722</v>
      </c>
      <c r="S2032" t="s">
        <v>74</v>
      </c>
      <c r="T2032" t="s">
        <v>34723</v>
      </c>
      <c r="U2032" t="s">
        <v>34724</v>
      </c>
      <c r="V2032" t="s">
        <v>34725</v>
      </c>
      <c r="W2032" t="s">
        <v>34726</v>
      </c>
      <c r="X2032" t="s">
        <v>34727</v>
      </c>
      <c r="Y2032" t="s">
        <v>34728</v>
      </c>
      <c r="Z2032" t="s">
        <v>34729</v>
      </c>
      <c r="AA2032" t="s">
        <v>74</v>
      </c>
      <c r="AB2032" t="s">
        <v>34730</v>
      </c>
      <c r="AC2032" t="s">
        <v>74</v>
      </c>
      <c r="AD2032" t="s">
        <v>74</v>
      </c>
      <c r="AE2032" t="s">
        <v>74</v>
      </c>
      <c r="AF2032" t="s">
        <v>74</v>
      </c>
      <c r="AG2032">
        <v>158</v>
      </c>
      <c r="AH2032">
        <v>4</v>
      </c>
      <c r="AI2032">
        <v>4</v>
      </c>
      <c r="AJ2032">
        <v>6</v>
      </c>
      <c r="AK2032">
        <v>16</v>
      </c>
      <c r="AL2032" t="s">
        <v>718</v>
      </c>
      <c r="AM2032" t="s">
        <v>666</v>
      </c>
      <c r="AN2032" t="s">
        <v>719</v>
      </c>
      <c r="AO2032" t="s">
        <v>74</v>
      </c>
      <c r="AP2032" t="s">
        <v>74</v>
      </c>
      <c r="AQ2032" t="s">
        <v>34731</v>
      </c>
      <c r="AR2032" t="s">
        <v>74</v>
      </c>
      <c r="AS2032" t="s">
        <v>74</v>
      </c>
      <c r="AT2032" t="s">
        <v>74</v>
      </c>
      <c r="AU2032">
        <v>2023</v>
      </c>
      <c r="AV2032" t="s">
        <v>74</v>
      </c>
      <c r="AW2032" t="s">
        <v>74</v>
      </c>
      <c r="AX2032" t="s">
        <v>74</v>
      </c>
      <c r="AY2032" t="s">
        <v>74</v>
      </c>
      <c r="AZ2032" t="s">
        <v>74</v>
      </c>
      <c r="BA2032" t="s">
        <v>74</v>
      </c>
      <c r="BB2032" t="s">
        <v>74</v>
      </c>
      <c r="BC2032" t="s">
        <v>74</v>
      </c>
      <c r="BD2032">
        <v>29</v>
      </c>
      <c r="BE2032" t="s">
        <v>34732</v>
      </c>
      <c r="BF2032" t="str">
        <f>HYPERLINK("http://dx.doi.org/10.1145/3597638.3608400","http://dx.doi.org/10.1145/3597638.3608400")</f>
        <v>http://dx.doi.org/10.1145/3597638.3608400</v>
      </c>
      <c r="BG2032" t="s">
        <v>74</v>
      </c>
      <c r="BH2032" t="s">
        <v>74</v>
      </c>
      <c r="BI2032">
        <v>17</v>
      </c>
      <c r="BJ2032" t="s">
        <v>33726</v>
      </c>
      <c r="BK2032" t="s">
        <v>723</v>
      </c>
      <c r="BL2032" t="s">
        <v>1113</v>
      </c>
      <c r="BM2032" t="s">
        <v>34733</v>
      </c>
      <c r="BN2032" t="s">
        <v>74</v>
      </c>
      <c r="BO2032" t="s">
        <v>156</v>
      </c>
      <c r="BP2032" t="s">
        <v>74</v>
      </c>
      <c r="BQ2032" t="s">
        <v>74</v>
      </c>
      <c r="BR2032" t="s">
        <v>102</v>
      </c>
      <c r="BS2032" t="s">
        <v>34734</v>
      </c>
      <c r="BT2032" t="str">
        <f>HYPERLINK("https%3A%2F%2Fwww.webofscience.com%2Fwos%2Fwoscc%2Ffull-record%2FWOS:001125956600029","View Full Record in Web of Science")</f>
        <v>View Full Record in Web of Science</v>
      </c>
    </row>
    <row r="2033" spans="1:72" x14ac:dyDescent="0.35">
      <c r="A2033" t="s">
        <v>72</v>
      </c>
      <c r="B2033" t="s">
        <v>34735</v>
      </c>
      <c r="C2033" t="s">
        <v>74</v>
      </c>
      <c r="D2033" t="s">
        <v>74</v>
      </c>
      <c r="E2033" t="s">
        <v>74</v>
      </c>
      <c r="F2033" t="s">
        <v>34736</v>
      </c>
      <c r="G2033" t="s">
        <v>74</v>
      </c>
      <c r="H2033" t="s">
        <v>74</v>
      </c>
      <c r="I2033" t="s">
        <v>34737</v>
      </c>
      <c r="J2033" t="s">
        <v>4426</v>
      </c>
      <c r="K2033" t="s">
        <v>74</v>
      </c>
      <c r="L2033" t="s">
        <v>74</v>
      </c>
      <c r="M2033" t="s">
        <v>78</v>
      </c>
      <c r="N2033" t="s">
        <v>108</v>
      </c>
      <c r="O2033" t="s">
        <v>74</v>
      </c>
      <c r="P2033" t="s">
        <v>74</v>
      </c>
      <c r="Q2033" t="s">
        <v>74</v>
      </c>
      <c r="R2033" t="s">
        <v>74</v>
      </c>
      <c r="S2033" t="s">
        <v>74</v>
      </c>
      <c r="T2033" t="s">
        <v>34738</v>
      </c>
      <c r="U2033" t="s">
        <v>34739</v>
      </c>
      <c r="V2033" t="s">
        <v>34740</v>
      </c>
      <c r="W2033" t="s">
        <v>34741</v>
      </c>
      <c r="X2033" t="s">
        <v>34742</v>
      </c>
      <c r="Y2033" t="s">
        <v>34743</v>
      </c>
      <c r="Z2033" t="s">
        <v>34744</v>
      </c>
      <c r="AA2033" t="s">
        <v>34745</v>
      </c>
      <c r="AB2033" t="s">
        <v>34746</v>
      </c>
      <c r="AC2033" t="s">
        <v>34747</v>
      </c>
      <c r="AD2033" t="s">
        <v>34747</v>
      </c>
      <c r="AE2033" t="s">
        <v>34748</v>
      </c>
      <c r="AF2033" t="s">
        <v>74</v>
      </c>
      <c r="AG2033">
        <v>72</v>
      </c>
      <c r="AH2033">
        <v>3</v>
      </c>
      <c r="AI2033">
        <v>3</v>
      </c>
      <c r="AJ2033">
        <v>0</v>
      </c>
      <c r="AK2033">
        <v>4</v>
      </c>
      <c r="AL2033" t="s">
        <v>4434</v>
      </c>
      <c r="AM2033" t="s">
        <v>4435</v>
      </c>
      <c r="AN2033" t="s">
        <v>4436</v>
      </c>
      <c r="AO2033" t="s">
        <v>4437</v>
      </c>
      <c r="AP2033" t="s">
        <v>74</v>
      </c>
      <c r="AQ2033" t="s">
        <v>74</v>
      </c>
      <c r="AR2033" t="s">
        <v>4438</v>
      </c>
      <c r="AS2033" t="s">
        <v>4439</v>
      </c>
      <c r="AT2033" t="s">
        <v>74</v>
      </c>
      <c r="AU2033">
        <v>2023</v>
      </c>
      <c r="AV2033">
        <v>12</v>
      </c>
      <c r="AW2033">
        <v>2</v>
      </c>
      <c r="AX2033" t="s">
        <v>74</v>
      </c>
      <c r="AY2033" t="s">
        <v>74</v>
      </c>
      <c r="AZ2033" t="s">
        <v>74</v>
      </c>
      <c r="BA2033" t="s">
        <v>74</v>
      </c>
      <c r="BB2033" t="s">
        <v>74</v>
      </c>
      <c r="BC2033" t="s">
        <v>74</v>
      </c>
      <c r="BD2033">
        <v>1711</v>
      </c>
      <c r="BE2033" t="s">
        <v>34749</v>
      </c>
      <c r="BF2033" t="str">
        <f>HYPERLINK("http://dx.doi.org/10.14763/2023.2.1711","http://dx.doi.org/10.14763/2023.2.1711")</f>
        <v>http://dx.doi.org/10.14763/2023.2.1711</v>
      </c>
      <c r="BG2033" t="s">
        <v>74</v>
      </c>
      <c r="BH2033" t="s">
        <v>74</v>
      </c>
      <c r="BI2033">
        <v>27</v>
      </c>
      <c r="BJ2033" t="s">
        <v>4442</v>
      </c>
      <c r="BK2033" t="s">
        <v>125</v>
      </c>
      <c r="BL2033" t="s">
        <v>1529</v>
      </c>
      <c r="BM2033" t="s">
        <v>34750</v>
      </c>
      <c r="BN2033" t="s">
        <v>74</v>
      </c>
      <c r="BO2033" t="s">
        <v>5678</v>
      </c>
      <c r="BP2033" t="s">
        <v>74</v>
      </c>
      <c r="BQ2033" t="s">
        <v>74</v>
      </c>
      <c r="BR2033" t="s">
        <v>102</v>
      </c>
      <c r="BS2033" t="s">
        <v>34751</v>
      </c>
      <c r="BT2033" t="str">
        <f>HYPERLINK("https%3A%2F%2Fwww.webofscience.com%2Fwos%2Fwoscc%2Ffull-record%2FWOS:001025511200006","View Full Record in Web of Science")</f>
        <v>View Full Record in Web of Science</v>
      </c>
    </row>
    <row r="2034" spans="1:72" x14ac:dyDescent="0.35">
      <c r="A2034" t="s">
        <v>128</v>
      </c>
      <c r="B2034" t="s">
        <v>34752</v>
      </c>
      <c r="C2034" t="s">
        <v>74</v>
      </c>
      <c r="D2034" t="s">
        <v>74</v>
      </c>
      <c r="E2034" t="s">
        <v>702</v>
      </c>
      <c r="F2034" t="s">
        <v>34753</v>
      </c>
      <c r="G2034" t="s">
        <v>74</v>
      </c>
      <c r="H2034" t="s">
        <v>74</v>
      </c>
      <c r="I2034" t="s">
        <v>34754</v>
      </c>
      <c r="J2034" t="s">
        <v>34755</v>
      </c>
      <c r="K2034" t="s">
        <v>74</v>
      </c>
      <c r="L2034" t="s">
        <v>74</v>
      </c>
      <c r="M2034" t="s">
        <v>78</v>
      </c>
      <c r="N2034" t="s">
        <v>135</v>
      </c>
      <c r="O2034" t="s">
        <v>2724</v>
      </c>
      <c r="P2034" t="s">
        <v>2725</v>
      </c>
      <c r="Q2034" t="s">
        <v>138</v>
      </c>
      <c r="R2034" t="s">
        <v>34596</v>
      </c>
      <c r="S2034" t="s">
        <v>74</v>
      </c>
      <c r="T2034" t="s">
        <v>34756</v>
      </c>
      <c r="U2034" t="s">
        <v>74</v>
      </c>
      <c r="V2034" t="s">
        <v>34757</v>
      </c>
      <c r="W2034" t="s">
        <v>34758</v>
      </c>
      <c r="X2034" t="s">
        <v>34759</v>
      </c>
      <c r="Y2034" t="s">
        <v>34760</v>
      </c>
      <c r="Z2034" t="s">
        <v>34761</v>
      </c>
      <c r="AA2034" t="s">
        <v>74</v>
      </c>
      <c r="AB2034" t="s">
        <v>74</v>
      </c>
      <c r="AC2034" t="s">
        <v>34762</v>
      </c>
      <c r="AD2034" t="s">
        <v>34763</v>
      </c>
      <c r="AE2034" t="s">
        <v>34764</v>
      </c>
      <c r="AF2034" t="s">
        <v>74</v>
      </c>
      <c r="AG2034">
        <v>25</v>
      </c>
      <c r="AH2034">
        <v>3</v>
      </c>
      <c r="AI2034">
        <v>3</v>
      </c>
      <c r="AJ2034">
        <v>1</v>
      </c>
      <c r="AK2034">
        <v>3</v>
      </c>
      <c r="AL2034" t="s">
        <v>718</v>
      </c>
      <c r="AM2034" t="s">
        <v>666</v>
      </c>
      <c r="AN2034" t="s">
        <v>719</v>
      </c>
      <c r="AO2034" t="s">
        <v>74</v>
      </c>
      <c r="AP2034" t="s">
        <v>74</v>
      </c>
      <c r="AQ2034" t="s">
        <v>34765</v>
      </c>
      <c r="AR2034" t="s">
        <v>74</v>
      </c>
      <c r="AS2034" t="s">
        <v>74</v>
      </c>
      <c r="AT2034" t="s">
        <v>74</v>
      </c>
      <c r="AU2034">
        <v>2022</v>
      </c>
      <c r="AV2034" t="s">
        <v>74</v>
      </c>
      <c r="AW2034" t="s">
        <v>74</v>
      </c>
      <c r="AX2034" t="s">
        <v>74</v>
      </c>
      <c r="AY2034" t="s">
        <v>74</v>
      </c>
      <c r="AZ2034" t="s">
        <v>74</v>
      </c>
      <c r="BA2034" t="s">
        <v>74</v>
      </c>
      <c r="BB2034">
        <v>126</v>
      </c>
      <c r="BC2034">
        <v>130</v>
      </c>
      <c r="BD2034" t="s">
        <v>74</v>
      </c>
      <c r="BE2034" t="s">
        <v>34766</v>
      </c>
      <c r="BF2034" t="str">
        <f>HYPERLINK("http://dx.doi.org/10.1145/3487553.3524207","http://dx.doi.org/10.1145/3487553.3524207")</f>
        <v>http://dx.doi.org/10.1145/3487553.3524207</v>
      </c>
      <c r="BG2034" t="s">
        <v>74</v>
      </c>
      <c r="BH2034" t="s">
        <v>74</v>
      </c>
      <c r="BI2034">
        <v>5</v>
      </c>
      <c r="BJ2034" t="s">
        <v>34767</v>
      </c>
      <c r="BK2034" t="s">
        <v>723</v>
      </c>
      <c r="BL2034" t="s">
        <v>210</v>
      </c>
      <c r="BM2034" t="s">
        <v>34768</v>
      </c>
      <c r="BN2034" t="s">
        <v>74</v>
      </c>
      <c r="BO2034" t="s">
        <v>767</v>
      </c>
      <c r="BP2034" t="s">
        <v>74</v>
      </c>
      <c r="BQ2034" t="s">
        <v>74</v>
      </c>
      <c r="BR2034" t="s">
        <v>102</v>
      </c>
      <c r="BS2034" t="s">
        <v>34769</v>
      </c>
      <c r="BT2034" t="str">
        <f>HYPERLINK("https%3A%2F%2Fwww.webofscience.com%2Fwos%2Fwoscc%2Ffull-record%2FWOS:001147592700019","View Full Record in Web of Science")</f>
        <v>View Full Record in Web of Science</v>
      </c>
    </row>
    <row r="2035" spans="1:72" x14ac:dyDescent="0.35">
      <c r="A2035" t="s">
        <v>72</v>
      </c>
      <c r="B2035" t="s">
        <v>34770</v>
      </c>
      <c r="C2035" t="s">
        <v>74</v>
      </c>
      <c r="D2035" t="s">
        <v>74</v>
      </c>
      <c r="E2035" t="s">
        <v>74</v>
      </c>
      <c r="F2035" t="s">
        <v>34771</v>
      </c>
      <c r="G2035" t="s">
        <v>74</v>
      </c>
      <c r="H2035" t="s">
        <v>74</v>
      </c>
      <c r="I2035" t="s">
        <v>34772</v>
      </c>
      <c r="J2035" t="s">
        <v>3687</v>
      </c>
      <c r="K2035" t="s">
        <v>74</v>
      </c>
      <c r="L2035" t="s">
        <v>74</v>
      </c>
      <c r="M2035" t="s">
        <v>78</v>
      </c>
      <c r="N2035" t="s">
        <v>79</v>
      </c>
      <c r="O2035" t="s">
        <v>74</v>
      </c>
      <c r="P2035" t="s">
        <v>74</v>
      </c>
      <c r="Q2035" t="s">
        <v>74</v>
      </c>
      <c r="R2035" t="s">
        <v>74</v>
      </c>
      <c r="S2035" t="s">
        <v>74</v>
      </c>
      <c r="T2035" t="s">
        <v>74</v>
      </c>
      <c r="U2035" t="s">
        <v>34773</v>
      </c>
      <c r="V2035" t="s">
        <v>34774</v>
      </c>
      <c r="W2035" t="s">
        <v>34775</v>
      </c>
      <c r="X2035" t="s">
        <v>34776</v>
      </c>
      <c r="Y2035" t="s">
        <v>34777</v>
      </c>
      <c r="Z2035" t="s">
        <v>34778</v>
      </c>
      <c r="AA2035" t="s">
        <v>34779</v>
      </c>
      <c r="AB2035" t="s">
        <v>34780</v>
      </c>
      <c r="AC2035" t="s">
        <v>34781</v>
      </c>
      <c r="AD2035" t="s">
        <v>34782</v>
      </c>
      <c r="AE2035" t="s">
        <v>34783</v>
      </c>
      <c r="AF2035" t="s">
        <v>74</v>
      </c>
      <c r="AG2035">
        <v>67</v>
      </c>
      <c r="AH2035">
        <v>1</v>
      </c>
      <c r="AI2035">
        <v>1</v>
      </c>
      <c r="AJ2035">
        <v>0</v>
      </c>
      <c r="AK2035">
        <v>0</v>
      </c>
      <c r="AL2035" t="s">
        <v>88</v>
      </c>
      <c r="AM2035" t="s">
        <v>89</v>
      </c>
      <c r="AN2035" t="s">
        <v>90</v>
      </c>
      <c r="AO2035" t="s">
        <v>3695</v>
      </c>
      <c r="AP2035" t="s">
        <v>3696</v>
      </c>
      <c r="AQ2035" t="s">
        <v>74</v>
      </c>
      <c r="AR2035" t="s">
        <v>3697</v>
      </c>
      <c r="AS2035" t="s">
        <v>3698</v>
      </c>
      <c r="AT2035" t="s">
        <v>18247</v>
      </c>
      <c r="AU2035">
        <v>2024</v>
      </c>
      <c r="AV2035" t="s">
        <v>74</v>
      </c>
      <c r="AW2035" t="s">
        <v>74</v>
      </c>
      <c r="AX2035" t="s">
        <v>74</v>
      </c>
      <c r="AY2035" t="s">
        <v>74</v>
      </c>
      <c r="AZ2035" t="s">
        <v>74</v>
      </c>
      <c r="BA2035" t="s">
        <v>74</v>
      </c>
      <c r="BB2035" t="s">
        <v>74</v>
      </c>
      <c r="BC2035" t="s">
        <v>74</v>
      </c>
      <c r="BD2035" t="s">
        <v>74</v>
      </c>
      <c r="BE2035" t="s">
        <v>34784</v>
      </c>
      <c r="BF2035" t="str">
        <f>HYPERLINK("http://dx.doi.org/10.1080/10410236.2024.2386713","http://dx.doi.org/10.1080/10410236.2024.2386713")</f>
        <v>http://dx.doi.org/10.1080/10410236.2024.2386713</v>
      </c>
      <c r="BG2035" t="s">
        <v>74</v>
      </c>
      <c r="BH2035" t="s">
        <v>2444</v>
      </c>
      <c r="BI2035">
        <v>16</v>
      </c>
      <c r="BJ2035" t="s">
        <v>3701</v>
      </c>
      <c r="BK2035" t="s">
        <v>99</v>
      </c>
      <c r="BL2035" t="s">
        <v>3702</v>
      </c>
      <c r="BM2035" t="s">
        <v>34785</v>
      </c>
      <c r="BN2035">
        <v>39081194</v>
      </c>
      <c r="BO2035" t="s">
        <v>74</v>
      </c>
      <c r="BP2035" t="s">
        <v>74</v>
      </c>
      <c r="BQ2035" t="s">
        <v>74</v>
      </c>
      <c r="BR2035" t="s">
        <v>102</v>
      </c>
      <c r="BS2035" t="s">
        <v>34786</v>
      </c>
      <c r="BT2035" t="str">
        <f>HYPERLINK("https%3A%2F%2Fwww.webofscience.com%2Fwos%2Fwoscc%2Ffull-record%2FWOS:001282582700001","View Full Record in Web of Science")</f>
        <v>View Full Record in Web of Science</v>
      </c>
    </row>
    <row r="2036" spans="1:72" x14ac:dyDescent="0.35">
      <c r="A2036" t="s">
        <v>72</v>
      </c>
      <c r="B2036" t="s">
        <v>34787</v>
      </c>
      <c r="C2036" t="s">
        <v>74</v>
      </c>
      <c r="D2036" t="s">
        <v>74</v>
      </c>
      <c r="E2036" t="s">
        <v>74</v>
      </c>
      <c r="F2036" t="s">
        <v>34788</v>
      </c>
      <c r="G2036" t="s">
        <v>74</v>
      </c>
      <c r="H2036" t="s">
        <v>74</v>
      </c>
      <c r="I2036" t="s">
        <v>34789</v>
      </c>
      <c r="J2036" t="s">
        <v>34790</v>
      </c>
      <c r="K2036" t="s">
        <v>74</v>
      </c>
      <c r="L2036" t="s">
        <v>74</v>
      </c>
      <c r="M2036" t="s">
        <v>78</v>
      </c>
      <c r="N2036" t="s">
        <v>108</v>
      </c>
      <c r="O2036" t="s">
        <v>74</v>
      </c>
      <c r="P2036" t="s">
        <v>74</v>
      </c>
      <c r="Q2036" t="s">
        <v>74</v>
      </c>
      <c r="R2036" t="s">
        <v>74</v>
      </c>
      <c r="S2036" t="s">
        <v>74</v>
      </c>
      <c r="T2036" t="s">
        <v>34791</v>
      </c>
      <c r="U2036" t="s">
        <v>34792</v>
      </c>
      <c r="V2036" t="s">
        <v>34793</v>
      </c>
      <c r="W2036" t="s">
        <v>34794</v>
      </c>
      <c r="X2036" t="s">
        <v>34795</v>
      </c>
      <c r="Y2036" t="s">
        <v>34796</v>
      </c>
      <c r="Z2036" t="s">
        <v>34797</v>
      </c>
      <c r="AA2036" t="s">
        <v>74</v>
      </c>
      <c r="AB2036" t="s">
        <v>74</v>
      </c>
      <c r="AC2036" t="s">
        <v>34798</v>
      </c>
      <c r="AD2036" t="s">
        <v>34799</v>
      </c>
      <c r="AE2036" t="s">
        <v>34800</v>
      </c>
      <c r="AF2036" t="s">
        <v>74</v>
      </c>
      <c r="AG2036">
        <v>54</v>
      </c>
      <c r="AH2036">
        <v>0</v>
      </c>
      <c r="AI2036">
        <v>0</v>
      </c>
      <c r="AJ2036">
        <v>0</v>
      </c>
      <c r="AK2036">
        <v>10</v>
      </c>
      <c r="AL2036" t="s">
        <v>1195</v>
      </c>
      <c r="AM2036" t="s">
        <v>1196</v>
      </c>
      <c r="AN2036" t="s">
        <v>1197</v>
      </c>
      <c r="AO2036" t="s">
        <v>74</v>
      </c>
      <c r="AP2036" t="s">
        <v>34801</v>
      </c>
      <c r="AQ2036" t="s">
        <v>74</v>
      </c>
      <c r="AR2036" t="s">
        <v>34802</v>
      </c>
      <c r="AS2036" t="s">
        <v>34803</v>
      </c>
      <c r="AT2036" t="s">
        <v>273</v>
      </c>
      <c r="AU2036">
        <v>2023</v>
      </c>
      <c r="AV2036">
        <v>25</v>
      </c>
      <c r="AW2036">
        <v>7</v>
      </c>
      <c r="AX2036" t="s">
        <v>74</v>
      </c>
      <c r="AY2036" t="s">
        <v>74</v>
      </c>
      <c r="AZ2036" t="s">
        <v>74</v>
      </c>
      <c r="BA2036" t="s">
        <v>74</v>
      </c>
      <c r="BB2036" t="s">
        <v>74</v>
      </c>
      <c r="BC2036" t="s">
        <v>74</v>
      </c>
      <c r="BD2036">
        <v>1031</v>
      </c>
      <c r="BE2036" t="s">
        <v>34804</v>
      </c>
      <c r="BF2036" t="str">
        <f>HYPERLINK("http://dx.doi.org/10.3390/e25071031","http://dx.doi.org/10.3390/e25071031")</f>
        <v>http://dx.doi.org/10.3390/e25071031</v>
      </c>
      <c r="BG2036" t="s">
        <v>74</v>
      </c>
      <c r="BH2036" t="s">
        <v>74</v>
      </c>
      <c r="BI2036">
        <v>20</v>
      </c>
      <c r="BJ2036" t="s">
        <v>27560</v>
      </c>
      <c r="BK2036" t="s">
        <v>209</v>
      </c>
      <c r="BL2036" t="s">
        <v>27561</v>
      </c>
      <c r="BM2036" t="s">
        <v>34805</v>
      </c>
      <c r="BN2036">
        <v>37509978</v>
      </c>
      <c r="BO2036" t="s">
        <v>394</v>
      </c>
      <c r="BP2036" t="s">
        <v>74</v>
      </c>
      <c r="BQ2036" t="s">
        <v>74</v>
      </c>
      <c r="BR2036" t="s">
        <v>102</v>
      </c>
      <c r="BS2036" t="s">
        <v>34806</v>
      </c>
      <c r="BT2036" t="str">
        <f>HYPERLINK("https%3A%2F%2Fwww.webofscience.com%2Fwos%2Fwoscc%2Ffull-record%2FWOS:001035284300001","View Full Record in Web of Science")</f>
        <v>View Full Record in Web of Science</v>
      </c>
    </row>
    <row r="2037" spans="1:72" x14ac:dyDescent="0.35">
      <c r="A2037" t="s">
        <v>72</v>
      </c>
      <c r="B2037" t="s">
        <v>34807</v>
      </c>
      <c r="C2037" t="s">
        <v>74</v>
      </c>
      <c r="D2037" t="s">
        <v>74</v>
      </c>
      <c r="E2037" t="s">
        <v>74</v>
      </c>
      <c r="F2037" t="s">
        <v>34808</v>
      </c>
      <c r="G2037" t="s">
        <v>74</v>
      </c>
      <c r="H2037" t="s">
        <v>74</v>
      </c>
      <c r="I2037" t="s">
        <v>34809</v>
      </c>
      <c r="J2037" t="s">
        <v>8768</v>
      </c>
      <c r="K2037" t="s">
        <v>74</v>
      </c>
      <c r="L2037" t="s">
        <v>74</v>
      </c>
      <c r="M2037" t="s">
        <v>8769</v>
      </c>
      <c r="N2037" t="s">
        <v>108</v>
      </c>
      <c r="O2037" t="s">
        <v>74</v>
      </c>
      <c r="P2037" t="s">
        <v>74</v>
      </c>
      <c r="Q2037" t="s">
        <v>74</v>
      </c>
      <c r="R2037" t="s">
        <v>74</v>
      </c>
      <c r="S2037" t="s">
        <v>74</v>
      </c>
      <c r="T2037" t="s">
        <v>34810</v>
      </c>
      <c r="U2037" t="s">
        <v>74</v>
      </c>
      <c r="V2037" t="s">
        <v>34811</v>
      </c>
      <c r="W2037" t="s">
        <v>34812</v>
      </c>
      <c r="X2037" t="s">
        <v>34813</v>
      </c>
      <c r="Y2037" t="s">
        <v>34814</v>
      </c>
      <c r="Z2037" t="s">
        <v>34815</v>
      </c>
      <c r="AA2037" t="s">
        <v>74</v>
      </c>
      <c r="AB2037" t="s">
        <v>74</v>
      </c>
      <c r="AC2037" t="s">
        <v>74</v>
      </c>
      <c r="AD2037" t="s">
        <v>74</v>
      </c>
      <c r="AE2037" t="s">
        <v>74</v>
      </c>
      <c r="AF2037" t="s">
        <v>74</v>
      </c>
      <c r="AG2037">
        <v>29</v>
      </c>
      <c r="AH2037">
        <v>0</v>
      </c>
      <c r="AI2037">
        <v>0</v>
      </c>
      <c r="AJ2037">
        <v>1</v>
      </c>
      <c r="AK2037">
        <v>3</v>
      </c>
      <c r="AL2037" t="s">
        <v>8773</v>
      </c>
      <c r="AM2037" t="s">
        <v>8774</v>
      </c>
      <c r="AN2037" t="s">
        <v>8775</v>
      </c>
      <c r="AO2037" t="s">
        <v>8776</v>
      </c>
      <c r="AP2037" t="s">
        <v>74</v>
      </c>
      <c r="AQ2037" t="s">
        <v>74</v>
      </c>
      <c r="AR2037" t="s">
        <v>8777</v>
      </c>
      <c r="AS2037" t="s">
        <v>8778</v>
      </c>
      <c r="AT2037" t="s">
        <v>74</v>
      </c>
      <c r="AU2037">
        <v>2022</v>
      </c>
      <c r="AV2037">
        <v>27</v>
      </c>
      <c r="AW2037" t="s">
        <v>74</v>
      </c>
      <c r="AX2037" t="s">
        <v>74</v>
      </c>
      <c r="AY2037" t="s">
        <v>74</v>
      </c>
      <c r="AZ2037" t="s">
        <v>74</v>
      </c>
      <c r="BA2037" t="s">
        <v>74</v>
      </c>
      <c r="BB2037">
        <v>18</v>
      </c>
      <c r="BC2037">
        <v>32</v>
      </c>
      <c r="BD2037" t="s">
        <v>74</v>
      </c>
      <c r="BE2037" t="s">
        <v>74</v>
      </c>
      <c r="BF2037" t="s">
        <v>74</v>
      </c>
      <c r="BG2037" t="s">
        <v>74</v>
      </c>
      <c r="BH2037" t="s">
        <v>74</v>
      </c>
      <c r="BI2037">
        <v>15</v>
      </c>
      <c r="BJ2037" t="s">
        <v>2124</v>
      </c>
      <c r="BK2037" t="s">
        <v>125</v>
      </c>
      <c r="BL2037" t="s">
        <v>2124</v>
      </c>
      <c r="BM2037" t="s">
        <v>34816</v>
      </c>
      <c r="BN2037" t="s">
        <v>74</v>
      </c>
      <c r="BO2037" t="s">
        <v>74</v>
      </c>
      <c r="BP2037" t="s">
        <v>74</v>
      </c>
      <c r="BQ2037" t="s">
        <v>74</v>
      </c>
      <c r="BR2037" t="s">
        <v>102</v>
      </c>
      <c r="BS2037" t="s">
        <v>34817</v>
      </c>
      <c r="BT2037" t="str">
        <f>HYPERLINK("https%3A%2F%2Fwww.webofscience.com%2Fwos%2Fwoscc%2Ffull-record%2FWOS:000809337100003","View Full Record in Web of Science")</f>
        <v>View Full Record in Web of Science</v>
      </c>
    </row>
    <row r="2038" spans="1:72" x14ac:dyDescent="0.35">
      <c r="A2038" t="s">
        <v>72</v>
      </c>
      <c r="B2038" t="s">
        <v>34818</v>
      </c>
      <c r="C2038" t="s">
        <v>74</v>
      </c>
      <c r="D2038" t="s">
        <v>74</v>
      </c>
      <c r="E2038" t="s">
        <v>74</v>
      </c>
      <c r="F2038" t="s">
        <v>34819</v>
      </c>
      <c r="G2038" t="s">
        <v>74</v>
      </c>
      <c r="H2038" t="s">
        <v>74</v>
      </c>
      <c r="I2038" t="s">
        <v>34820</v>
      </c>
      <c r="J2038" t="s">
        <v>34821</v>
      </c>
      <c r="K2038" t="s">
        <v>74</v>
      </c>
      <c r="L2038" t="s">
        <v>74</v>
      </c>
      <c r="M2038" t="s">
        <v>78</v>
      </c>
      <c r="N2038" t="s">
        <v>108</v>
      </c>
      <c r="O2038" t="s">
        <v>74</v>
      </c>
      <c r="P2038" t="s">
        <v>74</v>
      </c>
      <c r="Q2038" t="s">
        <v>74</v>
      </c>
      <c r="R2038" t="s">
        <v>74</v>
      </c>
      <c r="S2038" t="s">
        <v>74</v>
      </c>
      <c r="T2038" t="s">
        <v>34822</v>
      </c>
      <c r="U2038" t="s">
        <v>34823</v>
      </c>
      <c r="V2038" t="s">
        <v>34824</v>
      </c>
      <c r="W2038" t="s">
        <v>34825</v>
      </c>
      <c r="X2038" t="s">
        <v>74</v>
      </c>
      <c r="Y2038" t="s">
        <v>34826</v>
      </c>
      <c r="Z2038" t="s">
        <v>34827</v>
      </c>
      <c r="AA2038" t="s">
        <v>34828</v>
      </c>
      <c r="AB2038" t="s">
        <v>74</v>
      </c>
      <c r="AC2038" t="s">
        <v>74</v>
      </c>
      <c r="AD2038" t="s">
        <v>74</v>
      </c>
      <c r="AE2038" t="s">
        <v>74</v>
      </c>
      <c r="AF2038" t="s">
        <v>74</v>
      </c>
      <c r="AG2038">
        <v>20</v>
      </c>
      <c r="AH2038">
        <v>0</v>
      </c>
      <c r="AI2038">
        <v>0</v>
      </c>
      <c r="AJ2038">
        <v>2</v>
      </c>
      <c r="AK2038">
        <v>3</v>
      </c>
      <c r="AL2038" t="s">
        <v>34829</v>
      </c>
      <c r="AM2038" t="s">
        <v>6529</v>
      </c>
      <c r="AN2038" t="s">
        <v>34830</v>
      </c>
      <c r="AO2038" t="s">
        <v>34831</v>
      </c>
      <c r="AP2038" t="s">
        <v>34832</v>
      </c>
      <c r="AQ2038" t="s">
        <v>74</v>
      </c>
      <c r="AR2038" t="s">
        <v>34833</v>
      </c>
      <c r="AS2038" t="s">
        <v>34834</v>
      </c>
      <c r="AT2038" t="s">
        <v>9817</v>
      </c>
      <c r="AU2038">
        <v>2024</v>
      </c>
      <c r="AV2038">
        <v>66</v>
      </c>
      <c r="AW2038">
        <v>1</v>
      </c>
      <c r="AX2038" t="s">
        <v>74</v>
      </c>
      <c r="AY2038" t="s">
        <v>74</v>
      </c>
      <c r="AZ2038" t="s">
        <v>74</v>
      </c>
      <c r="BA2038" t="s">
        <v>74</v>
      </c>
      <c r="BB2038">
        <v>70</v>
      </c>
      <c r="BC2038">
        <v>77</v>
      </c>
      <c r="BD2038" t="s">
        <v>74</v>
      </c>
      <c r="BE2038" t="s">
        <v>34835</v>
      </c>
      <c r="BF2038" t="str">
        <f>HYPERLINK("http://dx.doi.org/10.1016/j.rx.2023.01.014","http://dx.doi.org/10.1016/j.rx.2023.01.014")</f>
        <v>http://dx.doi.org/10.1016/j.rx.2023.01.014</v>
      </c>
      <c r="BG2038" t="s">
        <v>74</v>
      </c>
      <c r="BH2038" t="s">
        <v>1377</v>
      </c>
      <c r="BI2038">
        <v>8</v>
      </c>
      <c r="BJ2038" t="s">
        <v>2035</v>
      </c>
      <c r="BK2038" t="s">
        <v>125</v>
      </c>
      <c r="BL2038" t="s">
        <v>2035</v>
      </c>
      <c r="BM2038" t="s">
        <v>34836</v>
      </c>
      <c r="BN2038">
        <v>38365356</v>
      </c>
      <c r="BO2038" t="s">
        <v>74</v>
      </c>
      <c r="BP2038" t="s">
        <v>74</v>
      </c>
      <c r="BQ2038" t="s">
        <v>74</v>
      </c>
      <c r="BR2038" t="s">
        <v>102</v>
      </c>
      <c r="BS2038" t="s">
        <v>34837</v>
      </c>
      <c r="BT2038" t="str">
        <f>HYPERLINK("https%3A%2F%2Fwww.webofscience.com%2Fwos%2Fwoscc%2Ffull-record%2FWOS:001162745700001","View Full Record in Web of Science")</f>
        <v>View Full Record in Web of Science</v>
      </c>
    </row>
    <row r="2039" spans="1:72" x14ac:dyDescent="0.35">
      <c r="A2039" t="s">
        <v>72</v>
      </c>
      <c r="B2039" t="s">
        <v>34838</v>
      </c>
      <c r="C2039" t="s">
        <v>74</v>
      </c>
      <c r="D2039" t="s">
        <v>74</v>
      </c>
      <c r="E2039" t="s">
        <v>74</v>
      </c>
      <c r="F2039" t="s">
        <v>34839</v>
      </c>
      <c r="G2039" t="s">
        <v>74</v>
      </c>
      <c r="H2039" t="s">
        <v>74</v>
      </c>
      <c r="I2039" t="s">
        <v>34840</v>
      </c>
      <c r="J2039" t="s">
        <v>1282</v>
      </c>
      <c r="K2039" t="s">
        <v>74</v>
      </c>
      <c r="L2039" t="s">
        <v>74</v>
      </c>
      <c r="M2039" t="s">
        <v>78</v>
      </c>
      <c r="N2039" t="s">
        <v>108</v>
      </c>
      <c r="O2039" t="s">
        <v>74</v>
      </c>
      <c r="P2039" t="s">
        <v>74</v>
      </c>
      <c r="Q2039" t="s">
        <v>74</v>
      </c>
      <c r="R2039" t="s">
        <v>74</v>
      </c>
      <c r="S2039" t="s">
        <v>74</v>
      </c>
      <c r="T2039" t="s">
        <v>34841</v>
      </c>
      <c r="U2039" t="s">
        <v>34842</v>
      </c>
      <c r="V2039" t="s">
        <v>34843</v>
      </c>
      <c r="W2039" t="s">
        <v>34844</v>
      </c>
      <c r="X2039" t="s">
        <v>34845</v>
      </c>
      <c r="Y2039" t="s">
        <v>34846</v>
      </c>
      <c r="Z2039" t="s">
        <v>34847</v>
      </c>
      <c r="AA2039" t="s">
        <v>34848</v>
      </c>
      <c r="AB2039" t="s">
        <v>34849</v>
      </c>
      <c r="AC2039" t="s">
        <v>34850</v>
      </c>
      <c r="AD2039" t="s">
        <v>34851</v>
      </c>
      <c r="AE2039" t="s">
        <v>34852</v>
      </c>
      <c r="AF2039" t="s">
        <v>74</v>
      </c>
      <c r="AG2039">
        <v>81</v>
      </c>
      <c r="AH2039">
        <v>3</v>
      </c>
      <c r="AI2039">
        <v>3</v>
      </c>
      <c r="AJ2039">
        <v>129</v>
      </c>
      <c r="AK2039">
        <v>134</v>
      </c>
      <c r="AL2039" t="s">
        <v>1294</v>
      </c>
      <c r="AM2039" t="s">
        <v>1062</v>
      </c>
      <c r="AN2039" t="s">
        <v>1295</v>
      </c>
      <c r="AO2039" t="s">
        <v>74</v>
      </c>
      <c r="AP2039" t="s">
        <v>1296</v>
      </c>
      <c r="AQ2039" t="s">
        <v>74</v>
      </c>
      <c r="AR2039" t="s">
        <v>1282</v>
      </c>
      <c r="AS2039" t="s">
        <v>1297</v>
      </c>
      <c r="AT2039" t="s">
        <v>12625</v>
      </c>
      <c r="AU2039">
        <v>2024</v>
      </c>
      <c r="AV2039">
        <v>10</v>
      </c>
      <c r="AW2039">
        <v>9</v>
      </c>
      <c r="AX2039" t="s">
        <v>74</v>
      </c>
      <c r="AY2039" t="s">
        <v>74</v>
      </c>
      <c r="AZ2039" t="s">
        <v>74</v>
      </c>
      <c r="BA2039" t="s">
        <v>74</v>
      </c>
      <c r="BB2039" t="s">
        <v>74</v>
      </c>
      <c r="BC2039" t="s">
        <v>74</v>
      </c>
      <c r="BD2039" t="s">
        <v>34853</v>
      </c>
      <c r="BE2039" t="s">
        <v>34854</v>
      </c>
      <c r="BF2039" t="str">
        <f>HYPERLINK("http://dx.doi.org/10.1016/j.heliyon.2024.e30346","http://dx.doi.org/10.1016/j.heliyon.2024.e30346")</f>
        <v>http://dx.doi.org/10.1016/j.heliyon.2024.e30346</v>
      </c>
      <c r="BG2039" t="s">
        <v>74</v>
      </c>
      <c r="BH2039" t="s">
        <v>74</v>
      </c>
      <c r="BI2039">
        <v>11</v>
      </c>
      <c r="BJ2039" t="s">
        <v>1301</v>
      </c>
      <c r="BK2039" t="s">
        <v>209</v>
      </c>
      <c r="BL2039" t="s">
        <v>1302</v>
      </c>
      <c r="BM2039" t="s">
        <v>34855</v>
      </c>
      <c r="BN2039">
        <v>38707427</v>
      </c>
      <c r="BO2039" t="s">
        <v>394</v>
      </c>
      <c r="BP2039" t="s">
        <v>74</v>
      </c>
      <c r="BQ2039" t="s">
        <v>74</v>
      </c>
      <c r="BR2039" t="s">
        <v>102</v>
      </c>
      <c r="BS2039" t="s">
        <v>34856</v>
      </c>
      <c r="BT2039" t="str">
        <f>HYPERLINK("https%3A%2F%2Fwww.webofscience.com%2Fwos%2Fwoscc%2Ffull-record%2FWOS:001236657100001","View Full Record in Web of Science")</f>
        <v>View Full Record in Web of Science</v>
      </c>
    </row>
    <row r="2040" spans="1:72" x14ac:dyDescent="0.35">
      <c r="A2040" t="s">
        <v>72</v>
      </c>
      <c r="B2040" t="s">
        <v>34857</v>
      </c>
      <c r="C2040" t="s">
        <v>74</v>
      </c>
      <c r="D2040" t="s">
        <v>74</v>
      </c>
      <c r="E2040" t="s">
        <v>74</v>
      </c>
      <c r="F2040" t="s">
        <v>34858</v>
      </c>
      <c r="G2040" t="s">
        <v>74</v>
      </c>
      <c r="H2040" t="s">
        <v>74</v>
      </c>
      <c r="I2040" t="s">
        <v>34859</v>
      </c>
      <c r="J2040" t="s">
        <v>8249</v>
      </c>
      <c r="K2040" t="s">
        <v>74</v>
      </c>
      <c r="L2040" t="s">
        <v>74</v>
      </c>
      <c r="M2040" t="s">
        <v>3503</v>
      </c>
      <c r="N2040" t="s">
        <v>108</v>
      </c>
      <c r="O2040" t="s">
        <v>74</v>
      </c>
      <c r="P2040" t="s">
        <v>74</v>
      </c>
      <c r="Q2040" t="s">
        <v>74</v>
      </c>
      <c r="R2040" t="s">
        <v>74</v>
      </c>
      <c r="S2040" t="s">
        <v>74</v>
      </c>
      <c r="T2040" t="s">
        <v>34860</v>
      </c>
      <c r="U2040" t="s">
        <v>28549</v>
      </c>
      <c r="V2040" t="s">
        <v>34861</v>
      </c>
      <c r="W2040" t="s">
        <v>34862</v>
      </c>
      <c r="X2040" t="s">
        <v>14162</v>
      </c>
      <c r="Y2040" t="s">
        <v>34863</v>
      </c>
      <c r="Z2040" t="s">
        <v>34864</v>
      </c>
      <c r="AA2040" t="s">
        <v>34865</v>
      </c>
      <c r="AB2040" t="s">
        <v>74</v>
      </c>
      <c r="AC2040" t="s">
        <v>74</v>
      </c>
      <c r="AD2040" t="s">
        <v>74</v>
      </c>
      <c r="AE2040" t="s">
        <v>74</v>
      </c>
      <c r="AF2040" t="s">
        <v>74</v>
      </c>
      <c r="AG2040">
        <v>47</v>
      </c>
      <c r="AH2040">
        <v>3</v>
      </c>
      <c r="AI2040">
        <v>5</v>
      </c>
      <c r="AJ2040">
        <v>2</v>
      </c>
      <c r="AK2040">
        <v>58</v>
      </c>
      <c r="AL2040" t="s">
        <v>10032</v>
      </c>
      <c r="AM2040" t="s">
        <v>10033</v>
      </c>
      <c r="AN2040" t="s">
        <v>10034</v>
      </c>
      <c r="AO2040" t="s">
        <v>8259</v>
      </c>
      <c r="AP2040" t="s">
        <v>74</v>
      </c>
      <c r="AQ2040" t="s">
        <v>74</v>
      </c>
      <c r="AR2040" t="s">
        <v>8260</v>
      </c>
      <c r="AS2040" t="s">
        <v>8261</v>
      </c>
      <c r="AT2040" t="s">
        <v>74</v>
      </c>
      <c r="AU2040">
        <v>2022</v>
      </c>
      <c r="AV2040">
        <v>80</v>
      </c>
      <c r="AW2040" t="s">
        <v>74</v>
      </c>
      <c r="AX2040" t="s">
        <v>74</v>
      </c>
      <c r="AY2040" t="s">
        <v>74</v>
      </c>
      <c r="AZ2040" t="s">
        <v>74</v>
      </c>
      <c r="BA2040" t="s">
        <v>74</v>
      </c>
      <c r="BB2040">
        <v>1</v>
      </c>
      <c r="BC2040">
        <v>20</v>
      </c>
      <c r="BD2040" t="s">
        <v>74</v>
      </c>
      <c r="BE2040" t="s">
        <v>34866</v>
      </c>
      <c r="BF2040" t="str">
        <f>HYPERLINK("http://dx.doi.org/10.4185/RLCS-2022-1545","http://dx.doi.org/10.4185/RLCS-2022-1545")</f>
        <v>http://dx.doi.org/10.4185/RLCS-2022-1545</v>
      </c>
      <c r="BG2040" t="s">
        <v>74</v>
      </c>
      <c r="BH2040" t="s">
        <v>74</v>
      </c>
      <c r="BI2040">
        <v>20</v>
      </c>
      <c r="BJ2040" t="s">
        <v>124</v>
      </c>
      <c r="BK2040" t="s">
        <v>125</v>
      </c>
      <c r="BL2040" t="s">
        <v>124</v>
      </c>
      <c r="BM2040" t="s">
        <v>34867</v>
      </c>
      <c r="BN2040" t="s">
        <v>74</v>
      </c>
      <c r="BO2040" t="s">
        <v>5678</v>
      </c>
      <c r="BP2040" t="s">
        <v>74</v>
      </c>
      <c r="BQ2040" t="s">
        <v>74</v>
      </c>
      <c r="BR2040" t="s">
        <v>102</v>
      </c>
      <c r="BS2040" t="s">
        <v>34868</v>
      </c>
      <c r="BT2040" t="str">
        <f>HYPERLINK("https%3A%2F%2Fwww.webofscience.com%2Fwos%2Fwoscc%2Ffull-record%2FWOS:000782790100001","View Full Record in Web of Science")</f>
        <v>View Full Record in Web of Science</v>
      </c>
    </row>
    <row r="2041" spans="1:72" x14ac:dyDescent="0.35">
      <c r="A2041" t="s">
        <v>72</v>
      </c>
      <c r="B2041" t="s">
        <v>34869</v>
      </c>
      <c r="C2041" t="s">
        <v>74</v>
      </c>
      <c r="D2041" t="s">
        <v>74</v>
      </c>
      <c r="E2041" t="s">
        <v>74</v>
      </c>
      <c r="F2041" t="s">
        <v>34870</v>
      </c>
      <c r="G2041" t="s">
        <v>74</v>
      </c>
      <c r="H2041" t="s">
        <v>74</v>
      </c>
      <c r="I2041" t="s">
        <v>34871</v>
      </c>
      <c r="J2041" t="s">
        <v>22939</v>
      </c>
      <c r="K2041" t="s">
        <v>74</v>
      </c>
      <c r="L2041" t="s">
        <v>74</v>
      </c>
      <c r="M2041" t="s">
        <v>78</v>
      </c>
      <c r="N2041" t="s">
        <v>79</v>
      </c>
      <c r="O2041" t="s">
        <v>74</v>
      </c>
      <c r="P2041" t="s">
        <v>74</v>
      </c>
      <c r="Q2041" t="s">
        <v>74</v>
      </c>
      <c r="R2041" t="s">
        <v>74</v>
      </c>
      <c r="S2041" t="s">
        <v>74</v>
      </c>
      <c r="T2041" t="s">
        <v>34872</v>
      </c>
      <c r="U2041" t="s">
        <v>74</v>
      </c>
      <c r="V2041" t="s">
        <v>34873</v>
      </c>
      <c r="W2041" t="s">
        <v>34874</v>
      </c>
      <c r="X2041" t="s">
        <v>18103</v>
      </c>
      <c r="Y2041" t="s">
        <v>34875</v>
      </c>
      <c r="Z2041" t="s">
        <v>34876</v>
      </c>
      <c r="AA2041" t="s">
        <v>74</v>
      </c>
      <c r="AB2041" t="s">
        <v>74</v>
      </c>
      <c r="AC2041" t="s">
        <v>74</v>
      </c>
      <c r="AD2041" t="s">
        <v>74</v>
      </c>
      <c r="AE2041" t="s">
        <v>34877</v>
      </c>
      <c r="AF2041" t="s">
        <v>74</v>
      </c>
      <c r="AG2041">
        <v>22</v>
      </c>
      <c r="AH2041">
        <v>0</v>
      </c>
      <c r="AI2041">
        <v>0</v>
      </c>
      <c r="AJ2041">
        <v>4</v>
      </c>
      <c r="AK2041">
        <v>4</v>
      </c>
      <c r="AL2041" t="s">
        <v>171</v>
      </c>
      <c r="AM2041" t="s">
        <v>172</v>
      </c>
      <c r="AN2041" t="s">
        <v>173</v>
      </c>
      <c r="AO2041" t="s">
        <v>22947</v>
      </c>
      <c r="AP2041" t="s">
        <v>22948</v>
      </c>
      <c r="AQ2041" t="s">
        <v>74</v>
      </c>
      <c r="AR2041" t="s">
        <v>22949</v>
      </c>
      <c r="AS2041" t="s">
        <v>22950</v>
      </c>
      <c r="AT2041" t="s">
        <v>7989</v>
      </c>
      <c r="AU2041">
        <v>2024</v>
      </c>
      <c r="AV2041" t="s">
        <v>74</v>
      </c>
      <c r="AW2041" t="s">
        <v>74</v>
      </c>
      <c r="AX2041" t="s">
        <v>74</v>
      </c>
      <c r="AY2041" t="s">
        <v>74</v>
      </c>
      <c r="AZ2041" t="s">
        <v>74</v>
      </c>
      <c r="BA2041" t="s">
        <v>74</v>
      </c>
      <c r="BB2041" t="s">
        <v>74</v>
      </c>
      <c r="BC2041" t="s">
        <v>74</v>
      </c>
      <c r="BD2041" t="s">
        <v>74</v>
      </c>
      <c r="BE2041" t="s">
        <v>34878</v>
      </c>
      <c r="BF2041" t="str">
        <f>HYPERLINK("http://dx.doi.org/10.1177/02601060241288282","http://dx.doi.org/10.1177/02601060241288282")</f>
        <v>http://dx.doi.org/10.1177/02601060241288282</v>
      </c>
      <c r="BG2041" t="s">
        <v>74</v>
      </c>
      <c r="BH2041" t="s">
        <v>1721</v>
      </c>
      <c r="BI2041">
        <v>6</v>
      </c>
      <c r="BJ2041" t="s">
        <v>1071</v>
      </c>
      <c r="BK2041" t="s">
        <v>125</v>
      </c>
      <c r="BL2041" t="s">
        <v>1071</v>
      </c>
      <c r="BM2041" t="s">
        <v>34879</v>
      </c>
      <c r="BN2041">
        <v>39397562</v>
      </c>
      <c r="BO2041" t="s">
        <v>74</v>
      </c>
      <c r="BP2041" t="s">
        <v>74</v>
      </c>
      <c r="BQ2041" t="s">
        <v>74</v>
      </c>
      <c r="BR2041" t="s">
        <v>102</v>
      </c>
      <c r="BS2041" t="s">
        <v>34880</v>
      </c>
      <c r="BT2041" t="str">
        <f>HYPERLINK("https%3A%2F%2Fwww.webofscience.com%2Fwos%2Fwoscc%2Ffull-record%2FWOS:001334527200001","View Full Record in Web of Science")</f>
        <v>View Full Record in Web of Science</v>
      </c>
    </row>
    <row r="2042" spans="1:72" x14ac:dyDescent="0.35">
      <c r="A2042" t="s">
        <v>72</v>
      </c>
      <c r="B2042" t="s">
        <v>34881</v>
      </c>
      <c r="C2042" t="s">
        <v>74</v>
      </c>
      <c r="D2042" t="s">
        <v>74</v>
      </c>
      <c r="E2042" t="s">
        <v>74</v>
      </c>
      <c r="F2042" t="s">
        <v>34882</v>
      </c>
      <c r="G2042" t="s">
        <v>74</v>
      </c>
      <c r="H2042" t="s">
        <v>74</v>
      </c>
      <c r="I2042" t="s">
        <v>34883</v>
      </c>
      <c r="J2042" t="s">
        <v>4341</v>
      </c>
      <c r="K2042" t="s">
        <v>74</v>
      </c>
      <c r="L2042" t="s">
        <v>74</v>
      </c>
      <c r="M2042" t="s">
        <v>78</v>
      </c>
      <c r="N2042" t="s">
        <v>108</v>
      </c>
      <c r="O2042" t="s">
        <v>74</v>
      </c>
      <c r="P2042" t="s">
        <v>74</v>
      </c>
      <c r="Q2042" t="s">
        <v>74</v>
      </c>
      <c r="R2042" t="s">
        <v>74</v>
      </c>
      <c r="S2042" t="s">
        <v>74</v>
      </c>
      <c r="T2042" t="s">
        <v>34884</v>
      </c>
      <c r="U2042" t="s">
        <v>34885</v>
      </c>
      <c r="V2042" t="s">
        <v>34886</v>
      </c>
      <c r="W2042" t="s">
        <v>34887</v>
      </c>
      <c r="X2042" t="s">
        <v>34888</v>
      </c>
      <c r="Y2042" t="s">
        <v>34889</v>
      </c>
      <c r="Z2042" t="s">
        <v>34890</v>
      </c>
      <c r="AA2042" t="s">
        <v>74</v>
      </c>
      <c r="AB2042" t="s">
        <v>34891</v>
      </c>
      <c r="AC2042" t="s">
        <v>74</v>
      </c>
      <c r="AD2042" t="s">
        <v>74</v>
      </c>
      <c r="AE2042" t="s">
        <v>74</v>
      </c>
      <c r="AF2042" t="s">
        <v>74</v>
      </c>
      <c r="AG2042">
        <v>84</v>
      </c>
      <c r="AH2042">
        <v>6</v>
      </c>
      <c r="AI2042">
        <v>6</v>
      </c>
      <c r="AJ2042">
        <v>19</v>
      </c>
      <c r="AK2042">
        <v>115</v>
      </c>
      <c r="AL2042" t="s">
        <v>1195</v>
      </c>
      <c r="AM2042" t="s">
        <v>1196</v>
      </c>
      <c r="AN2042" t="s">
        <v>1197</v>
      </c>
      <c r="AO2042" t="s">
        <v>74</v>
      </c>
      <c r="AP2042" t="s">
        <v>4353</v>
      </c>
      <c r="AQ2042" t="s">
        <v>74</v>
      </c>
      <c r="AR2042" t="s">
        <v>4354</v>
      </c>
      <c r="AS2042" t="s">
        <v>4355</v>
      </c>
      <c r="AT2042" t="s">
        <v>178</v>
      </c>
      <c r="AU2042">
        <v>2023</v>
      </c>
      <c r="AV2042">
        <v>11</v>
      </c>
      <c r="AW2042">
        <v>4</v>
      </c>
      <c r="AX2042" t="s">
        <v>74</v>
      </c>
      <c r="AY2042" t="s">
        <v>74</v>
      </c>
      <c r="AZ2042" t="s">
        <v>74</v>
      </c>
      <c r="BA2042" t="s">
        <v>74</v>
      </c>
      <c r="BB2042" t="s">
        <v>74</v>
      </c>
      <c r="BC2042" t="s">
        <v>74</v>
      </c>
      <c r="BD2042">
        <v>579</v>
      </c>
      <c r="BE2042" t="s">
        <v>34892</v>
      </c>
      <c r="BF2042" t="str">
        <f>HYPERLINK("http://dx.doi.org/10.3390/healthcare11040579","http://dx.doi.org/10.3390/healthcare11040579")</f>
        <v>http://dx.doi.org/10.3390/healthcare11040579</v>
      </c>
      <c r="BG2042" t="s">
        <v>74</v>
      </c>
      <c r="BH2042" t="s">
        <v>74</v>
      </c>
      <c r="BI2042">
        <v>14</v>
      </c>
      <c r="BJ2042" t="s">
        <v>4357</v>
      </c>
      <c r="BK2042" t="s">
        <v>182</v>
      </c>
      <c r="BL2042" t="s">
        <v>4358</v>
      </c>
      <c r="BM2042" t="s">
        <v>34893</v>
      </c>
      <c r="BN2042">
        <v>36833113</v>
      </c>
      <c r="BO2042" t="s">
        <v>394</v>
      </c>
      <c r="BP2042" t="s">
        <v>74</v>
      </c>
      <c r="BQ2042" t="s">
        <v>74</v>
      </c>
      <c r="BR2042" t="s">
        <v>102</v>
      </c>
      <c r="BS2042" t="s">
        <v>34894</v>
      </c>
      <c r="BT2042" t="str">
        <f>HYPERLINK("https%3A%2F%2Fwww.webofscience.com%2Fwos%2Fwoscc%2Ffull-record%2FWOS:000939147100001","View Full Record in Web of Science")</f>
        <v>View Full Record in Web of Science</v>
      </c>
    </row>
    <row r="2043" spans="1:72" x14ac:dyDescent="0.35">
      <c r="A2043" t="s">
        <v>72</v>
      </c>
      <c r="B2043" t="s">
        <v>34895</v>
      </c>
      <c r="C2043" t="s">
        <v>74</v>
      </c>
      <c r="D2043" t="s">
        <v>74</v>
      </c>
      <c r="E2043" t="s">
        <v>74</v>
      </c>
      <c r="F2043" t="s">
        <v>34896</v>
      </c>
      <c r="G2043" t="s">
        <v>74</v>
      </c>
      <c r="H2043" t="s">
        <v>74</v>
      </c>
      <c r="I2043" t="s">
        <v>34897</v>
      </c>
      <c r="J2043" t="s">
        <v>681</v>
      </c>
      <c r="K2043" t="s">
        <v>74</v>
      </c>
      <c r="L2043" t="s">
        <v>74</v>
      </c>
      <c r="M2043" t="s">
        <v>78</v>
      </c>
      <c r="N2043" t="s">
        <v>108</v>
      </c>
      <c r="O2043" t="s">
        <v>74</v>
      </c>
      <c r="P2043" t="s">
        <v>74</v>
      </c>
      <c r="Q2043" t="s">
        <v>74</v>
      </c>
      <c r="R2043" t="s">
        <v>74</v>
      </c>
      <c r="S2043" t="s">
        <v>74</v>
      </c>
      <c r="T2043" t="s">
        <v>34898</v>
      </c>
      <c r="U2043" t="s">
        <v>34899</v>
      </c>
      <c r="V2043" t="s">
        <v>34900</v>
      </c>
      <c r="W2043" t="s">
        <v>34901</v>
      </c>
      <c r="X2043" t="s">
        <v>34902</v>
      </c>
      <c r="Y2043" t="s">
        <v>34903</v>
      </c>
      <c r="Z2043" t="s">
        <v>34904</v>
      </c>
      <c r="AA2043" t="s">
        <v>74</v>
      </c>
      <c r="AB2043" t="s">
        <v>74</v>
      </c>
      <c r="AC2043" t="s">
        <v>34905</v>
      </c>
      <c r="AD2043" t="s">
        <v>34906</v>
      </c>
      <c r="AE2043" t="s">
        <v>34907</v>
      </c>
      <c r="AF2043" t="s">
        <v>74</v>
      </c>
      <c r="AG2043">
        <v>89</v>
      </c>
      <c r="AH2043">
        <v>7</v>
      </c>
      <c r="AI2043">
        <v>7</v>
      </c>
      <c r="AJ2043">
        <v>25</v>
      </c>
      <c r="AK2043">
        <v>167</v>
      </c>
      <c r="AL2043" t="s">
        <v>384</v>
      </c>
      <c r="AM2043" t="s">
        <v>385</v>
      </c>
      <c r="AN2043" t="s">
        <v>386</v>
      </c>
      <c r="AO2043" t="s">
        <v>693</v>
      </c>
      <c r="AP2043" t="s">
        <v>74</v>
      </c>
      <c r="AQ2043" t="s">
        <v>74</v>
      </c>
      <c r="AR2043" t="s">
        <v>694</v>
      </c>
      <c r="AS2043" t="s">
        <v>695</v>
      </c>
      <c r="AT2043" t="s">
        <v>34908</v>
      </c>
      <c r="AU2043">
        <v>2022</v>
      </c>
      <c r="AV2043">
        <v>13</v>
      </c>
      <c r="AW2043" t="s">
        <v>74</v>
      </c>
      <c r="AX2043" t="s">
        <v>74</v>
      </c>
      <c r="AY2043" t="s">
        <v>74</v>
      </c>
      <c r="AZ2043" t="s">
        <v>74</v>
      </c>
      <c r="BA2043" t="s">
        <v>74</v>
      </c>
      <c r="BB2043" t="s">
        <v>74</v>
      </c>
      <c r="BC2043" t="s">
        <v>74</v>
      </c>
      <c r="BD2043">
        <v>954964</v>
      </c>
      <c r="BE2043" t="s">
        <v>34909</v>
      </c>
      <c r="BF2043" t="str">
        <f>HYPERLINK("http://dx.doi.org/10.3389/fpsyg.2022.954964","http://dx.doi.org/10.3389/fpsyg.2022.954964")</f>
        <v>http://dx.doi.org/10.3389/fpsyg.2022.954964</v>
      </c>
      <c r="BG2043" t="s">
        <v>74</v>
      </c>
      <c r="BH2043" t="s">
        <v>74</v>
      </c>
      <c r="BI2043">
        <v>19</v>
      </c>
      <c r="BJ2043" t="s">
        <v>698</v>
      </c>
      <c r="BK2043" t="s">
        <v>99</v>
      </c>
      <c r="BL2043" t="s">
        <v>301</v>
      </c>
      <c r="BM2043" t="s">
        <v>34910</v>
      </c>
      <c r="BN2043">
        <v>35992413</v>
      </c>
      <c r="BO2043" t="s">
        <v>552</v>
      </c>
      <c r="BP2043" t="s">
        <v>74</v>
      </c>
      <c r="BQ2043" t="s">
        <v>74</v>
      </c>
      <c r="BR2043" t="s">
        <v>102</v>
      </c>
      <c r="BS2043" t="s">
        <v>34911</v>
      </c>
      <c r="BT2043" t="str">
        <f>HYPERLINK("https%3A%2F%2Fwww.webofscience.com%2Fwos%2Fwoscc%2Ffull-record%2FWOS:000843895900001","View Full Record in Web of Science")</f>
        <v>View Full Record in Web of Science</v>
      </c>
    </row>
    <row r="2044" spans="1:72" x14ac:dyDescent="0.35">
      <c r="A2044" t="s">
        <v>72</v>
      </c>
      <c r="B2044" t="s">
        <v>34912</v>
      </c>
      <c r="C2044" t="s">
        <v>74</v>
      </c>
      <c r="D2044" t="s">
        <v>74</v>
      </c>
      <c r="E2044" t="s">
        <v>74</v>
      </c>
      <c r="F2044" t="s">
        <v>34913</v>
      </c>
      <c r="G2044" t="s">
        <v>74</v>
      </c>
      <c r="H2044" t="s">
        <v>74</v>
      </c>
      <c r="I2044" t="s">
        <v>34914</v>
      </c>
      <c r="J2044" t="s">
        <v>4384</v>
      </c>
      <c r="K2044" t="s">
        <v>74</v>
      </c>
      <c r="L2044" t="s">
        <v>74</v>
      </c>
      <c r="M2044" t="s">
        <v>78</v>
      </c>
      <c r="N2044" t="s">
        <v>108</v>
      </c>
      <c r="O2044" t="s">
        <v>74</v>
      </c>
      <c r="P2044" t="s">
        <v>74</v>
      </c>
      <c r="Q2044" t="s">
        <v>74</v>
      </c>
      <c r="R2044" t="s">
        <v>74</v>
      </c>
      <c r="S2044" t="s">
        <v>74</v>
      </c>
      <c r="T2044" t="s">
        <v>74</v>
      </c>
      <c r="U2044" t="s">
        <v>34915</v>
      </c>
      <c r="V2044" t="s">
        <v>34916</v>
      </c>
      <c r="W2044" t="s">
        <v>34917</v>
      </c>
      <c r="X2044" t="s">
        <v>34918</v>
      </c>
      <c r="Y2044" t="s">
        <v>34919</v>
      </c>
      <c r="Z2044" t="s">
        <v>34920</v>
      </c>
      <c r="AA2044" t="s">
        <v>34921</v>
      </c>
      <c r="AB2044" t="s">
        <v>34922</v>
      </c>
      <c r="AC2044" t="s">
        <v>74</v>
      </c>
      <c r="AD2044" t="s">
        <v>74</v>
      </c>
      <c r="AE2044" t="s">
        <v>74</v>
      </c>
      <c r="AF2044" t="s">
        <v>74</v>
      </c>
      <c r="AG2044">
        <v>77</v>
      </c>
      <c r="AH2044">
        <v>0</v>
      </c>
      <c r="AI2044">
        <v>0</v>
      </c>
      <c r="AJ2044">
        <v>70</v>
      </c>
      <c r="AK2044">
        <v>103</v>
      </c>
      <c r="AL2044" t="s">
        <v>803</v>
      </c>
      <c r="AM2044" t="s">
        <v>227</v>
      </c>
      <c r="AN2044" t="s">
        <v>804</v>
      </c>
      <c r="AO2044" t="s">
        <v>74</v>
      </c>
      <c r="AP2044" t="s">
        <v>4395</v>
      </c>
      <c r="AQ2044" t="s">
        <v>74</v>
      </c>
      <c r="AR2044" t="s">
        <v>4396</v>
      </c>
      <c r="AS2044" t="s">
        <v>4397</v>
      </c>
      <c r="AT2044" t="s">
        <v>34923</v>
      </c>
      <c r="AU2044">
        <v>2024</v>
      </c>
      <c r="AV2044">
        <v>11</v>
      </c>
      <c r="AW2044">
        <v>1</v>
      </c>
      <c r="AX2044" t="s">
        <v>74</v>
      </c>
      <c r="AY2044" t="s">
        <v>74</v>
      </c>
      <c r="AZ2044" t="s">
        <v>74</v>
      </c>
      <c r="BA2044" t="s">
        <v>74</v>
      </c>
      <c r="BB2044" t="s">
        <v>74</v>
      </c>
      <c r="BC2044" t="s">
        <v>74</v>
      </c>
      <c r="BD2044">
        <v>381</v>
      </c>
      <c r="BE2044" t="s">
        <v>34924</v>
      </c>
      <c r="BF2044" t="str">
        <f>HYPERLINK("http://dx.doi.org/10.1057/s41599-024-02895-9","http://dx.doi.org/10.1057/s41599-024-02895-9")</f>
        <v>http://dx.doi.org/10.1057/s41599-024-02895-9</v>
      </c>
      <c r="BG2044" t="s">
        <v>74</v>
      </c>
      <c r="BH2044" t="s">
        <v>74</v>
      </c>
      <c r="BI2044">
        <v>11</v>
      </c>
      <c r="BJ2044" t="s">
        <v>4400</v>
      </c>
      <c r="BK2044" t="s">
        <v>2125</v>
      </c>
      <c r="BL2044" t="s">
        <v>4401</v>
      </c>
      <c r="BM2044" t="s">
        <v>34925</v>
      </c>
      <c r="BN2044" t="s">
        <v>74</v>
      </c>
      <c r="BO2044" t="s">
        <v>235</v>
      </c>
      <c r="BP2044" t="s">
        <v>74</v>
      </c>
      <c r="BQ2044" t="s">
        <v>74</v>
      </c>
      <c r="BR2044" t="s">
        <v>102</v>
      </c>
      <c r="BS2044" t="s">
        <v>34926</v>
      </c>
      <c r="BT2044" t="str">
        <f>HYPERLINK("https%3A%2F%2Fwww.webofscience.com%2Fwos%2Fwoscc%2Ffull-record%2FWOS:001178221400002","View Full Record in Web of Science")</f>
        <v>View Full Record in Web of Science</v>
      </c>
    </row>
    <row r="2045" spans="1:72" x14ac:dyDescent="0.35">
      <c r="A2045" t="s">
        <v>72</v>
      </c>
      <c r="B2045" t="s">
        <v>34927</v>
      </c>
      <c r="C2045" t="s">
        <v>74</v>
      </c>
      <c r="D2045" t="s">
        <v>74</v>
      </c>
      <c r="E2045" t="s">
        <v>74</v>
      </c>
      <c r="F2045" t="s">
        <v>34928</v>
      </c>
      <c r="G2045" t="s">
        <v>74</v>
      </c>
      <c r="H2045" t="s">
        <v>74</v>
      </c>
      <c r="I2045" t="s">
        <v>34929</v>
      </c>
      <c r="J2045" t="s">
        <v>15861</v>
      </c>
      <c r="K2045" t="s">
        <v>74</v>
      </c>
      <c r="L2045" t="s">
        <v>74</v>
      </c>
      <c r="M2045" t="s">
        <v>78</v>
      </c>
      <c r="N2045" t="s">
        <v>108</v>
      </c>
      <c r="O2045" t="s">
        <v>74</v>
      </c>
      <c r="P2045" t="s">
        <v>74</v>
      </c>
      <c r="Q2045" t="s">
        <v>74</v>
      </c>
      <c r="R2045" t="s">
        <v>74</v>
      </c>
      <c r="S2045" t="s">
        <v>74</v>
      </c>
      <c r="T2045" t="s">
        <v>34930</v>
      </c>
      <c r="U2045" t="s">
        <v>34931</v>
      </c>
      <c r="V2045" t="s">
        <v>34932</v>
      </c>
      <c r="W2045" t="s">
        <v>34933</v>
      </c>
      <c r="X2045" t="s">
        <v>74</v>
      </c>
      <c r="Y2045" t="s">
        <v>34934</v>
      </c>
      <c r="Z2045" t="s">
        <v>34935</v>
      </c>
      <c r="AA2045" t="s">
        <v>74</v>
      </c>
      <c r="AB2045" t="s">
        <v>74</v>
      </c>
      <c r="AC2045" t="s">
        <v>74</v>
      </c>
      <c r="AD2045" t="s">
        <v>74</v>
      </c>
      <c r="AE2045" t="s">
        <v>74</v>
      </c>
      <c r="AF2045" t="s">
        <v>74</v>
      </c>
      <c r="AG2045">
        <v>66</v>
      </c>
      <c r="AH2045">
        <v>1</v>
      </c>
      <c r="AI2045">
        <v>1</v>
      </c>
      <c r="AJ2045">
        <v>1</v>
      </c>
      <c r="AK2045">
        <v>1</v>
      </c>
      <c r="AL2045" t="s">
        <v>21243</v>
      </c>
      <c r="AM2045" t="s">
        <v>21244</v>
      </c>
      <c r="AN2045" t="s">
        <v>21245</v>
      </c>
      <c r="AO2045" t="s">
        <v>15873</v>
      </c>
      <c r="AP2045" t="s">
        <v>15874</v>
      </c>
      <c r="AQ2045" t="s">
        <v>74</v>
      </c>
      <c r="AR2045" t="s">
        <v>15861</v>
      </c>
      <c r="AS2045" t="s">
        <v>15875</v>
      </c>
      <c r="AT2045" t="s">
        <v>1484</v>
      </c>
      <c r="AU2045">
        <v>2024</v>
      </c>
      <c r="AV2045">
        <v>32</v>
      </c>
      <c r="AW2045">
        <v>78</v>
      </c>
      <c r="AX2045" t="s">
        <v>74</v>
      </c>
      <c r="AY2045" t="s">
        <v>74</v>
      </c>
      <c r="AZ2045" t="s">
        <v>74</v>
      </c>
      <c r="BA2045" t="s">
        <v>74</v>
      </c>
      <c r="BB2045">
        <v>191</v>
      </c>
      <c r="BC2045">
        <v>204</v>
      </c>
      <c r="BD2045" t="s">
        <v>74</v>
      </c>
      <c r="BE2045" t="s">
        <v>34936</v>
      </c>
      <c r="BF2045" t="str">
        <f>HYPERLINK("http://dx.doi.org/10.58262/V32I78.16","http://dx.doi.org/10.58262/V32I78.16")</f>
        <v>http://dx.doi.org/10.58262/V32I78.16</v>
      </c>
      <c r="BG2045" t="s">
        <v>74</v>
      </c>
      <c r="BH2045" t="s">
        <v>74</v>
      </c>
      <c r="BI2045">
        <v>14</v>
      </c>
      <c r="BJ2045" t="s">
        <v>15877</v>
      </c>
      <c r="BK2045" t="s">
        <v>99</v>
      </c>
      <c r="BL2045" t="s">
        <v>15877</v>
      </c>
      <c r="BM2045" t="s">
        <v>21247</v>
      </c>
      <c r="BN2045" t="s">
        <v>74</v>
      </c>
      <c r="BO2045" t="s">
        <v>5678</v>
      </c>
      <c r="BP2045" t="s">
        <v>74</v>
      </c>
      <c r="BQ2045" t="s">
        <v>74</v>
      </c>
      <c r="BR2045" t="s">
        <v>102</v>
      </c>
      <c r="BS2045" t="s">
        <v>34937</v>
      </c>
      <c r="BT2045" t="str">
        <f>HYPERLINK("https%3A%2F%2Fwww.webofscience.com%2Fwos%2Fwoscc%2Ffull-record%2FWOS:001309482500016","View Full Record in Web of Science")</f>
        <v>View Full Record in Web of Science</v>
      </c>
    </row>
    <row r="2046" spans="1:72" x14ac:dyDescent="0.35">
      <c r="A2046" t="s">
        <v>72</v>
      </c>
      <c r="B2046" t="s">
        <v>34938</v>
      </c>
      <c r="C2046" t="s">
        <v>74</v>
      </c>
      <c r="D2046" t="s">
        <v>74</v>
      </c>
      <c r="E2046" t="s">
        <v>74</v>
      </c>
      <c r="F2046" t="s">
        <v>34939</v>
      </c>
      <c r="G2046" t="s">
        <v>74</v>
      </c>
      <c r="H2046" t="s">
        <v>74</v>
      </c>
      <c r="I2046" t="s">
        <v>34940</v>
      </c>
      <c r="J2046" t="s">
        <v>34941</v>
      </c>
      <c r="K2046" t="s">
        <v>74</v>
      </c>
      <c r="L2046" t="s">
        <v>74</v>
      </c>
      <c r="M2046" t="s">
        <v>78</v>
      </c>
      <c r="N2046" t="s">
        <v>108</v>
      </c>
      <c r="O2046" t="s">
        <v>74</v>
      </c>
      <c r="P2046" t="s">
        <v>74</v>
      </c>
      <c r="Q2046" t="s">
        <v>74</v>
      </c>
      <c r="R2046" t="s">
        <v>74</v>
      </c>
      <c r="S2046" t="s">
        <v>74</v>
      </c>
      <c r="T2046" t="s">
        <v>34942</v>
      </c>
      <c r="U2046" t="s">
        <v>34943</v>
      </c>
      <c r="V2046" t="s">
        <v>34944</v>
      </c>
      <c r="W2046" t="s">
        <v>34945</v>
      </c>
      <c r="X2046" t="s">
        <v>34946</v>
      </c>
      <c r="Y2046" t="s">
        <v>34947</v>
      </c>
      <c r="Z2046" t="s">
        <v>34948</v>
      </c>
      <c r="AA2046" t="s">
        <v>74</v>
      </c>
      <c r="AB2046" t="s">
        <v>74</v>
      </c>
      <c r="AC2046" t="s">
        <v>74</v>
      </c>
      <c r="AD2046" t="s">
        <v>74</v>
      </c>
      <c r="AE2046" t="s">
        <v>74</v>
      </c>
      <c r="AF2046" t="s">
        <v>74</v>
      </c>
      <c r="AG2046">
        <v>46</v>
      </c>
      <c r="AH2046">
        <v>1</v>
      </c>
      <c r="AI2046">
        <v>1</v>
      </c>
      <c r="AJ2046">
        <v>0</v>
      </c>
      <c r="AK2046">
        <v>0</v>
      </c>
      <c r="AL2046" t="s">
        <v>32090</v>
      </c>
      <c r="AM2046" t="s">
        <v>517</v>
      </c>
      <c r="AN2046" t="s">
        <v>32091</v>
      </c>
      <c r="AO2046" t="s">
        <v>34949</v>
      </c>
      <c r="AP2046" t="s">
        <v>34950</v>
      </c>
      <c r="AQ2046" t="s">
        <v>74</v>
      </c>
      <c r="AR2046" t="s">
        <v>34951</v>
      </c>
      <c r="AS2046" t="s">
        <v>34952</v>
      </c>
      <c r="AT2046" t="s">
        <v>74</v>
      </c>
      <c r="AU2046">
        <v>2024</v>
      </c>
      <c r="AV2046">
        <v>35</v>
      </c>
      <c r="AW2046">
        <v>3</v>
      </c>
      <c r="AX2046" t="s">
        <v>74</v>
      </c>
      <c r="AY2046" t="s">
        <v>74</v>
      </c>
      <c r="AZ2046" t="s">
        <v>74</v>
      </c>
      <c r="BA2046" t="s">
        <v>74</v>
      </c>
      <c r="BB2046">
        <v>233</v>
      </c>
      <c r="BC2046">
        <v>245</v>
      </c>
      <c r="BD2046" t="s">
        <v>74</v>
      </c>
      <c r="BE2046" t="s">
        <v>34953</v>
      </c>
      <c r="BF2046" t="str">
        <f>HYPERLINK("http://dx.doi.org/10.3233/JRS-230061","http://dx.doi.org/10.3233/JRS-230061")</f>
        <v>http://dx.doi.org/10.3233/JRS-230061</v>
      </c>
      <c r="BG2046" t="s">
        <v>74</v>
      </c>
      <c r="BH2046" t="s">
        <v>74</v>
      </c>
      <c r="BI2046">
        <v>13</v>
      </c>
      <c r="BJ2046" t="s">
        <v>2363</v>
      </c>
      <c r="BK2046" t="s">
        <v>125</v>
      </c>
      <c r="BL2046" t="s">
        <v>2364</v>
      </c>
      <c r="BM2046" t="s">
        <v>34954</v>
      </c>
      <c r="BN2046">
        <v>38943400</v>
      </c>
      <c r="BO2046" t="s">
        <v>74</v>
      </c>
      <c r="BP2046" t="s">
        <v>74</v>
      </c>
      <c r="BQ2046" t="s">
        <v>74</v>
      </c>
      <c r="BR2046" t="s">
        <v>102</v>
      </c>
      <c r="BS2046" t="s">
        <v>34955</v>
      </c>
      <c r="BT2046" t="str">
        <f>HYPERLINK("https%3A%2F%2Fwww.webofscience.com%2Fwos%2Fwoscc%2Ffull-record%2FWOS:001317981800004","View Full Record in Web of Science")</f>
        <v>View Full Record in Web of Science</v>
      </c>
    </row>
    <row r="2047" spans="1:72" x14ac:dyDescent="0.35">
      <c r="A2047" t="s">
        <v>72</v>
      </c>
      <c r="B2047" t="s">
        <v>34956</v>
      </c>
      <c r="C2047" t="s">
        <v>74</v>
      </c>
      <c r="D2047" t="s">
        <v>74</v>
      </c>
      <c r="E2047" t="s">
        <v>74</v>
      </c>
      <c r="F2047" t="s">
        <v>34957</v>
      </c>
      <c r="G2047" t="s">
        <v>74</v>
      </c>
      <c r="H2047" t="s">
        <v>74</v>
      </c>
      <c r="I2047" t="s">
        <v>34958</v>
      </c>
      <c r="J2047" t="s">
        <v>8487</v>
      </c>
      <c r="K2047" t="s">
        <v>74</v>
      </c>
      <c r="L2047" t="s">
        <v>74</v>
      </c>
      <c r="M2047" t="s">
        <v>78</v>
      </c>
      <c r="N2047" t="s">
        <v>108</v>
      </c>
      <c r="O2047" t="s">
        <v>74</v>
      </c>
      <c r="P2047" t="s">
        <v>74</v>
      </c>
      <c r="Q2047" t="s">
        <v>74</v>
      </c>
      <c r="R2047" t="s">
        <v>74</v>
      </c>
      <c r="S2047" t="s">
        <v>74</v>
      </c>
      <c r="T2047" t="s">
        <v>34959</v>
      </c>
      <c r="U2047" t="s">
        <v>34960</v>
      </c>
      <c r="V2047" t="s">
        <v>34961</v>
      </c>
      <c r="W2047" t="s">
        <v>34962</v>
      </c>
      <c r="X2047" t="s">
        <v>34963</v>
      </c>
      <c r="Y2047" t="s">
        <v>34964</v>
      </c>
      <c r="Z2047" t="s">
        <v>34965</v>
      </c>
      <c r="AA2047" t="s">
        <v>34966</v>
      </c>
      <c r="AB2047" t="s">
        <v>74</v>
      </c>
      <c r="AC2047" t="s">
        <v>74</v>
      </c>
      <c r="AD2047" t="s">
        <v>74</v>
      </c>
      <c r="AE2047" t="s">
        <v>74</v>
      </c>
      <c r="AF2047" t="s">
        <v>74</v>
      </c>
      <c r="AG2047">
        <v>54</v>
      </c>
      <c r="AH2047">
        <v>0</v>
      </c>
      <c r="AI2047">
        <v>0</v>
      </c>
      <c r="AJ2047">
        <v>6</v>
      </c>
      <c r="AK2047">
        <v>7</v>
      </c>
      <c r="AL2047" t="s">
        <v>8496</v>
      </c>
      <c r="AM2047" t="s">
        <v>8497</v>
      </c>
      <c r="AN2047" t="s">
        <v>8498</v>
      </c>
      <c r="AO2047" t="s">
        <v>8499</v>
      </c>
      <c r="AP2047" t="s">
        <v>8500</v>
      </c>
      <c r="AQ2047" t="s">
        <v>74</v>
      </c>
      <c r="AR2047" t="s">
        <v>8501</v>
      </c>
      <c r="AS2047" t="s">
        <v>8502</v>
      </c>
      <c r="AT2047" t="s">
        <v>74</v>
      </c>
      <c r="AU2047">
        <v>2024</v>
      </c>
      <c r="AV2047" t="s">
        <v>74</v>
      </c>
      <c r="AW2047">
        <v>57</v>
      </c>
      <c r="AX2047" t="s">
        <v>74</v>
      </c>
      <c r="AY2047" t="s">
        <v>74</v>
      </c>
      <c r="AZ2047" t="s">
        <v>74</v>
      </c>
      <c r="BA2047" t="s">
        <v>74</v>
      </c>
      <c r="BB2047">
        <v>25</v>
      </c>
      <c r="BC2047">
        <v>45</v>
      </c>
      <c r="BD2047" t="s">
        <v>74</v>
      </c>
      <c r="BE2047" t="s">
        <v>34967</v>
      </c>
      <c r="BF2047" t="str">
        <f>HYPERLINK("http://dx.doi.org/10.7764/cdi.57.64235","http://dx.doi.org/10.7764/cdi.57.64235")</f>
        <v>http://dx.doi.org/10.7764/cdi.57.64235</v>
      </c>
      <c r="BG2047" t="s">
        <v>74</v>
      </c>
      <c r="BH2047" t="s">
        <v>74</v>
      </c>
      <c r="BI2047">
        <v>21</v>
      </c>
      <c r="BJ2047" t="s">
        <v>124</v>
      </c>
      <c r="BK2047" t="s">
        <v>125</v>
      </c>
      <c r="BL2047" t="s">
        <v>124</v>
      </c>
      <c r="BM2047" t="s">
        <v>34968</v>
      </c>
      <c r="BN2047" t="s">
        <v>74</v>
      </c>
      <c r="BO2047" t="s">
        <v>235</v>
      </c>
      <c r="BP2047" t="s">
        <v>74</v>
      </c>
      <c r="BQ2047" t="s">
        <v>74</v>
      </c>
      <c r="BR2047" t="s">
        <v>102</v>
      </c>
      <c r="BS2047" t="s">
        <v>34969</v>
      </c>
      <c r="BT2047" t="str">
        <f>HYPERLINK("https%3A%2F%2Fwww.webofscience.com%2Fwos%2Fwoscc%2Ffull-record%2FWOS:001166146300006","View Full Record in Web of Science")</f>
        <v>View Full Record in Web of Science</v>
      </c>
    </row>
    <row r="2048" spans="1:72" x14ac:dyDescent="0.35">
      <c r="A2048" t="s">
        <v>72</v>
      </c>
      <c r="B2048" t="s">
        <v>34970</v>
      </c>
      <c r="C2048" t="s">
        <v>74</v>
      </c>
      <c r="D2048" t="s">
        <v>74</v>
      </c>
      <c r="E2048" t="s">
        <v>74</v>
      </c>
      <c r="F2048" t="s">
        <v>34971</v>
      </c>
      <c r="G2048" t="s">
        <v>74</v>
      </c>
      <c r="H2048" t="s">
        <v>74</v>
      </c>
      <c r="I2048" t="s">
        <v>34972</v>
      </c>
      <c r="J2048" t="s">
        <v>34973</v>
      </c>
      <c r="K2048" t="s">
        <v>74</v>
      </c>
      <c r="L2048" t="s">
        <v>74</v>
      </c>
      <c r="M2048" t="s">
        <v>78</v>
      </c>
      <c r="N2048" t="s">
        <v>108</v>
      </c>
      <c r="O2048" t="s">
        <v>74</v>
      </c>
      <c r="P2048" t="s">
        <v>74</v>
      </c>
      <c r="Q2048" t="s">
        <v>74</v>
      </c>
      <c r="R2048" t="s">
        <v>74</v>
      </c>
      <c r="S2048" t="s">
        <v>74</v>
      </c>
      <c r="T2048" t="s">
        <v>34974</v>
      </c>
      <c r="U2048" t="s">
        <v>34975</v>
      </c>
      <c r="V2048" t="s">
        <v>34976</v>
      </c>
      <c r="W2048" t="s">
        <v>34977</v>
      </c>
      <c r="X2048" t="s">
        <v>34978</v>
      </c>
      <c r="Y2048" t="s">
        <v>34979</v>
      </c>
      <c r="Z2048" t="s">
        <v>34980</v>
      </c>
      <c r="AA2048" t="s">
        <v>34981</v>
      </c>
      <c r="AB2048" t="s">
        <v>34982</v>
      </c>
      <c r="AC2048" t="s">
        <v>74</v>
      </c>
      <c r="AD2048" t="s">
        <v>74</v>
      </c>
      <c r="AE2048" t="s">
        <v>74</v>
      </c>
      <c r="AF2048" t="s">
        <v>74</v>
      </c>
      <c r="AG2048">
        <v>26</v>
      </c>
      <c r="AH2048">
        <v>2</v>
      </c>
      <c r="AI2048">
        <v>2</v>
      </c>
      <c r="AJ2048">
        <v>4</v>
      </c>
      <c r="AK2048">
        <v>11</v>
      </c>
      <c r="AL2048" t="s">
        <v>1965</v>
      </c>
      <c r="AM2048" t="s">
        <v>666</v>
      </c>
      <c r="AN2048" t="s">
        <v>1966</v>
      </c>
      <c r="AO2048" t="s">
        <v>34983</v>
      </c>
      <c r="AP2048" t="s">
        <v>34984</v>
      </c>
      <c r="AQ2048" t="s">
        <v>74</v>
      </c>
      <c r="AR2048" t="s">
        <v>34985</v>
      </c>
      <c r="AS2048" t="s">
        <v>34986</v>
      </c>
      <c r="AT2048" t="s">
        <v>594</v>
      </c>
      <c r="AU2048">
        <v>2023</v>
      </c>
      <c r="AV2048">
        <v>38</v>
      </c>
      <c r="AW2048">
        <v>5</v>
      </c>
      <c r="AX2048" t="s">
        <v>74</v>
      </c>
      <c r="AY2048" t="s">
        <v>74</v>
      </c>
      <c r="AZ2048" t="s">
        <v>74</v>
      </c>
      <c r="BA2048" t="s">
        <v>74</v>
      </c>
      <c r="BB2048">
        <v>758</v>
      </c>
      <c r="BC2048">
        <v>762</v>
      </c>
      <c r="BD2048" t="s">
        <v>74</v>
      </c>
      <c r="BE2048" t="s">
        <v>34987</v>
      </c>
      <c r="BF2048" t="str">
        <f>HYPERLINK("http://dx.doi.org/10.1016/j.jopan.2023.01.006","http://dx.doi.org/10.1016/j.jopan.2023.01.006")</f>
        <v>http://dx.doi.org/10.1016/j.jopan.2023.01.006</v>
      </c>
      <c r="BG2048" t="s">
        <v>74</v>
      </c>
      <c r="BH2048" t="s">
        <v>2929</v>
      </c>
      <c r="BI2048">
        <v>5</v>
      </c>
      <c r="BJ2048" t="s">
        <v>8110</v>
      </c>
      <c r="BK2048" t="s">
        <v>182</v>
      </c>
      <c r="BL2048" t="s">
        <v>8110</v>
      </c>
      <c r="BM2048" t="s">
        <v>34988</v>
      </c>
      <c r="BN2048">
        <v>36803738</v>
      </c>
      <c r="BO2048" t="s">
        <v>74</v>
      </c>
      <c r="BP2048" t="s">
        <v>74</v>
      </c>
      <c r="BQ2048" t="s">
        <v>74</v>
      </c>
      <c r="BR2048" t="s">
        <v>102</v>
      </c>
      <c r="BS2048" t="s">
        <v>34989</v>
      </c>
      <c r="BT2048" t="str">
        <f>HYPERLINK("https%3A%2F%2Fwww.webofscience.com%2Fwos%2Fwoscc%2Ffull-record%2FWOS:001091893400001","View Full Record in Web of Science")</f>
        <v>View Full Record in Web of Science</v>
      </c>
    </row>
    <row r="2049" spans="1:72" x14ac:dyDescent="0.35">
      <c r="A2049" t="s">
        <v>72</v>
      </c>
      <c r="B2049" t="s">
        <v>34990</v>
      </c>
      <c r="C2049" t="s">
        <v>74</v>
      </c>
      <c r="D2049" t="s">
        <v>74</v>
      </c>
      <c r="E2049" t="s">
        <v>74</v>
      </c>
      <c r="F2049" t="s">
        <v>34991</v>
      </c>
      <c r="G2049" t="s">
        <v>74</v>
      </c>
      <c r="H2049" t="s">
        <v>74</v>
      </c>
      <c r="I2049" t="s">
        <v>34992</v>
      </c>
      <c r="J2049" t="s">
        <v>34993</v>
      </c>
      <c r="K2049" t="s">
        <v>74</v>
      </c>
      <c r="L2049" t="s">
        <v>74</v>
      </c>
      <c r="M2049" t="s">
        <v>78</v>
      </c>
      <c r="N2049" t="s">
        <v>108</v>
      </c>
      <c r="O2049" t="s">
        <v>74</v>
      </c>
      <c r="P2049" t="s">
        <v>74</v>
      </c>
      <c r="Q2049" t="s">
        <v>74</v>
      </c>
      <c r="R2049" t="s">
        <v>74</v>
      </c>
      <c r="S2049" t="s">
        <v>74</v>
      </c>
      <c r="T2049" t="s">
        <v>34994</v>
      </c>
      <c r="U2049" t="s">
        <v>74</v>
      </c>
      <c r="V2049" t="s">
        <v>34995</v>
      </c>
      <c r="W2049" t="s">
        <v>34996</v>
      </c>
      <c r="X2049" t="s">
        <v>34997</v>
      </c>
      <c r="Y2049" t="s">
        <v>34998</v>
      </c>
      <c r="Z2049" t="s">
        <v>34999</v>
      </c>
      <c r="AA2049" t="s">
        <v>35000</v>
      </c>
      <c r="AB2049" t="s">
        <v>35001</v>
      </c>
      <c r="AC2049" t="s">
        <v>35002</v>
      </c>
      <c r="AD2049" t="s">
        <v>35002</v>
      </c>
      <c r="AE2049" t="s">
        <v>35003</v>
      </c>
      <c r="AF2049" t="s">
        <v>74</v>
      </c>
      <c r="AG2049">
        <v>46</v>
      </c>
      <c r="AH2049">
        <v>1</v>
      </c>
      <c r="AI2049">
        <v>1</v>
      </c>
      <c r="AJ2049">
        <v>8</v>
      </c>
      <c r="AK2049">
        <v>15</v>
      </c>
      <c r="AL2049" t="s">
        <v>171</v>
      </c>
      <c r="AM2049" t="s">
        <v>172</v>
      </c>
      <c r="AN2049" t="s">
        <v>173</v>
      </c>
      <c r="AO2049" t="s">
        <v>35004</v>
      </c>
      <c r="AP2049" t="s">
        <v>74</v>
      </c>
      <c r="AQ2049" t="s">
        <v>74</v>
      </c>
      <c r="AR2049" t="s">
        <v>35005</v>
      </c>
      <c r="AS2049" t="s">
        <v>35006</v>
      </c>
      <c r="AT2049" t="s">
        <v>273</v>
      </c>
      <c r="AU2049">
        <v>2023</v>
      </c>
      <c r="AV2049">
        <v>10</v>
      </c>
      <c r="AW2049">
        <v>2</v>
      </c>
      <c r="AX2049" t="s">
        <v>74</v>
      </c>
      <c r="AY2049" t="s">
        <v>74</v>
      </c>
      <c r="AZ2049" t="s">
        <v>74</v>
      </c>
      <c r="BA2049" t="s">
        <v>74</v>
      </c>
      <c r="BB2049" t="s">
        <v>74</v>
      </c>
      <c r="BC2049" t="s">
        <v>74</v>
      </c>
      <c r="BD2049">
        <v>2.053951723121536E+16</v>
      </c>
      <c r="BE2049" t="s">
        <v>35007</v>
      </c>
      <c r="BF2049" t="str">
        <f>HYPERLINK("http://dx.doi.org/10.1177/20539517231215358","http://dx.doi.org/10.1177/20539517231215358")</f>
        <v>http://dx.doi.org/10.1177/20539517231215358</v>
      </c>
      <c r="BG2049" t="s">
        <v>74</v>
      </c>
      <c r="BH2049" t="s">
        <v>74</v>
      </c>
      <c r="BI2049">
        <v>12</v>
      </c>
      <c r="BJ2049" t="s">
        <v>98</v>
      </c>
      <c r="BK2049" t="s">
        <v>99</v>
      </c>
      <c r="BL2049" t="s">
        <v>100</v>
      </c>
      <c r="BM2049" t="s">
        <v>35008</v>
      </c>
      <c r="BN2049" t="s">
        <v>74</v>
      </c>
      <c r="BO2049" t="s">
        <v>235</v>
      </c>
      <c r="BP2049" t="s">
        <v>74</v>
      </c>
      <c r="BQ2049" t="s">
        <v>74</v>
      </c>
      <c r="BR2049" t="s">
        <v>102</v>
      </c>
      <c r="BS2049" t="s">
        <v>35009</v>
      </c>
      <c r="BT2049" t="str">
        <f>HYPERLINK("https%3A%2F%2Fwww.webofscience.com%2Fwos%2Fwoscc%2Ffull-record%2FWOS:001129042700001","View Full Record in Web of Science")</f>
        <v>View Full Record in Web of Science</v>
      </c>
    </row>
    <row r="2050" spans="1:72" x14ac:dyDescent="0.35">
      <c r="A2050" t="s">
        <v>72</v>
      </c>
      <c r="B2050" t="s">
        <v>35010</v>
      </c>
      <c r="C2050" t="s">
        <v>74</v>
      </c>
      <c r="D2050" t="s">
        <v>74</v>
      </c>
      <c r="E2050" t="s">
        <v>74</v>
      </c>
      <c r="F2050" t="s">
        <v>35011</v>
      </c>
      <c r="G2050" t="s">
        <v>74</v>
      </c>
      <c r="H2050" t="s">
        <v>74</v>
      </c>
      <c r="I2050" t="s">
        <v>35012</v>
      </c>
      <c r="J2050" t="s">
        <v>33056</v>
      </c>
      <c r="K2050" t="s">
        <v>74</v>
      </c>
      <c r="L2050" t="s">
        <v>74</v>
      </c>
      <c r="M2050" t="s">
        <v>78</v>
      </c>
      <c r="N2050" t="s">
        <v>108</v>
      </c>
      <c r="O2050" t="s">
        <v>74</v>
      </c>
      <c r="P2050" t="s">
        <v>74</v>
      </c>
      <c r="Q2050" t="s">
        <v>74</v>
      </c>
      <c r="R2050" t="s">
        <v>74</v>
      </c>
      <c r="S2050" t="s">
        <v>74</v>
      </c>
      <c r="T2050" t="s">
        <v>35013</v>
      </c>
      <c r="U2050" t="s">
        <v>35014</v>
      </c>
      <c r="V2050" t="s">
        <v>35015</v>
      </c>
      <c r="W2050" t="s">
        <v>35016</v>
      </c>
      <c r="X2050" t="s">
        <v>35017</v>
      </c>
      <c r="Y2050" t="s">
        <v>35018</v>
      </c>
      <c r="Z2050" t="s">
        <v>35019</v>
      </c>
      <c r="AA2050" t="s">
        <v>35020</v>
      </c>
      <c r="AB2050" t="s">
        <v>74</v>
      </c>
      <c r="AC2050" t="s">
        <v>74</v>
      </c>
      <c r="AD2050" t="s">
        <v>74</v>
      </c>
      <c r="AE2050" t="s">
        <v>74</v>
      </c>
      <c r="AF2050" t="s">
        <v>74</v>
      </c>
      <c r="AG2050">
        <v>53</v>
      </c>
      <c r="AH2050">
        <v>0</v>
      </c>
      <c r="AI2050">
        <v>0</v>
      </c>
      <c r="AJ2050">
        <v>0</v>
      </c>
      <c r="AK2050">
        <v>1</v>
      </c>
      <c r="AL2050" t="s">
        <v>33065</v>
      </c>
      <c r="AM2050" t="s">
        <v>12103</v>
      </c>
      <c r="AN2050" t="s">
        <v>33066</v>
      </c>
      <c r="AO2050" t="s">
        <v>33067</v>
      </c>
      <c r="AP2050" t="s">
        <v>33068</v>
      </c>
      <c r="AQ2050" t="s">
        <v>74</v>
      </c>
      <c r="AR2050" t="s">
        <v>33069</v>
      </c>
      <c r="AS2050" t="s">
        <v>33070</v>
      </c>
      <c r="AT2050" t="s">
        <v>74</v>
      </c>
      <c r="AU2050">
        <v>2023</v>
      </c>
      <c r="AV2050">
        <v>39</v>
      </c>
      <c r="AW2050">
        <v>3</v>
      </c>
      <c r="AX2050" t="s">
        <v>74</v>
      </c>
      <c r="AY2050" t="s">
        <v>74</v>
      </c>
      <c r="AZ2050" t="s">
        <v>74</v>
      </c>
      <c r="BA2050" t="s">
        <v>74</v>
      </c>
      <c r="BB2050">
        <v>202</v>
      </c>
      <c r="BC2050">
        <v>220</v>
      </c>
      <c r="BD2050" t="s">
        <v>74</v>
      </c>
      <c r="BE2050" t="s">
        <v>35021</v>
      </c>
      <c r="BF2050" t="str">
        <f>HYPERLINK("http://dx.doi.org/10.17576/JKMJC-2023-3903-11","http://dx.doi.org/10.17576/JKMJC-2023-3903-11")</f>
        <v>http://dx.doi.org/10.17576/JKMJC-2023-3903-11</v>
      </c>
      <c r="BG2050" t="s">
        <v>74</v>
      </c>
      <c r="BH2050" t="s">
        <v>74</v>
      </c>
      <c r="BI2050">
        <v>19</v>
      </c>
      <c r="BJ2050" t="s">
        <v>124</v>
      </c>
      <c r="BK2050" t="s">
        <v>125</v>
      </c>
      <c r="BL2050" t="s">
        <v>124</v>
      </c>
      <c r="BM2050" t="s">
        <v>35022</v>
      </c>
      <c r="BN2050" t="s">
        <v>74</v>
      </c>
      <c r="BO2050" t="s">
        <v>1957</v>
      </c>
      <c r="BP2050" t="s">
        <v>74</v>
      </c>
      <c r="BQ2050" t="s">
        <v>74</v>
      </c>
      <c r="BR2050" t="s">
        <v>102</v>
      </c>
      <c r="BS2050" t="s">
        <v>35023</v>
      </c>
      <c r="BT2050" t="str">
        <f>HYPERLINK("https%3A%2F%2Fwww.webofscience.com%2Fwos%2Fwoscc%2Ffull-record%2FWOS:001163088500011","View Full Record in Web of Science")</f>
        <v>View Full Record in Web of Science</v>
      </c>
    </row>
    <row r="2051" spans="1:72" x14ac:dyDescent="0.35">
      <c r="A2051" t="s">
        <v>8845</v>
      </c>
      <c r="B2051" t="s">
        <v>35024</v>
      </c>
      <c r="C2051" t="s">
        <v>74</v>
      </c>
      <c r="D2051" t="s">
        <v>35025</v>
      </c>
      <c r="E2051" t="s">
        <v>74</v>
      </c>
      <c r="F2051" t="s">
        <v>35026</v>
      </c>
      <c r="G2051" t="s">
        <v>74</v>
      </c>
      <c r="H2051" t="s">
        <v>74</v>
      </c>
      <c r="I2051" t="s">
        <v>35027</v>
      </c>
      <c r="J2051" t="s">
        <v>35028</v>
      </c>
      <c r="K2051" t="s">
        <v>35029</v>
      </c>
      <c r="L2051" t="s">
        <v>74</v>
      </c>
      <c r="M2051" t="s">
        <v>78</v>
      </c>
      <c r="N2051" t="s">
        <v>4953</v>
      </c>
      <c r="O2051" t="s">
        <v>74</v>
      </c>
      <c r="P2051" t="s">
        <v>74</v>
      </c>
      <c r="Q2051" t="s">
        <v>74</v>
      </c>
      <c r="R2051" t="s">
        <v>74</v>
      </c>
      <c r="S2051" t="s">
        <v>74</v>
      </c>
      <c r="T2051" t="s">
        <v>35030</v>
      </c>
      <c r="U2051" t="s">
        <v>35031</v>
      </c>
      <c r="V2051" t="s">
        <v>35032</v>
      </c>
      <c r="W2051" t="s">
        <v>35033</v>
      </c>
      <c r="X2051" t="s">
        <v>74</v>
      </c>
      <c r="Y2051" t="s">
        <v>35034</v>
      </c>
      <c r="Z2051" t="s">
        <v>74</v>
      </c>
      <c r="AA2051" t="s">
        <v>35035</v>
      </c>
      <c r="AB2051" t="s">
        <v>74</v>
      </c>
      <c r="AC2051" t="s">
        <v>74</v>
      </c>
      <c r="AD2051" t="s">
        <v>74</v>
      </c>
      <c r="AE2051" t="s">
        <v>74</v>
      </c>
      <c r="AF2051" t="s">
        <v>74</v>
      </c>
      <c r="AG2051">
        <v>52</v>
      </c>
      <c r="AH2051">
        <v>0</v>
      </c>
      <c r="AI2051">
        <v>0</v>
      </c>
      <c r="AJ2051">
        <v>1</v>
      </c>
      <c r="AK2051">
        <v>6</v>
      </c>
      <c r="AL2051" t="s">
        <v>35036</v>
      </c>
      <c r="AM2051" t="s">
        <v>35037</v>
      </c>
      <c r="AN2051" t="s">
        <v>35038</v>
      </c>
      <c r="AO2051" t="s">
        <v>74</v>
      </c>
      <c r="AP2051" t="s">
        <v>74</v>
      </c>
      <c r="AQ2051" t="s">
        <v>35039</v>
      </c>
      <c r="AR2051" t="s">
        <v>35029</v>
      </c>
      <c r="AS2051" t="s">
        <v>74</v>
      </c>
      <c r="AT2051" t="s">
        <v>74</v>
      </c>
      <c r="AU2051">
        <v>2021</v>
      </c>
      <c r="AV2051">
        <v>42</v>
      </c>
      <c r="AW2051" t="s">
        <v>74</v>
      </c>
      <c r="AX2051" t="s">
        <v>74</v>
      </c>
      <c r="AY2051" t="s">
        <v>74</v>
      </c>
      <c r="AZ2051" t="s">
        <v>74</v>
      </c>
      <c r="BA2051" t="s">
        <v>74</v>
      </c>
      <c r="BB2051">
        <v>165</v>
      </c>
      <c r="BC2051">
        <v>181</v>
      </c>
      <c r="BD2051" t="s">
        <v>74</v>
      </c>
      <c r="BE2051" t="s">
        <v>74</v>
      </c>
      <c r="BF2051" t="s">
        <v>74</v>
      </c>
      <c r="BG2051" t="s">
        <v>35040</v>
      </c>
      <c r="BH2051" t="s">
        <v>74</v>
      </c>
      <c r="BI2051">
        <v>17</v>
      </c>
      <c r="BJ2051" t="s">
        <v>26512</v>
      </c>
      <c r="BK2051" t="s">
        <v>35041</v>
      </c>
      <c r="BL2051" t="s">
        <v>210</v>
      </c>
      <c r="BM2051" t="s">
        <v>35042</v>
      </c>
      <c r="BN2051" t="s">
        <v>74</v>
      </c>
      <c r="BO2051" t="s">
        <v>74</v>
      </c>
      <c r="BP2051" t="s">
        <v>74</v>
      </c>
      <c r="BQ2051" t="s">
        <v>74</v>
      </c>
      <c r="BR2051" t="s">
        <v>102</v>
      </c>
      <c r="BS2051" t="s">
        <v>35043</v>
      </c>
      <c r="BT2051" t="str">
        <f>HYPERLINK("https%3A%2F%2Fwww.webofscience.com%2Fwos%2Fwoscc%2Ffull-record%2FWOS:000752905800008","View Full Record in Web of Science")</f>
        <v>View Full Record in Web of Science</v>
      </c>
    </row>
    <row r="2052" spans="1:72" x14ac:dyDescent="0.35">
      <c r="A2052" t="s">
        <v>128</v>
      </c>
      <c r="B2052" t="s">
        <v>35044</v>
      </c>
      <c r="C2052" t="s">
        <v>74</v>
      </c>
      <c r="D2052" t="s">
        <v>74</v>
      </c>
      <c r="E2052" t="s">
        <v>1677</v>
      </c>
      <c r="F2052" t="s">
        <v>35045</v>
      </c>
      <c r="G2052" t="s">
        <v>74</v>
      </c>
      <c r="H2052" t="s">
        <v>74</v>
      </c>
      <c r="I2052" t="s">
        <v>35046</v>
      </c>
      <c r="J2052" t="s">
        <v>35047</v>
      </c>
      <c r="K2052" t="s">
        <v>35048</v>
      </c>
      <c r="L2052" t="s">
        <v>74</v>
      </c>
      <c r="M2052" t="s">
        <v>78</v>
      </c>
      <c r="N2052" t="s">
        <v>135</v>
      </c>
      <c r="O2052" t="s">
        <v>35049</v>
      </c>
      <c r="P2052" t="s">
        <v>35050</v>
      </c>
      <c r="Q2052" t="s">
        <v>35051</v>
      </c>
      <c r="R2052" t="s">
        <v>1677</v>
      </c>
      <c r="S2052" t="s">
        <v>35052</v>
      </c>
      <c r="T2052" t="s">
        <v>35053</v>
      </c>
      <c r="U2052" t="s">
        <v>35054</v>
      </c>
      <c r="V2052" t="s">
        <v>35055</v>
      </c>
      <c r="W2052" t="s">
        <v>35056</v>
      </c>
      <c r="X2052" t="s">
        <v>35057</v>
      </c>
      <c r="Y2052" t="s">
        <v>35058</v>
      </c>
      <c r="Z2052" t="s">
        <v>35059</v>
      </c>
      <c r="AA2052" t="s">
        <v>74</v>
      </c>
      <c r="AB2052" t="s">
        <v>74</v>
      </c>
      <c r="AC2052" t="s">
        <v>74</v>
      </c>
      <c r="AD2052" t="s">
        <v>74</v>
      </c>
      <c r="AE2052" t="s">
        <v>74</v>
      </c>
      <c r="AF2052" t="s">
        <v>74</v>
      </c>
      <c r="AG2052">
        <v>10</v>
      </c>
      <c r="AH2052">
        <v>4</v>
      </c>
      <c r="AI2052">
        <v>4</v>
      </c>
      <c r="AJ2052">
        <v>0</v>
      </c>
      <c r="AK2052">
        <v>46</v>
      </c>
      <c r="AL2052" t="s">
        <v>1677</v>
      </c>
      <c r="AM2052" t="s">
        <v>666</v>
      </c>
      <c r="AN2052" t="s">
        <v>1692</v>
      </c>
      <c r="AO2052" t="s">
        <v>35060</v>
      </c>
      <c r="AP2052" t="s">
        <v>35061</v>
      </c>
      <c r="AQ2052" t="s">
        <v>35062</v>
      </c>
      <c r="AR2052" t="s">
        <v>35063</v>
      </c>
      <c r="AS2052" t="s">
        <v>74</v>
      </c>
      <c r="AT2052" t="s">
        <v>74</v>
      </c>
      <c r="AU2052">
        <v>2019</v>
      </c>
      <c r="AV2052" t="s">
        <v>74</v>
      </c>
      <c r="AW2052" t="s">
        <v>74</v>
      </c>
      <c r="AX2052" t="s">
        <v>74</v>
      </c>
      <c r="AY2052" t="s">
        <v>74</v>
      </c>
      <c r="AZ2052" t="s">
        <v>74</v>
      </c>
      <c r="BA2052" t="s">
        <v>74</v>
      </c>
      <c r="BB2052">
        <v>100</v>
      </c>
      <c r="BC2052">
        <v>104</v>
      </c>
      <c r="BD2052" t="s">
        <v>74</v>
      </c>
      <c r="BE2052" t="s">
        <v>74</v>
      </c>
      <c r="BF2052" t="s">
        <v>74</v>
      </c>
      <c r="BG2052" t="s">
        <v>74</v>
      </c>
      <c r="BH2052" t="s">
        <v>74</v>
      </c>
      <c r="BI2052">
        <v>5</v>
      </c>
      <c r="BJ2052" t="s">
        <v>5399</v>
      </c>
      <c r="BK2052" t="s">
        <v>723</v>
      </c>
      <c r="BL2052" t="s">
        <v>210</v>
      </c>
      <c r="BM2052" t="s">
        <v>35064</v>
      </c>
      <c r="BN2052" t="s">
        <v>74</v>
      </c>
      <c r="BO2052" t="s">
        <v>74</v>
      </c>
      <c r="BP2052" t="s">
        <v>74</v>
      </c>
      <c r="BQ2052" t="s">
        <v>74</v>
      </c>
      <c r="BR2052" t="s">
        <v>102</v>
      </c>
      <c r="BS2052" t="s">
        <v>35065</v>
      </c>
      <c r="BT2052" t="str">
        <f>HYPERLINK("https%3A%2F%2Fwww.webofscience.com%2Fwos%2Fwoscc%2Ffull-record%2FWOS:000553538700022","View Full Record in Web of Science")</f>
        <v>View Full Record in Web of Science</v>
      </c>
    </row>
    <row r="2053" spans="1:72" x14ac:dyDescent="0.35">
      <c r="A2053" t="s">
        <v>72</v>
      </c>
      <c r="B2053" t="s">
        <v>35066</v>
      </c>
      <c r="C2053" t="s">
        <v>74</v>
      </c>
      <c r="D2053" t="s">
        <v>74</v>
      </c>
      <c r="E2053" t="s">
        <v>74</v>
      </c>
      <c r="F2053" t="s">
        <v>35067</v>
      </c>
      <c r="G2053" t="s">
        <v>74</v>
      </c>
      <c r="H2053" t="s">
        <v>74</v>
      </c>
      <c r="I2053" t="s">
        <v>35068</v>
      </c>
      <c r="J2053" t="s">
        <v>9586</v>
      </c>
      <c r="K2053" t="s">
        <v>74</v>
      </c>
      <c r="L2053" t="s">
        <v>74</v>
      </c>
      <c r="M2053" t="s">
        <v>78</v>
      </c>
      <c r="N2053" t="s">
        <v>108</v>
      </c>
      <c r="O2053" t="s">
        <v>74</v>
      </c>
      <c r="P2053" t="s">
        <v>74</v>
      </c>
      <c r="Q2053" t="s">
        <v>74</v>
      </c>
      <c r="R2053" t="s">
        <v>74</v>
      </c>
      <c r="S2053" t="s">
        <v>74</v>
      </c>
      <c r="T2053" t="s">
        <v>74</v>
      </c>
      <c r="U2053" t="s">
        <v>74</v>
      </c>
      <c r="V2053" t="s">
        <v>35069</v>
      </c>
      <c r="W2053" t="s">
        <v>35070</v>
      </c>
      <c r="X2053" t="s">
        <v>29421</v>
      </c>
      <c r="Y2053" t="s">
        <v>35071</v>
      </c>
      <c r="Z2053" t="s">
        <v>29423</v>
      </c>
      <c r="AA2053" t="s">
        <v>74</v>
      </c>
      <c r="AB2053" t="s">
        <v>35072</v>
      </c>
      <c r="AC2053" t="s">
        <v>74</v>
      </c>
      <c r="AD2053" t="s">
        <v>74</v>
      </c>
      <c r="AE2053" t="s">
        <v>74</v>
      </c>
      <c r="AF2053" t="s">
        <v>74</v>
      </c>
      <c r="AG2053">
        <v>10</v>
      </c>
      <c r="AH2053">
        <v>0</v>
      </c>
      <c r="AI2053">
        <v>0</v>
      </c>
      <c r="AJ2053">
        <v>0</v>
      </c>
      <c r="AK2053">
        <v>0</v>
      </c>
      <c r="AL2053" t="s">
        <v>8334</v>
      </c>
      <c r="AM2053" t="s">
        <v>291</v>
      </c>
      <c r="AN2053" t="s">
        <v>8335</v>
      </c>
      <c r="AO2053" t="s">
        <v>9595</v>
      </c>
      <c r="AP2053" t="s">
        <v>9596</v>
      </c>
      <c r="AQ2053" t="s">
        <v>74</v>
      </c>
      <c r="AR2053" t="s">
        <v>9597</v>
      </c>
      <c r="AS2053" t="s">
        <v>9598</v>
      </c>
      <c r="AT2053" t="s">
        <v>15674</v>
      </c>
      <c r="AU2053">
        <v>2023</v>
      </c>
      <c r="AV2053">
        <v>48</v>
      </c>
      <c r="AW2053">
        <v>12</v>
      </c>
      <c r="AX2053" t="s">
        <v>74</v>
      </c>
      <c r="AY2053" t="s">
        <v>74</v>
      </c>
      <c r="AZ2053" t="s">
        <v>74</v>
      </c>
      <c r="BA2053" t="s">
        <v>74</v>
      </c>
      <c r="BB2053">
        <v>1361</v>
      </c>
      <c r="BC2053">
        <v>1363</v>
      </c>
      <c r="BD2053" t="s">
        <v>74</v>
      </c>
      <c r="BE2053" t="s">
        <v>35073</v>
      </c>
      <c r="BF2053" t="str">
        <f>HYPERLINK("http://dx.doi.org/10.1093/ced/llad307","http://dx.doi.org/10.1093/ced/llad307")</f>
        <v>http://dx.doi.org/10.1093/ced/llad307</v>
      </c>
      <c r="BG2053" t="s">
        <v>74</v>
      </c>
      <c r="BH2053" t="s">
        <v>207</v>
      </c>
      <c r="BI2053">
        <v>3</v>
      </c>
      <c r="BJ2053" t="s">
        <v>1341</v>
      </c>
      <c r="BK2053" t="s">
        <v>209</v>
      </c>
      <c r="BL2053" t="s">
        <v>1341</v>
      </c>
      <c r="BM2053" t="s">
        <v>35074</v>
      </c>
      <c r="BN2053">
        <v>37665965</v>
      </c>
      <c r="BO2053" t="s">
        <v>74</v>
      </c>
      <c r="BP2053" t="s">
        <v>74</v>
      </c>
      <c r="BQ2053" t="s">
        <v>74</v>
      </c>
      <c r="BR2053" t="s">
        <v>102</v>
      </c>
      <c r="BS2053" t="s">
        <v>35075</v>
      </c>
      <c r="BT2053" t="str">
        <f>HYPERLINK("https%3A%2F%2Fwww.webofscience.com%2Fwos%2Fwoscc%2Ffull-record%2FWOS:001079953300001","View Full Record in Web of Science")</f>
        <v>View Full Record in Web of Science</v>
      </c>
    </row>
    <row r="2054" spans="1:72" x14ac:dyDescent="0.35">
      <c r="A2054" t="s">
        <v>72</v>
      </c>
      <c r="B2054" t="s">
        <v>35076</v>
      </c>
      <c r="C2054" t="s">
        <v>74</v>
      </c>
      <c r="D2054" t="s">
        <v>74</v>
      </c>
      <c r="E2054" t="s">
        <v>74</v>
      </c>
      <c r="F2054" t="s">
        <v>35077</v>
      </c>
      <c r="G2054" t="s">
        <v>74</v>
      </c>
      <c r="H2054" t="s">
        <v>74</v>
      </c>
      <c r="I2054" t="s">
        <v>35078</v>
      </c>
      <c r="J2054" t="s">
        <v>3584</v>
      </c>
      <c r="K2054" t="s">
        <v>74</v>
      </c>
      <c r="L2054" t="s">
        <v>74</v>
      </c>
      <c r="M2054" t="s">
        <v>78</v>
      </c>
      <c r="N2054" t="s">
        <v>108</v>
      </c>
      <c r="O2054" t="s">
        <v>74</v>
      </c>
      <c r="P2054" t="s">
        <v>74</v>
      </c>
      <c r="Q2054" t="s">
        <v>74</v>
      </c>
      <c r="R2054" t="s">
        <v>74</v>
      </c>
      <c r="S2054" t="s">
        <v>74</v>
      </c>
      <c r="T2054" t="s">
        <v>35079</v>
      </c>
      <c r="U2054" t="s">
        <v>35080</v>
      </c>
      <c r="V2054" t="s">
        <v>35081</v>
      </c>
      <c r="W2054" t="s">
        <v>35082</v>
      </c>
      <c r="X2054" t="s">
        <v>35083</v>
      </c>
      <c r="Y2054" t="s">
        <v>35084</v>
      </c>
      <c r="Z2054" t="s">
        <v>35085</v>
      </c>
      <c r="AA2054" t="s">
        <v>35086</v>
      </c>
      <c r="AB2054" t="s">
        <v>35087</v>
      </c>
      <c r="AC2054" t="s">
        <v>74</v>
      </c>
      <c r="AD2054" t="s">
        <v>74</v>
      </c>
      <c r="AE2054" t="s">
        <v>74</v>
      </c>
      <c r="AF2054" t="s">
        <v>74</v>
      </c>
      <c r="AG2054">
        <v>52</v>
      </c>
      <c r="AH2054">
        <v>2</v>
      </c>
      <c r="AI2054">
        <v>2</v>
      </c>
      <c r="AJ2054">
        <v>12</v>
      </c>
      <c r="AK2054">
        <v>112</v>
      </c>
      <c r="AL2054" t="s">
        <v>1195</v>
      </c>
      <c r="AM2054" t="s">
        <v>1196</v>
      </c>
      <c r="AN2054" t="s">
        <v>1197</v>
      </c>
      <c r="AO2054" t="s">
        <v>74</v>
      </c>
      <c r="AP2054" t="s">
        <v>3594</v>
      </c>
      <c r="AQ2054" t="s">
        <v>74</v>
      </c>
      <c r="AR2054" t="s">
        <v>3595</v>
      </c>
      <c r="AS2054" t="s">
        <v>3596</v>
      </c>
      <c r="AT2054" t="s">
        <v>1484</v>
      </c>
      <c r="AU2054">
        <v>2022</v>
      </c>
      <c r="AV2054">
        <v>14</v>
      </c>
      <c r="AW2054">
        <v>6</v>
      </c>
      <c r="AX2054" t="s">
        <v>74</v>
      </c>
      <c r="AY2054" t="s">
        <v>74</v>
      </c>
      <c r="AZ2054" t="s">
        <v>74</v>
      </c>
      <c r="BA2054" t="s">
        <v>74</v>
      </c>
      <c r="BB2054" t="s">
        <v>74</v>
      </c>
      <c r="BC2054" t="s">
        <v>74</v>
      </c>
      <c r="BD2054">
        <v>3664</v>
      </c>
      <c r="BE2054" t="s">
        <v>35088</v>
      </c>
      <c r="BF2054" t="str">
        <f>HYPERLINK("http://dx.doi.org/10.3390/su14063664","http://dx.doi.org/10.3390/su14063664")</f>
        <v>http://dx.doi.org/10.3390/su14063664</v>
      </c>
      <c r="BG2054" t="s">
        <v>74</v>
      </c>
      <c r="BH2054" t="s">
        <v>74</v>
      </c>
      <c r="BI2054">
        <v>17</v>
      </c>
      <c r="BJ2054" t="s">
        <v>3598</v>
      </c>
      <c r="BK2054" t="s">
        <v>182</v>
      </c>
      <c r="BL2054" t="s">
        <v>3599</v>
      </c>
      <c r="BM2054" t="s">
        <v>35089</v>
      </c>
      <c r="BN2054" t="s">
        <v>74</v>
      </c>
      <c r="BO2054" t="s">
        <v>235</v>
      </c>
      <c r="BP2054" t="s">
        <v>74</v>
      </c>
      <c r="BQ2054" t="s">
        <v>74</v>
      </c>
      <c r="BR2054" t="s">
        <v>102</v>
      </c>
      <c r="BS2054" t="s">
        <v>35090</v>
      </c>
      <c r="BT2054" t="str">
        <f>HYPERLINK("https%3A%2F%2Fwww.webofscience.com%2Fwos%2Fwoscc%2Ffull-record%2FWOS:000774464200001","View Full Record in Web of Science")</f>
        <v>View Full Record in Web of Science</v>
      </c>
    </row>
    <row r="2055" spans="1:72" x14ac:dyDescent="0.35">
      <c r="A2055" t="s">
        <v>72</v>
      </c>
      <c r="B2055" t="s">
        <v>35091</v>
      </c>
      <c r="C2055" t="s">
        <v>74</v>
      </c>
      <c r="D2055" t="s">
        <v>74</v>
      </c>
      <c r="E2055" t="s">
        <v>74</v>
      </c>
      <c r="F2055" t="s">
        <v>35092</v>
      </c>
      <c r="G2055" t="s">
        <v>74</v>
      </c>
      <c r="H2055" t="s">
        <v>74</v>
      </c>
      <c r="I2055" t="s">
        <v>35093</v>
      </c>
      <c r="J2055" t="s">
        <v>35094</v>
      </c>
      <c r="K2055" t="s">
        <v>74</v>
      </c>
      <c r="L2055" t="s">
        <v>74</v>
      </c>
      <c r="M2055" t="s">
        <v>78</v>
      </c>
      <c r="N2055" t="s">
        <v>108</v>
      </c>
      <c r="O2055" t="s">
        <v>74</v>
      </c>
      <c r="P2055" t="s">
        <v>74</v>
      </c>
      <c r="Q2055" t="s">
        <v>74</v>
      </c>
      <c r="R2055" t="s">
        <v>74</v>
      </c>
      <c r="S2055" t="s">
        <v>74</v>
      </c>
      <c r="T2055" t="s">
        <v>35095</v>
      </c>
      <c r="U2055" t="s">
        <v>35096</v>
      </c>
      <c r="V2055" t="s">
        <v>35097</v>
      </c>
      <c r="W2055" t="s">
        <v>35098</v>
      </c>
      <c r="X2055" t="s">
        <v>35099</v>
      </c>
      <c r="Y2055" t="s">
        <v>35100</v>
      </c>
      <c r="Z2055" t="s">
        <v>35101</v>
      </c>
      <c r="AA2055" t="s">
        <v>74</v>
      </c>
      <c r="AB2055" t="s">
        <v>35102</v>
      </c>
      <c r="AC2055" t="s">
        <v>74</v>
      </c>
      <c r="AD2055" t="s">
        <v>74</v>
      </c>
      <c r="AE2055" t="s">
        <v>74</v>
      </c>
      <c r="AF2055" t="s">
        <v>74</v>
      </c>
      <c r="AG2055">
        <v>67</v>
      </c>
      <c r="AH2055">
        <v>2</v>
      </c>
      <c r="AI2055">
        <v>2</v>
      </c>
      <c r="AJ2055">
        <v>1</v>
      </c>
      <c r="AK2055">
        <v>2</v>
      </c>
      <c r="AL2055" t="s">
        <v>251</v>
      </c>
      <c r="AM2055" t="s">
        <v>252</v>
      </c>
      <c r="AN2055" t="s">
        <v>253</v>
      </c>
      <c r="AO2055" t="s">
        <v>35103</v>
      </c>
      <c r="AP2055" t="s">
        <v>74</v>
      </c>
      <c r="AQ2055" t="s">
        <v>74</v>
      </c>
      <c r="AR2055" t="s">
        <v>35104</v>
      </c>
      <c r="AS2055" t="s">
        <v>35105</v>
      </c>
      <c r="AT2055" t="s">
        <v>178</v>
      </c>
      <c r="AU2055">
        <v>2024</v>
      </c>
      <c r="AV2055">
        <v>18</v>
      </c>
      <c r="AW2055">
        <v>2</v>
      </c>
      <c r="AX2055" t="s">
        <v>74</v>
      </c>
      <c r="AY2055" t="s">
        <v>74</v>
      </c>
      <c r="AZ2055" t="s">
        <v>74</v>
      </c>
      <c r="BA2055" t="s">
        <v>74</v>
      </c>
      <c r="BB2055" t="s">
        <v>74</v>
      </c>
      <c r="BC2055" t="s">
        <v>74</v>
      </c>
      <c r="BD2055" t="s">
        <v>35106</v>
      </c>
      <c r="BE2055" t="s">
        <v>35107</v>
      </c>
      <c r="BF2055" t="str">
        <f>HYPERLINK("http://dx.doi.org/10.1111/soc4.13191","http://dx.doi.org/10.1111/soc4.13191")</f>
        <v>http://dx.doi.org/10.1111/soc4.13191</v>
      </c>
      <c r="BG2055" t="s">
        <v>74</v>
      </c>
      <c r="BH2055" t="s">
        <v>74</v>
      </c>
      <c r="BI2055">
        <v>14</v>
      </c>
      <c r="BJ2055" t="s">
        <v>4573</v>
      </c>
      <c r="BK2055" t="s">
        <v>99</v>
      </c>
      <c r="BL2055" t="s">
        <v>4573</v>
      </c>
      <c r="BM2055" t="s">
        <v>35108</v>
      </c>
      <c r="BN2055" t="s">
        <v>74</v>
      </c>
      <c r="BO2055" t="s">
        <v>74</v>
      </c>
      <c r="BP2055" t="s">
        <v>74</v>
      </c>
      <c r="BQ2055" t="s">
        <v>74</v>
      </c>
      <c r="BR2055" t="s">
        <v>102</v>
      </c>
      <c r="BS2055" t="s">
        <v>35109</v>
      </c>
      <c r="BT2055" t="str">
        <f>HYPERLINK("https%3A%2F%2Fwww.webofscience.com%2Fwos%2Fwoscc%2Ffull-record%2FWOS:001162650700001","View Full Record in Web of Science")</f>
        <v>View Full Record in Web of Science</v>
      </c>
    </row>
    <row r="2056" spans="1:72" x14ac:dyDescent="0.35">
      <c r="A2056" t="s">
        <v>128</v>
      </c>
      <c r="B2056" t="s">
        <v>35110</v>
      </c>
      <c r="C2056" t="s">
        <v>74</v>
      </c>
      <c r="D2056" t="s">
        <v>74</v>
      </c>
      <c r="E2056" t="s">
        <v>702</v>
      </c>
      <c r="F2056" t="s">
        <v>35111</v>
      </c>
      <c r="G2056" t="s">
        <v>74</v>
      </c>
      <c r="H2056" t="s">
        <v>74</v>
      </c>
      <c r="I2056" t="s">
        <v>35112</v>
      </c>
      <c r="J2056" t="s">
        <v>35113</v>
      </c>
      <c r="K2056" t="s">
        <v>74</v>
      </c>
      <c r="L2056" t="s">
        <v>74</v>
      </c>
      <c r="M2056" t="s">
        <v>78</v>
      </c>
      <c r="N2056" t="s">
        <v>135</v>
      </c>
      <c r="O2056" t="s">
        <v>35114</v>
      </c>
      <c r="P2056" t="s">
        <v>35115</v>
      </c>
      <c r="Q2056" t="s">
        <v>13792</v>
      </c>
      <c r="R2056" t="s">
        <v>32951</v>
      </c>
      <c r="S2056" t="s">
        <v>74</v>
      </c>
      <c r="T2056" t="s">
        <v>35116</v>
      </c>
      <c r="U2056" t="s">
        <v>74</v>
      </c>
      <c r="V2056" t="s">
        <v>35117</v>
      </c>
      <c r="W2056" t="s">
        <v>35118</v>
      </c>
      <c r="X2056" t="s">
        <v>16686</v>
      </c>
      <c r="Y2056" t="s">
        <v>35119</v>
      </c>
      <c r="Z2056" t="s">
        <v>74</v>
      </c>
      <c r="AA2056" t="s">
        <v>25343</v>
      </c>
      <c r="AB2056" t="s">
        <v>35120</v>
      </c>
      <c r="AC2056" t="s">
        <v>35121</v>
      </c>
      <c r="AD2056" t="s">
        <v>35122</v>
      </c>
      <c r="AE2056" t="s">
        <v>35123</v>
      </c>
      <c r="AF2056" t="s">
        <v>74</v>
      </c>
      <c r="AG2056">
        <v>25</v>
      </c>
      <c r="AH2056">
        <v>0</v>
      </c>
      <c r="AI2056">
        <v>0</v>
      </c>
      <c r="AJ2056">
        <v>4</v>
      </c>
      <c r="AK2056">
        <v>9</v>
      </c>
      <c r="AL2056" t="s">
        <v>718</v>
      </c>
      <c r="AM2056" t="s">
        <v>666</v>
      </c>
      <c r="AN2056" t="s">
        <v>719</v>
      </c>
      <c r="AO2056" t="s">
        <v>74</v>
      </c>
      <c r="AP2056" t="s">
        <v>74</v>
      </c>
      <c r="AQ2056" t="s">
        <v>35124</v>
      </c>
      <c r="AR2056" t="s">
        <v>74</v>
      </c>
      <c r="AS2056" t="s">
        <v>74</v>
      </c>
      <c r="AT2056" t="s">
        <v>74</v>
      </c>
      <c r="AU2056">
        <v>2023</v>
      </c>
      <c r="AV2056" t="s">
        <v>74</v>
      </c>
      <c r="AW2056" t="s">
        <v>74</v>
      </c>
      <c r="AX2056" t="s">
        <v>74</v>
      </c>
      <c r="AY2056" t="s">
        <v>74</v>
      </c>
      <c r="AZ2056" t="s">
        <v>74</v>
      </c>
      <c r="BA2056" t="s">
        <v>74</v>
      </c>
      <c r="BB2056">
        <v>173</v>
      </c>
      <c r="BC2056">
        <v>182</v>
      </c>
      <c r="BD2056" t="s">
        <v>74</v>
      </c>
      <c r="BE2056" t="s">
        <v>35125</v>
      </c>
      <c r="BF2056" t="str">
        <f>HYPERLINK("http://dx.doi.org/10.1145/3587819.3590984","http://dx.doi.org/10.1145/3587819.3590984")</f>
        <v>http://dx.doi.org/10.1145/3587819.3590984</v>
      </c>
      <c r="BG2056" t="s">
        <v>74</v>
      </c>
      <c r="BH2056" t="s">
        <v>74</v>
      </c>
      <c r="BI2056">
        <v>10</v>
      </c>
      <c r="BJ2056" t="s">
        <v>35126</v>
      </c>
      <c r="BK2056" t="s">
        <v>723</v>
      </c>
      <c r="BL2056" t="s">
        <v>31246</v>
      </c>
      <c r="BM2056" t="s">
        <v>35127</v>
      </c>
      <c r="BN2056" t="s">
        <v>74</v>
      </c>
      <c r="BO2056" t="s">
        <v>74</v>
      </c>
      <c r="BP2056" t="s">
        <v>74</v>
      </c>
      <c r="BQ2056" t="s">
        <v>74</v>
      </c>
      <c r="BR2056" t="s">
        <v>102</v>
      </c>
      <c r="BS2056" t="s">
        <v>35128</v>
      </c>
      <c r="BT2056" t="str">
        <f>HYPERLINK("https%3A%2F%2Fwww.webofscience.com%2Fwos%2Fwoscc%2Ffull-record%2FWOS:001119112000016","View Full Record in Web of Science")</f>
        <v>View Full Record in Web of Science</v>
      </c>
    </row>
    <row r="2057" spans="1:72" x14ac:dyDescent="0.35">
      <c r="A2057" t="s">
        <v>72</v>
      </c>
      <c r="B2057" t="s">
        <v>35129</v>
      </c>
      <c r="C2057" t="s">
        <v>74</v>
      </c>
      <c r="D2057" t="s">
        <v>74</v>
      </c>
      <c r="E2057" t="s">
        <v>74</v>
      </c>
      <c r="F2057" t="s">
        <v>35130</v>
      </c>
      <c r="G2057" t="s">
        <v>74</v>
      </c>
      <c r="H2057" t="s">
        <v>74</v>
      </c>
      <c r="I2057" t="s">
        <v>35131</v>
      </c>
      <c r="J2057" t="s">
        <v>3269</v>
      </c>
      <c r="K2057" t="s">
        <v>74</v>
      </c>
      <c r="L2057" t="s">
        <v>74</v>
      </c>
      <c r="M2057" t="s">
        <v>78</v>
      </c>
      <c r="N2057" t="s">
        <v>108</v>
      </c>
      <c r="O2057" t="s">
        <v>74</v>
      </c>
      <c r="P2057" t="s">
        <v>74</v>
      </c>
      <c r="Q2057" t="s">
        <v>74</v>
      </c>
      <c r="R2057" t="s">
        <v>74</v>
      </c>
      <c r="S2057" t="s">
        <v>74</v>
      </c>
      <c r="T2057" t="s">
        <v>35132</v>
      </c>
      <c r="U2057" t="s">
        <v>35133</v>
      </c>
      <c r="V2057" t="s">
        <v>35134</v>
      </c>
      <c r="W2057" t="s">
        <v>35135</v>
      </c>
      <c r="X2057" t="s">
        <v>3589</v>
      </c>
      <c r="Y2057" t="s">
        <v>35136</v>
      </c>
      <c r="Z2057" t="s">
        <v>35137</v>
      </c>
      <c r="AA2057" t="s">
        <v>74</v>
      </c>
      <c r="AB2057" t="s">
        <v>74</v>
      </c>
      <c r="AC2057" t="s">
        <v>35138</v>
      </c>
      <c r="AD2057" t="s">
        <v>33062</v>
      </c>
      <c r="AE2057" t="s">
        <v>35139</v>
      </c>
      <c r="AF2057" t="s">
        <v>74</v>
      </c>
      <c r="AG2057">
        <v>63</v>
      </c>
      <c r="AH2057">
        <v>0</v>
      </c>
      <c r="AI2057">
        <v>0</v>
      </c>
      <c r="AJ2057">
        <v>11</v>
      </c>
      <c r="AK2057">
        <v>29</v>
      </c>
      <c r="AL2057" t="s">
        <v>3269</v>
      </c>
      <c r="AM2057" t="s">
        <v>3278</v>
      </c>
      <c r="AN2057" t="s">
        <v>3279</v>
      </c>
      <c r="AO2057" t="s">
        <v>3280</v>
      </c>
      <c r="AP2057" t="s">
        <v>74</v>
      </c>
      <c r="AQ2057" t="s">
        <v>74</v>
      </c>
      <c r="AR2057" t="s">
        <v>3281</v>
      </c>
      <c r="AS2057" t="s">
        <v>3282</v>
      </c>
      <c r="AT2057" t="s">
        <v>1275</v>
      </c>
      <c r="AU2057">
        <v>2022</v>
      </c>
      <c r="AV2057">
        <v>13</v>
      </c>
      <c r="AW2057">
        <v>4</v>
      </c>
      <c r="AX2057" t="s">
        <v>74</v>
      </c>
      <c r="AY2057" t="s">
        <v>74</v>
      </c>
      <c r="AZ2057" t="s">
        <v>74</v>
      </c>
      <c r="BA2057" t="s">
        <v>74</v>
      </c>
      <c r="BB2057">
        <v>539</v>
      </c>
      <c r="BC2057">
        <v>561</v>
      </c>
      <c r="BD2057" t="s">
        <v>74</v>
      </c>
      <c r="BE2057" t="s">
        <v>35140</v>
      </c>
      <c r="BF2057" t="str">
        <f>HYPERLINK("http://dx.doi.org/10.24093/awej/vol13no4.35","http://dx.doi.org/10.24093/awej/vol13no4.35")</f>
        <v>http://dx.doi.org/10.24093/awej/vol13no4.35</v>
      </c>
      <c r="BG2057" t="s">
        <v>74</v>
      </c>
      <c r="BH2057" t="s">
        <v>74</v>
      </c>
      <c r="BI2057">
        <v>23</v>
      </c>
      <c r="BJ2057" t="s">
        <v>3284</v>
      </c>
      <c r="BK2057" t="s">
        <v>125</v>
      </c>
      <c r="BL2057" t="s">
        <v>3285</v>
      </c>
      <c r="BM2057" t="s">
        <v>35141</v>
      </c>
      <c r="BN2057" t="s">
        <v>74</v>
      </c>
      <c r="BO2057" t="s">
        <v>3287</v>
      </c>
      <c r="BP2057" t="s">
        <v>74</v>
      </c>
      <c r="BQ2057" t="s">
        <v>74</v>
      </c>
      <c r="BR2057" t="s">
        <v>102</v>
      </c>
      <c r="BS2057" t="s">
        <v>35142</v>
      </c>
      <c r="BT2057" t="str">
        <f>HYPERLINK("https%3A%2F%2Fwww.webofscience.com%2Fwos%2Fwoscc%2Ffull-record%2FWOS:000944448400035","View Full Record in Web of Science")</f>
        <v>View Full Record in Web of Science</v>
      </c>
    </row>
    <row r="2058" spans="1:72" x14ac:dyDescent="0.35">
      <c r="A2058" t="s">
        <v>72</v>
      </c>
      <c r="B2058" t="s">
        <v>35143</v>
      </c>
      <c r="C2058" t="s">
        <v>74</v>
      </c>
      <c r="D2058" t="s">
        <v>74</v>
      </c>
      <c r="E2058" t="s">
        <v>74</v>
      </c>
      <c r="F2058" t="s">
        <v>35144</v>
      </c>
      <c r="G2058" t="s">
        <v>74</v>
      </c>
      <c r="H2058" t="s">
        <v>74</v>
      </c>
      <c r="I2058" t="s">
        <v>35145</v>
      </c>
      <c r="J2058" t="s">
        <v>3584</v>
      </c>
      <c r="K2058" t="s">
        <v>74</v>
      </c>
      <c r="L2058" t="s">
        <v>74</v>
      </c>
      <c r="M2058" t="s">
        <v>78</v>
      </c>
      <c r="N2058" t="s">
        <v>108</v>
      </c>
      <c r="O2058" t="s">
        <v>74</v>
      </c>
      <c r="P2058" t="s">
        <v>74</v>
      </c>
      <c r="Q2058" t="s">
        <v>74</v>
      </c>
      <c r="R2058" t="s">
        <v>74</v>
      </c>
      <c r="S2058" t="s">
        <v>74</v>
      </c>
      <c r="T2058" t="s">
        <v>35146</v>
      </c>
      <c r="U2058" t="s">
        <v>35147</v>
      </c>
      <c r="V2058" t="s">
        <v>35148</v>
      </c>
      <c r="W2058" t="s">
        <v>35149</v>
      </c>
      <c r="X2058" t="s">
        <v>35150</v>
      </c>
      <c r="Y2058" t="s">
        <v>35151</v>
      </c>
      <c r="Z2058" t="s">
        <v>35152</v>
      </c>
      <c r="AA2058" t="s">
        <v>74</v>
      </c>
      <c r="AB2058" t="s">
        <v>35153</v>
      </c>
      <c r="AC2058" t="s">
        <v>74</v>
      </c>
      <c r="AD2058" t="s">
        <v>74</v>
      </c>
      <c r="AE2058" t="s">
        <v>74</v>
      </c>
      <c r="AF2058" t="s">
        <v>74</v>
      </c>
      <c r="AG2058">
        <v>68</v>
      </c>
      <c r="AH2058">
        <v>6</v>
      </c>
      <c r="AI2058">
        <v>8</v>
      </c>
      <c r="AJ2058">
        <v>11</v>
      </c>
      <c r="AK2058">
        <v>116</v>
      </c>
      <c r="AL2058" t="s">
        <v>1195</v>
      </c>
      <c r="AM2058" t="s">
        <v>1196</v>
      </c>
      <c r="AN2058" t="s">
        <v>1197</v>
      </c>
      <c r="AO2058" t="s">
        <v>74</v>
      </c>
      <c r="AP2058" t="s">
        <v>3594</v>
      </c>
      <c r="AQ2058" t="s">
        <v>74</v>
      </c>
      <c r="AR2058" t="s">
        <v>3595</v>
      </c>
      <c r="AS2058" t="s">
        <v>3596</v>
      </c>
      <c r="AT2058" t="s">
        <v>273</v>
      </c>
      <c r="AU2058">
        <v>2022</v>
      </c>
      <c r="AV2058">
        <v>14</v>
      </c>
      <c r="AW2058">
        <v>14</v>
      </c>
      <c r="AX2058" t="s">
        <v>74</v>
      </c>
      <c r="AY2058" t="s">
        <v>74</v>
      </c>
      <c r="AZ2058" t="s">
        <v>74</v>
      </c>
      <c r="BA2058" t="s">
        <v>74</v>
      </c>
      <c r="BB2058" t="s">
        <v>74</v>
      </c>
      <c r="BC2058" t="s">
        <v>74</v>
      </c>
      <c r="BD2058">
        <v>8786</v>
      </c>
      <c r="BE2058" t="s">
        <v>35154</v>
      </c>
      <c r="BF2058" t="str">
        <f>HYPERLINK("http://dx.doi.org/10.3390/su14148786","http://dx.doi.org/10.3390/su14148786")</f>
        <v>http://dx.doi.org/10.3390/su14148786</v>
      </c>
      <c r="BG2058" t="s">
        <v>74</v>
      </c>
      <c r="BH2058" t="s">
        <v>74</v>
      </c>
      <c r="BI2058">
        <v>17</v>
      </c>
      <c r="BJ2058" t="s">
        <v>3598</v>
      </c>
      <c r="BK2058" t="s">
        <v>182</v>
      </c>
      <c r="BL2058" t="s">
        <v>3599</v>
      </c>
      <c r="BM2058" t="s">
        <v>35155</v>
      </c>
      <c r="BN2058" t="s">
        <v>74</v>
      </c>
      <c r="BO2058" t="s">
        <v>235</v>
      </c>
      <c r="BP2058" t="s">
        <v>74</v>
      </c>
      <c r="BQ2058" t="s">
        <v>74</v>
      </c>
      <c r="BR2058" t="s">
        <v>102</v>
      </c>
      <c r="BS2058" t="s">
        <v>35156</v>
      </c>
      <c r="BT2058" t="str">
        <f>HYPERLINK("https%3A%2F%2Fwww.webofscience.com%2Fwos%2Fwoscc%2Ffull-record%2FWOS:000831741400001","View Full Record in Web of Science")</f>
        <v>View Full Record in Web of Science</v>
      </c>
    </row>
    <row r="2059" spans="1:72" x14ac:dyDescent="0.35">
      <c r="A2059" t="s">
        <v>72</v>
      </c>
      <c r="B2059" t="s">
        <v>35157</v>
      </c>
      <c r="C2059" t="s">
        <v>74</v>
      </c>
      <c r="D2059" t="s">
        <v>74</v>
      </c>
      <c r="E2059" t="s">
        <v>74</v>
      </c>
      <c r="F2059" t="s">
        <v>35158</v>
      </c>
      <c r="G2059" t="s">
        <v>74</v>
      </c>
      <c r="H2059" t="s">
        <v>74</v>
      </c>
      <c r="I2059" t="s">
        <v>35159</v>
      </c>
      <c r="J2059" t="s">
        <v>1186</v>
      </c>
      <c r="K2059" t="s">
        <v>74</v>
      </c>
      <c r="L2059" t="s">
        <v>74</v>
      </c>
      <c r="M2059" t="s">
        <v>78</v>
      </c>
      <c r="N2059" t="s">
        <v>108</v>
      </c>
      <c r="O2059" t="s">
        <v>74</v>
      </c>
      <c r="P2059" t="s">
        <v>74</v>
      </c>
      <c r="Q2059" t="s">
        <v>74</v>
      </c>
      <c r="R2059" t="s">
        <v>74</v>
      </c>
      <c r="S2059" t="s">
        <v>74</v>
      </c>
      <c r="T2059" t="s">
        <v>35160</v>
      </c>
      <c r="U2059" t="s">
        <v>35161</v>
      </c>
      <c r="V2059" t="s">
        <v>35162</v>
      </c>
      <c r="W2059" t="s">
        <v>35163</v>
      </c>
      <c r="X2059" t="s">
        <v>3253</v>
      </c>
      <c r="Y2059" t="s">
        <v>35164</v>
      </c>
      <c r="Z2059" t="s">
        <v>35165</v>
      </c>
      <c r="AA2059" t="s">
        <v>35166</v>
      </c>
      <c r="AB2059" t="s">
        <v>35167</v>
      </c>
      <c r="AC2059" t="s">
        <v>35168</v>
      </c>
      <c r="AD2059" t="s">
        <v>35169</v>
      </c>
      <c r="AE2059" t="s">
        <v>35170</v>
      </c>
      <c r="AF2059" t="s">
        <v>74</v>
      </c>
      <c r="AG2059">
        <v>80</v>
      </c>
      <c r="AH2059">
        <v>20</v>
      </c>
      <c r="AI2059">
        <v>21</v>
      </c>
      <c r="AJ2059">
        <v>46</v>
      </c>
      <c r="AK2059">
        <v>276</v>
      </c>
      <c r="AL2059" t="s">
        <v>1195</v>
      </c>
      <c r="AM2059" t="s">
        <v>1196</v>
      </c>
      <c r="AN2059" t="s">
        <v>1197</v>
      </c>
      <c r="AO2059" t="s">
        <v>74</v>
      </c>
      <c r="AP2059" t="s">
        <v>1198</v>
      </c>
      <c r="AQ2059" t="s">
        <v>74</v>
      </c>
      <c r="AR2059" t="s">
        <v>1199</v>
      </c>
      <c r="AS2059" t="s">
        <v>1200</v>
      </c>
      <c r="AT2059" t="s">
        <v>232</v>
      </c>
      <c r="AU2059">
        <v>2022</v>
      </c>
      <c r="AV2059">
        <v>19</v>
      </c>
      <c r="AW2059">
        <v>1</v>
      </c>
      <c r="AX2059" t="s">
        <v>74</v>
      </c>
      <c r="AY2059" t="s">
        <v>74</v>
      </c>
      <c r="AZ2059" t="s">
        <v>74</v>
      </c>
      <c r="BA2059" t="s">
        <v>74</v>
      </c>
      <c r="BB2059" t="s">
        <v>74</v>
      </c>
      <c r="BC2059" t="s">
        <v>74</v>
      </c>
      <c r="BD2059">
        <v>132</v>
      </c>
      <c r="BE2059" t="s">
        <v>35171</v>
      </c>
      <c r="BF2059" t="str">
        <f>HYPERLINK("http://dx.doi.org/10.3390/ijerph19010132","http://dx.doi.org/10.3390/ijerph19010132")</f>
        <v>http://dx.doi.org/10.3390/ijerph19010132</v>
      </c>
      <c r="BG2059" t="s">
        <v>74</v>
      </c>
      <c r="BH2059" t="s">
        <v>74</v>
      </c>
      <c r="BI2059">
        <v>15</v>
      </c>
      <c r="BJ2059" t="s">
        <v>1202</v>
      </c>
      <c r="BK2059" t="s">
        <v>182</v>
      </c>
      <c r="BL2059" t="s">
        <v>1203</v>
      </c>
      <c r="BM2059" t="s">
        <v>35172</v>
      </c>
      <c r="BN2059">
        <v>35010389</v>
      </c>
      <c r="BO2059" t="s">
        <v>552</v>
      </c>
      <c r="BP2059" t="s">
        <v>74</v>
      </c>
      <c r="BQ2059" t="s">
        <v>74</v>
      </c>
      <c r="BR2059" t="s">
        <v>102</v>
      </c>
      <c r="BS2059" t="s">
        <v>35173</v>
      </c>
      <c r="BT2059" t="str">
        <f>HYPERLINK("https%3A%2F%2Fwww.webofscience.com%2Fwos%2Fwoscc%2Ffull-record%2FWOS:000751125100001","View Full Record in Web of Science")</f>
        <v>View Full Record in Web of Science</v>
      </c>
    </row>
    <row r="2060" spans="1:72" x14ac:dyDescent="0.35">
      <c r="A2060" t="s">
        <v>72</v>
      </c>
      <c r="B2060" t="s">
        <v>35174</v>
      </c>
      <c r="C2060" t="s">
        <v>74</v>
      </c>
      <c r="D2060" t="s">
        <v>74</v>
      </c>
      <c r="E2060" t="s">
        <v>74</v>
      </c>
      <c r="F2060" t="s">
        <v>35175</v>
      </c>
      <c r="G2060" t="s">
        <v>74</v>
      </c>
      <c r="H2060" t="s">
        <v>74</v>
      </c>
      <c r="I2060" t="s">
        <v>35176</v>
      </c>
      <c r="J2060" t="s">
        <v>12043</v>
      </c>
      <c r="K2060" t="s">
        <v>74</v>
      </c>
      <c r="L2060" t="s">
        <v>74</v>
      </c>
      <c r="M2060" t="s">
        <v>78</v>
      </c>
      <c r="N2060" t="s">
        <v>79</v>
      </c>
      <c r="O2060" t="s">
        <v>74</v>
      </c>
      <c r="P2060" t="s">
        <v>74</v>
      </c>
      <c r="Q2060" t="s">
        <v>74</v>
      </c>
      <c r="R2060" t="s">
        <v>74</v>
      </c>
      <c r="S2060" t="s">
        <v>74</v>
      </c>
      <c r="T2060" t="s">
        <v>35177</v>
      </c>
      <c r="U2060" t="s">
        <v>35178</v>
      </c>
      <c r="V2060" t="s">
        <v>35179</v>
      </c>
      <c r="W2060" t="s">
        <v>35180</v>
      </c>
      <c r="X2060" t="s">
        <v>35181</v>
      </c>
      <c r="Y2060" t="s">
        <v>35182</v>
      </c>
      <c r="Z2060" t="s">
        <v>35183</v>
      </c>
      <c r="AA2060" t="s">
        <v>35184</v>
      </c>
      <c r="AB2060" t="s">
        <v>35185</v>
      </c>
      <c r="AC2060" t="s">
        <v>35186</v>
      </c>
      <c r="AD2060" t="s">
        <v>35187</v>
      </c>
      <c r="AE2060" t="s">
        <v>35188</v>
      </c>
      <c r="AF2060" t="s">
        <v>74</v>
      </c>
      <c r="AG2060">
        <v>60</v>
      </c>
      <c r="AH2060">
        <v>0</v>
      </c>
      <c r="AI2060">
        <v>0</v>
      </c>
      <c r="AJ2060">
        <v>41</v>
      </c>
      <c r="AK2060">
        <v>41</v>
      </c>
      <c r="AL2060" t="s">
        <v>199</v>
      </c>
      <c r="AM2060" t="s">
        <v>200</v>
      </c>
      <c r="AN2060" t="s">
        <v>471</v>
      </c>
      <c r="AO2060" t="s">
        <v>12054</v>
      </c>
      <c r="AP2060" t="s">
        <v>12055</v>
      </c>
      <c r="AQ2060" t="s">
        <v>74</v>
      </c>
      <c r="AR2060" t="s">
        <v>12056</v>
      </c>
      <c r="AS2060" t="s">
        <v>12057</v>
      </c>
      <c r="AT2060" t="s">
        <v>6818</v>
      </c>
      <c r="AU2060">
        <v>2024</v>
      </c>
      <c r="AV2060" t="s">
        <v>74</v>
      </c>
      <c r="AW2060" t="s">
        <v>74</v>
      </c>
      <c r="AX2060" t="s">
        <v>74</v>
      </c>
      <c r="AY2060" t="s">
        <v>74</v>
      </c>
      <c r="AZ2060" t="s">
        <v>74</v>
      </c>
      <c r="BA2060" t="s">
        <v>74</v>
      </c>
      <c r="BB2060" t="s">
        <v>74</v>
      </c>
      <c r="BC2060" t="s">
        <v>74</v>
      </c>
      <c r="BD2060" t="s">
        <v>74</v>
      </c>
      <c r="BE2060" t="s">
        <v>35189</v>
      </c>
      <c r="BF2060" t="str">
        <f>HYPERLINK("http://dx.doi.org/10.1108/APJML-01-2024-0048","http://dx.doi.org/10.1108/APJML-01-2024-0048")</f>
        <v>http://dx.doi.org/10.1108/APJML-01-2024-0048</v>
      </c>
      <c r="BG2060" t="s">
        <v>74</v>
      </c>
      <c r="BH2060" t="s">
        <v>2444</v>
      </c>
      <c r="BI2060">
        <v>21</v>
      </c>
      <c r="BJ2060" t="s">
        <v>1597</v>
      </c>
      <c r="BK2060" t="s">
        <v>99</v>
      </c>
      <c r="BL2060" t="s">
        <v>480</v>
      </c>
      <c r="BM2060" t="s">
        <v>35190</v>
      </c>
      <c r="BN2060" t="s">
        <v>74</v>
      </c>
      <c r="BO2060" t="s">
        <v>74</v>
      </c>
      <c r="BP2060" t="s">
        <v>74</v>
      </c>
      <c r="BQ2060" t="s">
        <v>74</v>
      </c>
      <c r="BR2060" t="s">
        <v>102</v>
      </c>
      <c r="BS2060" t="s">
        <v>35191</v>
      </c>
      <c r="BT2060" t="str">
        <f>HYPERLINK("https%3A%2F%2Fwww.webofscience.com%2Fwos%2Fwoscc%2Ffull-record%2FWOS:001289621500001","View Full Record in Web of Science")</f>
        <v>View Full Record in Web of Science</v>
      </c>
    </row>
    <row r="2061" spans="1:72" x14ac:dyDescent="0.35">
      <c r="A2061" t="s">
        <v>72</v>
      </c>
      <c r="B2061" t="s">
        <v>35192</v>
      </c>
      <c r="C2061" t="s">
        <v>74</v>
      </c>
      <c r="D2061" t="s">
        <v>74</v>
      </c>
      <c r="E2061" t="s">
        <v>74</v>
      </c>
      <c r="F2061" t="s">
        <v>35193</v>
      </c>
      <c r="G2061" t="s">
        <v>74</v>
      </c>
      <c r="H2061" t="s">
        <v>74</v>
      </c>
      <c r="I2061" t="s">
        <v>35194</v>
      </c>
      <c r="J2061" t="s">
        <v>681</v>
      </c>
      <c r="K2061" t="s">
        <v>74</v>
      </c>
      <c r="L2061" t="s">
        <v>74</v>
      </c>
      <c r="M2061" t="s">
        <v>78</v>
      </c>
      <c r="N2061" t="s">
        <v>108</v>
      </c>
      <c r="O2061" t="s">
        <v>74</v>
      </c>
      <c r="P2061" t="s">
        <v>74</v>
      </c>
      <c r="Q2061" t="s">
        <v>74</v>
      </c>
      <c r="R2061" t="s">
        <v>74</v>
      </c>
      <c r="S2061" t="s">
        <v>74</v>
      </c>
      <c r="T2061" t="s">
        <v>35195</v>
      </c>
      <c r="U2061" t="s">
        <v>35196</v>
      </c>
      <c r="V2061" t="s">
        <v>35197</v>
      </c>
      <c r="W2061" t="s">
        <v>35198</v>
      </c>
      <c r="X2061" t="s">
        <v>35199</v>
      </c>
      <c r="Y2061" t="s">
        <v>35200</v>
      </c>
      <c r="Z2061" t="s">
        <v>35201</v>
      </c>
      <c r="AA2061" t="s">
        <v>35202</v>
      </c>
      <c r="AB2061" t="s">
        <v>74</v>
      </c>
      <c r="AC2061" t="s">
        <v>74</v>
      </c>
      <c r="AD2061" t="s">
        <v>74</v>
      </c>
      <c r="AE2061" t="s">
        <v>35203</v>
      </c>
      <c r="AF2061" t="s">
        <v>74</v>
      </c>
      <c r="AG2061">
        <v>68</v>
      </c>
      <c r="AH2061">
        <v>0</v>
      </c>
      <c r="AI2061">
        <v>0</v>
      </c>
      <c r="AJ2061">
        <v>10</v>
      </c>
      <c r="AK2061">
        <v>10</v>
      </c>
      <c r="AL2061" t="s">
        <v>384</v>
      </c>
      <c r="AM2061" t="s">
        <v>385</v>
      </c>
      <c r="AN2061" t="s">
        <v>386</v>
      </c>
      <c r="AO2061" t="s">
        <v>693</v>
      </c>
      <c r="AP2061" t="s">
        <v>74</v>
      </c>
      <c r="AQ2061" t="s">
        <v>74</v>
      </c>
      <c r="AR2061" t="s">
        <v>694</v>
      </c>
      <c r="AS2061" t="s">
        <v>695</v>
      </c>
      <c r="AT2061" t="s">
        <v>24340</v>
      </c>
      <c r="AU2061">
        <v>2024</v>
      </c>
      <c r="AV2061">
        <v>15</v>
      </c>
      <c r="AW2061" t="s">
        <v>74</v>
      </c>
      <c r="AX2061" t="s">
        <v>74</v>
      </c>
      <c r="AY2061" t="s">
        <v>74</v>
      </c>
      <c r="AZ2061" t="s">
        <v>74</v>
      </c>
      <c r="BA2061" t="s">
        <v>74</v>
      </c>
      <c r="BB2061" t="s">
        <v>74</v>
      </c>
      <c r="BC2061" t="s">
        <v>74</v>
      </c>
      <c r="BD2061">
        <v>1370823</v>
      </c>
      <c r="BE2061" t="s">
        <v>35204</v>
      </c>
      <c r="BF2061" t="str">
        <f>HYPERLINK("http://dx.doi.org/10.3389/fpsyg.2024.1370823","http://dx.doi.org/10.3389/fpsyg.2024.1370823")</f>
        <v>http://dx.doi.org/10.3389/fpsyg.2024.1370823</v>
      </c>
      <c r="BG2061" t="s">
        <v>74</v>
      </c>
      <c r="BH2061" t="s">
        <v>74</v>
      </c>
      <c r="BI2061">
        <v>11</v>
      </c>
      <c r="BJ2061" t="s">
        <v>698</v>
      </c>
      <c r="BK2061" t="s">
        <v>99</v>
      </c>
      <c r="BL2061" t="s">
        <v>301</v>
      </c>
      <c r="BM2061" t="s">
        <v>35205</v>
      </c>
      <c r="BN2061">
        <v>39077205</v>
      </c>
      <c r="BO2061" t="s">
        <v>552</v>
      </c>
      <c r="BP2061" t="s">
        <v>74</v>
      </c>
      <c r="BQ2061" t="s">
        <v>74</v>
      </c>
      <c r="BR2061" t="s">
        <v>102</v>
      </c>
      <c r="BS2061" t="s">
        <v>35206</v>
      </c>
      <c r="BT2061" t="str">
        <f>HYPERLINK("https%3A%2F%2Fwww.webofscience.com%2Fwos%2Fwoscc%2Ffull-record%2FWOS:001278622300001","View Full Record in Web of Science")</f>
        <v>View Full Record in Web of Science</v>
      </c>
    </row>
    <row r="2062" spans="1:72" x14ac:dyDescent="0.35">
      <c r="A2062" t="s">
        <v>72</v>
      </c>
      <c r="B2062" t="s">
        <v>35207</v>
      </c>
      <c r="C2062" t="s">
        <v>74</v>
      </c>
      <c r="D2062" t="s">
        <v>74</v>
      </c>
      <c r="E2062" t="s">
        <v>74</v>
      </c>
      <c r="F2062" t="s">
        <v>35208</v>
      </c>
      <c r="G2062" t="s">
        <v>74</v>
      </c>
      <c r="H2062" t="s">
        <v>74</v>
      </c>
      <c r="I2062" t="s">
        <v>35209</v>
      </c>
      <c r="J2062" t="s">
        <v>30916</v>
      </c>
      <c r="K2062" t="s">
        <v>74</v>
      </c>
      <c r="L2062" t="s">
        <v>74</v>
      </c>
      <c r="M2062" t="s">
        <v>78</v>
      </c>
      <c r="N2062" t="s">
        <v>108</v>
      </c>
      <c r="O2062" t="s">
        <v>74</v>
      </c>
      <c r="P2062" t="s">
        <v>74</v>
      </c>
      <c r="Q2062" t="s">
        <v>74</v>
      </c>
      <c r="R2062" t="s">
        <v>74</v>
      </c>
      <c r="S2062" t="s">
        <v>74</v>
      </c>
      <c r="T2062" t="s">
        <v>35210</v>
      </c>
      <c r="U2062" t="s">
        <v>35211</v>
      </c>
      <c r="V2062" t="s">
        <v>35212</v>
      </c>
      <c r="W2062" t="s">
        <v>35213</v>
      </c>
      <c r="X2062" t="s">
        <v>35214</v>
      </c>
      <c r="Y2062" t="s">
        <v>35215</v>
      </c>
      <c r="Z2062" t="s">
        <v>35216</v>
      </c>
      <c r="AA2062" t="s">
        <v>35217</v>
      </c>
      <c r="AB2062" t="s">
        <v>74</v>
      </c>
      <c r="AC2062" t="s">
        <v>74</v>
      </c>
      <c r="AD2062" t="s">
        <v>74</v>
      </c>
      <c r="AE2062" t="s">
        <v>74</v>
      </c>
      <c r="AF2062" t="s">
        <v>74</v>
      </c>
      <c r="AG2062">
        <v>38</v>
      </c>
      <c r="AH2062">
        <v>17</v>
      </c>
      <c r="AI2062">
        <v>18</v>
      </c>
      <c r="AJ2062">
        <v>347</v>
      </c>
      <c r="AK2062">
        <v>561</v>
      </c>
      <c r="AL2062" t="s">
        <v>171</v>
      </c>
      <c r="AM2062" t="s">
        <v>172</v>
      </c>
      <c r="AN2062" t="s">
        <v>173</v>
      </c>
      <c r="AO2062" t="s">
        <v>30927</v>
      </c>
      <c r="AP2062" t="s">
        <v>30928</v>
      </c>
      <c r="AQ2062" t="s">
        <v>74</v>
      </c>
      <c r="AR2062" t="s">
        <v>30929</v>
      </c>
      <c r="AS2062" t="s">
        <v>30930</v>
      </c>
      <c r="AT2062" t="s">
        <v>273</v>
      </c>
      <c r="AU2062">
        <v>2024</v>
      </c>
      <c r="AV2062">
        <v>88</v>
      </c>
      <c r="AW2062">
        <v>4</v>
      </c>
      <c r="AX2062" t="s">
        <v>74</v>
      </c>
      <c r="AY2062" t="s">
        <v>74</v>
      </c>
      <c r="AZ2062" t="s">
        <v>74</v>
      </c>
      <c r="BA2062" t="s">
        <v>74</v>
      </c>
      <c r="BB2062">
        <v>64</v>
      </c>
      <c r="BC2062">
        <v>83</v>
      </c>
      <c r="BD2062" t="s">
        <v>74</v>
      </c>
      <c r="BE2062" t="s">
        <v>35218</v>
      </c>
      <c r="BF2062" t="str">
        <f>HYPERLINK("http://dx.doi.org/10.1177/00222429231213581","http://dx.doi.org/10.1177/00222429231213581")</f>
        <v>http://dx.doi.org/10.1177/00222429231213581</v>
      </c>
      <c r="BG2062" t="s">
        <v>74</v>
      </c>
      <c r="BH2062" t="s">
        <v>1377</v>
      </c>
      <c r="BI2062">
        <v>20</v>
      </c>
      <c r="BJ2062" t="s">
        <v>1597</v>
      </c>
      <c r="BK2062" t="s">
        <v>99</v>
      </c>
      <c r="BL2062" t="s">
        <v>480</v>
      </c>
      <c r="BM2062" t="s">
        <v>30932</v>
      </c>
      <c r="BN2062" t="s">
        <v>74</v>
      </c>
      <c r="BO2062" t="s">
        <v>74</v>
      </c>
      <c r="BP2062" t="s">
        <v>395</v>
      </c>
      <c r="BQ2062" t="s">
        <v>396</v>
      </c>
      <c r="BR2062" t="s">
        <v>102</v>
      </c>
      <c r="BS2062" t="s">
        <v>35219</v>
      </c>
      <c r="BT2062" t="str">
        <f>HYPERLINK("https%3A%2F%2Fwww.webofscience.com%2Fwos%2Fwoscc%2Ffull-record%2FWOS:001136544600001","View Full Record in Web of Science")</f>
        <v>View Full Record in Web of Science</v>
      </c>
    </row>
    <row r="2063" spans="1:72" x14ac:dyDescent="0.35">
      <c r="A2063" t="s">
        <v>72</v>
      </c>
      <c r="B2063" t="s">
        <v>35220</v>
      </c>
      <c r="C2063" t="s">
        <v>74</v>
      </c>
      <c r="D2063" t="s">
        <v>74</v>
      </c>
      <c r="E2063" t="s">
        <v>74</v>
      </c>
      <c r="F2063" t="s">
        <v>35221</v>
      </c>
      <c r="G2063" t="s">
        <v>74</v>
      </c>
      <c r="H2063" t="s">
        <v>74</v>
      </c>
      <c r="I2063" t="s">
        <v>35222</v>
      </c>
      <c r="J2063" t="s">
        <v>35223</v>
      </c>
      <c r="K2063" t="s">
        <v>74</v>
      </c>
      <c r="L2063" t="s">
        <v>74</v>
      </c>
      <c r="M2063" t="s">
        <v>78</v>
      </c>
      <c r="N2063" t="s">
        <v>108</v>
      </c>
      <c r="O2063" t="s">
        <v>74</v>
      </c>
      <c r="P2063" t="s">
        <v>74</v>
      </c>
      <c r="Q2063" t="s">
        <v>74</v>
      </c>
      <c r="R2063" t="s">
        <v>74</v>
      </c>
      <c r="S2063" t="s">
        <v>74</v>
      </c>
      <c r="T2063" t="s">
        <v>35224</v>
      </c>
      <c r="U2063" t="s">
        <v>74</v>
      </c>
      <c r="V2063" t="s">
        <v>35225</v>
      </c>
      <c r="W2063" t="s">
        <v>35226</v>
      </c>
      <c r="X2063" t="s">
        <v>35227</v>
      </c>
      <c r="Y2063" t="s">
        <v>35228</v>
      </c>
      <c r="Z2063" t="s">
        <v>35229</v>
      </c>
      <c r="AA2063" t="s">
        <v>35230</v>
      </c>
      <c r="AB2063" t="s">
        <v>35231</v>
      </c>
      <c r="AC2063" t="s">
        <v>35232</v>
      </c>
      <c r="AD2063" t="s">
        <v>35233</v>
      </c>
      <c r="AE2063" t="s">
        <v>35234</v>
      </c>
      <c r="AF2063" t="s">
        <v>74</v>
      </c>
      <c r="AG2063">
        <v>28</v>
      </c>
      <c r="AH2063">
        <v>60</v>
      </c>
      <c r="AI2063">
        <v>63</v>
      </c>
      <c r="AJ2063">
        <v>5</v>
      </c>
      <c r="AK2063">
        <v>54</v>
      </c>
      <c r="AL2063" t="s">
        <v>251</v>
      </c>
      <c r="AM2063" t="s">
        <v>252</v>
      </c>
      <c r="AN2063" t="s">
        <v>253</v>
      </c>
      <c r="AO2063" t="s">
        <v>35235</v>
      </c>
      <c r="AP2063" t="s">
        <v>35236</v>
      </c>
      <c r="AQ2063" t="s">
        <v>74</v>
      </c>
      <c r="AR2063" t="s">
        <v>35237</v>
      </c>
      <c r="AS2063" t="s">
        <v>35238</v>
      </c>
      <c r="AT2063" t="s">
        <v>745</v>
      </c>
      <c r="AU2063">
        <v>2021</v>
      </c>
      <c r="AV2063">
        <v>34</v>
      </c>
      <c r="AW2063">
        <v>2</v>
      </c>
      <c r="AX2063" t="s">
        <v>74</v>
      </c>
      <c r="AY2063" t="s">
        <v>74</v>
      </c>
      <c r="AZ2063" t="s">
        <v>74</v>
      </c>
      <c r="BA2063" t="s">
        <v>74</v>
      </c>
      <c r="BB2063">
        <v>139</v>
      </c>
      <c r="BC2063">
        <v>146</v>
      </c>
      <c r="BD2063" t="s">
        <v>74</v>
      </c>
      <c r="BE2063" t="s">
        <v>35239</v>
      </c>
      <c r="BF2063" t="str">
        <f>HYPERLINK("http://dx.doi.org/10.1111/jcap.12313","http://dx.doi.org/10.1111/jcap.12313")</f>
        <v>http://dx.doi.org/10.1111/jcap.12313</v>
      </c>
      <c r="BG2063" t="s">
        <v>74</v>
      </c>
      <c r="BH2063" t="s">
        <v>8593</v>
      </c>
      <c r="BI2063">
        <v>8</v>
      </c>
      <c r="BJ2063" t="s">
        <v>8110</v>
      </c>
      <c r="BK2063" t="s">
        <v>125</v>
      </c>
      <c r="BL2063" t="s">
        <v>8110</v>
      </c>
      <c r="BM2063" t="s">
        <v>35240</v>
      </c>
      <c r="BN2063">
        <v>33811706</v>
      </c>
      <c r="BO2063" t="s">
        <v>35241</v>
      </c>
      <c r="BP2063" t="s">
        <v>74</v>
      </c>
      <c r="BQ2063" t="s">
        <v>74</v>
      </c>
      <c r="BR2063" t="s">
        <v>102</v>
      </c>
      <c r="BS2063" t="s">
        <v>35242</v>
      </c>
      <c r="BT2063" t="str">
        <f>HYPERLINK("https%3A%2F%2Fwww.webofscience.com%2Fwos%2Fwoscc%2Ffull-record%2FWOS:000636260600001","View Full Record in Web of Science")</f>
        <v>View Full Record in Web of Science</v>
      </c>
    </row>
    <row r="2064" spans="1:72" x14ac:dyDescent="0.35">
      <c r="A2064" t="s">
        <v>128</v>
      </c>
      <c r="B2064" t="s">
        <v>35243</v>
      </c>
      <c r="C2064" t="s">
        <v>74</v>
      </c>
      <c r="D2064" t="s">
        <v>74</v>
      </c>
      <c r="E2064" t="s">
        <v>718</v>
      </c>
      <c r="F2064" t="s">
        <v>35244</v>
      </c>
      <c r="G2064" t="s">
        <v>74</v>
      </c>
      <c r="H2064" t="s">
        <v>74</v>
      </c>
      <c r="I2064" t="s">
        <v>35245</v>
      </c>
      <c r="J2064" t="s">
        <v>33865</v>
      </c>
      <c r="K2064" t="s">
        <v>74</v>
      </c>
      <c r="L2064" t="s">
        <v>74</v>
      </c>
      <c r="M2064" t="s">
        <v>78</v>
      </c>
      <c r="N2064" t="s">
        <v>135</v>
      </c>
      <c r="O2064" t="s">
        <v>33866</v>
      </c>
      <c r="P2064" t="s">
        <v>33867</v>
      </c>
      <c r="Q2064" t="s">
        <v>6828</v>
      </c>
      <c r="R2064" t="s">
        <v>30952</v>
      </c>
      <c r="S2064" t="s">
        <v>74</v>
      </c>
      <c r="T2064" t="s">
        <v>35246</v>
      </c>
      <c r="U2064" t="s">
        <v>35247</v>
      </c>
      <c r="V2064" t="s">
        <v>35248</v>
      </c>
      <c r="W2064" t="s">
        <v>35249</v>
      </c>
      <c r="X2064" t="s">
        <v>35250</v>
      </c>
      <c r="Y2064" t="s">
        <v>35251</v>
      </c>
      <c r="Z2064" t="s">
        <v>35252</v>
      </c>
      <c r="AA2064" t="s">
        <v>35253</v>
      </c>
      <c r="AB2064" t="s">
        <v>74</v>
      </c>
      <c r="AC2064" t="s">
        <v>35254</v>
      </c>
      <c r="AD2064" t="s">
        <v>35255</v>
      </c>
      <c r="AE2064" t="s">
        <v>35256</v>
      </c>
      <c r="AF2064" t="s">
        <v>74</v>
      </c>
      <c r="AG2064">
        <v>36</v>
      </c>
      <c r="AH2064">
        <v>0</v>
      </c>
      <c r="AI2064">
        <v>0</v>
      </c>
      <c r="AJ2064">
        <v>0</v>
      </c>
      <c r="AK2064">
        <v>0</v>
      </c>
      <c r="AL2064" t="s">
        <v>718</v>
      </c>
      <c r="AM2064" t="s">
        <v>666</v>
      </c>
      <c r="AN2064" t="s">
        <v>719</v>
      </c>
      <c r="AO2064" t="s">
        <v>74</v>
      </c>
      <c r="AP2064" t="s">
        <v>74</v>
      </c>
      <c r="AQ2064" t="s">
        <v>33875</v>
      </c>
      <c r="AR2064" t="s">
        <v>74</v>
      </c>
      <c r="AS2064" t="s">
        <v>74</v>
      </c>
      <c r="AT2064" t="s">
        <v>74</v>
      </c>
      <c r="AU2064">
        <v>2024</v>
      </c>
      <c r="AV2064" t="s">
        <v>74</v>
      </c>
      <c r="AW2064" t="s">
        <v>74</v>
      </c>
      <c r="AX2064" t="s">
        <v>74</v>
      </c>
      <c r="AY2064" t="s">
        <v>74</v>
      </c>
      <c r="AZ2064" t="s">
        <v>74</v>
      </c>
      <c r="BA2064" t="s">
        <v>74</v>
      </c>
      <c r="BB2064">
        <v>2167</v>
      </c>
      <c r="BC2064">
        <v>2176</v>
      </c>
      <c r="BD2064" t="s">
        <v>74</v>
      </c>
      <c r="BE2064" t="s">
        <v>35257</v>
      </c>
      <c r="BF2064" t="str">
        <f>HYPERLINK("http://dx.doi.org/10.1145/3626772.3657795","http://dx.doi.org/10.1145/3626772.3657795")</f>
        <v>http://dx.doi.org/10.1145/3626772.3657795</v>
      </c>
      <c r="BG2064" t="s">
        <v>74</v>
      </c>
      <c r="BH2064" t="s">
        <v>74</v>
      </c>
      <c r="BI2064">
        <v>10</v>
      </c>
      <c r="BJ2064" t="s">
        <v>894</v>
      </c>
      <c r="BK2064" t="s">
        <v>723</v>
      </c>
      <c r="BL2064" t="s">
        <v>210</v>
      </c>
      <c r="BM2064" t="s">
        <v>33877</v>
      </c>
      <c r="BN2064" t="s">
        <v>74</v>
      </c>
      <c r="BO2064" t="s">
        <v>74</v>
      </c>
      <c r="BP2064" t="s">
        <v>74</v>
      </c>
      <c r="BQ2064" t="s">
        <v>74</v>
      </c>
      <c r="BR2064" t="s">
        <v>102</v>
      </c>
      <c r="BS2064" t="s">
        <v>35258</v>
      </c>
      <c r="BT2064" t="str">
        <f>HYPERLINK("https%3A%2F%2Fwww.webofscience.com%2Fwos%2Fwoscc%2Ffull-record%2FWOS:001273410002024","View Full Record in Web of Science")</f>
        <v>View Full Record in Web of Science</v>
      </c>
    </row>
    <row r="2065" spans="1:72" x14ac:dyDescent="0.35">
      <c r="A2065" t="s">
        <v>72</v>
      </c>
      <c r="B2065" t="s">
        <v>35259</v>
      </c>
      <c r="C2065" t="s">
        <v>74</v>
      </c>
      <c r="D2065" t="s">
        <v>74</v>
      </c>
      <c r="E2065" t="s">
        <v>74</v>
      </c>
      <c r="F2065" t="s">
        <v>35260</v>
      </c>
      <c r="G2065" t="s">
        <v>74</v>
      </c>
      <c r="H2065" t="s">
        <v>74</v>
      </c>
      <c r="I2065" t="s">
        <v>35261</v>
      </c>
      <c r="J2065" t="s">
        <v>33056</v>
      </c>
      <c r="K2065" t="s">
        <v>74</v>
      </c>
      <c r="L2065" t="s">
        <v>74</v>
      </c>
      <c r="M2065" t="s">
        <v>78</v>
      </c>
      <c r="N2065" t="s">
        <v>108</v>
      </c>
      <c r="O2065" t="s">
        <v>74</v>
      </c>
      <c r="P2065" t="s">
        <v>74</v>
      </c>
      <c r="Q2065" t="s">
        <v>74</v>
      </c>
      <c r="R2065" t="s">
        <v>74</v>
      </c>
      <c r="S2065" t="s">
        <v>74</v>
      </c>
      <c r="T2065" t="s">
        <v>35262</v>
      </c>
      <c r="U2065" t="s">
        <v>35263</v>
      </c>
      <c r="V2065" t="s">
        <v>35264</v>
      </c>
      <c r="W2065" t="s">
        <v>35265</v>
      </c>
      <c r="X2065" t="s">
        <v>35266</v>
      </c>
      <c r="Y2065" t="s">
        <v>35267</v>
      </c>
      <c r="Z2065" t="s">
        <v>35268</v>
      </c>
      <c r="AA2065" t="s">
        <v>35269</v>
      </c>
      <c r="AB2065" t="s">
        <v>74</v>
      </c>
      <c r="AC2065" t="s">
        <v>35270</v>
      </c>
      <c r="AD2065" t="s">
        <v>35270</v>
      </c>
      <c r="AE2065" t="s">
        <v>35271</v>
      </c>
      <c r="AF2065" t="s">
        <v>74</v>
      </c>
      <c r="AG2065">
        <v>39</v>
      </c>
      <c r="AH2065">
        <v>0</v>
      </c>
      <c r="AI2065">
        <v>0</v>
      </c>
      <c r="AJ2065">
        <v>1</v>
      </c>
      <c r="AK2065">
        <v>1</v>
      </c>
      <c r="AL2065" t="s">
        <v>33065</v>
      </c>
      <c r="AM2065" t="s">
        <v>12103</v>
      </c>
      <c r="AN2065" t="s">
        <v>33066</v>
      </c>
      <c r="AO2065" t="s">
        <v>33067</v>
      </c>
      <c r="AP2065" t="s">
        <v>33068</v>
      </c>
      <c r="AQ2065" t="s">
        <v>74</v>
      </c>
      <c r="AR2065" t="s">
        <v>33069</v>
      </c>
      <c r="AS2065" t="s">
        <v>33070</v>
      </c>
      <c r="AT2065" t="s">
        <v>74</v>
      </c>
      <c r="AU2065">
        <v>2024</v>
      </c>
      <c r="AV2065">
        <v>40</v>
      </c>
      <c r="AW2065">
        <v>2</v>
      </c>
      <c r="AX2065" t="s">
        <v>74</v>
      </c>
      <c r="AY2065" t="s">
        <v>74</v>
      </c>
      <c r="AZ2065" t="s">
        <v>74</v>
      </c>
      <c r="BA2065" t="s">
        <v>74</v>
      </c>
      <c r="BB2065">
        <v>448</v>
      </c>
      <c r="BC2065">
        <v>464</v>
      </c>
      <c r="BD2065" t="s">
        <v>74</v>
      </c>
      <c r="BE2065" t="s">
        <v>35272</v>
      </c>
      <c r="BF2065" t="str">
        <f>HYPERLINK("http://dx.doi.org/10.17576/JKMJC-2024-4002-26","http://dx.doi.org/10.17576/JKMJC-2024-4002-26")</f>
        <v>http://dx.doi.org/10.17576/JKMJC-2024-4002-26</v>
      </c>
      <c r="BG2065" t="s">
        <v>74</v>
      </c>
      <c r="BH2065" t="s">
        <v>74</v>
      </c>
      <c r="BI2065">
        <v>17</v>
      </c>
      <c r="BJ2065" t="s">
        <v>124</v>
      </c>
      <c r="BK2065" t="s">
        <v>125</v>
      </c>
      <c r="BL2065" t="s">
        <v>124</v>
      </c>
      <c r="BM2065" t="s">
        <v>35273</v>
      </c>
      <c r="BN2065" t="s">
        <v>74</v>
      </c>
      <c r="BO2065" t="s">
        <v>74</v>
      </c>
      <c r="BP2065" t="s">
        <v>74</v>
      </c>
      <c r="BQ2065" t="s">
        <v>74</v>
      </c>
      <c r="BR2065" t="s">
        <v>102</v>
      </c>
      <c r="BS2065" t="s">
        <v>35274</v>
      </c>
      <c r="BT2065" t="str">
        <f>HYPERLINK("https%3A%2F%2Fwww.webofscience.com%2Fwos%2Fwoscc%2Ffull-record%2FWOS:001297394600006","View Full Record in Web of Science")</f>
        <v>View Full Record in Web of Science</v>
      </c>
    </row>
    <row r="2066" spans="1:72" x14ac:dyDescent="0.35">
      <c r="A2066" t="s">
        <v>72</v>
      </c>
      <c r="B2066" t="s">
        <v>35275</v>
      </c>
      <c r="C2066" t="s">
        <v>74</v>
      </c>
      <c r="D2066" t="s">
        <v>74</v>
      </c>
      <c r="E2066" t="s">
        <v>74</v>
      </c>
      <c r="F2066" t="s">
        <v>35276</v>
      </c>
      <c r="G2066" t="s">
        <v>74</v>
      </c>
      <c r="H2066" t="s">
        <v>74</v>
      </c>
      <c r="I2066" t="s">
        <v>35277</v>
      </c>
      <c r="J2066" t="s">
        <v>3000</v>
      </c>
      <c r="K2066" t="s">
        <v>74</v>
      </c>
      <c r="L2066" t="s">
        <v>74</v>
      </c>
      <c r="M2066" t="s">
        <v>78</v>
      </c>
      <c r="N2066" t="s">
        <v>108</v>
      </c>
      <c r="O2066" t="s">
        <v>74</v>
      </c>
      <c r="P2066" t="s">
        <v>74</v>
      </c>
      <c r="Q2066" t="s">
        <v>74</v>
      </c>
      <c r="R2066" t="s">
        <v>74</v>
      </c>
      <c r="S2066" t="s">
        <v>74</v>
      </c>
      <c r="T2066" t="s">
        <v>35278</v>
      </c>
      <c r="U2066" t="s">
        <v>35279</v>
      </c>
      <c r="V2066" t="s">
        <v>35280</v>
      </c>
      <c r="W2066" t="s">
        <v>35281</v>
      </c>
      <c r="X2066" t="s">
        <v>35282</v>
      </c>
      <c r="Y2066" t="s">
        <v>35283</v>
      </c>
      <c r="Z2066" t="s">
        <v>35284</v>
      </c>
      <c r="AA2066" t="s">
        <v>74</v>
      </c>
      <c r="AB2066" t="s">
        <v>74</v>
      </c>
      <c r="AC2066" t="s">
        <v>35285</v>
      </c>
      <c r="AD2066" t="s">
        <v>35286</v>
      </c>
      <c r="AE2066" t="s">
        <v>35287</v>
      </c>
      <c r="AF2066" t="s">
        <v>74</v>
      </c>
      <c r="AG2066">
        <v>50</v>
      </c>
      <c r="AH2066">
        <v>1</v>
      </c>
      <c r="AI2066">
        <v>1</v>
      </c>
      <c r="AJ2066">
        <v>4</v>
      </c>
      <c r="AK2066">
        <v>6</v>
      </c>
      <c r="AL2066" t="s">
        <v>994</v>
      </c>
      <c r="AM2066" t="s">
        <v>995</v>
      </c>
      <c r="AN2066" t="s">
        <v>996</v>
      </c>
      <c r="AO2066" t="s">
        <v>3011</v>
      </c>
      <c r="AP2066" t="s">
        <v>3012</v>
      </c>
      <c r="AQ2066" t="s">
        <v>74</v>
      </c>
      <c r="AR2066" t="s">
        <v>3013</v>
      </c>
      <c r="AS2066" t="s">
        <v>3014</v>
      </c>
      <c r="AT2066" t="s">
        <v>24463</v>
      </c>
      <c r="AU2066">
        <v>2024</v>
      </c>
      <c r="AV2066">
        <v>59</v>
      </c>
      <c r="AW2066">
        <v>3</v>
      </c>
      <c r="AX2066" t="s">
        <v>74</v>
      </c>
      <c r="AY2066" t="s">
        <v>74</v>
      </c>
      <c r="AZ2066" t="s">
        <v>74</v>
      </c>
      <c r="BA2066" t="s">
        <v>74</v>
      </c>
      <c r="BB2066">
        <v>380</v>
      </c>
      <c r="BC2066">
        <v>387</v>
      </c>
      <c r="BD2066" t="s">
        <v>74</v>
      </c>
      <c r="BE2066" t="s">
        <v>35288</v>
      </c>
      <c r="BF2066" t="str">
        <f>HYPERLINK("http://dx.doi.org/10.1080/10826084.2023.2275557","http://dx.doi.org/10.1080/10826084.2023.2275557")</f>
        <v>http://dx.doi.org/10.1080/10826084.2023.2275557</v>
      </c>
      <c r="BG2066" t="s">
        <v>74</v>
      </c>
      <c r="BH2066" t="s">
        <v>207</v>
      </c>
      <c r="BI2066">
        <v>8</v>
      </c>
      <c r="BJ2066" t="s">
        <v>3016</v>
      </c>
      <c r="BK2066" t="s">
        <v>182</v>
      </c>
      <c r="BL2066" t="s">
        <v>3016</v>
      </c>
      <c r="BM2066" t="s">
        <v>35289</v>
      </c>
      <c r="BN2066">
        <v>37919881</v>
      </c>
      <c r="BO2066" t="s">
        <v>74</v>
      </c>
      <c r="BP2066" t="s">
        <v>74</v>
      </c>
      <c r="BQ2066" t="s">
        <v>74</v>
      </c>
      <c r="BR2066" t="s">
        <v>102</v>
      </c>
      <c r="BS2066" t="s">
        <v>35290</v>
      </c>
      <c r="BT2066" t="str">
        <f>HYPERLINK("https%3A%2F%2Fwww.webofscience.com%2Fwos%2Fwoscc%2Ffull-record%2FWOS:001095002800001","View Full Record in Web of Science")</f>
        <v>View Full Record in Web of Science</v>
      </c>
    </row>
    <row r="2067" spans="1:72" x14ac:dyDescent="0.35">
      <c r="A2067" t="s">
        <v>72</v>
      </c>
      <c r="B2067" t="s">
        <v>35291</v>
      </c>
      <c r="C2067" t="s">
        <v>74</v>
      </c>
      <c r="D2067" t="s">
        <v>74</v>
      </c>
      <c r="E2067" t="s">
        <v>74</v>
      </c>
      <c r="F2067" t="s">
        <v>35292</v>
      </c>
      <c r="G2067" t="s">
        <v>74</v>
      </c>
      <c r="H2067" t="s">
        <v>74</v>
      </c>
      <c r="I2067" t="s">
        <v>35293</v>
      </c>
      <c r="J2067" t="s">
        <v>35294</v>
      </c>
      <c r="K2067" t="s">
        <v>74</v>
      </c>
      <c r="L2067" t="s">
        <v>74</v>
      </c>
      <c r="M2067" t="s">
        <v>78</v>
      </c>
      <c r="N2067" t="s">
        <v>108</v>
      </c>
      <c r="O2067" t="s">
        <v>74</v>
      </c>
      <c r="P2067" t="s">
        <v>74</v>
      </c>
      <c r="Q2067" t="s">
        <v>74</v>
      </c>
      <c r="R2067" t="s">
        <v>74</v>
      </c>
      <c r="S2067" t="s">
        <v>74</v>
      </c>
      <c r="T2067" t="s">
        <v>35295</v>
      </c>
      <c r="U2067" t="s">
        <v>74</v>
      </c>
      <c r="V2067" t="s">
        <v>35296</v>
      </c>
      <c r="W2067" t="s">
        <v>35297</v>
      </c>
      <c r="X2067" t="s">
        <v>35298</v>
      </c>
      <c r="Y2067" t="s">
        <v>35299</v>
      </c>
      <c r="Z2067" t="s">
        <v>35300</v>
      </c>
      <c r="AA2067" t="s">
        <v>35301</v>
      </c>
      <c r="AB2067" t="s">
        <v>35302</v>
      </c>
      <c r="AC2067" t="s">
        <v>74</v>
      </c>
      <c r="AD2067" t="s">
        <v>74</v>
      </c>
      <c r="AE2067" t="s">
        <v>74</v>
      </c>
      <c r="AF2067" t="s">
        <v>74</v>
      </c>
      <c r="AG2067">
        <v>56</v>
      </c>
      <c r="AH2067">
        <v>0</v>
      </c>
      <c r="AI2067">
        <v>0</v>
      </c>
      <c r="AJ2067">
        <v>0</v>
      </c>
      <c r="AK2067">
        <v>5</v>
      </c>
      <c r="AL2067" t="s">
        <v>14437</v>
      </c>
      <c r="AM2067" t="s">
        <v>6529</v>
      </c>
      <c r="AN2067" t="s">
        <v>14438</v>
      </c>
      <c r="AO2067" t="s">
        <v>35303</v>
      </c>
      <c r="AP2067" t="s">
        <v>35304</v>
      </c>
      <c r="AQ2067" t="s">
        <v>74</v>
      </c>
      <c r="AR2067" t="s">
        <v>35305</v>
      </c>
      <c r="AS2067" t="s">
        <v>35306</v>
      </c>
      <c r="AT2067" t="s">
        <v>74</v>
      </c>
      <c r="AU2067">
        <v>2023</v>
      </c>
      <c r="AV2067">
        <v>34</v>
      </c>
      <c r="AW2067">
        <v>4</v>
      </c>
      <c r="AX2067" t="s">
        <v>74</v>
      </c>
      <c r="AY2067" t="s">
        <v>74</v>
      </c>
      <c r="AZ2067" t="s">
        <v>74</v>
      </c>
      <c r="BA2067" t="s">
        <v>74</v>
      </c>
      <c r="BB2067">
        <v>755</v>
      </c>
      <c r="BC2067">
        <v>767</v>
      </c>
      <c r="BD2067" t="s">
        <v>74</v>
      </c>
      <c r="BE2067" t="s">
        <v>35307</v>
      </c>
      <c r="BF2067" t="str">
        <f>HYPERLINK("http://dx.doi.org/10.5209/rced.80039","http://dx.doi.org/10.5209/rced.80039")</f>
        <v>http://dx.doi.org/10.5209/rced.80039</v>
      </c>
      <c r="BG2067" t="s">
        <v>74</v>
      </c>
      <c r="BH2067" t="s">
        <v>74</v>
      </c>
      <c r="BI2067">
        <v>13</v>
      </c>
      <c r="BJ2067" t="s">
        <v>787</v>
      </c>
      <c r="BK2067" t="s">
        <v>125</v>
      </c>
      <c r="BL2067" t="s">
        <v>787</v>
      </c>
      <c r="BM2067" t="s">
        <v>35308</v>
      </c>
      <c r="BN2067" t="s">
        <v>74</v>
      </c>
      <c r="BO2067" t="s">
        <v>235</v>
      </c>
      <c r="BP2067" t="s">
        <v>74</v>
      </c>
      <c r="BQ2067" t="s">
        <v>74</v>
      </c>
      <c r="BR2067" t="s">
        <v>102</v>
      </c>
      <c r="BS2067" t="s">
        <v>35309</v>
      </c>
      <c r="BT2067" t="str">
        <f>HYPERLINK("https%3A%2F%2Fwww.webofscience.com%2Fwos%2Fwoscc%2Ffull-record%2FWOS:001111923300002","View Full Record in Web of Science")</f>
        <v>View Full Record in Web of Science</v>
      </c>
    </row>
    <row r="2068" spans="1:72" x14ac:dyDescent="0.35">
      <c r="A2068" t="s">
        <v>72</v>
      </c>
      <c r="B2068" t="s">
        <v>35310</v>
      </c>
      <c r="C2068" t="s">
        <v>74</v>
      </c>
      <c r="D2068" t="s">
        <v>74</v>
      </c>
      <c r="E2068" t="s">
        <v>74</v>
      </c>
      <c r="F2068" t="s">
        <v>35311</v>
      </c>
      <c r="G2068" t="s">
        <v>74</v>
      </c>
      <c r="H2068" t="s">
        <v>74</v>
      </c>
      <c r="I2068" t="s">
        <v>35312</v>
      </c>
      <c r="J2068" t="s">
        <v>35313</v>
      </c>
      <c r="K2068" t="s">
        <v>74</v>
      </c>
      <c r="L2068" t="s">
        <v>74</v>
      </c>
      <c r="M2068" t="s">
        <v>78</v>
      </c>
      <c r="N2068" t="s">
        <v>108</v>
      </c>
      <c r="O2068" t="s">
        <v>74</v>
      </c>
      <c r="P2068" t="s">
        <v>74</v>
      </c>
      <c r="Q2068" t="s">
        <v>74</v>
      </c>
      <c r="R2068" t="s">
        <v>74</v>
      </c>
      <c r="S2068" t="s">
        <v>74</v>
      </c>
      <c r="T2068" t="s">
        <v>74</v>
      </c>
      <c r="U2068" t="s">
        <v>74</v>
      </c>
      <c r="V2068" t="s">
        <v>35314</v>
      </c>
      <c r="W2068" t="s">
        <v>35315</v>
      </c>
      <c r="X2068" t="s">
        <v>35316</v>
      </c>
      <c r="Y2068" t="s">
        <v>35317</v>
      </c>
      <c r="Z2068" t="s">
        <v>35318</v>
      </c>
      <c r="AA2068" t="s">
        <v>74</v>
      </c>
      <c r="AB2068" t="s">
        <v>74</v>
      </c>
      <c r="AC2068" t="s">
        <v>35319</v>
      </c>
      <c r="AD2068" t="s">
        <v>4847</v>
      </c>
      <c r="AE2068" t="s">
        <v>35320</v>
      </c>
      <c r="AF2068" t="s">
        <v>74</v>
      </c>
      <c r="AG2068">
        <v>33</v>
      </c>
      <c r="AH2068">
        <v>0</v>
      </c>
      <c r="AI2068">
        <v>0</v>
      </c>
      <c r="AJ2068">
        <v>0</v>
      </c>
      <c r="AK2068">
        <v>2</v>
      </c>
      <c r="AL2068" t="s">
        <v>22986</v>
      </c>
      <c r="AM2068" t="s">
        <v>227</v>
      </c>
      <c r="AN2068" t="s">
        <v>22987</v>
      </c>
      <c r="AO2068" t="s">
        <v>35321</v>
      </c>
      <c r="AP2068" t="s">
        <v>35322</v>
      </c>
      <c r="AQ2068" t="s">
        <v>74</v>
      </c>
      <c r="AR2068" t="s">
        <v>35323</v>
      </c>
      <c r="AS2068" t="s">
        <v>35324</v>
      </c>
      <c r="AT2068" t="s">
        <v>6118</v>
      </c>
      <c r="AU2068">
        <v>2022</v>
      </c>
      <c r="AV2068">
        <v>2022</v>
      </c>
      <c r="AW2068" t="s">
        <v>74</v>
      </c>
      <c r="AX2068" t="s">
        <v>74</v>
      </c>
      <c r="AY2068" t="s">
        <v>74</v>
      </c>
      <c r="AZ2068" t="s">
        <v>74</v>
      </c>
      <c r="BA2068" t="s">
        <v>74</v>
      </c>
      <c r="BB2068" t="s">
        <v>74</v>
      </c>
      <c r="BC2068" t="s">
        <v>74</v>
      </c>
      <c r="BD2068">
        <v>7001278</v>
      </c>
      <c r="BE2068" t="s">
        <v>35325</v>
      </c>
      <c r="BF2068" t="str">
        <f>HYPERLINK("http://dx.doi.org/10.1155/2022/7001278","http://dx.doi.org/10.1155/2022/7001278")</f>
        <v>http://dx.doi.org/10.1155/2022/7001278</v>
      </c>
      <c r="BG2068" t="s">
        <v>74</v>
      </c>
      <c r="BH2068" t="s">
        <v>74</v>
      </c>
      <c r="BI2068">
        <v>12</v>
      </c>
      <c r="BJ2068" t="s">
        <v>1698</v>
      </c>
      <c r="BK2068" t="s">
        <v>209</v>
      </c>
      <c r="BL2068" t="s">
        <v>1699</v>
      </c>
      <c r="BM2068" t="s">
        <v>35326</v>
      </c>
      <c r="BN2068" t="s">
        <v>74</v>
      </c>
      <c r="BO2068" t="s">
        <v>235</v>
      </c>
      <c r="BP2068" t="s">
        <v>74</v>
      </c>
      <c r="BQ2068" t="s">
        <v>74</v>
      </c>
      <c r="BR2068" t="s">
        <v>102</v>
      </c>
      <c r="BS2068" t="s">
        <v>35327</v>
      </c>
      <c r="BT2068" t="str">
        <f>HYPERLINK("https%3A%2F%2Fwww.webofscience.com%2Fwos%2Fwoscc%2Ffull-record%2FWOS:000848059200004","View Full Record in Web of Science")</f>
        <v>View Full Record in Web of Science</v>
      </c>
    </row>
    <row r="2069" spans="1:72" x14ac:dyDescent="0.35">
      <c r="A2069" t="s">
        <v>72</v>
      </c>
      <c r="B2069" t="s">
        <v>35328</v>
      </c>
      <c r="C2069" t="s">
        <v>74</v>
      </c>
      <c r="D2069" t="s">
        <v>74</v>
      </c>
      <c r="E2069" t="s">
        <v>74</v>
      </c>
      <c r="F2069" t="s">
        <v>35329</v>
      </c>
      <c r="G2069" t="s">
        <v>74</v>
      </c>
      <c r="H2069" t="s">
        <v>74</v>
      </c>
      <c r="I2069" t="s">
        <v>35330</v>
      </c>
      <c r="J2069" t="s">
        <v>3502</v>
      </c>
      <c r="K2069" t="s">
        <v>74</v>
      </c>
      <c r="L2069" t="s">
        <v>74</v>
      </c>
      <c r="M2069" t="s">
        <v>3503</v>
      </c>
      <c r="N2069" t="s">
        <v>108</v>
      </c>
      <c r="O2069" t="s">
        <v>74</v>
      </c>
      <c r="P2069" t="s">
        <v>74</v>
      </c>
      <c r="Q2069" t="s">
        <v>74</v>
      </c>
      <c r="R2069" t="s">
        <v>74</v>
      </c>
      <c r="S2069" t="s">
        <v>74</v>
      </c>
      <c r="T2069" t="s">
        <v>35331</v>
      </c>
      <c r="U2069" t="s">
        <v>35332</v>
      </c>
      <c r="V2069" t="s">
        <v>35333</v>
      </c>
      <c r="W2069" t="s">
        <v>35334</v>
      </c>
      <c r="X2069" t="s">
        <v>8393</v>
      </c>
      <c r="Y2069" t="s">
        <v>35335</v>
      </c>
      <c r="Z2069" t="s">
        <v>35336</v>
      </c>
      <c r="AA2069" t="s">
        <v>35337</v>
      </c>
      <c r="AB2069" t="s">
        <v>35338</v>
      </c>
      <c r="AC2069" t="s">
        <v>74</v>
      </c>
      <c r="AD2069" t="s">
        <v>74</v>
      </c>
      <c r="AE2069" t="s">
        <v>74</v>
      </c>
      <c r="AF2069" t="s">
        <v>74</v>
      </c>
      <c r="AG2069">
        <v>42</v>
      </c>
      <c r="AH2069">
        <v>0</v>
      </c>
      <c r="AI2069">
        <v>0</v>
      </c>
      <c r="AJ2069">
        <v>10</v>
      </c>
      <c r="AK2069">
        <v>34</v>
      </c>
      <c r="AL2069" t="s">
        <v>3511</v>
      </c>
      <c r="AM2069" t="s">
        <v>3512</v>
      </c>
      <c r="AN2069" t="s">
        <v>3513</v>
      </c>
      <c r="AO2069" t="s">
        <v>3514</v>
      </c>
      <c r="AP2069" t="s">
        <v>74</v>
      </c>
      <c r="AQ2069" t="s">
        <v>74</v>
      </c>
      <c r="AR2069" t="s">
        <v>3515</v>
      </c>
      <c r="AS2069" t="s">
        <v>3516</v>
      </c>
      <c r="AT2069" t="s">
        <v>8762</v>
      </c>
      <c r="AU2069">
        <v>2023</v>
      </c>
      <c r="AV2069">
        <v>14</v>
      </c>
      <c r="AW2069">
        <v>2</v>
      </c>
      <c r="AX2069" t="s">
        <v>74</v>
      </c>
      <c r="AY2069" t="s">
        <v>74</v>
      </c>
      <c r="AZ2069" t="s">
        <v>456</v>
      </c>
      <c r="BA2069" t="s">
        <v>74</v>
      </c>
      <c r="BB2069">
        <v>259</v>
      </c>
      <c r="BC2069">
        <v>270</v>
      </c>
      <c r="BD2069" t="s">
        <v>74</v>
      </c>
      <c r="BE2069" t="s">
        <v>35339</v>
      </c>
      <c r="BF2069" t="str">
        <f>HYPERLINK("http://dx.doi.org/10.14198/MEDCOM.23658","http://dx.doi.org/10.14198/MEDCOM.23658")</f>
        <v>http://dx.doi.org/10.14198/MEDCOM.23658</v>
      </c>
      <c r="BG2069" t="s">
        <v>74</v>
      </c>
      <c r="BH2069" t="s">
        <v>74</v>
      </c>
      <c r="BI2069">
        <v>12</v>
      </c>
      <c r="BJ2069" t="s">
        <v>124</v>
      </c>
      <c r="BK2069" t="s">
        <v>125</v>
      </c>
      <c r="BL2069" t="s">
        <v>124</v>
      </c>
      <c r="BM2069" t="s">
        <v>19670</v>
      </c>
      <c r="BN2069" t="s">
        <v>74</v>
      </c>
      <c r="BO2069" t="s">
        <v>394</v>
      </c>
      <c r="BP2069" t="s">
        <v>74</v>
      </c>
      <c r="BQ2069" t="s">
        <v>74</v>
      </c>
      <c r="BR2069" t="s">
        <v>102</v>
      </c>
      <c r="BS2069" t="s">
        <v>35340</v>
      </c>
      <c r="BT2069" t="str">
        <f>HYPERLINK("https%3A%2F%2Fwww.webofscience.com%2Fwos%2Fwoscc%2Ffull-record%2FWOS:001065890100019","View Full Record in Web of Science")</f>
        <v>View Full Record in Web of Science</v>
      </c>
    </row>
    <row r="2070" spans="1:72" x14ac:dyDescent="0.35">
      <c r="A2070" t="s">
        <v>128</v>
      </c>
      <c r="B2070" t="s">
        <v>35341</v>
      </c>
      <c r="C2070" t="s">
        <v>74</v>
      </c>
      <c r="D2070" t="s">
        <v>74</v>
      </c>
      <c r="E2070" t="s">
        <v>33758</v>
      </c>
      <c r="F2070" t="s">
        <v>35342</v>
      </c>
      <c r="G2070" t="s">
        <v>74</v>
      </c>
      <c r="H2070" t="s">
        <v>74</v>
      </c>
      <c r="I2070" t="s">
        <v>35343</v>
      </c>
      <c r="J2070" t="s">
        <v>35344</v>
      </c>
      <c r="K2070" t="s">
        <v>74</v>
      </c>
      <c r="L2070" t="s">
        <v>74</v>
      </c>
      <c r="M2070" t="s">
        <v>78</v>
      </c>
      <c r="N2070" t="s">
        <v>135</v>
      </c>
      <c r="O2070" t="s">
        <v>35345</v>
      </c>
      <c r="P2070" t="s">
        <v>35346</v>
      </c>
      <c r="Q2070" t="s">
        <v>5386</v>
      </c>
      <c r="R2070" t="s">
        <v>35347</v>
      </c>
      <c r="S2070" t="s">
        <v>74</v>
      </c>
      <c r="T2070" t="s">
        <v>74</v>
      </c>
      <c r="U2070" t="s">
        <v>74</v>
      </c>
      <c r="V2070" t="s">
        <v>35348</v>
      </c>
      <c r="W2070" t="s">
        <v>35349</v>
      </c>
      <c r="X2070" t="s">
        <v>35350</v>
      </c>
      <c r="Y2070" t="s">
        <v>35351</v>
      </c>
      <c r="Z2070" t="s">
        <v>35352</v>
      </c>
      <c r="AA2070" t="s">
        <v>35353</v>
      </c>
      <c r="AB2070" t="s">
        <v>35354</v>
      </c>
      <c r="AC2070" t="s">
        <v>35355</v>
      </c>
      <c r="AD2070" t="s">
        <v>35356</v>
      </c>
      <c r="AE2070" t="s">
        <v>35357</v>
      </c>
      <c r="AF2070" t="s">
        <v>74</v>
      </c>
      <c r="AG2070">
        <v>87</v>
      </c>
      <c r="AH2070">
        <v>2</v>
      </c>
      <c r="AI2070">
        <v>2</v>
      </c>
      <c r="AJ2070">
        <v>0</v>
      </c>
      <c r="AK2070">
        <v>2</v>
      </c>
      <c r="AL2070" t="s">
        <v>5380</v>
      </c>
      <c r="AM2070" t="s">
        <v>5396</v>
      </c>
      <c r="AN2070" t="s">
        <v>5397</v>
      </c>
      <c r="AO2070" t="s">
        <v>74</v>
      </c>
      <c r="AP2070" t="s">
        <v>74</v>
      </c>
      <c r="AQ2070" t="s">
        <v>35358</v>
      </c>
      <c r="AR2070" t="s">
        <v>74</v>
      </c>
      <c r="AS2070" t="s">
        <v>74</v>
      </c>
      <c r="AT2070" t="s">
        <v>74</v>
      </c>
      <c r="AU2070">
        <v>2022</v>
      </c>
      <c r="AV2070" t="s">
        <v>74</v>
      </c>
      <c r="AW2070" t="s">
        <v>74</v>
      </c>
      <c r="AX2070" t="s">
        <v>74</v>
      </c>
      <c r="AY2070" t="s">
        <v>74</v>
      </c>
      <c r="AZ2070" t="s">
        <v>74</v>
      </c>
      <c r="BA2070" t="s">
        <v>74</v>
      </c>
      <c r="BB2070">
        <v>1505</v>
      </c>
      <c r="BC2070">
        <v>1523</v>
      </c>
      <c r="BD2070" t="s">
        <v>74</v>
      </c>
      <c r="BE2070" t="s">
        <v>74</v>
      </c>
      <c r="BF2070" t="s">
        <v>74</v>
      </c>
      <c r="BG2070" t="s">
        <v>74</v>
      </c>
      <c r="BH2070" t="s">
        <v>74</v>
      </c>
      <c r="BI2070">
        <v>19</v>
      </c>
      <c r="BJ2070" t="s">
        <v>5399</v>
      </c>
      <c r="BK2070" t="s">
        <v>723</v>
      </c>
      <c r="BL2070" t="s">
        <v>210</v>
      </c>
      <c r="BM2070" t="s">
        <v>35359</v>
      </c>
      <c r="BN2070" t="s">
        <v>74</v>
      </c>
      <c r="BO2070" t="s">
        <v>74</v>
      </c>
      <c r="BP2070" t="s">
        <v>74</v>
      </c>
      <c r="BQ2070" t="s">
        <v>74</v>
      </c>
      <c r="BR2070" t="s">
        <v>102</v>
      </c>
      <c r="BS2070" t="s">
        <v>35360</v>
      </c>
      <c r="BT2070" t="str">
        <f>HYPERLINK("https%3A%2F%2Fwww.webofscience.com%2Fwos%2Fwoscc%2Ffull-record%2FWOS:000855237502007","View Full Record in Web of Science")</f>
        <v>View Full Record in Web of Science</v>
      </c>
    </row>
    <row r="2071" spans="1:72" x14ac:dyDescent="0.35">
      <c r="A2071" t="s">
        <v>72</v>
      </c>
      <c r="B2071" t="s">
        <v>35361</v>
      </c>
      <c r="C2071" t="s">
        <v>74</v>
      </c>
      <c r="D2071" t="s">
        <v>74</v>
      </c>
      <c r="E2071" t="s">
        <v>74</v>
      </c>
      <c r="F2071" t="s">
        <v>35362</v>
      </c>
      <c r="G2071" t="s">
        <v>74</v>
      </c>
      <c r="H2071" t="s">
        <v>74</v>
      </c>
      <c r="I2071" t="s">
        <v>35363</v>
      </c>
      <c r="J2071" t="s">
        <v>25111</v>
      </c>
      <c r="K2071" t="s">
        <v>74</v>
      </c>
      <c r="L2071" t="s">
        <v>74</v>
      </c>
      <c r="M2071" t="s">
        <v>78</v>
      </c>
      <c r="N2071" t="s">
        <v>108</v>
      </c>
      <c r="O2071" t="s">
        <v>74</v>
      </c>
      <c r="P2071" t="s">
        <v>74</v>
      </c>
      <c r="Q2071" t="s">
        <v>74</v>
      </c>
      <c r="R2071" t="s">
        <v>74</v>
      </c>
      <c r="S2071" t="s">
        <v>74</v>
      </c>
      <c r="T2071" t="s">
        <v>35364</v>
      </c>
      <c r="U2071" t="s">
        <v>74</v>
      </c>
      <c r="V2071" t="s">
        <v>35365</v>
      </c>
      <c r="W2071" t="s">
        <v>35366</v>
      </c>
      <c r="X2071" t="s">
        <v>35367</v>
      </c>
      <c r="Y2071" t="s">
        <v>35368</v>
      </c>
      <c r="Z2071" t="s">
        <v>35369</v>
      </c>
      <c r="AA2071" t="s">
        <v>35370</v>
      </c>
      <c r="AB2071" t="s">
        <v>35371</v>
      </c>
      <c r="AC2071" t="s">
        <v>35372</v>
      </c>
      <c r="AD2071" t="s">
        <v>35373</v>
      </c>
      <c r="AE2071" t="s">
        <v>35374</v>
      </c>
      <c r="AF2071" t="s">
        <v>74</v>
      </c>
      <c r="AG2071">
        <v>36</v>
      </c>
      <c r="AH2071">
        <v>0</v>
      </c>
      <c r="AI2071">
        <v>0</v>
      </c>
      <c r="AJ2071">
        <v>2</v>
      </c>
      <c r="AK2071">
        <v>2</v>
      </c>
      <c r="AL2071" t="s">
        <v>25124</v>
      </c>
      <c r="AM2071" t="s">
        <v>18022</v>
      </c>
      <c r="AN2071" t="s">
        <v>25125</v>
      </c>
      <c r="AO2071" t="s">
        <v>25126</v>
      </c>
      <c r="AP2071" t="s">
        <v>74</v>
      </c>
      <c r="AQ2071" t="s">
        <v>74</v>
      </c>
      <c r="AR2071" t="s">
        <v>25111</v>
      </c>
      <c r="AS2071" t="s">
        <v>25127</v>
      </c>
      <c r="AT2071" t="s">
        <v>74</v>
      </c>
      <c r="AU2071">
        <v>2024</v>
      </c>
      <c r="AV2071">
        <v>12</v>
      </c>
      <c r="AW2071" t="s">
        <v>74</v>
      </c>
      <c r="AX2071" t="s">
        <v>74</v>
      </c>
      <c r="AY2071" t="s">
        <v>74</v>
      </c>
      <c r="AZ2071" t="s">
        <v>74</v>
      </c>
      <c r="BA2071" t="s">
        <v>74</v>
      </c>
      <c r="BB2071">
        <v>88897</v>
      </c>
      <c r="BC2071">
        <v>88903</v>
      </c>
      <c r="BD2071" t="s">
        <v>74</v>
      </c>
      <c r="BE2071" t="s">
        <v>35375</v>
      </c>
      <c r="BF2071" t="str">
        <f>HYPERLINK("http://dx.doi.org/10.1109/ACCESS.2024.3411101","http://dx.doi.org/10.1109/ACCESS.2024.3411101")</f>
        <v>http://dx.doi.org/10.1109/ACCESS.2024.3411101</v>
      </c>
      <c r="BG2071" t="s">
        <v>74</v>
      </c>
      <c r="BH2071" t="s">
        <v>74</v>
      </c>
      <c r="BI2071">
        <v>7</v>
      </c>
      <c r="BJ2071" t="s">
        <v>25129</v>
      </c>
      <c r="BK2071" t="s">
        <v>209</v>
      </c>
      <c r="BL2071" t="s">
        <v>25130</v>
      </c>
      <c r="BM2071" t="s">
        <v>35376</v>
      </c>
      <c r="BN2071" t="s">
        <v>74</v>
      </c>
      <c r="BO2071" t="s">
        <v>235</v>
      </c>
      <c r="BP2071" t="s">
        <v>74</v>
      </c>
      <c r="BQ2071" t="s">
        <v>74</v>
      </c>
      <c r="BR2071" t="s">
        <v>102</v>
      </c>
      <c r="BS2071" t="s">
        <v>35377</v>
      </c>
      <c r="BT2071" t="str">
        <f>HYPERLINK("https%3A%2F%2Fwww.webofscience.com%2Fwos%2Fwoscc%2Ffull-record%2FWOS:001262641200001","View Full Record in Web of Science")</f>
        <v>View Full Record in Web of Science</v>
      </c>
    </row>
    <row r="2072" spans="1:72" x14ac:dyDescent="0.35">
      <c r="A2072" t="s">
        <v>72</v>
      </c>
      <c r="B2072" t="s">
        <v>35378</v>
      </c>
      <c r="C2072" t="s">
        <v>74</v>
      </c>
      <c r="D2072" t="s">
        <v>74</v>
      </c>
      <c r="E2072" t="s">
        <v>74</v>
      </c>
      <c r="F2072" t="s">
        <v>35379</v>
      </c>
      <c r="G2072" t="s">
        <v>74</v>
      </c>
      <c r="H2072" t="s">
        <v>74</v>
      </c>
      <c r="I2072" t="s">
        <v>35380</v>
      </c>
      <c r="J2072" t="s">
        <v>35381</v>
      </c>
      <c r="K2072" t="s">
        <v>74</v>
      </c>
      <c r="L2072" t="s">
        <v>74</v>
      </c>
      <c r="M2072" t="s">
        <v>78</v>
      </c>
      <c r="N2072" t="s">
        <v>108</v>
      </c>
      <c r="O2072" t="s">
        <v>74</v>
      </c>
      <c r="P2072" t="s">
        <v>74</v>
      </c>
      <c r="Q2072" t="s">
        <v>74</v>
      </c>
      <c r="R2072" t="s">
        <v>74</v>
      </c>
      <c r="S2072" t="s">
        <v>74</v>
      </c>
      <c r="T2072" t="s">
        <v>35382</v>
      </c>
      <c r="U2072" t="s">
        <v>35383</v>
      </c>
      <c r="V2072" t="s">
        <v>35384</v>
      </c>
      <c r="W2072" t="s">
        <v>35385</v>
      </c>
      <c r="X2072" t="s">
        <v>35386</v>
      </c>
      <c r="Y2072" t="s">
        <v>35387</v>
      </c>
      <c r="Z2072" t="s">
        <v>35388</v>
      </c>
      <c r="AA2072" t="s">
        <v>74</v>
      </c>
      <c r="AB2072" t="s">
        <v>35389</v>
      </c>
      <c r="AC2072" t="s">
        <v>74</v>
      </c>
      <c r="AD2072" t="s">
        <v>74</v>
      </c>
      <c r="AE2072" t="s">
        <v>74</v>
      </c>
      <c r="AF2072" t="s">
        <v>74</v>
      </c>
      <c r="AG2072">
        <v>18</v>
      </c>
      <c r="AH2072">
        <v>0</v>
      </c>
      <c r="AI2072">
        <v>0</v>
      </c>
      <c r="AJ2072">
        <v>0</v>
      </c>
      <c r="AK2072">
        <v>0</v>
      </c>
      <c r="AL2072" t="s">
        <v>35390</v>
      </c>
      <c r="AM2072" t="s">
        <v>35391</v>
      </c>
      <c r="AN2072" t="s">
        <v>35392</v>
      </c>
      <c r="AO2072" t="s">
        <v>35393</v>
      </c>
      <c r="AP2072" t="s">
        <v>74</v>
      </c>
      <c r="AQ2072" t="s">
        <v>74</v>
      </c>
      <c r="AR2072" t="s">
        <v>35394</v>
      </c>
      <c r="AS2072" t="s">
        <v>35395</v>
      </c>
      <c r="AT2072" t="s">
        <v>273</v>
      </c>
      <c r="AU2072">
        <v>2024</v>
      </c>
      <c r="AV2072">
        <v>14</v>
      </c>
      <c r="AW2072">
        <v>3</v>
      </c>
      <c r="AX2072" t="s">
        <v>74</v>
      </c>
      <c r="AY2072" t="s">
        <v>74</v>
      </c>
      <c r="AZ2072" t="s">
        <v>74</v>
      </c>
      <c r="BA2072" t="s">
        <v>74</v>
      </c>
      <c r="BB2072" t="s">
        <v>74</v>
      </c>
      <c r="BC2072" t="s">
        <v>74</v>
      </c>
      <c r="BD2072" t="s">
        <v>35396</v>
      </c>
      <c r="BE2072" t="s">
        <v>35397</v>
      </c>
      <c r="BF2072" t="str">
        <f>HYPERLINK("http://dx.doi.org/10.5826/dpc.1403a156","http://dx.doi.org/10.5826/dpc.1403a156")</f>
        <v>http://dx.doi.org/10.5826/dpc.1403a156</v>
      </c>
      <c r="BG2072" t="s">
        <v>74</v>
      </c>
      <c r="BH2072" t="s">
        <v>74</v>
      </c>
      <c r="BI2072">
        <v>7</v>
      </c>
      <c r="BJ2072" t="s">
        <v>1341</v>
      </c>
      <c r="BK2072" t="s">
        <v>209</v>
      </c>
      <c r="BL2072" t="s">
        <v>1341</v>
      </c>
      <c r="BM2072" t="s">
        <v>35398</v>
      </c>
      <c r="BN2072">
        <v>39122512</v>
      </c>
      <c r="BO2072" t="s">
        <v>552</v>
      </c>
      <c r="BP2072" t="s">
        <v>74</v>
      </c>
      <c r="BQ2072" t="s">
        <v>74</v>
      </c>
      <c r="BR2072" t="s">
        <v>102</v>
      </c>
      <c r="BS2072" t="s">
        <v>35399</v>
      </c>
      <c r="BT2072" t="str">
        <f>HYPERLINK("https%3A%2F%2Fwww.webofscience.com%2Fwos%2Fwoscc%2Ffull-record%2FWOS:001286186700021","View Full Record in Web of Science")</f>
        <v>View Full Record in Web of Science</v>
      </c>
    </row>
    <row r="2073" spans="1:72" x14ac:dyDescent="0.35">
      <c r="A2073" t="s">
        <v>72</v>
      </c>
      <c r="B2073" t="s">
        <v>35400</v>
      </c>
      <c r="C2073" t="s">
        <v>74</v>
      </c>
      <c r="D2073" t="s">
        <v>74</v>
      </c>
      <c r="E2073" t="s">
        <v>74</v>
      </c>
      <c r="F2073" t="s">
        <v>35401</v>
      </c>
      <c r="G2073" t="s">
        <v>74</v>
      </c>
      <c r="H2073" t="s">
        <v>74</v>
      </c>
      <c r="I2073" t="s">
        <v>35402</v>
      </c>
      <c r="J2073" t="s">
        <v>681</v>
      </c>
      <c r="K2073" t="s">
        <v>74</v>
      </c>
      <c r="L2073" t="s">
        <v>74</v>
      </c>
      <c r="M2073" t="s">
        <v>78</v>
      </c>
      <c r="N2073" t="s">
        <v>108</v>
      </c>
      <c r="O2073" t="s">
        <v>74</v>
      </c>
      <c r="P2073" t="s">
        <v>74</v>
      </c>
      <c r="Q2073" t="s">
        <v>74</v>
      </c>
      <c r="R2073" t="s">
        <v>74</v>
      </c>
      <c r="S2073" t="s">
        <v>74</v>
      </c>
      <c r="T2073" t="s">
        <v>35403</v>
      </c>
      <c r="U2073" t="s">
        <v>35404</v>
      </c>
      <c r="V2073" t="s">
        <v>35405</v>
      </c>
      <c r="W2073" t="s">
        <v>35406</v>
      </c>
      <c r="X2073" t="s">
        <v>35407</v>
      </c>
      <c r="Y2073" t="s">
        <v>35408</v>
      </c>
      <c r="Z2073" t="s">
        <v>35409</v>
      </c>
      <c r="AA2073" t="s">
        <v>35410</v>
      </c>
      <c r="AB2073" t="s">
        <v>74</v>
      </c>
      <c r="AC2073" t="s">
        <v>35411</v>
      </c>
      <c r="AD2073" t="s">
        <v>35412</v>
      </c>
      <c r="AE2073" t="s">
        <v>35413</v>
      </c>
      <c r="AF2073" t="s">
        <v>74</v>
      </c>
      <c r="AG2073">
        <v>69</v>
      </c>
      <c r="AH2073">
        <v>11</v>
      </c>
      <c r="AI2073">
        <v>12</v>
      </c>
      <c r="AJ2073">
        <v>60</v>
      </c>
      <c r="AK2073">
        <v>336</v>
      </c>
      <c r="AL2073" t="s">
        <v>384</v>
      </c>
      <c r="AM2073" t="s">
        <v>385</v>
      </c>
      <c r="AN2073" t="s">
        <v>386</v>
      </c>
      <c r="AO2073" t="s">
        <v>693</v>
      </c>
      <c r="AP2073" t="s">
        <v>74</v>
      </c>
      <c r="AQ2073" t="s">
        <v>74</v>
      </c>
      <c r="AR2073" t="s">
        <v>694</v>
      </c>
      <c r="AS2073" t="s">
        <v>695</v>
      </c>
      <c r="AT2073" t="s">
        <v>35414</v>
      </c>
      <c r="AU2073">
        <v>2022</v>
      </c>
      <c r="AV2073">
        <v>13</v>
      </c>
      <c r="AW2073" t="s">
        <v>74</v>
      </c>
      <c r="AX2073" t="s">
        <v>74</v>
      </c>
      <c r="AY2073" t="s">
        <v>74</v>
      </c>
      <c r="AZ2073" t="s">
        <v>74</v>
      </c>
      <c r="BA2073" t="s">
        <v>74</v>
      </c>
      <c r="BB2073" t="s">
        <v>74</v>
      </c>
      <c r="BC2073" t="s">
        <v>74</v>
      </c>
      <c r="BD2073">
        <v>912177</v>
      </c>
      <c r="BE2073" t="s">
        <v>35415</v>
      </c>
      <c r="BF2073" t="str">
        <f>HYPERLINK("http://dx.doi.org/10.3389/fpsyg.2022.912177","http://dx.doi.org/10.3389/fpsyg.2022.912177")</f>
        <v>http://dx.doi.org/10.3389/fpsyg.2022.912177</v>
      </c>
      <c r="BG2073" t="s">
        <v>74</v>
      </c>
      <c r="BH2073" t="s">
        <v>74</v>
      </c>
      <c r="BI2073">
        <v>14</v>
      </c>
      <c r="BJ2073" t="s">
        <v>698</v>
      </c>
      <c r="BK2073" t="s">
        <v>99</v>
      </c>
      <c r="BL2073" t="s">
        <v>301</v>
      </c>
      <c r="BM2073" t="s">
        <v>35416</v>
      </c>
      <c r="BN2073">
        <v>35936296</v>
      </c>
      <c r="BO2073" t="s">
        <v>394</v>
      </c>
      <c r="BP2073" t="s">
        <v>74</v>
      </c>
      <c r="BQ2073" t="s">
        <v>74</v>
      </c>
      <c r="BR2073" t="s">
        <v>102</v>
      </c>
      <c r="BS2073" t="s">
        <v>35417</v>
      </c>
      <c r="BT2073" t="str">
        <f>HYPERLINK("https%3A%2F%2Fwww.webofscience.com%2Fwos%2Fwoscc%2Ffull-record%2FWOS:000837238500001","View Full Record in Web of Science")</f>
        <v>View Full Record in Web of Science</v>
      </c>
    </row>
    <row r="2074" spans="1:72" x14ac:dyDescent="0.35">
      <c r="A2074" t="s">
        <v>128</v>
      </c>
      <c r="B2074" t="s">
        <v>35418</v>
      </c>
      <c r="C2074" t="s">
        <v>74</v>
      </c>
      <c r="D2074" t="s">
        <v>35419</v>
      </c>
      <c r="E2074" t="s">
        <v>74</v>
      </c>
      <c r="F2074" t="s">
        <v>35420</v>
      </c>
      <c r="G2074" t="s">
        <v>74</v>
      </c>
      <c r="H2074" t="s">
        <v>74</v>
      </c>
      <c r="I2074" t="s">
        <v>35421</v>
      </c>
      <c r="J2074" t="s">
        <v>35422</v>
      </c>
      <c r="K2074" t="s">
        <v>8364</v>
      </c>
      <c r="L2074" t="s">
        <v>74</v>
      </c>
      <c r="M2074" t="s">
        <v>78</v>
      </c>
      <c r="N2074" t="s">
        <v>135</v>
      </c>
      <c r="O2074" t="s">
        <v>35423</v>
      </c>
      <c r="P2074" t="s">
        <v>35424</v>
      </c>
      <c r="Q2074" t="s">
        <v>35425</v>
      </c>
      <c r="R2074" t="s">
        <v>74</v>
      </c>
      <c r="S2074" t="s">
        <v>35426</v>
      </c>
      <c r="T2074" t="s">
        <v>74</v>
      </c>
      <c r="U2074" t="s">
        <v>74</v>
      </c>
      <c r="V2074" t="s">
        <v>35427</v>
      </c>
      <c r="W2074" t="s">
        <v>35428</v>
      </c>
      <c r="X2074" t="s">
        <v>35429</v>
      </c>
      <c r="Y2074" t="s">
        <v>35430</v>
      </c>
      <c r="Z2074" t="s">
        <v>35431</v>
      </c>
      <c r="AA2074" t="s">
        <v>74</v>
      </c>
      <c r="AB2074" t="s">
        <v>74</v>
      </c>
      <c r="AC2074" t="s">
        <v>74</v>
      </c>
      <c r="AD2074" t="s">
        <v>74</v>
      </c>
      <c r="AE2074" t="s">
        <v>74</v>
      </c>
      <c r="AF2074" t="s">
        <v>74</v>
      </c>
      <c r="AG2074">
        <v>20</v>
      </c>
      <c r="AH2074">
        <v>2</v>
      </c>
      <c r="AI2074">
        <v>2</v>
      </c>
      <c r="AJ2074">
        <v>0</v>
      </c>
      <c r="AK2074">
        <v>2</v>
      </c>
      <c r="AL2074" t="s">
        <v>639</v>
      </c>
      <c r="AM2074" t="s">
        <v>640</v>
      </c>
      <c r="AN2074" t="s">
        <v>641</v>
      </c>
      <c r="AO2074" t="s">
        <v>8380</v>
      </c>
      <c r="AP2074" t="s">
        <v>8381</v>
      </c>
      <c r="AQ2074" t="s">
        <v>35432</v>
      </c>
      <c r="AR2074" t="s">
        <v>8383</v>
      </c>
      <c r="AS2074" t="s">
        <v>74</v>
      </c>
      <c r="AT2074" t="s">
        <v>74</v>
      </c>
      <c r="AU2074">
        <v>2022</v>
      </c>
      <c r="AV2074">
        <v>13555</v>
      </c>
      <c r="AW2074" t="s">
        <v>74</v>
      </c>
      <c r="AX2074" t="s">
        <v>74</v>
      </c>
      <c r="AY2074" t="s">
        <v>74</v>
      </c>
      <c r="AZ2074" t="s">
        <v>74</v>
      </c>
      <c r="BA2074" t="s">
        <v>74</v>
      </c>
      <c r="BB2074">
        <v>255</v>
      </c>
      <c r="BC2074">
        <v>274</v>
      </c>
      <c r="BD2074" t="s">
        <v>74</v>
      </c>
      <c r="BE2074" t="s">
        <v>35433</v>
      </c>
      <c r="BF2074" t="str">
        <f>HYPERLINK("http://dx.doi.org/10.1007/978-3-031-17146-8_13","http://dx.doi.org/10.1007/978-3-031-17146-8_13")</f>
        <v>http://dx.doi.org/10.1007/978-3-031-17146-8_13</v>
      </c>
      <c r="BG2074" t="s">
        <v>74</v>
      </c>
      <c r="BH2074" t="s">
        <v>74</v>
      </c>
      <c r="BI2074">
        <v>20</v>
      </c>
      <c r="BJ2074" t="s">
        <v>35434</v>
      </c>
      <c r="BK2074" t="s">
        <v>723</v>
      </c>
      <c r="BL2074" t="s">
        <v>30044</v>
      </c>
      <c r="BM2074" t="s">
        <v>35435</v>
      </c>
      <c r="BN2074" t="s">
        <v>74</v>
      </c>
      <c r="BO2074" t="s">
        <v>74</v>
      </c>
      <c r="BP2074" t="s">
        <v>74</v>
      </c>
      <c r="BQ2074" t="s">
        <v>74</v>
      </c>
      <c r="BR2074" t="s">
        <v>102</v>
      </c>
      <c r="BS2074" t="s">
        <v>35436</v>
      </c>
      <c r="BT2074" t="str">
        <f>HYPERLINK("https%3A%2F%2Fwww.webofscience.com%2Fwos%2Fwoscc%2Ffull-record%2FWOS:000866575800013","View Full Record in Web of Science")</f>
        <v>View Full Record in Web of Science</v>
      </c>
    </row>
    <row r="2075" spans="1:72" x14ac:dyDescent="0.35">
      <c r="A2075" t="s">
        <v>72</v>
      </c>
      <c r="B2075" t="s">
        <v>35437</v>
      </c>
      <c r="C2075" t="s">
        <v>74</v>
      </c>
      <c r="D2075" t="s">
        <v>74</v>
      </c>
      <c r="E2075" t="s">
        <v>74</v>
      </c>
      <c r="F2075" t="s">
        <v>35438</v>
      </c>
      <c r="G2075" t="s">
        <v>74</v>
      </c>
      <c r="H2075" t="s">
        <v>74</v>
      </c>
      <c r="I2075" t="s">
        <v>35439</v>
      </c>
      <c r="J2075" t="s">
        <v>35440</v>
      </c>
      <c r="K2075" t="s">
        <v>74</v>
      </c>
      <c r="L2075" t="s">
        <v>74</v>
      </c>
      <c r="M2075" t="s">
        <v>1556</v>
      </c>
      <c r="N2075" t="s">
        <v>108</v>
      </c>
      <c r="O2075" t="s">
        <v>74</v>
      </c>
      <c r="P2075" t="s">
        <v>74</v>
      </c>
      <c r="Q2075" t="s">
        <v>74</v>
      </c>
      <c r="R2075" t="s">
        <v>74</v>
      </c>
      <c r="S2075" t="s">
        <v>74</v>
      </c>
      <c r="T2075" t="s">
        <v>35441</v>
      </c>
      <c r="U2075" t="s">
        <v>1268</v>
      </c>
      <c r="V2075" t="s">
        <v>35442</v>
      </c>
      <c r="W2075" t="s">
        <v>35443</v>
      </c>
      <c r="X2075" t="s">
        <v>35444</v>
      </c>
      <c r="Y2075" t="s">
        <v>35445</v>
      </c>
      <c r="Z2075" t="s">
        <v>35446</v>
      </c>
      <c r="AA2075" t="s">
        <v>35447</v>
      </c>
      <c r="AB2075" t="s">
        <v>35448</v>
      </c>
      <c r="AC2075" t="s">
        <v>35449</v>
      </c>
      <c r="AD2075" t="s">
        <v>35450</v>
      </c>
      <c r="AE2075" t="s">
        <v>35451</v>
      </c>
      <c r="AF2075" t="s">
        <v>74</v>
      </c>
      <c r="AG2075">
        <v>26</v>
      </c>
      <c r="AH2075">
        <v>0</v>
      </c>
      <c r="AI2075">
        <v>0</v>
      </c>
      <c r="AJ2075">
        <v>0</v>
      </c>
      <c r="AK2075">
        <v>6</v>
      </c>
      <c r="AL2075" t="s">
        <v>35452</v>
      </c>
      <c r="AM2075" t="s">
        <v>1564</v>
      </c>
      <c r="AN2075" t="s">
        <v>35453</v>
      </c>
      <c r="AO2075" t="s">
        <v>35454</v>
      </c>
      <c r="AP2075" t="s">
        <v>74</v>
      </c>
      <c r="AQ2075" t="s">
        <v>74</v>
      </c>
      <c r="AR2075" t="s">
        <v>35455</v>
      </c>
      <c r="AS2075" t="s">
        <v>35456</v>
      </c>
      <c r="AT2075" t="s">
        <v>74</v>
      </c>
      <c r="AU2075">
        <v>2022</v>
      </c>
      <c r="AV2075" t="s">
        <v>74</v>
      </c>
      <c r="AW2075">
        <v>3</v>
      </c>
      <c r="AX2075" t="s">
        <v>74</v>
      </c>
      <c r="AY2075" t="s">
        <v>74</v>
      </c>
      <c r="AZ2075" t="s">
        <v>74</v>
      </c>
      <c r="BA2075" t="s">
        <v>74</v>
      </c>
      <c r="BB2075">
        <v>133</v>
      </c>
      <c r="BC2075">
        <v>142</v>
      </c>
      <c r="BD2075" t="s">
        <v>74</v>
      </c>
      <c r="BE2075" t="s">
        <v>35457</v>
      </c>
      <c r="BF2075" t="str">
        <f>HYPERLINK("http://dx.doi.org/10.21146/0042-8744-2022-3-133-142","http://dx.doi.org/10.21146/0042-8744-2022-3-133-142")</f>
        <v>http://dx.doi.org/10.21146/0042-8744-2022-3-133-142</v>
      </c>
      <c r="BG2075" t="s">
        <v>74</v>
      </c>
      <c r="BH2075" t="s">
        <v>74</v>
      </c>
      <c r="BI2075">
        <v>10</v>
      </c>
      <c r="BJ2075" t="s">
        <v>2686</v>
      </c>
      <c r="BK2075" t="s">
        <v>316</v>
      </c>
      <c r="BL2075" t="s">
        <v>2686</v>
      </c>
      <c r="BM2075" t="s">
        <v>35458</v>
      </c>
      <c r="BN2075" t="s">
        <v>74</v>
      </c>
      <c r="BO2075" t="s">
        <v>74</v>
      </c>
      <c r="BP2075" t="s">
        <v>74</v>
      </c>
      <c r="BQ2075" t="s">
        <v>74</v>
      </c>
      <c r="BR2075" t="s">
        <v>102</v>
      </c>
      <c r="BS2075" t="s">
        <v>35459</v>
      </c>
      <c r="BT2075" t="str">
        <f>HYPERLINK("https%3A%2F%2Fwww.webofscience.com%2Fwos%2Fwoscc%2Ffull-record%2FWOS:000766658400016","View Full Record in Web of Science")</f>
        <v>View Full Record in Web of Science</v>
      </c>
    </row>
    <row r="2076" spans="1:72" x14ac:dyDescent="0.35">
      <c r="A2076" t="s">
        <v>72</v>
      </c>
      <c r="B2076" t="s">
        <v>35460</v>
      </c>
      <c r="C2076" t="s">
        <v>74</v>
      </c>
      <c r="D2076" t="s">
        <v>74</v>
      </c>
      <c r="E2076" t="s">
        <v>74</v>
      </c>
      <c r="F2076" t="s">
        <v>35461</v>
      </c>
      <c r="G2076" t="s">
        <v>74</v>
      </c>
      <c r="H2076" t="s">
        <v>74</v>
      </c>
      <c r="I2076" t="s">
        <v>35462</v>
      </c>
      <c r="J2076" t="s">
        <v>35463</v>
      </c>
      <c r="K2076" t="s">
        <v>74</v>
      </c>
      <c r="L2076" t="s">
        <v>74</v>
      </c>
      <c r="M2076" t="s">
        <v>1556</v>
      </c>
      <c r="N2076" t="s">
        <v>108</v>
      </c>
      <c r="O2076" t="s">
        <v>74</v>
      </c>
      <c r="P2076" t="s">
        <v>74</v>
      </c>
      <c r="Q2076" t="s">
        <v>74</v>
      </c>
      <c r="R2076" t="s">
        <v>74</v>
      </c>
      <c r="S2076" t="s">
        <v>74</v>
      </c>
      <c r="T2076" t="s">
        <v>35464</v>
      </c>
      <c r="U2076" t="s">
        <v>74</v>
      </c>
      <c r="V2076" t="s">
        <v>35465</v>
      </c>
      <c r="W2076" t="s">
        <v>35466</v>
      </c>
      <c r="X2076" t="s">
        <v>35467</v>
      </c>
      <c r="Y2076" t="s">
        <v>35468</v>
      </c>
      <c r="Z2076" t="s">
        <v>35469</v>
      </c>
      <c r="AA2076" t="s">
        <v>74</v>
      </c>
      <c r="AB2076" t="s">
        <v>35470</v>
      </c>
      <c r="AC2076" t="s">
        <v>74</v>
      </c>
      <c r="AD2076" t="s">
        <v>74</v>
      </c>
      <c r="AE2076" t="s">
        <v>74</v>
      </c>
      <c r="AF2076" t="s">
        <v>74</v>
      </c>
      <c r="AG2076">
        <v>24</v>
      </c>
      <c r="AH2076">
        <v>1</v>
      </c>
      <c r="AI2076">
        <v>1</v>
      </c>
      <c r="AJ2076">
        <v>0</v>
      </c>
      <c r="AK2076">
        <v>4</v>
      </c>
      <c r="AL2076" t="s">
        <v>35471</v>
      </c>
      <c r="AM2076" t="s">
        <v>35472</v>
      </c>
      <c r="AN2076" t="s">
        <v>35473</v>
      </c>
      <c r="AO2076" t="s">
        <v>35474</v>
      </c>
      <c r="AP2076" t="s">
        <v>35475</v>
      </c>
      <c r="AQ2076" t="s">
        <v>74</v>
      </c>
      <c r="AR2076" t="s">
        <v>35476</v>
      </c>
      <c r="AS2076" t="s">
        <v>35477</v>
      </c>
      <c r="AT2076" t="s">
        <v>74</v>
      </c>
      <c r="AU2076">
        <v>2022</v>
      </c>
      <c r="AV2076">
        <v>11</v>
      </c>
      <c r="AW2076">
        <v>8</v>
      </c>
      <c r="AX2076" t="s">
        <v>74</v>
      </c>
      <c r="AY2076" t="s">
        <v>74</v>
      </c>
      <c r="AZ2076" t="s">
        <v>74</v>
      </c>
      <c r="BA2076" t="s">
        <v>74</v>
      </c>
      <c r="BB2076">
        <v>185</v>
      </c>
      <c r="BC2076">
        <v>204</v>
      </c>
      <c r="BD2076" t="s">
        <v>74</v>
      </c>
      <c r="BE2076" t="s">
        <v>35478</v>
      </c>
      <c r="BF2076" t="str">
        <f>HYPERLINK("http://dx.doi.org/10.24224/2227-1295-2022-11-8-185-204","http://dx.doi.org/10.24224/2227-1295-2022-11-8-185-204")</f>
        <v>http://dx.doi.org/10.24224/2227-1295-2022-11-8-185-204</v>
      </c>
      <c r="BG2076" t="s">
        <v>74</v>
      </c>
      <c r="BH2076" t="s">
        <v>74</v>
      </c>
      <c r="BI2076">
        <v>20</v>
      </c>
      <c r="BJ2076" t="s">
        <v>4461</v>
      </c>
      <c r="BK2076" t="s">
        <v>125</v>
      </c>
      <c r="BL2076" t="s">
        <v>4462</v>
      </c>
      <c r="BM2076" t="s">
        <v>35479</v>
      </c>
      <c r="BN2076" t="s">
        <v>74</v>
      </c>
      <c r="BO2076" t="s">
        <v>235</v>
      </c>
      <c r="BP2076" t="s">
        <v>74</v>
      </c>
      <c r="BQ2076" t="s">
        <v>74</v>
      </c>
      <c r="BR2076" t="s">
        <v>102</v>
      </c>
      <c r="BS2076" t="s">
        <v>35480</v>
      </c>
      <c r="BT2076" t="str">
        <f>HYPERLINK("https%3A%2F%2Fwww.webofscience.com%2Fwos%2Fwoscc%2Ffull-record%2FWOS:000886616500010","View Full Record in Web of Science")</f>
        <v>View Full Record in Web of Science</v>
      </c>
    </row>
    <row r="2077" spans="1:72" x14ac:dyDescent="0.35">
      <c r="A2077" t="s">
        <v>128</v>
      </c>
      <c r="B2077" t="s">
        <v>35481</v>
      </c>
      <c r="C2077" t="s">
        <v>74</v>
      </c>
      <c r="D2077" t="s">
        <v>74</v>
      </c>
      <c r="E2077" t="s">
        <v>702</v>
      </c>
      <c r="F2077" t="s">
        <v>35482</v>
      </c>
      <c r="G2077" t="s">
        <v>74</v>
      </c>
      <c r="H2077" t="s">
        <v>74</v>
      </c>
      <c r="I2077" t="s">
        <v>35483</v>
      </c>
      <c r="J2077" t="s">
        <v>32868</v>
      </c>
      <c r="K2077" t="s">
        <v>74</v>
      </c>
      <c r="L2077" t="s">
        <v>74</v>
      </c>
      <c r="M2077" t="s">
        <v>78</v>
      </c>
      <c r="N2077" t="s">
        <v>135</v>
      </c>
      <c r="O2077" t="s">
        <v>32869</v>
      </c>
      <c r="P2077" t="s">
        <v>32870</v>
      </c>
      <c r="Q2077" t="s">
        <v>32871</v>
      </c>
      <c r="R2077" t="s">
        <v>1098</v>
      </c>
      <c r="S2077" t="s">
        <v>74</v>
      </c>
      <c r="T2077" t="s">
        <v>35484</v>
      </c>
      <c r="U2077" t="s">
        <v>74</v>
      </c>
      <c r="V2077" t="s">
        <v>35485</v>
      </c>
      <c r="W2077" t="s">
        <v>35486</v>
      </c>
      <c r="X2077" t="s">
        <v>35487</v>
      </c>
      <c r="Y2077" t="s">
        <v>35488</v>
      </c>
      <c r="Z2077" t="s">
        <v>35489</v>
      </c>
      <c r="AA2077" t="s">
        <v>35490</v>
      </c>
      <c r="AB2077" t="s">
        <v>35491</v>
      </c>
      <c r="AC2077" t="s">
        <v>35492</v>
      </c>
      <c r="AD2077" t="s">
        <v>35493</v>
      </c>
      <c r="AE2077" t="s">
        <v>35494</v>
      </c>
      <c r="AF2077" t="s">
        <v>74</v>
      </c>
      <c r="AG2077">
        <v>44</v>
      </c>
      <c r="AH2077">
        <v>0</v>
      </c>
      <c r="AI2077">
        <v>0</v>
      </c>
      <c r="AJ2077">
        <v>1</v>
      </c>
      <c r="AK2077">
        <v>1</v>
      </c>
      <c r="AL2077" t="s">
        <v>718</v>
      </c>
      <c r="AM2077" t="s">
        <v>666</v>
      </c>
      <c r="AN2077" t="s">
        <v>719</v>
      </c>
      <c r="AO2077" t="s">
        <v>74</v>
      </c>
      <c r="AP2077" t="s">
        <v>74</v>
      </c>
      <c r="AQ2077" t="s">
        <v>32883</v>
      </c>
      <c r="AR2077" t="s">
        <v>74</v>
      </c>
      <c r="AS2077" t="s">
        <v>74</v>
      </c>
      <c r="AT2077" t="s">
        <v>74</v>
      </c>
      <c r="AU2077">
        <v>2023</v>
      </c>
      <c r="AV2077" t="s">
        <v>74</v>
      </c>
      <c r="AW2077" t="s">
        <v>74</v>
      </c>
      <c r="AX2077" t="s">
        <v>74</v>
      </c>
      <c r="AY2077" t="s">
        <v>74</v>
      </c>
      <c r="AZ2077" t="s">
        <v>74</v>
      </c>
      <c r="BA2077" t="s">
        <v>74</v>
      </c>
      <c r="BB2077">
        <v>6234</v>
      </c>
      <c r="BC2077">
        <v>6242</v>
      </c>
      <c r="BD2077" t="s">
        <v>74</v>
      </c>
      <c r="BE2077" t="s">
        <v>35495</v>
      </c>
      <c r="BF2077" t="str">
        <f>HYPERLINK("http://dx.doi.org/10.1145/3581783.3612362","http://dx.doi.org/10.1145/3581783.3612362")</f>
        <v>http://dx.doi.org/10.1145/3581783.3612362</v>
      </c>
      <c r="BG2077" t="s">
        <v>74</v>
      </c>
      <c r="BH2077" t="s">
        <v>74</v>
      </c>
      <c r="BI2077">
        <v>9</v>
      </c>
      <c r="BJ2077" t="s">
        <v>2004</v>
      </c>
      <c r="BK2077" t="s">
        <v>723</v>
      </c>
      <c r="BL2077" t="s">
        <v>210</v>
      </c>
      <c r="BM2077" t="s">
        <v>32885</v>
      </c>
      <c r="BN2077" t="s">
        <v>74</v>
      </c>
      <c r="BO2077" t="s">
        <v>74</v>
      </c>
      <c r="BP2077" t="s">
        <v>74</v>
      </c>
      <c r="BQ2077" t="s">
        <v>74</v>
      </c>
      <c r="BR2077" t="s">
        <v>102</v>
      </c>
      <c r="BS2077" t="s">
        <v>35496</v>
      </c>
      <c r="BT2077" t="str">
        <f>HYPERLINK("https%3A%2F%2Fwww.webofscience.com%2Fwos%2Fwoscc%2Ffull-record%2FWOS:001199449106026","View Full Record in Web of Science")</f>
        <v>View Full Record in Web of Science</v>
      </c>
    </row>
    <row r="2078" spans="1:72" x14ac:dyDescent="0.35">
      <c r="A2078" t="s">
        <v>72</v>
      </c>
      <c r="B2078" t="s">
        <v>35497</v>
      </c>
      <c r="C2078" t="s">
        <v>74</v>
      </c>
      <c r="D2078" t="s">
        <v>74</v>
      </c>
      <c r="E2078" t="s">
        <v>74</v>
      </c>
      <c r="F2078" t="s">
        <v>35498</v>
      </c>
      <c r="G2078" t="s">
        <v>74</v>
      </c>
      <c r="H2078" t="s">
        <v>74</v>
      </c>
      <c r="I2078" t="s">
        <v>35499</v>
      </c>
      <c r="J2078" t="s">
        <v>5339</v>
      </c>
      <c r="K2078" t="s">
        <v>74</v>
      </c>
      <c r="L2078" t="s">
        <v>74</v>
      </c>
      <c r="M2078" t="s">
        <v>78</v>
      </c>
      <c r="N2078" t="s">
        <v>108</v>
      </c>
      <c r="O2078" t="s">
        <v>74</v>
      </c>
      <c r="P2078" t="s">
        <v>74</v>
      </c>
      <c r="Q2078" t="s">
        <v>74</v>
      </c>
      <c r="R2078" t="s">
        <v>74</v>
      </c>
      <c r="S2078" t="s">
        <v>74</v>
      </c>
      <c r="T2078" t="s">
        <v>35500</v>
      </c>
      <c r="U2078" t="s">
        <v>74</v>
      </c>
      <c r="V2078" t="s">
        <v>35501</v>
      </c>
      <c r="W2078" t="s">
        <v>35502</v>
      </c>
      <c r="X2078" t="s">
        <v>74</v>
      </c>
      <c r="Y2078" t="s">
        <v>35503</v>
      </c>
      <c r="Z2078" t="s">
        <v>35504</v>
      </c>
      <c r="AA2078" t="s">
        <v>74</v>
      </c>
      <c r="AB2078" t="s">
        <v>74</v>
      </c>
      <c r="AC2078" t="s">
        <v>74</v>
      </c>
      <c r="AD2078" t="s">
        <v>74</v>
      </c>
      <c r="AE2078" t="s">
        <v>74</v>
      </c>
      <c r="AF2078" t="s">
        <v>74</v>
      </c>
      <c r="AG2078">
        <v>31</v>
      </c>
      <c r="AH2078">
        <v>0</v>
      </c>
      <c r="AI2078">
        <v>0</v>
      </c>
      <c r="AJ2078">
        <v>0</v>
      </c>
      <c r="AK2078">
        <v>6</v>
      </c>
      <c r="AL2078" t="s">
        <v>5349</v>
      </c>
      <c r="AM2078" t="s">
        <v>5350</v>
      </c>
      <c r="AN2078" t="s">
        <v>5351</v>
      </c>
      <c r="AO2078" t="s">
        <v>74</v>
      </c>
      <c r="AP2078" t="s">
        <v>5352</v>
      </c>
      <c r="AQ2078" t="s">
        <v>74</v>
      </c>
      <c r="AR2078" t="s">
        <v>5353</v>
      </c>
      <c r="AS2078" t="s">
        <v>5354</v>
      </c>
      <c r="AT2078" t="s">
        <v>74</v>
      </c>
      <c r="AU2078">
        <v>2021</v>
      </c>
      <c r="AV2078">
        <v>3</v>
      </c>
      <c r="AW2078">
        <v>3</v>
      </c>
      <c r="AX2078" t="s">
        <v>74</v>
      </c>
      <c r="AY2078" t="s">
        <v>74</v>
      </c>
      <c r="AZ2078" t="s">
        <v>74</v>
      </c>
      <c r="BA2078" t="s">
        <v>74</v>
      </c>
      <c r="BB2078">
        <v>238</v>
      </c>
      <c r="BC2078">
        <v>258</v>
      </c>
      <c r="BD2078" t="s">
        <v>74</v>
      </c>
      <c r="BE2078" t="s">
        <v>35505</v>
      </c>
      <c r="BF2078" t="str">
        <f>HYPERLINK("http://dx.doi.org/10.46539/gmd.v3i3.175","http://dx.doi.org/10.46539/gmd.v3i3.175")</f>
        <v>http://dx.doi.org/10.46539/gmd.v3i3.175</v>
      </c>
      <c r="BG2078" t="s">
        <v>74</v>
      </c>
      <c r="BH2078" t="s">
        <v>74</v>
      </c>
      <c r="BI2078">
        <v>21</v>
      </c>
      <c r="BJ2078" t="s">
        <v>124</v>
      </c>
      <c r="BK2078" t="s">
        <v>125</v>
      </c>
      <c r="BL2078" t="s">
        <v>124</v>
      </c>
      <c r="BM2078" t="s">
        <v>21329</v>
      </c>
      <c r="BN2078" t="s">
        <v>74</v>
      </c>
      <c r="BO2078" t="s">
        <v>235</v>
      </c>
      <c r="BP2078" t="s">
        <v>74</v>
      </c>
      <c r="BQ2078" t="s">
        <v>74</v>
      </c>
      <c r="BR2078" t="s">
        <v>102</v>
      </c>
      <c r="BS2078" t="s">
        <v>35506</v>
      </c>
      <c r="BT2078" t="str">
        <f>HYPERLINK("https%3A%2F%2Fwww.webofscience.com%2Fwos%2Fwoscc%2Ffull-record%2FWOS:000713721200013","View Full Record in Web of Science")</f>
        <v>View Full Record in Web of Science</v>
      </c>
    </row>
    <row r="2079" spans="1:72" x14ac:dyDescent="0.35">
      <c r="A2079" t="s">
        <v>72</v>
      </c>
      <c r="B2079" t="s">
        <v>35507</v>
      </c>
      <c r="C2079" t="s">
        <v>74</v>
      </c>
      <c r="D2079" t="s">
        <v>74</v>
      </c>
      <c r="E2079" t="s">
        <v>74</v>
      </c>
      <c r="F2079" t="s">
        <v>35508</v>
      </c>
      <c r="G2079" t="s">
        <v>74</v>
      </c>
      <c r="H2079" t="s">
        <v>74</v>
      </c>
      <c r="I2079" t="s">
        <v>35509</v>
      </c>
      <c r="J2079" t="s">
        <v>6783</v>
      </c>
      <c r="K2079" t="s">
        <v>74</v>
      </c>
      <c r="L2079" t="s">
        <v>74</v>
      </c>
      <c r="M2079" t="s">
        <v>78</v>
      </c>
      <c r="N2079" t="s">
        <v>108</v>
      </c>
      <c r="O2079" t="s">
        <v>74</v>
      </c>
      <c r="P2079" t="s">
        <v>74</v>
      </c>
      <c r="Q2079" t="s">
        <v>74</v>
      </c>
      <c r="R2079" t="s">
        <v>74</v>
      </c>
      <c r="S2079" t="s">
        <v>74</v>
      </c>
      <c r="T2079" t="s">
        <v>35510</v>
      </c>
      <c r="U2079" t="s">
        <v>35511</v>
      </c>
      <c r="V2079" t="s">
        <v>35512</v>
      </c>
      <c r="W2079" t="s">
        <v>35513</v>
      </c>
      <c r="X2079" t="s">
        <v>35514</v>
      </c>
      <c r="Y2079" t="s">
        <v>35515</v>
      </c>
      <c r="Z2079" t="s">
        <v>35516</v>
      </c>
      <c r="AA2079" t="s">
        <v>35517</v>
      </c>
      <c r="AB2079" t="s">
        <v>35518</v>
      </c>
      <c r="AC2079" t="s">
        <v>35519</v>
      </c>
      <c r="AD2079" t="s">
        <v>35519</v>
      </c>
      <c r="AE2079" t="s">
        <v>35519</v>
      </c>
      <c r="AF2079" t="s">
        <v>74</v>
      </c>
      <c r="AG2079">
        <v>70</v>
      </c>
      <c r="AH2079">
        <v>4</v>
      </c>
      <c r="AI2079">
        <v>4</v>
      </c>
      <c r="AJ2079">
        <v>8</v>
      </c>
      <c r="AK2079">
        <v>20</v>
      </c>
      <c r="AL2079" t="s">
        <v>171</v>
      </c>
      <c r="AM2079" t="s">
        <v>172</v>
      </c>
      <c r="AN2079" t="s">
        <v>173</v>
      </c>
      <c r="AO2079" t="s">
        <v>6792</v>
      </c>
      <c r="AP2079" t="s">
        <v>6793</v>
      </c>
      <c r="AQ2079" t="s">
        <v>74</v>
      </c>
      <c r="AR2079" t="s">
        <v>6783</v>
      </c>
      <c r="AS2079" t="s">
        <v>6794</v>
      </c>
      <c r="AT2079" t="s">
        <v>594</v>
      </c>
      <c r="AU2079">
        <v>2024</v>
      </c>
      <c r="AV2079">
        <v>25</v>
      </c>
      <c r="AW2079">
        <v>10</v>
      </c>
      <c r="AX2079" t="s">
        <v>74</v>
      </c>
      <c r="AY2079" t="s">
        <v>74</v>
      </c>
      <c r="AZ2079" t="s">
        <v>74</v>
      </c>
      <c r="BA2079" t="s">
        <v>74</v>
      </c>
      <c r="BB2079">
        <v>2022</v>
      </c>
      <c r="BC2079">
        <v>2043</v>
      </c>
      <c r="BD2079" t="s">
        <v>74</v>
      </c>
      <c r="BE2079" t="s">
        <v>35520</v>
      </c>
      <c r="BF2079" t="str">
        <f>HYPERLINK("http://dx.doi.org/10.1177/14648849231196080","http://dx.doi.org/10.1177/14648849231196080")</f>
        <v>http://dx.doi.org/10.1177/14648849231196080</v>
      </c>
      <c r="BG2079" t="s">
        <v>74</v>
      </c>
      <c r="BH2079" t="s">
        <v>3138</v>
      </c>
      <c r="BI2079">
        <v>22</v>
      </c>
      <c r="BJ2079" t="s">
        <v>124</v>
      </c>
      <c r="BK2079" t="s">
        <v>99</v>
      </c>
      <c r="BL2079" t="s">
        <v>124</v>
      </c>
      <c r="BM2079" t="s">
        <v>35521</v>
      </c>
      <c r="BN2079" t="s">
        <v>74</v>
      </c>
      <c r="BO2079" t="s">
        <v>156</v>
      </c>
      <c r="BP2079" t="s">
        <v>74</v>
      </c>
      <c r="BQ2079" t="s">
        <v>74</v>
      </c>
      <c r="BR2079" t="s">
        <v>102</v>
      </c>
      <c r="BS2079" t="s">
        <v>35522</v>
      </c>
      <c r="BT2079" t="str">
        <f>HYPERLINK("https%3A%2F%2Fwww.webofscience.com%2Fwos%2Fwoscc%2Ffull-record%2FWOS:001060128200001","View Full Record in Web of Science")</f>
        <v>View Full Record in Web of Science</v>
      </c>
    </row>
    <row r="2080" spans="1:72" x14ac:dyDescent="0.35">
      <c r="A2080" t="s">
        <v>72</v>
      </c>
      <c r="B2080" t="s">
        <v>35523</v>
      </c>
      <c r="C2080" t="s">
        <v>74</v>
      </c>
      <c r="D2080" t="s">
        <v>74</v>
      </c>
      <c r="E2080" t="s">
        <v>74</v>
      </c>
      <c r="F2080" t="s">
        <v>35524</v>
      </c>
      <c r="G2080" t="s">
        <v>74</v>
      </c>
      <c r="H2080" t="s">
        <v>74</v>
      </c>
      <c r="I2080" t="s">
        <v>35525</v>
      </c>
      <c r="J2080" t="s">
        <v>2110</v>
      </c>
      <c r="K2080" t="s">
        <v>74</v>
      </c>
      <c r="L2080" t="s">
        <v>74</v>
      </c>
      <c r="M2080" t="s">
        <v>78</v>
      </c>
      <c r="N2080" t="s">
        <v>108</v>
      </c>
      <c r="O2080" t="s">
        <v>74</v>
      </c>
      <c r="P2080" t="s">
        <v>74</v>
      </c>
      <c r="Q2080" t="s">
        <v>74</v>
      </c>
      <c r="R2080" t="s">
        <v>74</v>
      </c>
      <c r="S2080" t="s">
        <v>74</v>
      </c>
      <c r="T2080" t="s">
        <v>35526</v>
      </c>
      <c r="U2080" t="s">
        <v>35527</v>
      </c>
      <c r="V2080" t="s">
        <v>35528</v>
      </c>
      <c r="W2080" t="s">
        <v>35529</v>
      </c>
      <c r="X2080" t="s">
        <v>35530</v>
      </c>
      <c r="Y2080" t="s">
        <v>35531</v>
      </c>
      <c r="Z2080" t="s">
        <v>35532</v>
      </c>
      <c r="AA2080" t="s">
        <v>35533</v>
      </c>
      <c r="AB2080" t="s">
        <v>25145</v>
      </c>
      <c r="AC2080" t="s">
        <v>35534</v>
      </c>
      <c r="AD2080" t="s">
        <v>35535</v>
      </c>
      <c r="AE2080" t="s">
        <v>35536</v>
      </c>
      <c r="AF2080" t="s">
        <v>74</v>
      </c>
      <c r="AG2080">
        <v>54</v>
      </c>
      <c r="AH2080">
        <v>4</v>
      </c>
      <c r="AI2080">
        <v>4</v>
      </c>
      <c r="AJ2080">
        <v>2</v>
      </c>
      <c r="AK2080">
        <v>17</v>
      </c>
      <c r="AL2080" t="s">
        <v>226</v>
      </c>
      <c r="AM2080" t="s">
        <v>227</v>
      </c>
      <c r="AN2080" t="s">
        <v>228</v>
      </c>
      <c r="AO2080" t="s">
        <v>2118</v>
      </c>
      <c r="AP2080" t="s">
        <v>2119</v>
      </c>
      <c r="AQ2080" t="s">
        <v>74</v>
      </c>
      <c r="AR2080" t="s">
        <v>2120</v>
      </c>
      <c r="AS2080" t="s">
        <v>2121</v>
      </c>
      <c r="AT2080" t="s">
        <v>594</v>
      </c>
      <c r="AU2080">
        <v>2024</v>
      </c>
      <c r="AV2080">
        <v>27</v>
      </c>
      <c r="AW2080">
        <v>5</v>
      </c>
      <c r="AX2080" t="s">
        <v>74</v>
      </c>
      <c r="AY2080" t="s">
        <v>74</v>
      </c>
      <c r="AZ2080" t="s">
        <v>74</v>
      </c>
      <c r="BA2080" t="s">
        <v>74</v>
      </c>
      <c r="BB2080">
        <v>856</v>
      </c>
      <c r="BC2080">
        <v>875</v>
      </c>
      <c r="BD2080" t="s">
        <v>74</v>
      </c>
      <c r="BE2080" t="s">
        <v>35537</v>
      </c>
      <c r="BF2080" t="str">
        <f>HYPERLINK("http://dx.doi.org/10.1177/13675494231191490","http://dx.doi.org/10.1177/13675494231191490")</f>
        <v>http://dx.doi.org/10.1177/13675494231191490</v>
      </c>
      <c r="BG2080" t="s">
        <v>74</v>
      </c>
      <c r="BH2080" t="s">
        <v>3138</v>
      </c>
      <c r="BI2080">
        <v>20</v>
      </c>
      <c r="BJ2080" t="s">
        <v>2124</v>
      </c>
      <c r="BK2080" t="s">
        <v>2125</v>
      </c>
      <c r="BL2080" t="s">
        <v>2124</v>
      </c>
      <c r="BM2080" t="s">
        <v>35538</v>
      </c>
      <c r="BN2080" t="s">
        <v>74</v>
      </c>
      <c r="BO2080" t="s">
        <v>1343</v>
      </c>
      <c r="BP2080" t="s">
        <v>74</v>
      </c>
      <c r="BQ2080" t="s">
        <v>74</v>
      </c>
      <c r="BR2080" t="s">
        <v>102</v>
      </c>
      <c r="BS2080" t="s">
        <v>35539</v>
      </c>
      <c r="BT2080" t="str">
        <f>HYPERLINK("https%3A%2F%2Fwww.webofscience.com%2Fwos%2Fwoscc%2Ffull-record%2FWOS:001050700800001","View Full Record in Web of Science")</f>
        <v>View Full Record in Web of Science</v>
      </c>
    </row>
    <row r="2081" spans="1:72" x14ac:dyDescent="0.35">
      <c r="A2081" t="s">
        <v>72</v>
      </c>
      <c r="B2081" t="s">
        <v>35540</v>
      </c>
      <c r="C2081" t="s">
        <v>74</v>
      </c>
      <c r="D2081" t="s">
        <v>74</v>
      </c>
      <c r="E2081" t="s">
        <v>74</v>
      </c>
      <c r="F2081" t="s">
        <v>35541</v>
      </c>
      <c r="G2081" t="s">
        <v>74</v>
      </c>
      <c r="H2081" t="s">
        <v>74</v>
      </c>
      <c r="I2081" t="s">
        <v>35542</v>
      </c>
      <c r="J2081" t="s">
        <v>793</v>
      </c>
      <c r="K2081" t="s">
        <v>74</v>
      </c>
      <c r="L2081" t="s">
        <v>74</v>
      </c>
      <c r="M2081" t="s">
        <v>78</v>
      </c>
      <c r="N2081" t="s">
        <v>374</v>
      </c>
      <c r="O2081" t="s">
        <v>74</v>
      </c>
      <c r="P2081" t="s">
        <v>74</v>
      </c>
      <c r="Q2081" t="s">
        <v>74</v>
      </c>
      <c r="R2081" t="s">
        <v>74</v>
      </c>
      <c r="S2081" t="s">
        <v>74</v>
      </c>
      <c r="T2081" t="s">
        <v>35543</v>
      </c>
      <c r="U2081" t="s">
        <v>35544</v>
      </c>
      <c r="V2081" t="s">
        <v>35545</v>
      </c>
      <c r="W2081" t="s">
        <v>35546</v>
      </c>
      <c r="X2081" t="s">
        <v>35547</v>
      </c>
      <c r="Y2081" t="s">
        <v>35548</v>
      </c>
      <c r="Z2081" t="s">
        <v>35549</v>
      </c>
      <c r="AA2081" t="s">
        <v>74</v>
      </c>
      <c r="AB2081" t="s">
        <v>35550</v>
      </c>
      <c r="AC2081" t="s">
        <v>74</v>
      </c>
      <c r="AD2081" t="s">
        <v>74</v>
      </c>
      <c r="AE2081" t="s">
        <v>74</v>
      </c>
      <c r="AF2081" t="s">
        <v>74</v>
      </c>
      <c r="AG2081">
        <v>49</v>
      </c>
      <c r="AH2081">
        <v>35</v>
      </c>
      <c r="AI2081">
        <v>37</v>
      </c>
      <c r="AJ2081">
        <v>10</v>
      </c>
      <c r="AK2081">
        <v>20</v>
      </c>
      <c r="AL2081" t="s">
        <v>803</v>
      </c>
      <c r="AM2081" t="s">
        <v>227</v>
      </c>
      <c r="AN2081" t="s">
        <v>804</v>
      </c>
      <c r="AO2081" t="s">
        <v>74</v>
      </c>
      <c r="AP2081" t="s">
        <v>805</v>
      </c>
      <c r="AQ2081" t="s">
        <v>74</v>
      </c>
      <c r="AR2081" t="s">
        <v>806</v>
      </c>
      <c r="AS2081" t="s">
        <v>807</v>
      </c>
      <c r="AT2081" t="s">
        <v>31856</v>
      </c>
      <c r="AU2081">
        <v>2023</v>
      </c>
      <c r="AV2081">
        <v>15</v>
      </c>
      <c r="AW2081">
        <v>1</v>
      </c>
      <c r="AX2081" t="s">
        <v>74</v>
      </c>
      <c r="AY2081" t="s">
        <v>74</v>
      </c>
      <c r="AZ2081" t="s">
        <v>74</v>
      </c>
      <c r="BA2081" t="s">
        <v>74</v>
      </c>
      <c r="BB2081" t="s">
        <v>74</v>
      </c>
      <c r="BC2081" t="s">
        <v>74</v>
      </c>
      <c r="BD2081" t="s">
        <v>35551</v>
      </c>
      <c r="BE2081" t="s">
        <v>35552</v>
      </c>
      <c r="BF2081" t="str">
        <f>HYPERLINK("http://dx.doi.org/10.7759/cureus.33737","http://dx.doi.org/10.7759/cureus.33737")</f>
        <v>http://dx.doi.org/10.7759/cureus.33737</v>
      </c>
      <c r="BG2081" t="s">
        <v>74</v>
      </c>
      <c r="BH2081" t="s">
        <v>74</v>
      </c>
      <c r="BI2081">
        <v>10</v>
      </c>
      <c r="BJ2081" t="s">
        <v>811</v>
      </c>
      <c r="BK2081" t="s">
        <v>125</v>
      </c>
      <c r="BL2081" t="s">
        <v>812</v>
      </c>
      <c r="BM2081" t="s">
        <v>35553</v>
      </c>
      <c r="BN2081">
        <v>36793805</v>
      </c>
      <c r="BO2081" t="s">
        <v>552</v>
      </c>
      <c r="BP2081" t="s">
        <v>74</v>
      </c>
      <c r="BQ2081" t="s">
        <v>74</v>
      </c>
      <c r="BR2081" t="s">
        <v>102</v>
      </c>
      <c r="BS2081" t="s">
        <v>35554</v>
      </c>
      <c r="BT2081" t="str">
        <f>HYPERLINK("https%3A%2F%2Fwww.webofscience.com%2Fwos%2Fwoscc%2Ffull-record%2FWOS:001046581100010","View Full Record in Web of Science")</f>
        <v>View Full Record in Web of Science</v>
      </c>
    </row>
    <row r="2082" spans="1:72" x14ac:dyDescent="0.35">
      <c r="A2082" t="s">
        <v>72</v>
      </c>
      <c r="B2082" t="s">
        <v>35555</v>
      </c>
      <c r="C2082" t="s">
        <v>74</v>
      </c>
      <c r="D2082" t="s">
        <v>74</v>
      </c>
      <c r="E2082" t="s">
        <v>74</v>
      </c>
      <c r="F2082" t="s">
        <v>35556</v>
      </c>
      <c r="G2082" t="s">
        <v>74</v>
      </c>
      <c r="H2082" t="s">
        <v>74</v>
      </c>
      <c r="I2082" t="s">
        <v>35557</v>
      </c>
      <c r="J2082" t="s">
        <v>681</v>
      </c>
      <c r="K2082" t="s">
        <v>74</v>
      </c>
      <c r="L2082" t="s">
        <v>74</v>
      </c>
      <c r="M2082" t="s">
        <v>78</v>
      </c>
      <c r="N2082" t="s">
        <v>108</v>
      </c>
      <c r="O2082" t="s">
        <v>74</v>
      </c>
      <c r="P2082" t="s">
        <v>74</v>
      </c>
      <c r="Q2082" t="s">
        <v>74</v>
      </c>
      <c r="R2082" t="s">
        <v>74</v>
      </c>
      <c r="S2082" t="s">
        <v>74</v>
      </c>
      <c r="T2082" t="s">
        <v>35558</v>
      </c>
      <c r="U2082" t="s">
        <v>35559</v>
      </c>
      <c r="V2082" t="s">
        <v>35560</v>
      </c>
      <c r="W2082" t="s">
        <v>35561</v>
      </c>
      <c r="X2082" t="s">
        <v>35562</v>
      </c>
      <c r="Y2082" t="s">
        <v>35563</v>
      </c>
      <c r="Z2082" t="s">
        <v>35564</v>
      </c>
      <c r="AA2082" t="s">
        <v>74</v>
      </c>
      <c r="AB2082" t="s">
        <v>74</v>
      </c>
      <c r="AC2082" t="s">
        <v>35565</v>
      </c>
      <c r="AD2082" t="s">
        <v>35566</v>
      </c>
      <c r="AE2082" t="s">
        <v>35567</v>
      </c>
      <c r="AF2082" t="s">
        <v>74</v>
      </c>
      <c r="AG2082">
        <v>91</v>
      </c>
      <c r="AH2082">
        <v>3</v>
      </c>
      <c r="AI2082">
        <v>3</v>
      </c>
      <c r="AJ2082">
        <v>13</v>
      </c>
      <c r="AK2082">
        <v>127</v>
      </c>
      <c r="AL2082" t="s">
        <v>384</v>
      </c>
      <c r="AM2082" t="s">
        <v>385</v>
      </c>
      <c r="AN2082" t="s">
        <v>386</v>
      </c>
      <c r="AO2082" t="s">
        <v>693</v>
      </c>
      <c r="AP2082" t="s">
        <v>74</v>
      </c>
      <c r="AQ2082" t="s">
        <v>74</v>
      </c>
      <c r="AR2082" t="s">
        <v>694</v>
      </c>
      <c r="AS2082" t="s">
        <v>695</v>
      </c>
      <c r="AT2082" t="s">
        <v>32731</v>
      </c>
      <c r="AU2082">
        <v>2022</v>
      </c>
      <c r="AV2082">
        <v>13</v>
      </c>
      <c r="AW2082" t="s">
        <v>74</v>
      </c>
      <c r="AX2082" t="s">
        <v>74</v>
      </c>
      <c r="AY2082" t="s">
        <v>74</v>
      </c>
      <c r="AZ2082" t="s">
        <v>74</v>
      </c>
      <c r="BA2082" t="s">
        <v>74</v>
      </c>
      <c r="BB2082" t="s">
        <v>74</v>
      </c>
      <c r="BC2082" t="s">
        <v>74</v>
      </c>
      <c r="BD2082">
        <v>951055</v>
      </c>
      <c r="BE2082" t="s">
        <v>35568</v>
      </c>
      <c r="BF2082" t="str">
        <f>HYPERLINK("http://dx.doi.org/10.3389/fpsyg.2022.951055","http://dx.doi.org/10.3389/fpsyg.2022.951055")</f>
        <v>http://dx.doi.org/10.3389/fpsyg.2022.951055</v>
      </c>
      <c r="BG2082" t="s">
        <v>74</v>
      </c>
      <c r="BH2082" t="s">
        <v>74</v>
      </c>
      <c r="BI2082">
        <v>12</v>
      </c>
      <c r="BJ2082" t="s">
        <v>698</v>
      </c>
      <c r="BK2082" t="s">
        <v>99</v>
      </c>
      <c r="BL2082" t="s">
        <v>301</v>
      </c>
      <c r="BM2082" t="s">
        <v>35569</v>
      </c>
      <c r="BN2082">
        <v>36304865</v>
      </c>
      <c r="BO2082" t="s">
        <v>394</v>
      </c>
      <c r="BP2082" t="s">
        <v>74</v>
      </c>
      <c r="BQ2082" t="s">
        <v>74</v>
      </c>
      <c r="BR2082" t="s">
        <v>102</v>
      </c>
      <c r="BS2082" t="s">
        <v>35570</v>
      </c>
      <c r="BT2082" t="str">
        <f>HYPERLINK("https%3A%2F%2Fwww.webofscience.com%2Fwos%2Fwoscc%2Ffull-record%2FWOS:000874638100001","View Full Record in Web of Science")</f>
        <v>View Full Record in Web of Science</v>
      </c>
    </row>
    <row r="2083" spans="1:72" x14ac:dyDescent="0.35">
      <c r="A2083" t="s">
        <v>128</v>
      </c>
      <c r="B2083" t="s">
        <v>35571</v>
      </c>
      <c r="C2083" t="s">
        <v>74</v>
      </c>
      <c r="D2083" t="s">
        <v>35572</v>
      </c>
      <c r="E2083" t="s">
        <v>74</v>
      </c>
      <c r="F2083" t="s">
        <v>35573</v>
      </c>
      <c r="G2083" t="s">
        <v>74</v>
      </c>
      <c r="H2083" t="s">
        <v>74</v>
      </c>
      <c r="I2083" t="s">
        <v>35574</v>
      </c>
      <c r="J2083" t="s">
        <v>35575</v>
      </c>
      <c r="K2083" t="s">
        <v>8364</v>
      </c>
      <c r="L2083" t="s">
        <v>74</v>
      </c>
      <c r="M2083" t="s">
        <v>78</v>
      </c>
      <c r="N2083" t="s">
        <v>135</v>
      </c>
      <c r="O2083" t="s">
        <v>35576</v>
      </c>
      <c r="P2083" t="s">
        <v>10449</v>
      </c>
      <c r="Q2083" t="s">
        <v>6828</v>
      </c>
      <c r="R2083" t="s">
        <v>74</v>
      </c>
      <c r="S2083" t="s">
        <v>74</v>
      </c>
      <c r="T2083" t="s">
        <v>35577</v>
      </c>
      <c r="U2083" t="s">
        <v>74</v>
      </c>
      <c r="V2083" t="s">
        <v>35578</v>
      </c>
      <c r="W2083" t="s">
        <v>35579</v>
      </c>
      <c r="X2083" t="s">
        <v>35580</v>
      </c>
      <c r="Y2083" t="s">
        <v>35581</v>
      </c>
      <c r="Z2083" t="s">
        <v>35582</v>
      </c>
      <c r="AA2083" t="s">
        <v>74</v>
      </c>
      <c r="AB2083" t="s">
        <v>74</v>
      </c>
      <c r="AC2083" t="s">
        <v>74</v>
      </c>
      <c r="AD2083" t="s">
        <v>74</v>
      </c>
      <c r="AE2083" t="s">
        <v>74</v>
      </c>
      <c r="AF2083" t="s">
        <v>74</v>
      </c>
      <c r="AG2083">
        <v>11</v>
      </c>
      <c r="AH2083">
        <v>0</v>
      </c>
      <c r="AI2083">
        <v>0</v>
      </c>
      <c r="AJ2083">
        <v>7</v>
      </c>
      <c r="AK2083">
        <v>7</v>
      </c>
      <c r="AL2083" t="s">
        <v>639</v>
      </c>
      <c r="AM2083" t="s">
        <v>640</v>
      </c>
      <c r="AN2083" t="s">
        <v>641</v>
      </c>
      <c r="AO2083" t="s">
        <v>8380</v>
      </c>
      <c r="AP2083" t="s">
        <v>8381</v>
      </c>
      <c r="AQ2083" t="s">
        <v>35583</v>
      </c>
      <c r="AR2083" t="s">
        <v>8383</v>
      </c>
      <c r="AS2083" t="s">
        <v>74</v>
      </c>
      <c r="AT2083" t="s">
        <v>74</v>
      </c>
      <c r="AU2083">
        <v>2024</v>
      </c>
      <c r="AV2083">
        <v>14701</v>
      </c>
      <c r="AW2083" t="s">
        <v>74</v>
      </c>
      <c r="AX2083" t="s">
        <v>74</v>
      </c>
      <c r="AY2083" t="s">
        <v>74</v>
      </c>
      <c r="AZ2083" t="s">
        <v>74</v>
      </c>
      <c r="BA2083" t="s">
        <v>74</v>
      </c>
      <c r="BB2083">
        <v>264</v>
      </c>
      <c r="BC2083">
        <v>279</v>
      </c>
      <c r="BD2083" t="s">
        <v>74</v>
      </c>
      <c r="BE2083" t="s">
        <v>35584</v>
      </c>
      <c r="BF2083" t="str">
        <f>HYPERLINK("http://dx.doi.org/10.1007/978-3-031-60904-6_19","http://dx.doi.org/10.1007/978-3-031-60904-6_19")</f>
        <v>http://dx.doi.org/10.1007/978-3-031-60904-6_19</v>
      </c>
      <c r="BG2083" t="s">
        <v>74</v>
      </c>
      <c r="BH2083" t="s">
        <v>74</v>
      </c>
      <c r="BI2083">
        <v>16</v>
      </c>
      <c r="BJ2083" t="s">
        <v>35585</v>
      </c>
      <c r="BK2083" t="s">
        <v>723</v>
      </c>
      <c r="BL2083" t="s">
        <v>210</v>
      </c>
      <c r="BM2083" t="s">
        <v>35586</v>
      </c>
      <c r="BN2083" t="s">
        <v>74</v>
      </c>
      <c r="BO2083" t="s">
        <v>74</v>
      </c>
      <c r="BP2083" t="s">
        <v>74</v>
      </c>
      <c r="BQ2083" t="s">
        <v>74</v>
      </c>
      <c r="BR2083" t="s">
        <v>102</v>
      </c>
      <c r="BS2083" t="s">
        <v>35587</v>
      </c>
      <c r="BT2083" t="str">
        <f>HYPERLINK("https%3A%2F%2Fwww.webofscience.com%2Fwos%2Fwoscc%2Ffull-record%2FWOS:001284756800019","View Full Record in Web of Science")</f>
        <v>View Full Record in Web of Science</v>
      </c>
    </row>
    <row r="2084" spans="1:72" x14ac:dyDescent="0.35">
      <c r="A2084" t="s">
        <v>128</v>
      </c>
      <c r="B2084" t="s">
        <v>35588</v>
      </c>
      <c r="C2084" t="s">
        <v>74</v>
      </c>
      <c r="D2084" t="s">
        <v>74</v>
      </c>
      <c r="E2084" t="s">
        <v>702</v>
      </c>
      <c r="F2084" t="s">
        <v>35589</v>
      </c>
      <c r="G2084" t="s">
        <v>74</v>
      </c>
      <c r="H2084" t="s">
        <v>74</v>
      </c>
      <c r="I2084" t="s">
        <v>35590</v>
      </c>
      <c r="J2084" t="s">
        <v>25632</v>
      </c>
      <c r="K2084" t="s">
        <v>74</v>
      </c>
      <c r="L2084" t="s">
        <v>74</v>
      </c>
      <c r="M2084" t="s">
        <v>78</v>
      </c>
      <c r="N2084" t="s">
        <v>135</v>
      </c>
      <c r="O2084" t="s">
        <v>25633</v>
      </c>
      <c r="P2084" t="s">
        <v>25634</v>
      </c>
      <c r="Q2084" t="s">
        <v>8367</v>
      </c>
      <c r="R2084" t="s">
        <v>25635</v>
      </c>
      <c r="S2084" t="s">
        <v>74</v>
      </c>
      <c r="T2084" t="s">
        <v>35591</v>
      </c>
      <c r="U2084" t="s">
        <v>74</v>
      </c>
      <c r="V2084" t="s">
        <v>35592</v>
      </c>
      <c r="W2084" t="s">
        <v>35593</v>
      </c>
      <c r="X2084" t="s">
        <v>35594</v>
      </c>
      <c r="Y2084" t="s">
        <v>35595</v>
      </c>
      <c r="Z2084" t="s">
        <v>35596</v>
      </c>
      <c r="AA2084" t="s">
        <v>35597</v>
      </c>
      <c r="AB2084" t="s">
        <v>35598</v>
      </c>
      <c r="AC2084" t="s">
        <v>35599</v>
      </c>
      <c r="AD2084" t="s">
        <v>1108</v>
      </c>
      <c r="AE2084" t="s">
        <v>35600</v>
      </c>
      <c r="AF2084" t="s">
        <v>74</v>
      </c>
      <c r="AG2084">
        <v>89</v>
      </c>
      <c r="AH2084">
        <v>1</v>
      </c>
      <c r="AI2084">
        <v>1</v>
      </c>
      <c r="AJ2084">
        <v>2</v>
      </c>
      <c r="AK2084">
        <v>3</v>
      </c>
      <c r="AL2084" t="s">
        <v>718</v>
      </c>
      <c r="AM2084" t="s">
        <v>666</v>
      </c>
      <c r="AN2084" t="s">
        <v>719</v>
      </c>
      <c r="AO2084" t="s">
        <v>74</v>
      </c>
      <c r="AP2084" t="s">
        <v>74</v>
      </c>
      <c r="AQ2084" t="s">
        <v>25643</v>
      </c>
      <c r="AR2084" t="s">
        <v>74</v>
      </c>
      <c r="AS2084" t="s">
        <v>74</v>
      </c>
      <c r="AT2084" t="s">
        <v>74</v>
      </c>
      <c r="AU2084">
        <v>2023</v>
      </c>
      <c r="AV2084" t="s">
        <v>74</v>
      </c>
      <c r="AW2084" t="s">
        <v>74</v>
      </c>
      <c r="AX2084" t="s">
        <v>74</v>
      </c>
      <c r="AY2084" t="s">
        <v>74</v>
      </c>
      <c r="AZ2084" t="s">
        <v>74</v>
      </c>
      <c r="BA2084" t="s">
        <v>74</v>
      </c>
      <c r="BB2084">
        <v>3490</v>
      </c>
      <c r="BC2084">
        <v>3504</v>
      </c>
      <c r="BD2084" t="s">
        <v>74</v>
      </c>
      <c r="BE2084" t="s">
        <v>35601</v>
      </c>
      <c r="BF2084" t="str">
        <f>HYPERLINK("http://dx.doi.org/10.1145/3576915.3616586","http://dx.doi.org/10.1145/3576915.3616586")</f>
        <v>http://dx.doi.org/10.1145/3576915.3616586</v>
      </c>
      <c r="BG2084" t="s">
        <v>74</v>
      </c>
      <c r="BH2084" t="s">
        <v>74</v>
      </c>
      <c r="BI2084">
        <v>15</v>
      </c>
      <c r="BJ2084" t="s">
        <v>25645</v>
      </c>
      <c r="BK2084" t="s">
        <v>723</v>
      </c>
      <c r="BL2084" t="s">
        <v>1699</v>
      </c>
      <c r="BM2084" t="s">
        <v>25646</v>
      </c>
      <c r="BN2084" t="s">
        <v>74</v>
      </c>
      <c r="BO2084" t="s">
        <v>23381</v>
      </c>
      <c r="BP2084" t="s">
        <v>74</v>
      </c>
      <c r="BQ2084" t="s">
        <v>74</v>
      </c>
      <c r="BR2084" t="s">
        <v>102</v>
      </c>
      <c r="BS2084" t="s">
        <v>35602</v>
      </c>
      <c r="BT2084" t="str">
        <f>HYPERLINK("https%3A%2F%2Fwww.webofscience.com%2Fwos%2Fwoscc%2Ffull-record%2FWOS:001124987203032","View Full Record in Web of Science")</f>
        <v>View Full Record in Web of Science</v>
      </c>
    </row>
    <row r="2085" spans="1:72" x14ac:dyDescent="0.35">
      <c r="A2085" t="s">
        <v>72</v>
      </c>
      <c r="B2085" t="s">
        <v>35603</v>
      </c>
      <c r="C2085" t="s">
        <v>74</v>
      </c>
      <c r="D2085" t="s">
        <v>74</v>
      </c>
      <c r="E2085" t="s">
        <v>74</v>
      </c>
      <c r="F2085" t="s">
        <v>35604</v>
      </c>
      <c r="G2085" t="s">
        <v>74</v>
      </c>
      <c r="H2085" t="s">
        <v>74</v>
      </c>
      <c r="I2085" t="s">
        <v>35605</v>
      </c>
      <c r="J2085" t="s">
        <v>1186</v>
      </c>
      <c r="K2085" t="s">
        <v>74</v>
      </c>
      <c r="L2085" t="s">
        <v>74</v>
      </c>
      <c r="M2085" t="s">
        <v>78</v>
      </c>
      <c r="N2085" t="s">
        <v>108</v>
      </c>
      <c r="O2085" t="s">
        <v>74</v>
      </c>
      <c r="P2085" t="s">
        <v>74</v>
      </c>
      <c r="Q2085" t="s">
        <v>74</v>
      </c>
      <c r="R2085" t="s">
        <v>74</v>
      </c>
      <c r="S2085" t="s">
        <v>74</v>
      </c>
      <c r="T2085" t="s">
        <v>35606</v>
      </c>
      <c r="U2085" t="s">
        <v>35607</v>
      </c>
      <c r="V2085" t="s">
        <v>35608</v>
      </c>
      <c r="W2085" t="s">
        <v>35609</v>
      </c>
      <c r="X2085" t="s">
        <v>35610</v>
      </c>
      <c r="Y2085" t="s">
        <v>35611</v>
      </c>
      <c r="Z2085" t="s">
        <v>35612</v>
      </c>
      <c r="AA2085" t="s">
        <v>35613</v>
      </c>
      <c r="AB2085" t="s">
        <v>35614</v>
      </c>
      <c r="AC2085" t="s">
        <v>35615</v>
      </c>
      <c r="AD2085" t="s">
        <v>35616</v>
      </c>
      <c r="AE2085" t="s">
        <v>35617</v>
      </c>
      <c r="AF2085" t="s">
        <v>74</v>
      </c>
      <c r="AG2085">
        <v>60</v>
      </c>
      <c r="AH2085">
        <v>6</v>
      </c>
      <c r="AI2085">
        <v>6</v>
      </c>
      <c r="AJ2085">
        <v>1</v>
      </c>
      <c r="AK2085">
        <v>12</v>
      </c>
      <c r="AL2085" t="s">
        <v>1195</v>
      </c>
      <c r="AM2085" t="s">
        <v>1196</v>
      </c>
      <c r="AN2085" t="s">
        <v>1197</v>
      </c>
      <c r="AO2085" t="s">
        <v>74</v>
      </c>
      <c r="AP2085" t="s">
        <v>1198</v>
      </c>
      <c r="AQ2085" t="s">
        <v>74</v>
      </c>
      <c r="AR2085" t="s">
        <v>1199</v>
      </c>
      <c r="AS2085" t="s">
        <v>1200</v>
      </c>
      <c r="AT2085" t="s">
        <v>594</v>
      </c>
      <c r="AU2085">
        <v>2022</v>
      </c>
      <c r="AV2085">
        <v>19</v>
      </c>
      <c r="AW2085">
        <v>20</v>
      </c>
      <c r="AX2085" t="s">
        <v>74</v>
      </c>
      <c r="AY2085" t="s">
        <v>74</v>
      </c>
      <c r="AZ2085" t="s">
        <v>74</v>
      </c>
      <c r="BA2085" t="s">
        <v>74</v>
      </c>
      <c r="BB2085" t="s">
        <v>74</v>
      </c>
      <c r="BC2085" t="s">
        <v>74</v>
      </c>
      <c r="BD2085">
        <v>13212</v>
      </c>
      <c r="BE2085" t="s">
        <v>35618</v>
      </c>
      <c r="BF2085" t="str">
        <f>HYPERLINK("http://dx.doi.org/10.3390/ijerph192013212","http://dx.doi.org/10.3390/ijerph192013212")</f>
        <v>http://dx.doi.org/10.3390/ijerph192013212</v>
      </c>
      <c r="BG2085" t="s">
        <v>74</v>
      </c>
      <c r="BH2085" t="s">
        <v>74</v>
      </c>
      <c r="BI2085">
        <v>16</v>
      </c>
      <c r="BJ2085" t="s">
        <v>1202</v>
      </c>
      <c r="BK2085" t="s">
        <v>182</v>
      </c>
      <c r="BL2085" t="s">
        <v>1203</v>
      </c>
      <c r="BM2085" t="s">
        <v>35619</v>
      </c>
      <c r="BN2085">
        <v>36293797</v>
      </c>
      <c r="BO2085" t="s">
        <v>2703</v>
      </c>
      <c r="BP2085" t="s">
        <v>74</v>
      </c>
      <c r="BQ2085" t="s">
        <v>74</v>
      </c>
      <c r="BR2085" t="s">
        <v>102</v>
      </c>
      <c r="BS2085" t="s">
        <v>35620</v>
      </c>
      <c r="BT2085" t="str">
        <f>HYPERLINK("https%3A%2F%2Fwww.webofscience.com%2Fwos%2Fwoscc%2Ffull-record%2FWOS:000873287800001","View Full Record in Web of Science")</f>
        <v>View Full Record in Web of Science</v>
      </c>
    </row>
    <row r="2086" spans="1:72" x14ac:dyDescent="0.35">
      <c r="A2086" t="s">
        <v>72</v>
      </c>
      <c r="B2086" t="s">
        <v>35621</v>
      </c>
      <c r="C2086" t="s">
        <v>74</v>
      </c>
      <c r="D2086" t="s">
        <v>74</v>
      </c>
      <c r="E2086" t="s">
        <v>74</v>
      </c>
      <c r="F2086" t="s">
        <v>35622</v>
      </c>
      <c r="G2086" t="s">
        <v>74</v>
      </c>
      <c r="H2086" t="s">
        <v>74</v>
      </c>
      <c r="I2086" t="s">
        <v>35623</v>
      </c>
      <c r="J2086" t="s">
        <v>27545</v>
      </c>
      <c r="K2086" t="s">
        <v>74</v>
      </c>
      <c r="L2086" t="s">
        <v>74</v>
      </c>
      <c r="M2086" t="s">
        <v>78</v>
      </c>
      <c r="N2086" t="s">
        <v>108</v>
      </c>
      <c r="O2086" t="s">
        <v>74</v>
      </c>
      <c r="P2086" t="s">
        <v>74</v>
      </c>
      <c r="Q2086" t="s">
        <v>74</v>
      </c>
      <c r="R2086" t="s">
        <v>74</v>
      </c>
      <c r="S2086" t="s">
        <v>74</v>
      </c>
      <c r="T2086" t="s">
        <v>35624</v>
      </c>
      <c r="U2086" t="s">
        <v>74</v>
      </c>
      <c r="V2086" t="s">
        <v>35625</v>
      </c>
      <c r="W2086" t="s">
        <v>35626</v>
      </c>
      <c r="X2086" t="s">
        <v>35627</v>
      </c>
      <c r="Y2086" t="s">
        <v>35628</v>
      </c>
      <c r="Z2086" t="s">
        <v>35629</v>
      </c>
      <c r="AA2086" t="s">
        <v>35630</v>
      </c>
      <c r="AB2086" t="s">
        <v>35631</v>
      </c>
      <c r="AC2086" t="s">
        <v>35632</v>
      </c>
      <c r="AD2086" t="s">
        <v>32238</v>
      </c>
      <c r="AE2086" t="s">
        <v>35633</v>
      </c>
      <c r="AF2086" t="s">
        <v>74</v>
      </c>
      <c r="AG2086">
        <v>55</v>
      </c>
      <c r="AH2086">
        <v>9</v>
      </c>
      <c r="AI2086">
        <v>9</v>
      </c>
      <c r="AJ2086">
        <v>8</v>
      </c>
      <c r="AK2086">
        <v>61</v>
      </c>
      <c r="AL2086" t="s">
        <v>384</v>
      </c>
      <c r="AM2086" t="s">
        <v>385</v>
      </c>
      <c r="AN2086" t="s">
        <v>386</v>
      </c>
      <c r="AO2086" t="s">
        <v>27556</v>
      </c>
      <c r="AP2086" t="s">
        <v>74</v>
      </c>
      <c r="AQ2086" t="s">
        <v>74</v>
      </c>
      <c r="AR2086" t="s">
        <v>27557</v>
      </c>
      <c r="AS2086" t="s">
        <v>27558</v>
      </c>
      <c r="AT2086" t="s">
        <v>18788</v>
      </c>
      <c r="AU2086">
        <v>2022</v>
      </c>
      <c r="AV2086">
        <v>9</v>
      </c>
      <c r="AW2086" t="s">
        <v>74</v>
      </c>
      <c r="AX2086" t="s">
        <v>74</v>
      </c>
      <c r="AY2086" t="s">
        <v>74</v>
      </c>
      <c r="AZ2086" t="s">
        <v>74</v>
      </c>
      <c r="BA2086" t="s">
        <v>74</v>
      </c>
      <c r="BB2086" t="s">
        <v>74</v>
      </c>
      <c r="BC2086" t="s">
        <v>74</v>
      </c>
      <c r="BD2086">
        <v>787185</v>
      </c>
      <c r="BE2086" t="s">
        <v>35634</v>
      </c>
      <c r="BF2086" t="str">
        <f>HYPERLINK("http://dx.doi.org/10.3389/fphy.2021.787185","http://dx.doi.org/10.3389/fphy.2021.787185")</f>
        <v>http://dx.doi.org/10.3389/fphy.2021.787185</v>
      </c>
      <c r="BG2086" t="s">
        <v>74</v>
      </c>
      <c r="BH2086" t="s">
        <v>74</v>
      </c>
      <c r="BI2086">
        <v>11</v>
      </c>
      <c r="BJ2086" t="s">
        <v>27560</v>
      </c>
      <c r="BK2086" t="s">
        <v>209</v>
      </c>
      <c r="BL2086" t="s">
        <v>27561</v>
      </c>
      <c r="BM2086" t="s">
        <v>35635</v>
      </c>
      <c r="BN2086" t="s">
        <v>74</v>
      </c>
      <c r="BO2086" t="s">
        <v>235</v>
      </c>
      <c r="BP2086" t="s">
        <v>74</v>
      </c>
      <c r="BQ2086" t="s">
        <v>74</v>
      </c>
      <c r="BR2086" t="s">
        <v>102</v>
      </c>
      <c r="BS2086" t="s">
        <v>35636</v>
      </c>
      <c r="BT2086" t="str">
        <f>HYPERLINK("https%3A%2F%2Fwww.webofscience.com%2Fwos%2Fwoscc%2Ffull-record%2FWOS:000745171200001","View Full Record in Web of Science")</f>
        <v>View Full Record in Web of Science</v>
      </c>
    </row>
    <row r="2087" spans="1:72" x14ac:dyDescent="0.35">
      <c r="A2087" t="s">
        <v>72</v>
      </c>
      <c r="B2087" t="s">
        <v>35637</v>
      </c>
      <c r="C2087" t="s">
        <v>74</v>
      </c>
      <c r="D2087" t="s">
        <v>74</v>
      </c>
      <c r="E2087" t="s">
        <v>74</v>
      </c>
      <c r="F2087" t="s">
        <v>35638</v>
      </c>
      <c r="G2087" t="s">
        <v>74</v>
      </c>
      <c r="H2087" t="s">
        <v>74</v>
      </c>
      <c r="I2087" t="s">
        <v>35639</v>
      </c>
      <c r="J2087" t="s">
        <v>35640</v>
      </c>
      <c r="K2087" t="s">
        <v>74</v>
      </c>
      <c r="L2087" t="s">
        <v>74</v>
      </c>
      <c r="M2087" t="s">
        <v>78</v>
      </c>
      <c r="N2087" t="s">
        <v>108</v>
      </c>
      <c r="O2087" t="s">
        <v>74</v>
      </c>
      <c r="P2087" t="s">
        <v>74</v>
      </c>
      <c r="Q2087" t="s">
        <v>74</v>
      </c>
      <c r="R2087" t="s">
        <v>74</v>
      </c>
      <c r="S2087" t="s">
        <v>74</v>
      </c>
      <c r="T2087" t="s">
        <v>35641</v>
      </c>
      <c r="U2087" t="s">
        <v>74</v>
      </c>
      <c r="V2087" t="s">
        <v>35642</v>
      </c>
      <c r="W2087" t="s">
        <v>35643</v>
      </c>
      <c r="X2087" t="s">
        <v>24769</v>
      </c>
      <c r="Y2087" t="s">
        <v>35644</v>
      </c>
      <c r="Z2087" t="s">
        <v>35645</v>
      </c>
      <c r="AA2087" t="s">
        <v>24772</v>
      </c>
      <c r="AB2087" t="s">
        <v>24773</v>
      </c>
      <c r="AC2087" t="s">
        <v>24775</v>
      </c>
      <c r="AD2087" t="s">
        <v>24775</v>
      </c>
      <c r="AE2087" t="s">
        <v>2921</v>
      </c>
      <c r="AF2087" t="s">
        <v>74</v>
      </c>
      <c r="AG2087">
        <v>46</v>
      </c>
      <c r="AH2087">
        <v>2</v>
      </c>
      <c r="AI2087">
        <v>2</v>
      </c>
      <c r="AJ2087">
        <v>8</v>
      </c>
      <c r="AK2087">
        <v>9</v>
      </c>
      <c r="AL2087" t="s">
        <v>251</v>
      </c>
      <c r="AM2087" t="s">
        <v>252</v>
      </c>
      <c r="AN2087" t="s">
        <v>253</v>
      </c>
      <c r="AO2087" t="s">
        <v>35646</v>
      </c>
      <c r="AP2087" t="s">
        <v>35647</v>
      </c>
      <c r="AQ2087" t="s">
        <v>74</v>
      </c>
      <c r="AR2087" t="s">
        <v>35648</v>
      </c>
      <c r="AS2087" t="s">
        <v>35649</v>
      </c>
      <c r="AT2087" t="s">
        <v>257</v>
      </c>
      <c r="AU2087">
        <v>2024</v>
      </c>
      <c r="AV2087">
        <v>44</v>
      </c>
      <c r="AW2087">
        <v>6</v>
      </c>
      <c r="AX2087" t="s">
        <v>74</v>
      </c>
      <c r="AY2087" t="s">
        <v>74</v>
      </c>
      <c r="AZ2087" t="s">
        <v>74</v>
      </c>
      <c r="BA2087" t="s">
        <v>74</v>
      </c>
      <c r="BB2087">
        <v>1373</v>
      </c>
      <c r="BC2087">
        <v>1382</v>
      </c>
      <c r="BD2087" t="s">
        <v>74</v>
      </c>
      <c r="BE2087" t="s">
        <v>35650</v>
      </c>
      <c r="BF2087" t="str">
        <f>HYPERLINK("http://dx.doi.org/10.1111/liv.15871","http://dx.doi.org/10.1111/liv.15871")</f>
        <v>http://dx.doi.org/10.1111/liv.15871</v>
      </c>
      <c r="BG2087" t="s">
        <v>74</v>
      </c>
      <c r="BH2087" t="s">
        <v>123</v>
      </c>
      <c r="BI2087">
        <v>10</v>
      </c>
      <c r="BJ2087" t="s">
        <v>12536</v>
      </c>
      <c r="BK2087" t="s">
        <v>209</v>
      </c>
      <c r="BL2087" t="s">
        <v>12536</v>
      </c>
      <c r="BM2087" t="s">
        <v>35651</v>
      </c>
      <c r="BN2087">
        <v>38441405</v>
      </c>
      <c r="BO2087" t="s">
        <v>74</v>
      </c>
      <c r="BP2087" t="s">
        <v>74</v>
      </c>
      <c r="BQ2087" t="s">
        <v>74</v>
      </c>
      <c r="BR2087" t="s">
        <v>102</v>
      </c>
      <c r="BS2087" t="s">
        <v>35652</v>
      </c>
      <c r="BT2087" t="str">
        <f>HYPERLINK("https%3A%2F%2Fwww.webofscience.com%2Fwos%2Fwoscc%2Ffull-record%2FWOS:001178291900001","View Full Record in Web of Science")</f>
        <v>View Full Record in Web of Science</v>
      </c>
    </row>
    <row r="2088" spans="1:72" x14ac:dyDescent="0.35">
      <c r="A2088" t="s">
        <v>128</v>
      </c>
      <c r="B2088" t="s">
        <v>35653</v>
      </c>
      <c r="C2088" t="s">
        <v>74</v>
      </c>
      <c r="D2088" t="s">
        <v>35654</v>
      </c>
      <c r="E2088" t="s">
        <v>74</v>
      </c>
      <c r="F2088" t="s">
        <v>35655</v>
      </c>
      <c r="G2088" t="s">
        <v>74</v>
      </c>
      <c r="H2088" t="s">
        <v>74</v>
      </c>
      <c r="I2088" t="s">
        <v>35656</v>
      </c>
      <c r="J2088" t="s">
        <v>35657</v>
      </c>
      <c r="K2088" t="s">
        <v>74</v>
      </c>
      <c r="L2088" t="s">
        <v>74</v>
      </c>
      <c r="M2088" t="s">
        <v>78</v>
      </c>
      <c r="N2088" t="s">
        <v>135</v>
      </c>
      <c r="O2088" t="s">
        <v>35658</v>
      </c>
      <c r="P2088" t="s">
        <v>35659</v>
      </c>
      <c r="Q2088" t="s">
        <v>138</v>
      </c>
      <c r="R2088" t="s">
        <v>3387</v>
      </c>
      <c r="S2088" t="s">
        <v>74</v>
      </c>
      <c r="T2088" t="s">
        <v>35660</v>
      </c>
      <c r="U2088" t="s">
        <v>35661</v>
      </c>
      <c r="V2088" t="s">
        <v>35662</v>
      </c>
      <c r="W2088" t="s">
        <v>35663</v>
      </c>
      <c r="X2088" t="s">
        <v>21770</v>
      </c>
      <c r="Y2088" t="s">
        <v>35664</v>
      </c>
      <c r="Z2088" t="s">
        <v>35665</v>
      </c>
      <c r="AA2088" t="s">
        <v>35666</v>
      </c>
      <c r="AB2088" t="s">
        <v>35667</v>
      </c>
      <c r="AC2088" t="s">
        <v>74</v>
      </c>
      <c r="AD2088" t="s">
        <v>74</v>
      </c>
      <c r="AE2088" t="s">
        <v>74</v>
      </c>
      <c r="AF2088" t="s">
        <v>74</v>
      </c>
      <c r="AG2088">
        <v>24</v>
      </c>
      <c r="AH2088">
        <v>1</v>
      </c>
      <c r="AI2088">
        <v>1</v>
      </c>
      <c r="AJ2088">
        <v>0</v>
      </c>
      <c r="AK2088">
        <v>17</v>
      </c>
      <c r="AL2088" t="s">
        <v>1677</v>
      </c>
      <c r="AM2088" t="s">
        <v>666</v>
      </c>
      <c r="AN2088" t="s">
        <v>1692</v>
      </c>
      <c r="AO2088" t="s">
        <v>74</v>
      </c>
      <c r="AP2088" t="s">
        <v>74</v>
      </c>
      <c r="AQ2088" t="s">
        <v>35668</v>
      </c>
      <c r="AR2088" t="s">
        <v>74</v>
      </c>
      <c r="AS2088" t="s">
        <v>74</v>
      </c>
      <c r="AT2088" t="s">
        <v>74</v>
      </c>
      <c r="AU2088">
        <v>2022</v>
      </c>
      <c r="AV2088" t="s">
        <v>74</v>
      </c>
      <c r="AW2088" t="s">
        <v>74</v>
      </c>
      <c r="AX2088" t="s">
        <v>74</v>
      </c>
      <c r="AY2088" t="s">
        <v>74</v>
      </c>
      <c r="AZ2088" t="s">
        <v>74</v>
      </c>
      <c r="BA2088" t="s">
        <v>74</v>
      </c>
      <c r="BB2088">
        <v>241</v>
      </c>
      <c r="BC2088">
        <v>249</v>
      </c>
      <c r="BD2088" t="s">
        <v>74</v>
      </c>
      <c r="BE2088" t="s">
        <v>35669</v>
      </c>
      <c r="BF2088" t="str">
        <f>HYPERLINK("http://dx.doi.org/10.1109/COMPSAC54236.2022.00042","http://dx.doi.org/10.1109/COMPSAC54236.2022.00042")</f>
        <v>http://dx.doi.org/10.1109/COMPSAC54236.2022.00042</v>
      </c>
      <c r="BG2088" t="s">
        <v>74</v>
      </c>
      <c r="BH2088" t="s">
        <v>74</v>
      </c>
      <c r="BI2088">
        <v>9</v>
      </c>
      <c r="BJ2088" t="s">
        <v>35670</v>
      </c>
      <c r="BK2088" t="s">
        <v>723</v>
      </c>
      <c r="BL2088" t="s">
        <v>210</v>
      </c>
      <c r="BM2088" t="s">
        <v>35671</v>
      </c>
      <c r="BN2088" t="s">
        <v>74</v>
      </c>
      <c r="BO2088" t="s">
        <v>74</v>
      </c>
      <c r="BP2088" t="s">
        <v>74</v>
      </c>
      <c r="BQ2088" t="s">
        <v>74</v>
      </c>
      <c r="BR2088" t="s">
        <v>102</v>
      </c>
      <c r="BS2088" t="s">
        <v>35672</v>
      </c>
      <c r="BT2088" t="str">
        <f>HYPERLINK("https%3A%2F%2Fwww.webofscience.com%2Fwos%2Fwoscc%2Ffull-record%2FWOS:000855983300034","View Full Record in Web of Science")</f>
        <v>View Full Record in Web of Science</v>
      </c>
    </row>
    <row r="2089" spans="1:72" x14ac:dyDescent="0.35">
      <c r="A2089" t="s">
        <v>72</v>
      </c>
      <c r="B2089" t="s">
        <v>35673</v>
      </c>
      <c r="C2089" t="s">
        <v>74</v>
      </c>
      <c r="D2089" t="s">
        <v>74</v>
      </c>
      <c r="E2089" t="s">
        <v>74</v>
      </c>
      <c r="F2089" t="s">
        <v>35674</v>
      </c>
      <c r="G2089" t="s">
        <v>74</v>
      </c>
      <c r="H2089" t="s">
        <v>74</v>
      </c>
      <c r="I2089" t="s">
        <v>35675</v>
      </c>
      <c r="J2089" t="s">
        <v>4135</v>
      </c>
      <c r="K2089" t="s">
        <v>74</v>
      </c>
      <c r="L2089" t="s">
        <v>74</v>
      </c>
      <c r="M2089" t="s">
        <v>78</v>
      </c>
      <c r="N2089" t="s">
        <v>108</v>
      </c>
      <c r="O2089" t="s">
        <v>74</v>
      </c>
      <c r="P2089" t="s">
        <v>74</v>
      </c>
      <c r="Q2089" t="s">
        <v>74</v>
      </c>
      <c r="R2089" t="s">
        <v>74</v>
      </c>
      <c r="S2089" t="s">
        <v>74</v>
      </c>
      <c r="T2089" t="s">
        <v>35676</v>
      </c>
      <c r="U2089" t="s">
        <v>35677</v>
      </c>
      <c r="V2089" t="s">
        <v>35678</v>
      </c>
      <c r="W2089" t="s">
        <v>35679</v>
      </c>
      <c r="X2089" t="s">
        <v>35680</v>
      </c>
      <c r="Y2089" t="s">
        <v>35681</v>
      </c>
      <c r="Z2089" t="s">
        <v>35682</v>
      </c>
      <c r="AA2089" t="s">
        <v>35683</v>
      </c>
      <c r="AB2089" t="s">
        <v>74</v>
      </c>
      <c r="AC2089" t="s">
        <v>35684</v>
      </c>
      <c r="AD2089" t="s">
        <v>17211</v>
      </c>
      <c r="AE2089" t="s">
        <v>35685</v>
      </c>
      <c r="AF2089" t="s">
        <v>74</v>
      </c>
      <c r="AG2089">
        <v>68</v>
      </c>
      <c r="AH2089">
        <v>0</v>
      </c>
      <c r="AI2089">
        <v>0</v>
      </c>
      <c r="AJ2089">
        <v>1</v>
      </c>
      <c r="AK2089">
        <v>1</v>
      </c>
      <c r="AL2089" t="s">
        <v>3632</v>
      </c>
      <c r="AM2089" t="s">
        <v>148</v>
      </c>
      <c r="AN2089" t="s">
        <v>5053</v>
      </c>
      <c r="AO2089" t="s">
        <v>4148</v>
      </c>
      <c r="AP2089" t="s">
        <v>4149</v>
      </c>
      <c r="AQ2089" t="s">
        <v>74</v>
      </c>
      <c r="AR2089" t="s">
        <v>4150</v>
      </c>
      <c r="AS2089" t="s">
        <v>4151</v>
      </c>
      <c r="AT2089" t="s">
        <v>455</v>
      </c>
      <c r="AU2089">
        <v>2024</v>
      </c>
      <c r="AV2089">
        <v>80</v>
      </c>
      <c r="AW2089" t="s">
        <v>74</v>
      </c>
      <c r="AX2089" t="s">
        <v>74</v>
      </c>
      <c r="AY2089" t="s">
        <v>74</v>
      </c>
      <c r="AZ2089" t="s">
        <v>74</v>
      </c>
      <c r="BA2089" t="s">
        <v>74</v>
      </c>
      <c r="BB2089" t="s">
        <v>74</v>
      </c>
      <c r="BC2089" t="s">
        <v>74</v>
      </c>
      <c r="BD2089">
        <v>103923</v>
      </c>
      <c r="BE2089" t="s">
        <v>35686</v>
      </c>
      <c r="BF2089" t="str">
        <f>HYPERLINK("http://dx.doi.org/10.1016/j.jretconser.2024.103923","http://dx.doi.org/10.1016/j.jretconser.2024.103923")</f>
        <v>http://dx.doi.org/10.1016/j.jretconser.2024.103923</v>
      </c>
      <c r="BG2089" t="s">
        <v>74</v>
      </c>
      <c r="BH2089" t="s">
        <v>1467</v>
      </c>
      <c r="BI2089">
        <v>10</v>
      </c>
      <c r="BJ2089" t="s">
        <v>1597</v>
      </c>
      <c r="BK2089" t="s">
        <v>99</v>
      </c>
      <c r="BL2089" t="s">
        <v>480</v>
      </c>
      <c r="BM2089" t="s">
        <v>35687</v>
      </c>
      <c r="BN2089" t="s">
        <v>74</v>
      </c>
      <c r="BO2089" t="s">
        <v>74</v>
      </c>
      <c r="BP2089" t="s">
        <v>74</v>
      </c>
      <c r="BQ2089" t="s">
        <v>74</v>
      </c>
      <c r="BR2089" t="s">
        <v>102</v>
      </c>
      <c r="BS2089" t="s">
        <v>35688</v>
      </c>
      <c r="BT2089" t="str">
        <f>HYPERLINK("https%3A%2F%2Fwww.webofscience.com%2Fwos%2Fwoscc%2Ffull-record%2FWOS:001347223500001","View Full Record in Web of Science")</f>
        <v>View Full Record in Web of Science</v>
      </c>
    </row>
    <row r="2090" spans="1:72" x14ac:dyDescent="0.35">
      <c r="A2090" t="s">
        <v>72</v>
      </c>
      <c r="B2090" t="s">
        <v>35689</v>
      </c>
      <c r="C2090" t="s">
        <v>74</v>
      </c>
      <c r="D2090" t="s">
        <v>74</v>
      </c>
      <c r="E2090" t="s">
        <v>74</v>
      </c>
      <c r="F2090" t="s">
        <v>35690</v>
      </c>
      <c r="G2090" t="s">
        <v>74</v>
      </c>
      <c r="H2090" t="s">
        <v>74</v>
      </c>
      <c r="I2090" t="s">
        <v>35691</v>
      </c>
      <c r="J2090" t="s">
        <v>25111</v>
      </c>
      <c r="K2090" t="s">
        <v>74</v>
      </c>
      <c r="L2090" t="s">
        <v>74</v>
      </c>
      <c r="M2090" t="s">
        <v>78</v>
      </c>
      <c r="N2090" t="s">
        <v>108</v>
      </c>
      <c r="O2090" t="s">
        <v>74</v>
      </c>
      <c r="P2090" t="s">
        <v>74</v>
      </c>
      <c r="Q2090" t="s">
        <v>74</v>
      </c>
      <c r="R2090" t="s">
        <v>74</v>
      </c>
      <c r="S2090" t="s">
        <v>74</v>
      </c>
      <c r="T2090" t="s">
        <v>35692</v>
      </c>
      <c r="U2090" t="s">
        <v>74</v>
      </c>
      <c r="V2090" t="s">
        <v>35693</v>
      </c>
      <c r="W2090" t="s">
        <v>35694</v>
      </c>
      <c r="X2090" t="s">
        <v>35695</v>
      </c>
      <c r="Y2090" t="s">
        <v>35696</v>
      </c>
      <c r="Z2090" t="s">
        <v>35697</v>
      </c>
      <c r="AA2090" t="s">
        <v>74</v>
      </c>
      <c r="AB2090" t="s">
        <v>35698</v>
      </c>
      <c r="AC2090" t="s">
        <v>35699</v>
      </c>
      <c r="AD2090" t="s">
        <v>35700</v>
      </c>
      <c r="AE2090" t="s">
        <v>35701</v>
      </c>
      <c r="AF2090" t="s">
        <v>74</v>
      </c>
      <c r="AG2090">
        <v>45</v>
      </c>
      <c r="AH2090">
        <v>0</v>
      </c>
      <c r="AI2090">
        <v>0</v>
      </c>
      <c r="AJ2090">
        <v>1</v>
      </c>
      <c r="AK2090">
        <v>13</v>
      </c>
      <c r="AL2090" t="s">
        <v>25124</v>
      </c>
      <c r="AM2090" t="s">
        <v>18022</v>
      </c>
      <c r="AN2090" t="s">
        <v>25125</v>
      </c>
      <c r="AO2090" t="s">
        <v>25126</v>
      </c>
      <c r="AP2090" t="s">
        <v>74</v>
      </c>
      <c r="AQ2090" t="s">
        <v>74</v>
      </c>
      <c r="AR2090" t="s">
        <v>25111</v>
      </c>
      <c r="AS2090" t="s">
        <v>25127</v>
      </c>
      <c r="AT2090" t="s">
        <v>74</v>
      </c>
      <c r="AU2090">
        <v>2022</v>
      </c>
      <c r="AV2090">
        <v>10</v>
      </c>
      <c r="AW2090" t="s">
        <v>74</v>
      </c>
      <c r="AX2090" t="s">
        <v>74</v>
      </c>
      <c r="AY2090" t="s">
        <v>74</v>
      </c>
      <c r="AZ2090" t="s">
        <v>74</v>
      </c>
      <c r="BA2090" t="s">
        <v>74</v>
      </c>
      <c r="BB2090">
        <v>50892</v>
      </c>
      <c r="BC2090">
        <v>50902</v>
      </c>
      <c r="BD2090" t="s">
        <v>74</v>
      </c>
      <c r="BE2090" t="s">
        <v>35702</v>
      </c>
      <c r="BF2090" t="str">
        <f>HYPERLINK("http://dx.doi.org/10.1109/ACCESS.2022.3174212","http://dx.doi.org/10.1109/ACCESS.2022.3174212")</f>
        <v>http://dx.doi.org/10.1109/ACCESS.2022.3174212</v>
      </c>
      <c r="BG2090" t="s">
        <v>74</v>
      </c>
      <c r="BH2090" t="s">
        <v>74</v>
      </c>
      <c r="BI2090">
        <v>11</v>
      </c>
      <c r="BJ2090" t="s">
        <v>25129</v>
      </c>
      <c r="BK2090" t="s">
        <v>209</v>
      </c>
      <c r="BL2090" t="s">
        <v>25130</v>
      </c>
      <c r="BM2090" t="s">
        <v>35703</v>
      </c>
      <c r="BN2090" t="s">
        <v>74</v>
      </c>
      <c r="BO2090" t="s">
        <v>235</v>
      </c>
      <c r="BP2090" t="s">
        <v>74</v>
      </c>
      <c r="BQ2090" t="s">
        <v>74</v>
      </c>
      <c r="BR2090" t="s">
        <v>102</v>
      </c>
      <c r="BS2090" t="s">
        <v>35704</v>
      </c>
      <c r="BT2090" t="str">
        <f>HYPERLINK("https%3A%2F%2Fwww.webofscience.com%2Fwos%2Fwoscc%2Ffull-record%2FWOS:000797410200001","View Full Record in Web of Science")</f>
        <v>View Full Record in Web of Science</v>
      </c>
    </row>
    <row r="2091" spans="1:72" x14ac:dyDescent="0.35">
      <c r="A2091" t="s">
        <v>72</v>
      </c>
      <c r="B2091" t="s">
        <v>35705</v>
      </c>
      <c r="C2091" t="s">
        <v>74</v>
      </c>
      <c r="D2091" t="s">
        <v>74</v>
      </c>
      <c r="E2091" t="s">
        <v>74</v>
      </c>
      <c r="F2091" t="s">
        <v>35706</v>
      </c>
      <c r="G2091" t="s">
        <v>74</v>
      </c>
      <c r="H2091" t="s">
        <v>74</v>
      </c>
      <c r="I2091" t="s">
        <v>35707</v>
      </c>
      <c r="J2091" t="s">
        <v>33692</v>
      </c>
      <c r="K2091" t="s">
        <v>74</v>
      </c>
      <c r="L2091" t="s">
        <v>74</v>
      </c>
      <c r="M2091" t="s">
        <v>78</v>
      </c>
      <c r="N2091" t="s">
        <v>108</v>
      </c>
      <c r="O2091" t="s">
        <v>74</v>
      </c>
      <c r="P2091" t="s">
        <v>74</v>
      </c>
      <c r="Q2091" t="s">
        <v>74</v>
      </c>
      <c r="R2091" t="s">
        <v>74</v>
      </c>
      <c r="S2091" t="s">
        <v>74</v>
      </c>
      <c r="T2091" t="s">
        <v>35708</v>
      </c>
      <c r="U2091" t="s">
        <v>35709</v>
      </c>
      <c r="V2091" t="s">
        <v>35710</v>
      </c>
      <c r="W2091" t="s">
        <v>35711</v>
      </c>
      <c r="X2091" t="s">
        <v>29371</v>
      </c>
      <c r="Y2091" t="s">
        <v>35712</v>
      </c>
      <c r="Z2091" t="s">
        <v>35713</v>
      </c>
      <c r="AA2091" t="s">
        <v>35714</v>
      </c>
      <c r="AB2091" t="s">
        <v>35715</v>
      </c>
      <c r="AC2091" t="s">
        <v>35716</v>
      </c>
      <c r="AD2091" t="s">
        <v>35717</v>
      </c>
      <c r="AE2091" t="s">
        <v>35718</v>
      </c>
      <c r="AF2091" t="s">
        <v>74</v>
      </c>
      <c r="AG2091">
        <v>41</v>
      </c>
      <c r="AH2091">
        <v>1</v>
      </c>
      <c r="AI2091">
        <v>1</v>
      </c>
      <c r="AJ2091">
        <v>0</v>
      </c>
      <c r="AK2091">
        <v>19</v>
      </c>
      <c r="AL2091" t="s">
        <v>516</v>
      </c>
      <c r="AM2091" t="s">
        <v>517</v>
      </c>
      <c r="AN2091" t="s">
        <v>518</v>
      </c>
      <c r="AO2091" t="s">
        <v>33703</v>
      </c>
      <c r="AP2091" t="s">
        <v>33704</v>
      </c>
      <c r="AQ2091" t="s">
        <v>74</v>
      </c>
      <c r="AR2091" t="s">
        <v>33692</v>
      </c>
      <c r="AS2091" t="s">
        <v>33705</v>
      </c>
      <c r="AT2091" t="s">
        <v>35719</v>
      </c>
      <c r="AU2091">
        <v>2022</v>
      </c>
      <c r="AV2091">
        <v>501</v>
      </c>
      <c r="AW2091" t="s">
        <v>74</v>
      </c>
      <c r="AX2091" t="s">
        <v>74</v>
      </c>
      <c r="AY2091" t="s">
        <v>74</v>
      </c>
      <c r="AZ2091" t="s">
        <v>74</v>
      </c>
      <c r="BA2091" t="s">
        <v>74</v>
      </c>
      <c r="BB2091">
        <v>694</v>
      </c>
      <c r="BC2091">
        <v>704</v>
      </c>
      <c r="BD2091" t="s">
        <v>74</v>
      </c>
      <c r="BE2091" t="s">
        <v>35720</v>
      </c>
      <c r="BF2091" t="str">
        <f>HYPERLINK("http://dx.doi.org/10.1016/j.neucom.2022.06.064","http://dx.doi.org/10.1016/j.neucom.2022.06.064")</f>
        <v>http://dx.doi.org/10.1016/j.neucom.2022.06.064</v>
      </c>
      <c r="BG2091" t="s">
        <v>74</v>
      </c>
      <c r="BH2091" t="s">
        <v>1428</v>
      </c>
      <c r="BI2091">
        <v>11</v>
      </c>
      <c r="BJ2091" t="s">
        <v>4250</v>
      </c>
      <c r="BK2091" t="s">
        <v>209</v>
      </c>
      <c r="BL2091" t="s">
        <v>210</v>
      </c>
      <c r="BM2091" t="s">
        <v>35721</v>
      </c>
      <c r="BN2091" t="s">
        <v>74</v>
      </c>
      <c r="BO2091" t="s">
        <v>74</v>
      </c>
      <c r="BP2091" t="s">
        <v>74</v>
      </c>
      <c r="BQ2091" t="s">
        <v>74</v>
      </c>
      <c r="BR2091" t="s">
        <v>102</v>
      </c>
      <c r="BS2091" t="s">
        <v>35722</v>
      </c>
      <c r="BT2091" t="str">
        <f>HYPERLINK("https%3A%2F%2Fwww.webofscience.com%2Fwos%2Fwoscc%2Ffull-record%2FWOS:000829601500003","View Full Record in Web of Science")</f>
        <v>View Full Record in Web of Science</v>
      </c>
    </row>
    <row r="2092" spans="1:72" x14ac:dyDescent="0.35">
      <c r="A2092" t="s">
        <v>72</v>
      </c>
      <c r="B2092" t="s">
        <v>35723</v>
      </c>
      <c r="C2092" t="s">
        <v>74</v>
      </c>
      <c r="D2092" t="s">
        <v>74</v>
      </c>
      <c r="E2092" t="s">
        <v>74</v>
      </c>
      <c r="F2092" t="s">
        <v>35724</v>
      </c>
      <c r="G2092" t="s">
        <v>74</v>
      </c>
      <c r="H2092" t="s">
        <v>74</v>
      </c>
      <c r="I2092" t="s">
        <v>35725</v>
      </c>
      <c r="J2092" t="s">
        <v>35726</v>
      </c>
      <c r="K2092" t="s">
        <v>74</v>
      </c>
      <c r="L2092" t="s">
        <v>74</v>
      </c>
      <c r="M2092" t="s">
        <v>78</v>
      </c>
      <c r="N2092" t="s">
        <v>374</v>
      </c>
      <c r="O2092" t="s">
        <v>74</v>
      </c>
      <c r="P2092" t="s">
        <v>74</v>
      </c>
      <c r="Q2092" t="s">
        <v>74</v>
      </c>
      <c r="R2092" t="s">
        <v>74</v>
      </c>
      <c r="S2092" t="s">
        <v>74</v>
      </c>
      <c r="T2092" t="s">
        <v>35727</v>
      </c>
      <c r="U2092" t="s">
        <v>8065</v>
      </c>
      <c r="V2092" t="s">
        <v>35728</v>
      </c>
      <c r="W2092" t="s">
        <v>35729</v>
      </c>
      <c r="X2092" t="s">
        <v>35730</v>
      </c>
      <c r="Y2092" t="s">
        <v>35731</v>
      </c>
      <c r="Z2092" t="s">
        <v>35732</v>
      </c>
      <c r="AA2092" t="s">
        <v>35733</v>
      </c>
      <c r="AB2092" t="s">
        <v>35734</v>
      </c>
      <c r="AC2092" t="s">
        <v>35735</v>
      </c>
      <c r="AD2092" t="s">
        <v>35735</v>
      </c>
      <c r="AE2092" t="s">
        <v>35736</v>
      </c>
      <c r="AF2092" t="s">
        <v>74</v>
      </c>
      <c r="AG2092">
        <v>35</v>
      </c>
      <c r="AH2092">
        <v>4</v>
      </c>
      <c r="AI2092">
        <v>4</v>
      </c>
      <c r="AJ2092">
        <v>5</v>
      </c>
      <c r="AK2092">
        <v>6</v>
      </c>
      <c r="AL2092" t="s">
        <v>8334</v>
      </c>
      <c r="AM2092" t="s">
        <v>291</v>
      </c>
      <c r="AN2092" t="s">
        <v>8335</v>
      </c>
      <c r="AO2092" t="s">
        <v>74</v>
      </c>
      <c r="AP2092" t="s">
        <v>35737</v>
      </c>
      <c r="AQ2092" t="s">
        <v>74</v>
      </c>
      <c r="AR2092" t="s">
        <v>35738</v>
      </c>
      <c r="AS2092" t="s">
        <v>35739</v>
      </c>
      <c r="AT2092" t="s">
        <v>35740</v>
      </c>
      <c r="AU2092">
        <v>2024</v>
      </c>
      <c r="AV2092">
        <v>5</v>
      </c>
      <c r="AW2092">
        <v>3</v>
      </c>
      <c r="AX2092" t="s">
        <v>74</v>
      </c>
      <c r="AY2092" t="s">
        <v>74</v>
      </c>
      <c r="AZ2092" t="s">
        <v>74</v>
      </c>
      <c r="BA2092" t="s">
        <v>74</v>
      </c>
      <c r="BB2092">
        <v>199</v>
      </c>
      <c r="BC2092">
        <v>207</v>
      </c>
      <c r="BD2092" t="s">
        <v>74</v>
      </c>
      <c r="BE2092" t="s">
        <v>35741</v>
      </c>
      <c r="BF2092" t="str">
        <f>HYPERLINK("http://dx.doi.org/10.1093/ehjdh/ztae009","http://dx.doi.org/10.1093/ehjdh/ztae009")</f>
        <v>http://dx.doi.org/10.1093/ehjdh/ztae009</v>
      </c>
      <c r="BG2092" t="s">
        <v>74</v>
      </c>
      <c r="BH2092" t="s">
        <v>123</v>
      </c>
      <c r="BI2092">
        <v>9</v>
      </c>
      <c r="BJ2092" t="s">
        <v>11988</v>
      </c>
      <c r="BK2092" t="s">
        <v>125</v>
      </c>
      <c r="BL2092" t="s">
        <v>3844</v>
      </c>
      <c r="BM2092" t="s">
        <v>35742</v>
      </c>
      <c r="BN2092">
        <v>38774369</v>
      </c>
      <c r="BO2092" t="s">
        <v>35743</v>
      </c>
      <c r="BP2092" t="s">
        <v>74</v>
      </c>
      <c r="BQ2092" t="s">
        <v>74</v>
      </c>
      <c r="BR2092" t="s">
        <v>102</v>
      </c>
      <c r="BS2092" t="s">
        <v>35744</v>
      </c>
      <c r="BT2092" t="str">
        <f>HYPERLINK("https%3A%2F%2Fwww.webofscience.com%2Fwos%2Fwoscc%2Ffull-record%2FWOS:001175531300001","View Full Record in Web of Science")</f>
        <v>View Full Record in Web of Science</v>
      </c>
    </row>
    <row r="2093" spans="1:72" x14ac:dyDescent="0.35">
      <c r="A2093" t="s">
        <v>72</v>
      </c>
      <c r="B2093" t="s">
        <v>35745</v>
      </c>
      <c r="C2093" t="s">
        <v>74</v>
      </c>
      <c r="D2093" t="s">
        <v>74</v>
      </c>
      <c r="E2093" t="s">
        <v>74</v>
      </c>
      <c r="F2093" t="s">
        <v>35746</v>
      </c>
      <c r="G2093" t="s">
        <v>74</v>
      </c>
      <c r="H2093" t="s">
        <v>74</v>
      </c>
      <c r="I2093" t="s">
        <v>35747</v>
      </c>
      <c r="J2093" t="s">
        <v>35748</v>
      </c>
      <c r="K2093" t="s">
        <v>74</v>
      </c>
      <c r="L2093" t="s">
        <v>74</v>
      </c>
      <c r="M2093" t="s">
        <v>78</v>
      </c>
      <c r="N2093" t="s">
        <v>79</v>
      </c>
      <c r="O2093" t="s">
        <v>74</v>
      </c>
      <c r="P2093" t="s">
        <v>74</v>
      </c>
      <c r="Q2093" t="s">
        <v>74</v>
      </c>
      <c r="R2093" t="s">
        <v>74</v>
      </c>
      <c r="S2093" t="s">
        <v>74</v>
      </c>
      <c r="T2093" t="s">
        <v>35749</v>
      </c>
      <c r="U2093" t="s">
        <v>35750</v>
      </c>
      <c r="V2093" t="s">
        <v>35751</v>
      </c>
      <c r="W2093" t="s">
        <v>35752</v>
      </c>
      <c r="X2093" t="s">
        <v>35753</v>
      </c>
      <c r="Y2093" t="s">
        <v>35754</v>
      </c>
      <c r="Z2093" t="s">
        <v>35755</v>
      </c>
      <c r="AA2093" t="s">
        <v>74</v>
      </c>
      <c r="AB2093" t="s">
        <v>35756</v>
      </c>
      <c r="AC2093" t="s">
        <v>74</v>
      </c>
      <c r="AD2093" t="s">
        <v>74</v>
      </c>
      <c r="AE2093" t="s">
        <v>74</v>
      </c>
      <c r="AF2093" t="s">
        <v>74</v>
      </c>
      <c r="AG2093">
        <v>73</v>
      </c>
      <c r="AH2093">
        <v>0</v>
      </c>
      <c r="AI2093">
        <v>0</v>
      </c>
      <c r="AJ2093">
        <v>39</v>
      </c>
      <c r="AK2093">
        <v>83</v>
      </c>
      <c r="AL2093" t="s">
        <v>24497</v>
      </c>
      <c r="AM2093" t="s">
        <v>24498</v>
      </c>
      <c r="AN2093" t="s">
        <v>24499</v>
      </c>
      <c r="AO2093" t="s">
        <v>35757</v>
      </c>
      <c r="AP2093" t="s">
        <v>35758</v>
      </c>
      <c r="AQ2093" t="s">
        <v>74</v>
      </c>
      <c r="AR2093" t="s">
        <v>35759</v>
      </c>
      <c r="AS2093" t="s">
        <v>35760</v>
      </c>
      <c r="AT2093" t="s">
        <v>17619</v>
      </c>
      <c r="AU2093">
        <v>2024</v>
      </c>
      <c r="AV2093" t="s">
        <v>74</v>
      </c>
      <c r="AW2093" t="s">
        <v>74</v>
      </c>
      <c r="AX2093" t="s">
        <v>74</v>
      </c>
      <c r="AY2093" t="s">
        <v>74</v>
      </c>
      <c r="AZ2093" t="s">
        <v>74</v>
      </c>
      <c r="BA2093" t="s">
        <v>74</v>
      </c>
      <c r="BB2093" t="s">
        <v>74</v>
      </c>
      <c r="BC2093" t="s">
        <v>74</v>
      </c>
      <c r="BD2093" t="s">
        <v>74</v>
      </c>
      <c r="BE2093" t="s">
        <v>35761</v>
      </c>
      <c r="BF2093" t="str">
        <f>HYPERLINK("http://dx.doi.org/10.1287/isre.2022.0595","http://dx.doi.org/10.1287/isre.2022.0595")</f>
        <v>http://dx.doi.org/10.1287/isre.2022.0595</v>
      </c>
      <c r="BG2093" t="s">
        <v>74</v>
      </c>
      <c r="BH2093" t="s">
        <v>1377</v>
      </c>
      <c r="BI2093">
        <v>18</v>
      </c>
      <c r="BJ2093" t="s">
        <v>23262</v>
      </c>
      <c r="BK2093" t="s">
        <v>99</v>
      </c>
      <c r="BL2093" t="s">
        <v>23263</v>
      </c>
      <c r="BM2093" t="s">
        <v>35762</v>
      </c>
      <c r="BN2093" t="s">
        <v>74</v>
      </c>
      <c r="BO2093" t="s">
        <v>74</v>
      </c>
      <c r="BP2093" t="s">
        <v>74</v>
      </c>
      <c r="BQ2093" t="s">
        <v>74</v>
      </c>
      <c r="BR2093" t="s">
        <v>102</v>
      </c>
      <c r="BS2093" t="s">
        <v>35763</v>
      </c>
      <c r="BT2093" t="str">
        <f>HYPERLINK("https%3A%2F%2Fwww.webofscience.com%2Fwos%2Fwoscc%2Ffull-record%2FWOS:001137632900001","View Full Record in Web of Science")</f>
        <v>View Full Record in Web of Science</v>
      </c>
    </row>
    <row r="2094" spans="1:72" x14ac:dyDescent="0.35">
      <c r="A2094" t="s">
        <v>128</v>
      </c>
      <c r="B2094" t="s">
        <v>35764</v>
      </c>
      <c r="C2094" t="s">
        <v>35765</v>
      </c>
      <c r="D2094" t="s">
        <v>35766</v>
      </c>
      <c r="E2094" t="s">
        <v>74</v>
      </c>
      <c r="F2094" t="s">
        <v>35767</v>
      </c>
      <c r="G2094" t="s">
        <v>35765</v>
      </c>
      <c r="H2094" t="s">
        <v>74</v>
      </c>
      <c r="I2094" t="s">
        <v>35768</v>
      </c>
      <c r="J2094" t="s">
        <v>35769</v>
      </c>
      <c r="K2094" t="s">
        <v>74</v>
      </c>
      <c r="L2094" t="s">
        <v>74</v>
      </c>
      <c r="M2094" t="s">
        <v>78</v>
      </c>
      <c r="N2094" t="s">
        <v>135</v>
      </c>
      <c r="O2094" t="s">
        <v>35770</v>
      </c>
      <c r="P2094" t="s">
        <v>35771</v>
      </c>
      <c r="Q2094" t="s">
        <v>631</v>
      </c>
      <c r="R2094" t="s">
        <v>35772</v>
      </c>
      <c r="S2094" t="s">
        <v>74</v>
      </c>
      <c r="T2094" t="s">
        <v>35773</v>
      </c>
      <c r="U2094" t="s">
        <v>12117</v>
      </c>
      <c r="V2094" t="s">
        <v>35774</v>
      </c>
      <c r="W2094" t="s">
        <v>35775</v>
      </c>
      <c r="X2094" t="s">
        <v>35776</v>
      </c>
      <c r="Y2094" t="s">
        <v>35777</v>
      </c>
      <c r="Z2094" t="s">
        <v>35778</v>
      </c>
      <c r="AA2094" t="s">
        <v>35779</v>
      </c>
      <c r="AB2094" t="s">
        <v>35780</v>
      </c>
      <c r="AC2094" t="s">
        <v>35781</v>
      </c>
      <c r="AD2094" t="s">
        <v>35782</v>
      </c>
      <c r="AE2094" t="s">
        <v>35783</v>
      </c>
      <c r="AF2094" t="s">
        <v>74</v>
      </c>
      <c r="AG2094">
        <v>30</v>
      </c>
      <c r="AH2094">
        <v>0</v>
      </c>
      <c r="AI2094">
        <v>0</v>
      </c>
      <c r="AJ2094">
        <v>1</v>
      </c>
      <c r="AK2094">
        <v>8</v>
      </c>
      <c r="AL2094" t="s">
        <v>718</v>
      </c>
      <c r="AM2094" t="s">
        <v>666</v>
      </c>
      <c r="AN2094" t="s">
        <v>719</v>
      </c>
      <c r="AO2094" t="s">
        <v>74</v>
      </c>
      <c r="AP2094" t="s">
        <v>74</v>
      </c>
      <c r="AQ2094" t="s">
        <v>35784</v>
      </c>
      <c r="AR2094" t="s">
        <v>74</v>
      </c>
      <c r="AS2094" t="s">
        <v>74</v>
      </c>
      <c r="AT2094" t="s">
        <v>74</v>
      </c>
      <c r="AU2094">
        <v>2021</v>
      </c>
      <c r="AV2094" t="s">
        <v>74</v>
      </c>
      <c r="AW2094" t="s">
        <v>74</v>
      </c>
      <c r="AX2094" t="s">
        <v>74</v>
      </c>
      <c r="AY2094" t="s">
        <v>74</v>
      </c>
      <c r="AZ2094" t="s">
        <v>74</v>
      </c>
      <c r="BA2094" t="s">
        <v>74</v>
      </c>
      <c r="BB2094">
        <v>423</v>
      </c>
      <c r="BC2094">
        <v>427</v>
      </c>
      <c r="BD2094" t="s">
        <v>74</v>
      </c>
      <c r="BE2094" t="s">
        <v>35785</v>
      </c>
      <c r="BF2094" t="str">
        <f>HYPERLINK("http://dx.doi.org/10.1145/3486011.3486486","http://dx.doi.org/10.1145/3486011.3486486")</f>
        <v>http://dx.doi.org/10.1145/3486011.3486486</v>
      </c>
      <c r="BG2094" t="s">
        <v>74</v>
      </c>
      <c r="BH2094" t="s">
        <v>74</v>
      </c>
      <c r="BI2094">
        <v>5</v>
      </c>
      <c r="BJ2094" t="s">
        <v>74</v>
      </c>
      <c r="BK2094" t="s">
        <v>723</v>
      </c>
      <c r="BL2094" t="s">
        <v>74</v>
      </c>
      <c r="BM2094" t="s">
        <v>35786</v>
      </c>
      <c r="BN2094" t="s">
        <v>74</v>
      </c>
      <c r="BO2094" t="s">
        <v>74</v>
      </c>
      <c r="BP2094" t="s">
        <v>74</v>
      </c>
      <c r="BQ2094" t="s">
        <v>74</v>
      </c>
      <c r="BR2094" t="s">
        <v>102</v>
      </c>
      <c r="BS2094" t="s">
        <v>35787</v>
      </c>
      <c r="BT2094" t="str">
        <f>HYPERLINK("https%3A%2F%2Fwww.webofscience.com%2Fwos%2Fwoscc%2Ffull-record%2FWOS:000786466100077","View Full Record in Web of Science")</f>
        <v>View Full Record in Web of Science</v>
      </c>
    </row>
    <row r="2095" spans="1:72" x14ac:dyDescent="0.35">
      <c r="A2095" t="s">
        <v>72</v>
      </c>
      <c r="B2095" t="s">
        <v>35788</v>
      </c>
      <c r="C2095" t="s">
        <v>74</v>
      </c>
      <c r="D2095" t="s">
        <v>74</v>
      </c>
      <c r="E2095" t="s">
        <v>74</v>
      </c>
      <c r="F2095" t="s">
        <v>35789</v>
      </c>
      <c r="G2095" t="s">
        <v>74</v>
      </c>
      <c r="H2095" t="s">
        <v>74</v>
      </c>
      <c r="I2095" t="s">
        <v>35790</v>
      </c>
      <c r="J2095" t="s">
        <v>19756</v>
      </c>
      <c r="K2095" t="s">
        <v>74</v>
      </c>
      <c r="L2095" t="s">
        <v>74</v>
      </c>
      <c r="M2095" t="s">
        <v>78</v>
      </c>
      <c r="N2095" t="s">
        <v>108</v>
      </c>
      <c r="O2095" t="s">
        <v>74</v>
      </c>
      <c r="P2095" t="s">
        <v>74</v>
      </c>
      <c r="Q2095" t="s">
        <v>74</v>
      </c>
      <c r="R2095" t="s">
        <v>74</v>
      </c>
      <c r="S2095" t="s">
        <v>74</v>
      </c>
      <c r="T2095" t="s">
        <v>35791</v>
      </c>
      <c r="U2095" t="s">
        <v>74</v>
      </c>
      <c r="V2095" t="s">
        <v>35792</v>
      </c>
      <c r="W2095" t="s">
        <v>35793</v>
      </c>
      <c r="X2095" t="s">
        <v>8829</v>
      </c>
      <c r="Y2095" t="s">
        <v>35794</v>
      </c>
      <c r="Z2095" t="s">
        <v>35795</v>
      </c>
      <c r="AA2095" t="s">
        <v>74</v>
      </c>
      <c r="AB2095" t="s">
        <v>35796</v>
      </c>
      <c r="AC2095" t="s">
        <v>35797</v>
      </c>
      <c r="AD2095" t="s">
        <v>35797</v>
      </c>
      <c r="AE2095" t="s">
        <v>35798</v>
      </c>
      <c r="AF2095" t="s">
        <v>74</v>
      </c>
      <c r="AG2095">
        <v>50</v>
      </c>
      <c r="AH2095">
        <v>3</v>
      </c>
      <c r="AI2095">
        <v>3</v>
      </c>
      <c r="AJ2095">
        <v>2</v>
      </c>
      <c r="AK2095">
        <v>4</v>
      </c>
      <c r="AL2095" t="s">
        <v>88</v>
      </c>
      <c r="AM2095" t="s">
        <v>89</v>
      </c>
      <c r="AN2095" t="s">
        <v>90</v>
      </c>
      <c r="AO2095" t="s">
        <v>19765</v>
      </c>
      <c r="AP2095" t="s">
        <v>19766</v>
      </c>
      <c r="AQ2095" t="s">
        <v>74</v>
      </c>
      <c r="AR2095" t="s">
        <v>19767</v>
      </c>
      <c r="AS2095" t="s">
        <v>19768</v>
      </c>
      <c r="AT2095" t="s">
        <v>498</v>
      </c>
      <c r="AU2095">
        <v>2024</v>
      </c>
      <c r="AV2095">
        <v>28</v>
      </c>
      <c r="AW2095">
        <v>3</v>
      </c>
      <c r="AX2095" t="s">
        <v>74</v>
      </c>
      <c r="AY2095" t="s">
        <v>74</v>
      </c>
      <c r="AZ2095" t="s">
        <v>456</v>
      </c>
      <c r="BA2095" t="s">
        <v>74</v>
      </c>
      <c r="BB2095">
        <v>425</v>
      </c>
      <c r="BC2095">
        <v>442</v>
      </c>
      <c r="BD2095" t="s">
        <v>74</v>
      </c>
      <c r="BE2095" t="s">
        <v>35799</v>
      </c>
      <c r="BF2095" t="str">
        <f>HYPERLINK("http://dx.doi.org/10.1080/10894160.2023.2275718","http://dx.doi.org/10.1080/10894160.2023.2275718")</f>
        <v>http://dx.doi.org/10.1080/10894160.2023.2275718</v>
      </c>
      <c r="BG2095" t="s">
        <v>74</v>
      </c>
      <c r="BH2095" t="s">
        <v>207</v>
      </c>
      <c r="BI2095">
        <v>18</v>
      </c>
      <c r="BJ2095" t="s">
        <v>98</v>
      </c>
      <c r="BK2095" t="s">
        <v>125</v>
      </c>
      <c r="BL2095" t="s">
        <v>100</v>
      </c>
      <c r="BM2095" t="s">
        <v>35800</v>
      </c>
      <c r="BN2095">
        <v>37927107</v>
      </c>
      <c r="BO2095" t="s">
        <v>74</v>
      </c>
      <c r="BP2095" t="s">
        <v>74</v>
      </c>
      <c r="BQ2095" t="s">
        <v>74</v>
      </c>
      <c r="BR2095" t="s">
        <v>102</v>
      </c>
      <c r="BS2095" t="s">
        <v>35801</v>
      </c>
      <c r="BT2095" t="str">
        <f>HYPERLINK("https%3A%2F%2Fwww.webofscience.com%2Fwos%2Fwoscc%2Ffull-record%2FWOS:001095613700001","View Full Record in Web of Science")</f>
        <v>View Full Record in Web of Science</v>
      </c>
    </row>
    <row r="2096" spans="1:72" x14ac:dyDescent="0.35">
      <c r="A2096" t="s">
        <v>72</v>
      </c>
      <c r="B2096" t="s">
        <v>35802</v>
      </c>
      <c r="C2096" t="s">
        <v>74</v>
      </c>
      <c r="D2096" t="s">
        <v>74</v>
      </c>
      <c r="E2096" t="s">
        <v>74</v>
      </c>
      <c r="F2096" t="s">
        <v>35803</v>
      </c>
      <c r="G2096" t="s">
        <v>74</v>
      </c>
      <c r="H2096" t="s">
        <v>74</v>
      </c>
      <c r="I2096" t="s">
        <v>35804</v>
      </c>
      <c r="J2096" t="s">
        <v>35805</v>
      </c>
      <c r="K2096" t="s">
        <v>74</v>
      </c>
      <c r="L2096" t="s">
        <v>74</v>
      </c>
      <c r="M2096" t="s">
        <v>78</v>
      </c>
      <c r="N2096" t="s">
        <v>108</v>
      </c>
      <c r="O2096" t="s">
        <v>74</v>
      </c>
      <c r="P2096" t="s">
        <v>74</v>
      </c>
      <c r="Q2096" t="s">
        <v>74</v>
      </c>
      <c r="R2096" t="s">
        <v>74</v>
      </c>
      <c r="S2096" t="s">
        <v>74</v>
      </c>
      <c r="T2096" t="s">
        <v>35806</v>
      </c>
      <c r="U2096" t="s">
        <v>74</v>
      </c>
      <c r="V2096" t="s">
        <v>35807</v>
      </c>
      <c r="W2096" t="s">
        <v>35808</v>
      </c>
      <c r="X2096" t="s">
        <v>35809</v>
      </c>
      <c r="Y2096" t="s">
        <v>35810</v>
      </c>
      <c r="Z2096" t="s">
        <v>35811</v>
      </c>
      <c r="AA2096" t="s">
        <v>35812</v>
      </c>
      <c r="AB2096" t="s">
        <v>74</v>
      </c>
      <c r="AC2096" t="s">
        <v>35813</v>
      </c>
      <c r="AD2096" t="s">
        <v>32238</v>
      </c>
      <c r="AE2096" t="s">
        <v>35814</v>
      </c>
      <c r="AF2096" t="s">
        <v>74</v>
      </c>
      <c r="AG2096">
        <v>33</v>
      </c>
      <c r="AH2096">
        <v>5</v>
      </c>
      <c r="AI2096">
        <v>5</v>
      </c>
      <c r="AJ2096">
        <v>0</v>
      </c>
      <c r="AK2096">
        <v>24</v>
      </c>
      <c r="AL2096" t="s">
        <v>22986</v>
      </c>
      <c r="AM2096" t="s">
        <v>227</v>
      </c>
      <c r="AN2096" t="s">
        <v>22987</v>
      </c>
      <c r="AO2096" t="s">
        <v>35815</v>
      </c>
      <c r="AP2096" t="s">
        <v>35816</v>
      </c>
      <c r="AQ2096" t="s">
        <v>74</v>
      </c>
      <c r="AR2096" t="s">
        <v>35817</v>
      </c>
      <c r="AS2096" t="s">
        <v>35818</v>
      </c>
      <c r="AT2096" t="s">
        <v>745</v>
      </c>
      <c r="AU2096">
        <v>2022</v>
      </c>
      <c r="AV2096">
        <v>37</v>
      </c>
      <c r="AW2096">
        <v>5</v>
      </c>
      <c r="AX2096" t="s">
        <v>74</v>
      </c>
      <c r="AY2096" t="s">
        <v>74</v>
      </c>
      <c r="AZ2096" t="s">
        <v>456</v>
      </c>
      <c r="BA2096" t="s">
        <v>74</v>
      </c>
      <c r="BB2096">
        <v>3006</v>
      </c>
      <c r="BC2096">
        <v>3024</v>
      </c>
      <c r="BD2096" t="s">
        <v>74</v>
      </c>
      <c r="BE2096" t="s">
        <v>35819</v>
      </c>
      <c r="BF2096" t="str">
        <f>HYPERLINK("http://dx.doi.org/10.1002/int.22827","http://dx.doi.org/10.1002/int.22827")</f>
        <v>http://dx.doi.org/10.1002/int.22827</v>
      </c>
      <c r="BG2096" t="s">
        <v>74</v>
      </c>
      <c r="BH2096" t="s">
        <v>2076</v>
      </c>
      <c r="BI2096">
        <v>19</v>
      </c>
      <c r="BJ2096" t="s">
        <v>4250</v>
      </c>
      <c r="BK2096" t="s">
        <v>209</v>
      </c>
      <c r="BL2096" t="s">
        <v>210</v>
      </c>
      <c r="BM2096" t="s">
        <v>35820</v>
      </c>
      <c r="BN2096" t="s">
        <v>74</v>
      </c>
      <c r="BO2096" t="s">
        <v>5678</v>
      </c>
      <c r="BP2096" t="s">
        <v>74</v>
      </c>
      <c r="BQ2096" t="s">
        <v>74</v>
      </c>
      <c r="BR2096" t="s">
        <v>102</v>
      </c>
      <c r="BS2096" t="s">
        <v>35821</v>
      </c>
      <c r="BT2096" t="str">
        <f>HYPERLINK("https%3A%2F%2Fwww.webofscience.com%2Fwos%2Fwoscc%2Ffull-record%2FWOS:000743082500001","View Full Record in Web of Science")</f>
        <v>View Full Record in Web of Science</v>
      </c>
    </row>
    <row r="2097" spans="1:72" x14ac:dyDescent="0.35">
      <c r="A2097" t="s">
        <v>72</v>
      </c>
      <c r="B2097" t="s">
        <v>35822</v>
      </c>
      <c r="C2097" t="s">
        <v>74</v>
      </c>
      <c r="D2097" t="s">
        <v>74</v>
      </c>
      <c r="E2097" t="s">
        <v>74</v>
      </c>
      <c r="F2097" t="s">
        <v>35823</v>
      </c>
      <c r="G2097" t="s">
        <v>74</v>
      </c>
      <c r="H2097" t="s">
        <v>74</v>
      </c>
      <c r="I2097" t="s">
        <v>35824</v>
      </c>
      <c r="J2097" t="s">
        <v>35825</v>
      </c>
      <c r="K2097" t="s">
        <v>74</v>
      </c>
      <c r="L2097" t="s">
        <v>74</v>
      </c>
      <c r="M2097" t="s">
        <v>78</v>
      </c>
      <c r="N2097" t="s">
        <v>108</v>
      </c>
      <c r="O2097" t="s">
        <v>74</v>
      </c>
      <c r="P2097" t="s">
        <v>74</v>
      </c>
      <c r="Q2097" t="s">
        <v>74</v>
      </c>
      <c r="R2097" t="s">
        <v>74</v>
      </c>
      <c r="S2097" t="s">
        <v>74</v>
      </c>
      <c r="T2097" t="s">
        <v>35826</v>
      </c>
      <c r="U2097" t="s">
        <v>35827</v>
      </c>
      <c r="V2097" t="s">
        <v>35828</v>
      </c>
      <c r="W2097" t="s">
        <v>35829</v>
      </c>
      <c r="X2097" t="s">
        <v>35830</v>
      </c>
      <c r="Y2097" t="s">
        <v>35831</v>
      </c>
      <c r="Z2097" t="s">
        <v>35832</v>
      </c>
      <c r="AA2097" t="s">
        <v>35833</v>
      </c>
      <c r="AB2097" t="s">
        <v>35834</v>
      </c>
      <c r="AC2097" t="s">
        <v>35835</v>
      </c>
      <c r="AD2097" t="s">
        <v>35836</v>
      </c>
      <c r="AE2097" t="s">
        <v>35837</v>
      </c>
      <c r="AF2097" t="s">
        <v>74</v>
      </c>
      <c r="AG2097">
        <v>44</v>
      </c>
      <c r="AH2097">
        <v>0</v>
      </c>
      <c r="AI2097">
        <v>0</v>
      </c>
      <c r="AJ2097">
        <v>4</v>
      </c>
      <c r="AK2097">
        <v>20</v>
      </c>
      <c r="AL2097" t="s">
        <v>516</v>
      </c>
      <c r="AM2097" t="s">
        <v>517</v>
      </c>
      <c r="AN2097" t="s">
        <v>518</v>
      </c>
      <c r="AO2097" t="s">
        <v>35838</v>
      </c>
      <c r="AP2097" t="s">
        <v>35839</v>
      </c>
      <c r="AQ2097" t="s">
        <v>74</v>
      </c>
      <c r="AR2097" t="s">
        <v>35840</v>
      </c>
      <c r="AS2097" t="s">
        <v>35841</v>
      </c>
      <c r="AT2097" t="s">
        <v>7454</v>
      </c>
      <c r="AU2097">
        <v>2022</v>
      </c>
      <c r="AV2097">
        <v>302</v>
      </c>
      <c r="AW2097">
        <v>1</v>
      </c>
      <c r="AX2097" t="s">
        <v>74</v>
      </c>
      <c r="AY2097" t="s">
        <v>74</v>
      </c>
      <c r="AZ2097" t="s">
        <v>74</v>
      </c>
      <c r="BA2097" t="s">
        <v>74</v>
      </c>
      <c r="BB2097">
        <v>130</v>
      </c>
      <c r="BC2097">
        <v>143</v>
      </c>
      <c r="BD2097" t="s">
        <v>74</v>
      </c>
      <c r="BE2097" t="s">
        <v>35842</v>
      </c>
      <c r="BF2097" t="str">
        <f>HYPERLINK("http://dx.doi.org/10.1016/j.ejor.2021.12.007","http://dx.doi.org/10.1016/j.ejor.2021.12.007")</f>
        <v>http://dx.doi.org/10.1016/j.ejor.2021.12.007</v>
      </c>
      <c r="BG2097" t="s">
        <v>74</v>
      </c>
      <c r="BH2097" t="s">
        <v>9082</v>
      </c>
      <c r="BI2097">
        <v>14</v>
      </c>
      <c r="BJ2097" t="s">
        <v>35843</v>
      </c>
      <c r="BK2097" t="s">
        <v>209</v>
      </c>
      <c r="BL2097" t="s">
        <v>35844</v>
      </c>
      <c r="BM2097" t="s">
        <v>35845</v>
      </c>
      <c r="BN2097" t="s">
        <v>74</v>
      </c>
      <c r="BO2097" t="s">
        <v>74</v>
      </c>
      <c r="BP2097" t="s">
        <v>74</v>
      </c>
      <c r="BQ2097" t="s">
        <v>74</v>
      </c>
      <c r="BR2097" t="s">
        <v>102</v>
      </c>
      <c r="BS2097" t="s">
        <v>35846</v>
      </c>
      <c r="BT2097" t="str">
        <f>HYPERLINK("https%3A%2F%2Fwww.webofscience.com%2Fwos%2Fwoscc%2Ffull-record%2FWOS:000804759900008","View Full Record in Web of Science")</f>
        <v>View Full Record in Web of Science</v>
      </c>
    </row>
    <row r="2098" spans="1:72" x14ac:dyDescent="0.35">
      <c r="A2098" t="s">
        <v>72</v>
      </c>
      <c r="B2098" t="s">
        <v>35847</v>
      </c>
      <c r="C2098" t="s">
        <v>74</v>
      </c>
      <c r="D2098" t="s">
        <v>74</v>
      </c>
      <c r="E2098" t="s">
        <v>74</v>
      </c>
      <c r="F2098" t="s">
        <v>35848</v>
      </c>
      <c r="G2098" t="s">
        <v>74</v>
      </c>
      <c r="H2098" t="s">
        <v>74</v>
      </c>
      <c r="I2098" t="s">
        <v>35849</v>
      </c>
      <c r="J2098" t="s">
        <v>35850</v>
      </c>
      <c r="K2098" t="s">
        <v>74</v>
      </c>
      <c r="L2098" t="s">
        <v>74</v>
      </c>
      <c r="M2098" t="s">
        <v>78</v>
      </c>
      <c r="N2098" t="s">
        <v>108</v>
      </c>
      <c r="O2098" t="s">
        <v>74</v>
      </c>
      <c r="P2098" t="s">
        <v>74</v>
      </c>
      <c r="Q2098" t="s">
        <v>74</v>
      </c>
      <c r="R2098" t="s">
        <v>74</v>
      </c>
      <c r="S2098" t="s">
        <v>74</v>
      </c>
      <c r="T2098" t="s">
        <v>35851</v>
      </c>
      <c r="U2098" t="s">
        <v>35852</v>
      </c>
      <c r="V2098" t="s">
        <v>35853</v>
      </c>
      <c r="W2098" t="s">
        <v>35854</v>
      </c>
      <c r="X2098" t="s">
        <v>35855</v>
      </c>
      <c r="Y2098" t="s">
        <v>35856</v>
      </c>
      <c r="Z2098" t="s">
        <v>35857</v>
      </c>
      <c r="AA2098" t="s">
        <v>35858</v>
      </c>
      <c r="AB2098" t="s">
        <v>35859</v>
      </c>
      <c r="AC2098" t="s">
        <v>74</v>
      </c>
      <c r="AD2098" t="s">
        <v>74</v>
      </c>
      <c r="AE2098" t="s">
        <v>74</v>
      </c>
      <c r="AF2098" t="s">
        <v>74</v>
      </c>
      <c r="AG2098">
        <v>100</v>
      </c>
      <c r="AH2098">
        <v>0</v>
      </c>
      <c r="AI2098">
        <v>0</v>
      </c>
      <c r="AJ2098">
        <v>29</v>
      </c>
      <c r="AK2098">
        <v>29</v>
      </c>
      <c r="AL2098" t="s">
        <v>11809</v>
      </c>
      <c r="AM2098" t="s">
        <v>2853</v>
      </c>
      <c r="AN2098" t="s">
        <v>11810</v>
      </c>
      <c r="AO2098" t="s">
        <v>35860</v>
      </c>
      <c r="AP2098" t="s">
        <v>35861</v>
      </c>
      <c r="AQ2098" t="s">
        <v>74</v>
      </c>
      <c r="AR2098" t="s">
        <v>35862</v>
      </c>
      <c r="AS2098" t="s">
        <v>35863</v>
      </c>
      <c r="AT2098" t="s">
        <v>594</v>
      </c>
      <c r="AU2098">
        <v>2024</v>
      </c>
      <c r="AV2098">
        <v>153</v>
      </c>
      <c r="AW2098">
        <v>10</v>
      </c>
      <c r="AX2098" t="s">
        <v>74</v>
      </c>
      <c r="AY2098" t="s">
        <v>74</v>
      </c>
      <c r="AZ2098" t="s">
        <v>74</v>
      </c>
      <c r="BA2098" t="s">
        <v>74</v>
      </c>
      <c r="BB2098">
        <v>2409</v>
      </c>
      <c r="BC2098">
        <v>2426</v>
      </c>
      <c r="BD2098" t="s">
        <v>74</v>
      </c>
      <c r="BE2098" t="s">
        <v>35864</v>
      </c>
      <c r="BF2098" t="str">
        <f>HYPERLINK("http://dx.doi.org/10.1037/xge0001639","http://dx.doi.org/10.1037/xge0001639")</f>
        <v>http://dx.doi.org/10.1037/xge0001639</v>
      </c>
      <c r="BG2098" t="s">
        <v>74</v>
      </c>
      <c r="BH2098" t="s">
        <v>2444</v>
      </c>
      <c r="BI2098">
        <v>18</v>
      </c>
      <c r="BJ2098" t="s">
        <v>525</v>
      </c>
      <c r="BK2098" t="s">
        <v>99</v>
      </c>
      <c r="BL2098" t="s">
        <v>301</v>
      </c>
      <c r="BM2098" t="s">
        <v>35865</v>
      </c>
      <c r="BN2098">
        <v>39158465</v>
      </c>
      <c r="BO2098" t="s">
        <v>74</v>
      </c>
      <c r="BP2098" t="s">
        <v>74</v>
      </c>
      <c r="BQ2098" t="s">
        <v>74</v>
      </c>
      <c r="BR2098" t="s">
        <v>102</v>
      </c>
      <c r="BS2098" t="s">
        <v>35866</v>
      </c>
      <c r="BT2098" t="str">
        <f>HYPERLINK("https%3A%2F%2Fwww.webofscience.com%2Fwos%2Fwoscc%2Ffull-record%2FWOS:001300938300001","View Full Record in Web of Science")</f>
        <v>View Full Record in Web of Science</v>
      </c>
    </row>
    <row r="2099" spans="1:72" x14ac:dyDescent="0.35">
      <c r="A2099" t="s">
        <v>72</v>
      </c>
      <c r="B2099" t="s">
        <v>35867</v>
      </c>
      <c r="C2099" t="s">
        <v>74</v>
      </c>
      <c r="D2099" t="s">
        <v>74</v>
      </c>
      <c r="E2099" t="s">
        <v>74</v>
      </c>
      <c r="F2099" t="s">
        <v>35868</v>
      </c>
      <c r="G2099" t="s">
        <v>74</v>
      </c>
      <c r="H2099" t="s">
        <v>74</v>
      </c>
      <c r="I2099" t="s">
        <v>35869</v>
      </c>
      <c r="J2099" t="s">
        <v>35870</v>
      </c>
      <c r="K2099" t="s">
        <v>74</v>
      </c>
      <c r="L2099" t="s">
        <v>74</v>
      </c>
      <c r="M2099" t="s">
        <v>78</v>
      </c>
      <c r="N2099" t="s">
        <v>108</v>
      </c>
      <c r="O2099" t="s">
        <v>74</v>
      </c>
      <c r="P2099" t="s">
        <v>74</v>
      </c>
      <c r="Q2099" t="s">
        <v>74</v>
      </c>
      <c r="R2099" t="s">
        <v>74</v>
      </c>
      <c r="S2099" t="s">
        <v>74</v>
      </c>
      <c r="T2099" t="s">
        <v>35871</v>
      </c>
      <c r="U2099" t="s">
        <v>2183</v>
      </c>
      <c r="V2099" t="s">
        <v>35872</v>
      </c>
      <c r="W2099" t="s">
        <v>35873</v>
      </c>
      <c r="X2099" t="s">
        <v>35874</v>
      </c>
      <c r="Y2099" t="s">
        <v>35875</v>
      </c>
      <c r="Z2099" t="s">
        <v>35876</v>
      </c>
      <c r="AA2099" t="s">
        <v>35877</v>
      </c>
      <c r="AB2099" t="s">
        <v>35878</v>
      </c>
      <c r="AC2099" t="s">
        <v>35879</v>
      </c>
      <c r="AD2099" t="s">
        <v>35880</v>
      </c>
      <c r="AE2099" t="s">
        <v>35881</v>
      </c>
      <c r="AF2099" t="s">
        <v>74</v>
      </c>
      <c r="AG2099">
        <v>27</v>
      </c>
      <c r="AH2099">
        <v>0</v>
      </c>
      <c r="AI2099">
        <v>0</v>
      </c>
      <c r="AJ2099">
        <v>2</v>
      </c>
      <c r="AK2099">
        <v>12</v>
      </c>
      <c r="AL2099" t="s">
        <v>665</v>
      </c>
      <c r="AM2099" t="s">
        <v>666</v>
      </c>
      <c r="AN2099" t="s">
        <v>667</v>
      </c>
      <c r="AO2099" t="s">
        <v>35882</v>
      </c>
      <c r="AP2099" t="s">
        <v>35883</v>
      </c>
      <c r="AQ2099" t="s">
        <v>74</v>
      </c>
      <c r="AR2099" t="s">
        <v>35884</v>
      </c>
      <c r="AS2099" t="s">
        <v>35885</v>
      </c>
      <c r="AT2099" t="s">
        <v>178</v>
      </c>
      <c r="AU2099">
        <v>2024</v>
      </c>
      <c r="AV2099">
        <v>30</v>
      </c>
      <c r="AW2099">
        <v>1</v>
      </c>
      <c r="AX2099" t="s">
        <v>74</v>
      </c>
      <c r="AY2099" t="s">
        <v>74</v>
      </c>
      <c r="AZ2099" t="s">
        <v>74</v>
      </c>
      <c r="BA2099" t="s">
        <v>74</v>
      </c>
      <c r="BB2099" t="s">
        <v>74</v>
      </c>
      <c r="BC2099" t="s">
        <v>74</v>
      </c>
      <c r="BD2099">
        <v>58</v>
      </c>
      <c r="BE2099" t="s">
        <v>35886</v>
      </c>
      <c r="BF2099" t="str">
        <f>HYPERLINK("http://dx.doi.org/10.1007/s00530-023-01221-8","http://dx.doi.org/10.1007/s00530-023-01221-8")</f>
        <v>http://dx.doi.org/10.1007/s00530-023-01221-8</v>
      </c>
      <c r="BG2099" t="s">
        <v>74</v>
      </c>
      <c r="BH2099" t="s">
        <v>74</v>
      </c>
      <c r="BI2099">
        <v>10</v>
      </c>
      <c r="BJ2099" t="s">
        <v>5399</v>
      </c>
      <c r="BK2099" t="s">
        <v>209</v>
      </c>
      <c r="BL2099" t="s">
        <v>210</v>
      </c>
      <c r="BM2099" t="s">
        <v>35887</v>
      </c>
      <c r="BN2099" t="s">
        <v>74</v>
      </c>
      <c r="BO2099" t="s">
        <v>156</v>
      </c>
      <c r="BP2099" t="s">
        <v>74</v>
      </c>
      <c r="BQ2099" t="s">
        <v>74</v>
      </c>
      <c r="BR2099" t="s">
        <v>102</v>
      </c>
      <c r="BS2099" t="s">
        <v>35888</v>
      </c>
      <c r="BT2099" t="str">
        <f>HYPERLINK("https%3A%2F%2Fwww.webofscience.com%2Fwos%2Fwoscc%2Ffull-record%2FWOS:001156050100002","View Full Record in Web of Science")</f>
        <v>View Full Record in Web of Science</v>
      </c>
    </row>
    <row r="2100" spans="1:72" x14ac:dyDescent="0.35">
      <c r="A2100" t="s">
        <v>72</v>
      </c>
      <c r="B2100" t="s">
        <v>35889</v>
      </c>
      <c r="C2100" t="s">
        <v>74</v>
      </c>
      <c r="D2100" t="s">
        <v>74</v>
      </c>
      <c r="E2100" t="s">
        <v>74</v>
      </c>
      <c r="F2100" t="s">
        <v>35890</v>
      </c>
      <c r="G2100" t="s">
        <v>74</v>
      </c>
      <c r="H2100" t="s">
        <v>74</v>
      </c>
      <c r="I2100" t="s">
        <v>35891</v>
      </c>
      <c r="J2100" t="s">
        <v>216</v>
      </c>
      <c r="K2100" t="s">
        <v>74</v>
      </c>
      <c r="L2100" t="s">
        <v>74</v>
      </c>
      <c r="M2100" t="s">
        <v>78</v>
      </c>
      <c r="N2100" t="s">
        <v>108</v>
      </c>
      <c r="O2100" t="s">
        <v>74</v>
      </c>
      <c r="P2100" t="s">
        <v>74</v>
      </c>
      <c r="Q2100" t="s">
        <v>74</v>
      </c>
      <c r="R2100" t="s">
        <v>74</v>
      </c>
      <c r="S2100" t="s">
        <v>74</v>
      </c>
      <c r="T2100" t="s">
        <v>35892</v>
      </c>
      <c r="U2100" t="s">
        <v>74</v>
      </c>
      <c r="V2100" t="s">
        <v>35893</v>
      </c>
      <c r="W2100" t="s">
        <v>35894</v>
      </c>
      <c r="X2100" t="s">
        <v>35895</v>
      </c>
      <c r="Y2100" t="s">
        <v>35896</v>
      </c>
      <c r="Z2100" t="s">
        <v>35897</v>
      </c>
      <c r="AA2100" t="s">
        <v>35898</v>
      </c>
      <c r="AB2100" t="s">
        <v>35899</v>
      </c>
      <c r="AC2100" t="s">
        <v>35900</v>
      </c>
      <c r="AD2100" t="s">
        <v>35901</v>
      </c>
      <c r="AE2100" t="s">
        <v>35902</v>
      </c>
      <c r="AF2100" t="s">
        <v>74</v>
      </c>
      <c r="AG2100">
        <v>39</v>
      </c>
      <c r="AH2100">
        <v>2</v>
      </c>
      <c r="AI2100">
        <v>2</v>
      </c>
      <c r="AJ2100">
        <v>27</v>
      </c>
      <c r="AK2100">
        <v>31</v>
      </c>
      <c r="AL2100" t="s">
        <v>226</v>
      </c>
      <c r="AM2100" t="s">
        <v>227</v>
      </c>
      <c r="AN2100" t="s">
        <v>228</v>
      </c>
      <c r="AO2100" t="s">
        <v>229</v>
      </c>
      <c r="AP2100" t="s">
        <v>74</v>
      </c>
      <c r="AQ2100" t="s">
        <v>74</v>
      </c>
      <c r="AR2100" t="s">
        <v>230</v>
      </c>
      <c r="AS2100" t="s">
        <v>231</v>
      </c>
      <c r="AT2100" t="s">
        <v>930</v>
      </c>
      <c r="AU2100">
        <v>2024</v>
      </c>
      <c r="AV2100">
        <v>10</v>
      </c>
      <c r="AW2100">
        <v>2</v>
      </c>
      <c r="AX2100" t="s">
        <v>74</v>
      </c>
      <c r="AY2100" t="s">
        <v>74</v>
      </c>
      <c r="AZ2100" t="s">
        <v>74</v>
      </c>
      <c r="BA2100" t="s">
        <v>74</v>
      </c>
      <c r="BB2100" t="s">
        <v>74</v>
      </c>
      <c r="BC2100" t="s">
        <v>74</v>
      </c>
      <c r="BD2100">
        <v>2.0563051241248592E+16</v>
      </c>
      <c r="BE2100" t="s">
        <v>35903</v>
      </c>
      <c r="BF2100" t="str">
        <f>HYPERLINK("http://dx.doi.org/10.1177/20563051241248591","http://dx.doi.org/10.1177/20563051241248591")</f>
        <v>http://dx.doi.org/10.1177/20563051241248591</v>
      </c>
      <c r="BG2100" t="s">
        <v>74</v>
      </c>
      <c r="BH2100" t="s">
        <v>74</v>
      </c>
      <c r="BI2100">
        <v>11</v>
      </c>
      <c r="BJ2100" t="s">
        <v>124</v>
      </c>
      <c r="BK2100" t="s">
        <v>99</v>
      </c>
      <c r="BL2100" t="s">
        <v>124</v>
      </c>
      <c r="BM2100" t="s">
        <v>35904</v>
      </c>
      <c r="BN2100" t="s">
        <v>74</v>
      </c>
      <c r="BO2100" t="s">
        <v>235</v>
      </c>
      <c r="BP2100" t="s">
        <v>74</v>
      </c>
      <c r="BQ2100" t="s">
        <v>74</v>
      </c>
      <c r="BR2100" t="s">
        <v>102</v>
      </c>
      <c r="BS2100" t="s">
        <v>35905</v>
      </c>
      <c r="BT2100" t="str">
        <f>HYPERLINK("https%3A%2F%2Fwww.webofscience.com%2Fwos%2Fwoscc%2Ffull-record%2FWOS:001208708500001","View Full Record in Web of Science")</f>
        <v>View Full Record in Web of Science</v>
      </c>
    </row>
    <row r="2101" spans="1:72" x14ac:dyDescent="0.35">
      <c r="A2101" t="s">
        <v>72</v>
      </c>
      <c r="B2101" t="s">
        <v>35906</v>
      </c>
      <c r="C2101" t="s">
        <v>74</v>
      </c>
      <c r="D2101" t="s">
        <v>74</v>
      </c>
      <c r="E2101" t="s">
        <v>74</v>
      </c>
      <c r="F2101" t="s">
        <v>35907</v>
      </c>
      <c r="G2101" t="s">
        <v>74</v>
      </c>
      <c r="H2101" t="s">
        <v>74</v>
      </c>
      <c r="I2101" t="s">
        <v>35908</v>
      </c>
      <c r="J2101" t="s">
        <v>280</v>
      </c>
      <c r="K2101" t="s">
        <v>74</v>
      </c>
      <c r="L2101" t="s">
        <v>74</v>
      </c>
      <c r="M2101" t="s">
        <v>78</v>
      </c>
      <c r="N2101" t="s">
        <v>108</v>
      </c>
      <c r="O2101" t="s">
        <v>74</v>
      </c>
      <c r="P2101" t="s">
        <v>74</v>
      </c>
      <c r="Q2101" t="s">
        <v>74</v>
      </c>
      <c r="R2101" t="s">
        <v>74</v>
      </c>
      <c r="S2101" t="s">
        <v>74</v>
      </c>
      <c r="T2101" t="s">
        <v>35909</v>
      </c>
      <c r="U2101" t="s">
        <v>35910</v>
      </c>
      <c r="V2101" t="s">
        <v>35911</v>
      </c>
      <c r="W2101" t="s">
        <v>35912</v>
      </c>
      <c r="X2101" t="s">
        <v>15670</v>
      </c>
      <c r="Y2101" t="s">
        <v>35913</v>
      </c>
      <c r="Z2101" t="s">
        <v>35914</v>
      </c>
      <c r="AA2101" t="s">
        <v>35915</v>
      </c>
      <c r="AB2101" t="s">
        <v>35916</v>
      </c>
      <c r="AC2101" t="s">
        <v>74</v>
      </c>
      <c r="AD2101" t="s">
        <v>74</v>
      </c>
      <c r="AE2101" t="s">
        <v>74</v>
      </c>
      <c r="AF2101" t="s">
        <v>74</v>
      </c>
      <c r="AG2101">
        <v>36</v>
      </c>
      <c r="AH2101">
        <v>170</v>
      </c>
      <c r="AI2101">
        <v>190</v>
      </c>
      <c r="AJ2101">
        <v>31</v>
      </c>
      <c r="AK2101">
        <v>540</v>
      </c>
      <c r="AL2101" t="s">
        <v>290</v>
      </c>
      <c r="AM2101" t="s">
        <v>291</v>
      </c>
      <c r="AN2101" t="s">
        <v>292</v>
      </c>
      <c r="AO2101" t="s">
        <v>293</v>
      </c>
      <c r="AP2101" t="s">
        <v>294</v>
      </c>
      <c r="AQ2101" t="s">
        <v>74</v>
      </c>
      <c r="AR2101" t="s">
        <v>295</v>
      </c>
      <c r="AS2101" t="s">
        <v>296</v>
      </c>
      <c r="AT2101" t="s">
        <v>455</v>
      </c>
      <c r="AU2101">
        <v>2020</v>
      </c>
      <c r="AV2101">
        <v>110</v>
      </c>
      <c r="AW2101" t="s">
        <v>74</v>
      </c>
      <c r="AX2101" t="s">
        <v>74</v>
      </c>
      <c r="AY2101" t="s">
        <v>74</v>
      </c>
      <c r="AZ2101" t="s">
        <v>74</v>
      </c>
      <c r="BA2101" t="s">
        <v>74</v>
      </c>
      <c r="BB2101" t="s">
        <v>74</v>
      </c>
      <c r="BC2101" t="s">
        <v>74</v>
      </c>
      <c r="BD2101">
        <v>106373</v>
      </c>
      <c r="BE2101" t="s">
        <v>35917</v>
      </c>
      <c r="BF2101" t="str">
        <f>HYPERLINK("http://dx.doi.org/10.1016/j.chb.2020.106373","http://dx.doi.org/10.1016/j.chb.2020.106373")</f>
        <v>http://dx.doi.org/10.1016/j.chb.2020.106373</v>
      </c>
      <c r="BG2101" t="s">
        <v>74</v>
      </c>
      <c r="BH2101" t="s">
        <v>74</v>
      </c>
      <c r="BI2101">
        <v>9</v>
      </c>
      <c r="BJ2101" t="s">
        <v>300</v>
      </c>
      <c r="BK2101" t="s">
        <v>99</v>
      </c>
      <c r="BL2101" t="s">
        <v>301</v>
      </c>
      <c r="BM2101" t="s">
        <v>35918</v>
      </c>
      <c r="BN2101" t="s">
        <v>74</v>
      </c>
      <c r="BO2101" t="s">
        <v>74</v>
      </c>
      <c r="BP2101" t="s">
        <v>395</v>
      </c>
      <c r="BQ2101" t="s">
        <v>396</v>
      </c>
      <c r="BR2101" t="s">
        <v>102</v>
      </c>
      <c r="BS2101" t="s">
        <v>35919</v>
      </c>
      <c r="BT2101" t="str">
        <f>HYPERLINK("https%3A%2F%2Fwww.webofscience.com%2Fwos%2Fwoscc%2Ffull-record%2FWOS:000537562000005","View Full Record in Web of Science")</f>
        <v>View Full Record in Web of Science</v>
      </c>
    </row>
    <row r="2102" spans="1:72" x14ac:dyDescent="0.35">
      <c r="A2102" t="s">
        <v>72</v>
      </c>
      <c r="B2102" t="s">
        <v>35920</v>
      </c>
      <c r="C2102" t="s">
        <v>74</v>
      </c>
      <c r="D2102" t="s">
        <v>74</v>
      </c>
      <c r="E2102" t="s">
        <v>74</v>
      </c>
      <c r="F2102" t="s">
        <v>35921</v>
      </c>
      <c r="G2102" t="s">
        <v>74</v>
      </c>
      <c r="H2102" t="s">
        <v>74</v>
      </c>
      <c r="I2102" t="s">
        <v>35922</v>
      </c>
      <c r="J2102" t="s">
        <v>35923</v>
      </c>
      <c r="K2102" t="s">
        <v>74</v>
      </c>
      <c r="L2102" t="s">
        <v>74</v>
      </c>
      <c r="M2102" t="s">
        <v>78</v>
      </c>
      <c r="N2102" t="s">
        <v>79</v>
      </c>
      <c r="O2102" t="s">
        <v>74</v>
      </c>
      <c r="P2102" t="s">
        <v>74</v>
      </c>
      <c r="Q2102" t="s">
        <v>74</v>
      </c>
      <c r="R2102" t="s">
        <v>74</v>
      </c>
      <c r="S2102" t="s">
        <v>74</v>
      </c>
      <c r="T2102" t="s">
        <v>35924</v>
      </c>
      <c r="U2102" t="s">
        <v>218</v>
      </c>
      <c r="V2102" t="s">
        <v>35925</v>
      </c>
      <c r="W2102" t="s">
        <v>35926</v>
      </c>
      <c r="X2102" t="s">
        <v>35927</v>
      </c>
      <c r="Y2102" t="s">
        <v>35928</v>
      </c>
      <c r="Z2102" t="s">
        <v>35929</v>
      </c>
      <c r="AA2102" t="s">
        <v>74</v>
      </c>
      <c r="AB2102" t="s">
        <v>74</v>
      </c>
      <c r="AC2102" t="s">
        <v>74</v>
      </c>
      <c r="AD2102" t="s">
        <v>74</v>
      </c>
      <c r="AE2102" t="s">
        <v>74</v>
      </c>
      <c r="AF2102" t="s">
        <v>74</v>
      </c>
      <c r="AG2102">
        <v>31</v>
      </c>
      <c r="AH2102">
        <v>0</v>
      </c>
      <c r="AI2102">
        <v>0</v>
      </c>
      <c r="AJ2102">
        <v>3</v>
      </c>
      <c r="AK2102">
        <v>3</v>
      </c>
      <c r="AL2102" t="s">
        <v>88</v>
      </c>
      <c r="AM2102" t="s">
        <v>89</v>
      </c>
      <c r="AN2102" t="s">
        <v>90</v>
      </c>
      <c r="AO2102" t="s">
        <v>35930</v>
      </c>
      <c r="AP2102" t="s">
        <v>35931</v>
      </c>
      <c r="AQ2102" t="s">
        <v>74</v>
      </c>
      <c r="AR2102" t="s">
        <v>35932</v>
      </c>
      <c r="AS2102" t="s">
        <v>35933</v>
      </c>
      <c r="AT2102" t="s">
        <v>35934</v>
      </c>
      <c r="AU2102">
        <v>2024</v>
      </c>
      <c r="AV2102" t="s">
        <v>74</v>
      </c>
      <c r="AW2102" t="s">
        <v>74</v>
      </c>
      <c r="AX2102" t="s">
        <v>74</v>
      </c>
      <c r="AY2102" t="s">
        <v>74</v>
      </c>
      <c r="AZ2102" t="s">
        <v>74</v>
      </c>
      <c r="BA2102" t="s">
        <v>74</v>
      </c>
      <c r="BB2102" t="s">
        <v>74</v>
      </c>
      <c r="BC2102" t="s">
        <v>74</v>
      </c>
      <c r="BD2102" t="s">
        <v>74</v>
      </c>
      <c r="BE2102" t="s">
        <v>35935</v>
      </c>
      <c r="BF2102" t="str">
        <f>HYPERLINK("http://dx.doi.org/10.1080/02560046.2024.2402423","http://dx.doi.org/10.1080/02560046.2024.2402423")</f>
        <v>http://dx.doi.org/10.1080/02560046.2024.2402423</v>
      </c>
      <c r="BG2102" t="s">
        <v>74</v>
      </c>
      <c r="BH2102" t="s">
        <v>337</v>
      </c>
      <c r="BI2102">
        <v>18</v>
      </c>
      <c r="BJ2102" t="s">
        <v>2124</v>
      </c>
      <c r="BK2102" t="s">
        <v>2125</v>
      </c>
      <c r="BL2102" t="s">
        <v>2124</v>
      </c>
      <c r="BM2102" t="s">
        <v>35936</v>
      </c>
      <c r="BN2102" t="s">
        <v>74</v>
      </c>
      <c r="BO2102" t="s">
        <v>156</v>
      </c>
      <c r="BP2102" t="s">
        <v>74</v>
      </c>
      <c r="BQ2102" t="s">
        <v>74</v>
      </c>
      <c r="BR2102" t="s">
        <v>102</v>
      </c>
      <c r="BS2102" t="s">
        <v>35937</v>
      </c>
      <c r="BT2102" t="str">
        <f>HYPERLINK("https%3A%2F%2Fwww.webofscience.com%2Fwos%2Fwoscc%2Ffull-record%2FWOS:001315967900001","View Full Record in Web of Science")</f>
        <v>View Full Record in Web of Science</v>
      </c>
    </row>
    <row r="2103" spans="1:72" x14ac:dyDescent="0.35">
      <c r="A2103" t="s">
        <v>128</v>
      </c>
      <c r="B2103" t="s">
        <v>35938</v>
      </c>
      <c r="C2103" t="s">
        <v>74</v>
      </c>
      <c r="D2103" t="s">
        <v>74</v>
      </c>
      <c r="E2103" t="s">
        <v>702</v>
      </c>
      <c r="F2103" t="s">
        <v>35939</v>
      </c>
      <c r="G2103" t="s">
        <v>74</v>
      </c>
      <c r="H2103" t="s">
        <v>74</v>
      </c>
      <c r="I2103" t="s">
        <v>35940</v>
      </c>
      <c r="J2103" t="s">
        <v>27740</v>
      </c>
      <c r="K2103" t="s">
        <v>74</v>
      </c>
      <c r="L2103" t="s">
        <v>74</v>
      </c>
      <c r="M2103" t="s">
        <v>78</v>
      </c>
      <c r="N2103" t="s">
        <v>135</v>
      </c>
      <c r="O2103" t="s">
        <v>27741</v>
      </c>
      <c r="P2103" t="s">
        <v>27742</v>
      </c>
      <c r="Q2103" t="s">
        <v>27743</v>
      </c>
      <c r="R2103" t="s">
        <v>27744</v>
      </c>
      <c r="S2103" t="s">
        <v>74</v>
      </c>
      <c r="T2103" t="s">
        <v>35941</v>
      </c>
      <c r="U2103" t="s">
        <v>74</v>
      </c>
      <c r="V2103" t="s">
        <v>35942</v>
      </c>
      <c r="W2103" t="s">
        <v>35943</v>
      </c>
      <c r="X2103" t="s">
        <v>35944</v>
      </c>
      <c r="Y2103" t="s">
        <v>35945</v>
      </c>
      <c r="Z2103" t="s">
        <v>35946</v>
      </c>
      <c r="AA2103" t="s">
        <v>35947</v>
      </c>
      <c r="AB2103" t="s">
        <v>74</v>
      </c>
      <c r="AC2103" t="s">
        <v>35948</v>
      </c>
      <c r="AD2103" t="s">
        <v>35949</v>
      </c>
      <c r="AE2103" t="s">
        <v>35950</v>
      </c>
      <c r="AF2103" t="s">
        <v>74</v>
      </c>
      <c r="AG2103">
        <v>59</v>
      </c>
      <c r="AH2103">
        <v>2</v>
      </c>
      <c r="AI2103">
        <v>2</v>
      </c>
      <c r="AJ2103">
        <v>5</v>
      </c>
      <c r="AK2103">
        <v>6</v>
      </c>
      <c r="AL2103" t="s">
        <v>718</v>
      </c>
      <c r="AM2103" t="s">
        <v>666</v>
      </c>
      <c r="AN2103" t="s">
        <v>719</v>
      </c>
      <c r="AO2103" t="s">
        <v>74</v>
      </c>
      <c r="AP2103" t="s">
        <v>74</v>
      </c>
      <c r="AQ2103" t="s">
        <v>27755</v>
      </c>
      <c r="AR2103" t="s">
        <v>74</v>
      </c>
      <c r="AS2103" t="s">
        <v>74</v>
      </c>
      <c r="AT2103" t="s">
        <v>74</v>
      </c>
      <c r="AU2103">
        <v>2023</v>
      </c>
      <c r="AV2103" t="s">
        <v>74</v>
      </c>
      <c r="AW2103" t="s">
        <v>74</v>
      </c>
      <c r="AX2103" t="s">
        <v>74</v>
      </c>
      <c r="AY2103" t="s">
        <v>74</v>
      </c>
      <c r="AZ2103" t="s">
        <v>74</v>
      </c>
      <c r="BA2103" t="s">
        <v>74</v>
      </c>
      <c r="BB2103">
        <v>4530</v>
      </c>
      <c r="BC2103">
        <v>4537</v>
      </c>
      <c r="BD2103" t="s">
        <v>74</v>
      </c>
      <c r="BE2103" t="s">
        <v>35951</v>
      </c>
      <c r="BF2103" t="str">
        <f>HYPERLINK("http://dx.doi.org/10.1145/3583780.3614729","http://dx.doi.org/10.1145/3583780.3614729")</f>
        <v>http://dx.doi.org/10.1145/3583780.3614729</v>
      </c>
      <c r="BG2103" t="s">
        <v>74</v>
      </c>
      <c r="BH2103" t="s">
        <v>74</v>
      </c>
      <c r="BI2103">
        <v>8</v>
      </c>
      <c r="BJ2103" t="s">
        <v>27757</v>
      </c>
      <c r="BK2103" t="s">
        <v>723</v>
      </c>
      <c r="BL2103" t="s">
        <v>210</v>
      </c>
      <c r="BM2103" t="s">
        <v>27758</v>
      </c>
      <c r="BN2103" t="s">
        <v>74</v>
      </c>
      <c r="BO2103" t="s">
        <v>74</v>
      </c>
      <c r="BP2103" t="s">
        <v>74</v>
      </c>
      <c r="BQ2103" t="s">
        <v>74</v>
      </c>
      <c r="BR2103" t="s">
        <v>102</v>
      </c>
      <c r="BS2103" t="s">
        <v>35952</v>
      </c>
      <c r="BT2103" t="str">
        <f>HYPERLINK("https%3A%2F%2Fwww.webofscience.com%2Fwos%2Fwoscc%2Ffull-record%2FWOS:001161549504108","View Full Record in Web of Science")</f>
        <v>View Full Record in Web of Science</v>
      </c>
    </row>
    <row r="2104" spans="1:72" x14ac:dyDescent="0.35">
      <c r="A2104" t="s">
        <v>128</v>
      </c>
      <c r="B2104" t="s">
        <v>35953</v>
      </c>
      <c r="C2104" t="s">
        <v>74</v>
      </c>
      <c r="D2104" t="s">
        <v>35954</v>
      </c>
      <c r="E2104" t="s">
        <v>74</v>
      </c>
      <c r="F2104" t="s">
        <v>35955</v>
      </c>
      <c r="G2104" t="s">
        <v>74</v>
      </c>
      <c r="H2104" t="s">
        <v>74</v>
      </c>
      <c r="I2104" t="s">
        <v>35956</v>
      </c>
      <c r="J2104" t="s">
        <v>35957</v>
      </c>
      <c r="K2104" t="s">
        <v>10651</v>
      </c>
      <c r="L2104" t="s">
        <v>74</v>
      </c>
      <c r="M2104" t="s">
        <v>78</v>
      </c>
      <c r="N2104" t="s">
        <v>135</v>
      </c>
      <c r="O2104" t="s">
        <v>35958</v>
      </c>
      <c r="P2104" t="s">
        <v>35959</v>
      </c>
      <c r="Q2104" t="s">
        <v>35960</v>
      </c>
      <c r="R2104" t="s">
        <v>74</v>
      </c>
      <c r="S2104" t="s">
        <v>74</v>
      </c>
      <c r="T2104" t="s">
        <v>35961</v>
      </c>
      <c r="U2104" t="s">
        <v>74</v>
      </c>
      <c r="V2104" t="s">
        <v>35962</v>
      </c>
      <c r="W2104" t="s">
        <v>35963</v>
      </c>
      <c r="X2104" t="s">
        <v>35964</v>
      </c>
      <c r="Y2104" t="s">
        <v>35965</v>
      </c>
      <c r="Z2104" t="s">
        <v>35966</v>
      </c>
      <c r="AA2104" t="s">
        <v>35967</v>
      </c>
      <c r="AB2104" t="s">
        <v>35968</v>
      </c>
      <c r="AC2104" t="s">
        <v>74</v>
      </c>
      <c r="AD2104" t="s">
        <v>74</v>
      </c>
      <c r="AE2104" t="s">
        <v>74</v>
      </c>
      <c r="AF2104" t="s">
        <v>74</v>
      </c>
      <c r="AG2104">
        <v>12</v>
      </c>
      <c r="AH2104">
        <v>0</v>
      </c>
      <c r="AI2104">
        <v>0</v>
      </c>
      <c r="AJ2104">
        <v>0</v>
      </c>
      <c r="AK2104">
        <v>3</v>
      </c>
      <c r="AL2104" t="s">
        <v>639</v>
      </c>
      <c r="AM2104" t="s">
        <v>640</v>
      </c>
      <c r="AN2104" t="s">
        <v>641</v>
      </c>
      <c r="AO2104" t="s">
        <v>10666</v>
      </c>
      <c r="AP2104" t="s">
        <v>10667</v>
      </c>
      <c r="AQ2104" t="s">
        <v>35969</v>
      </c>
      <c r="AR2104" t="s">
        <v>10669</v>
      </c>
      <c r="AS2104" t="s">
        <v>74</v>
      </c>
      <c r="AT2104" t="s">
        <v>74</v>
      </c>
      <c r="AU2104">
        <v>2023</v>
      </c>
      <c r="AV2104">
        <v>594</v>
      </c>
      <c r="AW2104" t="s">
        <v>74</v>
      </c>
      <c r="AX2104" t="s">
        <v>74</v>
      </c>
      <c r="AY2104" t="s">
        <v>74</v>
      </c>
      <c r="AZ2104" t="s">
        <v>74</v>
      </c>
      <c r="BA2104" t="s">
        <v>74</v>
      </c>
      <c r="BB2104">
        <v>937</v>
      </c>
      <c r="BC2104">
        <v>943</v>
      </c>
      <c r="BD2104" t="s">
        <v>74</v>
      </c>
      <c r="BE2104" t="s">
        <v>35970</v>
      </c>
      <c r="BF2104" t="str">
        <f>HYPERLINK("http://dx.doi.org/10.1007/978-3-031-21333-5_92","http://dx.doi.org/10.1007/978-3-031-21333-5_92")</f>
        <v>http://dx.doi.org/10.1007/978-3-031-21333-5_92</v>
      </c>
      <c r="BG2104" t="s">
        <v>74</v>
      </c>
      <c r="BH2104" t="s">
        <v>74</v>
      </c>
      <c r="BI2104">
        <v>7</v>
      </c>
      <c r="BJ2104" t="s">
        <v>35971</v>
      </c>
      <c r="BK2104" t="s">
        <v>723</v>
      </c>
      <c r="BL2104" t="s">
        <v>1113</v>
      </c>
      <c r="BM2104" t="s">
        <v>35972</v>
      </c>
      <c r="BN2104" t="s">
        <v>74</v>
      </c>
      <c r="BO2104" t="s">
        <v>74</v>
      </c>
      <c r="BP2104" t="s">
        <v>74</v>
      </c>
      <c r="BQ2104" t="s">
        <v>74</v>
      </c>
      <c r="BR2104" t="s">
        <v>102</v>
      </c>
      <c r="BS2104" t="s">
        <v>35973</v>
      </c>
      <c r="BT2104" t="str">
        <f>HYPERLINK("https%3A%2F%2Fwww.webofscience.com%2Fwos%2Fwoscc%2Ffull-record%2FWOS:000928814300091","View Full Record in Web of Science")</f>
        <v>View Full Record in Web of Science</v>
      </c>
    </row>
    <row r="2105" spans="1:72" x14ac:dyDescent="0.35">
      <c r="A2105" t="s">
        <v>72</v>
      </c>
      <c r="B2105" t="s">
        <v>35974</v>
      </c>
      <c r="C2105" t="s">
        <v>74</v>
      </c>
      <c r="D2105" t="s">
        <v>74</v>
      </c>
      <c r="E2105" t="s">
        <v>74</v>
      </c>
      <c r="F2105" t="s">
        <v>35975</v>
      </c>
      <c r="G2105" t="s">
        <v>74</v>
      </c>
      <c r="H2105" t="s">
        <v>74</v>
      </c>
      <c r="I2105" t="s">
        <v>35976</v>
      </c>
      <c r="J2105" t="s">
        <v>23146</v>
      </c>
      <c r="K2105" t="s">
        <v>74</v>
      </c>
      <c r="L2105" t="s">
        <v>74</v>
      </c>
      <c r="M2105" t="s">
        <v>78</v>
      </c>
      <c r="N2105" t="s">
        <v>374</v>
      </c>
      <c r="O2105" t="s">
        <v>74</v>
      </c>
      <c r="P2105" t="s">
        <v>74</v>
      </c>
      <c r="Q2105" t="s">
        <v>74</v>
      </c>
      <c r="R2105" t="s">
        <v>74</v>
      </c>
      <c r="S2105" t="s">
        <v>74</v>
      </c>
      <c r="T2105" t="s">
        <v>35977</v>
      </c>
      <c r="U2105" t="s">
        <v>35978</v>
      </c>
      <c r="V2105" t="s">
        <v>35979</v>
      </c>
      <c r="W2105" t="s">
        <v>35980</v>
      </c>
      <c r="X2105" t="s">
        <v>35981</v>
      </c>
      <c r="Y2105" t="s">
        <v>35982</v>
      </c>
      <c r="Z2105" t="s">
        <v>35983</v>
      </c>
      <c r="AA2105" t="s">
        <v>74</v>
      </c>
      <c r="AB2105" t="s">
        <v>74</v>
      </c>
      <c r="AC2105" t="s">
        <v>74</v>
      </c>
      <c r="AD2105" t="s">
        <v>74</v>
      </c>
      <c r="AE2105" t="s">
        <v>74</v>
      </c>
      <c r="AF2105" t="s">
        <v>74</v>
      </c>
      <c r="AG2105">
        <v>151</v>
      </c>
      <c r="AH2105">
        <v>14</v>
      </c>
      <c r="AI2105">
        <v>14</v>
      </c>
      <c r="AJ2105">
        <v>4</v>
      </c>
      <c r="AK2105">
        <v>13</v>
      </c>
      <c r="AL2105" t="s">
        <v>384</v>
      </c>
      <c r="AM2105" t="s">
        <v>385</v>
      </c>
      <c r="AN2105" t="s">
        <v>386</v>
      </c>
      <c r="AO2105" t="s">
        <v>23155</v>
      </c>
      <c r="AP2105" t="s">
        <v>74</v>
      </c>
      <c r="AQ2105" t="s">
        <v>74</v>
      </c>
      <c r="AR2105" t="s">
        <v>23156</v>
      </c>
      <c r="AS2105" t="s">
        <v>23157</v>
      </c>
      <c r="AT2105" t="s">
        <v>35984</v>
      </c>
      <c r="AU2105">
        <v>2022</v>
      </c>
      <c r="AV2105">
        <v>10</v>
      </c>
      <c r="AW2105" t="s">
        <v>74</v>
      </c>
      <c r="AX2105" t="s">
        <v>74</v>
      </c>
      <c r="AY2105" t="s">
        <v>74</v>
      </c>
      <c r="AZ2105" t="s">
        <v>74</v>
      </c>
      <c r="BA2105" t="s">
        <v>74</v>
      </c>
      <c r="BB2105" t="s">
        <v>74</v>
      </c>
      <c r="BC2105" t="s">
        <v>74</v>
      </c>
      <c r="BD2105">
        <v>863919</v>
      </c>
      <c r="BE2105" t="s">
        <v>35985</v>
      </c>
      <c r="BF2105" t="str">
        <f>HYPERLINK("http://dx.doi.org/10.3389/fped.2022.863919","http://dx.doi.org/10.3389/fped.2022.863919")</f>
        <v>http://dx.doi.org/10.3389/fped.2022.863919</v>
      </c>
      <c r="BG2105" t="s">
        <v>74</v>
      </c>
      <c r="BH2105" t="s">
        <v>74</v>
      </c>
      <c r="BI2105">
        <v>11</v>
      </c>
      <c r="BJ2105" t="s">
        <v>6641</v>
      </c>
      <c r="BK2105" t="s">
        <v>209</v>
      </c>
      <c r="BL2105" t="s">
        <v>6641</v>
      </c>
      <c r="BM2105" t="s">
        <v>35986</v>
      </c>
      <c r="BN2105">
        <v>35899132</v>
      </c>
      <c r="BO2105" t="s">
        <v>394</v>
      </c>
      <c r="BP2105" t="s">
        <v>74</v>
      </c>
      <c r="BQ2105" t="s">
        <v>74</v>
      </c>
      <c r="BR2105" t="s">
        <v>102</v>
      </c>
      <c r="BS2105" t="s">
        <v>35987</v>
      </c>
      <c r="BT2105" t="str">
        <f>HYPERLINK("https%3A%2F%2Fwww.webofscience.com%2Fwos%2Fwoscc%2Ffull-record%2FWOS:000885777000001","View Full Record in Web of Science")</f>
        <v>View Full Record in Web of Science</v>
      </c>
    </row>
    <row r="2106" spans="1:72" x14ac:dyDescent="0.35">
      <c r="A2106" t="s">
        <v>72</v>
      </c>
      <c r="B2106" t="s">
        <v>35988</v>
      </c>
      <c r="C2106" t="s">
        <v>74</v>
      </c>
      <c r="D2106" t="s">
        <v>74</v>
      </c>
      <c r="E2106" t="s">
        <v>74</v>
      </c>
      <c r="F2106" t="s">
        <v>35989</v>
      </c>
      <c r="G2106" t="s">
        <v>74</v>
      </c>
      <c r="H2106" t="s">
        <v>74</v>
      </c>
      <c r="I2106" t="s">
        <v>35990</v>
      </c>
      <c r="J2106" t="s">
        <v>31843</v>
      </c>
      <c r="K2106" t="s">
        <v>74</v>
      </c>
      <c r="L2106" t="s">
        <v>74</v>
      </c>
      <c r="M2106" t="s">
        <v>78</v>
      </c>
      <c r="N2106" t="s">
        <v>79</v>
      </c>
      <c r="O2106" t="s">
        <v>74</v>
      </c>
      <c r="P2106" t="s">
        <v>74</v>
      </c>
      <c r="Q2106" t="s">
        <v>74</v>
      </c>
      <c r="R2106" t="s">
        <v>74</v>
      </c>
      <c r="S2106" t="s">
        <v>74</v>
      </c>
      <c r="T2106" t="s">
        <v>35991</v>
      </c>
      <c r="U2106" t="s">
        <v>35992</v>
      </c>
      <c r="V2106" t="s">
        <v>35993</v>
      </c>
      <c r="W2106" t="s">
        <v>35994</v>
      </c>
      <c r="X2106" t="s">
        <v>35680</v>
      </c>
      <c r="Y2106" t="s">
        <v>35995</v>
      </c>
      <c r="Z2106" t="s">
        <v>35996</v>
      </c>
      <c r="AA2106" t="s">
        <v>74</v>
      </c>
      <c r="AB2106" t="s">
        <v>35997</v>
      </c>
      <c r="AC2106" t="s">
        <v>35998</v>
      </c>
      <c r="AD2106" t="s">
        <v>35999</v>
      </c>
      <c r="AE2106" t="s">
        <v>36000</v>
      </c>
      <c r="AF2106" t="s">
        <v>74</v>
      </c>
      <c r="AG2106">
        <v>96</v>
      </c>
      <c r="AH2106">
        <v>0</v>
      </c>
      <c r="AI2106">
        <v>0</v>
      </c>
      <c r="AJ2106">
        <v>37</v>
      </c>
      <c r="AK2106">
        <v>37</v>
      </c>
      <c r="AL2106" t="s">
        <v>199</v>
      </c>
      <c r="AM2106" t="s">
        <v>200</v>
      </c>
      <c r="AN2106" t="s">
        <v>471</v>
      </c>
      <c r="AO2106" t="s">
        <v>31852</v>
      </c>
      <c r="AP2106" t="s">
        <v>31853</v>
      </c>
      <c r="AQ2106" t="s">
        <v>74</v>
      </c>
      <c r="AR2106" t="s">
        <v>31854</v>
      </c>
      <c r="AS2106" t="s">
        <v>31855</v>
      </c>
      <c r="AT2106" t="s">
        <v>2442</v>
      </c>
      <c r="AU2106">
        <v>2024</v>
      </c>
      <c r="AV2106" t="s">
        <v>74</v>
      </c>
      <c r="AW2106" t="s">
        <v>74</v>
      </c>
      <c r="AX2106" t="s">
        <v>74</v>
      </c>
      <c r="AY2106" t="s">
        <v>74</v>
      </c>
      <c r="AZ2106" t="s">
        <v>74</v>
      </c>
      <c r="BA2106" t="s">
        <v>74</v>
      </c>
      <c r="BB2106" t="s">
        <v>74</v>
      </c>
      <c r="BC2106" t="s">
        <v>74</v>
      </c>
      <c r="BD2106" t="s">
        <v>74</v>
      </c>
      <c r="BE2106" t="s">
        <v>36001</v>
      </c>
      <c r="BF2106" t="str">
        <f>HYPERLINK("http://dx.doi.org/10.1108/ITP-04-2022-0253","http://dx.doi.org/10.1108/ITP-04-2022-0253")</f>
        <v>http://dx.doi.org/10.1108/ITP-04-2022-0253</v>
      </c>
      <c r="BG2106" t="s">
        <v>74</v>
      </c>
      <c r="BH2106" t="s">
        <v>2444</v>
      </c>
      <c r="BI2106">
        <v>28</v>
      </c>
      <c r="BJ2106" t="s">
        <v>1162</v>
      </c>
      <c r="BK2106" t="s">
        <v>99</v>
      </c>
      <c r="BL2106" t="s">
        <v>1162</v>
      </c>
      <c r="BM2106" t="s">
        <v>36002</v>
      </c>
      <c r="BN2106" t="s">
        <v>74</v>
      </c>
      <c r="BO2106" t="s">
        <v>74</v>
      </c>
      <c r="BP2106" t="s">
        <v>74</v>
      </c>
      <c r="BQ2106" t="s">
        <v>74</v>
      </c>
      <c r="BR2106" t="s">
        <v>102</v>
      </c>
      <c r="BS2106" t="s">
        <v>36003</v>
      </c>
      <c r="BT2106" t="str">
        <f>HYPERLINK("https%3A%2F%2Fwww.webofscience.com%2Fwos%2Fwoscc%2Ffull-record%2FWOS:001281803600001","View Full Record in Web of Science")</f>
        <v>View Full Record in Web of Science</v>
      </c>
    </row>
    <row r="2107" spans="1:72" x14ac:dyDescent="0.35">
      <c r="A2107" t="s">
        <v>72</v>
      </c>
      <c r="B2107" t="s">
        <v>36004</v>
      </c>
      <c r="C2107" t="s">
        <v>74</v>
      </c>
      <c r="D2107" t="s">
        <v>74</v>
      </c>
      <c r="E2107" t="s">
        <v>74</v>
      </c>
      <c r="F2107" t="s">
        <v>36005</v>
      </c>
      <c r="G2107" t="s">
        <v>74</v>
      </c>
      <c r="H2107" t="s">
        <v>74</v>
      </c>
      <c r="I2107" t="s">
        <v>36006</v>
      </c>
      <c r="J2107" t="s">
        <v>20961</v>
      </c>
      <c r="K2107" t="s">
        <v>74</v>
      </c>
      <c r="L2107" t="s">
        <v>74</v>
      </c>
      <c r="M2107" t="s">
        <v>78</v>
      </c>
      <c r="N2107" t="s">
        <v>108</v>
      </c>
      <c r="O2107" t="s">
        <v>74</v>
      </c>
      <c r="P2107" t="s">
        <v>74</v>
      </c>
      <c r="Q2107" t="s">
        <v>74</v>
      </c>
      <c r="R2107" t="s">
        <v>74</v>
      </c>
      <c r="S2107" t="s">
        <v>74</v>
      </c>
      <c r="T2107" t="s">
        <v>36007</v>
      </c>
      <c r="U2107" t="s">
        <v>6783</v>
      </c>
      <c r="V2107" t="s">
        <v>36008</v>
      </c>
      <c r="W2107" t="s">
        <v>36009</v>
      </c>
      <c r="X2107" t="s">
        <v>36010</v>
      </c>
      <c r="Y2107" t="s">
        <v>36011</v>
      </c>
      <c r="Z2107" t="s">
        <v>28911</v>
      </c>
      <c r="AA2107" t="s">
        <v>36012</v>
      </c>
      <c r="AB2107" t="s">
        <v>36013</v>
      </c>
      <c r="AC2107" t="s">
        <v>74</v>
      </c>
      <c r="AD2107" t="s">
        <v>74</v>
      </c>
      <c r="AE2107" t="s">
        <v>74</v>
      </c>
      <c r="AF2107" t="s">
        <v>74</v>
      </c>
      <c r="AG2107">
        <v>60</v>
      </c>
      <c r="AH2107">
        <v>0</v>
      </c>
      <c r="AI2107">
        <v>0</v>
      </c>
      <c r="AJ2107">
        <v>3</v>
      </c>
      <c r="AK2107">
        <v>5</v>
      </c>
      <c r="AL2107" t="s">
        <v>1195</v>
      </c>
      <c r="AM2107" t="s">
        <v>1196</v>
      </c>
      <c r="AN2107" t="s">
        <v>1197</v>
      </c>
      <c r="AO2107" t="s">
        <v>74</v>
      </c>
      <c r="AP2107" t="s">
        <v>20969</v>
      </c>
      <c r="AQ2107" t="s">
        <v>74</v>
      </c>
      <c r="AR2107" t="s">
        <v>20961</v>
      </c>
      <c r="AS2107" t="s">
        <v>20970</v>
      </c>
      <c r="AT2107" t="s">
        <v>232</v>
      </c>
      <c r="AU2107">
        <v>2024</v>
      </c>
      <c r="AV2107">
        <v>14</v>
      </c>
      <c r="AW2107">
        <v>1</v>
      </c>
      <c r="AX2107" t="s">
        <v>74</v>
      </c>
      <c r="AY2107" t="s">
        <v>74</v>
      </c>
      <c r="AZ2107" t="s">
        <v>74</v>
      </c>
      <c r="BA2107" t="s">
        <v>74</v>
      </c>
      <c r="BB2107" t="s">
        <v>74</v>
      </c>
      <c r="BC2107" t="s">
        <v>74</v>
      </c>
      <c r="BD2107">
        <v>6</v>
      </c>
      <c r="BE2107" t="s">
        <v>36014</v>
      </c>
      <c r="BF2107" t="str">
        <f>HYPERLINK("http://dx.doi.org/10.3390/soc14010006","http://dx.doi.org/10.3390/soc14010006")</f>
        <v>http://dx.doi.org/10.3390/soc14010006</v>
      </c>
      <c r="BG2107" t="s">
        <v>74</v>
      </c>
      <c r="BH2107" t="s">
        <v>74</v>
      </c>
      <c r="BI2107">
        <v>21</v>
      </c>
      <c r="BJ2107" t="s">
        <v>4573</v>
      </c>
      <c r="BK2107" t="s">
        <v>125</v>
      </c>
      <c r="BL2107" t="s">
        <v>4573</v>
      </c>
      <c r="BM2107" t="s">
        <v>36015</v>
      </c>
      <c r="BN2107" t="s">
        <v>74</v>
      </c>
      <c r="BO2107" t="s">
        <v>235</v>
      </c>
      <c r="BP2107" t="s">
        <v>74</v>
      </c>
      <c r="BQ2107" t="s">
        <v>74</v>
      </c>
      <c r="BR2107" t="s">
        <v>102</v>
      </c>
      <c r="BS2107" t="s">
        <v>36016</v>
      </c>
      <c r="BT2107" t="str">
        <f>HYPERLINK("https%3A%2F%2Fwww.webofscience.com%2Fwos%2Fwoscc%2Ffull-record%2FWOS:001151335100001","View Full Record in Web of Science")</f>
        <v>View Full Record in Web of Science</v>
      </c>
    </row>
    <row r="2108" spans="1:72" x14ac:dyDescent="0.35">
      <c r="A2108" t="s">
        <v>72</v>
      </c>
      <c r="B2108" t="s">
        <v>36017</v>
      </c>
      <c r="C2108" t="s">
        <v>74</v>
      </c>
      <c r="D2108" t="s">
        <v>74</v>
      </c>
      <c r="E2108" t="s">
        <v>74</v>
      </c>
      <c r="F2108" t="s">
        <v>36018</v>
      </c>
      <c r="G2108" t="s">
        <v>74</v>
      </c>
      <c r="H2108" t="s">
        <v>74</v>
      </c>
      <c r="I2108" t="s">
        <v>36019</v>
      </c>
      <c r="J2108" t="s">
        <v>36020</v>
      </c>
      <c r="K2108" t="s">
        <v>74</v>
      </c>
      <c r="L2108" t="s">
        <v>74</v>
      </c>
      <c r="M2108" t="s">
        <v>78</v>
      </c>
      <c r="N2108" t="s">
        <v>108</v>
      </c>
      <c r="O2108" t="s">
        <v>74</v>
      </c>
      <c r="P2108" t="s">
        <v>74</v>
      </c>
      <c r="Q2108" t="s">
        <v>74</v>
      </c>
      <c r="R2108" t="s">
        <v>74</v>
      </c>
      <c r="S2108" t="s">
        <v>74</v>
      </c>
      <c r="T2108" t="s">
        <v>36021</v>
      </c>
      <c r="U2108" t="s">
        <v>74</v>
      </c>
      <c r="V2108" t="s">
        <v>36022</v>
      </c>
      <c r="W2108" t="s">
        <v>36023</v>
      </c>
      <c r="X2108" t="s">
        <v>36024</v>
      </c>
      <c r="Y2108" t="s">
        <v>36025</v>
      </c>
      <c r="Z2108" t="s">
        <v>36026</v>
      </c>
      <c r="AA2108" t="s">
        <v>74</v>
      </c>
      <c r="AB2108" t="s">
        <v>74</v>
      </c>
      <c r="AC2108" t="s">
        <v>74</v>
      </c>
      <c r="AD2108" t="s">
        <v>74</v>
      </c>
      <c r="AE2108" t="s">
        <v>74</v>
      </c>
      <c r="AF2108" t="s">
        <v>74</v>
      </c>
      <c r="AG2108">
        <v>30</v>
      </c>
      <c r="AH2108">
        <v>2</v>
      </c>
      <c r="AI2108">
        <v>2</v>
      </c>
      <c r="AJ2108">
        <v>5</v>
      </c>
      <c r="AK2108">
        <v>14</v>
      </c>
      <c r="AL2108" t="s">
        <v>36027</v>
      </c>
      <c r="AM2108" t="s">
        <v>9610</v>
      </c>
      <c r="AN2108" t="s">
        <v>36028</v>
      </c>
      <c r="AO2108" t="s">
        <v>36029</v>
      </c>
      <c r="AP2108" t="s">
        <v>74</v>
      </c>
      <c r="AQ2108" t="s">
        <v>74</v>
      </c>
      <c r="AR2108" t="s">
        <v>36030</v>
      </c>
      <c r="AS2108" t="s">
        <v>36031</v>
      </c>
      <c r="AT2108" t="s">
        <v>455</v>
      </c>
      <c r="AU2108">
        <v>2023</v>
      </c>
      <c r="AV2108">
        <v>11</v>
      </c>
      <c r="AW2108">
        <v>3</v>
      </c>
      <c r="AX2108" t="s">
        <v>74</v>
      </c>
      <c r="AY2108" t="s">
        <v>74</v>
      </c>
      <c r="AZ2108" t="s">
        <v>74</v>
      </c>
      <c r="BA2108" t="s">
        <v>74</v>
      </c>
      <c r="BB2108" t="s">
        <v>74</v>
      </c>
      <c r="BC2108" t="s">
        <v>74</v>
      </c>
      <c r="BD2108">
        <v>1110451</v>
      </c>
      <c r="BE2108" t="s">
        <v>36032</v>
      </c>
      <c r="BF2108" t="str">
        <f>HYPERLINK("http://dx.doi.org/10.13044/j.sdewes.d11.0451","http://dx.doi.org/10.13044/j.sdewes.d11.0451")</f>
        <v>http://dx.doi.org/10.13044/j.sdewes.d11.0451</v>
      </c>
      <c r="BG2108" t="s">
        <v>74</v>
      </c>
      <c r="BH2108" t="s">
        <v>74</v>
      </c>
      <c r="BI2108">
        <v>16</v>
      </c>
      <c r="BJ2108" t="s">
        <v>36033</v>
      </c>
      <c r="BK2108" t="s">
        <v>125</v>
      </c>
      <c r="BL2108" t="s">
        <v>19103</v>
      </c>
      <c r="BM2108" t="s">
        <v>36034</v>
      </c>
      <c r="BN2108" t="s">
        <v>74</v>
      </c>
      <c r="BO2108" t="s">
        <v>394</v>
      </c>
      <c r="BP2108" t="s">
        <v>74</v>
      </c>
      <c r="BQ2108" t="s">
        <v>74</v>
      </c>
      <c r="BR2108" t="s">
        <v>102</v>
      </c>
      <c r="BS2108" t="s">
        <v>36035</v>
      </c>
      <c r="BT2108" t="str">
        <f>HYPERLINK("https%3A%2F%2Fwww.webofscience.com%2Fwos%2Fwoscc%2Ffull-record%2FWOS:001023501500001","View Full Record in Web of Science")</f>
        <v>View Full Record in Web of Science</v>
      </c>
    </row>
    <row r="2109" spans="1:72" x14ac:dyDescent="0.35">
      <c r="A2109" t="s">
        <v>72</v>
      </c>
      <c r="B2109" t="s">
        <v>36036</v>
      </c>
      <c r="C2109" t="s">
        <v>74</v>
      </c>
      <c r="D2109" t="s">
        <v>74</v>
      </c>
      <c r="E2109" t="s">
        <v>74</v>
      </c>
      <c r="F2109" t="s">
        <v>36037</v>
      </c>
      <c r="G2109" t="s">
        <v>74</v>
      </c>
      <c r="H2109" t="s">
        <v>74</v>
      </c>
      <c r="I2109" t="s">
        <v>36038</v>
      </c>
      <c r="J2109" t="s">
        <v>12754</v>
      </c>
      <c r="K2109" t="s">
        <v>74</v>
      </c>
      <c r="L2109" t="s">
        <v>74</v>
      </c>
      <c r="M2109" t="s">
        <v>78</v>
      </c>
      <c r="N2109" t="s">
        <v>108</v>
      </c>
      <c r="O2109" t="s">
        <v>74</v>
      </c>
      <c r="P2109" t="s">
        <v>74</v>
      </c>
      <c r="Q2109" t="s">
        <v>74</v>
      </c>
      <c r="R2109" t="s">
        <v>74</v>
      </c>
      <c r="S2109" t="s">
        <v>74</v>
      </c>
      <c r="T2109" t="s">
        <v>36039</v>
      </c>
      <c r="U2109" t="s">
        <v>36040</v>
      </c>
      <c r="V2109" t="s">
        <v>36041</v>
      </c>
      <c r="W2109" t="s">
        <v>36042</v>
      </c>
      <c r="X2109" t="s">
        <v>36043</v>
      </c>
      <c r="Y2109" t="s">
        <v>36044</v>
      </c>
      <c r="Z2109" t="s">
        <v>36045</v>
      </c>
      <c r="AA2109" t="s">
        <v>36046</v>
      </c>
      <c r="AB2109" t="s">
        <v>74</v>
      </c>
      <c r="AC2109" t="s">
        <v>74</v>
      </c>
      <c r="AD2109" t="s">
        <v>74</v>
      </c>
      <c r="AE2109" t="s">
        <v>74</v>
      </c>
      <c r="AF2109" t="s">
        <v>74</v>
      </c>
      <c r="AG2109">
        <v>47</v>
      </c>
      <c r="AH2109">
        <v>2</v>
      </c>
      <c r="AI2109">
        <v>2</v>
      </c>
      <c r="AJ2109">
        <v>4</v>
      </c>
      <c r="AK2109">
        <v>41</v>
      </c>
      <c r="AL2109" t="s">
        <v>199</v>
      </c>
      <c r="AM2109" t="s">
        <v>15416</v>
      </c>
      <c r="AN2109" t="s">
        <v>15417</v>
      </c>
      <c r="AO2109" t="s">
        <v>12766</v>
      </c>
      <c r="AP2109" t="s">
        <v>12767</v>
      </c>
      <c r="AQ2109" t="s">
        <v>74</v>
      </c>
      <c r="AR2109" t="s">
        <v>12768</v>
      </c>
      <c r="AS2109" t="s">
        <v>12769</v>
      </c>
      <c r="AT2109" t="s">
        <v>5638</v>
      </c>
      <c r="AU2109">
        <v>2022</v>
      </c>
      <c r="AV2109">
        <v>40</v>
      </c>
      <c r="AW2109" t="s">
        <v>7969</v>
      </c>
      <c r="AX2109" t="s">
        <v>74</v>
      </c>
      <c r="AY2109" t="s">
        <v>74</v>
      </c>
      <c r="AZ2109" t="s">
        <v>74</v>
      </c>
      <c r="BA2109" t="s">
        <v>74</v>
      </c>
      <c r="BB2109">
        <v>38</v>
      </c>
      <c r="BC2109">
        <v>62</v>
      </c>
      <c r="BD2109" t="s">
        <v>74</v>
      </c>
      <c r="BE2109" t="s">
        <v>36047</v>
      </c>
      <c r="BF2109" t="str">
        <f>HYPERLINK("http://dx.doi.org/10.1108/EL-07-2021-0140","http://dx.doi.org/10.1108/EL-07-2021-0140")</f>
        <v>http://dx.doi.org/10.1108/EL-07-2021-0140</v>
      </c>
      <c r="BG2109" t="s">
        <v>74</v>
      </c>
      <c r="BH2109" t="s">
        <v>16152</v>
      </c>
      <c r="BI2109">
        <v>25</v>
      </c>
      <c r="BJ2109" t="s">
        <v>1162</v>
      </c>
      <c r="BK2109" t="s">
        <v>99</v>
      </c>
      <c r="BL2109" t="s">
        <v>1162</v>
      </c>
      <c r="BM2109" t="s">
        <v>36048</v>
      </c>
      <c r="BN2109" t="s">
        <v>74</v>
      </c>
      <c r="BO2109" t="s">
        <v>74</v>
      </c>
      <c r="BP2109" t="s">
        <v>74</v>
      </c>
      <c r="BQ2109" t="s">
        <v>74</v>
      </c>
      <c r="BR2109" t="s">
        <v>102</v>
      </c>
      <c r="BS2109" t="s">
        <v>36049</v>
      </c>
      <c r="BT2109" t="str">
        <f>HYPERLINK("https%3A%2F%2Fwww.webofscience.com%2Fwos%2Fwoscc%2Ffull-record%2FWOS:000727769900001","View Full Record in Web of Science")</f>
        <v>View Full Record in Web of Science</v>
      </c>
    </row>
    <row r="2110" spans="1:72" x14ac:dyDescent="0.35">
      <c r="A2110" t="s">
        <v>72</v>
      </c>
      <c r="B2110" t="s">
        <v>36050</v>
      </c>
      <c r="C2110" t="s">
        <v>74</v>
      </c>
      <c r="D2110" t="s">
        <v>74</v>
      </c>
      <c r="E2110" t="s">
        <v>74</v>
      </c>
      <c r="F2110" t="s">
        <v>36051</v>
      </c>
      <c r="G2110" t="s">
        <v>74</v>
      </c>
      <c r="H2110" t="s">
        <v>74</v>
      </c>
      <c r="I2110" t="s">
        <v>36052</v>
      </c>
      <c r="J2110" t="s">
        <v>36053</v>
      </c>
      <c r="K2110" t="s">
        <v>74</v>
      </c>
      <c r="L2110" t="s">
        <v>74</v>
      </c>
      <c r="M2110" t="s">
        <v>78</v>
      </c>
      <c r="N2110" t="s">
        <v>108</v>
      </c>
      <c r="O2110" t="s">
        <v>74</v>
      </c>
      <c r="P2110" t="s">
        <v>74</v>
      </c>
      <c r="Q2110" t="s">
        <v>74</v>
      </c>
      <c r="R2110" t="s">
        <v>74</v>
      </c>
      <c r="S2110" t="s">
        <v>74</v>
      </c>
      <c r="T2110" t="s">
        <v>36054</v>
      </c>
      <c r="U2110" t="s">
        <v>36055</v>
      </c>
      <c r="V2110" t="s">
        <v>36056</v>
      </c>
      <c r="W2110" t="s">
        <v>36057</v>
      </c>
      <c r="X2110" t="s">
        <v>36058</v>
      </c>
      <c r="Y2110" t="s">
        <v>36059</v>
      </c>
      <c r="Z2110" t="s">
        <v>36060</v>
      </c>
      <c r="AA2110" t="s">
        <v>36061</v>
      </c>
      <c r="AB2110" t="s">
        <v>36062</v>
      </c>
      <c r="AC2110" t="s">
        <v>36063</v>
      </c>
      <c r="AD2110" t="s">
        <v>36064</v>
      </c>
      <c r="AE2110" t="s">
        <v>36065</v>
      </c>
      <c r="AF2110" t="s">
        <v>74</v>
      </c>
      <c r="AG2110">
        <v>54</v>
      </c>
      <c r="AH2110">
        <v>2</v>
      </c>
      <c r="AI2110">
        <v>2</v>
      </c>
      <c r="AJ2110">
        <v>13</v>
      </c>
      <c r="AK2110">
        <v>18</v>
      </c>
      <c r="AL2110" t="s">
        <v>25124</v>
      </c>
      <c r="AM2110" t="s">
        <v>18022</v>
      </c>
      <c r="AN2110" t="s">
        <v>25125</v>
      </c>
      <c r="AO2110" t="s">
        <v>36066</v>
      </c>
      <c r="AP2110" t="s">
        <v>74</v>
      </c>
      <c r="AQ2110" t="s">
        <v>74</v>
      </c>
      <c r="AR2110" t="s">
        <v>36067</v>
      </c>
      <c r="AS2110" t="s">
        <v>36068</v>
      </c>
      <c r="AT2110" t="s">
        <v>297</v>
      </c>
      <c r="AU2110">
        <v>2024</v>
      </c>
      <c r="AV2110">
        <v>11</v>
      </c>
      <c r="AW2110">
        <v>4</v>
      </c>
      <c r="AX2110" t="s">
        <v>74</v>
      </c>
      <c r="AY2110" t="s">
        <v>74</v>
      </c>
      <c r="AZ2110" t="s">
        <v>74</v>
      </c>
      <c r="BA2110" t="s">
        <v>74</v>
      </c>
      <c r="BB2110">
        <v>4920</v>
      </c>
      <c r="BC2110">
        <v>4933</v>
      </c>
      <c r="BD2110" t="s">
        <v>74</v>
      </c>
      <c r="BE2110" t="s">
        <v>36069</v>
      </c>
      <c r="BF2110" t="str">
        <f>HYPERLINK("http://dx.doi.org/10.1109/TCSS.2024.3373661","http://dx.doi.org/10.1109/TCSS.2024.3373661")</f>
        <v>http://dx.doi.org/10.1109/TCSS.2024.3373661</v>
      </c>
      <c r="BG2110" t="s">
        <v>74</v>
      </c>
      <c r="BH2110" t="s">
        <v>123</v>
      </c>
      <c r="BI2110">
        <v>14</v>
      </c>
      <c r="BJ2110" t="s">
        <v>13609</v>
      </c>
      <c r="BK2110" t="s">
        <v>209</v>
      </c>
      <c r="BL2110" t="s">
        <v>210</v>
      </c>
      <c r="BM2110" t="s">
        <v>36070</v>
      </c>
      <c r="BN2110" t="s">
        <v>74</v>
      </c>
      <c r="BO2110" t="s">
        <v>74</v>
      </c>
      <c r="BP2110" t="s">
        <v>74</v>
      </c>
      <c r="BQ2110" t="s">
        <v>74</v>
      </c>
      <c r="BR2110" t="s">
        <v>102</v>
      </c>
      <c r="BS2110" t="s">
        <v>36071</v>
      </c>
      <c r="BT2110" t="str">
        <f>HYPERLINK("https%3A%2F%2Fwww.webofscience.com%2Fwos%2Fwoscc%2Ffull-record%2FWOS:001193843600001","View Full Record in Web of Science")</f>
        <v>View Full Record in Web of Science</v>
      </c>
    </row>
    <row r="2111" spans="1:72" x14ac:dyDescent="0.35">
      <c r="A2111" t="s">
        <v>72</v>
      </c>
      <c r="B2111" t="s">
        <v>36072</v>
      </c>
      <c r="C2111" t="s">
        <v>74</v>
      </c>
      <c r="D2111" t="s">
        <v>74</v>
      </c>
      <c r="E2111" t="s">
        <v>74</v>
      </c>
      <c r="F2111" t="s">
        <v>36073</v>
      </c>
      <c r="G2111" t="s">
        <v>74</v>
      </c>
      <c r="H2111" t="s">
        <v>74</v>
      </c>
      <c r="I2111" t="s">
        <v>36074</v>
      </c>
      <c r="J2111" t="s">
        <v>17784</v>
      </c>
      <c r="K2111" t="s">
        <v>74</v>
      </c>
      <c r="L2111" t="s">
        <v>74</v>
      </c>
      <c r="M2111" t="s">
        <v>78</v>
      </c>
      <c r="N2111" t="s">
        <v>5592</v>
      </c>
      <c r="O2111" t="s">
        <v>36075</v>
      </c>
      <c r="P2111">
        <v>2022</v>
      </c>
      <c r="Q2111" t="s">
        <v>138</v>
      </c>
      <c r="R2111" t="s">
        <v>74</v>
      </c>
      <c r="S2111" t="s">
        <v>74</v>
      </c>
      <c r="T2111" t="s">
        <v>36076</v>
      </c>
      <c r="U2111" t="s">
        <v>36077</v>
      </c>
      <c r="V2111" t="s">
        <v>36078</v>
      </c>
      <c r="W2111" t="s">
        <v>36079</v>
      </c>
      <c r="X2111" t="s">
        <v>36080</v>
      </c>
      <c r="Y2111" t="s">
        <v>36081</v>
      </c>
      <c r="Z2111" t="s">
        <v>36082</v>
      </c>
      <c r="AA2111" t="s">
        <v>36083</v>
      </c>
      <c r="AB2111" t="s">
        <v>74</v>
      </c>
      <c r="AC2111" t="s">
        <v>74</v>
      </c>
      <c r="AD2111" t="s">
        <v>74</v>
      </c>
      <c r="AE2111" t="s">
        <v>74</v>
      </c>
      <c r="AF2111" t="s">
        <v>74</v>
      </c>
      <c r="AG2111">
        <v>46</v>
      </c>
      <c r="AH2111">
        <v>2</v>
      </c>
      <c r="AI2111">
        <v>2</v>
      </c>
      <c r="AJ2111">
        <v>0</v>
      </c>
      <c r="AK2111">
        <v>7</v>
      </c>
      <c r="AL2111" t="s">
        <v>17793</v>
      </c>
      <c r="AM2111" t="s">
        <v>12103</v>
      </c>
      <c r="AN2111" t="s">
        <v>17794</v>
      </c>
      <c r="AO2111" t="s">
        <v>74</v>
      </c>
      <c r="AP2111" t="s">
        <v>17795</v>
      </c>
      <c r="AQ2111" t="s">
        <v>74</v>
      </c>
      <c r="AR2111" t="s">
        <v>17796</v>
      </c>
      <c r="AS2111" t="s">
        <v>17797</v>
      </c>
      <c r="AT2111" t="s">
        <v>74</v>
      </c>
      <c r="AU2111">
        <v>2023</v>
      </c>
      <c r="AV2111" t="s">
        <v>74</v>
      </c>
      <c r="AW2111" t="s">
        <v>74</v>
      </c>
      <c r="AX2111" t="s">
        <v>74</v>
      </c>
      <c r="AY2111" t="s">
        <v>74</v>
      </c>
      <c r="AZ2111" t="s">
        <v>456</v>
      </c>
      <c r="BA2111" t="s">
        <v>74</v>
      </c>
      <c r="BB2111">
        <v>33</v>
      </c>
      <c r="BC2111">
        <v>48</v>
      </c>
      <c r="BD2111" t="s">
        <v>74</v>
      </c>
      <c r="BE2111" t="s">
        <v>74</v>
      </c>
      <c r="BF2111" t="s">
        <v>74</v>
      </c>
      <c r="BG2111" t="s">
        <v>74</v>
      </c>
      <c r="BH2111" t="s">
        <v>74</v>
      </c>
      <c r="BI2111">
        <v>16</v>
      </c>
      <c r="BJ2111" t="s">
        <v>124</v>
      </c>
      <c r="BK2111" t="s">
        <v>125</v>
      </c>
      <c r="BL2111" t="s">
        <v>124</v>
      </c>
      <c r="BM2111" t="s">
        <v>36084</v>
      </c>
      <c r="BN2111" t="s">
        <v>74</v>
      </c>
      <c r="BO2111" t="s">
        <v>74</v>
      </c>
      <c r="BP2111" t="s">
        <v>74</v>
      </c>
      <c r="BQ2111" t="s">
        <v>74</v>
      </c>
      <c r="BR2111" t="s">
        <v>102</v>
      </c>
      <c r="BS2111" t="s">
        <v>36085</v>
      </c>
      <c r="BT2111" t="str">
        <f>HYPERLINK("https%3A%2F%2Fwww.webofscience.com%2Fwos%2Fwoscc%2Ffull-record%2FWOS:001040543200003","View Full Record in Web of Science")</f>
        <v>View Full Record in Web of Science</v>
      </c>
    </row>
    <row r="2112" spans="1:72" x14ac:dyDescent="0.35">
      <c r="A2112" t="s">
        <v>72</v>
      </c>
      <c r="B2112" t="s">
        <v>36086</v>
      </c>
      <c r="C2112" t="s">
        <v>74</v>
      </c>
      <c r="D2112" t="s">
        <v>74</v>
      </c>
      <c r="E2112" t="s">
        <v>74</v>
      </c>
      <c r="F2112" t="s">
        <v>36087</v>
      </c>
      <c r="G2112" t="s">
        <v>74</v>
      </c>
      <c r="H2112" t="s">
        <v>74</v>
      </c>
      <c r="I2112" t="s">
        <v>36088</v>
      </c>
      <c r="J2112" t="s">
        <v>36089</v>
      </c>
      <c r="K2112" t="s">
        <v>74</v>
      </c>
      <c r="L2112" t="s">
        <v>74</v>
      </c>
      <c r="M2112" t="s">
        <v>78</v>
      </c>
      <c r="N2112" t="s">
        <v>108</v>
      </c>
      <c r="O2112" t="s">
        <v>74</v>
      </c>
      <c r="P2112" t="s">
        <v>74</v>
      </c>
      <c r="Q2112" t="s">
        <v>74</v>
      </c>
      <c r="R2112" t="s">
        <v>74</v>
      </c>
      <c r="S2112" t="s">
        <v>74</v>
      </c>
      <c r="T2112" t="s">
        <v>36090</v>
      </c>
      <c r="U2112" t="s">
        <v>74</v>
      </c>
      <c r="V2112" t="s">
        <v>36091</v>
      </c>
      <c r="W2112" t="s">
        <v>36092</v>
      </c>
      <c r="X2112" t="s">
        <v>36093</v>
      </c>
      <c r="Y2112" t="s">
        <v>36094</v>
      </c>
      <c r="Z2112" t="s">
        <v>36095</v>
      </c>
      <c r="AA2112" t="s">
        <v>36096</v>
      </c>
      <c r="AB2112" t="s">
        <v>36097</v>
      </c>
      <c r="AC2112" t="s">
        <v>36098</v>
      </c>
      <c r="AD2112" t="s">
        <v>36099</v>
      </c>
      <c r="AE2112" t="s">
        <v>36100</v>
      </c>
      <c r="AF2112" t="s">
        <v>74</v>
      </c>
      <c r="AG2112">
        <v>24</v>
      </c>
      <c r="AH2112">
        <v>17</v>
      </c>
      <c r="AI2112">
        <v>17</v>
      </c>
      <c r="AJ2112">
        <v>0</v>
      </c>
      <c r="AK2112">
        <v>12</v>
      </c>
      <c r="AL2112" t="s">
        <v>25124</v>
      </c>
      <c r="AM2112" t="s">
        <v>18022</v>
      </c>
      <c r="AN2112" t="s">
        <v>25125</v>
      </c>
      <c r="AO2112" t="s">
        <v>36101</v>
      </c>
      <c r="AP2112" t="s">
        <v>36102</v>
      </c>
      <c r="AQ2112" t="s">
        <v>74</v>
      </c>
      <c r="AR2112" t="s">
        <v>36103</v>
      </c>
      <c r="AS2112" t="s">
        <v>36104</v>
      </c>
      <c r="AT2112" t="s">
        <v>297</v>
      </c>
      <c r="AU2112">
        <v>2020</v>
      </c>
      <c r="AV2112">
        <v>14</v>
      </c>
      <c r="AW2112">
        <v>5</v>
      </c>
      <c r="AX2112" t="s">
        <v>74</v>
      </c>
      <c r="AY2112" t="s">
        <v>74</v>
      </c>
      <c r="AZ2112" t="s">
        <v>74</v>
      </c>
      <c r="BA2112" t="s">
        <v>74</v>
      </c>
      <c r="BB2112">
        <v>947</v>
      </c>
      <c r="BC2112">
        <v>954</v>
      </c>
      <c r="BD2112" t="s">
        <v>74</v>
      </c>
      <c r="BE2112" t="s">
        <v>36105</v>
      </c>
      <c r="BF2112" t="str">
        <f>HYPERLINK("http://dx.doi.org/10.1109/JSTSP.2020.3008088","http://dx.doi.org/10.1109/JSTSP.2020.3008088")</f>
        <v>http://dx.doi.org/10.1109/JSTSP.2020.3008088</v>
      </c>
      <c r="BG2112" t="s">
        <v>74</v>
      </c>
      <c r="BH2112" t="s">
        <v>74</v>
      </c>
      <c r="BI2112">
        <v>8</v>
      </c>
      <c r="BJ2112" t="s">
        <v>20731</v>
      </c>
      <c r="BK2112" t="s">
        <v>209</v>
      </c>
      <c r="BL2112" t="s">
        <v>20474</v>
      </c>
      <c r="BM2112" t="s">
        <v>36106</v>
      </c>
      <c r="BN2112" t="s">
        <v>74</v>
      </c>
      <c r="BO2112" t="s">
        <v>2738</v>
      </c>
      <c r="BP2112" t="s">
        <v>74</v>
      </c>
      <c r="BQ2112" t="s">
        <v>74</v>
      </c>
      <c r="BR2112" t="s">
        <v>102</v>
      </c>
      <c r="BS2112" t="s">
        <v>36107</v>
      </c>
      <c r="BT2112" t="str">
        <f>HYPERLINK("https%3A%2F%2Fwww.webofscience.com%2Fwos%2Fwoscc%2Ffull-record%2FWOS:000564205000004","View Full Record in Web of Science")</f>
        <v>View Full Record in Web of Science</v>
      </c>
    </row>
    <row r="2113" spans="1:72" x14ac:dyDescent="0.35">
      <c r="A2113" t="s">
        <v>72</v>
      </c>
      <c r="B2113" t="s">
        <v>36108</v>
      </c>
      <c r="C2113" t="s">
        <v>74</v>
      </c>
      <c r="D2113" t="s">
        <v>74</v>
      </c>
      <c r="E2113" t="s">
        <v>74</v>
      </c>
      <c r="F2113" t="s">
        <v>36109</v>
      </c>
      <c r="G2113" t="s">
        <v>74</v>
      </c>
      <c r="H2113" t="s">
        <v>74</v>
      </c>
      <c r="I2113" t="s">
        <v>36110</v>
      </c>
      <c r="J2113" t="s">
        <v>36111</v>
      </c>
      <c r="K2113" t="s">
        <v>74</v>
      </c>
      <c r="L2113" t="s">
        <v>74</v>
      </c>
      <c r="M2113" t="s">
        <v>78</v>
      </c>
      <c r="N2113" t="s">
        <v>108</v>
      </c>
      <c r="O2113" t="s">
        <v>74</v>
      </c>
      <c r="P2113" t="s">
        <v>74</v>
      </c>
      <c r="Q2113" t="s">
        <v>74</v>
      </c>
      <c r="R2113" t="s">
        <v>74</v>
      </c>
      <c r="S2113" t="s">
        <v>74</v>
      </c>
      <c r="T2113" t="s">
        <v>36112</v>
      </c>
      <c r="U2113" t="s">
        <v>36113</v>
      </c>
      <c r="V2113" t="s">
        <v>36114</v>
      </c>
      <c r="W2113" t="s">
        <v>36115</v>
      </c>
      <c r="X2113" t="s">
        <v>36116</v>
      </c>
      <c r="Y2113" t="s">
        <v>36117</v>
      </c>
      <c r="Z2113" t="s">
        <v>36118</v>
      </c>
      <c r="AA2113" t="s">
        <v>36119</v>
      </c>
      <c r="AB2113" t="s">
        <v>36120</v>
      </c>
      <c r="AC2113" t="s">
        <v>74</v>
      </c>
      <c r="AD2113" t="s">
        <v>74</v>
      </c>
      <c r="AE2113" t="s">
        <v>74</v>
      </c>
      <c r="AF2113" t="s">
        <v>74</v>
      </c>
      <c r="AG2113">
        <v>55</v>
      </c>
      <c r="AH2113">
        <v>8</v>
      </c>
      <c r="AI2113">
        <v>10</v>
      </c>
      <c r="AJ2113">
        <v>15</v>
      </c>
      <c r="AK2113">
        <v>152</v>
      </c>
      <c r="AL2113" t="s">
        <v>251</v>
      </c>
      <c r="AM2113" t="s">
        <v>252</v>
      </c>
      <c r="AN2113" t="s">
        <v>253</v>
      </c>
      <c r="AO2113" t="s">
        <v>36121</v>
      </c>
      <c r="AP2113" t="s">
        <v>36122</v>
      </c>
      <c r="AQ2113" t="s">
        <v>74</v>
      </c>
      <c r="AR2113" t="s">
        <v>36123</v>
      </c>
      <c r="AS2113" t="s">
        <v>36124</v>
      </c>
      <c r="AT2113" t="s">
        <v>257</v>
      </c>
      <c r="AU2113">
        <v>2022</v>
      </c>
      <c r="AV2113">
        <v>59</v>
      </c>
      <c r="AW2113">
        <v>6</v>
      </c>
      <c r="AX2113" t="s">
        <v>74</v>
      </c>
      <c r="AY2113" t="s">
        <v>74</v>
      </c>
      <c r="AZ2113" t="s">
        <v>74</v>
      </c>
      <c r="BA2113" t="s">
        <v>74</v>
      </c>
      <c r="BB2113">
        <v>1075</v>
      </c>
      <c r="BC2113">
        <v>1087</v>
      </c>
      <c r="BD2113" t="s">
        <v>74</v>
      </c>
      <c r="BE2113" t="s">
        <v>36125</v>
      </c>
      <c r="BF2113" t="str">
        <f>HYPERLINK("http://dx.doi.org/10.1002/pits.22662","http://dx.doi.org/10.1002/pits.22662")</f>
        <v>http://dx.doi.org/10.1002/pits.22662</v>
      </c>
      <c r="BG2113" t="s">
        <v>74</v>
      </c>
      <c r="BH2113" t="s">
        <v>259</v>
      </c>
      <c r="BI2113">
        <v>13</v>
      </c>
      <c r="BJ2113" t="s">
        <v>9945</v>
      </c>
      <c r="BK2113" t="s">
        <v>99</v>
      </c>
      <c r="BL2113" t="s">
        <v>301</v>
      </c>
      <c r="BM2113" t="s">
        <v>36126</v>
      </c>
      <c r="BN2113" t="s">
        <v>74</v>
      </c>
      <c r="BO2113" t="s">
        <v>74</v>
      </c>
      <c r="BP2113" t="s">
        <v>74</v>
      </c>
      <c r="BQ2113" t="s">
        <v>74</v>
      </c>
      <c r="BR2113" t="s">
        <v>102</v>
      </c>
      <c r="BS2113" t="s">
        <v>36127</v>
      </c>
      <c r="BT2113" t="str">
        <f>HYPERLINK("https%3A%2F%2Fwww.webofscience.com%2Fwos%2Fwoscc%2Ffull-record%2FWOS:000751507600001","View Full Record in Web of Science")</f>
        <v>View Full Record in Web of Science</v>
      </c>
    </row>
    <row r="2114" spans="1:72" x14ac:dyDescent="0.35">
      <c r="A2114" t="s">
        <v>72</v>
      </c>
      <c r="B2114" t="s">
        <v>36128</v>
      </c>
      <c r="C2114" t="s">
        <v>74</v>
      </c>
      <c r="D2114" t="s">
        <v>74</v>
      </c>
      <c r="E2114" t="s">
        <v>74</v>
      </c>
      <c r="F2114" t="s">
        <v>36129</v>
      </c>
      <c r="G2114" t="s">
        <v>74</v>
      </c>
      <c r="H2114" t="s">
        <v>74</v>
      </c>
      <c r="I2114" t="s">
        <v>36130</v>
      </c>
      <c r="J2114" t="s">
        <v>36131</v>
      </c>
      <c r="K2114" t="s">
        <v>74</v>
      </c>
      <c r="L2114" t="s">
        <v>74</v>
      </c>
      <c r="M2114" t="s">
        <v>78</v>
      </c>
      <c r="N2114" t="s">
        <v>108</v>
      </c>
      <c r="O2114" t="s">
        <v>74</v>
      </c>
      <c r="P2114" t="s">
        <v>74</v>
      </c>
      <c r="Q2114" t="s">
        <v>74</v>
      </c>
      <c r="R2114" t="s">
        <v>74</v>
      </c>
      <c r="S2114" t="s">
        <v>74</v>
      </c>
      <c r="T2114" t="s">
        <v>36132</v>
      </c>
      <c r="U2114" t="s">
        <v>36133</v>
      </c>
      <c r="V2114" t="s">
        <v>36134</v>
      </c>
      <c r="W2114" t="s">
        <v>36135</v>
      </c>
      <c r="X2114" t="s">
        <v>36136</v>
      </c>
      <c r="Y2114" t="s">
        <v>36137</v>
      </c>
      <c r="Z2114" t="s">
        <v>36138</v>
      </c>
      <c r="AA2114" t="s">
        <v>36139</v>
      </c>
      <c r="AB2114" t="s">
        <v>36140</v>
      </c>
      <c r="AC2114" t="s">
        <v>74</v>
      </c>
      <c r="AD2114" t="s">
        <v>74</v>
      </c>
      <c r="AE2114" t="s">
        <v>74</v>
      </c>
      <c r="AF2114" t="s">
        <v>74</v>
      </c>
      <c r="AG2114">
        <v>41</v>
      </c>
      <c r="AH2114">
        <v>2</v>
      </c>
      <c r="AI2114">
        <v>2</v>
      </c>
      <c r="AJ2114">
        <v>2</v>
      </c>
      <c r="AK2114">
        <v>2</v>
      </c>
      <c r="AL2114" t="s">
        <v>11669</v>
      </c>
      <c r="AM2114" t="s">
        <v>1196</v>
      </c>
      <c r="AN2114" t="s">
        <v>11670</v>
      </c>
      <c r="AO2114" t="s">
        <v>36141</v>
      </c>
      <c r="AP2114" t="s">
        <v>36142</v>
      </c>
      <c r="AQ2114" t="s">
        <v>74</v>
      </c>
      <c r="AR2114" t="s">
        <v>36143</v>
      </c>
      <c r="AS2114" t="s">
        <v>36144</v>
      </c>
      <c r="AT2114" t="s">
        <v>257</v>
      </c>
      <c r="AU2114">
        <v>2024</v>
      </c>
      <c r="AV2114">
        <v>33</v>
      </c>
      <c r="AW2114">
        <v>3</v>
      </c>
      <c r="AX2114" t="s">
        <v>74</v>
      </c>
      <c r="AY2114" t="s">
        <v>74</v>
      </c>
      <c r="AZ2114" t="s">
        <v>74</v>
      </c>
      <c r="BA2114" t="s">
        <v>74</v>
      </c>
      <c r="BB2114">
        <v>232</v>
      </c>
      <c r="BC2114">
        <v>241</v>
      </c>
      <c r="BD2114" t="s">
        <v>74</v>
      </c>
      <c r="BE2114" t="s">
        <v>36145</v>
      </c>
      <c r="BF2114" t="str">
        <f>HYPERLINK("http://dx.doi.org/10.1159/000538346","http://dx.doi.org/10.1159/000538346")</f>
        <v>http://dx.doi.org/10.1159/000538346</v>
      </c>
      <c r="BG2114" t="s">
        <v>74</v>
      </c>
      <c r="BH2114" t="s">
        <v>74</v>
      </c>
      <c r="BI2114">
        <v>10</v>
      </c>
      <c r="BJ2114" t="s">
        <v>811</v>
      </c>
      <c r="BK2114" t="s">
        <v>209</v>
      </c>
      <c r="BL2114" t="s">
        <v>812</v>
      </c>
      <c r="BM2114" t="s">
        <v>36146</v>
      </c>
      <c r="BN2114">
        <v>38484723</v>
      </c>
      <c r="BO2114" t="s">
        <v>235</v>
      </c>
      <c r="BP2114" t="s">
        <v>74</v>
      </c>
      <c r="BQ2114" t="s">
        <v>74</v>
      </c>
      <c r="BR2114" t="s">
        <v>102</v>
      </c>
      <c r="BS2114" t="s">
        <v>36147</v>
      </c>
      <c r="BT2114" t="str">
        <f>HYPERLINK("https%3A%2F%2Fwww.webofscience.com%2Fwos%2Fwoscc%2Ffull-record%2FWOS:001243099000001","View Full Record in Web of Science")</f>
        <v>View Full Record in Web of Science</v>
      </c>
    </row>
    <row r="2115" spans="1:72" x14ac:dyDescent="0.35">
      <c r="A2115" t="s">
        <v>72</v>
      </c>
      <c r="B2115" t="s">
        <v>36148</v>
      </c>
      <c r="C2115" t="s">
        <v>74</v>
      </c>
      <c r="D2115" t="s">
        <v>74</v>
      </c>
      <c r="E2115" t="s">
        <v>74</v>
      </c>
      <c r="F2115" t="s">
        <v>36149</v>
      </c>
      <c r="G2115" t="s">
        <v>74</v>
      </c>
      <c r="H2115" t="s">
        <v>74</v>
      </c>
      <c r="I2115" t="s">
        <v>36150</v>
      </c>
      <c r="J2115" t="s">
        <v>16203</v>
      </c>
      <c r="K2115" t="s">
        <v>74</v>
      </c>
      <c r="L2115" t="s">
        <v>74</v>
      </c>
      <c r="M2115" t="s">
        <v>78</v>
      </c>
      <c r="N2115" t="s">
        <v>374</v>
      </c>
      <c r="O2115" t="s">
        <v>74</v>
      </c>
      <c r="P2115" t="s">
        <v>74</v>
      </c>
      <c r="Q2115" t="s">
        <v>74</v>
      </c>
      <c r="R2115" t="s">
        <v>74</v>
      </c>
      <c r="S2115" t="s">
        <v>74</v>
      </c>
      <c r="T2115" t="s">
        <v>36151</v>
      </c>
      <c r="U2115" t="s">
        <v>36152</v>
      </c>
      <c r="V2115" t="s">
        <v>36153</v>
      </c>
      <c r="W2115" t="s">
        <v>36154</v>
      </c>
      <c r="X2115" t="s">
        <v>36155</v>
      </c>
      <c r="Y2115" t="s">
        <v>36156</v>
      </c>
      <c r="Z2115" t="s">
        <v>36157</v>
      </c>
      <c r="AA2115" t="s">
        <v>36158</v>
      </c>
      <c r="AB2115" t="s">
        <v>36159</v>
      </c>
      <c r="AC2115" t="s">
        <v>74</v>
      </c>
      <c r="AD2115" t="s">
        <v>74</v>
      </c>
      <c r="AE2115" t="s">
        <v>74</v>
      </c>
      <c r="AF2115" t="s">
        <v>74</v>
      </c>
      <c r="AG2115">
        <v>72</v>
      </c>
      <c r="AH2115">
        <v>0</v>
      </c>
      <c r="AI2115">
        <v>0</v>
      </c>
      <c r="AJ2115">
        <v>0</v>
      </c>
      <c r="AK2115">
        <v>0</v>
      </c>
      <c r="AL2115" t="s">
        <v>384</v>
      </c>
      <c r="AM2115" t="s">
        <v>385</v>
      </c>
      <c r="AN2115" t="s">
        <v>386</v>
      </c>
      <c r="AO2115" t="s">
        <v>16213</v>
      </c>
      <c r="AP2115" t="s">
        <v>74</v>
      </c>
      <c r="AQ2115" t="s">
        <v>74</v>
      </c>
      <c r="AR2115" t="s">
        <v>16214</v>
      </c>
      <c r="AS2115" t="s">
        <v>16215</v>
      </c>
      <c r="AT2115" t="s">
        <v>36160</v>
      </c>
      <c r="AU2115">
        <v>2024</v>
      </c>
      <c r="AV2115">
        <v>15</v>
      </c>
      <c r="AW2115" t="s">
        <v>74</v>
      </c>
      <c r="AX2115" t="s">
        <v>74</v>
      </c>
      <c r="AY2115" t="s">
        <v>74</v>
      </c>
      <c r="AZ2115" t="s">
        <v>74</v>
      </c>
      <c r="BA2115" t="s">
        <v>74</v>
      </c>
      <c r="BB2115" t="s">
        <v>74</v>
      </c>
      <c r="BC2115" t="s">
        <v>74</v>
      </c>
      <c r="BD2115">
        <v>1255073</v>
      </c>
      <c r="BE2115" t="s">
        <v>36161</v>
      </c>
      <c r="BF2115" t="str">
        <f>HYPERLINK("http://dx.doi.org/10.3389/fpsyt.2024.1255073","http://dx.doi.org/10.3389/fpsyt.2024.1255073")</f>
        <v>http://dx.doi.org/10.3389/fpsyt.2024.1255073</v>
      </c>
      <c r="BG2115" t="s">
        <v>74</v>
      </c>
      <c r="BH2115" t="s">
        <v>74</v>
      </c>
      <c r="BI2115">
        <v>15</v>
      </c>
      <c r="BJ2115" t="s">
        <v>1847</v>
      </c>
      <c r="BK2115" t="s">
        <v>182</v>
      </c>
      <c r="BL2115" t="s">
        <v>1847</v>
      </c>
      <c r="BM2115" t="s">
        <v>36162</v>
      </c>
      <c r="BN2115">
        <v>38881547</v>
      </c>
      <c r="BO2115" t="s">
        <v>235</v>
      </c>
      <c r="BP2115" t="s">
        <v>74</v>
      </c>
      <c r="BQ2115" t="s">
        <v>74</v>
      </c>
      <c r="BR2115" t="s">
        <v>102</v>
      </c>
      <c r="BS2115" t="s">
        <v>36163</v>
      </c>
      <c r="BT2115" t="str">
        <f>HYPERLINK("https%3A%2F%2Fwww.webofscience.com%2Fwos%2Fwoscc%2Ffull-record%2FWOS:001246882400001","View Full Record in Web of Science")</f>
        <v>View Full Record in Web of Science</v>
      </c>
    </row>
    <row r="2116" spans="1:72" x14ac:dyDescent="0.35">
      <c r="A2116" t="s">
        <v>72</v>
      </c>
      <c r="B2116" t="s">
        <v>36164</v>
      </c>
      <c r="C2116" t="s">
        <v>74</v>
      </c>
      <c r="D2116" t="s">
        <v>74</v>
      </c>
      <c r="E2116" t="s">
        <v>74</v>
      </c>
      <c r="F2116" t="s">
        <v>36165</v>
      </c>
      <c r="G2116" t="s">
        <v>74</v>
      </c>
      <c r="H2116" t="s">
        <v>74</v>
      </c>
      <c r="I2116" t="s">
        <v>36166</v>
      </c>
      <c r="J2116" t="s">
        <v>36167</v>
      </c>
      <c r="K2116" t="s">
        <v>74</v>
      </c>
      <c r="L2116" t="s">
        <v>74</v>
      </c>
      <c r="M2116" t="s">
        <v>78</v>
      </c>
      <c r="N2116" t="s">
        <v>79</v>
      </c>
      <c r="O2116" t="s">
        <v>74</v>
      </c>
      <c r="P2116" t="s">
        <v>74</v>
      </c>
      <c r="Q2116" t="s">
        <v>74</v>
      </c>
      <c r="R2116" t="s">
        <v>74</v>
      </c>
      <c r="S2116" t="s">
        <v>74</v>
      </c>
      <c r="T2116" t="s">
        <v>36168</v>
      </c>
      <c r="U2116" t="s">
        <v>36169</v>
      </c>
      <c r="V2116" t="s">
        <v>36170</v>
      </c>
      <c r="W2116" t="s">
        <v>36171</v>
      </c>
      <c r="X2116" t="s">
        <v>36172</v>
      </c>
      <c r="Y2116" t="s">
        <v>36173</v>
      </c>
      <c r="Z2116" t="s">
        <v>36174</v>
      </c>
      <c r="AA2116" t="s">
        <v>74</v>
      </c>
      <c r="AB2116" t="s">
        <v>36175</v>
      </c>
      <c r="AC2116" t="s">
        <v>36176</v>
      </c>
      <c r="AD2116" t="s">
        <v>4847</v>
      </c>
      <c r="AE2116" t="s">
        <v>36177</v>
      </c>
      <c r="AF2116" t="s">
        <v>74</v>
      </c>
      <c r="AG2116">
        <v>34</v>
      </c>
      <c r="AH2116">
        <v>0</v>
      </c>
      <c r="AI2116">
        <v>0</v>
      </c>
      <c r="AJ2116">
        <v>4</v>
      </c>
      <c r="AK2116">
        <v>4</v>
      </c>
      <c r="AL2116" t="s">
        <v>9222</v>
      </c>
      <c r="AM2116" t="s">
        <v>227</v>
      </c>
      <c r="AN2116" t="s">
        <v>9223</v>
      </c>
      <c r="AO2116" t="s">
        <v>36178</v>
      </c>
      <c r="AP2116" t="s">
        <v>36179</v>
      </c>
      <c r="AQ2116" t="s">
        <v>74</v>
      </c>
      <c r="AR2116" t="s">
        <v>36180</v>
      </c>
      <c r="AS2116" t="s">
        <v>36181</v>
      </c>
      <c r="AT2116" t="s">
        <v>36182</v>
      </c>
      <c r="AU2116">
        <v>2024</v>
      </c>
      <c r="AV2116" t="s">
        <v>74</v>
      </c>
      <c r="AW2116" t="s">
        <v>74</v>
      </c>
      <c r="AX2116" t="s">
        <v>74</v>
      </c>
      <c r="AY2116" t="s">
        <v>74</v>
      </c>
      <c r="AZ2116" t="s">
        <v>74</v>
      </c>
      <c r="BA2116" t="s">
        <v>74</v>
      </c>
      <c r="BB2116" t="s">
        <v>74</v>
      </c>
      <c r="BC2116" t="s">
        <v>74</v>
      </c>
      <c r="BD2116" t="s">
        <v>74</v>
      </c>
      <c r="BE2116" t="s">
        <v>36183</v>
      </c>
      <c r="BF2116" t="str">
        <f>HYPERLINK("http://dx.doi.org/10.1136/ip-2023-045014","http://dx.doi.org/10.1136/ip-2023-045014")</f>
        <v>http://dx.doi.org/10.1136/ip-2023-045014</v>
      </c>
      <c r="BG2116" t="s">
        <v>74</v>
      </c>
      <c r="BH2116" t="s">
        <v>1467</v>
      </c>
      <c r="BI2116">
        <v>7</v>
      </c>
      <c r="BJ2116" t="s">
        <v>392</v>
      </c>
      <c r="BK2116" t="s">
        <v>182</v>
      </c>
      <c r="BL2116" t="s">
        <v>392</v>
      </c>
      <c r="BM2116" t="s">
        <v>36184</v>
      </c>
      <c r="BN2116">
        <v>38768979</v>
      </c>
      <c r="BO2116" t="s">
        <v>74</v>
      </c>
      <c r="BP2116" t="s">
        <v>74</v>
      </c>
      <c r="BQ2116" t="s">
        <v>74</v>
      </c>
      <c r="BR2116" t="s">
        <v>102</v>
      </c>
      <c r="BS2116" t="s">
        <v>36185</v>
      </c>
      <c r="BT2116" t="str">
        <f>HYPERLINK("https%3A%2F%2Fwww.webofscience.com%2Fwos%2Fwoscc%2Ffull-record%2FWOS:001229581100001","View Full Record in Web of Science")</f>
        <v>View Full Record in Web of Science</v>
      </c>
    </row>
    <row r="2117" spans="1:72" x14ac:dyDescent="0.35">
      <c r="A2117" t="s">
        <v>72</v>
      </c>
      <c r="B2117" t="s">
        <v>36186</v>
      </c>
      <c r="C2117" t="s">
        <v>74</v>
      </c>
      <c r="D2117" t="s">
        <v>74</v>
      </c>
      <c r="E2117" t="s">
        <v>74</v>
      </c>
      <c r="F2117" t="s">
        <v>36187</v>
      </c>
      <c r="G2117" t="s">
        <v>74</v>
      </c>
      <c r="H2117" t="s">
        <v>74</v>
      </c>
      <c r="I2117" t="s">
        <v>36188</v>
      </c>
      <c r="J2117" t="s">
        <v>36189</v>
      </c>
      <c r="K2117" t="s">
        <v>74</v>
      </c>
      <c r="L2117" t="s">
        <v>74</v>
      </c>
      <c r="M2117" t="s">
        <v>78</v>
      </c>
      <c r="N2117" t="s">
        <v>108</v>
      </c>
      <c r="O2117" t="s">
        <v>74</v>
      </c>
      <c r="P2117" t="s">
        <v>74</v>
      </c>
      <c r="Q2117" t="s">
        <v>74</v>
      </c>
      <c r="R2117" t="s">
        <v>74</v>
      </c>
      <c r="S2117" t="s">
        <v>74</v>
      </c>
      <c r="T2117" t="s">
        <v>36190</v>
      </c>
      <c r="U2117" t="s">
        <v>74</v>
      </c>
      <c r="V2117" t="s">
        <v>36191</v>
      </c>
      <c r="W2117" t="s">
        <v>36192</v>
      </c>
      <c r="X2117" t="s">
        <v>74</v>
      </c>
      <c r="Y2117" t="s">
        <v>36193</v>
      </c>
      <c r="Z2117" t="s">
        <v>36194</v>
      </c>
      <c r="AA2117" t="s">
        <v>74</v>
      </c>
      <c r="AB2117" t="s">
        <v>74</v>
      </c>
      <c r="AC2117" t="s">
        <v>74</v>
      </c>
      <c r="AD2117" t="s">
        <v>74</v>
      </c>
      <c r="AE2117" t="s">
        <v>74</v>
      </c>
      <c r="AF2117" t="s">
        <v>74</v>
      </c>
      <c r="AG2117">
        <v>5</v>
      </c>
      <c r="AH2117">
        <v>0</v>
      </c>
      <c r="AI2117">
        <v>0</v>
      </c>
      <c r="AJ2117">
        <v>0</v>
      </c>
      <c r="AK2117">
        <v>0</v>
      </c>
      <c r="AL2117" t="s">
        <v>3489</v>
      </c>
      <c r="AM2117" t="s">
        <v>3490</v>
      </c>
      <c r="AN2117" t="s">
        <v>3491</v>
      </c>
      <c r="AO2117" t="s">
        <v>36195</v>
      </c>
      <c r="AP2117" t="s">
        <v>36196</v>
      </c>
      <c r="AQ2117" t="s">
        <v>74</v>
      </c>
      <c r="AR2117" t="s">
        <v>36197</v>
      </c>
      <c r="AS2117" t="s">
        <v>36198</v>
      </c>
      <c r="AT2117" t="s">
        <v>1484</v>
      </c>
      <c r="AU2117">
        <v>2024</v>
      </c>
      <c r="AV2117">
        <v>55</v>
      </c>
      <c r="AW2117">
        <v>3</v>
      </c>
      <c r="AX2117" t="s">
        <v>74</v>
      </c>
      <c r="AY2117" t="s">
        <v>74</v>
      </c>
      <c r="AZ2117" t="s">
        <v>74</v>
      </c>
      <c r="BA2117" t="s">
        <v>74</v>
      </c>
      <c r="BB2117">
        <v>441</v>
      </c>
      <c r="BC2117">
        <v>453</v>
      </c>
      <c r="BD2117" t="s">
        <v>74</v>
      </c>
      <c r="BE2117" t="s">
        <v>36199</v>
      </c>
      <c r="BF2117" t="str">
        <f>HYPERLINK("http://dx.doi.org/10.1007/s40319-024-01453-9","http://dx.doi.org/10.1007/s40319-024-01453-9")</f>
        <v>http://dx.doi.org/10.1007/s40319-024-01453-9</v>
      </c>
      <c r="BG2117" t="s">
        <v>74</v>
      </c>
      <c r="BH2117" t="s">
        <v>123</v>
      </c>
      <c r="BI2117">
        <v>13</v>
      </c>
      <c r="BJ2117" t="s">
        <v>10320</v>
      </c>
      <c r="BK2117" t="s">
        <v>125</v>
      </c>
      <c r="BL2117" t="s">
        <v>8015</v>
      </c>
      <c r="BM2117" t="s">
        <v>36200</v>
      </c>
      <c r="BN2117" t="s">
        <v>74</v>
      </c>
      <c r="BO2117" t="s">
        <v>74</v>
      </c>
      <c r="BP2117" t="s">
        <v>74</v>
      </c>
      <c r="BQ2117" t="s">
        <v>74</v>
      </c>
      <c r="BR2117" t="s">
        <v>102</v>
      </c>
      <c r="BS2117" t="s">
        <v>36201</v>
      </c>
      <c r="BT2117" t="str">
        <f>HYPERLINK("https%3A%2F%2Fwww.webofscience.com%2Fwos%2Fwoscc%2Ffull-record%2FWOS:001194849400001","View Full Record in Web of Science")</f>
        <v>View Full Record in Web of Science</v>
      </c>
    </row>
    <row r="2118" spans="1:72" x14ac:dyDescent="0.35">
      <c r="A2118" t="s">
        <v>72</v>
      </c>
      <c r="B2118" t="s">
        <v>36202</v>
      </c>
      <c r="C2118" t="s">
        <v>74</v>
      </c>
      <c r="D2118" t="s">
        <v>74</v>
      </c>
      <c r="E2118" t="s">
        <v>74</v>
      </c>
      <c r="F2118" t="s">
        <v>36203</v>
      </c>
      <c r="G2118" t="s">
        <v>74</v>
      </c>
      <c r="H2118" t="s">
        <v>74</v>
      </c>
      <c r="I2118" t="s">
        <v>36204</v>
      </c>
      <c r="J2118" t="s">
        <v>36205</v>
      </c>
      <c r="K2118" t="s">
        <v>74</v>
      </c>
      <c r="L2118" t="s">
        <v>74</v>
      </c>
      <c r="M2118" t="s">
        <v>78</v>
      </c>
      <c r="N2118" t="s">
        <v>108</v>
      </c>
      <c r="O2118" t="s">
        <v>74</v>
      </c>
      <c r="P2118" t="s">
        <v>74</v>
      </c>
      <c r="Q2118" t="s">
        <v>74</v>
      </c>
      <c r="R2118" t="s">
        <v>74</v>
      </c>
      <c r="S2118" t="s">
        <v>74</v>
      </c>
      <c r="T2118" t="s">
        <v>36206</v>
      </c>
      <c r="U2118" t="s">
        <v>36207</v>
      </c>
      <c r="V2118" t="s">
        <v>36208</v>
      </c>
      <c r="W2118" t="s">
        <v>36209</v>
      </c>
      <c r="X2118" t="s">
        <v>36210</v>
      </c>
      <c r="Y2118" t="s">
        <v>36211</v>
      </c>
      <c r="Z2118" t="s">
        <v>36212</v>
      </c>
      <c r="AA2118" t="s">
        <v>74</v>
      </c>
      <c r="AB2118" t="s">
        <v>74</v>
      </c>
      <c r="AC2118" t="s">
        <v>74</v>
      </c>
      <c r="AD2118" t="s">
        <v>74</v>
      </c>
      <c r="AE2118" t="s">
        <v>74</v>
      </c>
      <c r="AF2118" t="s">
        <v>74</v>
      </c>
      <c r="AG2118">
        <v>86</v>
      </c>
      <c r="AH2118">
        <v>1</v>
      </c>
      <c r="AI2118">
        <v>1</v>
      </c>
      <c r="AJ2118">
        <v>1</v>
      </c>
      <c r="AK2118">
        <v>2</v>
      </c>
      <c r="AL2118" t="s">
        <v>1588</v>
      </c>
      <c r="AM2118" t="s">
        <v>1589</v>
      </c>
      <c r="AN2118" t="s">
        <v>1590</v>
      </c>
      <c r="AO2118" t="s">
        <v>36213</v>
      </c>
      <c r="AP2118" t="s">
        <v>36214</v>
      </c>
      <c r="AQ2118" t="s">
        <v>74</v>
      </c>
      <c r="AR2118" t="s">
        <v>36215</v>
      </c>
      <c r="AS2118" t="s">
        <v>36216</v>
      </c>
      <c r="AT2118" t="s">
        <v>455</v>
      </c>
      <c r="AU2118">
        <v>2024</v>
      </c>
      <c r="AV2118">
        <v>20</v>
      </c>
      <c r="AW2118">
        <v>3</v>
      </c>
      <c r="AX2118" t="s">
        <v>74</v>
      </c>
      <c r="AY2118" t="s">
        <v>74</v>
      </c>
      <c r="AZ2118" t="s">
        <v>74</v>
      </c>
      <c r="BA2118" t="s">
        <v>74</v>
      </c>
      <c r="BB2118">
        <v>350</v>
      </c>
      <c r="BC2118">
        <v>362</v>
      </c>
      <c r="BD2118" t="s">
        <v>74</v>
      </c>
      <c r="BE2118" t="s">
        <v>36217</v>
      </c>
      <c r="BF2118" t="str">
        <f>HYPERLINK("http://dx.doi.org/10.1057/s41254-023-00318-1","http://dx.doi.org/10.1057/s41254-023-00318-1")</f>
        <v>http://dx.doi.org/10.1057/s41254-023-00318-1</v>
      </c>
      <c r="BG2118" t="s">
        <v>74</v>
      </c>
      <c r="BH2118" t="s">
        <v>1377</v>
      </c>
      <c r="BI2118">
        <v>13</v>
      </c>
      <c r="BJ2118" t="s">
        <v>574</v>
      </c>
      <c r="BK2118" t="s">
        <v>125</v>
      </c>
      <c r="BL2118" t="s">
        <v>100</v>
      </c>
      <c r="BM2118" t="s">
        <v>36218</v>
      </c>
      <c r="BN2118" t="s">
        <v>74</v>
      </c>
      <c r="BO2118" t="s">
        <v>74</v>
      </c>
      <c r="BP2118" t="s">
        <v>74</v>
      </c>
      <c r="BQ2118" t="s">
        <v>74</v>
      </c>
      <c r="BR2118" t="s">
        <v>102</v>
      </c>
      <c r="BS2118" t="s">
        <v>36219</v>
      </c>
      <c r="BT2118" t="str">
        <f>HYPERLINK("https%3A%2F%2Fwww.webofscience.com%2Fwos%2Fwoscc%2Ffull-record%2FWOS:001143953100001","View Full Record in Web of Science")</f>
        <v>View Full Record in Web of Science</v>
      </c>
    </row>
    <row r="2119" spans="1:72" x14ac:dyDescent="0.35">
      <c r="A2119" t="s">
        <v>72</v>
      </c>
      <c r="B2119" t="s">
        <v>19441</v>
      </c>
      <c r="C2119" t="s">
        <v>74</v>
      </c>
      <c r="D2119" t="s">
        <v>74</v>
      </c>
      <c r="E2119" t="s">
        <v>74</v>
      </c>
      <c r="F2119" t="s">
        <v>19442</v>
      </c>
      <c r="G2119" t="s">
        <v>74</v>
      </c>
      <c r="H2119" t="s">
        <v>74</v>
      </c>
      <c r="I2119" t="s">
        <v>36220</v>
      </c>
      <c r="J2119" t="s">
        <v>36221</v>
      </c>
      <c r="K2119" t="s">
        <v>74</v>
      </c>
      <c r="L2119" t="s">
        <v>74</v>
      </c>
      <c r="M2119" t="s">
        <v>78</v>
      </c>
      <c r="N2119" t="s">
        <v>108</v>
      </c>
      <c r="O2119" t="s">
        <v>74</v>
      </c>
      <c r="P2119" t="s">
        <v>74</v>
      </c>
      <c r="Q2119" t="s">
        <v>74</v>
      </c>
      <c r="R2119" t="s">
        <v>74</v>
      </c>
      <c r="S2119" t="s">
        <v>74</v>
      </c>
      <c r="T2119" t="s">
        <v>36222</v>
      </c>
      <c r="U2119" t="s">
        <v>36223</v>
      </c>
      <c r="V2119" t="s">
        <v>36224</v>
      </c>
      <c r="W2119" t="s">
        <v>36225</v>
      </c>
      <c r="X2119" t="s">
        <v>36226</v>
      </c>
      <c r="Y2119" t="s">
        <v>36227</v>
      </c>
      <c r="Z2119" t="s">
        <v>36228</v>
      </c>
      <c r="AA2119" t="s">
        <v>19452</v>
      </c>
      <c r="AB2119" t="s">
        <v>36229</v>
      </c>
      <c r="AC2119" t="s">
        <v>74</v>
      </c>
      <c r="AD2119" t="s">
        <v>74</v>
      </c>
      <c r="AE2119" t="s">
        <v>74</v>
      </c>
      <c r="AF2119" t="s">
        <v>74</v>
      </c>
      <c r="AG2119">
        <v>66</v>
      </c>
      <c r="AH2119">
        <v>2</v>
      </c>
      <c r="AI2119">
        <v>2</v>
      </c>
      <c r="AJ2119">
        <v>6</v>
      </c>
      <c r="AK2119">
        <v>17</v>
      </c>
      <c r="AL2119" t="s">
        <v>199</v>
      </c>
      <c r="AM2119" t="s">
        <v>15416</v>
      </c>
      <c r="AN2119" t="s">
        <v>15417</v>
      </c>
      <c r="AO2119" t="s">
        <v>36230</v>
      </c>
      <c r="AP2119" t="s">
        <v>36231</v>
      </c>
      <c r="AQ2119" t="s">
        <v>74</v>
      </c>
      <c r="AR2119" t="s">
        <v>36232</v>
      </c>
      <c r="AS2119" t="s">
        <v>36233</v>
      </c>
      <c r="AT2119" t="s">
        <v>36234</v>
      </c>
      <c r="AU2119">
        <v>2023</v>
      </c>
      <c r="AV2119">
        <v>16</v>
      </c>
      <c r="AW2119">
        <v>3</v>
      </c>
      <c r="AX2119" t="s">
        <v>74</v>
      </c>
      <c r="AY2119" t="s">
        <v>74</v>
      </c>
      <c r="AZ2119" t="s">
        <v>74</v>
      </c>
      <c r="BA2119" t="s">
        <v>74</v>
      </c>
      <c r="BB2119">
        <v>440</v>
      </c>
      <c r="BC2119">
        <v>462</v>
      </c>
      <c r="BD2119" t="s">
        <v>74</v>
      </c>
      <c r="BE2119" t="s">
        <v>36235</v>
      </c>
      <c r="BF2119" t="str">
        <f>HYPERLINK("http://dx.doi.org/10.1108/JPMD-02-2022-0018","http://dx.doi.org/10.1108/JPMD-02-2022-0018")</f>
        <v>http://dx.doi.org/10.1108/JPMD-02-2022-0018</v>
      </c>
      <c r="BG2119" t="s">
        <v>74</v>
      </c>
      <c r="BH2119" t="s">
        <v>1180</v>
      </c>
      <c r="BI2119">
        <v>23</v>
      </c>
      <c r="BJ2119" t="s">
        <v>574</v>
      </c>
      <c r="BK2119" t="s">
        <v>125</v>
      </c>
      <c r="BL2119" t="s">
        <v>100</v>
      </c>
      <c r="BM2119" t="s">
        <v>36236</v>
      </c>
      <c r="BN2119" t="s">
        <v>74</v>
      </c>
      <c r="BO2119" t="s">
        <v>23381</v>
      </c>
      <c r="BP2119" t="s">
        <v>74</v>
      </c>
      <c r="BQ2119" t="s">
        <v>74</v>
      </c>
      <c r="BR2119" t="s">
        <v>102</v>
      </c>
      <c r="BS2119" t="s">
        <v>36237</v>
      </c>
      <c r="BT2119" t="str">
        <f>HYPERLINK("https%3A%2F%2Fwww.webofscience.com%2Fwos%2Fwoscc%2Ffull-record%2FWOS:001025925300001","View Full Record in Web of Science")</f>
        <v>View Full Record in Web of Science</v>
      </c>
    </row>
    <row r="2120" spans="1:72" x14ac:dyDescent="0.35">
      <c r="A2120" t="s">
        <v>72</v>
      </c>
      <c r="B2120" t="s">
        <v>36238</v>
      </c>
      <c r="C2120" t="s">
        <v>74</v>
      </c>
      <c r="D2120" t="s">
        <v>74</v>
      </c>
      <c r="E2120" t="s">
        <v>74</v>
      </c>
      <c r="F2120" t="s">
        <v>36239</v>
      </c>
      <c r="G2120" t="s">
        <v>74</v>
      </c>
      <c r="H2120" t="s">
        <v>74</v>
      </c>
      <c r="I2120" t="s">
        <v>36240</v>
      </c>
      <c r="J2120" t="s">
        <v>9554</v>
      </c>
      <c r="K2120" t="s">
        <v>74</v>
      </c>
      <c r="L2120" t="s">
        <v>74</v>
      </c>
      <c r="M2120" t="s">
        <v>78</v>
      </c>
      <c r="N2120" t="s">
        <v>108</v>
      </c>
      <c r="O2120" t="s">
        <v>74</v>
      </c>
      <c r="P2120" t="s">
        <v>74</v>
      </c>
      <c r="Q2120" t="s">
        <v>74</v>
      </c>
      <c r="R2120" t="s">
        <v>74</v>
      </c>
      <c r="S2120" t="s">
        <v>74</v>
      </c>
      <c r="T2120" t="s">
        <v>36241</v>
      </c>
      <c r="U2120" t="s">
        <v>74</v>
      </c>
      <c r="V2120" t="s">
        <v>36242</v>
      </c>
      <c r="W2120" t="s">
        <v>36243</v>
      </c>
      <c r="X2120" t="s">
        <v>36244</v>
      </c>
      <c r="Y2120" t="s">
        <v>36245</v>
      </c>
      <c r="Z2120" t="s">
        <v>17181</v>
      </c>
      <c r="AA2120" t="s">
        <v>17182</v>
      </c>
      <c r="AB2120" t="s">
        <v>36246</v>
      </c>
      <c r="AC2120" t="s">
        <v>74</v>
      </c>
      <c r="AD2120" t="s">
        <v>74</v>
      </c>
      <c r="AE2120" t="s">
        <v>74</v>
      </c>
      <c r="AF2120" t="s">
        <v>74</v>
      </c>
      <c r="AG2120">
        <v>17</v>
      </c>
      <c r="AH2120">
        <v>3</v>
      </c>
      <c r="AI2120">
        <v>3</v>
      </c>
      <c r="AJ2120">
        <v>1</v>
      </c>
      <c r="AK2120">
        <v>9</v>
      </c>
      <c r="AL2120" t="s">
        <v>251</v>
      </c>
      <c r="AM2120" t="s">
        <v>252</v>
      </c>
      <c r="AN2120" t="s">
        <v>253</v>
      </c>
      <c r="AO2120" t="s">
        <v>9563</v>
      </c>
      <c r="AP2120" t="s">
        <v>9564</v>
      </c>
      <c r="AQ2120" t="s">
        <v>74</v>
      </c>
      <c r="AR2120" t="s">
        <v>9565</v>
      </c>
      <c r="AS2120" t="s">
        <v>9566</v>
      </c>
      <c r="AT2120" t="s">
        <v>523</v>
      </c>
      <c r="AU2120">
        <v>2022</v>
      </c>
      <c r="AV2120">
        <v>21</v>
      </c>
      <c r="AW2120">
        <v>11</v>
      </c>
      <c r="AX2120" t="s">
        <v>74</v>
      </c>
      <c r="AY2120" t="s">
        <v>74</v>
      </c>
      <c r="AZ2120" t="s">
        <v>74</v>
      </c>
      <c r="BA2120" t="s">
        <v>74</v>
      </c>
      <c r="BB2120">
        <v>5902</v>
      </c>
      <c r="BC2120">
        <v>5909</v>
      </c>
      <c r="BD2120" t="s">
        <v>74</v>
      </c>
      <c r="BE2120" t="s">
        <v>36247</v>
      </c>
      <c r="BF2120" t="str">
        <f>HYPERLINK("http://dx.doi.org/10.1111/jocd.15194","http://dx.doi.org/10.1111/jocd.15194")</f>
        <v>http://dx.doi.org/10.1111/jocd.15194</v>
      </c>
      <c r="BG2120" t="s">
        <v>74</v>
      </c>
      <c r="BH2120" t="s">
        <v>2175</v>
      </c>
      <c r="BI2120">
        <v>8</v>
      </c>
      <c r="BJ2120" t="s">
        <v>1341</v>
      </c>
      <c r="BK2120" t="s">
        <v>209</v>
      </c>
      <c r="BL2120" t="s">
        <v>1341</v>
      </c>
      <c r="BM2120" t="s">
        <v>36248</v>
      </c>
      <c r="BN2120">
        <v>35771195</v>
      </c>
      <c r="BO2120" t="s">
        <v>74</v>
      </c>
      <c r="BP2120" t="s">
        <v>74</v>
      </c>
      <c r="BQ2120" t="s">
        <v>74</v>
      </c>
      <c r="BR2120" t="s">
        <v>102</v>
      </c>
      <c r="BS2120" t="s">
        <v>36249</v>
      </c>
      <c r="BT2120" t="str">
        <f>HYPERLINK("https%3A%2F%2Fwww.webofscience.com%2Fwos%2Fwoscc%2Ffull-record%2FWOS:000827104900001","View Full Record in Web of Science")</f>
        <v>View Full Record in Web of Science</v>
      </c>
    </row>
    <row r="2121" spans="1:72" x14ac:dyDescent="0.35">
      <c r="A2121" t="s">
        <v>72</v>
      </c>
      <c r="B2121" t="s">
        <v>36250</v>
      </c>
      <c r="C2121" t="s">
        <v>74</v>
      </c>
      <c r="D2121" t="s">
        <v>74</v>
      </c>
      <c r="E2121" t="s">
        <v>74</v>
      </c>
      <c r="F2121" t="s">
        <v>36251</v>
      </c>
      <c r="G2121" t="s">
        <v>74</v>
      </c>
      <c r="H2121" t="s">
        <v>74</v>
      </c>
      <c r="I2121" t="s">
        <v>36252</v>
      </c>
      <c r="J2121" t="s">
        <v>36253</v>
      </c>
      <c r="K2121" t="s">
        <v>74</v>
      </c>
      <c r="L2121" t="s">
        <v>74</v>
      </c>
      <c r="M2121" t="s">
        <v>78</v>
      </c>
      <c r="N2121" t="s">
        <v>108</v>
      </c>
      <c r="O2121" t="s">
        <v>74</v>
      </c>
      <c r="P2121" t="s">
        <v>74</v>
      </c>
      <c r="Q2121" t="s">
        <v>74</v>
      </c>
      <c r="R2121" t="s">
        <v>74</v>
      </c>
      <c r="S2121" t="s">
        <v>74</v>
      </c>
      <c r="T2121" t="s">
        <v>36254</v>
      </c>
      <c r="U2121" t="s">
        <v>36255</v>
      </c>
      <c r="V2121" t="s">
        <v>36256</v>
      </c>
      <c r="W2121" t="s">
        <v>36257</v>
      </c>
      <c r="X2121" t="s">
        <v>17693</v>
      </c>
      <c r="Y2121" t="s">
        <v>36258</v>
      </c>
      <c r="Z2121" t="s">
        <v>36259</v>
      </c>
      <c r="AA2121" t="s">
        <v>74</v>
      </c>
      <c r="AB2121" t="s">
        <v>36260</v>
      </c>
      <c r="AC2121" t="s">
        <v>36261</v>
      </c>
      <c r="AD2121" t="s">
        <v>36262</v>
      </c>
      <c r="AE2121" t="s">
        <v>36263</v>
      </c>
      <c r="AF2121" t="s">
        <v>74</v>
      </c>
      <c r="AG2121">
        <v>40</v>
      </c>
      <c r="AH2121">
        <v>2</v>
      </c>
      <c r="AI2121">
        <v>2</v>
      </c>
      <c r="AJ2121">
        <v>61</v>
      </c>
      <c r="AK2121">
        <v>93</v>
      </c>
      <c r="AL2121" t="s">
        <v>290</v>
      </c>
      <c r="AM2121" t="s">
        <v>291</v>
      </c>
      <c r="AN2121" t="s">
        <v>292</v>
      </c>
      <c r="AO2121" t="s">
        <v>36264</v>
      </c>
      <c r="AP2121" t="s">
        <v>36265</v>
      </c>
      <c r="AQ2121" t="s">
        <v>74</v>
      </c>
      <c r="AR2121" t="s">
        <v>36266</v>
      </c>
      <c r="AS2121" t="s">
        <v>36267</v>
      </c>
      <c r="AT2121" t="s">
        <v>930</v>
      </c>
      <c r="AU2121">
        <v>2024</v>
      </c>
      <c r="AV2121">
        <v>124</v>
      </c>
      <c r="AW2121" t="s">
        <v>74</v>
      </c>
      <c r="AX2121" t="s">
        <v>74</v>
      </c>
      <c r="AY2121" t="s">
        <v>74</v>
      </c>
      <c r="AZ2121" t="s">
        <v>74</v>
      </c>
      <c r="BA2121" t="s">
        <v>74</v>
      </c>
      <c r="BB2121" t="s">
        <v>74</v>
      </c>
      <c r="BC2121" t="s">
        <v>74</v>
      </c>
      <c r="BD2121">
        <v>103014</v>
      </c>
      <c r="BE2121" t="s">
        <v>36268</v>
      </c>
      <c r="BF2121" t="str">
        <f>HYPERLINK("http://dx.doi.org/10.1016/j.omega.2023.103014","http://dx.doi.org/10.1016/j.omega.2023.103014")</f>
        <v>http://dx.doi.org/10.1016/j.omega.2023.103014</v>
      </c>
      <c r="BG2121" t="s">
        <v>74</v>
      </c>
      <c r="BH2121" t="s">
        <v>1449</v>
      </c>
      <c r="BI2121">
        <v>13</v>
      </c>
      <c r="BJ2121" t="s">
        <v>35843</v>
      </c>
      <c r="BK2121" t="s">
        <v>182</v>
      </c>
      <c r="BL2121" t="s">
        <v>35844</v>
      </c>
      <c r="BM2121" t="s">
        <v>36269</v>
      </c>
      <c r="BN2121" t="s">
        <v>74</v>
      </c>
      <c r="BO2121" t="s">
        <v>74</v>
      </c>
      <c r="BP2121" t="s">
        <v>74</v>
      </c>
      <c r="BQ2121" t="s">
        <v>74</v>
      </c>
      <c r="BR2121" t="s">
        <v>102</v>
      </c>
      <c r="BS2121" t="s">
        <v>36270</v>
      </c>
      <c r="BT2121" t="str">
        <f>HYPERLINK("https%3A%2F%2Fwww.webofscience.com%2Fwos%2Fwoscc%2Ffull-record%2FWOS:001138592500001","View Full Record in Web of Science")</f>
        <v>View Full Record in Web of Science</v>
      </c>
    </row>
    <row r="2122" spans="1:72" x14ac:dyDescent="0.35">
      <c r="A2122" t="s">
        <v>72</v>
      </c>
      <c r="B2122" t="s">
        <v>36271</v>
      </c>
      <c r="C2122" t="s">
        <v>74</v>
      </c>
      <c r="D2122" t="s">
        <v>74</v>
      </c>
      <c r="E2122" t="s">
        <v>74</v>
      </c>
      <c r="F2122" t="s">
        <v>36272</v>
      </c>
      <c r="G2122" t="s">
        <v>74</v>
      </c>
      <c r="H2122" t="s">
        <v>74</v>
      </c>
      <c r="I2122" t="s">
        <v>36273</v>
      </c>
      <c r="J2122" t="s">
        <v>36274</v>
      </c>
      <c r="K2122" t="s">
        <v>74</v>
      </c>
      <c r="L2122" t="s">
        <v>74</v>
      </c>
      <c r="M2122" t="s">
        <v>78</v>
      </c>
      <c r="N2122" t="s">
        <v>108</v>
      </c>
      <c r="O2122" t="s">
        <v>74</v>
      </c>
      <c r="P2122" t="s">
        <v>74</v>
      </c>
      <c r="Q2122" t="s">
        <v>74</v>
      </c>
      <c r="R2122" t="s">
        <v>74</v>
      </c>
      <c r="S2122" t="s">
        <v>74</v>
      </c>
      <c r="T2122" t="s">
        <v>36275</v>
      </c>
      <c r="U2122" t="s">
        <v>74</v>
      </c>
      <c r="V2122" t="s">
        <v>36276</v>
      </c>
      <c r="W2122" t="s">
        <v>36277</v>
      </c>
      <c r="X2122" t="s">
        <v>36278</v>
      </c>
      <c r="Y2122" t="s">
        <v>36279</v>
      </c>
      <c r="Z2122" t="s">
        <v>36280</v>
      </c>
      <c r="AA2122" t="s">
        <v>74</v>
      </c>
      <c r="AB2122" t="s">
        <v>74</v>
      </c>
      <c r="AC2122" t="s">
        <v>74</v>
      </c>
      <c r="AD2122" t="s">
        <v>74</v>
      </c>
      <c r="AE2122" t="s">
        <v>74</v>
      </c>
      <c r="AF2122" t="s">
        <v>74</v>
      </c>
      <c r="AG2122">
        <v>44</v>
      </c>
      <c r="AH2122">
        <v>4</v>
      </c>
      <c r="AI2122">
        <v>4</v>
      </c>
      <c r="AJ2122">
        <v>3</v>
      </c>
      <c r="AK2122">
        <v>14</v>
      </c>
      <c r="AL2122" t="s">
        <v>88</v>
      </c>
      <c r="AM2122" t="s">
        <v>89</v>
      </c>
      <c r="AN2122" t="s">
        <v>90</v>
      </c>
      <c r="AO2122" t="s">
        <v>36281</v>
      </c>
      <c r="AP2122" t="s">
        <v>36282</v>
      </c>
      <c r="AQ2122" t="s">
        <v>74</v>
      </c>
      <c r="AR2122" t="s">
        <v>36283</v>
      </c>
      <c r="AS2122" t="s">
        <v>36284</v>
      </c>
      <c r="AT2122" t="s">
        <v>36285</v>
      </c>
      <c r="AU2122">
        <v>2023</v>
      </c>
      <c r="AV2122">
        <v>49</v>
      </c>
      <c r="AW2122">
        <v>5</v>
      </c>
      <c r="AX2122" t="s">
        <v>74</v>
      </c>
      <c r="AY2122" t="s">
        <v>74</v>
      </c>
      <c r="AZ2122" t="s">
        <v>74</v>
      </c>
      <c r="BA2122" t="s">
        <v>74</v>
      </c>
      <c r="BB2122">
        <v>595</v>
      </c>
      <c r="BC2122">
        <v>606</v>
      </c>
      <c r="BD2122" t="s">
        <v>74</v>
      </c>
      <c r="BE2122" t="s">
        <v>36286</v>
      </c>
      <c r="BF2122" t="str">
        <f>HYPERLINK("http://dx.doi.org/10.1080/01488376.2023.2254804","http://dx.doi.org/10.1080/01488376.2023.2254804")</f>
        <v>http://dx.doi.org/10.1080/01488376.2023.2254804</v>
      </c>
      <c r="BG2122" t="s">
        <v>74</v>
      </c>
      <c r="BH2122" t="s">
        <v>3138</v>
      </c>
      <c r="BI2122">
        <v>12</v>
      </c>
      <c r="BJ2122" t="s">
        <v>26595</v>
      </c>
      <c r="BK2122" t="s">
        <v>99</v>
      </c>
      <c r="BL2122" t="s">
        <v>26595</v>
      </c>
      <c r="BM2122" t="s">
        <v>36287</v>
      </c>
      <c r="BN2122" t="s">
        <v>74</v>
      </c>
      <c r="BO2122" t="s">
        <v>74</v>
      </c>
      <c r="BP2122" t="s">
        <v>74</v>
      </c>
      <c r="BQ2122" t="s">
        <v>74</v>
      </c>
      <c r="BR2122" t="s">
        <v>102</v>
      </c>
      <c r="BS2122" t="s">
        <v>36288</v>
      </c>
      <c r="BT2122" t="str">
        <f>HYPERLINK("https%3A%2F%2Fwww.webofscience.com%2Fwos%2Fwoscc%2Ffull-record%2FWOS:001058836700001","View Full Record in Web of Science")</f>
        <v>View Full Record in Web of Science</v>
      </c>
    </row>
    <row r="2123" spans="1:72" x14ac:dyDescent="0.35">
      <c r="A2123" t="s">
        <v>128</v>
      </c>
      <c r="B2123" t="s">
        <v>36289</v>
      </c>
      <c r="C2123" t="s">
        <v>74</v>
      </c>
      <c r="D2123" t="s">
        <v>74</v>
      </c>
      <c r="E2123" t="s">
        <v>702</v>
      </c>
      <c r="F2123" t="s">
        <v>36290</v>
      </c>
      <c r="G2123" t="s">
        <v>74</v>
      </c>
      <c r="H2123" t="s">
        <v>74</v>
      </c>
      <c r="I2123" t="s">
        <v>36291</v>
      </c>
      <c r="J2123" t="s">
        <v>36292</v>
      </c>
      <c r="K2123" t="s">
        <v>74</v>
      </c>
      <c r="L2123" t="s">
        <v>74</v>
      </c>
      <c r="M2123" t="s">
        <v>78</v>
      </c>
      <c r="N2123" t="s">
        <v>135</v>
      </c>
      <c r="O2123" t="s">
        <v>36293</v>
      </c>
      <c r="P2123" t="s">
        <v>36294</v>
      </c>
      <c r="Q2123" t="s">
        <v>138</v>
      </c>
      <c r="R2123" t="s">
        <v>74</v>
      </c>
      <c r="S2123" t="s">
        <v>74</v>
      </c>
      <c r="T2123" t="s">
        <v>36295</v>
      </c>
      <c r="U2123" t="s">
        <v>36296</v>
      </c>
      <c r="V2123" t="s">
        <v>36297</v>
      </c>
      <c r="W2123" t="s">
        <v>36298</v>
      </c>
      <c r="X2123" t="s">
        <v>36299</v>
      </c>
      <c r="Y2123" t="s">
        <v>36300</v>
      </c>
      <c r="Z2123" t="s">
        <v>36301</v>
      </c>
      <c r="AA2123" t="s">
        <v>74</v>
      </c>
      <c r="AB2123" t="s">
        <v>74</v>
      </c>
      <c r="AC2123" t="s">
        <v>36302</v>
      </c>
      <c r="AD2123" t="s">
        <v>36302</v>
      </c>
      <c r="AE2123" t="s">
        <v>36303</v>
      </c>
      <c r="AF2123" t="s">
        <v>74</v>
      </c>
      <c r="AG2123">
        <v>39</v>
      </c>
      <c r="AH2123">
        <v>1</v>
      </c>
      <c r="AI2123">
        <v>1</v>
      </c>
      <c r="AJ2123">
        <v>1</v>
      </c>
      <c r="AK2123">
        <v>2</v>
      </c>
      <c r="AL2123" t="s">
        <v>718</v>
      </c>
      <c r="AM2123" t="s">
        <v>666</v>
      </c>
      <c r="AN2123" t="s">
        <v>719</v>
      </c>
      <c r="AO2123" t="s">
        <v>74</v>
      </c>
      <c r="AP2123" t="s">
        <v>74</v>
      </c>
      <c r="AQ2123" t="s">
        <v>36304</v>
      </c>
      <c r="AR2123" t="s">
        <v>74</v>
      </c>
      <c r="AS2123" t="s">
        <v>74</v>
      </c>
      <c r="AT2123" t="s">
        <v>74</v>
      </c>
      <c r="AU2123">
        <v>2022</v>
      </c>
      <c r="AV2123" t="s">
        <v>74</v>
      </c>
      <c r="AW2123" t="s">
        <v>74</v>
      </c>
      <c r="AX2123" t="s">
        <v>74</v>
      </c>
      <c r="AY2123" t="s">
        <v>74</v>
      </c>
      <c r="AZ2123" t="s">
        <v>74</v>
      </c>
      <c r="BA2123" t="s">
        <v>74</v>
      </c>
      <c r="BB2123">
        <v>1</v>
      </c>
      <c r="BC2123">
        <v>9</v>
      </c>
      <c r="BD2123" t="s">
        <v>74</v>
      </c>
      <c r="BE2123" t="s">
        <v>36305</v>
      </c>
      <c r="BF2123" t="str">
        <f>HYPERLINK("http://dx.doi.org/10.1145/3524010.3539502","http://dx.doi.org/10.1145/3524010.3539502")</f>
        <v>http://dx.doi.org/10.1145/3524010.3539502</v>
      </c>
      <c r="BG2123" t="s">
        <v>74</v>
      </c>
      <c r="BH2123" t="s">
        <v>74</v>
      </c>
      <c r="BI2123">
        <v>9</v>
      </c>
      <c r="BJ2123" t="s">
        <v>5789</v>
      </c>
      <c r="BK2123" t="s">
        <v>723</v>
      </c>
      <c r="BL2123" t="s">
        <v>210</v>
      </c>
      <c r="BM2123" t="s">
        <v>36306</v>
      </c>
      <c r="BN2123" t="s">
        <v>74</v>
      </c>
      <c r="BO2123" t="s">
        <v>767</v>
      </c>
      <c r="BP2123" t="s">
        <v>74</v>
      </c>
      <c r="BQ2123" t="s">
        <v>74</v>
      </c>
      <c r="BR2123" t="s">
        <v>102</v>
      </c>
      <c r="BS2123" t="s">
        <v>36307</v>
      </c>
      <c r="BT2123" t="str">
        <f>HYPERLINK("https%3A%2F%2Fwww.webofscience.com%2Fwos%2Fwoscc%2Ffull-record%2FWOS:001122675400001","View Full Record in Web of Science")</f>
        <v>View Full Record in Web of Science</v>
      </c>
    </row>
    <row r="2124" spans="1:72" x14ac:dyDescent="0.35">
      <c r="A2124" t="s">
        <v>72</v>
      </c>
      <c r="B2124" t="s">
        <v>36308</v>
      </c>
      <c r="C2124" t="s">
        <v>74</v>
      </c>
      <c r="D2124" t="s">
        <v>74</v>
      </c>
      <c r="E2124" t="s">
        <v>74</v>
      </c>
      <c r="F2124" t="s">
        <v>36309</v>
      </c>
      <c r="G2124" t="s">
        <v>74</v>
      </c>
      <c r="H2124" t="s">
        <v>74</v>
      </c>
      <c r="I2124" t="s">
        <v>36310</v>
      </c>
      <c r="J2124" t="s">
        <v>3182</v>
      </c>
      <c r="K2124" t="s">
        <v>74</v>
      </c>
      <c r="L2124" t="s">
        <v>74</v>
      </c>
      <c r="M2124" t="s">
        <v>78</v>
      </c>
      <c r="N2124" t="s">
        <v>108</v>
      </c>
      <c r="O2124" t="s">
        <v>74</v>
      </c>
      <c r="P2124" t="s">
        <v>74</v>
      </c>
      <c r="Q2124" t="s">
        <v>74</v>
      </c>
      <c r="R2124" t="s">
        <v>74</v>
      </c>
      <c r="S2124" t="s">
        <v>74</v>
      </c>
      <c r="T2124" t="s">
        <v>36311</v>
      </c>
      <c r="U2124" t="s">
        <v>36312</v>
      </c>
      <c r="V2124" t="s">
        <v>36313</v>
      </c>
      <c r="W2124" t="s">
        <v>36314</v>
      </c>
      <c r="X2124" t="s">
        <v>36315</v>
      </c>
      <c r="Y2124" t="s">
        <v>36316</v>
      </c>
      <c r="Z2124" t="s">
        <v>36317</v>
      </c>
      <c r="AA2124" t="s">
        <v>36318</v>
      </c>
      <c r="AB2124" t="s">
        <v>36319</v>
      </c>
      <c r="AC2124" t="s">
        <v>74</v>
      </c>
      <c r="AD2124" t="s">
        <v>74</v>
      </c>
      <c r="AE2124" t="s">
        <v>74</v>
      </c>
      <c r="AF2124" t="s">
        <v>74</v>
      </c>
      <c r="AG2124">
        <v>37</v>
      </c>
      <c r="AH2124">
        <v>15</v>
      </c>
      <c r="AI2124">
        <v>15</v>
      </c>
      <c r="AJ2124">
        <v>3</v>
      </c>
      <c r="AK2124">
        <v>17</v>
      </c>
      <c r="AL2124" t="s">
        <v>3192</v>
      </c>
      <c r="AM2124" t="s">
        <v>2853</v>
      </c>
      <c r="AN2124" t="s">
        <v>3193</v>
      </c>
      <c r="AO2124" t="s">
        <v>3194</v>
      </c>
      <c r="AP2124" t="s">
        <v>3195</v>
      </c>
      <c r="AQ2124" t="s">
        <v>74</v>
      </c>
      <c r="AR2124" t="s">
        <v>3196</v>
      </c>
      <c r="AS2124" t="s">
        <v>3197</v>
      </c>
      <c r="AT2124" t="s">
        <v>36320</v>
      </c>
      <c r="AU2124">
        <v>2021</v>
      </c>
      <c r="AV2124">
        <v>98</v>
      </c>
      <c r="AW2124">
        <v>4</v>
      </c>
      <c r="AX2124" t="s">
        <v>74</v>
      </c>
      <c r="AY2124" t="s">
        <v>74</v>
      </c>
      <c r="AZ2124" t="s">
        <v>74</v>
      </c>
      <c r="BA2124" t="s">
        <v>74</v>
      </c>
      <c r="BB2124">
        <v>1283</v>
      </c>
      <c r="BC2124">
        <v>1289</v>
      </c>
      <c r="BD2124" t="s">
        <v>74</v>
      </c>
      <c r="BE2124" t="s">
        <v>36321</v>
      </c>
      <c r="BF2124" t="str">
        <f>HYPERLINK("http://dx.doi.org/10.1021/acs.jchemed.0c01139","http://dx.doi.org/10.1021/acs.jchemed.0c01139")</f>
        <v>http://dx.doi.org/10.1021/acs.jchemed.0c01139</v>
      </c>
      <c r="BG2124" t="s">
        <v>74</v>
      </c>
      <c r="BH2124" t="s">
        <v>8463</v>
      </c>
      <c r="BI2124">
        <v>7</v>
      </c>
      <c r="BJ2124" t="s">
        <v>3200</v>
      </c>
      <c r="BK2124" t="s">
        <v>182</v>
      </c>
      <c r="BL2124" t="s">
        <v>3201</v>
      </c>
      <c r="BM2124" t="s">
        <v>36322</v>
      </c>
      <c r="BN2124" t="s">
        <v>74</v>
      </c>
      <c r="BO2124" t="s">
        <v>74</v>
      </c>
      <c r="BP2124" t="s">
        <v>74</v>
      </c>
      <c r="BQ2124" t="s">
        <v>74</v>
      </c>
      <c r="BR2124" t="s">
        <v>102</v>
      </c>
      <c r="BS2124" t="s">
        <v>36323</v>
      </c>
      <c r="BT2124" t="str">
        <f>HYPERLINK("https%3A%2F%2Fwww.webofscience.com%2Fwos%2Fwoscc%2Ffull-record%2FWOS:000640890900024","View Full Record in Web of Science")</f>
        <v>View Full Record in Web of Science</v>
      </c>
    </row>
    <row r="2125" spans="1:72" x14ac:dyDescent="0.35">
      <c r="A2125" t="s">
        <v>72</v>
      </c>
      <c r="B2125" t="s">
        <v>36324</v>
      </c>
      <c r="C2125" t="s">
        <v>74</v>
      </c>
      <c r="D2125" t="s">
        <v>74</v>
      </c>
      <c r="E2125" t="s">
        <v>74</v>
      </c>
      <c r="F2125" t="s">
        <v>36325</v>
      </c>
      <c r="G2125" t="s">
        <v>74</v>
      </c>
      <c r="H2125" t="s">
        <v>74</v>
      </c>
      <c r="I2125" t="s">
        <v>36326</v>
      </c>
      <c r="J2125" t="s">
        <v>36327</v>
      </c>
      <c r="K2125" t="s">
        <v>74</v>
      </c>
      <c r="L2125" t="s">
        <v>74</v>
      </c>
      <c r="M2125" t="s">
        <v>78</v>
      </c>
      <c r="N2125" t="s">
        <v>108</v>
      </c>
      <c r="O2125" t="s">
        <v>74</v>
      </c>
      <c r="P2125" t="s">
        <v>74</v>
      </c>
      <c r="Q2125" t="s">
        <v>74</v>
      </c>
      <c r="R2125" t="s">
        <v>74</v>
      </c>
      <c r="S2125" t="s">
        <v>74</v>
      </c>
      <c r="T2125" t="s">
        <v>36328</v>
      </c>
      <c r="U2125" t="s">
        <v>36329</v>
      </c>
      <c r="V2125" t="s">
        <v>36330</v>
      </c>
      <c r="W2125" t="s">
        <v>36331</v>
      </c>
      <c r="X2125" t="s">
        <v>36332</v>
      </c>
      <c r="Y2125" t="s">
        <v>36333</v>
      </c>
      <c r="Z2125" t="s">
        <v>36334</v>
      </c>
      <c r="AA2125" t="s">
        <v>74</v>
      </c>
      <c r="AB2125" t="s">
        <v>36335</v>
      </c>
      <c r="AC2125" t="s">
        <v>74</v>
      </c>
      <c r="AD2125" t="s">
        <v>74</v>
      </c>
      <c r="AE2125" t="s">
        <v>74</v>
      </c>
      <c r="AF2125" t="s">
        <v>74</v>
      </c>
      <c r="AG2125">
        <v>53</v>
      </c>
      <c r="AH2125">
        <v>4</v>
      </c>
      <c r="AI2125">
        <v>5</v>
      </c>
      <c r="AJ2125">
        <v>0</v>
      </c>
      <c r="AK2125">
        <v>13</v>
      </c>
      <c r="AL2125" t="s">
        <v>665</v>
      </c>
      <c r="AM2125" t="s">
        <v>666</v>
      </c>
      <c r="AN2125" t="s">
        <v>667</v>
      </c>
      <c r="AO2125" t="s">
        <v>36336</v>
      </c>
      <c r="AP2125" t="s">
        <v>36337</v>
      </c>
      <c r="AQ2125" t="s">
        <v>74</v>
      </c>
      <c r="AR2125" t="s">
        <v>36338</v>
      </c>
      <c r="AS2125" t="s">
        <v>36339</v>
      </c>
      <c r="AT2125" t="s">
        <v>1275</v>
      </c>
      <c r="AU2125">
        <v>2020</v>
      </c>
      <c r="AV2125">
        <v>12</v>
      </c>
      <c r="AW2125">
        <v>4</v>
      </c>
      <c r="AX2125" t="s">
        <v>74</v>
      </c>
      <c r="AY2125" t="s">
        <v>74</v>
      </c>
      <c r="AZ2125" t="s">
        <v>74</v>
      </c>
      <c r="BA2125" t="s">
        <v>74</v>
      </c>
      <c r="BB2125">
        <v>435</v>
      </c>
      <c r="BC2125">
        <v>457</v>
      </c>
      <c r="BD2125" t="s">
        <v>74</v>
      </c>
      <c r="BE2125" t="s">
        <v>36340</v>
      </c>
      <c r="BF2125" t="str">
        <f>HYPERLINK("http://dx.doi.org/10.1007/s41649-020-00150-2","http://dx.doi.org/10.1007/s41649-020-00150-2")</f>
        <v>http://dx.doi.org/10.1007/s41649-020-00150-2</v>
      </c>
      <c r="BG2125" t="s">
        <v>74</v>
      </c>
      <c r="BH2125" t="s">
        <v>2272</v>
      </c>
      <c r="BI2125">
        <v>23</v>
      </c>
      <c r="BJ2125" t="s">
        <v>36341</v>
      </c>
      <c r="BK2125" t="s">
        <v>125</v>
      </c>
      <c r="BL2125" t="s">
        <v>36342</v>
      </c>
      <c r="BM2125" t="s">
        <v>36343</v>
      </c>
      <c r="BN2125">
        <v>33235632</v>
      </c>
      <c r="BO2125" t="s">
        <v>2194</v>
      </c>
      <c r="BP2125" t="s">
        <v>74</v>
      </c>
      <c r="BQ2125" t="s">
        <v>74</v>
      </c>
      <c r="BR2125" t="s">
        <v>102</v>
      </c>
      <c r="BS2125" t="s">
        <v>36344</v>
      </c>
      <c r="BT2125" t="str">
        <f>HYPERLINK("https%3A%2F%2Fwww.webofscience.com%2Fwos%2Fwoscc%2Ffull-record%2FWOS:000591136600001","View Full Record in Web of Science")</f>
        <v>View Full Record in Web of Science</v>
      </c>
    </row>
    <row r="2126" spans="1:72" x14ac:dyDescent="0.35">
      <c r="A2126" t="s">
        <v>72</v>
      </c>
      <c r="B2126" t="s">
        <v>36345</v>
      </c>
      <c r="C2126" t="s">
        <v>74</v>
      </c>
      <c r="D2126" t="s">
        <v>74</v>
      </c>
      <c r="E2126" t="s">
        <v>74</v>
      </c>
      <c r="F2126" t="s">
        <v>36346</v>
      </c>
      <c r="G2126" t="s">
        <v>74</v>
      </c>
      <c r="H2126" t="s">
        <v>74</v>
      </c>
      <c r="I2126" t="s">
        <v>36347</v>
      </c>
      <c r="J2126" t="s">
        <v>216</v>
      </c>
      <c r="K2126" t="s">
        <v>74</v>
      </c>
      <c r="L2126" t="s">
        <v>74</v>
      </c>
      <c r="M2126" t="s">
        <v>78</v>
      </c>
      <c r="N2126" t="s">
        <v>108</v>
      </c>
      <c r="O2126" t="s">
        <v>74</v>
      </c>
      <c r="P2126" t="s">
        <v>74</v>
      </c>
      <c r="Q2126" t="s">
        <v>74</v>
      </c>
      <c r="R2126" t="s">
        <v>74</v>
      </c>
      <c r="S2126" t="s">
        <v>74</v>
      </c>
      <c r="T2126" t="s">
        <v>36348</v>
      </c>
      <c r="U2126" t="s">
        <v>36349</v>
      </c>
      <c r="V2126" t="s">
        <v>36350</v>
      </c>
      <c r="W2126" t="s">
        <v>36351</v>
      </c>
      <c r="X2126" t="s">
        <v>36352</v>
      </c>
      <c r="Y2126" t="s">
        <v>36353</v>
      </c>
      <c r="Z2126" t="s">
        <v>36354</v>
      </c>
      <c r="AA2126" t="s">
        <v>74</v>
      </c>
      <c r="AB2126" t="s">
        <v>36355</v>
      </c>
      <c r="AC2126" t="s">
        <v>36356</v>
      </c>
      <c r="AD2126" t="s">
        <v>36356</v>
      </c>
      <c r="AE2126" t="s">
        <v>36356</v>
      </c>
      <c r="AF2126" t="s">
        <v>74</v>
      </c>
      <c r="AG2126">
        <v>73</v>
      </c>
      <c r="AH2126">
        <v>0</v>
      </c>
      <c r="AI2126">
        <v>0</v>
      </c>
      <c r="AJ2126">
        <v>33</v>
      </c>
      <c r="AK2126">
        <v>107</v>
      </c>
      <c r="AL2126" t="s">
        <v>226</v>
      </c>
      <c r="AM2126" t="s">
        <v>227</v>
      </c>
      <c r="AN2126" t="s">
        <v>228</v>
      </c>
      <c r="AO2126" t="s">
        <v>229</v>
      </c>
      <c r="AP2126" t="s">
        <v>74</v>
      </c>
      <c r="AQ2126" t="s">
        <v>74</v>
      </c>
      <c r="AR2126" t="s">
        <v>230</v>
      </c>
      <c r="AS2126" t="s">
        <v>231</v>
      </c>
      <c r="AT2126" t="s">
        <v>594</v>
      </c>
      <c r="AU2126">
        <v>2023</v>
      </c>
      <c r="AV2126">
        <v>9</v>
      </c>
      <c r="AW2126">
        <v>4</v>
      </c>
      <c r="AX2126" t="s">
        <v>74</v>
      </c>
      <c r="AY2126" t="s">
        <v>74</v>
      </c>
      <c r="AZ2126" t="s">
        <v>74</v>
      </c>
      <c r="BA2126" t="s">
        <v>74</v>
      </c>
      <c r="BB2126" t="s">
        <v>74</v>
      </c>
      <c r="BC2126" t="s">
        <v>74</v>
      </c>
      <c r="BD2126">
        <v>2.056305123120368E+16</v>
      </c>
      <c r="BE2126" t="s">
        <v>36357</v>
      </c>
      <c r="BF2126" t="str">
        <f>HYPERLINK("http://dx.doi.org/10.1177/20563051231203680","http://dx.doi.org/10.1177/20563051231203680")</f>
        <v>http://dx.doi.org/10.1177/20563051231203680</v>
      </c>
      <c r="BG2126" t="s">
        <v>74</v>
      </c>
      <c r="BH2126" t="s">
        <v>74</v>
      </c>
      <c r="BI2126">
        <v>18</v>
      </c>
      <c r="BJ2126" t="s">
        <v>124</v>
      </c>
      <c r="BK2126" t="s">
        <v>99</v>
      </c>
      <c r="BL2126" t="s">
        <v>124</v>
      </c>
      <c r="BM2126" t="s">
        <v>36358</v>
      </c>
      <c r="BN2126" t="s">
        <v>74</v>
      </c>
      <c r="BO2126" t="s">
        <v>235</v>
      </c>
      <c r="BP2126" t="s">
        <v>74</v>
      </c>
      <c r="BQ2126" t="s">
        <v>74</v>
      </c>
      <c r="BR2126" t="s">
        <v>102</v>
      </c>
      <c r="BS2126" t="s">
        <v>36359</v>
      </c>
      <c r="BT2126" t="str">
        <f>HYPERLINK("https%3A%2F%2Fwww.webofscience.com%2Fwos%2Fwoscc%2Ffull-record%2FWOS:001085420900001","View Full Record in Web of Science")</f>
        <v>View Full Record in Web of Science</v>
      </c>
    </row>
    <row r="2127" spans="1:72" x14ac:dyDescent="0.35">
      <c r="A2127" t="s">
        <v>72</v>
      </c>
      <c r="B2127" t="s">
        <v>36360</v>
      </c>
      <c r="C2127" t="s">
        <v>74</v>
      </c>
      <c r="D2127" t="s">
        <v>74</v>
      </c>
      <c r="E2127" t="s">
        <v>74</v>
      </c>
      <c r="F2127" t="s">
        <v>36361</v>
      </c>
      <c r="G2127" t="s">
        <v>74</v>
      </c>
      <c r="H2127" t="s">
        <v>74</v>
      </c>
      <c r="I2127" t="s">
        <v>36362</v>
      </c>
      <c r="J2127" t="s">
        <v>19370</v>
      </c>
      <c r="K2127" t="s">
        <v>74</v>
      </c>
      <c r="L2127" t="s">
        <v>74</v>
      </c>
      <c r="M2127" t="s">
        <v>78</v>
      </c>
      <c r="N2127" t="s">
        <v>108</v>
      </c>
      <c r="O2127" t="s">
        <v>74</v>
      </c>
      <c r="P2127" t="s">
        <v>74</v>
      </c>
      <c r="Q2127" t="s">
        <v>74</v>
      </c>
      <c r="R2127" t="s">
        <v>74</v>
      </c>
      <c r="S2127" t="s">
        <v>74</v>
      </c>
      <c r="T2127" t="s">
        <v>36363</v>
      </c>
      <c r="U2127" t="s">
        <v>36364</v>
      </c>
      <c r="V2127" t="s">
        <v>36365</v>
      </c>
      <c r="W2127" t="s">
        <v>36366</v>
      </c>
      <c r="X2127" t="s">
        <v>36367</v>
      </c>
      <c r="Y2127" t="s">
        <v>36368</v>
      </c>
      <c r="Z2127" t="s">
        <v>36369</v>
      </c>
      <c r="AA2127" t="s">
        <v>74</v>
      </c>
      <c r="AB2127" t="s">
        <v>74</v>
      </c>
      <c r="AC2127" t="s">
        <v>74</v>
      </c>
      <c r="AD2127" t="s">
        <v>74</v>
      </c>
      <c r="AE2127" t="s">
        <v>74</v>
      </c>
      <c r="AF2127" t="s">
        <v>74</v>
      </c>
      <c r="AG2127">
        <v>78</v>
      </c>
      <c r="AH2127">
        <v>0</v>
      </c>
      <c r="AI2127">
        <v>0</v>
      </c>
      <c r="AJ2127">
        <v>17</v>
      </c>
      <c r="AK2127">
        <v>17</v>
      </c>
      <c r="AL2127" t="s">
        <v>199</v>
      </c>
      <c r="AM2127" t="s">
        <v>200</v>
      </c>
      <c r="AN2127" t="s">
        <v>471</v>
      </c>
      <c r="AO2127" t="s">
        <v>19378</v>
      </c>
      <c r="AP2127" t="s">
        <v>19379</v>
      </c>
      <c r="AQ2127" t="s">
        <v>74</v>
      </c>
      <c r="AR2127" t="s">
        <v>19380</v>
      </c>
      <c r="AS2127" t="s">
        <v>19381</v>
      </c>
      <c r="AT2127" t="s">
        <v>19382</v>
      </c>
      <c r="AU2127">
        <v>2024</v>
      </c>
      <c r="AV2127">
        <v>125</v>
      </c>
      <c r="AW2127">
        <v>10</v>
      </c>
      <c r="AX2127" t="s">
        <v>74</v>
      </c>
      <c r="AY2127" t="s">
        <v>74</v>
      </c>
      <c r="AZ2127" t="s">
        <v>456</v>
      </c>
      <c r="BA2127" t="s">
        <v>74</v>
      </c>
      <c r="BB2127">
        <v>850</v>
      </c>
      <c r="BC2127">
        <v>876</v>
      </c>
      <c r="BD2127" t="s">
        <v>74</v>
      </c>
      <c r="BE2127" t="s">
        <v>36370</v>
      </c>
      <c r="BF2127" t="str">
        <f>HYPERLINK("http://dx.doi.org/10.1108/ILS-01-2024-0005","http://dx.doi.org/10.1108/ILS-01-2024-0005")</f>
        <v>http://dx.doi.org/10.1108/ILS-01-2024-0005</v>
      </c>
      <c r="BG2127" t="s">
        <v>74</v>
      </c>
      <c r="BH2127" t="s">
        <v>478</v>
      </c>
      <c r="BI2127">
        <v>27</v>
      </c>
      <c r="BJ2127" t="s">
        <v>1162</v>
      </c>
      <c r="BK2127" t="s">
        <v>125</v>
      </c>
      <c r="BL2127" t="s">
        <v>1162</v>
      </c>
      <c r="BM2127" t="s">
        <v>19384</v>
      </c>
      <c r="BN2127" t="s">
        <v>74</v>
      </c>
      <c r="BO2127" t="s">
        <v>74</v>
      </c>
      <c r="BP2127" t="s">
        <v>74</v>
      </c>
      <c r="BQ2127" t="s">
        <v>74</v>
      </c>
      <c r="BR2127" t="s">
        <v>102</v>
      </c>
      <c r="BS2127" t="s">
        <v>36371</v>
      </c>
      <c r="BT2127" t="str">
        <f>HYPERLINK("https%3A%2F%2Fwww.webofscience.com%2Fwos%2Fwoscc%2Ffull-record%2FWOS:001273628500001","View Full Record in Web of Science")</f>
        <v>View Full Record in Web of Science</v>
      </c>
    </row>
    <row r="2128" spans="1:72" x14ac:dyDescent="0.35">
      <c r="A2128" t="s">
        <v>72</v>
      </c>
      <c r="B2128" t="s">
        <v>36372</v>
      </c>
      <c r="C2128" t="s">
        <v>74</v>
      </c>
      <c r="D2128" t="s">
        <v>74</v>
      </c>
      <c r="E2128" t="s">
        <v>74</v>
      </c>
      <c r="F2128" t="s">
        <v>36373</v>
      </c>
      <c r="G2128" t="s">
        <v>74</v>
      </c>
      <c r="H2128" t="s">
        <v>74</v>
      </c>
      <c r="I2128" t="s">
        <v>36374</v>
      </c>
      <c r="J2128" t="s">
        <v>36375</v>
      </c>
      <c r="K2128" t="s">
        <v>74</v>
      </c>
      <c r="L2128" t="s">
        <v>74</v>
      </c>
      <c r="M2128" t="s">
        <v>78</v>
      </c>
      <c r="N2128" t="s">
        <v>108</v>
      </c>
      <c r="O2128" t="s">
        <v>74</v>
      </c>
      <c r="P2128" t="s">
        <v>74</v>
      </c>
      <c r="Q2128" t="s">
        <v>74</v>
      </c>
      <c r="R2128" t="s">
        <v>74</v>
      </c>
      <c r="S2128" t="s">
        <v>74</v>
      </c>
      <c r="T2128" t="s">
        <v>36376</v>
      </c>
      <c r="U2128" t="s">
        <v>36377</v>
      </c>
      <c r="V2128" t="s">
        <v>36378</v>
      </c>
      <c r="W2128" t="s">
        <v>36379</v>
      </c>
      <c r="X2128" t="s">
        <v>11432</v>
      </c>
      <c r="Y2128" t="s">
        <v>36380</v>
      </c>
      <c r="Z2128" t="s">
        <v>11434</v>
      </c>
      <c r="AA2128" t="s">
        <v>74</v>
      </c>
      <c r="AB2128" t="s">
        <v>74</v>
      </c>
      <c r="AC2128" t="s">
        <v>74</v>
      </c>
      <c r="AD2128" t="s">
        <v>74</v>
      </c>
      <c r="AE2128" t="s">
        <v>74</v>
      </c>
      <c r="AF2128" t="s">
        <v>74</v>
      </c>
      <c r="AG2128">
        <v>82</v>
      </c>
      <c r="AH2128">
        <v>2</v>
      </c>
      <c r="AI2128">
        <v>2</v>
      </c>
      <c r="AJ2128">
        <v>14</v>
      </c>
      <c r="AK2128">
        <v>25</v>
      </c>
      <c r="AL2128" t="s">
        <v>384</v>
      </c>
      <c r="AM2128" t="s">
        <v>385</v>
      </c>
      <c r="AN2128" t="s">
        <v>386</v>
      </c>
      <c r="AO2128" t="s">
        <v>74</v>
      </c>
      <c r="AP2128" t="s">
        <v>36381</v>
      </c>
      <c r="AQ2128" t="s">
        <v>74</v>
      </c>
      <c r="AR2128" t="s">
        <v>36382</v>
      </c>
      <c r="AS2128" t="s">
        <v>36383</v>
      </c>
      <c r="AT2128" t="s">
        <v>36384</v>
      </c>
      <c r="AU2128">
        <v>2024</v>
      </c>
      <c r="AV2128">
        <v>8</v>
      </c>
      <c r="AW2128" t="s">
        <v>74</v>
      </c>
      <c r="AX2128" t="s">
        <v>74</v>
      </c>
      <c r="AY2128" t="s">
        <v>74</v>
      </c>
      <c r="AZ2128" t="s">
        <v>74</v>
      </c>
      <c r="BA2128" t="s">
        <v>74</v>
      </c>
      <c r="BB2128" t="s">
        <v>74</v>
      </c>
      <c r="BC2128" t="s">
        <v>74</v>
      </c>
      <c r="BD2128">
        <v>1304093</v>
      </c>
      <c r="BE2128" t="s">
        <v>36385</v>
      </c>
      <c r="BF2128" t="str">
        <f>HYPERLINK("http://dx.doi.org/10.3389/fsoc.2023.1304093","http://dx.doi.org/10.3389/fsoc.2023.1304093")</f>
        <v>http://dx.doi.org/10.3389/fsoc.2023.1304093</v>
      </c>
      <c r="BG2128" t="s">
        <v>74</v>
      </c>
      <c r="BH2128" t="s">
        <v>74</v>
      </c>
      <c r="BI2128">
        <v>14</v>
      </c>
      <c r="BJ2128" t="s">
        <v>4573</v>
      </c>
      <c r="BK2128" t="s">
        <v>125</v>
      </c>
      <c r="BL2128" t="s">
        <v>4573</v>
      </c>
      <c r="BM2128" t="s">
        <v>36386</v>
      </c>
      <c r="BN2128">
        <v>38274837</v>
      </c>
      <c r="BO2128" t="s">
        <v>394</v>
      </c>
      <c r="BP2128" t="s">
        <v>74</v>
      </c>
      <c r="BQ2128" t="s">
        <v>74</v>
      </c>
      <c r="BR2128" t="s">
        <v>102</v>
      </c>
      <c r="BS2128" t="s">
        <v>36387</v>
      </c>
      <c r="BT2128" t="str">
        <f>HYPERLINK("https%3A%2F%2Fwww.webofscience.com%2Fwos%2Fwoscc%2Ffull-record%2FWOS:001147148800001","View Full Record in Web of Science")</f>
        <v>View Full Record in Web of Science</v>
      </c>
    </row>
    <row r="2129" spans="1:72" x14ac:dyDescent="0.35">
      <c r="A2129" t="s">
        <v>72</v>
      </c>
      <c r="B2129" t="s">
        <v>36388</v>
      </c>
      <c r="C2129" t="s">
        <v>74</v>
      </c>
      <c r="D2129" t="s">
        <v>74</v>
      </c>
      <c r="E2129" t="s">
        <v>74</v>
      </c>
      <c r="F2129" t="s">
        <v>36389</v>
      </c>
      <c r="G2129" t="s">
        <v>74</v>
      </c>
      <c r="H2129" t="s">
        <v>74</v>
      </c>
      <c r="I2129" t="s">
        <v>36390</v>
      </c>
      <c r="J2129" t="s">
        <v>12043</v>
      </c>
      <c r="K2129" t="s">
        <v>74</v>
      </c>
      <c r="L2129" t="s">
        <v>74</v>
      </c>
      <c r="M2129" t="s">
        <v>78</v>
      </c>
      <c r="N2129" t="s">
        <v>108</v>
      </c>
      <c r="O2129" t="s">
        <v>74</v>
      </c>
      <c r="P2129" t="s">
        <v>74</v>
      </c>
      <c r="Q2129" t="s">
        <v>74</v>
      </c>
      <c r="R2129" t="s">
        <v>74</v>
      </c>
      <c r="S2129" t="s">
        <v>74</v>
      </c>
      <c r="T2129" t="s">
        <v>36391</v>
      </c>
      <c r="U2129" t="s">
        <v>36392</v>
      </c>
      <c r="V2129" t="s">
        <v>36393</v>
      </c>
      <c r="W2129" t="s">
        <v>36394</v>
      </c>
      <c r="X2129" t="s">
        <v>36395</v>
      </c>
      <c r="Y2129" t="s">
        <v>36396</v>
      </c>
      <c r="Z2129" t="s">
        <v>36397</v>
      </c>
      <c r="AA2129" t="s">
        <v>74</v>
      </c>
      <c r="AB2129" t="s">
        <v>74</v>
      </c>
      <c r="AC2129" t="s">
        <v>36398</v>
      </c>
      <c r="AD2129" t="s">
        <v>36399</v>
      </c>
      <c r="AE2129" t="s">
        <v>36400</v>
      </c>
      <c r="AF2129" t="s">
        <v>74</v>
      </c>
      <c r="AG2129">
        <v>51</v>
      </c>
      <c r="AH2129">
        <v>3</v>
      </c>
      <c r="AI2129">
        <v>3</v>
      </c>
      <c r="AJ2129">
        <v>42</v>
      </c>
      <c r="AK2129">
        <v>103</v>
      </c>
      <c r="AL2129" t="s">
        <v>199</v>
      </c>
      <c r="AM2129" t="s">
        <v>200</v>
      </c>
      <c r="AN2129" t="s">
        <v>471</v>
      </c>
      <c r="AO2129" t="s">
        <v>12054</v>
      </c>
      <c r="AP2129" t="s">
        <v>12055</v>
      </c>
      <c r="AQ2129" t="s">
        <v>74</v>
      </c>
      <c r="AR2129" t="s">
        <v>12056</v>
      </c>
      <c r="AS2129" t="s">
        <v>12057</v>
      </c>
      <c r="AT2129" t="s">
        <v>8340</v>
      </c>
      <c r="AU2129">
        <v>2024</v>
      </c>
      <c r="AV2129">
        <v>36</v>
      </c>
      <c r="AW2129">
        <v>3</v>
      </c>
      <c r="AX2129" t="s">
        <v>74</v>
      </c>
      <c r="AY2129" t="s">
        <v>74</v>
      </c>
      <c r="AZ2129" t="s">
        <v>74</v>
      </c>
      <c r="BA2129" t="s">
        <v>74</v>
      </c>
      <c r="BB2129">
        <v>660</v>
      </c>
      <c r="BC2129">
        <v>677</v>
      </c>
      <c r="BD2129" t="s">
        <v>74</v>
      </c>
      <c r="BE2129" t="s">
        <v>36401</v>
      </c>
      <c r="BF2129" t="str">
        <f>HYPERLINK("http://dx.doi.org/10.1108/APJML-04-2023-0300","http://dx.doi.org/10.1108/APJML-04-2023-0300")</f>
        <v>http://dx.doi.org/10.1108/APJML-04-2023-0300</v>
      </c>
      <c r="BG2129" t="s">
        <v>74</v>
      </c>
      <c r="BH2129" t="s">
        <v>2929</v>
      </c>
      <c r="BI2129">
        <v>18</v>
      </c>
      <c r="BJ2129" t="s">
        <v>1597</v>
      </c>
      <c r="BK2129" t="s">
        <v>99</v>
      </c>
      <c r="BL2129" t="s">
        <v>480</v>
      </c>
      <c r="BM2129" t="s">
        <v>36402</v>
      </c>
      <c r="BN2129" t="s">
        <v>74</v>
      </c>
      <c r="BO2129" t="s">
        <v>74</v>
      </c>
      <c r="BP2129" t="s">
        <v>74</v>
      </c>
      <c r="BQ2129" t="s">
        <v>74</v>
      </c>
      <c r="BR2129" t="s">
        <v>102</v>
      </c>
      <c r="BS2129" t="s">
        <v>36403</v>
      </c>
      <c r="BT2129" t="str">
        <f>HYPERLINK("https%3A%2F%2Fwww.webofscience.com%2Fwos%2Fwoscc%2Ffull-record%2FWOS:001068175400001","View Full Record in Web of Science")</f>
        <v>View Full Record in Web of Science</v>
      </c>
    </row>
    <row r="2130" spans="1:72" x14ac:dyDescent="0.35">
      <c r="A2130" t="s">
        <v>128</v>
      </c>
      <c r="B2130" t="s">
        <v>36404</v>
      </c>
      <c r="C2130" t="s">
        <v>74</v>
      </c>
      <c r="D2130" t="s">
        <v>74</v>
      </c>
      <c r="E2130" t="s">
        <v>702</v>
      </c>
      <c r="F2130" t="s">
        <v>36405</v>
      </c>
      <c r="G2130" t="s">
        <v>74</v>
      </c>
      <c r="H2130" t="s">
        <v>74</v>
      </c>
      <c r="I2130" t="s">
        <v>36406</v>
      </c>
      <c r="J2130" t="s">
        <v>32868</v>
      </c>
      <c r="K2130" t="s">
        <v>74</v>
      </c>
      <c r="L2130" t="s">
        <v>74</v>
      </c>
      <c r="M2130" t="s">
        <v>78</v>
      </c>
      <c r="N2130" t="s">
        <v>135</v>
      </c>
      <c r="O2130" t="s">
        <v>32869</v>
      </c>
      <c r="P2130" t="s">
        <v>32870</v>
      </c>
      <c r="Q2130" t="s">
        <v>32871</v>
      </c>
      <c r="R2130" t="s">
        <v>1098</v>
      </c>
      <c r="S2130" t="s">
        <v>74</v>
      </c>
      <c r="T2130" t="s">
        <v>36407</v>
      </c>
      <c r="U2130" t="s">
        <v>36408</v>
      </c>
      <c r="V2130" t="s">
        <v>36409</v>
      </c>
      <c r="W2130" t="s">
        <v>36410</v>
      </c>
      <c r="X2130" t="s">
        <v>16686</v>
      </c>
      <c r="Y2130" t="s">
        <v>36411</v>
      </c>
      <c r="Z2130" t="s">
        <v>36412</v>
      </c>
      <c r="AA2130" t="s">
        <v>74</v>
      </c>
      <c r="AB2130" t="s">
        <v>74</v>
      </c>
      <c r="AC2130" t="s">
        <v>74</v>
      </c>
      <c r="AD2130" t="s">
        <v>74</v>
      </c>
      <c r="AE2130" t="s">
        <v>74</v>
      </c>
      <c r="AF2130" t="s">
        <v>74</v>
      </c>
      <c r="AG2130">
        <v>69</v>
      </c>
      <c r="AH2130">
        <v>0</v>
      </c>
      <c r="AI2130">
        <v>0</v>
      </c>
      <c r="AJ2130">
        <v>0</v>
      </c>
      <c r="AK2130">
        <v>0</v>
      </c>
      <c r="AL2130" t="s">
        <v>718</v>
      </c>
      <c r="AM2130" t="s">
        <v>666</v>
      </c>
      <c r="AN2130" t="s">
        <v>719</v>
      </c>
      <c r="AO2130" t="s">
        <v>74</v>
      </c>
      <c r="AP2130" t="s">
        <v>74</v>
      </c>
      <c r="AQ2130" t="s">
        <v>32883</v>
      </c>
      <c r="AR2130" t="s">
        <v>74</v>
      </c>
      <c r="AS2130" t="s">
        <v>74</v>
      </c>
      <c r="AT2130" t="s">
        <v>74</v>
      </c>
      <c r="AU2130">
        <v>2023</v>
      </c>
      <c r="AV2130" t="s">
        <v>74</v>
      </c>
      <c r="AW2130" t="s">
        <v>74</v>
      </c>
      <c r="AX2130" t="s">
        <v>74</v>
      </c>
      <c r="AY2130" t="s">
        <v>74</v>
      </c>
      <c r="AZ2130" t="s">
        <v>74</v>
      </c>
      <c r="BA2130" t="s">
        <v>74</v>
      </c>
      <c r="BB2130">
        <v>1098</v>
      </c>
      <c r="BC2130">
        <v>1107</v>
      </c>
      <c r="BD2130" t="s">
        <v>74</v>
      </c>
      <c r="BE2130" t="s">
        <v>36413</v>
      </c>
      <c r="BF2130" t="str">
        <f>HYPERLINK("http://dx.doi.org/10.1145/3581783.3612023","http://dx.doi.org/10.1145/3581783.3612023")</f>
        <v>http://dx.doi.org/10.1145/3581783.3612023</v>
      </c>
      <c r="BG2130" t="s">
        <v>74</v>
      </c>
      <c r="BH2130" t="s">
        <v>74</v>
      </c>
      <c r="BI2130">
        <v>10</v>
      </c>
      <c r="BJ2130" t="s">
        <v>2004</v>
      </c>
      <c r="BK2130" t="s">
        <v>723</v>
      </c>
      <c r="BL2130" t="s">
        <v>210</v>
      </c>
      <c r="BM2130" t="s">
        <v>32885</v>
      </c>
      <c r="BN2130" t="s">
        <v>74</v>
      </c>
      <c r="BO2130" t="s">
        <v>2738</v>
      </c>
      <c r="BP2130" t="s">
        <v>74</v>
      </c>
      <c r="BQ2130" t="s">
        <v>74</v>
      </c>
      <c r="BR2130" t="s">
        <v>102</v>
      </c>
      <c r="BS2130" t="s">
        <v>36414</v>
      </c>
      <c r="BT2130" t="str">
        <f>HYPERLINK("https%3A%2F%2Fwww.webofscience.com%2Fwos%2Fwoscc%2Ffull-record%2FWOS:001199449101023","View Full Record in Web of Science")</f>
        <v>View Full Record in Web of Science</v>
      </c>
    </row>
    <row r="2131" spans="1:72" x14ac:dyDescent="0.35">
      <c r="A2131" t="s">
        <v>72</v>
      </c>
      <c r="B2131" t="s">
        <v>36415</v>
      </c>
      <c r="C2131" t="s">
        <v>74</v>
      </c>
      <c r="D2131" t="s">
        <v>74</v>
      </c>
      <c r="E2131" t="s">
        <v>74</v>
      </c>
      <c r="F2131" t="s">
        <v>36416</v>
      </c>
      <c r="G2131" t="s">
        <v>74</v>
      </c>
      <c r="H2131" t="s">
        <v>74</v>
      </c>
      <c r="I2131" t="s">
        <v>36417</v>
      </c>
      <c r="J2131" t="s">
        <v>36418</v>
      </c>
      <c r="K2131" t="s">
        <v>74</v>
      </c>
      <c r="L2131" t="s">
        <v>74</v>
      </c>
      <c r="M2131" t="s">
        <v>78</v>
      </c>
      <c r="N2131" t="s">
        <v>108</v>
      </c>
      <c r="O2131" t="s">
        <v>74</v>
      </c>
      <c r="P2131" t="s">
        <v>74</v>
      </c>
      <c r="Q2131" t="s">
        <v>74</v>
      </c>
      <c r="R2131" t="s">
        <v>74</v>
      </c>
      <c r="S2131" t="s">
        <v>74</v>
      </c>
      <c r="T2131" t="s">
        <v>74</v>
      </c>
      <c r="U2131" t="s">
        <v>74</v>
      </c>
      <c r="V2131" t="s">
        <v>36419</v>
      </c>
      <c r="W2131" t="s">
        <v>36420</v>
      </c>
      <c r="X2131" t="s">
        <v>36421</v>
      </c>
      <c r="Y2131" t="s">
        <v>36422</v>
      </c>
      <c r="Z2131" t="s">
        <v>36423</v>
      </c>
      <c r="AA2131" t="s">
        <v>74</v>
      </c>
      <c r="AB2131" t="s">
        <v>74</v>
      </c>
      <c r="AC2131" t="s">
        <v>36424</v>
      </c>
      <c r="AD2131" t="s">
        <v>36425</v>
      </c>
      <c r="AE2131" t="s">
        <v>36426</v>
      </c>
      <c r="AF2131" t="s">
        <v>74</v>
      </c>
      <c r="AG2131">
        <v>27</v>
      </c>
      <c r="AH2131">
        <v>0</v>
      </c>
      <c r="AI2131">
        <v>0</v>
      </c>
      <c r="AJ2131">
        <v>2</v>
      </c>
      <c r="AK2131">
        <v>8</v>
      </c>
      <c r="AL2131" t="s">
        <v>14075</v>
      </c>
      <c r="AM2131" t="s">
        <v>227</v>
      </c>
      <c r="AN2131" t="s">
        <v>14076</v>
      </c>
      <c r="AO2131" t="s">
        <v>36427</v>
      </c>
      <c r="AP2131" t="s">
        <v>36428</v>
      </c>
      <c r="AQ2131" t="s">
        <v>74</v>
      </c>
      <c r="AR2131" t="s">
        <v>36429</v>
      </c>
      <c r="AS2131" t="s">
        <v>36430</v>
      </c>
      <c r="AT2131" t="s">
        <v>25777</v>
      </c>
      <c r="AU2131">
        <v>2022</v>
      </c>
      <c r="AV2131">
        <v>2022</v>
      </c>
      <c r="AW2131" t="s">
        <v>74</v>
      </c>
      <c r="AX2131" t="s">
        <v>74</v>
      </c>
      <c r="AY2131" t="s">
        <v>74</v>
      </c>
      <c r="AZ2131" t="s">
        <v>74</v>
      </c>
      <c r="BA2131" t="s">
        <v>74</v>
      </c>
      <c r="BB2131" t="s">
        <v>74</v>
      </c>
      <c r="BC2131" t="s">
        <v>74</v>
      </c>
      <c r="BD2131">
        <v>5970188</v>
      </c>
      <c r="BE2131" t="s">
        <v>36431</v>
      </c>
      <c r="BF2131" t="str">
        <f>HYPERLINK("http://dx.doi.org/10.1155/2022/5970188","http://dx.doi.org/10.1155/2022/5970188")</f>
        <v>http://dx.doi.org/10.1155/2022/5970188</v>
      </c>
      <c r="BG2131" t="s">
        <v>74</v>
      </c>
      <c r="BH2131" t="s">
        <v>74</v>
      </c>
      <c r="BI2131">
        <v>9</v>
      </c>
      <c r="BJ2131" t="s">
        <v>36432</v>
      </c>
      <c r="BK2131" t="s">
        <v>209</v>
      </c>
      <c r="BL2131" t="s">
        <v>210</v>
      </c>
      <c r="BM2131" t="s">
        <v>36433</v>
      </c>
      <c r="BN2131" t="s">
        <v>74</v>
      </c>
      <c r="BO2131" t="s">
        <v>235</v>
      </c>
      <c r="BP2131" t="s">
        <v>74</v>
      </c>
      <c r="BQ2131" t="s">
        <v>74</v>
      </c>
      <c r="BR2131" t="s">
        <v>102</v>
      </c>
      <c r="BS2131" t="s">
        <v>36434</v>
      </c>
      <c r="BT2131" t="str">
        <f>HYPERLINK("https%3A%2F%2Fwww.webofscience.com%2Fwos%2Fwoscc%2Ffull-record%2FWOS:000830774400003","View Full Record in Web of Science")</f>
        <v>View Full Record in Web of Science</v>
      </c>
    </row>
    <row r="2132" spans="1:72" x14ac:dyDescent="0.35">
      <c r="A2132" t="s">
        <v>128</v>
      </c>
      <c r="B2132" t="s">
        <v>36435</v>
      </c>
      <c r="C2132" t="s">
        <v>74</v>
      </c>
      <c r="D2132" t="s">
        <v>74</v>
      </c>
      <c r="E2132" t="s">
        <v>702</v>
      </c>
      <c r="F2132" t="s">
        <v>36436</v>
      </c>
      <c r="G2132" t="s">
        <v>74</v>
      </c>
      <c r="H2132" t="s">
        <v>74</v>
      </c>
      <c r="I2132" t="s">
        <v>36437</v>
      </c>
      <c r="J2132" t="s">
        <v>2723</v>
      </c>
      <c r="K2132" t="s">
        <v>74</v>
      </c>
      <c r="L2132" t="s">
        <v>74</v>
      </c>
      <c r="M2132" t="s">
        <v>78</v>
      </c>
      <c r="N2132" t="s">
        <v>135</v>
      </c>
      <c r="O2132" t="s">
        <v>2724</v>
      </c>
      <c r="P2132" t="s">
        <v>2725</v>
      </c>
      <c r="Q2132" t="s">
        <v>138</v>
      </c>
      <c r="R2132" t="s">
        <v>2726</v>
      </c>
      <c r="S2132" t="s">
        <v>74</v>
      </c>
      <c r="T2132" t="s">
        <v>36438</v>
      </c>
      <c r="U2132" t="s">
        <v>74</v>
      </c>
      <c r="V2132" t="s">
        <v>36439</v>
      </c>
      <c r="W2132" t="s">
        <v>36440</v>
      </c>
      <c r="X2132" t="s">
        <v>26817</v>
      </c>
      <c r="Y2132" t="s">
        <v>36441</v>
      </c>
      <c r="Z2132" t="s">
        <v>36442</v>
      </c>
      <c r="AA2132" t="s">
        <v>36443</v>
      </c>
      <c r="AB2132" t="s">
        <v>74</v>
      </c>
      <c r="AC2132" t="s">
        <v>74</v>
      </c>
      <c r="AD2132" t="s">
        <v>74</v>
      </c>
      <c r="AE2132" t="s">
        <v>74</v>
      </c>
      <c r="AF2132" t="s">
        <v>74</v>
      </c>
      <c r="AG2132">
        <v>31</v>
      </c>
      <c r="AH2132">
        <v>8</v>
      </c>
      <c r="AI2132">
        <v>8</v>
      </c>
      <c r="AJ2132">
        <v>0</v>
      </c>
      <c r="AK2132">
        <v>6</v>
      </c>
      <c r="AL2132" t="s">
        <v>718</v>
      </c>
      <c r="AM2132" t="s">
        <v>666</v>
      </c>
      <c r="AN2132" t="s">
        <v>719</v>
      </c>
      <c r="AO2132" t="s">
        <v>74</v>
      </c>
      <c r="AP2132" t="s">
        <v>74</v>
      </c>
      <c r="AQ2132" t="s">
        <v>2734</v>
      </c>
      <c r="AR2132" t="s">
        <v>74</v>
      </c>
      <c r="AS2132" t="s">
        <v>74</v>
      </c>
      <c r="AT2132" t="s">
        <v>74</v>
      </c>
      <c r="AU2132">
        <v>2022</v>
      </c>
      <c r="AV2132" t="s">
        <v>74</v>
      </c>
      <c r="AW2132" t="s">
        <v>74</v>
      </c>
      <c r="AX2132" t="s">
        <v>74</v>
      </c>
      <c r="AY2132" t="s">
        <v>74</v>
      </c>
      <c r="AZ2132" t="s">
        <v>74</v>
      </c>
      <c r="BA2132" t="s">
        <v>74</v>
      </c>
      <c r="BB2132">
        <v>2310</v>
      </c>
      <c r="BC2132">
        <v>2319</v>
      </c>
      <c r="BD2132" t="s">
        <v>74</v>
      </c>
      <c r="BE2132" t="s">
        <v>36444</v>
      </c>
      <c r="BF2132" t="str">
        <f>HYPERLINK("http://dx.doi.org/10.1145/3485447.3512103","http://dx.doi.org/10.1145/3485447.3512103")</f>
        <v>http://dx.doi.org/10.1145/3485447.3512103</v>
      </c>
      <c r="BG2132" t="s">
        <v>74</v>
      </c>
      <c r="BH2132" t="s">
        <v>74</v>
      </c>
      <c r="BI2132">
        <v>10</v>
      </c>
      <c r="BJ2132" t="s">
        <v>2736</v>
      </c>
      <c r="BK2132" t="s">
        <v>723</v>
      </c>
      <c r="BL2132" t="s">
        <v>210</v>
      </c>
      <c r="BM2132" t="s">
        <v>2737</v>
      </c>
      <c r="BN2132" t="s">
        <v>74</v>
      </c>
      <c r="BO2132" t="s">
        <v>2738</v>
      </c>
      <c r="BP2132" t="s">
        <v>74</v>
      </c>
      <c r="BQ2132" t="s">
        <v>74</v>
      </c>
      <c r="BR2132" t="s">
        <v>102</v>
      </c>
      <c r="BS2132" t="s">
        <v>36445</v>
      </c>
      <c r="BT2132" t="str">
        <f>HYPERLINK("https%3A%2F%2Fwww.webofscience.com%2Fwos%2Fwoscc%2Ffull-record%2FWOS:000852713002036","View Full Record in Web of Science")</f>
        <v>View Full Record in Web of Science</v>
      </c>
    </row>
    <row r="2133" spans="1:72" x14ac:dyDescent="0.35">
      <c r="A2133" t="s">
        <v>128</v>
      </c>
      <c r="B2133" t="s">
        <v>36446</v>
      </c>
      <c r="C2133" t="s">
        <v>74</v>
      </c>
      <c r="D2133" t="s">
        <v>74</v>
      </c>
      <c r="E2133" t="s">
        <v>1677</v>
      </c>
      <c r="F2133" t="s">
        <v>36447</v>
      </c>
      <c r="G2133" t="s">
        <v>74</v>
      </c>
      <c r="H2133" t="s">
        <v>74</v>
      </c>
      <c r="I2133" t="s">
        <v>36448</v>
      </c>
      <c r="J2133" t="s">
        <v>36449</v>
      </c>
      <c r="K2133" t="s">
        <v>74</v>
      </c>
      <c r="L2133" t="s">
        <v>74</v>
      </c>
      <c r="M2133" t="s">
        <v>78</v>
      </c>
      <c r="N2133" t="s">
        <v>135</v>
      </c>
      <c r="O2133" t="s">
        <v>36450</v>
      </c>
      <c r="P2133" t="s">
        <v>36451</v>
      </c>
      <c r="Q2133" t="s">
        <v>138</v>
      </c>
      <c r="R2133" t="s">
        <v>74</v>
      </c>
      <c r="S2133" t="s">
        <v>74</v>
      </c>
      <c r="T2133" t="s">
        <v>36452</v>
      </c>
      <c r="U2133" t="s">
        <v>74</v>
      </c>
      <c r="V2133" t="s">
        <v>36453</v>
      </c>
      <c r="W2133" t="s">
        <v>36454</v>
      </c>
      <c r="X2133" t="s">
        <v>36455</v>
      </c>
      <c r="Y2133" t="s">
        <v>36456</v>
      </c>
      <c r="Z2133" t="s">
        <v>36457</v>
      </c>
      <c r="AA2133" t="s">
        <v>74</v>
      </c>
      <c r="AB2133" t="s">
        <v>74</v>
      </c>
      <c r="AC2133" t="s">
        <v>36458</v>
      </c>
      <c r="AD2133" t="s">
        <v>36459</v>
      </c>
      <c r="AE2133" t="s">
        <v>36460</v>
      </c>
      <c r="AF2133" t="s">
        <v>74</v>
      </c>
      <c r="AG2133">
        <v>11</v>
      </c>
      <c r="AH2133">
        <v>0</v>
      </c>
      <c r="AI2133">
        <v>0</v>
      </c>
      <c r="AJ2133">
        <v>1</v>
      </c>
      <c r="AK2133">
        <v>6</v>
      </c>
      <c r="AL2133" t="s">
        <v>1677</v>
      </c>
      <c r="AM2133" t="s">
        <v>666</v>
      </c>
      <c r="AN2133" t="s">
        <v>1692</v>
      </c>
      <c r="AO2133" t="s">
        <v>74</v>
      </c>
      <c r="AP2133" t="s">
        <v>74</v>
      </c>
      <c r="AQ2133" t="s">
        <v>36461</v>
      </c>
      <c r="AR2133" t="s">
        <v>74</v>
      </c>
      <c r="AS2133" t="s">
        <v>74</v>
      </c>
      <c r="AT2133" t="s">
        <v>74</v>
      </c>
      <c r="AU2133">
        <v>2021</v>
      </c>
      <c r="AV2133" t="s">
        <v>74</v>
      </c>
      <c r="AW2133" t="s">
        <v>74</v>
      </c>
      <c r="AX2133" t="s">
        <v>74</v>
      </c>
      <c r="AY2133" t="s">
        <v>74</v>
      </c>
      <c r="AZ2133" t="s">
        <v>74</v>
      </c>
      <c r="BA2133" t="s">
        <v>74</v>
      </c>
      <c r="BB2133">
        <v>75</v>
      </c>
      <c r="BC2133">
        <v>80</v>
      </c>
      <c r="BD2133" t="s">
        <v>74</v>
      </c>
      <c r="BE2133" t="s">
        <v>74</v>
      </c>
      <c r="BF2133" t="s">
        <v>74</v>
      </c>
      <c r="BG2133" t="s">
        <v>74</v>
      </c>
      <c r="BH2133" t="s">
        <v>74</v>
      </c>
      <c r="BI2133">
        <v>6</v>
      </c>
      <c r="BJ2133" t="s">
        <v>34097</v>
      </c>
      <c r="BK2133" t="s">
        <v>723</v>
      </c>
      <c r="BL2133" t="s">
        <v>210</v>
      </c>
      <c r="BM2133" t="s">
        <v>36462</v>
      </c>
      <c r="BN2133" t="s">
        <v>74</v>
      </c>
      <c r="BO2133" t="s">
        <v>74</v>
      </c>
      <c r="BP2133" t="s">
        <v>74</v>
      </c>
      <c r="BQ2133" t="s">
        <v>74</v>
      </c>
      <c r="BR2133" t="s">
        <v>102</v>
      </c>
      <c r="BS2133" t="s">
        <v>36463</v>
      </c>
      <c r="BT2133" t="str">
        <f>HYPERLINK("https%3A%2F%2Fwww.webofscience.com%2Fwos%2Fwoscc%2Ffull-record%2FWOS:000828133400014","View Full Record in Web of Science")</f>
        <v>View Full Record in Web of Science</v>
      </c>
    </row>
    <row r="2134" spans="1:72" x14ac:dyDescent="0.35">
      <c r="A2134" t="s">
        <v>72</v>
      </c>
      <c r="B2134" t="s">
        <v>36464</v>
      </c>
      <c r="C2134" t="s">
        <v>74</v>
      </c>
      <c r="D2134" t="s">
        <v>74</v>
      </c>
      <c r="E2134" t="s">
        <v>74</v>
      </c>
      <c r="F2134" t="s">
        <v>36465</v>
      </c>
      <c r="G2134" t="s">
        <v>74</v>
      </c>
      <c r="H2134" t="s">
        <v>74</v>
      </c>
      <c r="I2134" t="s">
        <v>36466</v>
      </c>
      <c r="J2134" t="s">
        <v>36467</v>
      </c>
      <c r="K2134" t="s">
        <v>74</v>
      </c>
      <c r="L2134" t="s">
        <v>74</v>
      </c>
      <c r="M2134" t="s">
        <v>78</v>
      </c>
      <c r="N2134" t="s">
        <v>79</v>
      </c>
      <c r="O2134" t="s">
        <v>74</v>
      </c>
      <c r="P2134" t="s">
        <v>74</v>
      </c>
      <c r="Q2134" t="s">
        <v>74</v>
      </c>
      <c r="R2134" t="s">
        <v>74</v>
      </c>
      <c r="S2134" t="s">
        <v>74</v>
      </c>
      <c r="T2134" t="s">
        <v>74</v>
      </c>
      <c r="U2134" t="s">
        <v>36468</v>
      </c>
      <c r="V2134" t="s">
        <v>36469</v>
      </c>
      <c r="W2134" t="s">
        <v>36470</v>
      </c>
      <c r="X2134" t="s">
        <v>36471</v>
      </c>
      <c r="Y2134" t="s">
        <v>36472</v>
      </c>
      <c r="Z2134" t="s">
        <v>36473</v>
      </c>
      <c r="AA2134" t="s">
        <v>36474</v>
      </c>
      <c r="AB2134" t="s">
        <v>36475</v>
      </c>
      <c r="AC2134" t="s">
        <v>36476</v>
      </c>
      <c r="AD2134" t="s">
        <v>36476</v>
      </c>
      <c r="AE2134" t="s">
        <v>36477</v>
      </c>
      <c r="AF2134" t="s">
        <v>74</v>
      </c>
      <c r="AG2134">
        <v>49</v>
      </c>
      <c r="AH2134">
        <v>6</v>
      </c>
      <c r="AI2134">
        <v>7</v>
      </c>
      <c r="AJ2134">
        <v>13</v>
      </c>
      <c r="AK2134">
        <v>25</v>
      </c>
      <c r="AL2134" t="s">
        <v>12586</v>
      </c>
      <c r="AM2134" t="s">
        <v>4435</v>
      </c>
      <c r="AN2134" t="s">
        <v>12587</v>
      </c>
      <c r="AO2134" t="s">
        <v>36478</v>
      </c>
      <c r="AP2134" t="s">
        <v>36479</v>
      </c>
      <c r="AQ2134" t="s">
        <v>74</v>
      </c>
      <c r="AR2134" t="s">
        <v>36467</v>
      </c>
      <c r="AS2134" t="s">
        <v>36480</v>
      </c>
      <c r="AT2134" t="s">
        <v>36481</v>
      </c>
      <c r="AU2134">
        <v>2024</v>
      </c>
      <c r="AV2134" t="s">
        <v>74</v>
      </c>
      <c r="AW2134" t="s">
        <v>74</v>
      </c>
      <c r="AX2134" t="s">
        <v>74</v>
      </c>
      <c r="AY2134" t="s">
        <v>74</v>
      </c>
      <c r="AZ2134" t="s">
        <v>74</v>
      </c>
      <c r="BA2134" t="s">
        <v>74</v>
      </c>
      <c r="BB2134" t="s">
        <v>74</v>
      </c>
      <c r="BC2134" t="s">
        <v>74</v>
      </c>
      <c r="BD2134" t="s">
        <v>74</v>
      </c>
      <c r="BE2134" t="s">
        <v>36482</v>
      </c>
      <c r="BF2134" t="str">
        <f>HYPERLINK("http://dx.doi.org/10.1038/s41586-024-07068-x","http://dx.doi.org/10.1038/s41586-024-07068-x")</f>
        <v>http://dx.doi.org/10.1038/s41586-024-07068-x</v>
      </c>
      <c r="BG2134" t="s">
        <v>74</v>
      </c>
      <c r="BH2134" t="s">
        <v>786</v>
      </c>
      <c r="BI2134">
        <v>24</v>
      </c>
      <c r="BJ2134" t="s">
        <v>1301</v>
      </c>
      <c r="BK2134" t="s">
        <v>209</v>
      </c>
      <c r="BL2134" t="s">
        <v>1302</v>
      </c>
      <c r="BM2134" t="s">
        <v>36483</v>
      </c>
      <c r="BN2134">
        <v>38355800</v>
      </c>
      <c r="BO2134" t="s">
        <v>4154</v>
      </c>
      <c r="BP2134" t="s">
        <v>74</v>
      </c>
      <c r="BQ2134" t="s">
        <v>74</v>
      </c>
      <c r="BR2134" t="s">
        <v>102</v>
      </c>
      <c r="BS2134" t="s">
        <v>36484</v>
      </c>
      <c r="BT2134" t="str">
        <f>HYPERLINK("https%3A%2F%2Fwww.webofscience.com%2Fwos%2Fwoscc%2Ffull-record%2FWOS:001171755900002","View Full Record in Web of Science")</f>
        <v>View Full Record in Web of Science</v>
      </c>
    </row>
    <row r="2135" spans="1:72" x14ac:dyDescent="0.35">
      <c r="A2135" t="s">
        <v>128</v>
      </c>
      <c r="B2135" t="s">
        <v>36485</v>
      </c>
      <c r="C2135" t="s">
        <v>74</v>
      </c>
      <c r="D2135" t="s">
        <v>74</v>
      </c>
      <c r="E2135" t="s">
        <v>702</v>
      </c>
      <c r="F2135" t="s">
        <v>36486</v>
      </c>
      <c r="G2135" t="s">
        <v>74</v>
      </c>
      <c r="H2135" t="s">
        <v>74</v>
      </c>
      <c r="I2135" t="s">
        <v>36487</v>
      </c>
      <c r="J2135" t="s">
        <v>34103</v>
      </c>
      <c r="K2135" t="s">
        <v>74</v>
      </c>
      <c r="L2135" t="s">
        <v>74</v>
      </c>
      <c r="M2135" t="s">
        <v>78</v>
      </c>
      <c r="N2135" t="s">
        <v>135</v>
      </c>
      <c r="O2135" t="s">
        <v>34104</v>
      </c>
      <c r="P2135" t="s">
        <v>34105</v>
      </c>
      <c r="Q2135" t="s">
        <v>30780</v>
      </c>
      <c r="R2135" t="s">
        <v>1098</v>
      </c>
      <c r="S2135" t="s">
        <v>74</v>
      </c>
      <c r="T2135" t="s">
        <v>36488</v>
      </c>
      <c r="U2135" t="s">
        <v>74</v>
      </c>
      <c r="V2135" t="s">
        <v>36489</v>
      </c>
      <c r="W2135" t="s">
        <v>36490</v>
      </c>
      <c r="X2135" t="s">
        <v>36491</v>
      </c>
      <c r="Y2135" t="s">
        <v>36492</v>
      </c>
      <c r="Z2135" t="s">
        <v>36493</v>
      </c>
      <c r="AA2135" t="s">
        <v>36494</v>
      </c>
      <c r="AB2135" t="s">
        <v>36495</v>
      </c>
      <c r="AC2135" t="s">
        <v>36496</v>
      </c>
      <c r="AD2135" t="s">
        <v>32238</v>
      </c>
      <c r="AE2135" t="s">
        <v>36497</v>
      </c>
      <c r="AF2135" t="s">
        <v>74</v>
      </c>
      <c r="AG2135">
        <v>49</v>
      </c>
      <c r="AH2135">
        <v>3</v>
      </c>
      <c r="AI2135">
        <v>3</v>
      </c>
      <c r="AJ2135">
        <v>1</v>
      </c>
      <c r="AK2135">
        <v>1</v>
      </c>
      <c r="AL2135" t="s">
        <v>718</v>
      </c>
      <c r="AM2135" t="s">
        <v>666</v>
      </c>
      <c r="AN2135" t="s">
        <v>719</v>
      </c>
      <c r="AO2135" t="s">
        <v>74</v>
      </c>
      <c r="AP2135" t="s">
        <v>74</v>
      </c>
      <c r="AQ2135" t="s">
        <v>34115</v>
      </c>
      <c r="AR2135" t="s">
        <v>74</v>
      </c>
      <c r="AS2135" t="s">
        <v>74</v>
      </c>
      <c r="AT2135" t="s">
        <v>74</v>
      </c>
      <c r="AU2135">
        <v>2023</v>
      </c>
      <c r="AV2135" t="s">
        <v>74</v>
      </c>
      <c r="AW2135" t="s">
        <v>74</v>
      </c>
      <c r="AX2135" t="s">
        <v>74</v>
      </c>
      <c r="AY2135" t="s">
        <v>74</v>
      </c>
      <c r="AZ2135" t="s">
        <v>74</v>
      </c>
      <c r="BA2135" t="s">
        <v>74</v>
      </c>
      <c r="BB2135">
        <v>540</v>
      </c>
      <c r="BC2135">
        <v>550</v>
      </c>
      <c r="BD2135" t="s">
        <v>74</v>
      </c>
      <c r="BE2135" t="s">
        <v>36498</v>
      </c>
      <c r="BF2135" t="str">
        <f>HYPERLINK("http://dx.doi.org/10.1145/3604915.3608814","http://dx.doi.org/10.1145/3604915.3608814")</f>
        <v>http://dx.doi.org/10.1145/3604915.3608814</v>
      </c>
      <c r="BG2135" t="s">
        <v>74</v>
      </c>
      <c r="BH2135" t="s">
        <v>74</v>
      </c>
      <c r="BI2135">
        <v>11</v>
      </c>
      <c r="BJ2135" t="s">
        <v>894</v>
      </c>
      <c r="BK2135" t="s">
        <v>723</v>
      </c>
      <c r="BL2135" t="s">
        <v>210</v>
      </c>
      <c r="BM2135" t="s">
        <v>34117</v>
      </c>
      <c r="BN2135" t="s">
        <v>74</v>
      </c>
      <c r="BO2135" t="s">
        <v>2738</v>
      </c>
      <c r="BP2135" t="s">
        <v>74</v>
      </c>
      <c r="BQ2135" t="s">
        <v>74</v>
      </c>
      <c r="BR2135" t="s">
        <v>102</v>
      </c>
      <c r="BS2135" t="s">
        <v>36499</v>
      </c>
      <c r="BT2135" t="str">
        <f>HYPERLINK("https%3A%2F%2Fwww.webofscience.com%2Fwos%2Fwoscc%2Ffull-record%2FWOS:001156630300053","View Full Record in Web of Science")</f>
        <v>View Full Record in Web of Science</v>
      </c>
    </row>
    <row r="2136" spans="1:72" x14ac:dyDescent="0.35">
      <c r="A2136" t="s">
        <v>72</v>
      </c>
      <c r="B2136" t="s">
        <v>36500</v>
      </c>
      <c r="C2136" t="s">
        <v>74</v>
      </c>
      <c r="D2136" t="s">
        <v>74</v>
      </c>
      <c r="E2136" t="s">
        <v>74</v>
      </c>
      <c r="F2136" t="s">
        <v>36501</v>
      </c>
      <c r="G2136" t="s">
        <v>74</v>
      </c>
      <c r="H2136" t="s">
        <v>74</v>
      </c>
      <c r="I2136" t="s">
        <v>36502</v>
      </c>
      <c r="J2136" t="s">
        <v>1936</v>
      </c>
      <c r="K2136" t="s">
        <v>74</v>
      </c>
      <c r="L2136" t="s">
        <v>74</v>
      </c>
      <c r="M2136" t="s">
        <v>78</v>
      </c>
      <c r="N2136" t="s">
        <v>108</v>
      </c>
      <c r="O2136" t="s">
        <v>74</v>
      </c>
      <c r="P2136" t="s">
        <v>74</v>
      </c>
      <c r="Q2136" t="s">
        <v>74</v>
      </c>
      <c r="R2136" t="s">
        <v>74</v>
      </c>
      <c r="S2136" t="s">
        <v>74</v>
      </c>
      <c r="T2136" t="s">
        <v>36503</v>
      </c>
      <c r="U2136" t="s">
        <v>36504</v>
      </c>
      <c r="V2136" t="s">
        <v>36505</v>
      </c>
      <c r="W2136" t="s">
        <v>36506</v>
      </c>
      <c r="X2136" t="s">
        <v>36507</v>
      </c>
      <c r="Y2136" t="s">
        <v>36508</v>
      </c>
      <c r="Z2136" t="s">
        <v>36509</v>
      </c>
      <c r="AA2136" t="s">
        <v>36510</v>
      </c>
      <c r="AB2136" t="s">
        <v>36511</v>
      </c>
      <c r="AC2136" t="s">
        <v>36512</v>
      </c>
      <c r="AD2136" t="s">
        <v>36513</v>
      </c>
      <c r="AE2136" t="s">
        <v>36514</v>
      </c>
      <c r="AF2136" t="s">
        <v>74</v>
      </c>
      <c r="AG2136">
        <v>49</v>
      </c>
      <c r="AH2136">
        <v>28</v>
      </c>
      <c r="AI2136">
        <v>28</v>
      </c>
      <c r="AJ2136">
        <v>45</v>
      </c>
      <c r="AK2136">
        <v>128</v>
      </c>
      <c r="AL2136" t="s">
        <v>516</v>
      </c>
      <c r="AM2136" t="s">
        <v>517</v>
      </c>
      <c r="AN2136" t="s">
        <v>518</v>
      </c>
      <c r="AO2136" t="s">
        <v>1949</v>
      </c>
      <c r="AP2136" t="s">
        <v>1950</v>
      </c>
      <c r="AQ2136" t="s">
        <v>74</v>
      </c>
      <c r="AR2136" t="s">
        <v>1951</v>
      </c>
      <c r="AS2136" t="s">
        <v>1952</v>
      </c>
      <c r="AT2136" t="s">
        <v>930</v>
      </c>
      <c r="AU2136">
        <v>2023</v>
      </c>
      <c r="AV2136">
        <v>49</v>
      </c>
      <c r="AW2136" t="s">
        <v>74</v>
      </c>
      <c r="AX2136" t="s">
        <v>74</v>
      </c>
      <c r="AY2136" t="s">
        <v>74</v>
      </c>
      <c r="AZ2136" t="s">
        <v>74</v>
      </c>
      <c r="BA2136" t="s">
        <v>74</v>
      </c>
      <c r="BB2136" t="s">
        <v>74</v>
      </c>
      <c r="BC2136" t="s">
        <v>74</v>
      </c>
      <c r="BD2136">
        <v>101722</v>
      </c>
      <c r="BE2136" t="s">
        <v>36515</v>
      </c>
      <c r="BF2136" t="str">
        <f>HYPERLINK("http://dx.doi.org/10.1016/j.eatbeh.2023.101722","http://dx.doi.org/10.1016/j.eatbeh.2023.101722")</f>
        <v>http://dx.doi.org/10.1016/j.eatbeh.2023.101722</v>
      </c>
      <c r="BG2136" t="s">
        <v>74</v>
      </c>
      <c r="BH2136" t="s">
        <v>299</v>
      </c>
      <c r="BI2136">
        <v>9</v>
      </c>
      <c r="BJ2136" t="s">
        <v>1955</v>
      </c>
      <c r="BK2136" t="s">
        <v>99</v>
      </c>
      <c r="BL2136" t="s">
        <v>1617</v>
      </c>
      <c r="BM2136" t="s">
        <v>36516</v>
      </c>
      <c r="BN2136">
        <v>37060807</v>
      </c>
      <c r="BO2136" t="s">
        <v>6798</v>
      </c>
      <c r="BP2136" t="s">
        <v>395</v>
      </c>
      <c r="BQ2136" t="s">
        <v>396</v>
      </c>
      <c r="BR2136" t="s">
        <v>102</v>
      </c>
      <c r="BS2136" t="s">
        <v>36517</v>
      </c>
      <c r="BT2136" t="str">
        <f>HYPERLINK("https%3A%2F%2Fwww.webofscience.com%2Fwos%2Fwoscc%2Ffull-record%2FWOS:000983270100001","View Full Record in Web of Science")</f>
        <v>View Full Record in Web of Science</v>
      </c>
    </row>
    <row r="2137" spans="1:72" x14ac:dyDescent="0.35">
      <c r="A2137" t="s">
        <v>72</v>
      </c>
      <c r="B2137" t="s">
        <v>36518</v>
      </c>
      <c r="C2137" t="s">
        <v>74</v>
      </c>
      <c r="D2137" t="s">
        <v>74</v>
      </c>
      <c r="E2137" t="s">
        <v>74</v>
      </c>
      <c r="F2137" t="s">
        <v>36519</v>
      </c>
      <c r="G2137" t="s">
        <v>74</v>
      </c>
      <c r="H2137" t="s">
        <v>74</v>
      </c>
      <c r="I2137" t="s">
        <v>36520</v>
      </c>
      <c r="J2137" t="s">
        <v>36521</v>
      </c>
      <c r="K2137" t="s">
        <v>74</v>
      </c>
      <c r="L2137" t="s">
        <v>74</v>
      </c>
      <c r="M2137" t="s">
        <v>78</v>
      </c>
      <c r="N2137" t="s">
        <v>108</v>
      </c>
      <c r="O2137" t="s">
        <v>74</v>
      </c>
      <c r="P2137" t="s">
        <v>74</v>
      </c>
      <c r="Q2137" t="s">
        <v>74</v>
      </c>
      <c r="R2137" t="s">
        <v>74</v>
      </c>
      <c r="S2137" t="s">
        <v>74</v>
      </c>
      <c r="T2137" t="s">
        <v>36522</v>
      </c>
      <c r="U2137" t="s">
        <v>36523</v>
      </c>
      <c r="V2137" t="s">
        <v>36524</v>
      </c>
      <c r="W2137" t="s">
        <v>36525</v>
      </c>
      <c r="X2137" t="s">
        <v>36526</v>
      </c>
      <c r="Y2137" t="s">
        <v>36527</v>
      </c>
      <c r="Z2137" t="s">
        <v>36528</v>
      </c>
      <c r="AA2137" t="s">
        <v>74</v>
      </c>
      <c r="AB2137" t="s">
        <v>74</v>
      </c>
      <c r="AC2137" t="s">
        <v>74</v>
      </c>
      <c r="AD2137" t="s">
        <v>74</v>
      </c>
      <c r="AE2137" t="s">
        <v>74</v>
      </c>
      <c r="AF2137" t="s">
        <v>74</v>
      </c>
      <c r="AG2137">
        <v>33</v>
      </c>
      <c r="AH2137">
        <v>0</v>
      </c>
      <c r="AI2137">
        <v>0</v>
      </c>
      <c r="AJ2137">
        <v>0</v>
      </c>
      <c r="AK2137">
        <v>0</v>
      </c>
      <c r="AL2137" t="s">
        <v>516</v>
      </c>
      <c r="AM2137" t="s">
        <v>517</v>
      </c>
      <c r="AN2137" t="s">
        <v>518</v>
      </c>
      <c r="AO2137" t="s">
        <v>74</v>
      </c>
      <c r="AP2137" t="s">
        <v>36529</v>
      </c>
      <c r="AQ2137" t="s">
        <v>74</v>
      </c>
      <c r="AR2137" t="s">
        <v>36530</v>
      </c>
      <c r="AS2137" t="s">
        <v>36531</v>
      </c>
      <c r="AT2137" t="s">
        <v>1275</v>
      </c>
      <c r="AU2137">
        <v>2023</v>
      </c>
      <c r="AV2137">
        <v>4</v>
      </c>
      <c r="AW2137" t="s">
        <v>74</v>
      </c>
      <c r="AX2137" t="s">
        <v>74</v>
      </c>
      <c r="AY2137" t="s">
        <v>74</v>
      </c>
      <c r="AZ2137" t="s">
        <v>74</v>
      </c>
      <c r="BA2137" t="s">
        <v>74</v>
      </c>
      <c r="BB2137" t="s">
        <v>74</v>
      </c>
      <c r="BC2137" t="s">
        <v>74</v>
      </c>
      <c r="BD2137">
        <v>100054</v>
      </c>
      <c r="BE2137" t="s">
        <v>36532</v>
      </c>
      <c r="BF2137" t="str">
        <f>HYPERLINK("http://dx.doi.org/10.1016/j.yjpso.2023.100054","http://dx.doi.org/10.1016/j.yjpso.2023.100054")</f>
        <v>http://dx.doi.org/10.1016/j.yjpso.2023.100054</v>
      </c>
      <c r="BG2137" t="s">
        <v>74</v>
      </c>
      <c r="BH2137" t="s">
        <v>74</v>
      </c>
      <c r="BI2137">
        <v>4</v>
      </c>
      <c r="BJ2137" t="s">
        <v>36533</v>
      </c>
      <c r="BK2137" t="s">
        <v>125</v>
      </c>
      <c r="BL2137" t="s">
        <v>36533</v>
      </c>
      <c r="BM2137" t="s">
        <v>36534</v>
      </c>
      <c r="BN2137" t="s">
        <v>74</v>
      </c>
      <c r="BO2137" t="s">
        <v>235</v>
      </c>
      <c r="BP2137" t="s">
        <v>74</v>
      </c>
      <c r="BQ2137" t="s">
        <v>74</v>
      </c>
      <c r="BR2137" t="s">
        <v>102</v>
      </c>
      <c r="BS2137" t="s">
        <v>36535</v>
      </c>
      <c r="BT2137" t="str">
        <f>HYPERLINK("https%3A%2F%2Fwww.webofscience.com%2Fwos%2Fwoscc%2Ffull-record%2FWOS:001355929000007","View Full Record in Web of Science")</f>
        <v>View Full Record in Web of Science</v>
      </c>
    </row>
    <row r="2138" spans="1:72" x14ac:dyDescent="0.35">
      <c r="A2138" t="s">
        <v>72</v>
      </c>
      <c r="B2138" t="s">
        <v>36536</v>
      </c>
      <c r="C2138" t="s">
        <v>74</v>
      </c>
      <c r="D2138" t="s">
        <v>74</v>
      </c>
      <c r="E2138" t="s">
        <v>74</v>
      </c>
      <c r="F2138" t="s">
        <v>36537</v>
      </c>
      <c r="G2138" t="s">
        <v>74</v>
      </c>
      <c r="H2138" t="s">
        <v>74</v>
      </c>
      <c r="I2138" t="s">
        <v>36538</v>
      </c>
      <c r="J2138" t="s">
        <v>12578</v>
      </c>
      <c r="K2138" t="s">
        <v>74</v>
      </c>
      <c r="L2138" t="s">
        <v>74</v>
      </c>
      <c r="M2138" t="s">
        <v>78</v>
      </c>
      <c r="N2138" t="s">
        <v>108</v>
      </c>
      <c r="O2138" t="s">
        <v>74</v>
      </c>
      <c r="P2138" t="s">
        <v>74</v>
      </c>
      <c r="Q2138" t="s">
        <v>74</v>
      </c>
      <c r="R2138" t="s">
        <v>74</v>
      </c>
      <c r="S2138" t="s">
        <v>74</v>
      </c>
      <c r="T2138" t="s">
        <v>74</v>
      </c>
      <c r="U2138" t="s">
        <v>74</v>
      </c>
      <c r="V2138" t="s">
        <v>36539</v>
      </c>
      <c r="W2138" t="s">
        <v>36540</v>
      </c>
      <c r="X2138" t="s">
        <v>36541</v>
      </c>
      <c r="Y2138" t="s">
        <v>36542</v>
      </c>
      <c r="Z2138" t="s">
        <v>36543</v>
      </c>
      <c r="AA2138" t="s">
        <v>36544</v>
      </c>
      <c r="AB2138" t="s">
        <v>36545</v>
      </c>
      <c r="AC2138" t="s">
        <v>74</v>
      </c>
      <c r="AD2138" t="s">
        <v>74</v>
      </c>
      <c r="AE2138" t="s">
        <v>74</v>
      </c>
      <c r="AF2138" t="s">
        <v>74</v>
      </c>
      <c r="AG2138">
        <v>24</v>
      </c>
      <c r="AH2138">
        <v>6</v>
      </c>
      <c r="AI2138">
        <v>6</v>
      </c>
      <c r="AJ2138">
        <v>0</v>
      </c>
      <c r="AK2138">
        <v>2</v>
      </c>
      <c r="AL2138" t="s">
        <v>12586</v>
      </c>
      <c r="AM2138" t="s">
        <v>4435</v>
      </c>
      <c r="AN2138" t="s">
        <v>12587</v>
      </c>
      <c r="AO2138" t="s">
        <v>12588</v>
      </c>
      <c r="AP2138" t="s">
        <v>74</v>
      </c>
      <c r="AQ2138" t="s">
        <v>74</v>
      </c>
      <c r="AR2138" t="s">
        <v>12589</v>
      </c>
      <c r="AS2138" t="s">
        <v>12590</v>
      </c>
      <c r="AT2138" t="s">
        <v>17493</v>
      </c>
      <c r="AU2138">
        <v>2022</v>
      </c>
      <c r="AV2138">
        <v>12</v>
      </c>
      <c r="AW2138">
        <v>1</v>
      </c>
      <c r="AX2138" t="s">
        <v>74</v>
      </c>
      <c r="AY2138" t="s">
        <v>74</v>
      </c>
      <c r="AZ2138" t="s">
        <v>74</v>
      </c>
      <c r="BA2138" t="s">
        <v>74</v>
      </c>
      <c r="BB2138" t="s">
        <v>74</v>
      </c>
      <c r="BC2138" t="s">
        <v>74</v>
      </c>
      <c r="BD2138">
        <v>17657</v>
      </c>
      <c r="BE2138" t="s">
        <v>36546</v>
      </c>
      <c r="BF2138" t="str">
        <f>HYPERLINK("http://dx.doi.org/10.1038/s41598-022-20844-x","http://dx.doi.org/10.1038/s41598-022-20844-x")</f>
        <v>http://dx.doi.org/10.1038/s41598-022-20844-x</v>
      </c>
      <c r="BG2138" t="s">
        <v>74</v>
      </c>
      <c r="BH2138" t="s">
        <v>74</v>
      </c>
      <c r="BI2138">
        <v>8</v>
      </c>
      <c r="BJ2138" t="s">
        <v>1301</v>
      </c>
      <c r="BK2138" t="s">
        <v>209</v>
      </c>
      <c r="BL2138" t="s">
        <v>1302</v>
      </c>
      <c r="BM2138" t="s">
        <v>36547</v>
      </c>
      <c r="BN2138">
        <v>36271079</v>
      </c>
      <c r="BO2138" t="s">
        <v>2703</v>
      </c>
      <c r="BP2138" t="s">
        <v>74</v>
      </c>
      <c r="BQ2138" t="s">
        <v>74</v>
      </c>
      <c r="BR2138" t="s">
        <v>102</v>
      </c>
      <c r="BS2138" t="s">
        <v>36548</v>
      </c>
      <c r="BT2138" t="str">
        <f>HYPERLINK("https%3A%2F%2Fwww.webofscience.com%2Fwos%2Fwoscc%2Ffull-record%2FWOS:000871116800065","View Full Record in Web of Science")</f>
        <v>View Full Record in Web of Science</v>
      </c>
    </row>
    <row r="2139" spans="1:72" x14ac:dyDescent="0.35">
      <c r="A2139" t="s">
        <v>128</v>
      </c>
      <c r="B2139" t="s">
        <v>36549</v>
      </c>
      <c r="C2139" t="s">
        <v>74</v>
      </c>
      <c r="D2139" t="s">
        <v>74</v>
      </c>
      <c r="E2139" t="s">
        <v>702</v>
      </c>
      <c r="F2139" t="s">
        <v>36550</v>
      </c>
      <c r="G2139" t="s">
        <v>74</v>
      </c>
      <c r="H2139" t="s">
        <v>74</v>
      </c>
      <c r="I2139" t="s">
        <v>36551</v>
      </c>
      <c r="J2139" t="s">
        <v>34103</v>
      </c>
      <c r="K2139" t="s">
        <v>74</v>
      </c>
      <c r="L2139" t="s">
        <v>74</v>
      </c>
      <c r="M2139" t="s">
        <v>78</v>
      </c>
      <c r="N2139" t="s">
        <v>135</v>
      </c>
      <c r="O2139" t="s">
        <v>34104</v>
      </c>
      <c r="P2139" t="s">
        <v>34105</v>
      </c>
      <c r="Q2139" t="s">
        <v>30780</v>
      </c>
      <c r="R2139" t="s">
        <v>1098</v>
      </c>
      <c r="S2139" t="s">
        <v>74</v>
      </c>
      <c r="T2139" t="s">
        <v>36552</v>
      </c>
      <c r="U2139" t="s">
        <v>74</v>
      </c>
      <c r="V2139" t="s">
        <v>36553</v>
      </c>
      <c r="W2139" t="s">
        <v>36554</v>
      </c>
      <c r="X2139" t="s">
        <v>74</v>
      </c>
      <c r="Y2139" t="s">
        <v>36555</v>
      </c>
      <c r="Z2139" t="s">
        <v>36556</v>
      </c>
      <c r="AA2139" t="s">
        <v>36557</v>
      </c>
      <c r="AB2139" t="s">
        <v>36558</v>
      </c>
      <c r="AC2139" t="s">
        <v>74</v>
      </c>
      <c r="AD2139" t="s">
        <v>74</v>
      </c>
      <c r="AE2139" t="s">
        <v>74</v>
      </c>
      <c r="AF2139" t="s">
        <v>74</v>
      </c>
      <c r="AG2139">
        <v>23</v>
      </c>
      <c r="AH2139">
        <v>0</v>
      </c>
      <c r="AI2139">
        <v>0</v>
      </c>
      <c r="AJ2139">
        <v>1</v>
      </c>
      <c r="AK2139">
        <v>1</v>
      </c>
      <c r="AL2139" t="s">
        <v>718</v>
      </c>
      <c r="AM2139" t="s">
        <v>666</v>
      </c>
      <c r="AN2139" t="s">
        <v>719</v>
      </c>
      <c r="AO2139" t="s">
        <v>74</v>
      </c>
      <c r="AP2139" t="s">
        <v>74</v>
      </c>
      <c r="AQ2139" t="s">
        <v>34115</v>
      </c>
      <c r="AR2139" t="s">
        <v>74</v>
      </c>
      <c r="AS2139" t="s">
        <v>74</v>
      </c>
      <c r="AT2139" t="s">
        <v>74</v>
      </c>
      <c r="AU2139">
        <v>2023</v>
      </c>
      <c r="AV2139" t="s">
        <v>74</v>
      </c>
      <c r="AW2139" t="s">
        <v>74</v>
      </c>
      <c r="AX2139" t="s">
        <v>74</v>
      </c>
      <c r="AY2139" t="s">
        <v>74</v>
      </c>
      <c r="AZ2139" t="s">
        <v>74</v>
      </c>
      <c r="BA2139" t="s">
        <v>74</v>
      </c>
      <c r="BB2139">
        <v>1269</v>
      </c>
      <c r="BC2139">
        <v>1271</v>
      </c>
      <c r="BD2139" t="s">
        <v>74</v>
      </c>
      <c r="BE2139" t="s">
        <v>36559</v>
      </c>
      <c r="BF2139" t="str">
        <f>HYPERLINK("http://dx.doi.org/10.1145/3604915.3608762","http://dx.doi.org/10.1145/3604915.3608762")</f>
        <v>http://dx.doi.org/10.1145/3604915.3608762</v>
      </c>
      <c r="BG2139" t="s">
        <v>74</v>
      </c>
      <c r="BH2139" t="s">
        <v>74</v>
      </c>
      <c r="BI2139">
        <v>3</v>
      </c>
      <c r="BJ2139" t="s">
        <v>894</v>
      </c>
      <c r="BK2139" t="s">
        <v>723</v>
      </c>
      <c r="BL2139" t="s">
        <v>210</v>
      </c>
      <c r="BM2139" t="s">
        <v>34117</v>
      </c>
      <c r="BN2139" t="s">
        <v>74</v>
      </c>
      <c r="BO2139" t="s">
        <v>74</v>
      </c>
      <c r="BP2139" t="s">
        <v>74</v>
      </c>
      <c r="BQ2139" t="s">
        <v>74</v>
      </c>
      <c r="BR2139" t="s">
        <v>102</v>
      </c>
      <c r="BS2139" t="s">
        <v>36560</v>
      </c>
      <c r="BT2139" t="str">
        <f>HYPERLINK("https%3A%2F%2Fwww.webofscience.com%2Fwos%2Fwoscc%2Ffull-record%2FWOS:001156630300172","View Full Record in Web of Science")</f>
        <v>View Full Record in Web of Science</v>
      </c>
    </row>
    <row r="2140" spans="1:72" x14ac:dyDescent="0.35">
      <c r="A2140" t="s">
        <v>72</v>
      </c>
      <c r="B2140" t="s">
        <v>36561</v>
      </c>
      <c r="C2140" t="s">
        <v>74</v>
      </c>
      <c r="D2140" t="s">
        <v>74</v>
      </c>
      <c r="E2140" t="s">
        <v>74</v>
      </c>
      <c r="F2140" t="s">
        <v>36562</v>
      </c>
      <c r="G2140" t="s">
        <v>74</v>
      </c>
      <c r="H2140" t="s">
        <v>74</v>
      </c>
      <c r="I2140" t="s">
        <v>36563</v>
      </c>
      <c r="J2140" t="s">
        <v>36564</v>
      </c>
      <c r="K2140" t="s">
        <v>74</v>
      </c>
      <c r="L2140" t="s">
        <v>74</v>
      </c>
      <c r="M2140" t="s">
        <v>78</v>
      </c>
      <c r="N2140" t="s">
        <v>108</v>
      </c>
      <c r="O2140" t="s">
        <v>74</v>
      </c>
      <c r="P2140" t="s">
        <v>74</v>
      </c>
      <c r="Q2140" t="s">
        <v>74</v>
      </c>
      <c r="R2140" t="s">
        <v>74</v>
      </c>
      <c r="S2140" t="s">
        <v>74</v>
      </c>
      <c r="T2140" t="s">
        <v>36565</v>
      </c>
      <c r="U2140" t="s">
        <v>36566</v>
      </c>
      <c r="V2140" t="s">
        <v>36567</v>
      </c>
      <c r="W2140" t="s">
        <v>36568</v>
      </c>
      <c r="X2140" t="s">
        <v>36569</v>
      </c>
      <c r="Y2140" t="s">
        <v>36570</v>
      </c>
      <c r="Z2140" t="s">
        <v>36571</v>
      </c>
      <c r="AA2140" t="s">
        <v>36572</v>
      </c>
      <c r="AB2140" t="s">
        <v>36573</v>
      </c>
      <c r="AC2140" t="s">
        <v>36574</v>
      </c>
      <c r="AD2140" t="s">
        <v>36575</v>
      </c>
      <c r="AE2140" t="s">
        <v>36576</v>
      </c>
      <c r="AF2140" t="s">
        <v>74</v>
      </c>
      <c r="AG2140">
        <v>61</v>
      </c>
      <c r="AH2140">
        <v>0</v>
      </c>
      <c r="AI2140">
        <v>0</v>
      </c>
      <c r="AJ2140">
        <v>3</v>
      </c>
      <c r="AK2140">
        <v>3</v>
      </c>
      <c r="AL2140" t="s">
        <v>251</v>
      </c>
      <c r="AM2140" t="s">
        <v>252</v>
      </c>
      <c r="AN2140" t="s">
        <v>253</v>
      </c>
      <c r="AO2140" t="s">
        <v>74</v>
      </c>
      <c r="AP2140" t="s">
        <v>36577</v>
      </c>
      <c r="AQ2140" t="s">
        <v>74</v>
      </c>
      <c r="AR2140" t="s">
        <v>36564</v>
      </c>
      <c r="AS2140" t="s">
        <v>36578</v>
      </c>
      <c r="AT2140" t="s">
        <v>523</v>
      </c>
      <c r="AU2140">
        <v>2024</v>
      </c>
      <c r="AV2140">
        <v>5</v>
      </c>
      <c r="AW2140">
        <v>6</v>
      </c>
      <c r="AX2140" t="s">
        <v>74</v>
      </c>
      <c r="AY2140" t="s">
        <v>74</v>
      </c>
      <c r="AZ2140" t="s">
        <v>74</v>
      </c>
      <c r="BA2140" t="s">
        <v>74</v>
      </c>
      <c r="BB2140">
        <v>2641</v>
      </c>
      <c r="BC2140">
        <v>2651</v>
      </c>
      <c r="BD2140" t="s">
        <v>74</v>
      </c>
      <c r="BE2140" t="s">
        <v>36579</v>
      </c>
      <c r="BF2140" t="str">
        <f>HYPERLINK("http://dx.doi.org/10.1002/fft2.487","http://dx.doi.org/10.1002/fft2.487")</f>
        <v>http://dx.doi.org/10.1002/fft2.487</v>
      </c>
      <c r="BG2140" t="s">
        <v>74</v>
      </c>
      <c r="BH2140" t="s">
        <v>337</v>
      </c>
      <c r="BI2140">
        <v>11</v>
      </c>
      <c r="BJ2140" t="s">
        <v>26877</v>
      </c>
      <c r="BK2140" t="s">
        <v>125</v>
      </c>
      <c r="BL2140" t="s">
        <v>26877</v>
      </c>
      <c r="BM2140" t="s">
        <v>36580</v>
      </c>
      <c r="BN2140" t="s">
        <v>74</v>
      </c>
      <c r="BO2140" t="s">
        <v>235</v>
      </c>
      <c r="BP2140" t="s">
        <v>74</v>
      </c>
      <c r="BQ2140" t="s">
        <v>74</v>
      </c>
      <c r="BR2140" t="s">
        <v>102</v>
      </c>
      <c r="BS2140" t="s">
        <v>36581</v>
      </c>
      <c r="BT2140" t="str">
        <f>HYPERLINK("https%3A%2F%2Fwww.webofscience.com%2Fwos%2Fwoscc%2Ffull-record%2FWOS:001314501400001","View Full Record in Web of Science")</f>
        <v>View Full Record in Web of Science</v>
      </c>
    </row>
    <row r="2141" spans="1:72" x14ac:dyDescent="0.35">
      <c r="A2141" t="s">
        <v>72</v>
      </c>
      <c r="B2141" t="s">
        <v>36582</v>
      </c>
      <c r="C2141" t="s">
        <v>74</v>
      </c>
      <c r="D2141" t="s">
        <v>74</v>
      </c>
      <c r="E2141" t="s">
        <v>74</v>
      </c>
      <c r="F2141" t="s">
        <v>36583</v>
      </c>
      <c r="G2141" t="s">
        <v>74</v>
      </c>
      <c r="H2141" t="s">
        <v>74</v>
      </c>
      <c r="I2141" t="s">
        <v>36584</v>
      </c>
      <c r="J2141" t="s">
        <v>36585</v>
      </c>
      <c r="K2141" t="s">
        <v>74</v>
      </c>
      <c r="L2141" t="s">
        <v>74</v>
      </c>
      <c r="M2141" t="s">
        <v>78</v>
      </c>
      <c r="N2141" t="s">
        <v>374</v>
      </c>
      <c r="O2141" t="s">
        <v>74</v>
      </c>
      <c r="P2141" t="s">
        <v>74</v>
      </c>
      <c r="Q2141" t="s">
        <v>74</v>
      </c>
      <c r="R2141" t="s">
        <v>74</v>
      </c>
      <c r="S2141" t="s">
        <v>74</v>
      </c>
      <c r="T2141" t="s">
        <v>36586</v>
      </c>
      <c r="U2141" t="s">
        <v>36587</v>
      </c>
      <c r="V2141" t="s">
        <v>36588</v>
      </c>
      <c r="W2141" t="s">
        <v>36589</v>
      </c>
      <c r="X2141" t="s">
        <v>36590</v>
      </c>
      <c r="Y2141" t="s">
        <v>36591</v>
      </c>
      <c r="Z2141" t="s">
        <v>36592</v>
      </c>
      <c r="AA2141" t="s">
        <v>74</v>
      </c>
      <c r="AB2141" t="s">
        <v>74</v>
      </c>
      <c r="AC2141" t="s">
        <v>74</v>
      </c>
      <c r="AD2141" t="s">
        <v>74</v>
      </c>
      <c r="AE2141" t="s">
        <v>74</v>
      </c>
      <c r="AF2141" t="s">
        <v>74</v>
      </c>
      <c r="AG2141">
        <v>89</v>
      </c>
      <c r="AH2141">
        <v>0</v>
      </c>
      <c r="AI2141">
        <v>0</v>
      </c>
      <c r="AJ2141">
        <v>6</v>
      </c>
      <c r="AK2141">
        <v>11</v>
      </c>
      <c r="AL2141" t="s">
        <v>12436</v>
      </c>
      <c r="AM2141" t="s">
        <v>12437</v>
      </c>
      <c r="AN2141" t="s">
        <v>12438</v>
      </c>
      <c r="AO2141" t="s">
        <v>36593</v>
      </c>
      <c r="AP2141" t="s">
        <v>36594</v>
      </c>
      <c r="AQ2141" t="s">
        <v>74</v>
      </c>
      <c r="AR2141" t="s">
        <v>36595</v>
      </c>
      <c r="AS2141" t="s">
        <v>36596</v>
      </c>
      <c r="AT2141" t="s">
        <v>178</v>
      </c>
      <c r="AU2141">
        <v>2024</v>
      </c>
      <c r="AV2141">
        <v>179</v>
      </c>
      <c r="AW2141" t="s">
        <v>74</v>
      </c>
      <c r="AX2141" t="s">
        <v>74</v>
      </c>
      <c r="AY2141" t="s">
        <v>74</v>
      </c>
      <c r="AZ2141" t="s">
        <v>74</v>
      </c>
      <c r="BA2141" t="s">
        <v>74</v>
      </c>
      <c r="BB2141" t="s">
        <v>74</v>
      </c>
      <c r="BC2141" t="s">
        <v>74</v>
      </c>
      <c r="BD2141">
        <v>107798</v>
      </c>
      <c r="BE2141" t="s">
        <v>36597</v>
      </c>
      <c r="BF2141" t="str">
        <f>HYPERLINK("http://dx.doi.org/10.1016/j.ypmed.2023.107798","http://dx.doi.org/10.1016/j.ypmed.2023.107798")</f>
        <v>http://dx.doi.org/10.1016/j.ypmed.2023.107798</v>
      </c>
      <c r="BG2141" t="s">
        <v>74</v>
      </c>
      <c r="BH2141" t="s">
        <v>1377</v>
      </c>
      <c r="BI2141">
        <v>9</v>
      </c>
      <c r="BJ2141" t="s">
        <v>2363</v>
      </c>
      <c r="BK2141" t="s">
        <v>209</v>
      </c>
      <c r="BL2141" t="s">
        <v>2364</v>
      </c>
      <c r="BM2141" t="s">
        <v>36598</v>
      </c>
      <c r="BN2141">
        <v>38065338</v>
      </c>
      <c r="BO2141" t="s">
        <v>74</v>
      </c>
      <c r="BP2141" t="s">
        <v>74</v>
      </c>
      <c r="BQ2141" t="s">
        <v>74</v>
      </c>
      <c r="BR2141" t="s">
        <v>102</v>
      </c>
      <c r="BS2141" t="s">
        <v>36599</v>
      </c>
      <c r="BT2141" t="str">
        <f>HYPERLINK("https%3A%2F%2Fwww.webofscience.com%2Fwos%2Fwoscc%2Ffull-record%2FWOS:001153529600001","View Full Record in Web of Science")</f>
        <v>View Full Record in Web of Science</v>
      </c>
    </row>
    <row r="2142" spans="1:72" x14ac:dyDescent="0.35">
      <c r="A2142" t="s">
        <v>72</v>
      </c>
      <c r="B2142" t="s">
        <v>36600</v>
      </c>
      <c r="C2142" t="s">
        <v>74</v>
      </c>
      <c r="D2142" t="s">
        <v>74</v>
      </c>
      <c r="E2142" t="s">
        <v>74</v>
      </c>
      <c r="F2142" t="s">
        <v>36601</v>
      </c>
      <c r="G2142" t="s">
        <v>74</v>
      </c>
      <c r="H2142" t="s">
        <v>74</v>
      </c>
      <c r="I2142" t="s">
        <v>36602</v>
      </c>
      <c r="J2142" t="s">
        <v>36603</v>
      </c>
      <c r="K2142" t="s">
        <v>74</v>
      </c>
      <c r="L2142" t="s">
        <v>74</v>
      </c>
      <c r="M2142" t="s">
        <v>78</v>
      </c>
      <c r="N2142" t="s">
        <v>108</v>
      </c>
      <c r="O2142" t="s">
        <v>74</v>
      </c>
      <c r="P2142" t="s">
        <v>74</v>
      </c>
      <c r="Q2142" t="s">
        <v>74</v>
      </c>
      <c r="R2142" t="s">
        <v>74</v>
      </c>
      <c r="S2142" t="s">
        <v>74</v>
      </c>
      <c r="T2142" t="s">
        <v>36604</v>
      </c>
      <c r="U2142" t="s">
        <v>36605</v>
      </c>
      <c r="V2142" t="s">
        <v>36606</v>
      </c>
      <c r="W2142" t="s">
        <v>36607</v>
      </c>
      <c r="X2142" t="s">
        <v>36608</v>
      </c>
      <c r="Y2142" t="s">
        <v>36609</v>
      </c>
      <c r="Z2142" t="s">
        <v>36610</v>
      </c>
      <c r="AA2142" t="s">
        <v>36611</v>
      </c>
      <c r="AB2142" t="s">
        <v>36612</v>
      </c>
      <c r="AC2142" t="s">
        <v>74</v>
      </c>
      <c r="AD2142" t="s">
        <v>74</v>
      </c>
      <c r="AE2142" t="s">
        <v>74</v>
      </c>
      <c r="AF2142" t="s">
        <v>74</v>
      </c>
      <c r="AG2142">
        <v>43</v>
      </c>
      <c r="AH2142">
        <v>20</v>
      </c>
      <c r="AI2142">
        <v>20</v>
      </c>
      <c r="AJ2142">
        <v>0</v>
      </c>
      <c r="AK2142">
        <v>7</v>
      </c>
      <c r="AL2142" t="s">
        <v>1965</v>
      </c>
      <c r="AM2142" t="s">
        <v>666</v>
      </c>
      <c r="AN2142" t="s">
        <v>1966</v>
      </c>
      <c r="AO2142" t="s">
        <v>36613</v>
      </c>
      <c r="AP2142" t="s">
        <v>36614</v>
      </c>
      <c r="AQ2142" t="s">
        <v>74</v>
      </c>
      <c r="AR2142" t="s">
        <v>36615</v>
      </c>
      <c r="AS2142" t="s">
        <v>36616</v>
      </c>
      <c r="AT2142" t="s">
        <v>257</v>
      </c>
      <c r="AU2142">
        <v>2021</v>
      </c>
      <c r="AV2142">
        <v>150</v>
      </c>
      <c r="AW2142" t="s">
        <v>74</v>
      </c>
      <c r="AX2142" t="s">
        <v>74</v>
      </c>
      <c r="AY2142" t="s">
        <v>74</v>
      </c>
      <c r="AZ2142" t="s">
        <v>74</v>
      </c>
      <c r="BA2142" t="s">
        <v>74</v>
      </c>
      <c r="BB2142" t="s">
        <v>36617</v>
      </c>
      <c r="BC2142" t="s">
        <v>36618</v>
      </c>
      <c r="BD2142" t="s">
        <v>74</v>
      </c>
      <c r="BE2142" t="s">
        <v>36619</v>
      </c>
      <c r="BF2142" t="str">
        <f>HYPERLINK("http://dx.doi.org/10.1016/j.wneu.2021.03.034","http://dx.doi.org/10.1016/j.wneu.2021.03.034")</f>
        <v>http://dx.doi.org/10.1016/j.wneu.2021.03.034</v>
      </c>
      <c r="BG2142" t="s">
        <v>74</v>
      </c>
      <c r="BH2142" t="s">
        <v>2090</v>
      </c>
      <c r="BI2142">
        <v>21</v>
      </c>
      <c r="BJ2142" t="s">
        <v>12882</v>
      </c>
      <c r="BK2142" t="s">
        <v>182</v>
      </c>
      <c r="BL2142" t="s">
        <v>12883</v>
      </c>
      <c r="BM2142" t="s">
        <v>36620</v>
      </c>
      <c r="BN2142">
        <v>33741545</v>
      </c>
      <c r="BO2142" t="s">
        <v>74</v>
      </c>
      <c r="BP2142" t="s">
        <v>74</v>
      </c>
      <c r="BQ2142" t="s">
        <v>74</v>
      </c>
      <c r="BR2142" t="s">
        <v>102</v>
      </c>
      <c r="BS2142" t="s">
        <v>36621</v>
      </c>
      <c r="BT2142" t="str">
        <f>HYPERLINK("https%3A%2F%2Fwww.webofscience.com%2Fwos%2Fwoscc%2Ffull-record%2FWOS:000657837500047","View Full Record in Web of Science")</f>
        <v>View Full Record in Web of Science</v>
      </c>
    </row>
    <row r="2143" spans="1:72" x14ac:dyDescent="0.35">
      <c r="A2143" t="s">
        <v>72</v>
      </c>
      <c r="B2143" t="s">
        <v>36622</v>
      </c>
      <c r="C2143" t="s">
        <v>74</v>
      </c>
      <c r="D2143" t="s">
        <v>74</v>
      </c>
      <c r="E2143" t="s">
        <v>74</v>
      </c>
      <c r="F2143" t="s">
        <v>36623</v>
      </c>
      <c r="G2143" t="s">
        <v>74</v>
      </c>
      <c r="H2143" t="s">
        <v>74</v>
      </c>
      <c r="I2143" t="s">
        <v>36624</v>
      </c>
      <c r="J2143" t="s">
        <v>2649</v>
      </c>
      <c r="K2143" t="s">
        <v>74</v>
      </c>
      <c r="L2143" t="s">
        <v>74</v>
      </c>
      <c r="M2143" t="s">
        <v>78</v>
      </c>
      <c r="N2143" t="s">
        <v>108</v>
      </c>
      <c r="O2143" t="s">
        <v>74</v>
      </c>
      <c r="P2143" t="s">
        <v>74</v>
      </c>
      <c r="Q2143" t="s">
        <v>74</v>
      </c>
      <c r="R2143" t="s">
        <v>74</v>
      </c>
      <c r="S2143" t="s">
        <v>74</v>
      </c>
      <c r="T2143" t="s">
        <v>36625</v>
      </c>
      <c r="U2143" t="s">
        <v>36626</v>
      </c>
      <c r="V2143" t="s">
        <v>36627</v>
      </c>
      <c r="W2143" t="s">
        <v>36628</v>
      </c>
      <c r="X2143" t="s">
        <v>36629</v>
      </c>
      <c r="Y2143" t="s">
        <v>36630</v>
      </c>
      <c r="Z2143" t="s">
        <v>36631</v>
      </c>
      <c r="AA2143" t="s">
        <v>36632</v>
      </c>
      <c r="AB2143" t="s">
        <v>36633</v>
      </c>
      <c r="AC2143" t="s">
        <v>36634</v>
      </c>
      <c r="AD2143" t="s">
        <v>36635</v>
      </c>
      <c r="AE2143" t="s">
        <v>36636</v>
      </c>
      <c r="AF2143" t="s">
        <v>74</v>
      </c>
      <c r="AG2143">
        <v>35</v>
      </c>
      <c r="AH2143">
        <v>2</v>
      </c>
      <c r="AI2143">
        <v>2</v>
      </c>
      <c r="AJ2143">
        <v>3</v>
      </c>
      <c r="AK2143">
        <v>3</v>
      </c>
      <c r="AL2143" t="s">
        <v>2662</v>
      </c>
      <c r="AM2143" t="s">
        <v>2663</v>
      </c>
      <c r="AN2143" t="s">
        <v>2664</v>
      </c>
      <c r="AO2143" t="s">
        <v>2665</v>
      </c>
      <c r="AP2143" t="s">
        <v>74</v>
      </c>
      <c r="AQ2143" t="s">
        <v>74</v>
      </c>
      <c r="AR2143" t="s">
        <v>2666</v>
      </c>
      <c r="AS2143" t="s">
        <v>2667</v>
      </c>
      <c r="AT2143" t="s">
        <v>74</v>
      </c>
      <c r="AU2143">
        <v>2024</v>
      </c>
      <c r="AV2143">
        <v>12</v>
      </c>
      <c r="AW2143" t="s">
        <v>74</v>
      </c>
      <c r="AX2143" t="s">
        <v>74</v>
      </c>
      <c r="AY2143" t="s">
        <v>74</v>
      </c>
      <c r="AZ2143" t="s">
        <v>74</v>
      </c>
      <c r="BA2143" t="s">
        <v>74</v>
      </c>
      <c r="BB2143" t="s">
        <v>74</v>
      </c>
      <c r="BC2143" t="s">
        <v>74</v>
      </c>
      <c r="BD2143">
        <v>7529</v>
      </c>
      <c r="BE2143" t="s">
        <v>36637</v>
      </c>
      <c r="BF2143" t="str">
        <f>HYPERLINK("http://dx.doi.org/10.17645/mac.7529","http://dx.doi.org/10.17645/mac.7529")</f>
        <v>http://dx.doi.org/10.17645/mac.7529</v>
      </c>
      <c r="BG2143" t="s">
        <v>74</v>
      </c>
      <c r="BH2143" t="s">
        <v>74</v>
      </c>
      <c r="BI2143">
        <v>19</v>
      </c>
      <c r="BJ2143" t="s">
        <v>124</v>
      </c>
      <c r="BK2143" t="s">
        <v>99</v>
      </c>
      <c r="BL2143" t="s">
        <v>124</v>
      </c>
      <c r="BM2143" t="s">
        <v>36638</v>
      </c>
      <c r="BN2143" t="s">
        <v>74</v>
      </c>
      <c r="BO2143" t="s">
        <v>2389</v>
      </c>
      <c r="BP2143" t="s">
        <v>74</v>
      </c>
      <c r="BQ2143" t="s">
        <v>74</v>
      </c>
      <c r="BR2143" t="s">
        <v>102</v>
      </c>
      <c r="BS2143" t="s">
        <v>36639</v>
      </c>
      <c r="BT2143" t="str">
        <f>HYPERLINK("https%3A%2F%2Fwww.webofscience.com%2Fwos%2Fwoscc%2Ffull-record%2FWOS:001207176900001","View Full Record in Web of Science")</f>
        <v>View Full Record in Web of Science</v>
      </c>
    </row>
    <row r="2144" spans="1:72" x14ac:dyDescent="0.35">
      <c r="A2144" t="s">
        <v>72</v>
      </c>
      <c r="B2144" t="s">
        <v>36640</v>
      </c>
      <c r="C2144" t="s">
        <v>74</v>
      </c>
      <c r="D2144" t="s">
        <v>74</v>
      </c>
      <c r="E2144" t="s">
        <v>74</v>
      </c>
      <c r="F2144" t="s">
        <v>36641</v>
      </c>
      <c r="G2144" t="s">
        <v>74</v>
      </c>
      <c r="H2144" t="s">
        <v>74</v>
      </c>
      <c r="I2144" t="s">
        <v>36642</v>
      </c>
      <c r="J2144" t="s">
        <v>16936</v>
      </c>
      <c r="K2144" t="s">
        <v>74</v>
      </c>
      <c r="L2144" t="s">
        <v>74</v>
      </c>
      <c r="M2144" t="s">
        <v>78</v>
      </c>
      <c r="N2144" t="s">
        <v>108</v>
      </c>
      <c r="O2144" t="s">
        <v>74</v>
      </c>
      <c r="P2144" t="s">
        <v>74</v>
      </c>
      <c r="Q2144" t="s">
        <v>74</v>
      </c>
      <c r="R2144" t="s">
        <v>74</v>
      </c>
      <c r="S2144" t="s">
        <v>74</v>
      </c>
      <c r="T2144" t="s">
        <v>36643</v>
      </c>
      <c r="U2144" t="s">
        <v>36644</v>
      </c>
      <c r="V2144" t="s">
        <v>36645</v>
      </c>
      <c r="W2144" t="s">
        <v>36646</v>
      </c>
      <c r="X2144" t="s">
        <v>36647</v>
      </c>
      <c r="Y2144" t="s">
        <v>36648</v>
      </c>
      <c r="Z2144" t="s">
        <v>36649</v>
      </c>
      <c r="AA2144" t="s">
        <v>74</v>
      </c>
      <c r="AB2144" t="s">
        <v>74</v>
      </c>
      <c r="AC2144" t="s">
        <v>36650</v>
      </c>
      <c r="AD2144" t="s">
        <v>36651</v>
      </c>
      <c r="AE2144" t="s">
        <v>36652</v>
      </c>
      <c r="AF2144" t="s">
        <v>74</v>
      </c>
      <c r="AG2144">
        <v>39</v>
      </c>
      <c r="AH2144">
        <v>1</v>
      </c>
      <c r="AI2144">
        <v>1</v>
      </c>
      <c r="AJ2144">
        <v>3</v>
      </c>
      <c r="AK2144">
        <v>4</v>
      </c>
      <c r="AL2144" t="s">
        <v>1965</v>
      </c>
      <c r="AM2144" t="s">
        <v>666</v>
      </c>
      <c r="AN2144" t="s">
        <v>1966</v>
      </c>
      <c r="AO2144" t="s">
        <v>16945</v>
      </c>
      <c r="AP2144" t="s">
        <v>16946</v>
      </c>
      <c r="AQ2144" t="s">
        <v>74</v>
      </c>
      <c r="AR2144" t="s">
        <v>16947</v>
      </c>
      <c r="AS2144" t="s">
        <v>16948</v>
      </c>
      <c r="AT2144" t="s">
        <v>1275</v>
      </c>
      <c r="AU2144">
        <v>2023</v>
      </c>
      <c r="AV2144">
        <v>36</v>
      </c>
      <c r="AW2144">
        <v>6</v>
      </c>
      <c r="AX2144" t="s">
        <v>74</v>
      </c>
      <c r="AY2144" t="s">
        <v>74</v>
      </c>
      <c r="AZ2144" t="s">
        <v>74</v>
      </c>
      <c r="BA2144" t="s">
        <v>74</v>
      </c>
      <c r="BB2144" t="s">
        <v>74</v>
      </c>
      <c r="BC2144" t="s">
        <v>74</v>
      </c>
      <c r="BD2144" t="s">
        <v>74</v>
      </c>
      <c r="BE2144" t="s">
        <v>36653</v>
      </c>
      <c r="BF2144" t="str">
        <f>HYPERLINK("http://dx.doi.org/10.1016/j.jpag.2023.07.006","http://dx.doi.org/10.1016/j.jpag.2023.07.006")</f>
        <v>http://dx.doi.org/10.1016/j.jpag.2023.07.006</v>
      </c>
      <c r="BG2144" t="s">
        <v>74</v>
      </c>
      <c r="BH2144" t="s">
        <v>674</v>
      </c>
      <c r="BI2144">
        <v>7</v>
      </c>
      <c r="BJ2144" t="s">
        <v>16950</v>
      </c>
      <c r="BK2144" t="s">
        <v>209</v>
      </c>
      <c r="BL2144" t="s">
        <v>16950</v>
      </c>
      <c r="BM2144" t="s">
        <v>36654</v>
      </c>
      <c r="BN2144">
        <v>37482080</v>
      </c>
      <c r="BO2144" t="s">
        <v>74</v>
      </c>
      <c r="BP2144" t="s">
        <v>74</v>
      </c>
      <c r="BQ2144" t="s">
        <v>74</v>
      </c>
      <c r="BR2144" t="s">
        <v>102</v>
      </c>
      <c r="BS2144" t="s">
        <v>36655</v>
      </c>
      <c r="BT2144" t="str">
        <f>HYPERLINK("https%3A%2F%2Fwww.webofscience.com%2Fwos%2Fwoscc%2Ffull-record%2FWOS:001162125400001","View Full Record in Web of Science")</f>
        <v>View Full Record in Web of Science</v>
      </c>
    </row>
    <row r="2145" spans="1:72" x14ac:dyDescent="0.35">
      <c r="A2145" t="s">
        <v>72</v>
      </c>
      <c r="B2145" t="s">
        <v>36656</v>
      </c>
      <c r="C2145" t="s">
        <v>74</v>
      </c>
      <c r="D2145" t="s">
        <v>74</v>
      </c>
      <c r="E2145" t="s">
        <v>74</v>
      </c>
      <c r="F2145" t="s">
        <v>36657</v>
      </c>
      <c r="G2145" t="s">
        <v>74</v>
      </c>
      <c r="H2145" t="s">
        <v>74</v>
      </c>
      <c r="I2145" t="s">
        <v>36658</v>
      </c>
      <c r="J2145" t="s">
        <v>36659</v>
      </c>
      <c r="K2145" t="s">
        <v>74</v>
      </c>
      <c r="L2145" t="s">
        <v>74</v>
      </c>
      <c r="M2145" t="s">
        <v>78</v>
      </c>
      <c r="N2145" t="s">
        <v>108</v>
      </c>
      <c r="O2145" t="s">
        <v>74</v>
      </c>
      <c r="P2145" t="s">
        <v>74</v>
      </c>
      <c r="Q2145" t="s">
        <v>74</v>
      </c>
      <c r="R2145" t="s">
        <v>74</v>
      </c>
      <c r="S2145" t="s">
        <v>74</v>
      </c>
      <c r="T2145" t="s">
        <v>36660</v>
      </c>
      <c r="U2145" t="s">
        <v>36661</v>
      </c>
      <c r="V2145" t="s">
        <v>36662</v>
      </c>
      <c r="W2145" t="s">
        <v>36663</v>
      </c>
      <c r="X2145" t="s">
        <v>36664</v>
      </c>
      <c r="Y2145" t="s">
        <v>36665</v>
      </c>
      <c r="Z2145" t="s">
        <v>36666</v>
      </c>
      <c r="AA2145" t="s">
        <v>36667</v>
      </c>
      <c r="AB2145" t="s">
        <v>74</v>
      </c>
      <c r="AC2145" t="s">
        <v>36668</v>
      </c>
      <c r="AD2145" t="s">
        <v>36669</v>
      </c>
      <c r="AE2145" t="s">
        <v>36670</v>
      </c>
      <c r="AF2145" t="s">
        <v>74</v>
      </c>
      <c r="AG2145">
        <v>20</v>
      </c>
      <c r="AH2145">
        <v>0</v>
      </c>
      <c r="AI2145">
        <v>0</v>
      </c>
      <c r="AJ2145">
        <v>0</v>
      </c>
      <c r="AK2145">
        <v>0</v>
      </c>
      <c r="AL2145" t="s">
        <v>665</v>
      </c>
      <c r="AM2145" t="s">
        <v>666</v>
      </c>
      <c r="AN2145" t="s">
        <v>667</v>
      </c>
      <c r="AO2145" t="s">
        <v>36671</v>
      </c>
      <c r="AP2145" t="s">
        <v>36672</v>
      </c>
      <c r="AQ2145" t="s">
        <v>74</v>
      </c>
      <c r="AR2145" t="s">
        <v>36673</v>
      </c>
      <c r="AS2145" t="s">
        <v>36674</v>
      </c>
      <c r="AT2145" t="s">
        <v>1275</v>
      </c>
      <c r="AU2145">
        <v>2023</v>
      </c>
      <c r="AV2145">
        <v>46</v>
      </c>
      <c r="AW2145">
        <v>6</v>
      </c>
      <c r="AX2145" t="s">
        <v>74</v>
      </c>
      <c r="AY2145" t="s">
        <v>74</v>
      </c>
      <c r="AZ2145" t="s">
        <v>74</v>
      </c>
      <c r="BA2145" t="s">
        <v>74</v>
      </c>
      <c r="BB2145">
        <v>1397</v>
      </c>
      <c r="BC2145">
        <v>1407</v>
      </c>
      <c r="BD2145" t="s">
        <v>74</v>
      </c>
      <c r="BE2145" t="s">
        <v>36675</v>
      </c>
      <c r="BF2145" t="str">
        <f>HYPERLINK("http://dx.doi.org/10.1007/s00238-023-02118-5","http://dx.doi.org/10.1007/s00238-023-02118-5")</f>
        <v>http://dx.doi.org/10.1007/s00238-023-02118-5</v>
      </c>
      <c r="BG2145" t="s">
        <v>74</v>
      </c>
      <c r="BH2145" t="s">
        <v>2929</v>
      </c>
      <c r="BI2145">
        <v>11</v>
      </c>
      <c r="BJ2145" t="s">
        <v>4994</v>
      </c>
      <c r="BK2145" t="s">
        <v>125</v>
      </c>
      <c r="BL2145" t="s">
        <v>4994</v>
      </c>
      <c r="BM2145" t="s">
        <v>36676</v>
      </c>
      <c r="BN2145" t="s">
        <v>74</v>
      </c>
      <c r="BO2145" t="s">
        <v>74</v>
      </c>
      <c r="BP2145" t="s">
        <v>74</v>
      </c>
      <c r="BQ2145" t="s">
        <v>74</v>
      </c>
      <c r="BR2145" t="s">
        <v>102</v>
      </c>
      <c r="BS2145" t="s">
        <v>36677</v>
      </c>
      <c r="BT2145" t="str">
        <f>HYPERLINK("https%3A%2F%2Fwww.webofscience.com%2Fwos%2Fwoscc%2Ffull-record%2FWOS:001094621300001","View Full Record in Web of Science")</f>
        <v>View Full Record in Web of Science</v>
      </c>
    </row>
    <row r="2146" spans="1:72" x14ac:dyDescent="0.35">
      <c r="A2146" t="s">
        <v>72</v>
      </c>
      <c r="B2146" t="s">
        <v>36678</v>
      </c>
      <c r="C2146" t="s">
        <v>74</v>
      </c>
      <c r="D2146" t="s">
        <v>74</v>
      </c>
      <c r="E2146" t="s">
        <v>74</v>
      </c>
      <c r="F2146" t="s">
        <v>36679</v>
      </c>
      <c r="G2146" t="s">
        <v>74</v>
      </c>
      <c r="H2146" t="s">
        <v>74</v>
      </c>
      <c r="I2146" t="s">
        <v>36680</v>
      </c>
      <c r="J2146" t="s">
        <v>2649</v>
      </c>
      <c r="K2146" t="s">
        <v>74</v>
      </c>
      <c r="L2146" t="s">
        <v>74</v>
      </c>
      <c r="M2146" t="s">
        <v>78</v>
      </c>
      <c r="N2146" t="s">
        <v>108</v>
      </c>
      <c r="O2146" t="s">
        <v>74</v>
      </c>
      <c r="P2146" t="s">
        <v>74</v>
      </c>
      <c r="Q2146" t="s">
        <v>74</v>
      </c>
      <c r="R2146" t="s">
        <v>74</v>
      </c>
      <c r="S2146" t="s">
        <v>74</v>
      </c>
      <c r="T2146" t="s">
        <v>36681</v>
      </c>
      <c r="U2146" t="s">
        <v>36682</v>
      </c>
      <c r="V2146" t="s">
        <v>36683</v>
      </c>
      <c r="W2146" t="s">
        <v>36684</v>
      </c>
      <c r="X2146" t="s">
        <v>2696</v>
      </c>
      <c r="Y2146" t="s">
        <v>36685</v>
      </c>
      <c r="Z2146" t="s">
        <v>36686</v>
      </c>
      <c r="AA2146" t="s">
        <v>36687</v>
      </c>
      <c r="AB2146" t="s">
        <v>36688</v>
      </c>
      <c r="AC2146" t="s">
        <v>74</v>
      </c>
      <c r="AD2146" t="s">
        <v>74</v>
      </c>
      <c r="AE2146" t="s">
        <v>74</v>
      </c>
      <c r="AF2146" t="s">
        <v>74</v>
      </c>
      <c r="AG2146">
        <v>70</v>
      </c>
      <c r="AH2146">
        <v>23</v>
      </c>
      <c r="AI2146">
        <v>24</v>
      </c>
      <c r="AJ2146">
        <v>26</v>
      </c>
      <c r="AK2146">
        <v>203</v>
      </c>
      <c r="AL2146" t="s">
        <v>2662</v>
      </c>
      <c r="AM2146" t="s">
        <v>2663</v>
      </c>
      <c r="AN2146" t="s">
        <v>2664</v>
      </c>
      <c r="AO2146" t="s">
        <v>2665</v>
      </c>
      <c r="AP2146" t="s">
        <v>74</v>
      </c>
      <c r="AQ2146" t="s">
        <v>74</v>
      </c>
      <c r="AR2146" t="s">
        <v>2666</v>
      </c>
      <c r="AS2146" t="s">
        <v>2667</v>
      </c>
      <c r="AT2146" t="s">
        <v>74</v>
      </c>
      <c r="AU2146">
        <v>2022</v>
      </c>
      <c r="AV2146">
        <v>10</v>
      </c>
      <c r="AW2146">
        <v>1</v>
      </c>
      <c r="AX2146" t="s">
        <v>74</v>
      </c>
      <c r="AY2146" t="s">
        <v>74</v>
      </c>
      <c r="AZ2146" t="s">
        <v>74</v>
      </c>
      <c r="BA2146" t="s">
        <v>74</v>
      </c>
      <c r="BB2146">
        <v>235</v>
      </c>
      <c r="BC2146">
        <v>246</v>
      </c>
      <c r="BD2146" t="s">
        <v>74</v>
      </c>
      <c r="BE2146" t="s">
        <v>36689</v>
      </c>
      <c r="BF2146" t="str">
        <f>HYPERLINK("http://dx.doi.org/10.17645/mac.v10i1.4765","http://dx.doi.org/10.17645/mac.v10i1.4765")</f>
        <v>http://dx.doi.org/10.17645/mac.v10i1.4765</v>
      </c>
      <c r="BG2146" t="s">
        <v>74</v>
      </c>
      <c r="BH2146" t="s">
        <v>74</v>
      </c>
      <c r="BI2146">
        <v>12</v>
      </c>
      <c r="BJ2146" t="s">
        <v>124</v>
      </c>
      <c r="BK2146" t="s">
        <v>99</v>
      </c>
      <c r="BL2146" t="s">
        <v>124</v>
      </c>
      <c r="BM2146" t="s">
        <v>3104</v>
      </c>
      <c r="BN2146" t="s">
        <v>74</v>
      </c>
      <c r="BO2146" t="s">
        <v>552</v>
      </c>
      <c r="BP2146" t="s">
        <v>74</v>
      </c>
      <c r="BQ2146" t="s">
        <v>74</v>
      </c>
      <c r="BR2146" t="s">
        <v>102</v>
      </c>
      <c r="BS2146" t="s">
        <v>36690</v>
      </c>
      <c r="BT2146" t="str">
        <f>HYPERLINK("https%3A%2F%2Fwww.webofscience.com%2Fwos%2Fwoscc%2Ffull-record%2FWOS:000762434300010","View Full Record in Web of Science")</f>
        <v>View Full Record in Web of Science</v>
      </c>
    </row>
    <row r="2147" spans="1:72" x14ac:dyDescent="0.35">
      <c r="A2147" t="s">
        <v>72</v>
      </c>
      <c r="B2147" t="s">
        <v>36691</v>
      </c>
      <c r="C2147" t="s">
        <v>74</v>
      </c>
      <c r="D2147" t="s">
        <v>74</v>
      </c>
      <c r="E2147" t="s">
        <v>74</v>
      </c>
      <c r="F2147" t="s">
        <v>36692</v>
      </c>
      <c r="G2147" t="s">
        <v>74</v>
      </c>
      <c r="H2147" t="s">
        <v>74</v>
      </c>
      <c r="I2147" t="s">
        <v>36693</v>
      </c>
      <c r="J2147" t="s">
        <v>2370</v>
      </c>
      <c r="K2147" t="s">
        <v>74</v>
      </c>
      <c r="L2147" t="s">
        <v>74</v>
      </c>
      <c r="M2147" t="s">
        <v>78</v>
      </c>
      <c r="N2147" t="s">
        <v>108</v>
      </c>
      <c r="O2147" t="s">
        <v>74</v>
      </c>
      <c r="P2147" t="s">
        <v>74</v>
      </c>
      <c r="Q2147" t="s">
        <v>74</v>
      </c>
      <c r="R2147" t="s">
        <v>74</v>
      </c>
      <c r="S2147" t="s">
        <v>74</v>
      </c>
      <c r="T2147" t="s">
        <v>36694</v>
      </c>
      <c r="U2147" t="s">
        <v>795</v>
      </c>
      <c r="V2147" t="s">
        <v>36695</v>
      </c>
      <c r="W2147" t="s">
        <v>36696</v>
      </c>
      <c r="X2147" t="s">
        <v>36697</v>
      </c>
      <c r="Y2147" t="s">
        <v>36698</v>
      </c>
      <c r="Z2147" t="s">
        <v>36699</v>
      </c>
      <c r="AA2147" t="s">
        <v>36700</v>
      </c>
      <c r="AB2147" t="s">
        <v>36701</v>
      </c>
      <c r="AC2147" t="s">
        <v>36702</v>
      </c>
      <c r="AD2147" t="s">
        <v>36703</v>
      </c>
      <c r="AE2147" t="s">
        <v>36704</v>
      </c>
      <c r="AF2147" t="s">
        <v>74</v>
      </c>
      <c r="AG2147">
        <v>43</v>
      </c>
      <c r="AH2147">
        <v>3</v>
      </c>
      <c r="AI2147">
        <v>3</v>
      </c>
      <c r="AJ2147">
        <v>0</v>
      </c>
      <c r="AK2147">
        <v>9</v>
      </c>
      <c r="AL2147" t="s">
        <v>2382</v>
      </c>
      <c r="AM2147" t="s">
        <v>227</v>
      </c>
      <c r="AN2147" t="s">
        <v>2383</v>
      </c>
      <c r="AO2147" t="s">
        <v>74</v>
      </c>
      <c r="AP2147" t="s">
        <v>2384</v>
      </c>
      <c r="AQ2147" t="s">
        <v>74</v>
      </c>
      <c r="AR2147" t="s">
        <v>2370</v>
      </c>
      <c r="AS2147" t="s">
        <v>2385</v>
      </c>
      <c r="AT2147" t="s">
        <v>7764</v>
      </c>
      <c r="AU2147">
        <v>2023</v>
      </c>
      <c r="AV2147">
        <v>23</v>
      </c>
      <c r="AW2147">
        <v>1</v>
      </c>
      <c r="AX2147" t="s">
        <v>74</v>
      </c>
      <c r="AY2147" t="s">
        <v>74</v>
      </c>
      <c r="AZ2147" t="s">
        <v>74</v>
      </c>
      <c r="BA2147" t="s">
        <v>74</v>
      </c>
      <c r="BB2147" t="s">
        <v>74</v>
      </c>
      <c r="BC2147" t="s">
        <v>74</v>
      </c>
      <c r="BD2147">
        <v>574</v>
      </c>
      <c r="BE2147" t="s">
        <v>36705</v>
      </c>
      <c r="BF2147" t="str">
        <f>HYPERLINK("http://dx.doi.org/10.1186/s12889-023-15456-7","http://dx.doi.org/10.1186/s12889-023-15456-7")</f>
        <v>http://dx.doi.org/10.1186/s12889-023-15456-7</v>
      </c>
      <c r="BG2147" t="s">
        <v>74</v>
      </c>
      <c r="BH2147" t="s">
        <v>74</v>
      </c>
      <c r="BI2147">
        <v>10</v>
      </c>
      <c r="BJ2147" t="s">
        <v>392</v>
      </c>
      <c r="BK2147" t="s">
        <v>209</v>
      </c>
      <c r="BL2147" t="s">
        <v>392</v>
      </c>
      <c r="BM2147" t="s">
        <v>36706</v>
      </c>
      <c r="BN2147">
        <v>36978067</v>
      </c>
      <c r="BO2147" t="s">
        <v>394</v>
      </c>
      <c r="BP2147" t="s">
        <v>74</v>
      </c>
      <c r="BQ2147" t="s">
        <v>74</v>
      </c>
      <c r="BR2147" t="s">
        <v>102</v>
      </c>
      <c r="BS2147" t="s">
        <v>36707</v>
      </c>
      <c r="BT2147" t="str">
        <f>HYPERLINK("https%3A%2F%2Fwww.webofscience.com%2Fwos%2Fwoscc%2Ffull-record%2FWOS:001060310600001","View Full Record in Web of Science")</f>
        <v>View Full Record in Web of Science</v>
      </c>
    </row>
    <row r="2148" spans="1:72" x14ac:dyDescent="0.35">
      <c r="A2148" t="s">
        <v>72</v>
      </c>
      <c r="B2148" t="s">
        <v>36708</v>
      </c>
      <c r="C2148" t="s">
        <v>74</v>
      </c>
      <c r="D2148" t="s">
        <v>74</v>
      </c>
      <c r="E2148" t="s">
        <v>74</v>
      </c>
      <c r="F2148" t="s">
        <v>36709</v>
      </c>
      <c r="G2148" t="s">
        <v>74</v>
      </c>
      <c r="H2148" t="s">
        <v>74</v>
      </c>
      <c r="I2148" t="s">
        <v>36710</v>
      </c>
      <c r="J2148" t="s">
        <v>17802</v>
      </c>
      <c r="K2148" t="s">
        <v>74</v>
      </c>
      <c r="L2148" t="s">
        <v>74</v>
      </c>
      <c r="M2148" t="s">
        <v>78</v>
      </c>
      <c r="N2148" t="s">
        <v>108</v>
      </c>
      <c r="O2148" t="s">
        <v>74</v>
      </c>
      <c r="P2148" t="s">
        <v>74</v>
      </c>
      <c r="Q2148" t="s">
        <v>74</v>
      </c>
      <c r="R2148" t="s">
        <v>74</v>
      </c>
      <c r="S2148" t="s">
        <v>74</v>
      </c>
      <c r="T2148" t="s">
        <v>36711</v>
      </c>
      <c r="U2148" t="s">
        <v>36712</v>
      </c>
      <c r="V2148" t="s">
        <v>36713</v>
      </c>
      <c r="W2148" t="s">
        <v>36714</v>
      </c>
      <c r="X2148" t="s">
        <v>36715</v>
      </c>
      <c r="Y2148" t="s">
        <v>36716</v>
      </c>
      <c r="Z2148" t="s">
        <v>36717</v>
      </c>
      <c r="AA2148" t="s">
        <v>36718</v>
      </c>
      <c r="AB2148" t="s">
        <v>36719</v>
      </c>
      <c r="AC2148" t="s">
        <v>36720</v>
      </c>
      <c r="AD2148" t="s">
        <v>36721</v>
      </c>
      <c r="AE2148" t="s">
        <v>36722</v>
      </c>
      <c r="AF2148" t="s">
        <v>74</v>
      </c>
      <c r="AG2148">
        <v>71</v>
      </c>
      <c r="AH2148">
        <v>7</v>
      </c>
      <c r="AI2148">
        <v>7</v>
      </c>
      <c r="AJ2148">
        <v>8</v>
      </c>
      <c r="AK2148">
        <v>43</v>
      </c>
      <c r="AL2148" t="s">
        <v>290</v>
      </c>
      <c r="AM2148" t="s">
        <v>291</v>
      </c>
      <c r="AN2148" t="s">
        <v>292</v>
      </c>
      <c r="AO2148" t="s">
        <v>17809</v>
      </c>
      <c r="AP2148" t="s">
        <v>17810</v>
      </c>
      <c r="AQ2148" t="s">
        <v>74</v>
      </c>
      <c r="AR2148" t="s">
        <v>17811</v>
      </c>
      <c r="AS2148" t="s">
        <v>17812</v>
      </c>
      <c r="AT2148" t="s">
        <v>745</v>
      </c>
      <c r="AU2148">
        <v>2023</v>
      </c>
      <c r="AV2148">
        <v>197</v>
      </c>
      <c r="AW2148" t="s">
        <v>74</v>
      </c>
      <c r="AX2148" t="s">
        <v>74</v>
      </c>
      <c r="AY2148" t="s">
        <v>74</v>
      </c>
      <c r="AZ2148" t="s">
        <v>74</v>
      </c>
      <c r="BA2148" t="s">
        <v>74</v>
      </c>
      <c r="BB2148" t="s">
        <v>74</v>
      </c>
      <c r="BC2148" t="s">
        <v>74</v>
      </c>
      <c r="BD2148">
        <v>104743</v>
      </c>
      <c r="BE2148" t="s">
        <v>36723</v>
      </c>
      <c r="BF2148" t="str">
        <f>HYPERLINK("http://dx.doi.org/10.1016/j.compedu.2023.104743","http://dx.doi.org/10.1016/j.compedu.2023.104743")</f>
        <v>http://dx.doi.org/10.1016/j.compedu.2023.104743</v>
      </c>
      <c r="BG2148" t="s">
        <v>74</v>
      </c>
      <c r="BH2148" t="s">
        <v>3638</v>
      </c>
      <c r="BI2148">
        <v>12</v>
      </c>
      <c r="BJ2148" t="s">
        <v>17814</v>
      </c>
      <c r="BK2148" t="s">
        <v>182</v>
      </c>
      <c r="BL2148" t="s">
        <v>2643</v>
      </c>
      <c r="BM2148" t="s">
        <v>36724</v>
      </c>
      <c r="BN2148" t="s">
        <v>74</v>
      </c>
      <c r="BO2148" t="s">
        <v>1343</v>
      </c>
      <c r="BP2148" t="s">
        <v>74</v>
      </c>
      <c r="BQ2148" t="s">
        <v>74</v>
      </c>
      <c r="BR2148" t="s">
        <v>102</v>
      </c>
      <c r="BS2148" t="s">
        <v>36725</v>
      </c>
      <c r="BT2148" t="str">
        <f>HYPERLINK("https%3A%2F%2Fwww.webofscience.com%2Fwos%2Fwoscc%2Ffull-record%2FWOS:000927554100001","View Full Record in Web of Science")</f>
        <v>View Full Record in Web of Science</v>
      </c>
    </row>
    <row r="2149" spans="1:72" x14ac:dyDescent="0.35">
      <c r="A2149" t="s">
        <v>72</v>
      </c>
      <c r="B2149" t="s">
        <v>36726</v>
      </c>
      <c r="C2149" t="s">
        <v>74</v>
      </c>
      <c r="D2149" t="s">
        <v>74</v>
      </c>
      <c r="E2149" t="s">
        <v>74</v>
      </c>
      <c r="F2149" t="s">
        <v>36727</v>
      </c>
      <c r="G2149" t="s">
        <v>74</v>
      </c>
      <c r="H2149" t="s">
        <v>74</v>
      </c>
      <c r="I2149" t="s">
        <v>36728</v>
      </c>
      <c r="J2149" t="s">
        <v>681</v>
      </c>
      <c r="K2149" t="s">
        <v>74</v>
      </c>
      <c r="L2149" t="s">
        <v>74</v>
      </c>
      <c r="M2149" t="s">
        <v>78</v>
      </c>
      <c r="N2149" t="s">
        <v>108</v>
      </c>
      <c r="O2149" t="s">
        <v>74</v>
      </c>
      <c r="P2149" t="s">
        <v>74</v>
      </c>
      <c r="Q2149" t="s">
        <v>74</v>
      </c>
      <c r="R2149" t="s">
        <v>74</v>
      </c>
      <c r="S2149" t="s">
        <v>74</v>
      </c>
      <c r="T2149" t="s">
        <v>36729</v>
      </c>
      <c r="U2149" t="s">
        <v>36730</v>
      </c>
      <c r="V2149" t="s">
        <v>36731</v>
      </c>
      <c r="W2149" t="s">
        <v>36732</v>
      </c>
      <c r="X2149" t="s">
        <v>34727</v>
      </c>
      <c r="Y2149" t="s">
        <v>36733</v>
      </c>
      <c r="Z2149" t="s">
        <v>36734</v>
      </c>
      <c r="AA2149" t="s">
        <v>74</v>
      </c>
      <c r="AB2149" t="s">
        <v>36735</v>
      </c>
      <c r="AC2149" t="s">
        <v>36736</v>
      </c>
      <c r="AD2149" t="s">
        <v>36736</v>
      </c>
      <c r="AE2149" t="s">
        <v>36737</v>
      </c>
      <c r="AF2149" t="s">
        <v>74</v>
      </c>
      <c r="AG2149">
        <v>100</v>
      </c>
      <c r="AH2149">
        <v>2</v>
      </c>
      <c r="AI2149">
        <v>2</v>
      </c>
      <c r="AJ2149">
        <v>9</v>
      </c>
      <c r="AK2149">
        <v>92</v>
      </c>
      <c r="AL2149" t="s">
        <v>384</v>
      </c>
      <c r="AM2149" t="s">
        <v>385</v>
      </c>
      <c r="AN2149" t="s">
        <v>386</v>
      </c>
      <c r="AO2149" t="s">
        <v>693</v>
      </c>
      <c r="AP2149" t="s">
        <v>74</v>
      </c>
      <c r="AQ2149" t="s">
        <v>74</v>
      </c>
      <c r="AR2149" t="s">
        <v>694</v>
      </c>
      <c r="AS2149" t="s">
        <v>695</v>
      </c>
      <c r="AT2149" t="s">
        <v>36384</v>
      </c>
      <c r="AU2149">
        <v>2023</v>
      </c>
      <c r="AV2149">
        <v>13</v>
      </c>
      <c r="AW2149" t="s">
        <v>74</v>
      </c>
      <c r="AX2149" t="s">
        <v>74</v>
      </c>
      <c r="AY2149" t="s">
        <v>74</v>
      </c>
      <c r="AZ2149" t="s">
        <v>74</v>
      </c>
      <c r="BA2149" t="s">
        <v>74</v>
      </c>
      <c r="BB2149" t="s">
        <v>74</v>
      </c>
      <c r="BC2149" t="s">
        <v>74</v>
      </c>
      <c r="BD2149">
        <v>1011951</v>
      </c>
      <c r="BE2149" t="s">
        <v>36738</v>
      </c>
      <c r="BF2149" t="str">
        <f>HYPERLINK("http://dx.doi.org/10.3389/fpsyg.2022.1011951","http://dx.doi.org/10.3389/fpsyg.2022.1011951")</f>
        <v>http://dx.doi.org/10.3389/fpsyg.2022.1011951</v>
      </c>
      <c r="BG2149" t="s">
        <v>74</v>
      </c>
      <c r="BH2149" t="s">
        <v>74</v>
      </c>
      <c r="BI2149">
        <v>13</v>
      </c>
      <c r="BJ2149" t="s">
        <v>698</v>
      </c>
      <c r="BK2149" t="s">
        <v>99</v>
      </c>
      <c r="BL2149" t="s">
        <v>301</v>
      </c>
      <c r="BM2149" t="s">
        <v>36739</v>
      </c>
      <c r="BN2149">
        <v>36704673</v>
      </c>
      <c r="BO2149" t="s">
        <v>552</v>
      </c>
      <c r="BP2149" t="s">
        <v>74</v>
      </c>
      <c r="BQ2149" t="s">
        <v>74</v>
      </c>
      <c r="BR2149" t="s">
        <v>102</v>
      </c>
      <c r="BS2149" t="s">
        <v>36740</v>
      </c>
      <c r="BT2149" t="str">
        <f>HYPERLINK("https%3A%2F%2Fwww.webofscience.com%2Fwos%2Fwoscc%2Ffull-record%2FWOS:000919807300001","View Full Record in Web of Science")</f>
        <v>View Full Record in Web of Science</v>
      </c>
    </row>
    <row r="2150" spans="1:72" x14ac:dyDescent="0.35">
      <c r="A2150" t="s">
        <v>72</v>
      </c>
      <c r="B2150" t="s">
        <v>36741</v>
      </c>
      <c r="C2150" t="s">
        <v>74</v>
      </c>
      <c r="D2150" t="s">
        <v>74</v>
      </c>
      <c r="E2150" t="s">
        <v>74</v>
      </c>
      <c r="F2150" t="s">
        <v>36742</v>
      </c>
      <c r="G2150" t="s">
        <v>74</v>
      </c>
      <c r="H2150" t="s">
        <v>74</v>
      </c>
      <c r="I2150" t="s">
        <v>36743</v>
      </c>
      <c r="J2150" t="s">
        <v>33807</v>
      </c>
      <c r="K2150" t="s">
        <v>74</v>
      </c>
      <c r="L2150" t="s">
        <v>74</v>
      </c>
      <c r="M2150" t="s">
        <v>3503</v>
      </c>
      <c r="N2150" t="s">
        <v>108</v>
      </c>
      <c r="O2150" t="s">
        <v>74</v>
      </c>
      <c r="P2150" t="s">
        <v>74</v>
      </c>
      <c r="Q2150" t="s">
        <v>74</v>
      </c>
      <c r="R2150" t="s">
        <v>74</v>
      </c>
      <c r="S2150" t="s">
        <v>74</v>
      </c>
      <c r="T2150" t="s">
        <v>36744</v>
      </c>
      <c r="U2150" t="s">
        <v>36745</v>
      </c>
      <c r="V2150" t="s">
        <v>36746</v>
      </c>
      <c r="W2150" t="s">
        <v>36747</v>
      </c>
      <c r="X2150" t="s">
        <v>20247</v>
      </c>
      <c r="Y2150" t="s">
        <v>36748</v>
      </c>
      <c r="Z2150" t="s">
        <v>36749</v>
      </c>
      <c r="AA2150" t="s">
        <v>36750</v>
      </c>
      <c r="AB2150" t="s">
        <v>74</v>
      </c>
      <c r="AC2150" t="s">
        <v>74</v>
      </c>
      <c r="AD2150" t="s">
        <v>74</v>
      </c>
      <c r="AE2150" t="s">
        <v>74</v>
      </c>
      <c r="AF2150" t="s">
        <v>74</v>
      </c>
      <c r="AG2150">
        <v>103</v>
      </c>
      <c r="AH2150">
        <v>4</v>
      </c>
      <c r="AI2150">
        <v>4</v>
      </c>
      <c r="AJ2150">
        <v>3</v>
      </c>
      <c r="AK2150">
        <v>35</v>
      </c>
      <c r="AL2150" t="s">
        <v>14437</v>
      </c>
      <c r="AM2150" t="s">
        <v>6529</v>
      </c>
      <c r="AN2150" t="s">
        <v>14438</v>
      </c>
      <c r="AO2150" t="s">
        <v>33813</v>
      </c>
      <c r="AP2150" t="s">
        <v>74</v>
      </c>
      <c r="AQ2150" t="s">
        <v>74</v>
      </c>
      <c r="AR2150" t="s">
        <v>33814</v>
      </c>
      <c r="AS2150" t="s">
        <v>33815</v>
      </c>
      <c r="AT2150" t="s">
        <v>74</v>
      </c>
      <c r="AU2150">
        <v>2021</v>
      </c>
      <c r="AV2150">
        <v>12</v>
      </c>
      <c r="AW2150">
        <v>1</v>
      </c>
      <c r="AX2150" t="s">
        <v>74</v>
      </c>
      <c r="AY2150" t="s">
        <v>74</v>
      </c>
      <c r="AZ2150" t="s">
        <v>74</v>
      </c>
      <c r="BA2150" t="s">
        <v>74</v>
      </c>
      <c r="BB2150">
        <v>31</v>
      </c>
      <c r="BC2150">
        <v>45</v>
      </c>
      <c r="BD2150" t="s">
        <v>74</v>
      </c>
      <c r="BE2150" t="s">
        <v>36751</v>
      </c>
      <c r="BF2150" t="str">
        <f>HYPERLINK("http://dx.doi.org/10.5209/infe.69559","http://dx.doi.org/10.5209/infe.69559")</f>
        <v>http://dx.doi.org/10.5209/infe.69559</v>
      </c>
      <c r="BG2150" t="s">
        <v>74</v>
      </c>
      <c r="BH2150" t="s">
        <v>74</v>
      </c>
      <c r="BI2150">
        <v>15</v>
      </c>
      <c r="BJ2150" t="s">
        <v>4550</v>
      </c>
      <c r="BK2150" t="s">
        <v>125</v>
      </c>
      <c r="BL2150" t="s">
        <v>4550</v>
      </c>
      <c r="BM2150" t="s">
        <v>36752</v>
      </c>
      <c r="BN2150" t="s">
        <v>74</v>
      </c>
      <c r="BO2150" t="s">
        <v>235</v>
      </c>
      <c r="BP2150" t="s">
        <v>74</v>
      </c>
      <c r="BQ2150" t="s">
        <v>74</v>
      </c>
      <c r="BR2150" t="s">
        <v>102</v>
      </c>
      <c r="BS2150" t="s">
        <v>36753</v>
      </c>
      <c r="BT2150" t="str">
        <f>HYPERLINK("https%3A%2F%2Fwww.webofscience.com%2Fwos%2Fwoscc%2Ffull-record%2FWOS:000632067000004","View Full Record in Web of Science")</f>
        <v>View Full Record in Web of Science</v>
      </c>
    </row>
    <row r="2151" spans="1:72" x14ac:dyDescent="0.35">
      <c r="A2151" t="s">
        <v>72</v>
      </c>
      <c r="B2151" t="s">
        <v>36754</v>
      </c>
      <c r="C2151" t="s">
        <v>74</v>
      </c>
      <c r="D2151" t="s">
        <v>74</v>
      </c>
      <c r="E2151" t="s">
        <v>74</v>
      </c>
      <c r="F2151" t="s">
        <v>36755</v>
      </c>
      <c r="G2151" t="s">
        <v>74</v>
      </c>
      <c r="H2151" t="s">
        <v>74</v>
      </c>
      <c r="I2151" t="s">
        <v>36756</v>
      </c>
      <c r="J2151" t="s">
        <v>17263</v>
      </c>
      <c r="K2151" t="s">
        <v>74</v>
      </c>
      <c r="L2151" t="s">
        <v>74</v>
      </c>
      <c r="M2151" t="s">
        <v>78</v>
      </c>
      <c r="N2151" t="s">
        <v>108</v>
      </c>
      <c r="O2151" t="s">
        <v>74</v>
      </c>
      <c r="P2151" t="s">
        <v>74</v>
      </c>
      <c r="Q2151" t="s">
        <v>74</v>
      </c>
      <c r="R2151" t="s">
        <v>74</v>
      </c>
      <c r="S2151" t="s">
        <v>74</v>
      </c>
      <c r="T2151" t="s">
        <v>36757</v>
      </c>
      <c r="U2151" t="s">
        <v>36758</v>
      </c>
      <c r="V2151" t="s">
        <v>36759</v>
      </c>
      <c r="W2151" t="s">
        <v>36760</v>
      </c>
      <c r="X2151" t="s">
        <v>36761</v>
      </c>
      <c r="Y2151" t="s">
        <v>36762</v>
      </c>
      <c r="Z2151" t="s">
        <v>36763</v>
      </c>
      <c r="AA2151" t="s">
        <v>74</v>
      </c>
      <c r="AB2151" t="s">
        <v>36764</v>
      </c>
      <c r="AC2151" t="s">
        <v>36765</v>
      </c>
      <c r="AD2151" t="s">
        <v>36766</v>
      </c>
      <c r="AE2151" t="s">
        <v>36767</v>
      </c>
      <c r="AF2151" t="s">
        <v>74</v>
      </c>
      <c r="AG2151">
        <v>62</v>
      </c>
      <c r="AH2151">
        <v>0</v>
      </c>
      <c r="AI2151">
        <v>0</v>
      </c>
      <c r="AJ2151">
        <v>0</v>
      </c>
      <c r="AK2151">
        <v>0</v>
      </c>
      <c r="AL2151" t="s">
        <v>1965</v>
      </c>
      <c r="AM2151" t="s">
        <v>666</v>
      </c>
      <c r="AN2151" t="s">
        <v>1966</v>
      </c>
      <c r="AO2151" t="s">
        <v>17273</v>
      </c>
      <c r="AP2151" t="s">
        <v>17274</v>
      </c>
      <c r="AQ2151" t="s">
        <v>74</v>
      </c>
      <c r="AR2151" t="s">
        <v>17275</v>
      </c>
      <c r="AS2151" t="s">
        <v>17276</v>
      </c>
      <c r="AT2151" t="s">
        <v>257</v>
      </c>
      <c r="AU2151">
        <v>2024</v>
      </c>
      <c r="AV2151">
        <v>155</v>
      </c>
      <c r="AW2151" t="s">
        <v>74</v>
      </c>
      <c r="AX2151" t="s">
        <v>74</v>
      </c>
      <c r="AY2151" t="s">
        <v>74</v>
      </c>
      <c r="AZ2151" t="s">
        <v>74</v>
      </c>
      <c r="BA2151" t="s">
        <v>74</v>
      </c>
      <c r="BB2151">
        <v>182</v>
      </c>
      <c r="BC2151">
        <v>186</v>
      </c>
      <c r="BD2151" t="s">
        <v>74</v>
      </c>
      <c r="BE2151" t="s">
        <v>36768</v>
      </c>
      <c r="BF2151" t="str">
        <f>HYPERLINK("http://dx.doi.org/10.1016/j.pediatrneurol.2024.03.027","http://dx.doi.org/10.1016/j.pediatrneurol.2024.03.027")</f>
        <v>http://dx.doi.org/10.1016/j.pediatrneurol.2024.03.027</v>
      </c>
      <c r="BG2151" t="s">
        <v>74</v>
      </c>
      <c r="BH2151" t="s">
        <v>2410</v>
      </c>
      <c r="BI2151">
        <v>5</v>
      </c>
      <c r="BJ2151" t="s">
        <v>17278</v>
      </c>
      <c r="BK2151" t="s">
        <v>209</v>
      </c>
      <c r="BL2151" t="s">
        <v>17279</v>
      </c>
      <c r="BM2151" t="s">
        <v>36769</v>
      </c>
      <c r="BN2151">
        <v>38677240</v>
      </c>
      <c r="BO2151" t="s">
        <v>74</v>
      </c>
      <c r="BP2151" t="s">
        <v>74</v>
      </c>
      <c r="BQ2151" t="s">
        <v>74</v>
      </c>
      <c r="BR2151" t="s">
        <v>102</v>
      </c>
      <c r="BS2151" t="s">
        <v>36770</v>
      </c>
      <c r="BT2151" t="str">
        <f>HYPERLINK("https%3A%2F%2Fwww.webofscience.com%2Fwos%2Fwoscc%2Ffull-record%2FWOS:001236974600001","View Full Record in Web of Science")</f>
        <v>View Full Record in Web of Science</v>
      </c>
    </row>
    <row r="2152" spans="1:72" x14ac:dyDescent="0.35">
      <c r="A2152" t="s">
        <v>72</v>
      </c>
      <c r="B2152" t="s">
        <v>36771</v>
      </c>
      <c r="C2152" t="s">
        <v>74</v>
      </c>
      <c r="D2152" t="s">
        <v>74</v>
      </c>
      <c r="E2152" t="s">
        <v>74</v>
      </c>
      <c r="F2152" t="s">
        <v>36772</v>
      </c>
      <c r="G2152" t="s">
        <v>74</v>
      </c>
      <c r="H2152" t="s">
        <v>74</v>
      </c>
      <c r="I2152" t="s">
        <v>36773</v>
      </c>
      <c r="J2152" t="s">
        <v>36774</v>
      </c>
      <c r="K2152" t="s">
        <v>74</v>
      </c>
      <c r="L2152" t="s">
        <v>74</v>
      </c>
      <c r="M2152" t="s">
        <v>78</v>
      </c>
      <c r="N2152" t="s">
        <v>108</v>
      </c>
      <c r="O2152" t="s">
        <v>74</v>
      </c>
      <c r="P2152" t="s">
        <v>74</v>
      </c>
      <c r="Q2152" t="s">
        <v>74</v>
      </c>
      <c r="R2152" t="s">
        <v>74</v>
      </c>
      <c r="S2152" t="s">
        <v>74</v>
      </c>
      <c r="T2152" t="s">
        <v>36775</v>
      </c>
      <c r="U2152" t="s">
        <v>36776</v>
      </c>
      <c r="V2152" t="s">
        <v>36777</v>
      </c>
      <c r="W2152" t="s">
        <v>36778</v>
      </c>
      <c r="X2152" t="s">
        <v>36779</v>
      </c>
      <c r="Y2152" t="s">
        <v>36780</v>
      </c>
      <c r="Z2152" t="s">
        <v>36781</v>
      </c>
      <c r="AA2152" t="s">
        <v>74</v>
      </c>
      <c r="AB2152" t="s">
        <v>36782</v>
      </c>
      <c r="AC2152" t="s">
        <v>36783</v>
      </c>
      <c r="AD2152" t="s">
        <v>36784</v>
      </c>
      <c r="AE2152" t="s">
        <v>36785</v>
      </c>
      <c r="AF2152" t="s">
        <v>74</v>
      </c>
      <c r="AG2152">
        <v>34</v>
      </c>
      <c r="AH2152">
        <v>9</v>
      </c>
      <c r="AI2152">
        <v>9</v>
      </c>
      <c r="AJ2152">
        <v>6</v>
      </c>
      <c r="AK2152">
        <v>15</v>
      </c>
      <c r="AL2152" t="s">
        <v>36786</v>
      </c>
      <c r="AM2152" t="s">
        <v>227</v>
      </c>
      <c r="AN2152" t="s">
        <v>36787</v>
      </c>
      <c r="AO2152" t="s">
        <v>36788</v>
      </c>
      <c r="AP2152" t="s">
        <v>36789</v>
      </c>
      <c r="AQ2152" t="s">
        <v>74</v>
      </c>
      <c r="AR2152" t="s">
        <v>36774</v>
      </c>
      <c r="AS2152" t="s">
        <v>36790</v>
      </c>
      <c r="AT2152" t="s">
        <v>13284</v>
      </c>
      <c r="AU2152">
        <v>2023</v>
      </c>
      <c r="AV2152">
        <v>186</v>
      </c>
      <c r="AW2152" t="s">
        <v>74</v>
      </c>
      <c r="AX2152" t="s">
        <v>74</v>
      </c>
      <c r="AY2152" t="s">
        <v>74</v>
      </c>
      <c r="AZ2152" t="s">
        <v>74</v>
      </c>
      <c r="BA2152" t="s">
        <v>74</v>
      </c>
      <c r="BB2152" t="s">
        <v>74</v>
      </c>
      <c r="BC2152" t="s">
        <v>74</v>
      </c>
      <c r="BD2152">
        <v>106550</v>
      </c>
      <c r="BE2152" t="s">
        <v>36791</v>
      </c>
      <c r="BF2152" t="str">
        <f>HYPERLINK("http://dx.doi.org/10.1016/j.appet.2023.106550","http://dx.doi.org/10.1016/j.appet.2023.106550")</f>
        <v>http://dx.doi.org/10.1016/j.appet.2023.106550</v>
      </c>
      <c r="BG2152" t="s">
        <v>74</v>
      </c>
      <c r="BH2152" t="s">
        <v>299</v>
      </c>
      <c r="BI2152">
        <v>11</v>
      </c>
      <c r="BJ2152" t="s">
        <v>36792</v>
      </c>
      <c r="BK2152" t="s">
        <v>209</v>
      </c>
      <c r="BL2152" t="s">
        <v>36792</v>
      </c>
      <c r="BM2152" t="s">
        <v>36793</v>
      </c>
      <c r="BN2152">
        <v>37019155</v>
      </c>
      <c r="BO2152" t="s">
        <v>156</v>
      </c>
      <c r="BP2152" t="s">
        <v>74</v>
      </c>
      <c r="BQ2152" t="s">
        <v>74</v>
      </c>
      <c r="BR2152" t="s">
        <v>102</v>
      </c>
      <c r="BS2152" t="s">
        <v>36794</v>
      </c>
      <c r="BT2152" t="str">
        <f>HYPERLINK("https%3A%2F%2Fwww.webofscience.com%2Fwos%2Fwoscc%2Ffull-record%2FWOS:000981287700001","View Full Record in Web of Science")</f>
        <v>View Full Record in Web of Science</v>
      </c>
    </row>
    <row r="2153" spans="1:72" x14ac:dyDescent="0.35">
      <c r="A2153" t="s">
        <v>72</v>
      </c>
      <c r="B2153" t="s">
        <v>36795</v>
      </c>
      <c r="C2153" t="s">
        <v>74</v>
      </c>
      <c r="D2153" t="s">
        <v>74</v>
      </c>
      <c r="E2153" t="s">
        <v>74</v>
      </c>
      <c r="F2153" t="s">
        <v>36796</v>
      </c>
      <c r="G2153" t="s">
        <v>74</v>
      </c>
      <c r="H2153" t="s">
        <v>74</v>
      </c>
      <c r="I2153" t="s">
        <v>36797</v>
      </c>
      <c r="J2153" t="s">
        <v>793</v>
      </c>
      <c r="K2153" t="s">
        <v>74</v>
      </c>
      <c r="L2153" t="s">
        <v>74</v>
      </c>
      <c r="M2153" t="s">
        <v>78</v>
      </c>
      <c r="N2153" t="s">
        <v>108</v>
      </c>
      <c r="O2153" t="s">
        <v>74</v>
      </c>
      <c r="P2153" t="s">
        <v>74</v>
      </c>
      <c r="Q2153" t="s">
        <v>74</v>
      </c>
      <c r="R2153" t="s">
        <v>74</v>
      </c>
      <c r="S2153" t="s">
        <v>74</v>
      </c>
      <c r="T2153" t="s">
        <v>36798</v>
      </c>
      <c r="U2153" t="s">
        <v>9201</v>
      </c>
      <c r="V2153" t="s">
        <v>36799</v>
      </c>
      <c r="W2153" t="s">
        <v>36800</v>
      </c>
      <c r="X2153" t="s">
        <v>36801</v>
      </c>
      <c r="Y2153" t="s">
        <v>36802</v>
      </c>
      <c r="Z2153" t="s">
        <v>36803</v>
      </c>
      <c r="AA2153" t="s">
        <v>36804</v>
      </c>
      <c r="AB2153" t="s">
        <v>36805</v>
      </c>
      <c r="AC2153" t="s">
        <v>74</v>
      </c>
      <c r="AD2153" t="s">
        <v>74</v>
      </c>
      <c r="AE2153" t="s">
        <v>74</v>
      </c>
      <c r="AF2153" t="s">
        <v>74</v>
      </c>
      <c r="AG2153">
        <v>20</v>
      </c>
      <c r="AH2153">
        <v>0</v>
      </c>
      <c r="AI2153">
        <v>1</v>
      </c>
      <c r="AJ2153">
        <v>2</v>
      </c>
      <c r="AK2153">
        <v>2</v>
      </c>
      <c r="AL2153" t="s">
        <v>36806</v>
      </c>
      <c r="AM2153" t="s">
        <v>28818</v>
      </c>
      <c r="AN2153" t="s">
        <v>36807</v>
      </c>
      <c r="AO2153" t="s">
        <v>74</v>
      </c>
      <c r="AP2153" t="s">
        <v>805</v>
      </c>
      <c r="AQ2153" t="s">
        <v>74</v>
      </c>
      <c r="AR2153" t="s">
        <v>806</v>
      </c>
      <c r="AS2153" t="s">
        <v>807</v>
      </c>
      <c r="AT2153" t="s">
        <v>24235</v>
      </c>
      <c r="AU2153">
        <v>2023</v>
      </c>
      <c r="AV2153">
        <v>15</v>
      </c>
      <c r="AW2153">
        <v>3</v>
      </c>
      <c r="AX2153" t="s">
        <v>74</v>
      </c>
      <c r="AY2153" t="s">
        <v>74</v>
      </c>
      <c r="AZ2153" t="s">
        <v>74</v>
      </c>
      <c r="BA2153" t="s">
        <v>74</v>
      </c>
      <c r="BB2153" t="s">
        <v>74</v>
      </c>
      <c r="BC2153" t="s">
        <v>74</v>
      </c>
      <c r="BD2153" t="s">
        <v>36808</v>
      </c>
      <c r="BE2153" t="s">
        <v>36809</v>
      </c>
      <c r="BF2153" t="str">
        <f>HYPERLINK("http://dx.doi.org/10.7759/cureus.36966","http://dx.doi.org/10.7759/cureus.36966")</f>
        <v>http://dx.doi.org/10.7759/cureus.36966</v>
      </c>
      <c r="BG2153" t="s">
        <v>74</v>
      </c>
      <c r="BH2153" t="s">
        <v>74</v>
      </c>
      <c r="BI2153">
        <v>7</v>
      </c>
      <c r="BJ2153" t="s">
        <v>811</v>
      </c>
      <c r="BK2153" t="s">
        <v>125</v>
      </c>
      <c r="BL2153" t="s">
        <v>812</v>
      </c>
      <c r="BM2153" t="s">
        <v>36810</v>
      </c>
      <c r="BN2153">
        <v>37131565</v>
      </c>
      <c r="BO2153" t="s">
        <v>552</v>
      </c>
      <c r="BP2153" t="s">
        <v>74</v>
      </c>
      <c r="BQ2153" t="s">
        <v>74</v>
      </c>
      <c r="BR2153" t="s">
        <v>102</v>
      </c>
      <c r="BS2153" t="s">
        <v>36811</v>
      </c>
      <c r="BT2153" t="str">
        <f>HYPERLINK("https%3A%2F%2Fwww.webofscience.com%2Fwos%2Fwoscc%2Ffull-record%2FWOS:000980774100014","View Full Record in Web of Science")</f>
        <v>View Full Record in Web of Science</v>
      </c>
    </row>
    <row r="2154" spans="1:72" x14ac:dyDescent="0.35">
      <c r="A2154" t="s">
        <v>72</v>
      </c>
      <c r="B2154" t="s">
        <v>36812</v>
      </c>
      <c r="C2154" t="s">
        <v>74</v>
      </c>
      <c r="D2154" t="s">
        <v>74</v>
      </c>
      <c r="E2154" t="s">
        <v>74</v>
      </c>
      <c r="F2154" t="s">
        <v>36813</v>
      </c>
      <c r="G2154" t="s">
        <v>74</v>
      </c>
      <c r="H2154" t="s">
        <v>74</v>
      </c>
      <c r="I2154" t="s">
        <v>36814</v>
      </c>
      <c r="J2154" t="s">
        <v>36815</v>
      </c>
      <c r="K2154" t="s">
        <v>74</v>
      </c>
      <c r="L2154" t="s">
        <v>74</v>
      </c>
      <c r="M2154" t="s">
        <v>78</v>
      </c>
      <c r="N2154" t="s">
        <v>108</v>
      </c>
      <c r="O2154" t="s">
        <v>74</v>
      </c>
      <c r="P2154" t="s">
        <v>74</v>
      </c>
      <c r="Q2154" t="s">
        <v>74</v>
      </c>
      <c r="R2154" t="s">
        <v>74</v>
      </c>
      <c r="S2154" t="s">
        <v>74</v>
      </c>
      <c r="T2154" t="s">
        <v>74</v>
      </c>
      <c r="U2154" t="s">
        <v>74</v>
      </c>
      <c r="V2154" t="s">
        <v>36816</v>
      </c>
      <c r="W2154" t="s">
        <v>36817</v>
      </c>
      <c r="X2154" t="s">
        <v>36818</v>
      </c>
      <c r="Y2154" t="s">
        <v>36819</v>
      </c>
      <c r="Z2154" t="s">
        <v>74</v>
      </c>
      <c r="AA2154" t="s">
        <v>74</v>
      </c>
      <c r="AB2154" t="s">
        <v>74</v>
      </c>
      <c r="AC2154" t="s">
        <v>74</v>
      </c>
      <c r="AD2154" t="s">
        <v>74</v>
      </c>
      <c r="AE2154" t="s">
        <v>74</v>
      </c>
      <c r="AF2154" t="s">
        <v>74</v>
      </c>
      <c r="AG2154">
        <v>11</v>
      </c>
      <c r="AH2154">
        <v>0</v>
      </c>
      <c r="AI2154">
        <v>0</v>
      </c>
      <c r="AJ2154">
        <v>0</v>
      </c>
      <c r="AK2154">
        <v>11</v>
      </c>
      <c r="AL2154" t="s">
        <v>1129</v>
      </c>
      <c r="AM2154" t="s">
        <v>89</v>
      </c>
      <c r="AN2154" t="s">
        <v>1130</v>
      </c>
      <c r="AO2154" t="s">
        <v>36820</v>
      </c>
      <c r="AP2154" t="s">
        <v>36821</v>
      </c>
      <c r="AQ2154" t="s">
        <v>74</v>
      </c>
      <c r="AR2154" t="s">
        <v>36822</v>
      </c>
      <c r="AS2154" t="s">
        <v>36823</v>
      </c>
      <c r="AT2154" t="s">
        <v>2323</v>
      </c>
      <c r="AU2154">
        <v>2020</v>
      </c>
      <c r="AV2154">
        <v>25</v>
      </c>
      <c r="AW2154">
        <v>1</v>
      </c>
      <c r="AX2154" t="s">
        <v>74</v>
      </c>
      <c r="AY2154" t="s">
        <v>74</v>
      </c>
      <c r="AZ2154" t="s">
        <v>456</v>
      </c>
      <c r="BA2154" t="s">
        <v>74</v>
      </c>
      <c r="BB2154">
        <v>44</v>
      </c>
      <c r="BC2154">
        <v>47</v>
      </c>
      <c r="BD2154" t="s">
        <v>74</v>
      </c>
      <c r="BE2154" t="s">
        <v>36824</v>
      </c>
      <c r="BF2154" t="str">
        <f>HYPERLINK("http://dx.doi.org/10.1080/13528165.2020.1738893","http://dx.doi.org/10.1080/13528165.2020.1738893")</f>
        <v>http://dx.doi.org/10.1080/13528165.2020.1738893</v>
      </c>
      <c r="BG2154" t="s">
        <v>74</v>
      </c>
      <c r="BH2154" t="s">
        <v>74</v>
      </c>
      <c r="BI2154">
        <v>4</v>
      </c>
      <c r="BJ2154" t="s">
        <v>315</v>
      </c>
      <c r="BK2154" t="s">
        <v>316</v>
      </c>
      <c r="BL2154" t="s">
        <v>315</v>
      </c>
      <c r="BM2154" t="s">
        <v>36825</v>
      </c>
      <c r="BN2154" t="s">
        <v>74</v>
      </c>
      <c r="BO2154" t="s">
        <v>74</v>
      </c>
      <c r="BP2154" t="s">
        <v>74</v>
      </c>
      <c r="BQ2154" t="s">
        <v>74</v>
      </c>
      <c r="BR2154" t="s">
        <v>102</v>
      </c>
      <c r="BS2154" t="s">
        <v>36826</v>
      </c>
      <c r="BT2154" t="str">
        <f>HYPERLINK("https%3A%2F%2Fwww.webofscience.com%2Fwos%2Fwoscc%2Ffull-record%2FWOS:000527831500007","View Full Record in Web of Science")</f>
        <v>View Full Record in Web of Science</v>
      </c>
    </row>
    <row r="2155" spans="1:72" x14ac:dyDescent="0.35">
      <c r="A2155" t="s">
        <v>72</v>
      </c>
      <c r="B2155" t="s">
        <v>36827</v>
      </c>
      <c r="C2155" t="s">
        <v>74</v>
      </c>
      <c r="D2155" t="s">
        <v>74</v>
      </c>
      <c r="E2155" t="s">
        <v>74</v>
      </c>
      <c r="F2155" t="s">
        <v>36828</v>
      </c>
      <c r="G2155" t="s">
        <v>74</v>
      </c>
      <c r="H2155" t="s">
        <v>74</v>
      </c>
      <c r="I2155" t="s">
        <v>36829</v>
      </c>
      <c r="J2155" t="s">
        <v>2430</v>
      </c>
      <c r="K2155" t="s">
        <v>74</v>
      </c>
      <c r="L2155" t="s">
        <v>74</v>
      </c>
      <c r="M2155" t="s">
        <v>78</v>
      </c>
      <c r="N2155" t="s">
        <v>108</v>
      </c>
      <c r="O2155" t="s">
        <v>74</v>
      </c>
      <c r="P2155" t="s">
        <v>74</v>
      </c>
      <c r="Q2155" t="s">
        <v>74</v>
      </c>
      <c r="R2155" t="s">
        <v>74</v>
      </c>
      <c r="S2155" t="s">
        <v>74</v>
      </c>
      <c r="T2155" t="s">
        <v>36830</v>
      </c>
      <c r="U2155" t="s">
        <v>36831</v>
      </c>
      <c r="V2155" t="s">
        <v>36832</v>
      </c>
      <c r="W2155" t="s">
        <v>36833</v>
      </c>
      <c r="X2155" t="s">
        <v>36834</v>
      </c>
      <c r="Y2155" t="s">
        <v>36835</v>
      </c>
      <c r="Z2155" t="s">
        <v>36836</v>
      </c>
      <c r="AA2155" t="s">
        <v>74</v>
      </c>
      <c r="AB2155" t="s">
        <v>36837</v>
      </c>
      <c r="AC2155" t="s">
        <v>74</v>
      </c>
      <c r="AD2155" t="s">
        <v>74</v>
      </c>
      <c r="AE2155" t="s">
        <v>74</v>
      </c>
      <c r="AF2155" t="s">
        <v>74</v>
      </c>
      <c r="AG2155">
        <v>47</v>
      </c>
      <c r="AH2155">
        <v>8</v>
      </c>
      <c r="AI2155">
        <v>8</v>
      </c>
      <c r="AJ2155">
        <v>1</v>
      </c>
      <c r="AK2155">
        <v>10</v>
      </c>
      <c r="AL2155" t="s">
        <v>226</v>
      </c>
      <c r="AM2155" t="s">
        <v>227</v>
      </c>
      <c r="AN2155" t="s">
        <v>228</v>
      </c>
      <c r="AO2155" t="s">
        <v>2438</v>
      </c>
      <c r="AP2155" t="s">
        <v>2439</v>
      </c>
      <c r="AQ2155" t="s">
        <v>74</v>
      </c>
      <c r="AR2155" t="s">
        <v>2440</v>
      </c>
      <c r="AS2155" t="s">
        <v>2441</v>
      </c>
      <c r="AT2155" t="s">
        <v>1484</v>
      </c>
      <c r="AU2155">
        <v>2023</v>
      </c>
      <c r="AV2155">
        <v>23</v>
      </c>
      <c r="AW2155">
        <v>1</v>
      </c>
      <c r="AX2155" t="s">
        <v>74</v>
      </c>
      <c r="AY2155" t="s">
        <v>74</v>
      </c>
      <c r="AZ2155" t="s">
        <v>456</v>
      </c>
      <c r="BA2155" t="s">
        <v>74</v>
      </c>
      <c r="BB2155">
        <v>8</v>
      </c>
      <c r="BC2155">
        <v>34</v>
      </c>
      <c r="BD2155" t="s">
        <v>74</v>
      </c>
      <c r="BE2155" t="s">
        <v>36838</v>
      </c>
      <c r="BF2155" t="str">
        <f>HYPERLINK("http://dx.doi.org/10.1177/14687984221124179","http://dx.doi.org/10.1177/14687984221124179")</f>
        <v>http://dx.doi.org/10.1177/14687984221124179</v>
      </c>
      <c r="BG2155" t="s">
        <v>74</v>
      </c>
      <c r="BH2155" t="s">
        <v>6895</v>
      </c>
      <c r="BI2155">
        <v>27</v>
      </c>
      <c r="BJ2155" t="s">
        <v>787</v>
      </c>
      <c r="BK2155" t="s">
        <v>99</v>
      </c>
      <c r="BL2155" t="s">
        <v>787</v>
      </c>
      <c r="BM2155" t="s">
        <v>36839</v>
      </c>
      <c r="BN2155">
        <v>38603379</v>
      </c>
      <c r="BO2155" t="s">
        <v>2194</v>
      </c>
      <c r="BP2155" t="s">
        <v>74</v>
      </c>
      <c r="BQ2155" t="s">
        <v>74</v>
      </c>
      <c r="BR2155" t="s">
        <v>102</v>
      </c>
      <c r="BS2155" t="s">
        <v>36840</v>
      </c>
      <c r="BT2155" t="str">
        <f>HYPERLINK("https%3A%2F%2Fwww.webofscience.com%2Fwos%2Fwoscc%2Ffull-record%2FWOS:000941855600001","View Full Record in Web of Science")</f>
        <v>View Full Record in Web of Science</v>
      </c>
    </row>
    <row r="2156" spans="1:72" x14ac:dyDescent="0.35">
      <c r="A2156" t="s">
        <v>72</v>
      </c>
      <c r="B2156" t="s">
        <v>36841</v>
      </c>
      <c r="C2156" t="s">
        <v>74</v>
      </c>
      <c r="D2156" t="s">
        <v>74</v>
      </c>
      <c r="E2156" t="s">
        <v>74</v>
      </c>
      <c r="F2156" t="s">
        <v>36842</v>
      </c>
      <c r="G2156" t="s">
        <v>74</v>
      </c>
      <c r="H2156" t="s">
        <v>74</v>
      </c>
      <c r="I2156" t="s">
        <v>36843</v>
      </c>
      <c r="J2156" t="s">
        <v>36844</v>
      </c>
      <c r="K2156" t="s">
        <v>74</v>
      </c>
      <c r="L2156" t="s">
        <v>74</v>
      </c>
      <c r="M2156" t="s">
        <v>78</v>
      </c>
      <c r="N2156" t="s">
        <v>108</v>
      </c>
      <c r="O2156" t="s">
        <v>74</v>
      </c>
      <c r="P2156" t="s">
        <v>74</v>
      </c>
      <c r="Q2156" t="s">
        <v>74</v>
      </c>
      <c r="R2156" t="s">
        <v>74</v>
      </c>
      <c r="S2156" t="s">
        <v>74</v>
      </c>
      <c r="T2156" t="s">
        <v>36845</v>
      </c>
      <c r="U2156" t="s">
        <v>36846</v>
      </c>
      <c r="V2156" t="s">
        <v>36847</v>
      </c>
      <c r="W2156" t="s">
        <v>36848</v>
      </c>
      <c r="X2156" t="s">
        <v>36849</v>
      </c>
      <c r="Y2156" t="s">
        <v>36850</v>
      </c>
      <c r="Z2156" t="s">
        <v>36851</v>
      </c>
      <c r="AA2156" t="s">
        <v>36852</v>
      </c>
      <c r="AB2156" t="s">
        <v>36853</v>
      </c>
      <c r="AC2156" t="s">
        <v>74</v>
      </c>
      <c r="AD2156" t="s">
        <v>74</v>
      </c>
      <c r="AE2156" t="s">
        <v>74</v>
      </c>
      <c r="AF2156" t="s">
        <v>74</v>
      </c>
      <c r="AG2156">
        <v>38</v>
      </c>
      <c r="AH2156">
        <v>96</v>
      </c>
      <c r="AI2156">
        <v>108</v>
      </c>
      <c r="AJ2156">
        <v>9</v>
      </c>
      <c r="AK2156">
        <v>145</v>
      </c>
      <c r="AL2156" t="s">
        <v>290</v>
      </c>
      <c r="AM2156" t="s">
        <v>291</v>
      </c>
      <c r="AN2156" t="s">
        <v>292</v>
      </c>
      <c r="AO2156" t="s">
        <v>36854</v>
      </c>
      <c r="AP2156" t="s">
        <v>36855</v>
      </c>
      <c r="AQ2156" t="s">
        <v>74</v>
      </c>
      <c r="AR2156" t="s">
        <v>36856</v>
      </c>
      <c r="AS2156" t="s">
        <v>36857</v>
      </c>
      <c r="AT2156" t="s">
        <v>31339</v>
      </c>
      <c r="AU2156">
        <v>2021</v>
      </c>
      <c r="AV2156">
        <v>110</v>
      </c>
      <c r="AW2156" t="s">
        <v>74</v>
      </c>
      <c r="AX2156" t="s">
        <v>74</v>
      </c>
      <c r="AY2156" t="s">
        <v>74</v>
      </c>
      <c r="AZ2156" t="s">
        <v>74</v>
      </c>
      <c r="BA2156" t="s">
        <v>74</v>
      </c>
      <c r="BB2156" t="s">
        <v>74</v>
      </c>
      <c r="BC2156" t="s">
        <v>74</v>
      </c>
      <c r="BD2156">
        <v>110293</v>
      </c>
      <c r="BE2156" t="s">
        <v>36858</v>
      </c>
      <c r="BF2156" t="str">
        <f>HYPERLINK("http://dx.doi.org/10.1016/j.pnpbp.2021.110293","http://dx.doi.org/10.1016/j.pnpbp.2021.110293")</f>
        <v>http://dx.doi.org/10.1016/j.pnpbp.2021.110293</v>
      </c>
      <c r="BG2156" t="s">
        <v>74</v>
      </c>
      <c r="BH2156" t="s">
        <v>8463</v>
      </c>
      <c r="BI2156">
        <v>6</v>
      </c>
      <c r="BJ2156" t="s">
        <v>36859</v>
      </c>
      <c r="BK2156" t="s">
        <v>182</v>
      </c>
      <c r="BL2156" t="s">
        <v>36860</v>
      </c>
      <c r="BM2156" t="s">
        <v>36861</v>
      </c>
      <c r="BN2156">
        <v>33662532</v>
      </c>
      <c r="BO2156" t="s">
        <v>1343</v>
      </c>
      <c r="BP2156" t="s">
        <v>74</v>
      </c>
      <c r="BQ2156" t="s">
        <v>74</v>
      </c>
      <c r="BR2156" t="s">
        <v>102</v>
      </c>
      <c r="BS2156" t="s">
        <v>36862</v>
      </c>
      <c r="BT2156" t="str">
        <f>HYPERLINK("https%3A%2F%2Fwww.webofscience.com%2Fwos%2Fwoscc%2Ffull-record%2FWOS:000671082800032","View Full Record in Web of Science")</f>
        <v>View Full Record in Web of Science</v>
      </c>
    </row>
    <row r="2157" spans="1:72" x14ac:dyDescent="0.35">
      <c r="A2157" t="s">
        <v>72</v>
      </c>
      <c r="B2157" t="s">
        <v>36863</v>
      </c>
      <c r="C2157" t="s">
        <v>74</v>
      </c>
      <c r="D2157" t="s">
        <v>74</v>
      </c>
      <c r="E2157" t="s">
        <v>74</v>
      </c>
      <c r="F2157" t="s">
        <v>36864</v>
      </c>
      <c r="G2157" t="s">
        <v>74</v>
      </c>
      <c r="H2157" t="s">
        <v>74</v>
      </c>
      <c r="I2157" t="s">
        <v>36865</v>
      </c>
      <c r="J2157" t="s">
        <v>8614</v>
      </c>
      <c r="K2157" t="s">
        <v>74</v>
      </c>
      <c r="L2157" t="s">
        <v>74</v>
      </c>
      <c r="M2157" t="s">
        <v>3503</v>
      </c>
      <c r="N2157" t="s">
        <v>108</v>
      </c>
      <c r="O2157" t="s">
        <v>74</v>
      </c>
      <c r="P2157" t="s">
        <v>74</v>
      </c>
      <c r="Q2157" t="s">
        <v>74</v>
      </c>
      <c r="R2157" t="s">
        <v>74</v>
      </c>
      <c r="S2157" t="s">
        <v>74</v>
      </c>
      <c r="T2157" t="s">
        <v>36866</v>
      </c>
      <c r="U2157" t="s">
        <v>36867</v>
      </c>
      <c r="V2157" t="s">
        <v>36868</v>
      </c>
      <c r="W2157" t="s">
        <v>36869</v>
      </c>
      <c r="X2157" t="s">
        <v>36870</v>
      </c>
      <c r="Y2157" t="s">
        <v>36871</v>
      </c>
      <c r="Z2157" t="s">
        <v>36872</v>
      </c>
      <c r="AA2157" t="s">
        <v>36873</v>
      </c>
      <c r="AB2157" t="s">
        <v>74</v>
      </c>
      <c r="AC2157" t="s">
        <v>74</v>
      </c>
      <c r="AD2157" t="s">
        <v>74</v>
      </c>
      <c r="AE2157" t="s">
        <v>74</v>
      </c>
      <c r="AF2157" t="s">
        <v>74</v>
      </c>
      <c r="AG2157">
        <v>79</v>
      </c>
      <c r="AH2157">
        <v>0</v>
      </c>
      <c r="AI2157">
        <v>0</v>
      </c>
      <c r="AJ2157">
        <v>1</v>
      </c>
      <c r="AK2157">
        <v>10</v>
      </c>
      <c r="AL2157" t="s">
        <v>8623</v>
      </c>
      <c r="AM2157" t="s">
        <v>8624</v>
      </c>
      <c r="AN2157" t="s">
        <v>8625</v>
      </c>
      <c r="AO2157" t="s">
        <v>8626</v>
      </c>
      <c r="AP2157" t="s">
        <v>8627</v>
      </c>
      <c r="AQ2157" t="s">
        <v>74</v>
      </c>
      <c r="AR2157" t="s">
        <v>8628</v>
      </c>
      <c r="AS2157" t="s">
        <v>8629</v>
      </c>
      <c r="AT2157" t="s">
        <v>74</v>
      </c>
      <c r="AU2157">
        <v>2021</v>
      </c>
      <c r="AV2157">
        <v>17</v>
      </c>
      <c r="AW2157">
        <v>4</v>
      </c>
      <c r="AX2157" t="s">
        <v>74</v>
      </c>
      <c r="AY2157" t="s">
        <v>74</v>
      </c>
      <c r="AZ2157" t="s">
        <v>74</v>
      </c>
      <c r="BA2157" t="s">
        <v>74</v>
      </c>
      <c r="BB2157" t="s">
        <v>74</v>
      </c>
      <c r="BC2157" t="s">
        <v>74</v>
      </c>
      <c r="BD2157" t="s">
        <v>74</v>
      </c>
      <c r="BE2157" t="s">
        <v>74</v>
      </c>
      <c r="BF2157" t="s">
        <v>74</v>
      </c>
      <c r="BG2157" t="s">
        <v>74</v>
      </c>
      <c r="BH2157" t="s">
        <v>74</v>
      </c>
      <c r="BI2157">
        <v>19</v>
      </c>
      <c r="BJ2157" t="s">
        <v>1162</v>
      </c>
      <c r="BK2157" t="s">
        <v>125</v>
      </c>
      <c r="BL2157" t="s">
        <v>1162</v>
      </c>
      <c r="BM2157" t="s">
        <v>36874</v>
      </c>
      <c r="BN2157" t="s">
        <v>74</v>
      </c>
      <c r="BO2157" t="s">
        <v>74</v>
      </c>
      <c r="BP2157" t="s">
        <v>74</v>
      </c>
      <c r="BQ2157" t="s">
        <v>74</v>
      </c>
      <c r="BR2157" t="s">
        <v>102</v>
      </c>
      <c r="BS2157" t="s">
        <v>36875</v>
      </c>
      <c r="BT2157" t="str">
        <f>HYPERLINK("https%3A%2F%2Fwww.webofscience.com%2Fwos%2Fwoscc%2Ffull-record%2FWOS:000756525500008","View Full Record in Web of Science")</f>
        <v>View Full Record in Web of Science</v>
      </c>
    </row>
    <row r="2158" spans="1:72" x14ac:dyDescent="0.35">
      <c r="A2158" t="s">
        <v>72</v>
      </c>
      <c r="B2158" t="s">
        <v>36876</v>
      </c>
      <c r="C2158" t="s">
        <v>74</v>
      </c>
      <c r="D2158" t="s">
        <v>74</v>
      </c>
      <c r="E2158" t="s">
        <v>74</v>
      </c>
      <c r="F2158" t="s">
        <v>36877</v>
      </c>
      <c r="G2158" t="s">
        <v>74</v>
      </c>
      <c r="H2158" t="s">
        <v>74</v>
      </c>
      <c r="I2158" t="s">
        <v>36878</v>
      </c>
      <c r="J2158" t="s">
        <v>793</v>
      </c>
      <c r="K2158" t="s">
        <v>74</v>
      </c>
      <c r="L2158" t="s">
        <v>74</v>
      </c>
      <c r="M2158" t="s">
        <v>78</v>
      </c>
      <c r="N2158" t="s">
        <v>108</v>
      </c>
      <c r="O2158" t="s">
        <v>74</v>
      </c>
      <c r="P2158" t="s">
        <v>74</v>
      </c>
      <c r="Q2158" t="s">
        <v>74</v>
      </c>
      <c r="R2158" t="s">
        <v>74</v>
      </c>
      <c r="S2158" t="s">
        <v>74</v>
      </c>
      <c r="T2158" t="s">
        <v>36879</v>
      </c>
      <c r="U2158" t="s">
        <v>36880</v>
      </c>
      <c r="V2158" t="s">
        <v>36881</v>
      </c>
      <c r="W2158" t="s">
        <v>36882</v>
      </c>
      <c r="X2158" t="s">
        <v>36883</v>
      </c>
      <c r="Y2158" t="s">
        <v>36884</v>
      </c>
      <c r="Z2158" t="s">
        <v>36885</v>
      </c>
      <c r="AA2158" t="s">
        <v>36886</v>
      </c>
      <c r="AB2158" t="s">
        <v>36887</v>
      </c>
      <c r="AC2158" t="s">
        <v>36888</v>
      </c>
      <c r="AD2158" t="s">
        <v>36888</v>
      </c>
      <c r="AE2158" t="s">
        <v>36889</v>
      </c>
      <c r="AF2158" t="s">
        <v>74</v>
      </c>
      <c r="AG2158">
        <v>56</v>
      </c>
      <c r="AH2158">
        <v>0</v>
      </c>
      <c r="AI2158">
        <v>0</v>
      </c>
      <c r="AJ2158">
        <v>5</v>
      </c>
      <c r="AK2158">
        <v>5</v>
      </c>
      <c r="AL2158" t="s">
        <v>803</v>
      </c>
      <c r="AM2158" t="s">
        <v>227</v>
      </c>
      <c r="AN2158" t="s">
        <v>804</v>
      </c>
      <c r="AO2158" t="s">
        <v>74</v>
      </c>
      <c r="AP2158" t="s">
        <v>805</v>
      </c>
      <c r="AQ2158" t="s">
        <v>74</v>
      </c>
      <c r="AR2158" t="s">
        <v>806</v>
      </c>
      <c r="AS2158" t="s">
        <v>807</v>
      </c>
      <c r="AT2158" t="s">
        <v>8900</v>
      </c>
      <c r="AU2158">
        <v>2024</v>
      </c>
      <c r="AV2158">
        <v>16</v>
      </c>
      <c r="AW2158">
        <v>9</v>
      </c>
      <c r="AX2158" t="s">
        <v>74</v>
      </c>
      <c r="AY2158" t="s">
        <v>74</v>
      </c>
      <c r="AZ2158" t="s">
        <v>74</v>
      </c>
      <c r="BA2158" t="s">
        <v>74</v>
      </c>
      <c r="BB2158" t="s">
        <v>74</v>
      </c>
      <c r="BC2158" t="s">
        <v>74</v>
      </c>
      <c r="BD2158" t="s">
        <v>36890</v>
      </c>
      <c r="BE2158" t="s">
        <v>36891</v>
      </c>
      <c r="BF2158" t="str">
        <f>HYPERLINK("http://dx.doi.org/10.7759/cureus.69185","http://dx.doi.org/10.7759/cureus.69185")</f>
        <v>http://dx.doi.org/10.7759/cureus.69185</v>
      </c>
      <c r="BG2158" t="s">
        <v>74</v>
      </c>
      <c r="BH2158" t="s">
        <v>74</v>
      </c>
      <c r="BI2158">
        <v>14</v>
      </c>
      <c r="BJ2158" t="s">
        <v>811</v>
      </c>
      <c r="BK2158" t="s">
        <v>125</v>
      </c>
      <c r="BL2158" t="s">
        <v>812</v>
      </c>
      <c r="BM2158" t="s">
        <v>36892</v>
      </c>
      <c r="BN2158">
        <v>39282484</v>
      </c>
      <c r="BO2158" t="s">
        <v>235</v>
      </c>
      <c r="BP2158" t="s">
        <v>74</v>
      </c>
      <c r="BQ2158" t="s">
        <v>74</v>
      </c>
      <c r="BR2158" t="s">
        <v>102</v>
      </c>
      <c r="BS2158" t="s">
        <v>36893</v>
      </c>
      <c r="BT2158" t="str">
        <f>HYPERLINK("https%3A%2F%2Fwww.webofscience.com%2Fwos%2Fwoscc%2Ffull-record%2FWOS:001315281300014","View Full Record in Web of Science")</f>
        <v>View Full Record in Web of Science</v>
      </c>
    </row>
    <row r="2159" spans="1:72" x14ac:dyDescent="0.35">
      <c r="A2159" t="s">
        <v>72</v>
      </c>
      <c r="B2159" t="s">
        <v>36894</v>
      </c>
      <c r="C2159" t="s">
        <v>74</v>
      </c>
      <c r="D2159" t="s">
        <v>74</v>
      </c>
      <c r="E2159" t="s">
        <v>74</v>
      </c>
      <c r="F2159" t="s">
        <v>36895</v>
      </c>
      <c r="G2159" t="s">
        <v>74</v>
      </c>
      <c r="H2159" t="s">
        <v>74</v>
      </c>
      <c r="I2159" t="s">
        <v>36896</v>
      </c>
      <c r="J2159" t="s">
        <v>36897</v>
      </c>
      <c r="K2159" t="s">
        <v>74</v>
      </c>
      <c r="L2159" t="s">
        <v>74</v>
      </c>
      <c r="M2159" t="s">
        <v>78</v>
      </c>
      <c r="N2159" t="s">
        <v>108</v>
      </c>
      <c r="O2159" t="s">
        <v>74</v>
      </c>
      <c r="P2159" t="s">
        <v>74</v>
      </c>
      <c r="Q2159" t="s">
        <v>74</v>
      </c>
      <c r="R2159" t="s">
        <v>74</v>
      </c>
      <c r="S2159" t="s">
        <v>74</v>
      </c>
      <c r="T2159" t="s">
        <v>36898</v>
      </c>
      <c r="U2159" t="s">
        <v>36899</v>
      </c>
      <c r="V2159" t="s">
        <v>36900</v>
      </c>
      <c r="W2159" t="s">
        <v>36901</v>
      </c>
      <c r="X2159" t="s">
        <v>36902</v>
      </c>
      <c r="Y2159" t="s">
        <v>36903</v>
      </c>
      <c r="Z2159" t="s">
        <v>36904</v>
      </c>
      <c r="AA2159" t="s">
        <v>74</v>
      </c>
      <c r="AB2159" t="s">
        <v>36905</v>
      </c>
      <c r="AC2159" t="s">
        <v>74</v>
      </c>
      <c r="AD2159" t="s">
        <v>74</v>
      </c>
      <c r="AE2159" t="s">
        <v>74</v>
      </c>
      <c r="AF2159" t="s">
        <v>74</v>
      </c>
      <c r="AG2159">
        <v>54</v>
      </c>
      <c r="AH2159">
        <v>0</v>
      </c>
      <c r="AI2159">
        <v>0</v>
      </c>
      <c r="AJ2159">
        <v>8</v>
      </c>
      <c r="AK2159">
        <v>8</v>
      </c>
      <c r="AL2159" t="s">
        <v>199</v>
      </c>
      <c r="AM2159" t="s">
        <v>200</v>
      </c>
      <c r="AN2159" t="s">
        <v>471</v>
      </c>
      <c r="AO2159" t="s">
        <v>36906</v>
      </c>
      <c r="AP2159" t="s">
        <v>36907</v>
      </c>
      <c r="AQ2159" t="s">
        <v>74</v>
      </c>
      <c r="AR2159" t="s">
        <v>36908</v>
      </c>
      <c r="AS2159" t="s">
        <v>36909</v>
      </c>
      <c r="AT2159" t="s">
        <v>17916</v>
      </c>
      <c r="AU2159">
        <v>2024</v>
      </c>
      <c r="AV2159">
        <v>44</v>
      </c>
      <c r="AW2159" t="s">
        <v>36910</v>
      </c>
      <c r="AX2159" t="s">
        <v>74</v>
      </c>
      <c r="AY2159" t="s">
        <v>74</v>
      </c>
      <c r="AZ2159" t="s">
        <v>74</v>
      </c>
      <c r="BA2159" t="s">
        <v>74</v>
      </c>
      <c r="BB2159">
        <v>1109</v>
      </c>
      <c r="BC2159">
        <v>1122</v>
      </c>
      <c r="BD2159" t="s">
        <v>74</v>
      </c>
      <c r="BE2159" t="s">
        <v>36911</v>
      </c>
      <c r="BF2159" t="str">
        <f>HYPERLINK("http://dx.doi.org/10.1108/IJSSP-03-2024-0109","http://dx.doi.org/10.1108/IJSSP-03-2024-0109")</f>
        <v>http://dx.doi.org/10.1108/IJSSP-03-2024-0109</v>
      </c>
      <c r="BG2159" t="s">
        <v>74</v>
      </c>
      <c r="BH2159" t="s">
        <v>500</v>
      </c>
      <c r="BI2159">
        <v>14</v>
      </c>
      <c r="BJ2159" t="s">
        <v>4573</v>
      </c>
      <c r="BK2159" t="s">
        <v>125</v>
      </c>
      <c r="BL2159" t="s">
        <v>4573</v>
      </c>
      <c r="BM2159" t="s">
        <v>36912</v>
      </c>
      <c r="BN2159" t="s">
        <v>74</v>
      </c>
      <c r="BO2159" t="s">
        <v>6798</v>
      </c>
      <c r="BP2159" t="s">
        <v>74</v>
      </c>
      <c r="BQ2159" t="s">
        <v>74</v>
      </c>
      <c r="BR2159" t="s">
        <v>102</v>
      </c>
      <c r="BS2159" t="s">
        <v>36913</v>
      </c>
      <c r="BT2159" t="str">
        <f>HYPERLINK("https%3A%2F%2Fwww.webofscience.com%2Fwos%2Fwoscc%2Ffull-record%2FWOS:001246223600001","View Full Record in Web of Science")</f>
        <v>View Full Record in Web of Science</v>
      </c>
    </row>
    <row r="2160" spans="1:72" x14ac:dyDescent="0.35">
      <c r="A2160" t="s">
        <v>72</v>
      </c>
      <c r="B2160" t="s">
        <v>36914</v>
      </c>
      <c r="C2160" t="s">
        <v>74</v>
      </c>
      <c r="D2160" t="s">
        <v>74</v>
      </c>
      <c r="E2160" t="s">
        <v>74</v>
      </c>
      <c r="F2160" t="s">
        <v>36915</v>
      </c>
      <c r="G2160" t="s">
        <v>74</v>
      </c>
      <c r="H2160" t="s">
        <v>74</v>
      </c>
      <c r="I2160" t="s">
        <v>36916</v>
      </c>
      <c r="J2160" t="s">
        <v>36917</v>
      </c>
      <c r="K2160" t="s">
        <v>74</v>
      </c>
      <c r="L2160" t="s">
        <v>74</v>
      </c>
      <c r="M2160" t="s">
        <v>78</v>
      </c>
      <c r="N2160" t="s">
        <v>108</v>
      </c>
      <c r="O2160" t="s">
        <v>74</v>
      </c>
      <c r="P2160" t="s">
        <v>74</v>
      </c>
      <c r="Q2160" t="s">
        <v>74</v>
      </c>
      <c r="R2160" t="s">
        <v>74</v>
      </c>
      <c r="S2160" t="s">
        <v>74</v>
      </c>
      <c r="T2160" t="s">
        <v>36918</v>
      </c>
      <c r="U2160" t="s">
        <v>36919</v>
      </c>
      <c r="V2160" t="s">
        <v>36920</v>
      </c>
      <c r="W2160" t="s">
        <v>36921</v>
      </c>
      <c r="X2160" t="s">
        <v>36922</v>
      </c>
      <c r="Y2160" t="s">
        <v>36923</v>
      </c>
      <c r="Z2160" t="s">
        <v>36924</v>
      </c>
      <c r="AA2160" t="s">
        <v>74</v>
      </c>
      <c r="AB2160" t="s">
        <v>74</v>
      </c>
      <c r="AC2160" t="s">
        <v>36925</v>
      </c>
      <c r="AD2160" t="s">
        <v>36925</v>
      </c>
      <c r="AE2160" t="s">
        <v>36926</v>
      </c>
      <c r="AF2160" t="s">
        <v>74</v>
      </c>
      <c r="AG2160">
        <v>44</v>
      </c>
      <c r="AH2160">
        <v>1</v>
      </c>
      <c r="AI2160">
        <v>1</v>
      </c>
      <c r="AJ2160">
        <v>2</v>
      </c>
      <c r="AK2160">
        <v>6</v>
      </c>
      <c r="AL2160" t="s">
        <v>251</v>
      </c>
      <c r="AM2160" t="s">
        <v>252</v>
      </c>
      <c r="AN2160" t="s">
        <v>36927</v>
      </c>
      <c r="AO2160" t="s">
        <v>36928</v>
      </c>
      <c r="AP2160" t="s">
        <v>74</v>
      </c>
      <c r="AQ2160" t="s">
        <v>74</v>
      </c>
      <c r="AR2160" t="s">
        <v>36929</v>
      </c>
      <c r="AS2160" t="s">
        <v>36930</v>
      </c>
      <c r="AT2160" t="s">
        <v>1484</v>
      </c>
      <c r="AU2160">
        <v>2024</v>
      </c>
      <c r="AV2160">
        <v>14</v>
      </c>
      <c r="AW2160">
        <v>3</v>
      </c>
      <c r="AX2160" t="s">
        <v>74</v>
      </c>
      <c r="AY2160" t="s">
        <v>74</v>
      </c>
      <c r="AZ2160" t="s">
        <v>74</v>
      </c>
      <c r="BA2160" t="s">
        <v>74</v>
      </c>
      <c r="BB2160" t="s">
        <v>74</v>
      </c>
      <c r="BC2160" t="s">
        <v>74</v>
      </c>
      <c r="BD2160" t="s">
        <v>36931</v>
      </c>
      <c r="BE2160" t="s">
        <v>36932</v>
      </c>
      <c r="BF2160" t="str">
        <f>HYPERLINK("http://dx.doi.org/10.1002/brb3.3451","http://dx.doi.org/10.1002/brb3.3451")</f>
        <v>http://dx.doi.org/10.1002/brb3.3451</v>
      </c>
      <c r="BG2160" t="s">
        <v>74</v>
      </c>
      <c r="BH2160" t="s">
        <v>74</v>
      </c>
      <c r="BI2160">
        <v>9</v>
      </c>
      <c r="BJ2160" t="s">
        <v>36933</v>
      </c>
      <c r="BK2160" t="s">
        <v>209</v>
      </c>
      <c r="BL2160" t="s">
        <v>36934</v>
      </c>
      <c r="BM2160" t="s">
        <v>36935</v>
      </c>
      <c r="BN2160">
        <v>38468457</v>
      </c>
      <c r="BO2160" t="s">
        <v>552</v>
      </c>
      <c r="BP2160" t="s">
        <v>74</v>
      </c>
      <c r="BQ2160" t="s">
        <v>74</v>
      </c>
      <c r="BR2160" t="s">
        <v>102</v>
      </c>
      <c r="BS2160" t="s">
        <v>36936</v>
      </c>
      <c r="BT2160" t="str">
        <f>HYPERLINK("https%3A%2F%2Fwww.webofscience.com%2Fwos%2Fwoscc%2Ffull-record%2FWOS:001182167500001","View Full Record in Web of Science")</f>
        <v>View Full Record in Web of Science</v>
      </c>
    </row>
    <row r="2161" spans="1:72" x14ac:dyDescent="0.35">
      <c r="A2161" t="s">
        <v>72</v>
      </c>
      <c r="B2161" t="s">
        <v>36937</v>
      </c>
      <c r="C2161" t="s">
        <v>74</v>
      </c>
      <c r="D2161" t="s">
        <v>74</v>
      </c>
      <c r="E2161" t="s">
        <v>74</v>
      </c>
      <c r="F2161" t="s">
        <v>36938</v>
      </c>
      <c r="G2161" t="s">
        <v>74</v>
      </c>
      <c r="H2161" t="s">
        <v>74</v>
      </c>
      <c r="I2161" t="s">
        <v>36939</v>
      </c>
      <c r="J2161" t="s">
        <v>17555</v>
      </c>
      <c r="K2161" t="s">
        <v>74</v>
      </c>
      <c r="L2161" t="s">
        <v>74</v>
      </c>
      <c r="M2161" t="s">
        <v>78</v>
      </c>
      <c r="N2161" t="s">
        <v>108</v>
      </c>
      <c r="O2161" t="s">
        <v>74</v>
      </c>
      <c r="P2161" t="s">
        <v>74</v>
      </c>
      <c r="Q2161" t="s">
        <v>74</v>
      </c>
      <c r="R2161" t="s">
        <v>74</v>
      </c>
      <c r="S2161" t="s">
        <v>74</v>
      </c>
      <c r="T2161" t="s">
        <v>36940</v>
      </c>
      <c r="U2161" t="s">
        <v>36941</v>
      </c>
      <c r="V2161" t="s">
        <v>36942</v>
      </c>
      <c r="W2161" t="s">
        <v>36943</v>
      </c>
      <c r="X2161" t="s">
        <v>36944</v>
      </c>
      <c r="Y2161" t="s">
        <v>36945</v>
      </c>
      <c r="Z2161" t="s">
        <v>36946</v>
      </c>
      <c r="AA2161" t="s">
        <v>36947</v>
      </c>
      <c r="AB2161" t="s">
        <v>36948</v>
      </c>
      <c r="AC2161" t="s">
        <v>74</v>
      </c>
      <c r="AD2161" t="s">
        <v>74</v>
      </c>
      <c r="AE2161" t="s">
        <v>74</v>
      </c>
      <c r="AF2161" t="s">
        <v>74</v>
      </c>
      <c r="AG2161">
        <v>108</v>
      </c>
      <c r="AH2161">
        <v>1</v>
      </c>
      <c r="AI2161">
        <v>1</v>
      </c>
      <c r="AJ2161">
        <v>44</v>
      </c>
      <c r="AK2161">
        <v>75</v>
      </c>
      <c r="AL2161" t="s">
        <v>251</v>
      </c>
      <c r="AM2161" t="s">
        <v>252</v>
      </c>
      <c r="AN2161" t="s">
        <v>253</v>
      </c>
      <c r="AO2161" t="s">
        <v>17565</v>
      </c>
      <c r="AP2161" t="s">
        <v>17566</v>
      </c>
      <c r="AQ2161" t="s">
        <v>74</v>
      </c>
      <c r="AR2161" t="s">
        <v>17567</v>
      </c>
      <c r="AS2161" t="s">
        <v>17568</v>
      </c>
      <c r="AT2161" t="s">
        <v>745</v>
      </c>
      <c r="AU2161">
        <v>2024</v>
      </c>
      <c r="AV2161">
        <v>41</v>
      </c>
      <c r="AW2161">
        <v>5</v>
      </c>
      <c r="AX2161" t="s">
        <v>74</v>
      </c>
      <c r="AY2161" t="s">
        <v>74</v>
      </c>
      <c r="AZ2161" t="s">
        <v>74</v>
      </c>
      <c r="BA2161" t="s">
        <v>74</v>
      </c>
      <c r="BB2161">
        <v>1115</v>
      </c>
      <c r="BC2161">
        <v>1132</v>
      </c>
      <c r="BD2161" t="s">
        <v>74</v>
      </c>
      <c r="BE2161" t="s">
        <v>36949</v>
      </c>
      <c r="BF2161" t="str">
        <f>HYPERLINK("http://dx.doi.org/10.1002/mar.21969","http://dx.doi.org/10.1002/mar.21969")</f>
        <v>http://dx.doi.org/10.1002/mar.21969</v>
      </c>
      <c r="BG2161" t="s">
        <v>74</v>
      </c>
      <c r="BH2161" t="s">
        <v>1377</v>
      </c>
      <c r="BI2161">
        <v>18</v>
      </c>
      <c r="BJ2161" t="s">
        <v>17570</v>
      </c>
      <c r="BK2161" t="s">
        <v>99</v>
      </c>
      <c r="BL2161" t="s">
        <v>5507</v>
      </c>
      <c r="BM2161" t="s">
        <v>36950</v>
      </c>
      <c r="BN2161" t="s">
        <v>74</v>
      </c>
      <c r="BO2161" t="s">
        <v>74</v>
      </c>
      <c r="BP2161" t="s">
        <v>74</v>
      </c>
      <c r="BQ2161" t="s">
        <v>74</v>
      </c>
      <c r="BR2161" t="s">
        <v>102</v>
      </c>
      <c r="BS2161" t="s">
        <v>36951</v>
      </c>
      <c r="BT2161" t="str">
        <f>HYPERLINK("https%3A%2F%2Fwww.webofscience.com%2Fwos%2Fwoscc%2Ffull-record%2FWOS:001153291900001","View Full Record in Web of Science")</f>
        <v>View Full Record in Web of Science</v>
      </c>
    </row>
    <row r="2162" spans="1:72" x14ac:dyDescent="0.35">
      <c r="A2162" t="s">
        <v>128</v>
      </c>
      <c r="B2162" t="s">
        <v>36952</v>
      </c>
      <c r="C2162" t="s">
        <v>74</v>
      </c>
      <c r="D2162" t="s">
        <v>74</v>
      </c>
      <c r="E2162" t="s">
        <v>1990</v>
      </c>
      <c r="F2162" t="s">
        <v>36953</v>
      </c>
      <c r="G2162" t="s">
        <v>74</v>
      </c>
      <c r="H2162" t="s">
        <v>74</v>
      </c>
      <c r="I2162" t="s">
        <v>36954</v>
      </c>
      <c r="J2162" t="s">
        <v>36955</v>
      </c>
      <c r="K2162" t="s">
        <v>74</v>
      </c>
      <c r="L2162" t="s">
        <v>74</v>
      </c>
      <c r="M2162" t="s">
        <v>78</v>
      </c>
      <c r="N2162" t="s">
        <v>135</v>
      </c>
      <c r="O2162" t="s">
        <v>36956</v>
      </c>
      <c r="P2162" t="s">
        <v>36957</v>
      </c>
      <c r="Q2162" t="s">
        <v>138</v>
      </c>
      <c r="R2162" t="s">
        <v>36958</v>
      </c>
      <c r="S2162" t="s">
        <v>74</v>
      </c>
      <c r="T2162" t="s">
        <v>36959</v>
      </c>
      <c r="U2162" t="s">
        <v>36960</v>
      </c>
      <c r="V2162" t="s">
        <v>36961</v>
      </c>
      <c r="W2162" t="s">
        <v>36962</v>
      </c>
      <c r="X2162" t="s">
        <v>36963</v>
      </c>
      <c r="Y2162" t="s">
        <v>36964</v>
      </c>
      <c r="Z2162" t="s">
        <v>36965</v>
      </c>
      <c r="AA2162" t="s">
        <v>74</v>
      </c>
      <c r="AB2162" t="s">
        <v>74</v>
      </c>
      <c r="AC2162" t="s">
        <v>74</v>
      </c>
      <c r="AD2162" t="s">
        <v>74</v>
      </c>
      <c r="AE2162" t="s">
        <v>74</v>
      </c>
      <c r="AF2162" t="s">
        <v>74</v>
      </c>
      <c r="AG2162">
        <v>57</v>
      </c>
      <c r="AH2162">
        <v>28</v>
      </c>
      <c r="AI2162">
        <v>28</v>
      </c>
      <c r="AJ2162">
        <v>1</v>
      </c>
      <c r="AK2162">
        <v>3</v>
      </c>
      <c r="AL2162" t="s">
        <v>718</v>
      </c>
      <c r="AM2162" t="s">
        <v>666</v>
      </c>
      <c r="AN2162" t="s">
        <v>719</v>
      </c>
      <c r="AO2162" t="s">
        <v>74</v>
      </c>
      <c r="AP2162" t="s">
        <v>74</v>
      </c>
      <c r="AQ2162" t="s">
        <v>36966</v>
      </c>
      <c r="AR2162" t="s">
        <v>74</v>
      </c>
      <c r="AS2162" t="s">
        <v>74</v>
      </c>
      <c r="AT2162" t="s">
        <v>74</v>
      </c>
      <c r="AU2162">
        <v>2021</v>
      </c>
      <c r="AV2162" t="s">
        <v>74</v>
      </c>
      <c r="AW2162" t="s">
        <v>74</v>
      </c>
      <c r="AX2162" t="s">
        <v>74</v>
      </c>
      <c r="AY2162" t="s">
        <v>74</v>
      </c>
      <c r="AZ2162" t="s">
        <v>74</v>
      </c>
      <c r="BA2162" t="s">
        <v>74</v>
      </c>
      <c r="BB2162" t="s">
        <v>74</v>
      </c>
      <c r="BC2162" t="s">
        <v>74</v>
      </c>
      <c r="BD2162">
        <v>2</v>
      </c>
      <c r="BE2162" t="s">
        <v>36967</v>
      </c>
      <c r="BF2162" t="str">
        <f>HYPERLINK("http://dx.doi.org/10.1145/3488042.3488053","http://dx.doi.org/10.1145/3488042.3488053")</f>
        <v>http://dx.doi.org/10.1145/3488042.3488053</v>
      </c>
      <c r="BG2162" t="s">
        <v>74</v>
      </c>
      <c r="BH2162" t="s">
        <v>74</v>
      </c>
      <c r="BI2162">
        <v>8</v>
      </c>
      <c r="BJ2162" t="s">
        <v>2861</v>
      </c>
      <c r="BK2162" t="s">
        <v>723</v>
      </c>
      <c r="BL2162" t="s">
        <v>787</v>
      </c>
      <c r="BM2162" t="s">
        <v>36968</v>
      </c>
      <c r="BN2162" t="s">
        <v>74</v>
      </c>
      <c r="BO2162" t="s">
        <v>74</v>
      </c>
      <c r="BP2162" t="s">
        <v>74</v>
      </c>
      <c r="BQ2162" t="s">
        <v>74</v>
      </c>
      <c r="BR2162" t="s">
        <v>102</v>
      </c>
      <c r="BS2162" t="s">
        <v>36969</v>
      </c>
      <c r="BT2162" t="str">
        <f>HYPERLINK("https%3A%2F%2Fwww.webofscience.com%2Fwos%2Fwoscc%2Ffull-record%2FWOS:001119104600011","View Full Record in Web of Science")</f>
        <v>View Full Record in Web of Science</v>
      </c>
    </row>
    <row r="2163" spans="1:72" x14ac:dyDescent="0.35">
      <c r="A2163" t="s">
        <v>128</v>
      </c>
      <c r="B2163" t="s">
        <v>36970</v>
      </c>
      <c r="C2163" t="s">
        <v>74</v>
      </c>
      <c r="D2163" t="s">
        <v>36971</v>
      </c>
      <c r="E2163" t="s">
        <v>74</v>
      </c>
      <c r="F2163" t="s">
        <v>36972</v>
      </c>
      <c r="G2163" t="s">
        <v>74</v>
      </c>
      <c r="H2163" t="s">
        <v>74</v>
      </c>
      <c r="I2163" t="s">
        <v>36973</v>
      </c>
      <c r="J2163" t="s">
        <v>36974</v>
      </c>
      <c r="K2163" t="s">
        <v>8364</v>
      </c>
      <c r="L2163" t="s">
        <v>74</v>
      </c>
      <c r="M2163" t="s">
        <v>78</v>
      </c>
      <c r="N2163" t="s">
        <v>135</v>
      </c>
      <c r="O2163" t="s">
        <v>36975</v>
      </c>
      <c r="P2163" t="s">
        <v>21902</v>
      </c>
      <c r="Q2163" t="s">
        <v>138</v>
      </c>
      <c r="R2163" t="s">
        <v>74</v>
      </c>
      <c r="S2163" t="s">
        <v>74</v>
      </c>
      <c r="T2163" t="s">
        <v>36976</v>
      </c>
      <c r="U2163" t="s">
        <v>36977</v>
      </c>
      <c r="V2163" t="s">
        <v>36978</v>
      </c>
      <c r="W2163" t="s">
        <v>36979</v>
      </c>
      <c r="X2163" t="s">
        <v>19680</v>
      </c>
      <c r="Y2163" t="s">
        <v>36980</v>
      </c>
      <c r="Z2163" t="s">
        <v>36981</v>
      </c>
      <c r="AA2163" t="s">
        <v>23222</v>
      </c>
      <c r="AB2163" t="s">
        <v>74</v>
      </c>
      <c r="AC2163" t="s">
        <v>36982</v>
      </c>
      <c r="AD2163" t="s">
        <v>36983</v>
      </c>
      <c r="AE2163" t="s">
        <v>36984</v>
      </c>
      <c r="AF2163" t="s">
        <v>74</v>
      </c>
      <c r="AG2163">
        <v>40</v>
      </c>
      <c r="AH2163">
        <v>3</v>
      </c>
      <c r="AI2163">
        <v>3</v>
      </c>
      <c r="AJ2163">
        <v>31</v>
      </c>
      <c r="AK2163">
        <v>107</v>
      </c>
      <c r="AL2163" t="s">
        <v>639</v>
      </c>
      <c r="AM2163" t="s">
        <v>640</v>
      </c>
      <c r="AN2163" t="s">
        <v>641</v>
      </c>
      <c r="AO2163" t="s">
        <v>8380</v>
      </c>
      <c r="AP2163" t="s">
        <v>8381</v>
      </c>
      <c r="AQ2163" t="s">
        <v>36985</v>
      </c>
      <c r="AR2163" t="s">
        <v>8383</v>
      </c>
      <c r="AS2163" t="s">
        <v>74</v>
      </c>
      <c r="AT2163" t="s">
        <v>74</v>
      </c>
      <c r="AU2163">
        <v>2022</v>
      </c>
      <c r="AV2163">
        <v>13337</v>
      </c>
      <c r="AW2163" t="s">
        <v>74</v>
      </c>
      <c r="AX2163" t="s">
        <v>74</v>
      </c>
      <c r="AY2163" t="s">
        <v>74</v>
      </c>
      <c r="AZ2163" t="s">
        <v>74</v>
      </c>
      <c r="BA2163" t="s">
        <v>74</v>
      </c>
      <c r="BB2163">
        <v>223</v>
      </c>
      <c r="BC2163">
        <v>234</v>
      </c>
      <c r="BD2163" t="s">
        <v>74</v>
      </c>
      <c r="BE2163" t="s">
        <v>36986</v>
      </c>
      <c r="BF2163" t="str">
        <f>HYPERLINK("http://dx.doi.org/10.1007/978-3-031-05014-5_18","http://dx.doi.org/10.1007/978-3-031-05014-5_18")</f>
        <v>http://dx.doi.org/10.1007/978-3-031-05014-5_18</v>
      </c>
      <c r="BG2163" t="s">
        <v>74</v>
      </c>
      <c r="BH2163" t="s">
        <v>74</v>
      </c>
      <c r="BI2163">
        <v>12</v>
      </c>
      <c r="BJ2163" t="s">
        <v>36987</v>
      </c>
      <c r="BK2163" t="s">
        <v>723</v>
      </c>
      <c r="BL2163" t="s">
        <v>1699</v>
      </c>
      <c r="BM2163" t="s">
        <v>36988</v>
      </c>
      <c r="BN2163" t="s">
        <v>74</v>
      </c>
      <c r="BO2163" t="s">
        <v>74</v>
      </c>
      <c r="BP2163" t="s">
        <v>74</v>
      </c>
      <c r="BQ2163" t="s">
        <v>74</v>
      </c>
      <c r="BR2163" t="s">
        <v>102</v>
      </c>
      <c r="BS2163" t="s">
        <v>36989</v>
      </c>
      <c r="BT2163" t="str">
        <f>HYPERLINK("https%3A%2F%2Fwww.webofscience.com%2Fwos%2Fwoscc%2Ffull-record%2FWOS:000873574900018","View Full Record in Web of Science")</f>
        <v>View Full Record in Web of Science</v>
      </c>
    </row>
    <row r="2164" spans="1:72" x14ac:dyDescent="0.35">
      <c r="A2164" t="s">
        <v>72</v>
      </c>
      <c r="B2164" t="s">
        <v>36990</v>
      </c>
      <c r="C2164" t="s">
        <v>74</v>
      </c>
      <c r="D2164" t="s">
        <v>74</v>
      </c>
      <c r="E2164" t="s">
        <v>74</v>
      </c>
      <c r="F2164" t="s">
        <v>36991</v>
      </c>
      <c r="G2164" t="s">
        <v>74</v>
      </c>
      <c r="H2164" t="s">
        <v>74</v>
      </c>
      <c r="I2164" t="s">
        <v>36992</v>
      </c>
      <c r="J2164" t="s">
        <v>14866</v>
      </c>
      <c r="K2164" t="s">
        <v>74</v>
      </c>
      <c r="L2164" t="s">
        <v>74</v>
      </c>
      <c r="M2164" t="s">
        <v>78</v>
      </c>
      <c r="N2164" t="s">
        <v>79</v>
      </c>
      <c r="O2164" t="s">
        <v>74</v>
      </c>
      <c r="P2164" t="s">
        <v>74</v>
      </c>
      <c r="Q2164" t="s">
        <v>74</v>
      </c>
      <c r="R2164" t="s">
        <v>74</v>
      </c>
      <c r="S2164" t="s">
        <v>74</v>
      </c>
      <c r="T2164" t="s">
        <v>36993</v>
      </c>
      <c r="U2164" t="s">
        <v>36994</v>
      </c>
      <c r="V2164" t="s">
        <v>36995</v>
      </c>
      <c r="W2164" t="s">
        <v>36996</v>
      </c>
      <c r="X2164" t="s">
        <v>36997</v>
      </c>
      <c r="Y2164" t="s">
        <v>36998</v>
      </c>
      <c r="Z2164" t="s">
        <v>36999</v>
      </c>
      <c r="AA2164" t="s">
        <v>74</v>
      </c>
      <c r="AB2164" t="s">
        <v>37000</v>
      </c>
      <c r="AC2164" t="s">
        <v>37001</v>
      </c>
      <c r="AD2164" t="s">
        <v>37002</v>
      </c>
      <c r="AE2164" t="s">
        <v>37003</v>
      </c>
      <c r="AF2164" t="s">
        <v>74</v>
      </c>
      <c r="AG2164">
        <v>30</v>
      </c>
      <c r="AH2164">
        <v>0</v>
      </c>
      <c r="AI2164">
        <v>0</v>
      </c>
      <c r="AJ2164">
        <v>0</v>
      </c>
      <c r="AK2164">
        <v>0</v>
      </c>
      <c r="AL2164" t="s">
        <v>171</v>
      </c>
      <c r="AM2164" t="s">
        <v>172</v>
      </c>
      <c r="AN2164" t="s">
        <v>173</v>
      </c>
      <c r="AO2164" t="s">
        <v>14874</v>
      </c>
      <c r="AP2164" t="s">
        <v>14875</v>
      </c>
      <c r="AQ2164" t="s">
        <v>74</v>
      </c>
      <c r="AR2164" t="s">
        <v>14876</v>
      </c>
      <c r="AS2164" t="s">
        <v>14877</v>
      </c>
      <c r="AT2164" t="s">
        <v>11735</v>
      </c>
      <c r="AU2164">
        <v>2024</v>
      </c>
      <c r="AV2164" t="s">
        <v>74</v>
      </c>
      <c r="AW2164" t="s">
        <v>74</v>
      </c>
      <c r="AX2164" t="s">
        <v>74</v>
      </c>
      <c r="AY2164" t="s">
        <v>74</v>
      </c>
      <c r="AZ2164" t="s">
        <v>74</v>
      </c>
      <c r="BA2164" t="s">
        <v>74</v>
      </c>
      <c r="BB2164" t="s">
        <v>74</v>
      </c>
      <c r="BC2164" t="s">
        <v>74</v>
      </c>
      <c r="BD2164" t="s">
        <v>74</v>
      </c>
      <c r="BE2164" t="s">
        <v>37004</v>
      </c>
      <c r="BF2164" t="str">
        <f>HYPERLINK("http://dx.doi.org/10.1177/15248399241291866","http://dx.doi.org/10.1177/15248399241291866")</f>
        <v>http://dx.doi.org/10.1177/15248399241291866</v>
      </c>
      <c r="BG2164" t="s">
        <v>74</v>
      </c>
      <c r="BH2164" t="s">
        <v>4092</v>
      </c>
      <c r="BI2164">
        <v>10</v>
      </c>
      <c r="BJ2164" t="s">
        <v>392</v>
      </c>
      <c r="BK2164" t="s">
        <v>125</v>
      </c>
      <c r="BL2164" t="s">
        <v>392</v>
      </c>
      <c r="BM2164" t="s">
        <v>37005</v>
      </c>
      <c r="BN2164">
        <v>39552596</v>
      </c>
      <c r="BO2164" t="s">
        <v>156</v>
      </c>
      <c r="BP2164" t="s">
        <v>74</v>
      </c>
      <c r="BQ2164" t="s">
        <v>74</v>
      </c>
      <c r="BR2164" t="s">
        <v>102</v>
      </c>
      <c r="BS2164" t="s">
        <v>37006</v>
      </c>
      <c r="BT2164" t="str">
        <f>HYPERLINK("https%3A%2F%2Fwww.webofscience.com%2Fwos%2Fwoscc%2Ffull-record%2FWOS:001356686100001","View Full Record in Web of Science")</f>
        <v>View Full Record in Web of Science</v>
      </c>
    </row>
    <row r="2165" spans="1:72" x14ac:dyDescent="0.35">
      <c r="A2165" t="s">
        <v>72</v>
      </c>
      <c r="B2165" t="s">
        <v>37007</v>
      </c>
      <c r="C2165" t="s">
        <v>74</v>
      </c>
      <c r="D2165" t="s">
        <v>74</v>
      </c>
      <c r="E2165" t="s">
        <v>74</v>
      </c>
      <c r="F2165" t="s">
        <v>37008</v>
      </c>
      <c r="G2165" t="s">
        <v>74</v>
      </c>
      <c r="H2165" t="s">
        <v>74</v>
      </c>
      <c r="I2165" t="s">
        <v>37009</v>
      </c>
      <c r="J2165" t="s">
        <v>22804</v>
      </c>
      <c r="K2165" t="s">
        <v>74</v>
      </c>
      <c r="L2165" t="s">
        <v>74</v>
      </c>
      <c r="M2165" t="s">
        <v>78</v>
      </c>
      <c r="N2165" t="s">
        <v>108</v>
      </c>
      <c r="O2165" t="s">
        <v>74</v>
      </c>
      <c r="P2165" t="s">
        <v>74</v>
      </c>
      <c r="Q2165" t="s">
        <v>74</v>
      </c>
      <c r="R2165" t="s">
        <v>74</v>
      </c>
      <c r="S2165" t="s">
        <v>74</v>
      </c>
      <c r="T2165" t="s">
        <v>37010</v>
      </c>
      <c r="U2165" t="s">
        <v>37011</v>
      </c>
      <c r="V2165" t="s">
        <v>37012</v>
      </c>
      <c r="W2165" t="s">
        <v>37013</v>
      </c>
      <c r="X2165" t="s">
        <v>37014</v>
      </c>
      <c r="Y2165" t="s">
        <v>37015</v>
      </c>
      <c r="Z2165" t="s">
        <v>37016</v>
      </c>
      <c r="AA2165" t="s">
        <v>37017</v>
      </c>
      <c r="AB2165" t="s">
        <v>27479</v>
      </c>
      <c r="AC2165" t="s">
        <v>37018</v>
      </c>
      <c r="AD2165" t="s">
        <v>27475</v>
      </c>
      <c r="AE2165" t="s">
        <v>37019</v>
      </c>
      <c r="AF2165" t="s">
        <v>74</v>
      </c>
      <c r="AG2165">
        <v>81</v>
      </c>
      <c r="AH2165">
        <v>4</v>
      </c>
      <c r="AI2165">
        <v>4</v>
      </c>
      <c r="AJ2165">
        <v>66</v>
      </c>
      <c r="AK2165">
        <v>66</v>
      </c>
      <c r="AL2165" t="s">
        <v>3632</v>
      </c>
      <c r="AM2165" t="s">
        <v>148</v>
      </c>
      <c r="AN2165" t="s">
        <v>5053</v>
      </c>
      <c r="AO2165" t="s">
        <v>22817</v>
      </c>
      <c r="AP2165" t="s">
        <v>22818</v>
      </c>
      <c r="AQ2165" t="s">
        <v>74</v>
      </c>
      <c r="AR2165" t="s">
        <v>22819</v>
      </c>
      <c r="AS2165" t="s">
        <v>22820</v>
      </c>
      <c r="AT2165" t="s">
        <v>257</v>
      </c>
      <c r="AU2165">
        <v>2024</v>
      </c>
      <c r="AV2165">
        <v>77</v>
      </c>
      <c r="AW2165" t="s">
        <v>74</v>
      </c>
      <c r="AX2165" t="s">
        <v>74</v>
      </c>
      <c r="AY2165" t="s">
        <v>74</v>
      </c>
      <c r="AZ2165" t="s">
        <v>74</v>
      </c>
      <c r="BA2165" t="s">
        <v>74</v>
      </c>
      <c r="BB2165" t="s">
        <v>74</v>
      </c>
      <c r="BC2165" t="s">
        <v>74</v>
      </c>
      <c r="BD2165">
        <v>102548</v>
      </c>
      <c r="BE2165" t="s">
        <v>37020</v>
      </c>
      <c r="BF2165" t="str">
        <f>HYPERLINK("http://dx.doi.org/10.1016/j.techsoc.2024.102548","http://dx.doi.org/10.1016/j.techsoc.2024.102548")</f>
        <v>http://dx.doi.org/10.1016/j.techsoc.2024.102548</v>
      </c>
      <c r="BG2165" t="s">
        <v>74</v>
      </c>
      <c r="BH2165" t="s">
        <v>2410</v>
      </c>
      <c r="BI2165">
        <v>8</v>
      </c>
      <c r="BJ2165" t="s">
        <v>22822</v>
      </c>
      <c r="BK2165" t="s">
        <v>99</v>
      </c>
      <c r="BL2165" t="s">
        <v>22823</v>
      </c>
      <c r="BM2165" t="s">
        <v>37021</v>
      </c>
      <c r="BN2165" t="s">
        <v>74</v>
      </c>
      <c r="BO2165" t="s">
        <v>74</v>
      </c>
      <c r="BP2165" t="s">
        <v>74</v>
      </c>
      <c r="BQ2165" t="s">
        <v>74</v>
      </c>
      <c r="BR2165" t="s">
        <v>102</v>
      </c>
      <c r="BS2165" t="s">
        <v>37022</v>
      </c>
      <c r="BT2165" t="str">
        <f>HYPERLINK("https%3A%2F%2Fwww.webofscience.com%2Fwos%2Fwoscc%2Ffull-record%2FWOS:001228446900002","View Full Record in Web of Science")</f>
        <v>View Full Record in Web of Science</v>
      </c>
    </row>
    <row r="2166" spans="1:72" x14ac:dyDescent="0.35">
      <c r="A2166" t="s">
        <v>72</v>
      </c>
      <c r="B2166" t="s">
        <v>37023</v>
      </c>
      <c r="C2166" t="s">
        <v>74</v>
      </c>
      <c r="D2166" t="s">
        <v>74</v>
      </c>
      <c r="E2166" t="s">
        <v>74</v>
      </c>
      <c r="F2166" t="s">
        <v>37024</v>
      </c>
      <c r="G2166" t="s">
        <v>74</v>
      </c>
      <c r="H2166" t="s">
        <v>74</v>
      </c>
      <c r="I2166" t="s">
        <v>37025</v>
      </c>
      <c r="J2166" t="s">
        <v>36603</v>
      </c>
      <c r="K2166" t="s">
        <v>74</v>
      </c>
      <c r="L2166" t="s">
        <v>74</v>
      </c>
      <c r="M2166" t="s">
        <v>78</v>
      </c>
      <c r="N2166" t="s">
        <v>108</v>
      </c>
      <c r="O2166" t="s">
        <v>74</v>
      </c>
      <c r="P2166" t="s">
        <v>74</v>
      </c>
      <c r="Q2166" t="s">
        <v>74</v>
      </c>
      <c r="R2166" t="s">
        <v>74</v>
      </c>
      <c r="S2166" t="s">
        <v>74</v>
      </c>
      <c r="T2166" t="s">
        <v>37026</v>
      </c>
      <c r="U2166" t="s">
        <v>74</v>
      </c>
      <c r="V2166" t="s">
        <v>37027</v>
      </c>
      <c r="W2166" t="s">
        <v>37028</v>
      </c>
      <c r="X2166" t="s">
        <v>37029</v>
      </c>
      <c r="Y2166" t="s">
        <v>37030</v>
      </c>
      <c r="Z2166" t="s">
        <v>37031</v>
      </c>
      <c r="AA2166" t="s">
        <v>37032</v>
      </c>
      <c r="AB2166" t="s">
        <v>37033</v>
      </c>
      <c r="AC2166" t="s">
        <v>74</v>
      </c>
      <c r="AD2166" t="s">
        <v>74</v>
      </c>
      <c r="AE2166" t="s">
        <v>74</v>
      </c>
      <c r="AF2166" t="s">
        <v>74</v>
      </c>
      <c r="AG2166">
        <v>10</v>
      </c>
      <c r="AH2166">
        <v>7</v>
      </c>
      <c r="AI2166">
        <v>7</v>
      </c>
      <c r="AJ2166">
        <v>0</v>
      </c>
      <c r="AK2166">
        <v>4</v>
      </c>
      <c r="AL2166" t="s">
        <v>1965</v>
      </c>
      <c r="AM2166" t="s">
        <v>666</v>
      </c>
      <c r="AN2166" t="s">
        <v>1966</v>
      </c>
      <c r="AO2166" t="s">
        <v>36613</v>
      </c>
      <c r="AP2166" t="s">
        <v>36614</v>
      </c>
      <c r="AQ2166" t="s">
        <v>74</v>
      </c>
      <c r="AR2166" t="s">
        <v>36615</v>
      </c>
      <c r="AS2166" t="s">
        <v>36616</v>
      </c>
      <c r="AT2166" t="s">
        <v>523</v>
      </c>
      <c r="AU2166">
        <v>2022</v>
      </c>
      <c r="AV2166">
        <v>167</v>
      </c>
      <c r="AW2166" t="s">
        <v>74</v>
      </c>
      <c r="AX2166" t="s">
        <v>74</v>
      </c>
      <c r="AY2166" t="s">
        <v>74</v>
      </c>
      <c r="AZ2166" t="s">
        <v>74</v>
      </c>
      <c r="BA2166" t="s">
        <v>74</v>
      </c>
      <c r="BB2166" t="s">
        <v>37034</v>
      </c>
      <c r="BC2166" t="s">
        <v>37035</v>
      </c>
      <c r="BD2166" t="s">
        <v>74</v>
      </c>
      <c r="BE2166" t="s">
        <v>37036</v>
      </c>
      <c r="BF2166" t="str">
        <f>HYPERLINK("http://dx.doi.org/10.1016/j.wneu.2022.07.146","http://dx.doi.org/10.1016/j.wneu.2022.07.146")</f>
        <v>http://dx.doi.org/10.1016/j.wneu.2022.07.146</v>
      </c>
      <c r="BG2166" t="s">
        <v>74</v>
      </c>
      <c r="BH2166" t="s">
        <v>2034</v>
      </c>
      <c r="BI2166">
        <v>21</v>
      </c>
      <c r="BJ2166" t="s">
        <v>12882</v>
      </c>
      <c r="BK2166" t="s">
        <v>209</v>
      </c>
      <c r="BL2166" t="s">
        <v>12883</v>
      </c>
      <c r="BM2166" t="s">
        <v>37037</v>
      </c>
      <c r="BN2166">
        <v>36028103</v>
      </c>
      <c r="BO2166" t="s">
        <v>2194</v>
      </c>
      <c r="BP2166" t="s">
        <v>74</v>
      </c>
      <c r="BQ2166" t="s">
        <v>74</v>
      </c>
      <c r="BR2166" t="s">
        <v>102</v>
      </c>
      <c r="BS2166" t="s">
        <v>37038</v>
      </c>
      <c r="BT2166" t="str">
        <f>HYPERLINK("https%3A%2F%2Fwww.webofscience.com%2Fwos%2Fwoscc%2Ffull-record%2FWOS:000886037000009","View Full Record in Web of Science")</f>
        <v>View Full Record in Web of Science</v>
      </c>
    </row>
    <row r="2167" spans="1:72" x14ac:dyDescent="0.35">
      <c r="A2167" t="s">
        <v>72</v>
      </c>
      <c r="B2167" t="s">
        <v>37039</v>
      </c>
      <c r="C2167" t="s">
        <v>74</v>
      </c>
      <c r="D2167" t="s">
        <v>74</v>
      </c>
      <c r="E2167" t="s">
        <v>74</v>
      </c>
      <c r="F2167" t="s">
        <v>37040</v>
      </c>
      <c r="G2167" t="s">
        <v>74</v>
      </c>
      <c r="H2167" t="s">
        <v>74</v>
      </c>
      <c r="I2167" t="s">
        <v>37041</v>
      </c>
      <c r="J2167" t="s">
        <v>189</v>
      </c>
      <c r="K2167" t="s">
        <v>74</v>
      </c>
      <c r="L2167" t="s">
        <v>74</v>
      </c>
      <c r="M2167" t="s">
        <v>78</v>
      </c>
      <c r="N2167" t="s">
        <v>108</v>
      </c>
      <c r="O2167" t="s">
        <v>74</v>
      </c>
      <c r="P2167" t="s">
        <v>74</v>
      </c>
      <c r="Q2167" t="s">
        <v>74</v>
      </c>
      <c r="R2167" t="s">
        <v>74</v>
      </c>
      <c r="S2167" t="s">
        <v>74</v>
      </c>
      <c r="T2167" t="s">
        <v>37042</v>
      </c>
      <c r="U2167" t="s">
        <v>74</v>
      </c>
      <c r="V2167" t="s">
        <v>37043</v>
      </c>
      <c r="W2167" t="s">
        <v>37044</v>
      </c>
      <c r="X2167" t="s">
        <v>37045</v>
      </c>
      <c r="Y2167" t="s">
        <v>37046</v>
      </c>
      <c r="Z2167" t="s">
        <v>37047</v>
      </c>
      <c r="AA2167" t="s">
        <v>74</v>
      </c>
      <c r="AB2167" t="s">
        <v>74</v>
      </c>
      <c r="AC2167" t="s">
        <v>74</v>
      </c>
      <c r="AD2167" t="s">
        <v>74</v>
      </c>
      <c r="AE2167" t="s">
        <v>74</v>
      </c>
      <c r="AF2167" t="s">
        <v>74</v>
      </c>
      <c r="AG2167">
        <v>54</v>
      </c>
      <c r="AH2167">
        <v>3</v>
      </c>
      <c r="AI2167">
        <v>3</v>
      </c>
      <c r="AJ2167">
        <v>0</v>
      </c>
      <c r="AK2167">
        <v>0</v>
      </c>
      <c r="AL2167" t="s">
        <v>199</v>
      </c>
      <c r="AM2167" t="s">
        <v>200</v>
      </c>
      <c r="AN2167" t="s">
        <v>201</v>
      </c>
      <c r="AO2167" t="s">
        <v>202</v>
      </c>
      <c r="AP2167" t="s">
        <v>203</v>
      </c>
      <c r="AQ2167" t="s">
        <v>74</v>
      </c>
      <c r="AR2167" t="s">
        <v>189</v>
      </c>
      <c r="AS2167" t="s">
        <v>204</v>
      </c>
      <c r="AT2167" t="s">
        <v>37048</v>
      </c>
      <c r="AU2167">
        <v>2022</v>
      </c>
      <c r="AV2167">
        <v>51</v>
      </c>
      <c r="AW2167">
        <v>5</v>
      </c>
      <c r="AX2167" t="s">
        <v>74</v>
      </c>
      <c r="AY2167" t="s">
        <v>74</v>
      </c>
      <c r="AZ2167" t="s">
        <v>456</v>
      </c>
      <c r="BA2167" t="s">
        <v>74</v>
      </c>
      <c r="BB2167">
        <v>1814</v>
      </c>
      <c r="BC2167">
        <v>1832</v>
      </c>
      <c r="BD2167" t="s">
        <v>74</v>
      </c>
      <c r="BE2167" t="s">
        <v>37049</v>
      </c>
      <c r="BF2167" t="str">
        <f>HYPERLINK("http://dx.doi.org/10.1108/K-11-2020-0797","http://dx.doi.org/10.1108/K-11-2020-0797")</f>
        <v>http://dx.doi.org/10.1108/K-11-2020-0797</v>
      </c>
      <c r="BG2167" t="s">
        <v>74</v>
      </c>
      <c r="BH2167" t="s">
        <v>1827</v>
      </c>
      <c r="BI2167">
        <v>19</v>
      </c>
      <c r="BJ2167" t="s">
        <v>208</v>
      </c>
      <c r="BK2167" t="s">
        <v>209</v>
      </c>
      <c r="BL2167" t="s">
        <v>210</v>
      </c>
      <c r="BM2167" t="s">
        <v>37050</v>
      </c>
      <c r="BN2167" t="s">
        <v>74</v>
      </c>
      <c r="BO2167" t="s">
        <v>74</v>
      </c>
      <c r="BP2167" t="s">
        <v>74</v>
      </c>
      <c r="BQ2167" t="s">
        <v>74</v>
      </c>
      <c r="BR2167" t="s">
        <v>102</v>
      </c>
      <c r="BS2167" t="s">
        <v>37051</v>
      </c>
      <c r="BT2167" t="str">
        <f>HYPERLINK("https%3A%2F%2Fwww.webofscience.com%2Fwos%2Fwoscc%2Ffull-record%2FWOS:000653174800001","View Full Record in Web of Science")</f>
        <v>View Full Record in Web of Science</v>
      </c>
    </row>
    <row r="2168" spans="1:72" x14ac:dyDescent="0.35">
      <c r="A2168" t="s">
        <v>72</v>
      </c>
      <c r="B2168" t="s">
        <v>37052</v>
      </c>
      <c r="C2168" t="s">
        <v>74</v>
      </c>
      <c r="D2168" t="s">
        <v>74</v>
      </c>
      <c r="E2168" t="s">
        <v>74</v>
      </c>
      <c r="F2168" t="s">
        <v>37053</v>
      </c>
      <c r="G2168" t="s">
        <v>74</v>
      </c>
      <c r="H2168" t="s">
        <v>74</v>
      </c>
      <c r="I2168" t="s">
        <v>37054</v>
      </c>
      <c r="J2168" t="s">
        <v>15340</v>
      </c>
      <c r="K2168" t="s">
        <v>74</v>
      </c>
      <c r="L2168" t="s">
        <v>74</v>
      </c>
      <c r="M2168" t="s">
        <v>78</v>
      </c>
      <c r="N2168" t="s">
        <v>108</v>
      </c>
      <c r="O2168" t="s">
        <v>74</v>
      </c>
      <c r="P2168" t="s">
        <v>74</v>
      </c>
      <c r="Q2168" t="s">
        <v>74</v>
      </c>
      <c r="R2168" t="s">
        <v>74</v>
      </c>
      <c r="S2168" t="s">
        <v>74</v>
      </c>
      <c r="T2168" t="s">
        <v>37055</v>
      </c>
      <c r="U2168" t="s">
        <v>74</v>
      </c>
      <c r="V2168" t="s">
        <v>37056</v>
      </c>
      <c r="W2168" t="s">
        <v>37057</v>
      </c>
      <c r="X2168" t="s">
        <v>33951</v>
      </c>
      <c r="Y2168" t="s">
        <v>37058</v>
      </c>
      <c r="Z2168" t="s">
        <v>37059</v>
      </c>
      <c r="AA2168" t="s">
        <v>74</v>
      </c>
      <c r="AB2168" t="s">
        <v>36782</v>
      </c>
      <c r="AC2168" t="s">
        <v>37060</v>
      </c>
      <c r="AD2168" t="s">
        <v>37061</v>
      </c>
      <c r="AE2168" t="s">
        <v>37062</v>
      </c>
      <c r="AF2168" t="s">
        <v>74</v>
      </c>
      <c r="AG2168">
        <v>39</v>
      </c>
      <c r="AH2168">
        <v>4</v>
      </c>
      <c r="AI2168">
        <v>4</v>
      </c>
      <c r="AJ2168">
        <v>13</v>
      </c>
      <c r="AK2168">
        <v>20</v>
      </c>
      <c r="AL2168" t="s">
        <v>1061</v>
      </c>
      <c r="AM2168" t="s">
        <v>1062</v>
      </c>
      <c r="AN2168" t="s">
        <v>1063</v>
      </c>
      <c r="AO2168" t="s">
        <v>15352</v>
      </c>
      <c r="AP2168" t="s">
        <v>15353</v>
      </c>
      <c r="AQ2168" t="s">
        <v>74</v>
      </c>
      <c r="AR2168" t="s">
        <v>15354</v>
      </c>
      <c r="AS2168" t="s">
        <v>15355</v>
      </c>
      <c r="AT2168" t="s">
        <v>22224</v>
      </c>
      <c r="AU2168">
        <v>2024</v>
      </c>
      <c r="AV2168">
        <v>27</v>
      </c>
      <c r="AW2168">
        <v>1</v>
      </c>
      <c r="AX2168" t="s">
        <v>74</v>
      </c>
      <c r="AY2168" t="s">
        <v>74</v>
      </c>
      <c r="AZ2168" t="s">
        <v>74</v>
      </c>
      <c r="BA2168" t="s">
        <v>74</v>
      </c>
      <c r="BB2168" t="s">
        <v>74</v>
      </c>
      <c r="BC2168" t="s">
        <v>74</v>
      </c>
      <c r="BD2168" t="s">
        <v>37063</v>
      </c>
      <c r="BE2168" t="s">
        <v>37064</v>
      </c>
      <c r="BF2168" t="str">
        <f>HYPERLINK("http://dx.doi.org/10.1017/S1368980024000235","http://dx.doi.org/10.1017/S1368980024000235")</f>
        <v>http://dx.doi.org/10.1017/S1368980024000235</v>
      </c>
      <c r="BG2168" t="s">
        <v>74</v>
      </c>
      <c r="BH2168" t="s">
        <v>74</v>
      </c>
      <c r="BI2168">
        <v>9</v>
      </c>
      <c r="BJ2168" t="s">
        <v>15359</v>
      </c>
      <c r="BK2168" t="s">
        <v>209</v>
      </c>
      <c r="BL2168" t="s">
        <v>15359</v>
      </c>
      <c r="BM2168" t="s">
        <v>37065</v>
      </c>
      <c r="BN2168">
        <v>38269541</v>
      </c>
      <c r="BO2168" t="s">
        <v>552</v>
      </c>
      <c r="BP2168" t="s">
        <v>74</v>
      </c>
      <c r="BQ2168" t="s">
        <v>74</v>
      </c>
      <c r="BR2168" t="s">
        <v>102</v>
      </c>
      <c r="BS2168" t="s">
        <v>37066</v>
      </c>
      <c r="BT2168" t="str">
        <f>HYPERLINK("https%3A%2F%2Fwww.webofscience.com%2Fwos%2Fwoscc%2Ffull-record%2FWOS:001160244700001","View Full Record in Web of Science")</f>
        <v>View Full Record in Web of Science</v>
      </c>
    </row>
    <row r="2169" spans="1:72" x14ac:dyDescent="0.35">
      <c r="A2169" t="s">
        <v>72</v>
      </c>
      <c r="B2169" t="s">
        <v>37067</v>
      </c>
      <c r="C2169" t="s">
        <v>74</v>
      </c>
      <c r="D2169" t="s">
        <v>74</v>
      </c>
      <c r="E2169" t="s">
        <v>74</v>
      </c>
      <c r="F2169" t="s">
        <v>37068</v>
      </c>
      <c r="G2169" t="s">
        <v>74</v>
      </c>
      <c r="H2169" t="s">
        <v>74</v>
      </c>
      <c r="I2169" t="s">
        <v>37069</v>
      </c>
      <c r="J2169" t="s">
        <v>1246</v>
      </c>
      <c r="K2169" t="s">
        <v>74</v>
      </c>
      <c r="L2169" t="s">
        <v>74</v>
      </c>
      <c r="M2169" t="s">
        <v>78</v>
      </c>
      <c r="N2169" t="s">
        <v>108</v>
      </c>
      <c r="O2169" t="s">
        <v>74</v>
      </c>
      <c r="P2169" t="s">
        <v>74</v>
      </c>
      <c r="Q2169" t="s">
        <v>74</v>
      </c>
      <c r="R2169" t="s">
        <v>74</v>
      </c>
      <c r="S2169" t="s">
        <v>74</v>
      </c>
      <c r="T2169" t="s">
        <v>37070</v>
      </c>
      <c r="U2169" t="s">
        <v>37071</v>
      </c>
      <c r="V2169" t="s">
        <v>37072</v>
      </c>
      <c r="W2169" t="s">
        <v>37073</v>
      </c>
      <c r="X2169" t="s">
        <v>37074</v>
      </c>
      <c r="Y2169" t="s">
        <v>37075</v>
      </c>
      <c r="Z2169" t="s">
        <v>37076</v>
      </c>
      <c r="AA2169" t="s">
        <v>37077</v>
      </c>
      <c r="AB2169" t="s">
        <v>74</v>
      </c>
      <c r="AC2169" t="s">
        <v>37078</v>
      </c>
      <c r="AD2169" t="s">
        <v>37079</v>
      </c>
      <c r="AE2169" t="s">
        <v>37080</v>
      </c>
      <c r="AF2169" t="s">
        <v>74</v>
      </c>
      <c r="AG2169">
        <v>53</v>
      </c>
      <c r="AH2169">
        <v>4</v>
      </c>
      <c r="AI2169">
        <v>4</v>
      </c>
      <c r="AJ2169">
        <v>23</v>
      </c>
      <c r="AK2169">
        <v>75</v>
      </c>
      <c r="AL2169" t="s">
        <v>994</v>
      </c>
      <c r="AM2169" t="s">
        <v>995</v>
      </c>
      <c r="AN2169" t="s">
        <v>996</v>
      </c>
      <c r="AO2169" t="s">
        <v>1256</v>
      </c>
      <c r="AP2169" t="s">
        <v>1257</v>
      </c>
      <c r="AQ2169" t="s">
        <v>74</v>
      </c>
      <c r="AR2169" t="s">
        <v>1258</v>
      </c>
      <c r="AS2169" t="s">
        <v>1259</v>
      </c>
      <c r="AT2169" t="s">
        <v>15398</v>
      </c>
      <c r="AU2169">
        <v>2024</v>
      </c>
      <c r="AV2169">
        <v>40</v>
      </c>
      <c r="AW2169">
        <v>14</v>
      </c>
      <c r="AX2169" t="s">
        <v>74</v>
      </c>
      <c r="AY2169" t="s">
        <v>74</v>
      </c>
      <c r="AZ2169" t="s">
        <v>74</v>
      </c>
      <c r="BA2169" t="s">
        <v>74</v>
      </c>
      <c r="BB2169">
        <v>3827</v>
      </c>
      <c r="BC2169">
        <v>3840</v>
      </c>
      <c r="BD2169" t="s">
        <v>74</v>
      </c>
      <c r="BE2169" t="s">
        <v>37081</v>
      </c>
      <c r="BF2169" t="str">
        <f>HYPERLINK("http://dx.doi.org/10.1080/10447318.2023.2201556","http://dx.doi.org/10.1080/10447318.2023.2201556")</f>
        <v>http://dx.doi.org/10.1080/10447318.2023.2201556</v>
      </c>
      <c r="BG2169" t="s">
        <v>74</v>
      </c>
      <c r="BH2169" t="s">
        <v>299</v>
      </c>
      <c r="BI2169">
        <v>14</v>
      </c>
      <c r="BJ2169" t="s">
        <v>1137</v>
      </c>
      <c r="BK2169" t="s">
        <v>182</v>
      </c>
      <c r="BL2169" t="s">
        <v>1113</v>
      </c>
      <c r="BM2169" t="s">
        <v>37082</v>
      </c>
      <c r="BN2169" t="s">
        <v>74</v>
      </c>
      <c r="BO2169" t="s">
        <v>74</v>
      </c>
      <c r="BP2169" t="s">
        <v>74</v>
      </c>
      <c r="BQ2169" t="s">
        <v>74</v>
      </c>
      <c r="BR2169" t="s">
        <v>102</v>
      </c>
      <c r="BS2169" t="s">
        <v>37083</v>
      </c>
      <c r="BT2169" t="str">
        <f>HYPERLINK("https%3A%2F%2Fwww.webofscience.com%2Fwos%2Fwoscc%2Ffull-record%2FWOS:000972819000001","View Full Record in Web of Science")</f>
        <v>View Full Record in Web of Science</v>
      </c>
    </row>
    <row r="2170" spans="1:72" x14ac:dyDescent="0.35">
      <c r="A2170" t="s">
        <v>72</v>
      </c>
      <c r="B2170" t="s">
        <v>37084</v>
      </c>
      <c r="C2170" t="s">
        <v>74</v>
      </c>
      <c r="D2170" t="s">
        <v>74</v>
      </c>
      <c r="E2170" t="s">
        <v>74</v>
      </c>
      <c r="F2170" t="s">
        <v>37085</v>
      </c>
      <c r="G2170" t="s">
        <v>74</v>
      </c>
      <c r="H2170" t="s">
        <v>74</v>
      </c>
      <c r="I2170" t="s">
        <v>37086</v>
      </c>
      <c r="J2170" t="s">
        <v>16936</v>
      </c>
      <c r="K2170" t="s">
        <v>74</v>
      </c>
      <c r="L2170" t="s">
        <v>74</v>
      </c>
      <c r="M2170" t="s">
        <v>78</v>
      </c>
      <c r="N2170" t="s">
        <v>108</v>
      </c>
      <c r="O2170" t="s">
        <v>74</v>
      </c>
      <c r="P2170" t="s">
        <v>74</v>
      </c>
      <c r="Q2170" t="s">
        <v>74</v>
      </c>
      <c r="R2170" t="s">
        <v>74</v>
      </c>
      <c r="S2170" t="s">
        <v>74</v>
      </c>
      <c r="T2170" t="s">
        <v>37087</v>
      </c>
      <c r="U2170" t="s">
        <v>37088</v>
      </c>
      <c r="V2170" t="s">
        <v>37089</v>
      </c>
      <c r="W2170" t="s">
        <v>37090</v>
      </c>
      <c r="X2170" t="s">
        <v>37091</v>
      </c>
      <c r="Y2170" t="s">
        <v>37092</v>
      </c>
      <c r="Z2170" t="s">
        <v>36649</v>
      </c>
      <c r="AA2170" t="s">
        <v>74</v>
      </c>
      <c r="AB2170" t="s">
        <v>74</v>
      </c>
      <c r="AC2170" t="s">
        <v>74</v>
      </c>
      <c r="AD2170" t="s">
        <v>74</v>
      </c>
      <c r="AE2170" t="s">
        <v>74</v>
      </c>
      <c r="AF2170" t="s">
        <v>74</v>
      </c>
      <c r="AG2170">
        <v>37</v>
      </c>
      <c r="AH2170">
        <v>1</v>
      </c>
      <c r="AI2170">
        <v>1</v>
      </c>
      <c r="AJ2170">
        <v>1</v>
      </c>
      <c r="AK2170">
        <v>3</v>
      </c>
      <c r="AL2170" t="s">
        <v>1965</v>
      </c>
      <c r="AM2170" t="s">
        <v>666</v>
      </c>
      <c r="AN2170" t="s">
        <v>1966</v>
      </c>
      <c r="AO2170" t="s">
        <v>16945</v>
      </c>
      <c r="AP2170" t="s">
        <v>16946</v>
      </c>
      <c r="AQ2170" t="s">
        <v>74</v>
      </c>
      <c r="AR2170" t="s">
        <v>16947</v>
      </c>
      <c r="AS2170" t="s">
        <v>16948</v>
      </c>
      <c r="AT2170" t="s">
        <v>178</v>
      </c>
      <c r="AU2170">
        <v>2024</v>
      </c>
      <c r="AV2170">
        <v>37</v>
      </c>
      <c r="AW2170">
        <v>1</v>
      </c>
      <c r="AX2170" t="s">
        <v>74</v>
      </c>
      <c r="AY2170" t="s">
        <v>74</v>
      </c>
      <c r="AZ2170" t="s">
        <v>74</v>
      </c>
      <c r="BA2170" t="s">
        <v>74</v>
      </c>
      <c r="BB2170">
        <v>25</v>
      </c>
      <c r="BC2170">
        <v>32</v>
      </c>
      <c r="BD2170" t="s">
        <v>74</v>
      </c>
      <c r="BE2170" t="s">
        <v>37093</v>
      </c>
      <c r="BF2170" t="str">
        <f>HYPERLINK("http://dx.doi.org/10.1016/j.jpag.2023.10.005","http://dx.doi.org/10.1016/j.jpag.2023.10.005")</f>
        <v>http://dx.doi.org/10.1016/j.jpag.2023.10.005</v>
      </c>
      <c r="BG2170" t="s">
        <v>74</v>
      </c>
      <c r="BH2170" t="s">
        <v>1377</v>
      </c>
      <c r="BI2170">
        <v>8</v>
      </c>
      <c r="BJ2170" t="s">
        <v>16950</v>
      </c>
      <c r="BK2170" t="s">
        <v>209</v>
      </c>
      <c r="BL2170" t="s">
        <v>16950</v>
      </c>
      <c r="BM2170" t="s">
        <v>37094</v>
      </c>
      <c r="BN2170">
        <v>37935280</v>
      </c>
      <c r="BO2170" t="s">
        <v>74</v>
      </c>
      <c r="BP2170" t="s">
        <v>74</v>
      </c>
      <c r="BQ2170" t="s">
        <v>74</v>
      </c>
      <c r="BR2170" t="s">
        <v>102</v>
      </c>
      <c r="BS2170" t="s">
        <v>37095</v>
      </c>
      <c r="BT2170" t="str">
        <f>HYPERLINK("https%3A%2F%2Fwww.webofscience.com%2Fwos%2Fwoscc%2Ffull-record%2FWOS:001168185200001","View Full Record in Web of Science")</f>
        <v>View Full Record in Web of Science</v>
      </c>
    </row>
    <row r="2171" spans="1:72" x14ac:dyDescent="0.35">
      <c r="A2171" t="s">
        <v>128</v>
      </c>
      <c r="B2171" t="s">
        <v>37096</v>
      </c>
      <c r="C2171" t="s">
        <v>74</v>
      </c>
      <c r="D2171" t="s">
        <v>16292</v>
      </c>
      <c r="E2171" t="s">
        <v>74</v>
      </c>
      <c r="F2171" t="s">
        <v>37097</v>
      </c>
      <c r="G2171" t="s">
        <v>74</v>
      </c>
      <c r="H2171" t="s">
        <v>74</v>
      </c>
      <c r="I2171" t="s">
        <v>37098</v>
      </c>
      <c r="J2171" t="s">
        <v>21900</v>
      </c>
      <c r="K2171" t="s">
        <v>8364</v>
      </c>
      <c r="L2171" t="s">
        <v>74</v>
      </c>
      <c r="M2171" t="s">
        <v>78</v>
      </c>
      <c r="N2171" t="s">
        <v>135</v>
      </c>
      <c r="O2171" t="s">
        <v>21901</v>
      </c>
      <c r="P2171" t="s">
        <v>21902</v>
      </c>
      <c r="Q2171" t="s">
        <v>138</v>
      </c>
      <c r="R2171" t="s">
        <v>74</v>
      </c>
      <c r="S2171" t="s">
        <v>74</v>
      </c>
      <c r="T2171" t="s">
        <v>37099</v>
      </c>
      <c r="U2171" t="s">
        <v>74</v>
      </c>
      <c r="V2171" t="s">
        <v>37100</v>
      </c>
      <c r="W2171" t="s">
        <v>37101</v>
      </c>
      <c r="X2171" t="s">
        <v>34384</v>
      </c>
      <c r="Y2171" t="s">
        <v>37102</v>
      </c>
      <c r="Z2171" t="s">
        <v>37103</v>
      </c>
      <c r="AA2171" t="s">
        <v>74</v>
      </c>
      <c r="AB2171" t="s">
        <v>74</v>
      </c>
      <c r="AC2171" t="s">
        <v>74</v>
      </c>
      <c r="AD2171" t="s">
        <v>74</v>
      </c>
      <c r="AE2171" t="s">
        <v>74</v>
      </c>
      <c r="AF2171" t="s">
        <v>74</v>
      </c>
      <c r="AG2171">
        <v>7</v>
      </c>
      <c r="AH2171">
        <v>0</v>
      </c>
      <c r="AI2171">
        <v>0</v>
      </c>
      <c r="AJ2171">
        <v>8</v>
      </c>
      <c r="AK2171">
        <v>42</v>
      </c>
      <c r="AL2171" t="s">
        <v>639</v>
      </c>
      <c r="AM2171" t="s">
        <v>640</v>
      </c>
      <c r="AN2171" t="s">
        <v>641</v>
      </c>
      <c r="AO2171" t="s">
        <v>8380</v>
      </c>
      <c r="AP2171" t="s">
        <v>8381</v>
      </c>
      <c r="AQ2171" t="s">
        <v>21915</v>
      </c>
      <c r="AR2171" t="s">
        <v>8383</v>
      </c>
      <c r="AS2171" t="s">
        <v>74</v>
      </c>
      <c r="AT2171" t="s">
        <v>74</v>
      </c>
      <c r="AU2171">
        <v>2022</v>
      </c>
      <c r="AV2171">
        <v>13315</v>
      </c>
      <c r="AW2171" t="s">
        <v>74</v>
      </c>
      <c r="AX2171" t="s">
        <v>74</v>
      </c>
      <c r="AY2171" t="s">
        <v>74</v>
      </c>
      <c r="AZ2171" t="s">
        <v>74</v>
      </c>
      <c r="BA2171" t="s">
        <v>74</v>
      </c>
      <c r="BB2171">
        <v>217</v>
      </c>
      <c r="BC2171">
        <v>226</v>
      </c>
      <c r="BD2171" t="s">
        <v>74</v>
      </c>
      <c r="BE2171" t="s">
        <v>37104</v>
      </c>
      <c r="BF2171" t="str">
        <f>HYPERLINK("http://dx.doi.org/10.1007/978-3-031-05061-9_16","http://dx.doi.org/10.1007/978-3-031-05061-9_16")</f>
        <v>http://dx.doi.org/10.1007/978-3-031-05061-9_16</v>
      </c>
      <c r="BG2171" t="s">
        <v>74</v>
      </c>
      <c r="BH2171" t="s">
        <v>74</v>
      </c>
      <c r="BI2171">
        <v>10</v>
      </c>
      <c r="BJ2171" t="s">
        <v>12037</v>
      </c>
      <c r="BK2171" t="s">
        <v>648</v>
      </c>
      <c r="BL2171" t="s">
        <v>7740</v>
      </c>
      <c r="BM2171" t="s">
        <v>21917</v>
      </c>
      <c r="BN2171" t="s">
        <v>74</v>
      </c>
      <c r="BO2171" t="s">
        <v>74</v>
      </c>
      <c r="BP2171" t="s">
        <v>74</v>
      </c>
      <c r="BQ2171" t="s">
        <v>74</v>
      </c>
      <c r="BR2171" t="s">
        <v>102</v>
      </c>
      <c r="BS2171" t="s">
        <v>37105</v>
      </c>
      <c r="BT2171" t="str">
        <f>HYPERLINK("https%3A%2F%2Fwww.webofscience.com%2Fwos%2Fwoscc%2Ffull-record%2FWOS:000911435700016","View Full Record in Web of Science")</f>
        <v>View Full Record in Web of Science</v>
      </c>
    </row>
    <row r="2172" spans="1:72" x14ac:dyDescent="0.35">
      <c r="A2172" t="s">
        <v>128</v>
      </c>
      <c r="B2172" t="s">
        <v>37106</v>
      </c>
      <c r="C2172" t="s">
        <v>74</v>
      </c>
      <c r="D2172" t="s">
        <v>37107</v>
      </c>
      <c r="E2172" t="s">
        <v>74</v>
      </c>
      <c r="F2172" t="s">
        <v>37108</v>
      </c>
      <c r="G2172" t="s">
        <v>74</v>
      </c>
      <c r="H2172" t="s">
        <v>74</v>
      </c>
      <c r="I2172" t="s">
        <v>37109</v>
      </c>
      <c r="J2172" t="s">
        <v>37110</v>
      </c>
      <c r="K2172" t="s">
        <v>74</v>
      </c>
      <c r="L2172" t="s">
        <v>74</v>
      </c>
      <c r="M2172" t="s">
        <v>78</v>
      </c>
      <c r="N2172" t="s">
        <v>135</v>
      </c>
      <c r="O2172" t="s">
        <v>37111</v>
      </c>
      <c r="P2172" t="s">
        <v>37112</v>
      </c>
      <c r="Q2172" t="s">
        <v>37113</v>
      </c>
      <c r="R2172" t="s">
        <v>37114</v>
      </c>
      <c r="S2172" t="s">
        <v>74</v>
      </c>
      <c r="T2172" t="s">
        <v>37115</v>
      </c>
      <c r="U2172" t="s">
        <v>37116</v>
      </c>
      <c r="V2172" t="s">
        <v>37117</v>
      </c>
      <c r="W2172" t="s">
        <v>37118</v>
      </c>
      <c r="X2172" t="s">
        <v>37119</v>
      </c>
      <c r="Y2172" t="s">
        <v>37120</v>
      </c>
      <c r="Z2172" t="s">
        <v>37121</v>
      </c>
      <c r="AA2172" t="s">
        <v>37122</v>
      </c>
      <c r="AB2172" t="s">
        <v>37123</v>
      </c>
      <c r="AC2172" t="s">
        <v>74</v>
      </c>
      <c r="AD2172" t="s">
        <v>74</v>
      </c>
      <c r="AE2172" t="s">
        <v>74</v>
      </c>
      <c r="AF2172" t="s">
        <v>74</v>
      </c>
      <c r="AG2172">
        <v>51</v>
      </c>
      <c r="AH2172">
        <v>4</v>
      </c>
      <c r="AI2172">
        <v>4</v>
      </c>
      <c r="AJ2172">
        <v>0</v>
      </c>
      <c r="AK2172">
        <v>0</v>
      </c>
      <c r="AL2172" t="s">
        <v>1677</v>
      </c>
      <c r="AM2172" t="s">
        <v>666</v>
      </c>
      <c r="AN2172" t="s">
        <v>1692</v>
      </c>
      <c r="AO2172" t="s">
        <v>74</v>
      </c>
      <c r="AP2172" t="s">
        <v>74</v>
      </c>
      <c r="AQ2172" t="s">
        <v>37124</v>
      </c>
      <c r="AR2172" t="s">
        <v>74</v>
      </c>
      <c r="AS2172" t="s">
        <v>74</v>
      </c>
      <c r="AT2172" t="s">
        <v>74</v>
      </c>
      <c r="AU2172">
        <v>2022</v>
      </c>
      <c r="AV2172" t="s">
        <v>74</v>
      </c>
      <c r="AW2172" t="s">
        <v>74</v>
      </c>
      <c r="AX2172" t="s">
        <v>74</v>
      </c>
      <c r="AY2172" t="s">
        <v>74</v>
      </c>
      <c r="AZ2172" t="s">
        <v>74</v>
      </c>
      <c r="BA2172" t="s">
        <v>74</v>
      </c>
      <c r="BB2172" t="s">
        <v>74</v>
      </c>
      <c r="BC2172" t="s">
        <v>74</v>
      </c>
      <c r="BD2172" t="s">
        <v>74</v>
      </c>
      <c r="BE2172" t="s">
        <v>37125</v>
      </c>
      <c r="BF2172" t="str">
        <f>HYPERLINK("http://dx.doi.org/10.1109/icABCD54961.2022.9856272","http://dx.doi.org/10.1109/icABCD54961.2022.9856272")</f>
        <v>http://dx.doi.org/10.1109/icABCD54961.2022.9856272</v>
      </c>
      <c r="BG2172" t="s">
        <v>74</v>
      </c>
      <c r="BH2172" t="s">
        <v>74</v>
      </c>
      <c r="BI2172">
        <v>5</v>
      </c>
      <c r="BJ2172" t="s">
        <v>894</v>
      </c>
      <c r="BK2172" t="s">
        <v>723</v>
      </c>
      <c r="BL2172" t="s">
        <v>210</v>
      </c>
      <c r="BM2172" t="s">
        <v>37126</v>
      </c>
      <c r="BN2172" t="s">
        <v>74</v>
      </c>
      <c r="BO2172" t="s">
        <v>74</v>
      </c>
      <c r="BP2172" t="s">
        <v>74</v>
      </c>
      <c r="BQ2172" t="s">
        <v>74</v>
      </c>
      <c r="BR2172" t="s">
        <v>102</v>
      </c>
      <c r="BS2172" t="s">
        <v>37127</v>
      </c>
      <c r="BT2172" t="str">
        <f>HYPERLINK("https%3A%2F%2Fwww.webofscience.com%2Fwos%2Fwoscc%2Ffull-record%2FWOS:000865949100034","View Full Record in Web of Science")</f>
        <v>View Full Record in Web of Science</v>
      </c>
    </row>
    <row r="2173" spans="1:72" x14ac:dyDescent="0.35">
      <c r="A2173" t="s">
        <v>72</v>
      </c>
      <c r="B2173" t="s">
        <v>37128</v>
      </c>
      <c r="C2173" t="s">
        <v>74</v>
      </c>
      <c r="D2173" t="s">
        <v>74</v>
      </c>
      <c r="E2173" t="s">
        <v>74</v>
      </c>
      <c r="F2173" t="s">
        <v>37129</v>
      </c>
      <c r="G2173" t="s">
        <v>74</v>
      </c>
      <c r="H2173" t="s">
        <v>74</v>
      </c>
      <c r="I2173" t="s">
        <v>37130</v>
      </c>
      <c r="J2173" t="s">
        <v>2557</v>
      </c>
      <c r="K2173" t="s">
        <v>74</v>
      </c>
      <c r="L2173" t="s">
        <v>74</v>
      </c>
      <c r="M2173" t="s">
        <v>78</v>
      </c>
      <c r="N2173" t="s">
        <v>108</v>
      </c>
      <c r="O2173" t="s">
        <v>74</v>
      </c>
      <c r="P2173" t="s">
        <v>74</v>
      </c>
      <c r="Q2173" t="s">
        <v>74</v>
      </c>
      <c r="R2173" t="s">
        <v>74</v>
      </c>
      <c r="S2173" t="s">
        <v>74</v>
      </c>
      <c r="T2173" t="s">
        <v>37131</v>
      </c>
      <c r="U2173" t="s">
        <v>37132</v>
      </c>
      <c r="V2173" t="s">
        <v>37133</v>
      </c>
      <c r="W2173" t="s">
        <v>37134</v>
      </c>
      <c r="X2173" t="s">
        <v>13806</v>
      </c>
      <c r="Y2173" t="s">
        <v>11767</v>
      </c>
      <c r="Z2173" t="s">
        <v>37135</v>
      </c>
      <c r="AA2173" t="s">
        <v>37136</v>
      </c>
      <c r="AB2173" t="s">
        <v>37137</v>
      </c>
      <c r="AC2173" t="s">
        <v>37138</v>
      </c>
      <c r="AD2173" t="s">
        <v>37139</v>
      </c>
      <c r="AE2173" t="s">
        <v>37140</v>
      </c>
      <c r="AF2173" t="s">
        <v>74</v>
      </c>
      <c r="AG2173">
        <v>77</v>
      </c>
      <c r="AH2173">
        <v>15</v>
      </c>
      <c r="AI2173">
        <v>15</v>
      </c>
      <c r="AJ2173">
        <v>35</v>
      </c>
      <c r="AK2173">
        <v>256</v>
      </c>
      <c r="AL2173" t="s">
        <v>199</v>
      </c>
      <c r="AM2173" t="s">
        <v>200</v>
      </c>
      <c r="AN2173" t="s">
        <v>471</v>
      </c>
      <c r="AO2173" t="s">
        <v>2570</v>
      </c>
      <c r="AP2173" t="s">
        <v>74</v>
      </c>
      <c r="AQ2173" t="s">
        <v>74</v>
      </c>
      <c r="AR2173" t="s">
        <v>2571</v>
      </c>
      <c r="AS2173" t="s">
        <v>2572</v>
      </c>
      <c r="AT2173" t="s">
        <v>37141</v>
      </c>
      <c r="AU2173">
        <v>2022</v>
      </c>
      <c r="AV2173">
        <v>32</v>
      </c>
      <c r="AW2173">
        <v>1</v>
      </c>
      <c r="AX2173" t="s">
        <v>74</v>
      </c>
      <c r="AY2173" t="s">
        <v>74</v>
      </c>
      <c r="AZ2173" t="s">
        <v>74</v>
      </c>
      <c r="BA2173" t="s">
        <v>74</v>
      </c>
      <c r="BB2173">
        <v>312</v>
      </c>
      <c r="BC2173">
        <v>334</v>
      </c>
      <c r="BD2173" t="s">
        <v>74</v>
      </c>
      <c r="BE2173" t="s">
        <v>37142</v>
      </c>
      <c r="BF2173" t="str">
        <f>HYPERLINK("http://dx.doi.org/10.1108/INTR-01-2021-0005","http://dx.doi.org/10.1108/INTR-01-2021-0005")</f>
        <v>http://dx.doi.org/10.1108/INTR-01-2021-0005</v>
      </c>
      <c r="BG2173" t="s">
        <v>74</v>
      </c>
      <c r="BH2173" t="s">
        <v>6350</v>
      </c>
      <c r="BI2173">
        <v>23</v>
      </c>
      <c r="BJ2173" t="s">
        <v>2575</v>
      </c>
      <c r="BK2173" t="s">
        <v>182</v>
      </c>
      <c r="BL2173" t="s">
        <v>2576</v>
      </c>
      <c r="BM2173" t="s">
        <v>37143</v>
      </c>
      <c r="BN2173" t="s">
        <v>74</v>
      </c>
      <c r="BO2173" t="s">
        <v>74</v>
      </c>
      <c r="BP2173" t="s">
        <v>74</v>
      </c>
      <c r="BQ2173" t="s">
        <v>74</v>
      </c>
      <c r="BR2173" t="s">
        <v>102</v>
      </c>
      <c r="BS2173" t="s">
        <v>37144</v>
      </c>
      <c r="BT2173" t="str">
        <f>HYPERLINK("https%3A%2F%2Fwww.webofscience.com%2Fwos%2Fwoscc%2Ffull-record%2FWOS:000672618600001","View Full Record in Web of Science")</f>
        <v>View Full Record in Web of Science</v>
      </c>
    </row>
    <row r="2174" spans="1:72" x14ac:dyDescent="0.35">
      <c r="A2174" t="s">
        <v>72</v>
      </c>
      <c r="B2174" t="s">
        <v>37145</v>
      </c>
      <c r="C2174" t="s">
        <v>74</v>
      </c>
      <c r="D2174" t="s">
        <v>74</v>
      </c>
      <c r="E2174" t="s">
        <v>74</v>
      </c>
      <c r="F2174" t="s">
        <v>37146</v>
      </c>
      <c r="G2174" t="s">
        <v>74</v>
      </c>
      <c r="H2174" t="s">
        <v>74</v>
      </c>
      <c r="I2174" t="s">
        <v>37147</v>
      </c>
      <c r="J2174" t="s">
        <v>18440</v>
      </c>
      <c r="K2174" t="s">
        <v>74</v>
      </c>
      <c r="L2174" t="s">
        <v>74</v>
      </c>
      <c r="M2174" t="s">
        <v>78</v>
      </c>
      <c r="N2174" t="s">
        <v>108</v>
      </c>
      <c r="O2174" t="s">
        <v>74</v>
      </c>
      <c r="P2174" t="s">
        <v>74</v>
      </c>
      <c r="Q2174" t="s">
        <v>74</v>
      </c>
      <c r="R2174" t="s">
        <v>74</v>
      </c>
      <c r="S2174" t="s">
        <v>74</v>
      </c>
      <c r="T2174" t="s">
        <v>37148</v>
      </c>
      <c r="U2174" t="s">
        <v>37149</v>
      </c>
      <c r="V2174" t="s">
        <v>37150</v>
      </c>
      <c r="W2174" t="s">
        <v>37151</v>
      </c>
      <c r="X2174" t="s">
        <v>37152</v>
      </c>
      <c r="Y2174" t="s">
        <v>37153</v>
      </c>
      <c r="Z2174" t="s">
        <v>37154</v>
      </c>
      <c r="AA2174" t="s">
        <v>37155</v>
      </c>
      <c r="AB2174" t="s">
        <v>37156</v>
      </c>
      <c r="AC2174" t="s">
        <v>74</v>
      </c>
      <c r="AD2174" t="s">
        <v>74</v>
      </c>
      <c r="AE2174" t="s">
        <v>74</v>
      </c>
      <c r="AF2174" t="s">
        <v>74</v>
      </c>
      <c r="AG2174">
        <v>72</v>
      </c>
      <c r="AH2174">
        <v>0</v>
      </c>
      <c r="AI2174">
        <v>0</v>
      </c>
      <c r="AJ2174">
        <v>4</v>
      </c>
      <c r="AK2174">
        <v>9</v>
      </c>
      <c r="AL2174" t="s">
        <v>1195</v>
      </c>
      <c r="AM2174" t="s">
        <v>1196</v>
      </c>
      <c r="AN2174" t="s">
        <v>1197</v>
      </c>
      <c r="AO2174" t="s">
        <v>74</v>
      </c>
      <c r="AP2174" t="s">
        <v>18448</v>
      </c>
      <c r="AQ2174" t="s">
        <v>74</v>
      </c>
      <c r="AR2174" t="s">
        <v>18449</v>
      </c>
      <c r="AS2174" t="s">
        <v>18450</v>
      </c>
      <c r="AT2174" t="s">
        <v>178</v>
      </c>
      <c r="AU2174">
        <v>2024</v>
      </c>
      <c r="AV2174">
        <v>14</v>
      </c>
      <c r="AW2174">
        <v>2</v>
      </c>
      <c r="AX2174" t="s">
        <v>74</v>
      </c>
      <c r="AY2174" t="s">
        <v>74</v>
      </c>
      <c r="AZ2174" t="s">
        <v>74</v>
      </c>
      <c r="BA2174" t="s">
        <v>74</v>
      </c>
      <c r="BB2174" t="s">
        <v>74</v>
      </c>
      <c r="BC2174" t="s">
        <v>74</v>
      </c>
      <c r="BD2174">
        <v>110</v>
      </c>
      <c r="BE2174" t="s">
        <v>37157</v>
      </c>
      <c r="BF2174" t="str">
        <f>HYPERLINK("http://dx.doi.org/10.3390/bs14020110","http://dx.doi.org/10.3390/bs14020110")</f>
        <v>http://dx.doi.org/10.3390/bs14020110</v>
      </c>
      <c r="BG2174" t="s">
        <v>74</v>
      </c>
      <c r="BH2174" t="s">
        <v>74</v>
      </c>
      <c r="BI2174">
        <v>17</v>
      </c>
      <c r="BJ2174" t="s">
        <v>698</v>
      </c>
      <c r="BK2174" t="s">
        <v>99</v>
      </c>
      <c r="BL2174" t="s">
        <v>301</v>
      </c>
      <c r="BM2174" t="s">
        <v>37158</v>
      </c>
      <c r="BN2174">
        <v>38392463</v>
      </c>
      <c r="BO2174" t="s">
        <v>552</v>
      </c>
      <c r="BP2174" t="s">
        <v>74</v>
      </c>
      <c r="BQ2174" t="s">
        <v>74</v>
      </c>
      <c r="BR2174" t="s">
        <v>102</v>
      </c>
      <c r="BS2174" t="s">
        <v>37159</v>
      </c>
      <c r="BT2174" t="str">
        <f>HYPERLINK("https%3A%2F%2Fwww.webofscience.com%2Fwos%2Fwoscc%2Ffull-record%2FWOS:001174813800001","View Full Record in Web of Science")</f>
        <v>View Full Record in Web of Science</v>
      </c>
    </row>
    <row r="2175" spans="1:72" x14ac:dyDescent="0.35">
      <c r="A2175" t="s">
        <v>72</v>
      </c>
      <c r="B2175" t="s">
        <v>37160</v>
      </c>
      <c r="C2175" t="s">
        <v>74</v>
      </c>
      <c r="D2175" t="s">
        <v>74</v>
      </c>
      <c r="E2175" t="s">
        <v>74</v>
      </c>
      <c r="F2175" t="s">
        <v>37161</v>
      </c>
      <c r="G2175" t="s">
        <v>74</v>
      </c>
      <c r="H2175" t="s">
        <v>74</v>
      </c>
      <c r="I2175" t="s">
        <v>37162</v>
      </c>
      <c r="J2175" t="s">
        <v>37163</v>
      </c>
      <c r="K2175" t="s">
        <v>74</v>
      </c>
      <c r="L2175" t="s">
        <v>74</v>
      </c>
      <c r="M2175" t="s">
        <v>78</v>
      </c>
      <c r="N2175" t="s">
        <v>108</v>
      </c>
      <c r="O2175" t="s">
        <v>74</v>
      </c>
      <c r="P2175" t="s">
        <v>74</v>
      </c>
      <c r="Q2175" t="s">
        <v>74</v>
      </c>
      <c r="R2175" t="s">
        <v>74</v>
      </c>
      <c r="S2175" t="s">
        <v>74</v>
      </c>
      <c r="T2175" t="s">
        <v>37164</v>
      </c>
      <c r="U2175" t="s">
        <v>37165</v>
      </c>
      <c r="V2175" t="s">
        <v>37166</v>
      </c>
      <c r="W2175" t="s">
        <v>37167</v>
      </c>
      <c r="X2175" t="s">
        <v>3374</v>
      </c>
      <c r="Y2175" t="s">
        <v>37168</v>
      </c>
      <c r="Z2175" t="s">
        <v>37169</v>
      </c>
      <c r="AA2175" t="s">
        <v>37170</v>
      </c>
      <c r="AB2175" t="s">
        <v>37171</v>
      </c>
      <c r="AC2175" t="s">
        <v>74</v>
      </c>
      <c r="AD2175" t="s">
        <v>74</v>
      </c>
      <c r="AE2175" t="s">
        <v>74</v>
      </c>
      <c r="AF2175" t="s">
        <v>74</v>
      </c>
      <c r="AG2175">
        <v>44</v>
      </c>
      <c r="AH2175">
        <v>14</v>
      </c>
      <c r="AI2175">
        <v>14</v>
      </c>
      <c r="AJ2175">
        <v>1</v>
      </c>
      <c r="AK2175">
        <v>44</v>
      </c>
      <c r="AL2175" t="s">
        <v>516</v>
      </c>
      <c r="AM2175" t="s">
        <v>517</v>
      </c>
      <c r="AN2175" t="s">
        <v>518</v>
      </c>
      <c r="AO2175" t="s">
        <v>37172</v>
      </c>
      <c r="AP2175" t="s">
        <v>37173</v>
      </c>
      <c r="AQ2175" t="s">
        <v>74</v>
      </c>
      <c r="AR2175" t="s">
        <v>37174</v>
      </c>
      <c r="AS2175" t="s">
        <v>37175</v>
      </c>
      <c r="AT2175" t="s">
        <v>5690</v>
      </c>
      <c r="AU2175">
        <v>2022</v>
      </c>
      <c r="AV2175">
        <v>128</v>
      </c>
      <c r="AW2175" t="s">
        <v>74</v>
      </c>
      <c r="AX2175" t="s">
        <v>74</v>
      </c>
      <c r="AY2175" t="s">
        <v>74</v>
      </c>
      <c r="AZ2175" t="s">
        <v>74</v>
      </c>
      <c r="BA2175" t="s">
        <v>74</v>
      </c>
      <c r="BB2175" t="s">
        <v>74</v>
      </c>
      <c r="BC2175" t="s">
        <v>74</v>
      </c>
      <c r="BD2175">
        <v>102786</v>
      </c>
      <c r="BE2175" t="s">
        <v>37176</v>
      </c>
      <c r="BF2175" t="str">
        <f>HYPERLINK("http://dx.doi.org/10.1016/j.adhoc.2022.102786","http://dx.doi.org/10.1016/j.adhoc.2022.102786")</f>
        <v>http://dx.doi.org/10.1016/j.adhoc.2022.102786</v>
      </c>
      <c r="BG2175" t="s">
        <v>74</v>
      </c>
      <c r="BH2175" t="s">
        <v>259</v>
      </c>
      <c r="BI2175">
        <v>15</v>
      </c>
      <c r="BJ2175" t="s">
        <v>1698</v>
      </c>
      <c r="BK2175" t="s">
        <v>182</v>
      </c>
      <c r="BL2175" t="s">
        <v>1699</v>
      </c>
      <c r="BM2175" t="s">
        <v>37177</v>
      </c>
      <c r="BN2175" t="s">
        <v>74</v>
      </c>
      <c r="BO2175" t="s">
        <v>74</v>
      </c>
      <c r="BP2175" t="s">
        <v>74</v>
      </c>
      <c r="BQ2175" t="s">
        <v>74</v>
      </c>
      <c r="BR2175" t="s">
        <v>102</v>
      </c>
      <c r="BS2175" t="s">
        <v>37178</v>
      </c>
      <c r="BT2175" t="str">
        <f>HYPERLINK("https%3A%2F%2Fwww.webofscience.com%2Fwos%2Fwoscc%2Ffull-record%2FWOS:000753141400001","View Full Record in Web of Science")</f>
        <v>View Full Record in Web of Science</v>
      </c>
    </row>
    <row r="2176" spans="1:72" x14ac:dyDescent="0.35">
      <c r="A2176" t="s">
        <v>128</v>
      </c>
      <c r="B2176" t="s">
        <v>37179</v>
      </c>
      <c r="C2176" t="s">
        <v>74</v>
      </c>
      <c r="D2176" t="s">
        <v>74</v>
      </c>
      <c r="E2176" t="s">
        <v>4235</v>
      </c>
      <c r="F2176" t="s">
        <v>37180</v>
      </c>
      <c r="G2176" t="s">
        <v>74</v>
      </c>
      <c r="H2176" t="s">
        <v>74</v>
      </c>
      <c r="I2176" t="s">
        <v>37181</v>
      </c>
      <c r="J2176" t="s">
        <v>37182</v>
      </c>
      <c r="K2176" t="s">
        <v>74</v>
      </c>
      <c r="L2176" t="s">
        <v>74</v>
      </c>
      <c r="M2176" t="s">
        <v>78</v>
      </c>
      <c r="N2176" t="s">
        <v>135</v>
      </c>
      <c r="O2176" t="s">
        <v>37183</v>
      </c>
      <c r="P2176" t="s">
        <v>37184</v>
      </c>
      <c r="Q2176" t="s">
        <v>138</v>
      </c>
      <c r="R2176" t="s">
        <v>37185</v>
      </c>
      <c r="S2176" t="s">
        <v>74</v>
      </c>
      <c r="T2176" t="s">
        <v>37186</v>
      </c>
      <c r="U2176" t="s">
        <v>74</v>
      </c>
      <c r="V2176" t="s">
        <v>37187</v>
      </c>
      <c r="W2176" t="s">
        <v>37188</v>
      </c>
      <c r="X2176" t="s">
        <v>37189</v>
      </c>
      <c r="Y2176" t="s">
        <v>37190</v>
      </c>
      <c r="Z2176" t="s">
        <v>37191</v>
      </c>
      <c r="AA2176" t="s">
        <v>37192</v>
      </c>
      <c r="AB2176" t="s">
        <v>37193</v>
      </c>
      <c r="AC2176" t="s">
        <v>37194</v>
      </c>
      <c r="AD2176" t="s">
        <v>37194</v>
      </c>
      <c r="AE2176" t="s">
        <v>37195</v>
      </c>
      <c r="AF2176" t="s">
        <v>74</v>
      </c>
      <c r="AG2176">
        <v>73</v>
      </c>
      <c r="AH2176">
        <v>15</v>
      </c>
      <c r="AI2176">
        <v>16</v>
      </c>
      <c r="AJ2176">
        <v>3</v>
      </c>
      <c r="AK2176">
        <v>24</v>
      </c>
      <c r="AL2176" t="s">
        <v>718</v>
      </c>
      <c r="AM2176" t="s">
        <v>666</v>
      </c>
      <c r="AN2176" t="s">
        <v>719</v>
      </c>
      <c r="AO2176" t="s">
        <v>74</v>
      </c>
      <c r="AP2176" t="s">
        <v>74</v>
      </c>
      <c r="AQ2176" t="s">
        <v>37196</v>
      </c>
      <c r="AR2176" t="s">
        <v>74</v>
      </c>
      <c r="AS2176" t="s">
        <v>74</v>
      </c>
      <c r="AT2176" t="s">
        <v>74</v>
      </c>
      <c r="AU2176">
        <v>2021</v>
      </c>
      <c r="AV2176" t="s">
        <v>74</v>
      </c>
      <c r="AW2176" t="s">
        <v>74</v>
      </c>
      <c r="AX2176" t="s">
        <v>74</v>
      </c>
      <c r="AY2176" t="s">
        <v>74</v>
      </c>
      <c r="AZ2176" t="s">
        <v>74</v>
      </c>
      <c r="BA2176" t="s">
        <v>74</v>
      </c>
      <c r="BB2176">
        <v>213</v>
      </c>
      <c r="BC2176">
        <v>223</v>
      </c>
      <c r="BD2176" t="s">
        <v>74</v>
      </c>
      <c r="BE2176" t="s">
        <v>37197</v>
      </c>
      <c r="BF2176" t="str">
        <f>HYPERLINK("http://dx.doi.org/10.1145/3442442.3452304","http://dx.doi.org/10.1145/3442442.3452304")</f>
        <v>http://dx.doi.org/10.1145/3442442.3452304</v>
      </c>
      <c r="BG2176" t="s">
        <v>74</v>
      </c>
      <c r="BH2176" t="s">
        <v>74</v>
      </c>
      <c r="BI2176">
        <v>11</v>
      </c>
      <c r="BJ2176" t="s">
        <v>34767</v>
      </c>
      <c r="BK2176" t="s">
        <v>723</v>
      </c>
      <c r="BL2176" t="s">
        <v>210</v>
      </c>
      <c r="BM2176" t="s">
        <v>37198</v>
      </c>
      <c r="BN2176" t="s">
        <v>74</v>
      </c>
      <c r="BO2176" t="s">
        <v>2738</v>
      </c>
      <c r="BP2176" t="s">
        <v>74</v>
      </c>
      <c r="BQ2176" t="s">
        <v>74</v>
      </c>
      <c r="BR2176" t="s">
        <v>102</v>
      </c>
      <c r="BS2176" t="s">
        <v>37199</v>
      </c>
      <c r="BT2176" t="str">
        <f>HYPERLINK("https%3A%2F%2Fwww.webofscience.com%2Fwos%2Fwoscc%2Ffull-record%2FWOS:000749534900029","View Full Record in Web of Science")</f>
        <v>View Full Record in Web of Science</v>
      </c>
    </row>
    <row r="2177" spans="1:72" x14ac:dyDescent="0.35">
      <c r="A2177" t="s">
        <v>72</v>
      </c>
      <c r="B2177" t="s">
        <v>37200</v>
      </c>
      <c r="C2177" t="s">
        <v>74</v>
      </c>
      <c r="D2177" t="s">
        <v>74</v>
      </c>
      <c r="E2177" t="s">
        <v>74</v>
      </c>
      <c r="F2177" t="s">
        <v>37201</v>
      </c>
      <c r="G2177" t="s">
        <v>74</v>
      </c>
      <c r="H2177" t="s">
        <v>74</v>
      </c>
      <c r="I2177" t="s">
        <v>37202</v>
      </c>
      <c r="J2177" t="s">
        <v>12578</v>
      </c>
      <c r="K2177" t="s">
        <v>74</v>
      </c>
      <c r="L2177" t="s">
        <v>74</v>
      </c>
      <c r="M2177" t="s">
        <v>78</v>
      </c>
      <c r="N2177" t="s">
        <v>108</v>
      </c>
      <c r="O2177" t="s">
        <v>74</v>
      </c>
      <c r="P2177" t="s">
        <v>74</v>
      </c>
      <c r="Q2177" t="s">
        <v>74</v>
      </c>
      <c r="R2177" t="s">
        <v>74</v>
      </c>
      <c r="S2177" t="s">
        <v>74</v>
      </c>
      <c r="T2177" t="s">
        <v>74</v>
      </c>
      <c r="U2177" t="s">
        <v>74</v>
      </c>
      <c r="V2177" t="s">
        <v>37203</v>
      </c>
      <c r="W2177" t="s">
        <v>37204</v>
      </c>
      <c r="X2177" t="s">
        <v>37205</v>
      </c>
      <c r="Y2177" t="s">
        <v>37206</v>
      </c>
      <c r="Z2177" t="s">
        <v>37207</v>
      </c>
      <c r="AA2177" t="s">
        <v>37208</v>
      </c>
      <c r="AB2177" t="s">
        <v>74</v>
      </c>
      <c r="AC2177" t="s">
        <v>37209</v>
      </c>
      <c r="AD2177" t="s">
        <v>37210</v>
      </c>
      <c r="AE2177" t="s">
        <v>37211</v>
      </c>
      <c r="AF2177" t="s">
        <v>74</v>
      </c>
      <c r="AG2177">
        <v>17</v>
      </c>
      <c r="AH2177">
        <v>0</v>
      </c>
      <c r="AI2177">
        <v>0</v>
      </c>
      <c r="AJ2177">
        <v>23</v>
      </c>
      <c r="AK2177">
        <v>23</v>
      </c>
      <c r="AL2177" t="s">
        <v>12586</v>
      </c>
      <c r="AM2177" t="s">
        <v>4435</v>
      </c>
      <c r="AN2177" t="s">
        <v>12587</v>
      </c>
      <c r="AO2177" t="s">
        <v>12588</v>
      </c>
      <c r="AP2177" t="s">
        <v>74</v>
      </c>
      <c r="AQ2177" t="s">
        <v>74</v>
      </c>
      <c r="AR2177" t="s">
        <v>12589</v>
      </c>
      <c r="AS2177" t="s">
        <v>12590</v>
      </c>
      <c r="AT2177" t="s">
        <v>37212</v>
      </c>
      <c r="AU2177">
        <v>2024</v>
      </c>
      <c r="AV2177">
        <v>14</v>
      </c>
      <c r="AW2177">
        <v>1</v>
      </c>
      <c r="AX2177" t="s">
        <v>74</v>
      </c>
      <c r="AY2177" t="s">
        <v>74</v>
      </c>
      <c r="AZ2177" t="s">
        <v>74</v>
      </c>
      <c r="BA2177" t="s">
        <v>74</v>
      </c>
      <c r="BB2177" t="s">
        <v>74</v>
      </c>
      <c r="BC2177" t="s">
        <v>74</v>
      </c>
      <c r="BD2177">
        <v>14532</v>
      </c>
      <c r="BE2177" t="s">
        <v>37213</v>
      </c>
      <c r="BF2177" t="str">
        <f>HYPERLINK("http://dx.doi.org/10.1038/s41598-024-65098-x","http://dx.doi.org/10.1038/s41598-024-65098-x")</f>
        <v>http://dx.doi.org/10.1038/s41598-024-65098-x</v>
      </c>
      <c r="BG2177" t="s">
        <v>74</v>
      </c>
      <c r="BH2177" t="s">
        <v>74</v>
      </c>
      <c r="BI2177">
        <v>17</v>
      </c>
      <c r="BJ2177" t="s">
        <v>1301</v>
      </c>
      <c r="BK2177" t="s">
        <v>209</v>
      </c>
      <c r="BL2177" t="s">
        <v>1302</v>
      </c>
      <c r="BM2177" t="s">
        <v>37214</v>
      </c>
      <c r="BN2177">
        <v>38914700</v>
      </c>
      <c r="BO2177" t="s">
        <v>235</v>
      </c>
      <c r="BP2177" t="s">
        <v>74</v>
      </c>
      <c r="BQ2177" t="s">
        <v>74</v>
      </c>
      <c r="BR2177" t="s">
        <v>102</v>
      </c>
      <c r="BS2177" t="s">
        <v>37215</v>
      </c>
      <c r="BT2177" t="str">
        <f>HYPERLINK("https%3A%2F%2Fwww.webofscience.com%2Fwos%2Fwoscc%2Ffull-record%2FWOS:001256850300007","View Full Record in Web of Science")</f>
        <v>View Full Record in Web of Science</v>
      </c>
    </row>
    <row r="2178" spans="1:72" x14ac:dyDescent="0.35">
      <c r="A2178" t="s">
        <v>72</v>
      </c>
      <c r="B2178" t="s">
        <v>37216</v>
      </c>
      <c r="C2178" t="s">
        <v>74</v>
      </c>
      <c r="D2178" t="s">
        <v>74</v>
      </c>
      <c r="E2178" t="s">
        <v>74</v>
      </c>
      <c r="F2178" t="s">
        <v>37217</v>
      </c>
      <c r="G2178" t="s">
        <v>74</v>
      </c>
      <c r="H2178" t="s">
        <v>74</v>
      </c>
      <c r="I2178" t="s">
        <v>37218</v>
      </c>
      <c r="J2178" t="s">
        <v>373</v>
      </c>
      <c r="K2178" t="s">
        <v>74</v>
      </c>
      <c r="L2178" t="s">
        <v>74</v>
      </c>
      <c r="M2178" t="s">
        <v>78</v>
      </c>
      <c r="N2178" t="s">
        <v>108</v>
      </c>
      <c r="O2178" t="s">
        <v>74</v>
      </c>
      <c r="P2178" t="s">
        <v>74</v>
      </c>
      <c r="Q2178" t="s">
        <v>74</v>
      </c>
      <c r="R2178" t="s">
        <v>74</v>
      </c>
      <c r="S2178" t="s">
        <v>74</v>
      </c>
      <c r="T2178" t="s">
        <v>37219</v>
      </c>
      <c r="U2178" t="s">
        <v>37220</v>
      </c>
      <c r="V2178" t="s">
        <v>37221</v>
      </c>
      <c r="W2178" t="s">
        <v>37222</v>
      </c>
      <c r="X2178" t="s">
        <v>37223</v>
      </c>
      <c r="Y2178" t="s">
        <v>37224</v>
      </c>
      <c r="Z2178" t="s">
        <v>37225</v>
      </c>
      <c r="AA2178" t="s">
        <v>37226</v>
      </c>
      <c r="AB2178" t="s">
        <v>74</v>
      </c>
      <c r="AC2178" t="s">
        <v>74</v>
      </c>
      <c r="AD2178" t="s">
        <v>74</v>
      </c>
      <c r="AE2178" t="s">
        <v>74</v>
      </c>
      <c r="AF2178" t="s">
        <v>74</v>
      </c>
      <c r="AG2178">
        <v>66</v>
      </c>
      <c r="AH2178">
        <v>0</v>
      </c>
      <c r="AI2178">
        <v>0</v>
      </c>
      <c r="AJ2178">
        <v>9</v>
      </c>
      <c r="AK2178">
        <v>21</v>
      </c>
      <c r="AL2178" t="s">
        <v>384</v>
      </c>
      <c r="AM2178" t="s">
        <v>385</v>
      </c>
      <c r="AN2178" t="s">
        <v>386</v>
      </c>
      <c r="AO2178" t="s">
        <v>74</v>
      </c>
      <c r="AP2178" t="s">
        <v>387</v>
      </c>
      <c r="AQ2178" t="s">
        <v>74</v>
      </c>
      <c r="AR2178" t="s">
        <v>388</v>
      </c>
      <c r="AS2178" t="s">
        <v>389</v>
      </c>
      <c r="AT2178" t="s">
        <v>18788</v>
      </c>
      <c r="AU2178">
        <v>2024</v>
      </c>
      <c r="AV2178">
        <v>11</v>
      </c>
      <c r="AW2178" t="s">
        <v>74</v>
      </c>
      <c r="AX2178" t="s">
        <v>74</v>
      </c>
      <c r="AY2178" t="s">
        <v>74</v>
      </c>
      <c r="AZ2178" t="s">
        <v>74</v>
      </c>
      <c r="BA2178" t="s">
        <v>74</v>
      </c>
      <c r="BB2178" t="s">
        <v>74</v>
      </c>
      <c r="BC2178" t="s">
        <v>74</v>
      </c>
      <c r="BD2178">
        <v>1306206</v>
      </c>
      <c r="BE2178" t="s">
        <v>37227</v>
      </c>
      <c r="BF2178" t="str">
        <f>HYPERLINK("http://dx.doi.org/10.3389/fpubh.2023.1306206","http://dx.doi.org/10.3389/fpubh.2023.1306206")</f>
        <v>http://dx.doi.org/10.3389/fpubh.2023.1306206</v>
      </c>
      <c r="BG2178" t="s">
        <v>74</v>
      </c>
      <c r="BH2178" t="s">
        <v>74</v>
      </c>
      <c r="BI2178">
        <v>9</v>
      </c>
      <c r="BJ2178" t="s">
        <v>392</v>
      </c>
      <c r="BK2178" t="s">
        <v>182</v>
      </c>
      <c r="BL2178" t="s">
        <v>392</v>
      </c>
      <c r="BM2178" t="s">
        <v>37228</v>
      </c>
      <c r="BN2178">
        <v>38249365</v>
      </c>
      <c r="BO2178" t="s">
        <v>552</v>
      </c>
      <c r="BP2178" t="s">
        <v>74</v>
      </c>
      <c r="BQ2178" t="s">
        <v>74</v>
      </c>
      <c r="BR2178" t="s">
        <v>102</v>
      </c>
      <c r="BS2178" t="s">
        <v>37229</v>
      </c>
      <c r="BT2178" t="str">
        <f>HYPERLINK("https%3A%2F%2Fwww.webofscience.com%2Fwos%2Fwoscc%2Ffull-record%2FWOS:001145074900001","View Full Record in Web of Science")</f>
        <v>View Full Record in Web of Science</v>
      </c>
    </row>
    <row r="2179" spans="1:72" x14ac:dyDescent="0.35">
      <c r="A2179" t="s">
        <v>72</v>
      </c>
      <c r="B2179" t="s">
        <v>37230</v>
      </c>
      <c r="C2179" t="s">
        <v>74</v>
      </c>
      <c r="D2179" t="s">
        <v>74</v>
      </c>
      <c r="E2179" t="s">
        <v>74</v>
      </c>
      <c r="F2179" t="s">
        <v>37231</v>
      </c>
      <c r="G2179" t="s">
        <v>74</v>
      </c>
      <c r="H2179" t="s">
        <v>74</v>
      </c>
      <c r="I2179" t="s">
        <v>37232</v>
      </c>
      <c r="J2179" t="s">
        <v>37233</v>
      </c>
      <c r="K2179" t="s">
        <v>74</v>
      </c>
      <c r="L2179" t="s">
        <v>74</v>
      </c>
      <c r="M2179" t="s">
        <v>78</v>
      </c>
      <c r="N2179" t="s">
        <v>108</v>
      </c>
      <c r="O2179" t="s">
        <v>74</v>
      </c>
      <c r="P2179" t="s">
        <v>74</v>
      </c>
      <c r="Q2179" t="s">
        <v>74</v>
      </c>
      <c r="R2179" t="s">
        <v>74</v>
      </c>
      <c r="S2179" t="s">
        <v>74</v>
      </c>
      <c r="T2179" t="s">
        <v>37234</v>
      </c>
      <c r="U2179" t="s">
        <v>74</v>
      </c>
      <c r="V2179" t="s">
        <v>37235</v>
      </c>
      <c r="W2179" t="s">
        <v>37236</v>
      </c>
      <c r="X2179" t="s">
        <v>37237</v>
      </c>
      <c r="Y2179" t="s">
        <v>37238</v>
      </c>
      <c r="Z2179" t="s">
        <v>37239</v>
      </c>
      <c r="AA2179" t="s">
        <v>37240</v>
      </c>
      <c r="AB2179" t="s">
        <v>37241</v>
      </c>
      <c r="AC2179" t="s">
        <v>37242</v>
      </c>
      <c r="AD2179" t="s">
        <v>37243</v>
      </c>
      <c r="AE2179" t="s">
        <v>37244</v>
      </c>
      <c r="AF2179" t="s">
        <v>74</v>
      </c>
      <c r="AG2179">
        <v>36</v>
      </c>
      <c r="AH2179">
        <v>2</v>
      </c>
      <c r="AI2179">
        <v>2</v>
      </c>
      <c r="AJ2179">
        <v>3</v>
      </c>
      <c r="AK2179">
        <v>5</v>
      </c>
      <c r="AL2179" t="s">
        <v>516</v>
      </c>
      <c r="AM2179" t="s">
        <v>517</v>
      </c>
      <c r="AN2179" t="s">
        <v>518</v>
      </c>
      <c r="AO2179" t="s">
        <v>37245</v>
      </c>
      <c r="AP2179" t="s">
        <v>74</v>
      </c>
      <c r="AQ2179" t="s">
        <v>74</v>
      </c>
      <c r="AR2179" t="s">
        <v>37246</v>
      </c>
      <c r="AS2179" t="s">
        <v>37247</v>
      </c>
      <c r="AT2179" t="s">
        <v>257</v>
      </c>
      <c r="AU2179">
        <v>2023</v>
      </c>
      <c r="AV2179">
        <v>33</v>
      </c>
      <c r="AW2179">
        <v>2</v>
      </c>
      <c r="AX2179" t="s">
        <v>74</v>
      </c>
      <c r="AY2179" t="s">
        <v>74</v>
      </c>
      <c r="AZ2179" t="s">
        <v>74</v>
      </c>
      <c r="BA2179" t="s">
        <v>74</v>
      </c>
      <c r="BB2179">
        <v>81</v>
      </c>
      <c r="BC2179">
        <v>89</v>
      </c>
      <c r="BD2179" t="s">
        <v>74</v>
      </c>
      <c r="BE2179" t="s">
        <v>37248</v>
      </c>
      <c r="BF2179" t="str">
        <f>HYPERLINK("http://dx.doi.org/10.1016/j.jbct.2023.05.001","http://dx.doi.org/10.1016/j.jbct.2023.05.001")</f>
        <v>http://dx.doi.org/10.1016/j.jbct.2023.05.001</v>
      </c>
      <c r="BG2179" t="s">
        <v>74</v>
      </c>
      <c r="BH2179" t="s">
        <v>1954</v>
      </c>
      <c r="BI2179">
        <v>9</v>
      </c>
      <c r="BJ2179" t="s">
        <v>1955</v>
      </c>
      <c r="BK2179" t="s">
        <v>125</v>
      </c>
      <c r="BL2179" t="s">
        <v>1617</v>
      </c>
      <c r="BM2179" t="s">
        <v>37249</v>
      </c>
      <c r="BN2179">
        <v>37928450</v>
      </c>
      <c r="BO2179" t="s">
        <v>37250</v>
      </c>
      <c r="BP2179" t="s">
        <v>74</v>
      </c>
      <c r="BQ2179" t="s">
        <v>74</v>
      </c>
      <c r="BR2179" t="s">
        <v>102</v>
      </c>
      <c r="BS2179" t="s">
        <v>37251</v>
      </c>
      <c r="BT2179" t="str">
        <f>HYPERLINK("https%3A%2F%2Fwww.webofscience.com%2Fwos%2Fwoscc%2Ffull-record%2FWOS:001069359600001","View Full Record in Web of Science")</f>
        <v>View Full Record in Web of Science</v>
      </c>
    </row>
    <row r="2180" spans="1:72" x14ac:dyDescent="0.35">
      <c r="A2180" t="s">
        <v>72</v>
      </c>
      <c r="B2180" t="s">
        <v>37252</v>
      </c>
      <c r="C2180" t="s">
        <v>74</v>
      </c>
      <c r="D2180" t="s">
        <v>74</v>
      </c>
      <c r="E2180" t="s">
        <v>74</v>
      </c>
      <c r="F2180" t="s">
        <v>37253</v>
      </c>
      <c r="G2180" t="s">
        <v>74</v>
      </c>
      <c r="H2180" t="s">
        <v>74</v>
      </c>
      <c r="I2180" t="s">
        <v>37254</v>
      </c>
      <c r="J2180" t="s">
        <v>12248</v>
      </c>
      <c r="K2180" t="s">
        <v>74</v>
      </c>
      <c r="L2180" t="s">
        <v>74</v>
      </c>
      <c r="M2180" t="s">
        <v>78</v>
      </c>
      <c r="N2180" t="s">
        <v>79</v>
      </c>
      <c r="O2180" t="s">
        <v>74</v>
      </c>
      <c r="P2180" t="s">
        <v>74</v>
      </c>
      <c r="Q2180" t="s">
        <v>74</v>
      </c>
      <c r="R2180" t="s">
        <v>74</v>
      </c>
      <c r="S2180" t="s">
        <v>74</v>
      </c>
      <c r="T2180" t="s">
        <v>37255</v>
      </c>
      <c r="U2180" t="s">
        <v>37256</v>
      </c>
      <c r="V2180" t="s">
        <v>37257</v>
      </c>
      <c r="W2180" t="s">
        <v>37258</v>
      </c>
      <c r="X2180" t="s">
        <v>37259</v>
      </c>
      <c r="Y2180" t="s">
        <v>37260</v>
      </c>
      <c r="Z2180" t="s">
        <v>37261</v>
      </c>
      <c r="AA2180" t="s">
        <v>74</v>
      </c>
      <c r="AB2180" t="s">
        <v>74</v>
      </c>
      <c r="AC2180" t="s">
        <v>37262</v>
      </c>
      <c r="AD2180" t="s">
        <v>37262</v>
      </c>
      <c r="AE2180" t="s">
        <v>2921</v>
      </c>
      <c r="AF2180" t="s">
        <v>74</v>
      </c>
      <c r="AG2180">
        <v>126</v>
      </c>
      <c r="AH2180">
        <v>0</v>
      </c>
      <c r="AI2180">
        <v>0</v>
      </c>
      <c r="AJ2180">
        <v>16</v>
      </c>
      <c r="AK2180">
        <v>16</v>
      </c>
      <c r="AL2180" t="s">
        <v>665</v>
      </c>
      <c r="AM2180" t="s">
        <v>666</v>
      </c>
      <c r="AN2180" t="s">
        <v>667</v>
      </c>
      <c r="AO2180" t="s">
        <v>12261</v>
      </c>
      <c r="AP2180" t="s">
        <v>12262</v>
      </c>
      <c r="AQ2180" t="s">
        <v>74</v>
      </c>
      <c r="AR2180" t="s">
        <v>12263</v>
      </c>
      <c r="AS2180" t="s">
        <v>12264</v>
      </c>
      <c r="AT2180" t="s">
        <v>37263</v>
      </c>
      <c r="AU2180">
        <v>2024</v>
      </c>
      <c r="AV2180" t="s">
        <v>74</v>
      </c>
      <c r="AW2180" t="s">
        <v>74</v>
      </c>
      <c r="AX2180" t="s">
        <v>74</v>
      </c>
      <c r="AY2180" t="s">
        <v>74</v>
      </c>
      <c r="AZ2180" t="s">
        <v>74</v>
      </c>
      <c r="BA2180" t="s">
        <v>74</v>
      </c>
      <c r="BB2180" t="s">
        <v>74</v>
      </c>
      <c r="BC2180" t="s">
        <v>74</v>
      </c>
      <c r="BD2180" t="s">
        <v>74</v>
      </c>
      <c r="BE2180" t="s">
        <v>37264</v>
      </c>
      <c r="BF2180" t="str">
        <f>HYPERLINK("http://dx.doi.org/10.1007/s10639-024-12762-4","http://dx.doi.org/10.1007/s10639-024-12762-4")</f>
        <v>http://dx.doi.org/10.1007/s10639-024-12762-4</v>
      </c>
      <c r="BG2180" t="s">
        <v>74</v>
      </c>
      <c r="BH2180" t="s">
        <v>1467</v>
      </c>
      <c r="BI2180">
        <v>32</v>
      </c>
      <c r="BJ2180" t="s">
        <v>787</v>
      </c>
      <c r="BK2180" t="s">
        <v>99</v>
      </c>
      <c r="BL2180" t="s">
        <v>787</v>
      </c>
      <c r="BM2180" t="s">
        <v>37265</v>
      </c>
      <c r="BN2180" t="s">
        <v>74</v>
      </c>
      <c r="BO2180" t="s">
        <v>156</v>
      </c>
      <c r="BP2180" t="s">
        <v>74</v>
      </c>
      <c r="BQ2180" t="s">
        <v>74</v>
      </c>
      <c r="BR2180" t="s">
        <v>102</v>
      </c>
      <c r="BS2180" t="s">
        <v>37266</v>
      </c>
      <c r="BT2180" t="str">
        <f>HYPERLINK("https%3A%2F%2Fwww.webofscience.com%2Fwos%2Fwoscc%2Ffull-record%2FWOS:001233674500003","View Full Record in Web of Science")</f>
        <v>View Full Record in Web of Science</v>
      </c>
    </row>
    <row r="2181" spans="1:72" x14ac:dyDescent="0.35">
      <c r="A2181" t="s">
        <v>72</v>
      </c>
      <c r="B2181" t="s">
        <v>37267</v>
      </c>
      <c r="C2181" t="s">
        <v>74</v>
      </c>
      <c r="D2181" t="s">
        <v>74</v>
      </c>
      <c r="E2181" t="s">
        <v>74</v>
      </c>
      <c r="F2181" t="s">
        <v>37268</v>
      </c>
      <c r="G2181" t="s">
        <v>74</v>
      </c>
      <c r="H2181" t="s">
        <v>74</v>
      </c>
      <c r="I2181" t="s">
        <v>37269</v>
      </c>
      <c r="J2181" t="s">
        <v>216</v>
      </c>
      <c r="K2181" t="s">
        <v>74</v>
      </c>
      <c r="L2181" t="s">
        <v>74</v>
      </c>
      <c r="M2181" t="s">
        <v>78</v>
      </c>
      <c r="N2181" t="s">
        <v>108</v>
      </c>
      <c r="O2181" t="s">
        <v>74</v>
      </c>
      <c r="P2181" t="s">
        <v>74</v>
      </c>
      <c r="Q2181" t="s">
        <v>74</v>
      </c>
      <c r="R2181" t="s">
        <v>74</v>
      </c>
      <c r="S2181" t="s">
        <v>74</v>
      </c>
      <c r="T2181" t="s">
        <v>37270</v>
      </c>
      <c r="U2181" t="s">
        <v>37271</v>
      </c>
      <c r="V2181" t="s">
        <v>37272</v>
      </c>
      <c r="W2181" t="s">
        <v>37273</v>
      </c>
      <c r="X2181" t="s">
        <v>37274</v>
      </c>
      <c r="Y2181" t="s">
        <v>37275</v>
      </c>
      <c r="Z2181" t="s">
        <v>37276</v>
      </c>
      <c r="AA2181" t="s">
        <v>37277</v>
      </c>
      <c r="AB2181" t="s">
        <v>37278</v>
      </c>
      <c r="AC2181" t="s">
        <v>37279</v>
      </c>
      <c r="AD2181" t="s">
        <v>8817</v>
      </c>
      <c r="AE2181" t="s">
        <v>37280</v>
      </c>
      <c r="AF2181" t="s">
        <v>74</v>
      </c>
      <c r="AG2181">
        <v>82</v>
      </c>
      <c r="AH2181">
        <v>6</v>
      </c>
      <c r="AI2181">
        <v>6</v>
      </c>
      <c r="AJ2181">
        <v>8</v>
      </c>
      <c r="AK2181">
        <v>16</v>
      </c>
      <c r="AL2181" t="s">
        <v>226</v>
      </c>
      <c r="AM2181" t="s">
        <v>227</v>
      </c>
      <c r="AN2181" t="s">
        <v>228</v>
      </c>
      <c r="AO2181" t="s">
        <v>229</v>
      </c>
      <c r="AP2181" t="s">
        <v>74</v>
      </c>
      <c r="AQ2181" t="s">
        <v>74</v>
      </c>
      <c r="AR2181" t="s">
        <v>230</v>
      </c>
      <c r="AS2181" t="s">
        <v>231</v>
      </c>
      <c r="AT2181" t="s">
        <v>273</v>
      </c>
      <c r="AU2181">
        <v>2023</v>
      </c>
      <c r="AV2181">
        <v>9</v>
      </c>
      <c r="AW2181">
        <v>3</v>
      </c>
      <c r="AX2181" t="s">
        <v>74</v>
      </c>
      <c r="AY2181" t="s">
        <v>74</v>
      </c>
      <c r="AZ2181" t="s">
        <v>74</v>
      </c>
      <c r="BA2181" t="s">
        <v>74</v>
      </c>
      <c r="BB2181" t="s">
        <v>74</v>
      </c>
      <c r="BC2181" t="s">
        <v>74</v>
      </c>
      <c r="BD2181">
        <v>2.0563051231192964E+16</v>
      </c>
      <c r="BE2181" t="s">
        <v>37281</v>
      </c>
      <c r="BF2181" t="str">
        <f>HYPERLINK("http://dx.doi.org/10.1177/20563051231192963","http://dx.doi.org/10.1177/20563051231192963")</f>
        <v>http://dx.doi.org/10.1177/20563051231192963</v>
      </c>
      <c r="BG2181" t="s">
        <v>74</v>
      </c>
      <c r="BH2181" t="s">
        <v>74</v>
      </c>
      <c r="BI2181">
        <v>25</v>
      </c>
      <c r="BJ2181" t="s">
        <v>124</v>
      </c>
      <c r="BK2181" t="s">
        <v>99</v>
      </c>
      <c r="BL2181" t="s">
        <v>124</v>
      </c>
      <c r="BM2181" t="s">
        <v>37282</v>
      </c>
      <c r="BN2181" t="s">
        <v>74</v>
      </c>
      <c r="BO2181" t="s">
        <v>235</v>
      </c>
      <c r="BP2181" t="s">
        <v>74</v>
      </c>
      <c r="BQ2181" t="s">
        <v>74</v>
      </c>
      <c r="BR2181" t="s">
        <v>102</v>
      </c>
      <c r="BS2181" t="s">
        <v>37283</v>
      </c>
      <c r="BT2181" t="str">
        <f>HYPERLINK("https%3A%2F%2Fwww.webofscience.com%2Fwos%2Fwoscc%2Ffull-record%2FWOS:001058066100001","View Full Record in Web of Science")</f>
        <v>View Full Record in Web of Science</v>
      </c>
    </row>
    <row r="2182" spans="1:72" x14ac:dyDescent="0.35">
      <c r="A2182" t="s">
        <v>72</v>
      </c>
      <c r="B2182" t="s">
        <v>37284</v>
      </c>
      <c r="C2182" t="s">
        <v>74</v>
      </c>
      <c r="D2182" t="s">
        <v>74</v>
      </c>
      <c r="E2182" t="s">
        <v>74</v>
      </c>
      <c r="F2182" t="s">
        <v>37285</v>
      </c>
      <c r="G2182" t="s">
        <v>74</v>
      </c>
      <c r="H2182" t="s">
        <v>74</v>
      </c>
      <c r="I2182" t="s">
        <v>37286</v>
      </c>
      <c r="J2182" t="s">
        <v>30879</v>
      </c>
      <c r="K2182" t="s">
        <v>74</v>
      </c>
      <c r="L2182" t="s">
        <v>74</v>
      </c>
      <c r="M2182" t="s">
        <v>78</v>
      </c>
      <c r="N2182" t="s">
        <v>108</v>
      </c>
      <c r="O2182" t="s">
        <v>74</v>
      </c>
      <c r="P2182" t="s">
        <v>74</v>
      </c>
      <c r="Q2182" t="s">
        <v>74</v>
      </c>
      <c r="R2182" t="s">
        <v>74</v>
      </c>
      <c r="S2182" t="s">
        <v>74</v>
      </c>
      <c r="T2182" t="s">
        <v>37287</v>
      </c>
      <c r="U2182" t="s">
        <v>37288</v>
      </c>
      <c r="V2182" t="s">
        <v>37289</v>
      </c>
      <c r="W2182" t="s">
        <v>37290</v>
      </c>
      <c r="X2182" t="s">
        <v>37291</v>
      </c>
      <c r="Y2182" t="s">
        <v>37292</v>
      </c>
      <c r="Z2182" t="s">
        <v>37293</v>
      </c>
      <c r="AA2182" t="s">
        <v>37294</v>
      </c>
      <c r="AB2182" t="s">
        <v>37295</v>
      </c>
      <c r="AC2182" t="s">
        <v>74</v>
      </c>
      <c r="AD2182" t="s">
        <v>74</v>
      </c>
      <c r="AE2182" t="s">
        <v>74</v>
      </c>
      <c r="AF2182" t="s">
        <v>74</v>
      </c>
      <c r="AG2182">
        <v>105</v>
      </c>
      <c r="AH2182">
        <v>2</v>
      </c>
      <c r="AI2182">
        <v>2</v>
      </c>
      <c r="AJ2182">
        <v>7</v>
      </c>
      <c r="AK2182">
        <v>21</v>
      </c>
      <c r="AL2182" t="s">
        <v>718</v>
      </c>
      <c r="AM2182" t="s">
        <v>666</v>
      </c>
      <c r="AN2182" t="s">
        <v>18480</v>
      </c>
      <c r="AO2182" t="s">
        <v>30890</v>
      </c>
      <c r="AP2182" t="s">
        <v>30891</v>
      </c>
      <c r="AQ2182" t="s">
        <v>74</v>
      </c>
      <c r="AR2182" t="s">
        <v>30892</v>
      </c>
      <c r="AS2182" t="s">
        <v>30893</v>
      </c>
      <c r="AT2182" t="s">
        <v>930</v>
      </c>
      <c r="AU2182">
        <v>2024</v>
      </c>
      <c r="AV2182">
        <v>20</v>
      </c>
      <c r="AW2182">
        <v>4</v>
      </c>
      <c r="AX2182" t="s">
        <v>74</v>
      </c>
      <c r="AY2182" t="s">
        <v>74</v>
      </c>
      <c r="AZ2182" t="s">
        <v>74</v>
      </c>
      <c r="BA2182" t="s">
        <v>74</v>
      </c>
      <c r="BB2182" t="s">
        <v>74</v>
      </c>
      <c r="BC2182" t="s">
        <v>74</v>
      </c>
      <c r="BD2182">
        <v>100</v>
      </c>
      <c r="BE2182" t="s">
        <v>37296</v>
      </c>
      <c r="BF2182" t="str">
        <f>HYPERLINK("http://dx.doi.org/10.1145/3632178","http://dx.doi.org/10.1145/3632178")</f>
        <v>http://dx.doi.org/10.1145/3632178</v>
      </c>
      <c r="BG2182" t="s">
        <v>74</v>
      </c>
      <c r="BH2182" t="s">
        <v>74</v>
      </c>
      <c r="BI2182">
        <v>22</v>
      </c>
      <c r="BJ2182" t="s">
        <v>30895</v>
      </c>
      <c r="BK2182" t="s">
        <v>209</v>
      </c>
      <c r="BL2182" t="s">
        <v>210</v>
      </c>
      <c r="BM2182" t="s">
        <v>37297</v>
      </c>
      <c r="BN2182" t="s">
        <v>74</v>
      </c>
      <c r="BO2182" t="s">
        <v>2738</v>
      </c>
      <c r="BP2182" t="s">
        <v>74</v>
      </c>
      <c r="BQ2182" t="s">
        <v>74</v>
      </c>
      <c r="BR2182" t="s">
        <v>102</v>
      </c>
      <c r="BS2182" t="s">
        <v>37298</v>
      </c>
      <c r="BT2182" t="str">
        <f>HYPERLINK("https%3A%2F%2Fwww.webofscience.com%2Fwos%2Fwoscc%2Ffull-record%2FWOS:001153382100010","View Full Record in Web of Science")</f>
        <v>View Full Record in Web of Science</v>
      </c>
    </row>
    <row r="2183" spans="1:72" x14ac:dyDescent="0.35">
      <c r="A2183" t="s">
        <v>72</v>
      </c>
      <c r="B2183" t="s">
        <v>37299</v>
      </c>
      <c r="C2183" t="s">
        <v>74</v>
      </c>
      <c r="D2183" t="s">
        <v>74</v>
      </c>
      <c r="E2183" t="s">
        <v>74</v>
      </c>
      <c r="F2183" t="s">
        <v>37300</v>
      </c>
      <c r="G2183" t="s">
        <v>74</v>
      </c>
      <c r="H2183" t="s">
        <v>74</v>
      </c>
      <c r="I2183" t="s">
        <v>37301</v>
      </c>
      <c r="J2183" t="s">
        <v>20390</v>
      </c>
      <c r="K2183" t="s">
        <v>74</v>
      </c>
      <c r="L2183" t="s">
        <v>74</v>
      </c>
      <c r="M2183" t="s">
        <v>78</v>
      </c>
      <c r="N2183" t="s">
        <v>108</v>
      </c>
      <c r="O2183" t="s">
        <v>74</v>
      </c>
      <c r="P2183" t="s">
        <v>74</v>
      </c>
      <c r="Q2183" t="s">
        <v>74</v>
      </c>
      <c r="R2183" t="s">
        <v>74</v>
      </c>
      <c r="S2183" t="s">
        <v>74</v>
      </c>
      <c r="T2183" t="s">
        <v>37302</v>
      </c>
      <c r="U2183" t="s">
        <v>74</v>
      </c>
      <c r="V2183" t="s">
        <v>37303</v>
      </c>
      <c r="W2183" t="s">
        <v>37304</v>
      </c>
      <c r="X2183" t="s">
        <v>27323</v>
      </c>
      <c r="Y2183" t="s">
        <v>37305</v>
      </c>
      <c r="Z2183" t="s">
        <v>37306</v>
      </c>
      <c r="AA2183" t="s">
        <v>37307</v>
      </c>
      <c r="AB2183" t="s">
        <v>37308</v>
      </c>
      <c r="AC2183" t="s">
        <v>74</v>
      </c>
      <c r="AD2183" t="s">
        <v>74</v>
      </c>
      <c r="AE2183" t="s">
        <v>74</v>
      </c>
      <c r="AF2183" t="s">
        <v>74</v>
      </c>
      <c r="AG2183">
        <v>23</v>
      </c>
      <c r="AH2183">
        <v>3</v>
      </c>
      <c r="AI2183">
        <v>3</v>
      </c>
      <c r="AJ2183">
        <v>3</v>
      </c>
      <c r="AK2183">
        <v>9</v>
      </c>
      <c r="AL2183" t="s">
        <v>251</v>
      </c>
      <c r="AM2183" t="s">
        <v>252</v>
      </c>
      <c r="AN2183" t="s">
        <v>253</v>
      </c>
      <c r="AO2183" t="s">
        <v>20398</v>
      </c>
      <c r="AP2183" t="s">
        <v>20399</v>
      </c>
      <c r="AQ2183" t="s">
        <v>74</v>
      </c>
      <c r="AR2183" t="s">
        <v>20390</v>
      </c>
      <c r="AS2183" t="s">
        <v>20400</v>
      </c>
      <c r="AT2183" t="s">
        <v>455</v>
      </c>
      <c r="AU2183">
        <v>2023</v>
      </c>
      <c r="AV2183">
        <v>133</v>
      </c>
      <c r="AW2183">
        <v>9</v>
      </c>
      <c r="AX2183" t="s">
        <v>74</v>
      </c>
      <c r="AY2183" t="s">
        <v>74</v>
      </c>
      <c r="AZ2183" t="s">
        <v>74</v>
      </c>
      <c r="BA2183" t="s">
        <v>74</v>
      </c>
      <c r="BB2183">
        <v>2116</v>
      </c>
      <c r="BC2183">
        <v>2121</v>
      </c>
      <c r="BD2183" t="s">
        <v>74</v>
      </c>
      <c r="BE2183" t="s">
        <v>37309</v>
      </c>
      <c r="BF2183" t="str">
        <f>HYPERLINK("http://dx.doi.org/10.1002/lary.30484","http://dx.doi.org/10.1002/lary.30484")</f>
        <v>http://dx.doi.org/10.1002/lary.30484</v>
      </c>
      <c r="BG2183" t="s">
        <v>74</v>
      </c>
      <c r="BH2183" t="s">
        <v>366</v>
      </c>
      <c r="BI2183">
        <v>6</v>
      </c>
      <c r="BJ2183" t="s">
        <v>20403</v>
      </c>
      <c r="BK2183" t="s">
        <v>209</v>
      </c>
      <c r="BL2183" t="s">
        <v>20404</v>
      </c>
      <c r="BM2183" t="s">
        <v>37310</v>
      </c>
      <c r="BN2183">
        <v>36373871</v>
      </c>
      <c r="BO2183" t="s">
        <v>156</v>
      </c>
      <c r="BP2183" t="s">
        <v>74</v>
      </c>
      <c r="BQ2183" t="s">
        <v>74</v>
      </c>
      <c r="BR2183" t="s">
        <v>102</v>
      </c>
      <c r="BS2183" t="s">
        <v>37311</v>
      </c>
      <c r="BT2183" t="str">
        <f>HYPERLINK("https%3A%2F%2Fwww.webofscience.com%2Fwos%2Fwoscc%2Ffull-record%2FWOS:000884542900001","View Full Record in Web of Science")</f>
        <v>View Full Record in Web of Science</v>
      </c>
    </row>
    <row r="2184" spans="1:72" x14ac:dyDescent="0.35">
      <c r="A2184" t="s">
        <v>72</v>
      </c>
      <c r="B2184" t="s">
        <v>37312</v>
      </c>
      <c r="C2184" t="s">
        <v>74</v>
      </c>
      <c r="D2184" t="s">
        <v>74</v>
      </c>
      <c r="E2184" t="s">
        <v>74</v>
      </c>
      <c r="F2184" t="s">
        <v>37313</v>
      </c>
      <c r="G2184" t="s">
        <v>74</v>
      </c>
      <c r="H2184" t="s">
        <v>74</v>
      </c>
      <c r="I2184" t="s">
        <v>37314</v>
      </c>
      <c r="J2184" t="s">
        <v>1186</v>
      </c>
      <c r="K2184" t="s">
        <v>74</v>
      </c>
      <c r="L2184" t="s">
        <v>74</v>
      </c>
      <c r="M2184" t="s">
        <v>78</v>
      </c>
      <c r="N2184" t="s">
        <v>374</v>
      </c>
      <c r="O2184" t="s">
        <v>74</v>
      </c>
      <c r="P2184" t="s">
        <v>74</v>
      </c>
      <c r="Q2184" t="s">
        <v>74</v>
      </c>
      <c r="R2184" t="s">
        <v>74</v>
      </c>
      <c r="S2184" t="s">
        <v>74</v>
      </c>
      <c r="T2184" t="s">
        <v>37315</v>
      </c>
      <c r="U2184" t="s">
        <v>37316</v>
      </c>
      <c r="V2184" t="s">
        <v>37317</v>
      </c>
      <c r="W2184" t="s">
        <v>37318</v>
      </c>
      <c r="X2184" t="s">
        <v>37319</v>
      </c>
      <c r="Y2184" t="s">
        <v>37320</v>
      </c>
      <c r="Z2184" t="s">
        <v>37321</v>
      </c>
      <c r="AA2184" t="s">
        <v>37322</v>
      </c>
      <c r="AB2184" t="s">
        <v>37323</v>
      </c>
      <c r="AC2184" t="s">
        <v>74</v>
      </c>
      <c r="AD2184" t="s">
        <v>74</v>
      </c>
      <c r="AE2184" t="s">
        <v>74</v>
      </c>
      <c r="AF2184" t="s">
        <v>74</v>
      </c>
      <c r="AG2184">
        <v>82</v>
      </c>
      <c r="AH2184">
        <v>115</v>
      </c>
      <c r="AI2184">
        <v>132</v>
      </c>
      <c r="AJ2184">
        <v>28</v>
      </c>
      <c r="AK2184">
        <v>222</v>
      </c>
      <c r="AL2184" t="s">
        <v>1195</v>
      </c>
      <c r="AM2184" t="s">
        <v>1196</v>
      </c>
      <c r="AN2184" t="s">
        <v>1197</v>
      </c>
      <c r="AO2184" t="s">
        <v>74</v>
      </c>
      <c r="AP2184" t="s">
        <v>1198</v>
      </c>
      <c r="AQ2184" t="s">
        <v>74</v>
      </c>
      <c r="AR2184" t="s">
        <v>1199</v>
      </c>
      <c r="AS2184" t="s">
        <v>1200</v>
      </c>
      <c r="AT2184" t="s">
        <v>297</v>
      </c>
      <c r="AU2184">
        <v>2022</v>
      </c>
      <c r="AV2184">
        <v>19</v>
      </c>
      <c r="AW2184">
        <v>16</v>
      </c>
      <c r="AX2184" t="s">
        <v>74</v>
      </c>
      <c r="AY2184" t="s">
        <v>74</v>
      </c>
      <c r="AZ2184" t="s">
        <v>74</v>
      </c>
      <c r="BA2184" t="s">
        <v>74</v>
      </c>
      <c r="BB2184" t="s">
        <v>74</v>
      </c>
      <c r="BC2184" t="s">
        <v>74</v>
      </c>
      <c r="BD2184">
        <v>9960</v>
      </c>
      <c r="BE2184" t="s">
        <v>37324</v>
      </c>
      <c r="BF2184" t="str">
        <f>HYPERLINK("http://dx.doi.org/10.3390/ijerph19169960","http://dx.doi.org/10.3390/ijerph19169960")</f>
        <v>http://dx.doi.org/10.3390/ijerph19169960</v>
      </c>
      <c r="BG2184" t="s">
        <v>74</v>
      </c>
      <c r="BH2184" t="s">
        <v>74</v>
      </c>
      <c r="BI2184">
        <v>33</v>
      </c>
      <c r="BJ2184" t="s">
        <v>1202</v>
      </c>
      <c r="BK2184" t="s">
        <v>182</v>
      </c>
      <c r="BL2184" t="s">
        <v>1203</v>
      </c>
      <c r="BM2184" t="s">
        <v>37325</v>
      </c>
      <c r="BN2184">
        <v>36011593</v>
      </c>
      <c r="BO2184" t="s">
        <v>552</v>
      </c>
      <c r="BP2184" t="s">
        <v>395</v>
      </c>
      <c r="BQ2184" t="s">
        <v>396</v>
      </c>
      <c r="BR2184" t="s">
        <v>102</v>
      </c>
      <c r="BS2184" t="s">
        <v>37326</v>
      </c>
      <c r="BT2184" t="str">
        <f>HYPERLINK("https%3A%2F%2Fwww.webofscience.com%2Fwos%2Fwoscc%2Ffull-record%2FWOS:000846727000001","View Full Record in Web of Science")</f>
        <v>View Full Record in Web of Science</v>
      </c>
    </row>
    <row r="2185" spans="1:72" x14ac:dyDescent="0.35">
      <c r="A2185" t="s">
        <v>72</v>
      </c>
      <c r="B2185" t="s">
        <v>37327</v>
      </c>
      <c r="C2185" t="s">
        <v>74</v>
      </c>
      <c r="D2185" t="s">
        <v>74</v>
      </c>
      <c r="E2185" t="s">
        <v>74</v>
      </c>
      <c r="F2185" t="s">
        <v>37328</v>
      </c>
      <c r="G2185" t="s">
        <v>74</v>
      </c>
      <c r="H2185" t="s">
        <v>74</v>
      </c>
      <c r="I2185" t="s">
        <v>37329</v>
      </c>
      <c r="J2185" t="s">
        <v>37330</v>
      </c>
      <c r="K2185" t="s">
        <v>74</v>
      </c>
      <c r="L2185" t="s">
        <v>74</v>
      </c>
      <c r="M2185" t="s">
        <v>78</v>
      </c>
      <c r="N2185" t="s">
        <v>79</v>
      </c>
      <c r="O2185" t="s">
        <v>74</v>
      </c>
      <c r="P2185" t="s">
        <v>74</v>
      </c>
      <c r="Q2185" t="s">
        <v>74</v>
      </c>
      <c r="R2185" t="s">
        <v>74</v>
      </c>
      <c r="S2185" t="s">
        <v>74</v>
      </c>
      <c r="T2185" t="s">
        <v>37331</v>
      </c>
      <c r="U2185" t="s">
        <v>74</v>
      </c>
      <c r="V2185" t="s">
        <v>37332</v>
      </c>
      <c r="W2185" t="s">
        <v>37333</v>
      </c>
      <c r="X2185" t="s">
        <v>17693</v>
      </c>
      <c r="Y2185" t="s">
        <v>37334</v>
      </c>
      <c r="Z2185" t="s">
        <v>37335</v>
      </c>
      <c r="AA2185" t="s">
        <v>74</v>
      </c>
      <c r="AB2185" t="s">
        <v>74</v>
      </c>
      <c r="AC2185" t="s">
        <v>37336</v>
      </c>
      <c r="AD2185" t="s">
        <v>37337</v>
      </c>
      <c r="AE2185" t="s">
        <v>37338</v>
      </c>
      <c r="AF2185" t="s">
        <v>74</v>
      </c>
      <c r="AG2185">
        <v>44</v>
      </c>
      <c r="AH2185">
        <v>0</v>
      </c>
      <c r="AI2185">
        <v>0</v>
      </c>
      <c r="AJ2185">
        <v>0</v>
      </c>
      <c r="AK2185">
        <v>0</v>
      </c>
      <c r="AL2185" t="s">
        <v>88</v>
      </c>
      <c r="AM2185" t="s">
        <v>89</v>
      </c>
      <c r="AN2185" t="s">
        <v>90</v>
      </c>
      <c r="AO2185" t="s">
        <v>37339</v>
      </c>
      <c r="AP2185" t="s">
        <v>37340</v>
      </c>
      <c r="AQ2185" t="s">
        <v>74</v>
      </c>
      <c r="AR2185" t="s">
        <v>37341</v>
      </c>
      <c r="AS2185" t="s">
        <v>37342</v>
      </c>
      <c r="AT2185" t="s">
        <v>37343</v>
      </c>
      <c r="AU2185">
        <v>2024</v>
      </c>
      <c r="AV2185" t="s">
        <v>74</v>
      </c>
      <c r="AW2185" t="s">
        <v>74</v>
      </c>
      <c r="AX2185" t="s">
        <v>74</v>
      </c>
      <c r="AY2185" t="s">
        <v>74</v>
      </c>
      <c r="AZ2185" t="s">
        <v>74</v>
      </c>
      <c r="BA2185" t="s">
        <v>74</v>
      </c>
      <c r="BB2185" t="s">
        <v>74</v>
      </c>
      <c r="BC2185" t="s">
        <v>74</v>
      </c>
      <c r="BD2185" t="s">
        <v>74</v>
      </c>
      <c r="BE2185" t="s">
        <v>37344</v>
      </c>
      <c r="BF2185" t="str">
        <f>HYPERLINK("http://dx.doi.org/10.1080/14708477.2024.2423614","http://dx.doi.org/10.1080/14708477.2024.2423614")</f>
        <v>http://dx.doi.org/10.1080/14708477.2024.2423614</v>
      </c>
      <c r="BG2185" t="s">
        <v>74</v>
      </c>
      <c r="BH2185" t="s">
        <v>4092</v>
      </c>
      <c r="BI2185">
        <v>14</v>
      </c>
      <c r="BJ2185" t="s">
        <v>22620</v>
      </c>
      <c r="BK2185" t="s">
        <v>2125</v>
      </c>
      <c r="BL2185" t="s">
        <v>3285</v>
      </c>
      <c r="BM2185" t="s">
        <v>37345</v>
      </c>
      <c r="BN2185" t="s">
        <v>74</v>
      </c>
      <c r="BO2185" t="s">
        <v>74</v>
      </c>
      <c r="BP2185" t="s">
        <v>74</v>
      </c>
      <c r="BQ2185" t="s">
        <v>74</v>
      </c>
      <c r="BR2185" t="s">
        <v>102</v>
      </c>
      <c r="BS2185" t="s">
        <v>37346</v>
      </c>
      <c r="BT2185" t="str">
        <f>HYPERLINK("https%3A%2F%2Fwww.webofscience.com%2Fwos%2Fwoscc%2Ffull-record%2FWOS:001357522200001","View Full Record in Web of Science")</f>
        <v>View Full Record in Web of Science</v>
      </c>
    </row>
    <row r="2186" spans="1:72" x14ac:dyDescent="0.35">
      <c r="A2186" t="s">
        <v>72</v>
      </c>
      <c r="B2186" t="s">
        <v>37347</v>
      </c>
      <c r="C2186" t="s">
        <v>74</v>
      </c>
      <c r="D2186" t="s">
        <v>74</v>
      </c>
      <c r="E2186" t="s">
        <v>74</v>
      </c>
      <c r="F2186" t="s">
        <v>37348</v>
      </c>
      <c r="G2186" t="s">
        <v>74</v>
      </c>
      <c r="H2186" t="s">
        <v>74</v>
      </c>
      <c r="I2186" t="s">
        <v>37349</v>
      </c>
      <c r="J2186" t="s">
        <v>37350</v>
      </c>
      <c r="K2186" t="s">
        <v>74</v>
      </c>
      <c r="L2186" t="s">
        <v>74</v>
      </c>
      <c r="M2186" t="s">
        <v>78</v>
      </c>
      <c r="N2186" t="s">
        <v>79</v>
      </c>
      <c r="O2186" t="s">
        <v>74</v>
      </c>
      <c r="P2186" t="s">
        <v>74</v>
      </c>
      <c r="Q2186" t="s">
        <v>74</v>
      </c>
      <c r="R2186" t="s">
        <v>74</v>
      </c>
      <c r="S2186" t="s">
        <v>74</v>
      </c>
      <c r="T2186" t="s">
        <v>37351</v>
      </c>
      <c r="U2186" t="s">
        <v>37352</v>
      </c>
      <c r="V2186" t="s">
        <v>37353</v>
      </c>
      <c r="W2186" t="s">
        <v>37354</v>
      </c>
      <c r="X2186" t="s">
        <v>37355</v>
      </c>
      <c r="Y2186" t="s">
        <v>37356</v>
      </c>
      <c r="Z2186" t="s">
        <v>37357</v>
      </c>
      <c r="AA2186" t="s">
        <v>37358</v>
      </c>
      <c r="AB2186" t="s">
        <v>37359</v>
      </c>
      <c r="AC2186" t="s">
        <v>74</v>
      </c>
      <c r="AD2186" t="s">
        <v>74</v>
      </c>
      <c r="AE2186" t="s">
        <v>74</v>
      </c>
      <c r="AF2186" t="s">
        <v>74</v>
      </c>
      <c r="AG2186">
        <v>124</v>
      </c>
      <c r="AH2186">
        <v>0</v>
      </c>
      <c r="AI2186">
        <v>0</v>
      </c>
      <c r="AJ2186">
        <v>13</v>
      </c>
      <c r="AK2186">
        <v>13</v>
      </c>
      <c r="AL2186" t="s">
        <v>199</v>
      </c>
      <c r="AM2186" t="s">
        <v>200</v>
      </c>
      <c r="AN2186" t="s">
        <v>471</v>
      </c>
      <c r="AO2186" t="s">
        <v>37360</v>
      </c>
      <c r="AP2186" t="s">
        <v>37361</v>
      </c>
      <c r="AQ2186" t="s">
        <v>74</v>
      </c>
      <c r="AR2186" t="s">
        <v>37362</v>
      </c>
      <c r="AS2186" t="s">
        <v>37363</v>
      </c>
      <c r="AT2186" t="s">
        <v>14202</v>
      </c>
      <c r="AU2186">
        <v>2024</v>
      </c>
      <c r="AV2186" t="s">
        <v>74</v>
      </c>
      <c r="AW2186" t="s">
        <v>74</v>
      </c>
      <c r="AX2186" t="s">
        <v>74</v>
      </c>
      <c r="AY2186" t="s">
        <v>74</v>
      </c>
      <c r="AZ2186" t="s">
        <v>74</v>
      </c>
      <c r="BA2186" t="s">
        <v>74</v>
      </c>
      <c r="BB2186" t="s">
        <v>74</v>
      </c>
      <c r="BC2186" t="s">
        <v>74</v>
      </c>
      <c r="BD2186" t="s">
        <v>74</v>
      </c>
      <c r="BE2186" t="s">
        <v>37364</v>
      </c>
      <c r="BF2186" t="str">
        <f>HYPERLINK("http://dx.doi.org/10.1108/JPBM-12-2023-4879","http://dx.doi.org/10.1108/JPBM-12-2023-4879")</f>
        <v>http://dx.doi.org/10.1108/JPBM-12-2023-4879</v>
      </c>
      <c r="BG2186" t="s">
        <v>74</v>
      </c>
      <c r="BH2186" t="s">
        <v>2444</v>
      </c>
      <c r="BI2186">
        <v>17</v>
      </c>
      <c r="BJ2186" t="s">
        <v>479</v>
      </c>
      <c r="BK2186" t="s">
        <v>99</v>
      </c>
      <c r="BL2186" t="s">
        <v>480</v>
      </c>
      <c r="BM2186" t="s">
        <v>37365</v>
      </c>
      <c r="BN2186" t="s">
        <v>74</v>
      </c>
      <c r="BO2186" t="s">
        <v>74</v>
      </c>
      <c r="BP2186" t="s">
        <v>74</v>
      </c>
      <c r="BQ2186" t="s">
        <v>74</v>
      </c>
      <c r="BR2186" t="s">
        <v>102</v>
      </c>
      <c r="BS2186" t="s">
        <v>37366</v>
      </c>
      <c r="BT2186" t="str">
        <f>HYPERLINK("https%3A%2F%2Fwww.webofscience.com%2Fwos%2Fwoscc%2Ffull-record%2FWOS:001283838500001","View Full Record in Web of Science")</f>
        <v>View Full Record in Web of Science</v>
      </c>
    </row>
    <row r="2187" spans="1:72" x14ac:dyDescent="0.35">
      <c r="A2187" t="s">
        <v>72</v>
      </c>
      <c r="B2187" t="s">
        <v>37367</v>
      </c>
      <c r="C2187" t="s">
        <v>74</v>
      </c>
      <c r="D2187" t="s">
        <v>74</v>
      </c>
      <c r="E2187" t="s">
        <v>74</v>
      </c>
      <c r="F2187" t="s">
        <v>37368</v>
      </c>
      <c r="G2187" t="s">
        <v>74</v>
      </c>
      <c r="H2187" t="s">
        <v>74</v>
      </c>
      <c r="I2187" t="s">
        <v>37369</v>
      </c>
      <c r="J2187" t="s">
        <v>3000</v>
      </c>
      <c r="K2187" t="s">
        <v>74</v>
      </c>
      <c r="L2187" t="s">
        <v>74</v>
      </c>
      <c r="M2187" t="s">
        <v>78</v>
      </c>
      <c r="N2187" t="s">
        <v>79</v>
      </c>
      <c r="O2187" t="s">
        <v>74</v>
      </c>
      <c r="P2187" t="s">
        <v>74</v>
      </c>
      <c r="Q2187" t="s">
        <v>74</v>
      </c>
      <c r="R2187" t="s">
        <v>74</v>
      </c>
      <c r="S2187" t="s">
        <v>74</v>
      </c>
      <c r="T2187" t="s">
        <v>37370</v>
      </c>
      <c r="U2187" t="s">
        <v>74</v>
      </c>
      <c r="V2187" t="s">
        <v>37371</v>
      </c>
      <c r="W2187" t="s">
        <v>37372</v>
      </c>
      <c r="X2187" t="s">
        <v>37373</v>
      </c>
      <c r="Y2187" t="s">
        <v>37374</v>
      </c>
      <c r="Z2187" t="s">
        <v>7546</v>
      </c>
      <c r="AA2187" t="s">
        <v>74</v>
      </c>
      <c r="AB2187" t="s">
        <v>37375</v>
      </c>
      <c r="AC2187" t="s">
        <v>37376</v>
      </c>
      <c r="AD2187" t="s">
        <v>37377</v>
      </c>
      <c r="AE2187" t="s">
        <v>37378</v>
      </c>
      <c r="AF2187" t="s">
        <v>74</v>
      </c>
      <c r="AG2187">
        <v>31</v>
      </c>
      <c r="AH2187">
        <v>0</v>
      </c>
      <c r="AI2187">
        <v>0</v>
      </c>
      <c r="AJ2187">
        <v>0</v>
      </c>
      <c r="AK2187">
        <v>0</v>
      </c>
      <c r="AL2187" t="s">
        <v>994</v>
      </c>
      <c r="AM2187" t="s">
        <v>995</v>
      </c>
      <c r="AN2187" t="s">
        <v>996</v>
      </c>
      <c r="AO2187" t="s">
        <v>3011</v>
      </c>
      <c r="AP2187" t="s">
        <v>3012</v>
      </c>
      <c r="AQ2187" t="s">
        <v>74</v>
      </c>
      <c r="AR2187" t="s">
        <v>3013</v>
      </c>
      <c r="AS2187" t="s">
        <v>3014</v>
      </c>
      <c r="AT2187" t="s">
        <v>30158</v>
      </c>
      <c r="AU2187">
        <v>2024</v>
      </c>
      <c r="AV2187" t="s">
        <v>74</v>
      </c>
      <c r="AW2187" t="s">
        <v>74</v>
      </c>
      <c r="AX2187" t="s">
        <v>74</v>
      </c>
      <c r="AY2187" t="s">
        <v>74</v>
      </c>
      <c r="AZ2187" t="s">
        <v>74</v>
      </c>
      <c r="BA2187" t="s">
        <v>74</v>
      </c>
      <c r="BB2187" t="s">
        <v>74</v>
      </c>
      <c r="BC2187" t="s">
        <v>74</v>
      </c>
      <c r="BD2187" t="s">
        <v>74</v>
      </c>
      <c r="BE2187" t="s">
        <v>37379</v>
      </c>
      <c r="BF2187" t="str">
        <f>HYPERLINK("http://dx.doi.org/10.1080/10826084.2024.2427157","http://dx.doi.org/10.1080/10826084.2024.2427157")</f>
        <v>http://dx.doi.org/10.1080/10826084.2024.2427157</v>
      </c>
      <c r="BG2187" t="s">
        <v>74</v>
      </c>
      <c r="BH2187" t="s">
        <v>4092</v>
      </c>
      <c r="BI2187">
        <v>5</v>
      </c>
      <c r="BJ2187" t="s">
        <v>3016</v>
      </c>
      <c r="BK2187" t="s">
        <v>182</v>
      </c>
      <c r="BL2187" t="s">
        <v>3016</v>
      </c>
      <c r="BM2187" t="s">
        <v>37380</v>
      </c>
      <c r="BN2187">
        <v>39543855</v>
      </c>
      <c r="BO2187" t="s">
        <v>74</v>
      </c>
      <c r="BP2187" t="s">
        <v>74</v>
      </c>
      <c r="BQ2187" t="s">
        <v>74</v>
      </c>
      <c r="BR2187" t="s">
        <v>102</v>
      </c>
      <c r="BS2187" t="s">
        <v>37381</v>
      </c>
      <c r="BT2187" t="str">
        <f>HYPERLINK("https%3A%2F%2Fwww.webofscience.com%2Fwos%2Fwoscc%2Ffull-record%2FWOS:001355432300001","View Full Record in Web of Science")</f>
        <v>View Full Record in Web of Science</v>
      </c>
    </row>
    <row r="2188" spans="1:72" x14ac:dyDescent="0.35">
      <c r="A2188" t="s">
        <v>72</v>
      </c>
      <c r="B2188" t="s">
        <v>37382</v>
      </c>
      <c r="C2188" t="s">
        <v>74</v>
      </c>
      <c r="D2188" t="s">
        <v>74</v>
      </c>
      <c r="E2188" t="s">
        <v>74</v>
      </c>
      <c r="F2188" t="s">
        <v>37383</v>
      </c>
      <c r="G2188" t="s">
        <v>74</v>
      </c>
      <c r="H2188" t="s">
        <v>74</v>
      </c>
      <c r="I2188" t="s">
        <v>37384</v>
      </c>
      <c r="J2188" t="s">
        <v>37385</v>
      </c>
      <c r="K2188" t="s">
        <v>74</v>
      </c>
      <c r="L2188" t="s">
        <v>74</v>
      </c>
      <c r="M2188" t="s">
        <v>78</v>
      </c>
      <c r="N2188" t="s">
        <v>108</v>
      </c>
      <c r="O2188" t="s">
        <v>74</v>
      </c>
      <c r="P2188" t="s">
        <v>74</v>
      </c>
      <c r="Q2188" t="s">
        <v>74</v>
      </c>
      <c r="R2188" t="s">
        <v>74</v>
      </c>
      <c r="S2188" t="s">
        <v>74</v>
      </c>
      <c r="T2188" t="s">
        <v>37386</v>
      </c>
      <c r="U2188" t="s">
        <v>74</v>
      </c>
      <c r="V2188" t="s">
        <v>37387</v>
      </c>
      <c r="W2188" t="s">
        <v>37388</v>
      </c>
      <c r="X2188" t="s">
        <v>37389</v>
      </c>
      <c r="Y2188" t="s">
        <v>37390</v>
      </c>
      <c r="Z2188" t="s">
        <v>37391</v>
      </c>
      <c r="AA2188" t="s">
        <v>37392</v>
      </c>
      <c r="AB2188" t="s">
        <v>37393</v>
      </c>
      <c r="AC2188" t="s">
        <v>37394</v>
      </c>
      <c r="AD2188" t="s">
        <v>37395</v>
      </c>
      <c r="AE2188" t="s">
        <v>37396</v>
      </c>
      <c r="AF2188" t="s">
        <v>74</v>
      </c>
      <c r="AG2188">
        <v>16</v>
      </c>
      <c r="AH2188">
        <v>1</v>
      </c>
      <c r="AI2188">
        <v>1</v>
      </c>
      <c r="AJ2188">
        <v>4</v>
      </c>
      <c r="AK2188">
        <v>4</v>
      </c>
      <c r="AL2188" t="s">
        <v>25124</v>
      </c>
      <c r="AM2188" t="s">
        <v>18022</v>
      </c>
      <c r="AN2188" t="s">
        <v>25125</v>
      </c>
      <c r="AO2188" t="s">
        <v>37397</v>
      </c>
      <c r="AP2188" t="s">
        <v>37398</v>
      </c>
      <c r="AQ2188" t="s">
        <v>74</v>
      </c>
      <c r="AR2188" t="s">
        <v>37385</v>
      </c>
      <c r="AS2188" t="s">
        <v>37399</v>
      </c>
      <c r="AT2188" t="s">
        <v>745</v>
      </c>
      <c r="AU2188">
        <v>2024</v>
      </c>
      <c r="AV2188">
        <v>38</v>
      </c>
      <c r="AW2188">
        <v>3</v>
      </c>
      <c r="AX2188" t="s">
        <v>74</v>
      </c>
      <c r="AY2188" t="s">
        <v>74</v>
      </c>
      <c r="AZ2188" t="s">
        <v>74</v>
      </c>
      <c r="BA2188" t="s">
        <v>74</v>
      </c>
      <c r="BB2188">
        <v>285</v>
      </c>
      <c r="BC2188">
        <v>291</v>
      </c>
      <c r="BD2188" t="s">
        <v>74</v>
      </c>
      <c r="BE2188" t="s">
        <v>37400</v>
      </c>
      <c r="BF2188" t="str">
        <f>HYPERLINK("http://dx.doi.org/10.1109/MNET.2023.3321526","http://dx.doi.org/10.1109/MNET.2023.3321526")</f>
        <v>http://dx.doi.org/10.1109/MNET.2023.3321526</v>
      </c>
      <c r="BG2188" t="s">
        <v>74</v>
      </c>
      <c r="BH2188" t="s">
        <v>74</v>
      </c>
      <c r="BI2188">
        <v>7</v>
      </c>
      <c r="BJ2188" t="s">
        <v>37401</v>
      </c>
      <c r="BK2188" t="s">
        <v>209</v>
      </c>
      <c r="BL2188" t="s">
        <v>25130</v>
      </c>
      <c r="BM2188" t="s">
        <v>37402</v>
      </c>
      <c r="BN2188" t="s">
        <v>74</v>
      </c>
      <c r="BO2188" t="s">
        <v>74</v>
      </c>
      <c r="BP2188" t="s">
        <v>74</v>
      </c>
      <c r="BQ2188" t="s">
        <v>74</v>
      </c>
      <c r="BR2188" t="s">
        <v>102</v>
      </c>
      <c r="BS2188" t="s">
        <v>37403</v>
      </c>
      <c r="BT2188" t="str">
        <f>HYPERLINK("https%3A%2F%2Fwww.webofscience.com%2Fwos%2Fwoscc%2Ffull-record%2FWOS:001238538200024","View Full Record in Web of Science")</f>
        <v>View Full Record in Web of Science</v>
      </c>
    </row>
    <row r="2189" spans="1:72" x14ac:dyDescent="0.35">
      <c r="A2189" t="s">
        <v>72</v>
      </c>
      <c r="B2189" t="s">
        <v>37404</v>
      </c>
      <c r="C2189" t="s">
        <v>74</v>
      </c>
      <c r="D2189" t="s">
        <v>74</v>
      </c>
      <c r="E2189" t="s">
        <v>74</v>
      </c>
      <c r="F2189" t="s">
        <v>37405</v>
      </c>
      <c r="G2189" t="s">
        <v>74</v>
      </c>
      <c r="H2189" t="s">
        <v>74</v>
      </c>
      <c r="I2189" t="s">
        <v>37406</v>
      </c>
      <c r="J2189" t="s">
        <v>9090</v>
      </c>
      <c r="K2189" t="s">
        <v>74</v>
      </c>
      <c r="L2189" t="s">
        <v>74</v>
      </c>
      <c r="M2189" t="s">
        <v>78</v>
      </c>
      <c r="N2189" t="s">
        <v>108</v>
      </c>
      <c r="O2189" t="s">
        <v>74</v>
      </c>
      <c r="P2189" t="s">
        <v>74</v>
      </c>
      <c r="Q2189" t="s">
        <v>74</v>
      </c>
      <c r="R2189" t="s">
        <v>74</v>
      </c>
      <c r="S2189" t="s">
        <v>74</v>
      </c>
      <c r="T2189" t="s">
        <v>74</v>
      </c>
      <c r="U2189" t="s">
        <v>37407</v>
      </c>
      <c r="V2189" t="s">
        <v>37408</v>
      </c>
      <c r="W2189" t="s">
        <v>37409</v>
      </c>
      <c r="X2189" t="s">
        <v>37410</v>
      </c>
      <c r="Y2189" t="s">
        <v>37411</v>
      </c>
      <c r="Z2189" t="s">
        <v>37412</v>
      </c>
      <c r="AA2189" t="s">
        <v>37413</v>
      </c>
      <c r="AB2189" t="s">
        <v>37414</v>
      </c>
      <c r="AC2189" t="s">
        <v>74</v>
      </c>
      <c r="AD2189" t="s">
        <v>74</v>
      </c>
      <c r="AE2189" t="s">
        <v>74</v>
      </c>
      <c r="AF2189" t="s">
        <v>74</v>
      </c>
      <c r="AG2189">
        <v>56</v>
      </c>
      <c r="AH2189">
        <v>0</v>
      </c>
      <c r="AI2189">
        <v>0</v>
      </c>
      <c r="AJ2189">
        <v>15</v>
      </c>
      <c r="AK2189">
        <v>21</v>
      </c>
      <c r="AL2189" t="s">
        <v>2248</v>
      </c>
      <c r="AM2189" t="s">
        <v>2249</v>
      </c>
      <c r="AN2189" t="s">
        <v>2250</v>
      </c>
      <c r="AO2189" t="s">
        <v>9096</v>
      </c>
      <c r="AP2189" t="s">
        <v>9097</v>
      </c>
      <c r="AQ2189" t="s">
        <v>74</v>
      </c>
      <c r="AR2189" t="s">
        <v>9098</v>
      </c>
      <c r="AS2189" t="s">
        <v>9099</v>
      </c>
      <c r="AT2189" t="s">
        <v>7764</v>
      </c>
      <c r="AU2189">
        <v>2024</v>
      </c>
      <c r="AV2189">
        <v>44</v>
      </c>
      <c r="AW2189">
        <v>7</v>
      </c>
      <c r="AX2189" t="s">
        <v>74</v>
      </c>
      <c r="AY2189" t="s">
        <v>74</v>
      </c>
      <c r="AZ2189" t="s">
        <v>74</v>
      </c>
      <c r="BA2189" t="s">
        <v>74</v>
      </c>
      <c r="BB2189">
        <v>769</v>
      </c>
      <c r="BC2189">
        <v>778</v>
      </c>
      <c r="BD2189" t="s">
        <v>74</v>
      </c>
      <c r="BE2189" t="s">
        <v>37415</v>
      </c>
      <c r="BF2189" t="str">
        <f>HYPERLINK("http://dx.doi.org/10.1093/asj/sjae036","http://dx.doi.org/10.1093/asj/sjae036")</f>
        <v>http://dx.doi.org/10.1093/asj/sjae036</v>
      </c>
      <c r="BG2189" t="s">
        <v>74</v>
      </c>
      <c r="BH2189" t="s">
        <v>123</v>
      </c>
      <c r="BI2189">
        <v>10</v>
      </c>
      <c r="BJ2189" t="s">
        <v>4994</v>
      </c>
      <c r="BK2189" t="s">
        <v>209</v>
      </c>
      <c r="BL2189" t="s">
        <v>4994</v>
      </c>
      <c r="BM2189" t="s">
        <v>37416</v>
      </c>
      <c r="BN2189">
        <v>38366026</v>
      </c>
      <c r="BO2189" t="s">
        <v>74</v>
      </c>
      <c r="BP2189" t="s">
        <v>74</v>
      </c>
      <c r="BQ2189" t="s">
        <v>74</v>
      </c>
      <c r="BR2189" t="s">
        <v>102</v>
      </c>
      <c r="BS2189" t="s">
        <v>37417</v>
      </c>
      <c r="BT2189" t="str">
        <f>HYPERLINK("https%3A%2F%2Fwww.webofscience.com%2Fwos%2Fwoscc%2Ffull-record%2FWOS:001193092800001","View Full Record in Web of Science")</f>
        <v>View Full Record in Web of Science</v>
      </c>
    </row>
    <row r="2190" spans="1:72" x14ac:dyDescent="0.35">
      <c r="A2190" t="s">
        <v>72</v>
      </c>
      <c r="B2190" t="s">
        <v>37418</v>
      </c>
      <c r="C2190" t="s">
        <v>74</v>
      </c>
      <c r="D2190" t="s">
        <v>74</v>
      </c>
      <c r="E2190" t="s">
        <v>74</v>
      </c>
      <c r="F2190" t="s">
        <v>37419</v>
      </c>
      <c r="G2190" t="s">
        <v>74</v>
      </c>
      <c r="H2190" t="s">
        <v>74</v>
      </c>
      <c r="I2190" t="s">
        <v>37420</v>
      </c>
      <c r="J2190" t="s">
        <v>37421</v>
      </c>
      <c r="K2190" t="s">
        <v>74</v>
      </c>
      <c r="L2190" t="s">
        <v>74</v>
      </c>
      <c r="M2190" t="s">
        <v>78</v>
      </c>
      <c r="N2190" t="s">
        <v>108</v>
      </c>
      <c r="O2190" t="s">
        <v>74</v>
      </c>
      <c r="P2190" t="s">
        <v>74</v>
      </c>
      <c r="Q2190" t="s">
        <v>74</v>
      </c>
      <c r="R2190" t="s">
        <v>74</v>
      </c>
      <c r="S2190" t="s">
        <v>74</v>
      </c>
      <c r="T2190" t="s">
        <v>37422</v>
      </c>
      <c r="U2190" t="s">
        <v>37423</v>
      </c>
      <c r="V2190" t="s">
        <v>37424</v>
      </c>
      <c r="W2190" t="s">
        <v>37425</v>
      </c>
      <c r="X2190" t="s">
        <v>33987</v>
      </c>
      <c r="Y2190" t="s">
        <v>37426</v>
      </c>
      <c r="Z2190" t="s">
        <v>37427</v>
      </c>
      <c r="AA2190" t="s">
        <v>74</v>
      </c>
      <c r="AB2190" t="s">
        <v>74</v>
      </c>
      <c r="AC2190" t="s">
        <v>37428</v>
      </c>
      <c r="AD2190" t="s">
        <v>37429</v>
      </c>
      <c r="AE2190" t="s">
        <v>37430</v>
      </c>
      <c r="AF2190" t="s">
        <v>74</v>
      </c>
      <c r="AG2190">
        <v>138</v>
      </c>
      <c r="AH2190">
        <v>0</v>
      </c>
      <c r="AI2190">
        <v>0</v>
      </c>
      <c r="AJ2190">
        <v>9</v>
      </c>
      <c r="AK2190">
        <v>9</v>
      </c>
      <c r="AL2190" t="s">
        <v>20625</v>
      </c>
      <c r="AM2190" t="s">
        <v>20626</v>
      </c>
      <c r="AN2190" t="s">
        <v>37431</v>
      </c>
      <c r="AO2190" t="s">
        <v>37432</v>
      </c>
      <c r="AP2190" t="s">
        <v>37433</v>
      </c>
      <c r="AQ2190" t="s">
        <v>74</v>
      </c>
      <c r="AR2190" t="s">
        <v>37434</v>
      </c>
      <c r="AS2190" t="s">
        <v>37435</v>
      </c>
      <c r="AT2190" t="s">
        <v>1484</v>
      </c>
      <c r="AU2190">
        <v>2024</v>
      </c>
      <c r="AV2190">
        <v>16</v>
      </c>
      <c r="AW2190">
        <v>1</v>
      </c>
      <c r="AX2190" t="s">
        <v>74</v>
      </c>
      <c r="AY2190" t="s">
        <v>74</v>
      </c>
      <c r="AZ2190" t="s">
        <v>74</v>
      </c>
      <c r="BA2190" t="s">
        <v>74</v>
      </c>
      <c r="BB2190">
        <v>119</v>
      </c>
      <c r="BC2190">
        <v>143</v>
      </c>
      <c r="BD2190" t="s">
        <v>74</v>
      </c>
      <c r="BE2190" t="s">
        <v>37436</v>
      </c>
      <c r="BF2190" t="str">
        <f>HYPERLINK("http://dx.doi.org/10.17705/1pais.16107","http://dx.doi.org/10.17705/1pais.16107")</f>
        <v>http://dx.doi.org/10.17705/1pais.16107</v>
      </c>
      <c r="BG2190" t="s">
        <v>74</v>
      </c>
      <c r="BH2190" t="s">
        <v>74</v>
      </c>
      <c r="BI2190">
        <v>25</v>
      </c>
      <c r="BJ2190" t="s">
        <v>1162</v>
      </c>
      <c r="BK2190" t="s">
        <v>125</v>
      </c>
      <c r="BL2190" t="s">
        <v>1162</v>
      </c>
      <c r="BM2190" t="s">
        <v>37437</v>
      </c>
      <c r="BN2190" t="s">
        <v>74</v>
      </c>
      <c r="BO2190" t="s">
        <v>74</v>
      </c>
      <c r="BP2190" t="s">
        <v>74</v>
      </c>
      <c r="BQ2190" t="s">
        <v>74</v>
      </c>
      <c r="BR2190" t="s">
        <v>102</v>
      </c>
      <c r="BS2190" t="s">
        <v>37438</v>
      </c>
      <c r="BT2190" t="str">
        <f>HYPERLINK("https%3A%2F%2Fwww.webofscience.com%2Fwos%2Fwoscc%2Ffull-record%2FWOS:001285357100007","View Full Record in Web of Science")</f>
        <v>View Full Record in Web of Science</v>
      </c>
    </row>
    <row r="2191" spans="1:72" x14ac:dyDescent="0.35">
      <c r="A2191" t="s">
        <v>72</v>
      </c>
      <c r="B2191" t="s">
        <v>37439</v>
      </c>
      <c r="C2191" t="s">
        <v>74</v>
      </c>
      <c r="D2191" t="s">
        <v>74</v>
      </c>
      <c r="E2191" t="s">
        <v>74</v>
      </c>
      <c r="F2191" t="s">
        <v>37440</v>
      </c>
      <c r="G2191" t="s">
        <v>74</v>
      </c>
      <c r="H2191" t="s">
        <v>74</v>
      </c>
      <c r="I2191" t="s">
        <v>37441</v>
      </c>
      <c r="J2191" t="s">
        <v>37442</v>
      </c>
      <c r="K2191" t="s">
        <v>74</v>
      </c>
      <c r="L2191" t="s">
        <v>74</v>
      </c>
      <c r="M2191" t="s">
        <v>78</v>
      </c>
      <c r="N2191" t="s">
        <v>108</v>
      </c>
      <c r="O2191" t="s">
        <v>74</v>
      </c>
      <c r="P2191" t="s">
        <v>74</v>
      </c>
      <c r="Q2191" t="s">
        <v>74</v>
      </c>
      <c r="R2191" t="s">
        <v>74</v>
      </c>
      <c r="S2191" t="s">
        <v>74</v>
      </c>
      <c r="T2191" t="s">
        <v>37443</v>
      </c>
      <c r="U2191" t="s">
        <v>37444</v>
      </c>
      <c r="V2191" t="s">
        <v>37445</v>
      </c>
      <c r="W2191" t="s">
        <v>37446</v>
      </c>
      <c r="X2191" t="s">
        <v>37447</v>
      </c>
      <c r="Y2191" t="s">
        <v>37448</v>
      </c>
      <c r="Z2191" t="s">
        <v>37449</v>
      </c>
      <c r="AA2191" t="s">
        <v>37450</v>
      </c>
      <c r="AB2191" t="s">
        <v>37451</v>
      </c>
      <c r="AC2191" t="s">
        <v>37452</v>
      </c>
      <c r="AD2191" t="s">
        <v>37453</v>
      </c>
      <c r="AE2191" t="s">
        <v>37454</v>
      </c>
      <c r="AF2191" t="s">
        <v>74</v>
      </c>
      <c r="AG2191">
        <v>44</v>
      </c>
      <c r="AH2191">
        <v>3</v>
      </c>
      <c r="AI2191">
        <v>3</v>
      </c>
      <c r="AJ2191">
        <v>9</v>
      </c>
      <c r="AK2191">
        <v>23</v>
      </c>
      <c r="AL2191" t="s">
        <v>25299</v>
      </c>
      <c r="AM2191" t="s">
        <v>25300</v>
      </c>
      <c r="AN2191" t="s">
        <v>25301</v>
      </c>
      <c r="AO2191" t="s">
        <v>37455</v>
      </c>
      <c r="AP2191" t="s">
        <v>37456</v>
      </c>
      <c r="AQ2191" t="s">
        <v>74</v>
      </c>
      <c r="AR2191" t="s">
        <v>37457</v>
      </c>
      <c r="AS2191" t="s">
        <v>37458</v>
      </c>
      <c r="AT2191" t="s">
        <v>178</v>
      </c>
      <c r="AU2191">
        <v>2024</v>
      </c>
      <c r="AV2191">
        <v>80</v>
      </c>
      <c r="AW2191">
        <v>2</v>
      </c>
      <c r="AX2191" t="s">
        <v>74</v>
      </c>
      <c r="AY2191" t="s">
        <v>74</v>
      </c>
      <c r="AZ2191" t="s">
        <v>74</v>
      </c>
      <c r="BA2191" t="s">
        <v>74</v>
      </c>
      <c r="BB2191">
        <v>678</v>
      </c>
      <c r="BC2191">
        <v>686</v>
      </c>
      <c r="BD2191" t="s">
        <v>74</v>
      </c>
      <c r="BE2191" t="s">
        <v>37459</v>
      </c>
      <c r="BF2191" t="str">
        <f>HYPERLINK("http://dx.doi.org/10.1002/ps.7796","http://dx.doi.org/10.1002/ps.7796")</f>
        <v>http://dx.doi.org/10.1002/ps.7796</v>
      </c>
      <c r="BG2191" t="s">
        <v>74</v>
      </c>
      <c r="BH2191" t="s">
        <v>207</v>
      </c>
      <c r="BI2191">
        <v>9</v>
      </c>
      <c r="BJ2191" t="s">
        <v>37460</v>
      </c>
      <c r="BK2191" t="s">
        <v>209</v>
      </c>
      <c r="BL2191" t="s">
        <v>37461</v>
      </c>
      <c r="BM2191" t="s">
        <v>37462</v>
      </c>
      <c r="BN2191">
        <v>37758689</v>
      </c>
      <c r="BO2191" t="s">
        <v>74</v>
      </c>
      <c r="BP2191" t="s">
        <v>74</v>
      </c>
      <c r="BQ2191" t="s">
        <v>74</v>
      </c>
      <c r="BR2191" t="s">
        <v>102</v>
      </c>
      <c r="BS2191" t="s">
        <v>37463</v>
      </c>
      <c r="BT2191" t="str">
        <f>HYPERLINK("https%3A%2F%2Fwww.webofscience.com%2Fwos%2Fwoscc%2Ffull-record%2FWOS:001093823400001","View Full Record in Web of Science")</f>
        <v>View Full Record in Web of Science</v>
      </c>
    </row>
    <row r="2192" spans="1:72" x14ac:dyDescent="0.35">
      <c r="A2192" t="s">
        <v>72</v>
      </c>
      <c r="B2192" t="s">
        <v>37464</v>
      </c>
      <c r="C2192" t="s">
        <v>74</v>
      </c>
      <c r="D2192" t="s">
        <v>74</v>
      </c>
      <c r="E2192" t="s">
        <v>74</v>
      </c>
      <c r="F2192" t="s">
        <v>37465</v>
      </c>
      <c r="G2192" t="s">
        <v>74</v>
      </c>
      <c r="H2192" t="s">
        <v>74</v>
      </c>
      <c r="I2192" t="s">
        <v>37466</v>
      </c>
      <c r="J2192" t="s">
        <v>23248</v>
      </c>
      <c r="K2192" t="s">
        <v>74</v>
      </c>
      <c r="L2192" t="s">
        <v>74</v>
      </c>
      <c r="M2192" t="s">
        <v>78</v>
      </c>
      <c r="N2192" t="s">
        <v>108</v>
      </c>
      <c r="O2192" t="s">
        <v>74</v>
      </c>
      <c r="P2192" t="s">
        <v>74</v>
      </c>
      <c r="Q2192" t="s">
        <v>74</v>
      </c>
      <c r="R2192" t="s">
        <v>74</v>
      </c>
      <c r="S2192" t="s">
        <v>74</v>
      </c>
      <c r="T2192" t="s">
        <v>37467</v>
      </c>
      <c r="U2192" t="s">
        <v>37468</v>
      </c>
      <c r="V2192" t="s">
        <v>37469</v>
      </c>
      <c r="W2192" t="s">
        <v>37470</v>
      </c>
      <c r="X2192" t="s">
        <v>37471</v>
      </c>
      <c r="Y2192" t="s">
        <v>37472</v>
      </c>
      <c r="Z2192" t="s">
        <v>37473</v>
      </c>
      <c r="AA2192" t="s">
        <v>37474</v>
      </c>
      <c r="AB2192" t="s">
        <v>74</v>
      </c>
      <c r="AC2192" t="s">
        <v>74</v>
      </c>
      <c r="AD2192" t="s">
        <v>74</v>
      </c>
      <c r="AE2192" t="s">
        <v>74</v>
      </c>
      <c r="AF2192" t="s">
        <v>74</v>
      </c>
      <c r="AG2192">
        <v>78</v>
      </c>
      <c r="AH2192">
        <v>29</v>
      </c>
      <c r="AI2192">
        <v>31</v>
      </c>
      <c r="AJ2192">
        <v>65</v>
      </c>
      <c r="AK2192">
        <v>225</v>
      </c>
      <c r="AL2192" t="s">
        <v>199</v>
      </c>
      <c r="AM2192" t="s">
        <v>200</v>
      </c>
      <c r="AN2192" t="s">
        <v>471</v>
      </c>
      <c r="AO2192" t="s">
        <v>23257</v>
      </c>
      <c r="AP2192" t="s">
        <v>23258</v>
      </c>
      <c r="AQ2192" t="s">
        <v>74</v>
      </c>
      <c r="AR2192" t="s">
        <v>23259</v>
      </c>
      <c r="AS2192" t="s">
        <v>23260</v>
      </c>
      <c r="AT2192" t="s">
        <v>18788</v>
      </c>
      <c r="AU2192">
        <v>2024</v>
      </c>
      <c r="AV2192">
        <v>28</v>
      </c>
      <c r="AW2192">
        <v>1</v>
      </c>
      <c r="AX2192" t="s">
        <v>74</v>
      </c>
      <c r="AY2192" t="s">
        <v>74</v>
      </c>
      <c r="AZ2192" t="s">
        <v>74</v>
      </c>
      <c r="BA2192" t="s">
        <v>74</v>
      </c>
      <c r="BB2192">
        <v>27</v>
      </c>
      <c r="BC2192">
        <v>43</v>
      </c>
      <c r="BD2192" t="s">
        <v>74</v>
      </c>
      <c r="BE2192" t="s">
        <v>37475</v>
      </c>
      <c r="BF2192" t="str">
        <f>HYPERLINK("http://dx.doi.org/10.1108/JKM-10-2022-0792","http://dx.doi.org/10.1108/JKM-10-2022-0792")</f>
        <v>http://dx.doi.org/10.1108/JKM-10-2022-0792</v>
      </c>
      <c r="BG2192" t="s">
        <v>74</v>
      </c>
      <c r="BH2192" t="s">
        <v>299</v>
      </c>
      <c r="BI2192">
        <v>17</v>
      </c>
      <c r="BJ2192" t="s">
        <v>23262</v>
      </c>
      <c r="BK2192" t="s">
        <v>99</v>
      </c>
      <c r="BL2192" t="s">
        <v>23263</v>
      </c>
      <c r="BM2192" t="s">
        <v>37476</v>
      </c>
      <c r="BN2192" t="s">
        <v>74</v>
      </c>
      <c r="BO2192" t="s">
        <v>74</v>
      </c>
      <c r="BP2192" t="s">
        <v>74</v>
      </c>
      <c r="BQ2192" t="s">
        <v>74</v>
      </c>
      <c r="BR2192" t="s">
        <v>102</v>
      </c>
      <c r="BS2192" t="s">
        <v>37477</v>
      </c>
      <c r="BT2192" t="str">
        <f>HYPERLINK("https%3A%2F%2Fwww.webofscience.com%2Fwos%2Fwoscc%2Ffull-record%2FWOS:000967953000001","View Full Record in Web of Science")</f>
        <v>View Full Record in Web of Science</v>
      </c>
    </row>
    <row r="2193" spans="1:72" x14ac:dyDescent="0.35">
      <c r="A2193" t="s">
        <v>72</v>
      </c>
      <c r="B2193" t="s">
        <v>37478</v>
      </c>
      <c r="C2193" t="s">
        <v>74</v>
      </c>
      <c r="D2193" t="s">
        <v>74</v>
      </c>
      <c r="E2193" t="s">
        <v>74</v>
      </c>
      <c r="F2193" t="s">
        <v>37479</v>
      </c>
      <c r="G2193" t="s">
        <v>74</v>
      </c>
      <c r="H2193" t="s">
        <v>74</v>
      </c>
      <c r="I2193" t="s">
        <v>37480</v>
      </c>
      <c r="J2193" t="s">
        <v>33056</v>
      </c>
      <c r="K2193" t="s">
        <v>74</v>
      </c>
      <c r="L2193" t="s">
        <v>74</v>
      </c>
      <c r="M2193" t="s">
        <v>78</v>
      </c>
      <c r="N2193" t="s">
        <v>108</v>
      </c>
      <c r="O2193" t="s">
        <v>74</v>
      </c>
      <c r="P2193" t="s">
        <v>74</v>
      </c>
      <c r="Q2193" t="s">
        <v>74</v>
      </c>
      <c r="R2193" t="s">
        <v>74</v>
      </c>
      <c r="S2193" t="s">
        <v>74</v>
      </c>
      <c r="T2193" t="s">
        <v>37481</v>
      </c>
      <c r="U2193" t="s">
        <v>37482</v>
      </c>
      <c r="V2193" t="s">
        <v>37483</v>
      </c>
      <c r="W2193" t="s">
        <v>37484</v>
      </c>
      <c r="X2193" t="s">
        <v>37485</v>
      </c>
      <c r="Y2193" t="s">
        <v>37486</v>
      </c>
      <c r="Z2193" t="s">
        <v>37487</v>
      </c>
      <c r="AA2193" t="s">
        <v>37488</v>
      </c>
      <c r="AB2193" t="s">
        <v>37489</v>
      </c>
      <c r="AC2193" t="s">
        <v>74</v>
      </c>
      <c r="AD2193" t="s">
        <v>74</v>
      </c>
      <c r="AE2193" t="s">
        <v>74</v>
      </c>
      <c r="AF2193" t="s">
        <v>74</v>
      </c>
      <c r="AG2193">
        <v>104</v>
      </c>
      <c r="AH2193">
        <v>0</v>
      </c>
      <c r="AI2193">
        <v>0</v>
      </c>
      <c r="AJ2193">
        <v>5</v>
      </c>
      <c r="AK2193">
        <v>8</v>
      </c>
      <c r="AL2193" t="s">
        <v>33065</v>
      </c>
      <c r="AM2193" t="s">
        <v>12103</v>
      </c>
      <c r="AN2193" t="s">
        <v>33066</v>
      </c>
      <c r="AO2193" t="s">
        <v>33067</v>
      </c>
      <c r="AP2193" t="s">
        <v>33068</v>
      </c>
      <c r="AQ2193" t="s">
        <v>74</v>
      </c>
      <c r="AR2193" t="s">
        <v>33069</v>
      </c>
      <c r="AS2193" t="s">
        <v>33070</v>
      </c>
      <c r="AT2193" t="s">
        <v>74</v>
      </c>
      <c r="AU2193">
        <v>2023</v>
      </c>
      <c r="AV2193">
        <v>39</v>
      </c>
      <c r="AW2193">
        <v>3</v>
      </c>
      <c r="AX2193" t="s">
        <v>74</v>
      </c>
      <c r="AY2193" t="s">
        <v>74</v>
      </c>
      <c r="AZ2193" t="s">
        <v>74</v>
      </c>
      <c r="BA2193" t="s">
        <v>74</v>
      </c>
      <c r="BB2193">
        <v>292</v>
      </c>
      <c r="BC2193">
        <v>312</v>
      </c>
      <c r="BD2193" t="s">
        <v>74</v>
      </c>
      <c r="BE2193" t="s">
        <v>37490</v>
      </c>
      <c r="BF2193" t="str">
        <f>HYPERLINK("http://dx.doi.org/10.17576/JKMJC-2023-3903-16","http://dx.doi.org/10.17576/JKMJC-2023-3903-16")</f>
        <v>http://dx.doi.org/10.17576/JKMJC-2023-3903-16</v>
      </c>
      <c r="BG2193" t="s">
        <v>74</v>
      </c>
      <c r="BH2193" t="s">
        <v>74</v>
      </c>
      <c r="BI2193">
        <v>21</v>
      </c>
      <c r="BJ2193" t="s">
        <v>124</v>
      </c>
      <c r="BK2193" t="s">
        <v>125</v>
      </c>
      <c r="BL2193" t="s">
        <v>124</v>
      </c>
      <c r="BM2193" t="s">
        <v>35022</v>
      </c>
      <c r="BN2193" t="s">
        <v>74</v>
      </c>
      <c r="BO2193" t="s">
        <v>11069</v>
      </c>
      <c r="BP2193" t="s">
        <v>74</v>
      </c>
      <c r="BQ2193" t="s">
        <v>74</v>
      </c>
      <c r="BR2193" t="s">
        <v>102</v>
      </c>
      <c r="BS2193" t="s">
        <v>37491</v>
      </c>
      <c r="BT2193" t="str">
        <f>HYPERLINK("https%3A%2F%2Fwww.webofscience.com%2Fwos%2Fwoscc%2Ffull-record%2FWOS:001163088500016","View Full Record in Web of Science")</f>
        <v>View Full Record in Web of Science</v>
      </c>
    </row>
    <row r="2194" spans="1:72" x14ac:dyDescent="0.35">
      <c r="A2194" t="s">
        <v>72</v>
      </c>
      <c r="B2194" t="s">
        <v>37492</v>
      </c>
      <c r="C2194" t="s">
        <v>74</v>
      </c>
      <c r="D2194" t="s">
        <v>74</v>
      </c>
      <c r="E2194" t="s">
        <v>74</v>
      </c>
      <c r="F2194" t="s">
        <v>37493</v>
      </c>
      <c r="G2194" t="s">
        <v>74</v>
      </c>
      <c r="H2194" t="s">
        <v>74</v>
      </c>
      <c r="I2194" t="s">
        <v>37494</v>
      </c>
      <c r="J2194" t="s">
        <v>37495</v>
      </c>
      <c r="K2194" t="s">
        <v>74</v>
      </c>
      <c r="L2194" t="s">
        <v>74</v>
      </c>
      <c r="M2194" t="s">
        <v>78</v>
      </c>
      <c r="N2194" t="s">
        <v>108</v>
      </c>
      <c r="O2194" t="s">
        <v>74</v>
      </c>
      <c r="P2194" t="s">
        <v>74</v>
      </c>
      <c r="Q2194" t="s">
        <v>74</v>
      </c>
      <c r="R2194" t="s">
        <v>74</v>
      </c>
      <c r="S2194" t="s">
        <v>74</v>
      </c>
      <c r="T2194" t="s">
        <v>74</v>
      </c>
      <c r="U2194" t="s">
        <v>74</v>
      </c>
      <c r="V2194" t="s">
        <v>37496</v>
      </c>
      <c r="W2194" t="s">
        <v>74</v>
      </c>
      <c r="X2194" t="s">
        <v>74</v>
      </c>
      <c r="Y2194" t="s">
        <v>74</v>
      </c>
      <c r="Z2194" t="s">
        <v>74</v>
      </c>
      <c r="AA2194" t="s">
        <v>74</v>
      </c>
      <c r="AB2194" t="s">
        <v>74</v>
      </c>
      <c r="AC2194" t="s">
        <v>74</v>
      </c>
      <c r="AD2194" t="s">
        <v>74</v>
      </c>
      <c r="AE2194" t="s">
        <v>74</v>
      </c>
      <c r="AF2194" t="s">
        <v>74</v>
      </c>
      <c r="AG2194">
        <v>0</v>
      </c>
      <c r="AH2194">
        <v>0</v>
      </c>
      <c r="AI2194">
        <v>0</v>
      </c>
      <c r="AJ2194">
        <v>6</v>
      </c>
      <c r="AK2194">
        <v>6</v>
      </c>
      <c r="AL2194" t="s">
        <v>8334</v>
      </c>
      <c r="AM2194" t="s">
        <v>291</v>
      </c>
      <c r="AN2194" t="s">
        <v>8335</v>
      </c>
      <c r="AO2194" t="s">
        <v>37497</v>
      </c>
      <c r="AP2194" t="s">
        <v>37498</v>
      </c>
      <c r="AQ2194" t="s">
        <v>74</v>
      </c>
      <c r="AR2194" t="s">
        <v>37499</v>
      </c>
      <c r="AS2194" t="s">
        <v>37500</v>
      </c>
      <c r="AT2194" t="s">
        <v>3871</v>
      </c>
      <c r="AU2194">
        <v>2024</v>
      </c>
      <c r="AV2194">
        <v>39</v>
      </c>
      <c r="AW2194">
        <v>7</v>
      </c>
      <c r="AX2194" t="s">
        <v>74</v>
      </c>
      <c r="AY2194" t="s">
        <v>74</v>
      </c>
      <c r="AZ2194" t="s">
        <v>74</v>
      </c>
      <c r="BA2194" t="s">
        <v>74</v>
      </c>
      <c r="BB2194">
        <v>1094</v>
      </c>
      <c r="BC2194">
        <v>1094</v>
      </c>
      <c r="BD2194" t="s">
        <v>74</v>
      </c>
      <c r="BE2194" t="s">
        <v>37501</v>
      </c>
      <c r="BF2194" t="str">
        <f>HYPERLINK("http://dx.doi.org/10.1093/arclin/acae067.166","http://dx.doi.org/10.1093/arclin/acae067.166")</f>
        <v>http://dx.doi.org/10.1093/arclin/acae067.166</v>
      </c>
      <c r="BG2194" t="s">
        <v>74</v>
      </c>
      <c r="BH2194" t="s">
        <v>337</v>
      </c>
      <c r="BI2194">
        <v>1</v>
      </c>
      <c r="BJ2194" t="s">
        <v>37502</v>
      </c>
      <c r="BK2194" t="s">
        <v>182</v>
      </c>
      <c r="BL2194" t="s">
        <v>301</v>
      </c>
      <c r="BM2194" t="s">
        <v>37503</v>
      </c>
      <c r="BN2194" t="s">
        <v>74</v>
      </c>
      <c r="BO2194" t="s">
        <v>74</v>
      </c>
      <c r="BP2194" t="s">
        <v>74</v>
      </c>
      <c r="BQ2194" t="s">
        <v>74</v>
      </c>
      <c r="BR2194" t="s">
        <v>102</v>
      </c>
      <c r="BS2194" t="s">
        <v>37504</v>
      </c>
      <c r="BT2194" t="str">
        <f>HYPERLINK("https%3A%2F%2Fwww.webofscience.com%2Fwos%2Fwoscc%2Ffull-record%2FWOS:001311846700001","View Full Record in Web of Science")</f>
        <v>View Full Record in Web of Science</v>
      </c>
    </row>
    <row r="2195" spans="1:72" x14ac:dyDescent="0.35">
      <c r="A2195" t="s">
        <v>72</v>
      </c>
      <c r="B2195" t="s">
        <v>37505</v>
      </c>
      <c r="C2195" t="s">
        <v>74</v>
      </c>
      <c r="D2195" t="s">
        <v>74</v>
      </c>
      <c r="E2195" t="s">
        <v>74</v>
      </c>
      <c r="F2195" t="s">
        <v>37506</v>
      </c>
      <c r="G2195" t="s">
        <v>74</v>
      </c>
      <c r="H2195" t="s">
        <v>74</v>
      </c>
      <c r="I2195" t="s">
        <v>37507</v>
      </c>
      <c r="J2195" t="s">
        <v>373</v>
      </c>
      <c r="K2195" t="s">
        <v>74</v>
      </c>
      <c r="L2195" t="s">
        <v>74</v>
      </c>
      <c r="M2195" t="s">
        <v>78</v>
      </c>
      <c r="N2195" t="s">
        <v>108</v>
      </c>
      <c r="O2195" t="s">
        <v>74</v>
      </c>
      <c r="P2195" t="s">
        <v>74</v>
      </c>
      <c r="Q2195" t="s">
        <v>74</v>
      </c>
      <c r="R2195" t="s">
        <v>74</v>
      </c>
      <c r="S2195" t="s">
        <v>74</v>
      </c>
      <c r="T2195" t="s">
        <v>37508</v>
      </c>
      <c r="U2195" t="s">
        <v>74</v>
      </c>
      <c r="V2195" t="s">
        <v>37509</v>
      </c>
      <c r="W2195" t="s">
        <v>37510</v>
      </c>
      <c r="X2195" t="s">
        <v>37511</v>
      </c>
      <c r="Y2195" t="s">
        <v>37512</v>
      </c>
      <c r="Z2195" t="s">
        <v>37513</v>
      </c>
      <c r="AA2195" t="s">
        <v>37514</v>
      </c>
      <c r="AB2195" t="s">
        <v>74</v>
      </c>
      <c r="AC2195" t="s">
        <v>74</v>
      </c>
      <c r="AD2195" t="s">
        <v>74</v>
      </c>
      <c r="AE2195" t="s">
        <v>74</v>
      </c>
      <c r="AF2195" t="s">
        <v>74</v>
      </c>
      <c r="AG2195">
        <v>42</v>
      </c>
      <c r="AH2195">
        <v>3</v>
      </c>
      <c r="AI2195">
        <v>4</v>
      </c>
      <c r="AJ2195">
        <v>1</v>
      </c>
      <c r="AK2195">
        <v>13</v>
      </c>
      <c r="AL2195" t="s">
        <v>384</v>
      </c>
      <c r="AM2195" t="s">
        <v>385</v>
      </c>
      <c r="AN2195" t="s">
        <v>386</v>
      </c>
      <c r="AO2195" t="s">
        <v>74</v>
      </c>
      <c r="AP2195" t="s">
        <v>387</v>
      </c>
      <c r="AQ2195" t="s">
        <v>74</v>
      </c>
      <c r="AR2195" t="s">
        <v>388</v>
      </c>
      <c r="AS2195" t="s">
        <v>389</v>
      </c>
      <c r="AT2195" t="s">
        <v>37515</v>
      </c>
      <c r="AU2195">
        <v>2024</v>
      </c>
      <c r="AV2195">
        <v>11</v>
      </c>
      <c r="AW2195" t="s">
        <v>74</v>
      </c>
      <c r="AX2195" t="s">
        <v>74</v>
      </c>
      <c r="AY2195" t="s">
        <v>74</v>
      </c>
      <c r="AZ2195" t="s">
        <v>74</v>
      </c>
      <c r="BA2195" t="s">
        <v>74</v>
      </c>
      <c r="BB2195" t="s">
        <v>74</v>
      </c>
      <c r="BC2195" t="s">
        <v>74</v>
      </c>
      <c r="BD2195">
        <v>1344212</v>
      </c>
      <c r="BE2195" t="s">
        <v>37516</v>
      </c>
      <c r="BF2195" t="str">
        <f>HYPERLINK("http://dx.doi.org/10.3389/fpubh.2023.1344212","http://dx.doi.org/10.3389/fpubh.2023.1344212")</f>
        <v>http://dx.doi.org/10.3389/fpubh.2023.1344212</v>
      </c>
      <c r="BG2195" t="s">
        <v>74</v>
      </c>
      <c r="BH2195" t="s">
        <v>74</v>
      </c>
      <c r="BI2195">
        <v>10</v>
      </c>
      <c r="BJ2195" t="s">
        <v>392</v>
      </c>
      <c r="BK2195" t="s">
        <v>182</v>
      </c>
      <c r="BL2195" t="s">
        <v>392</v>
      </c>
      <c r="BM2195" t="s">
        <v>37517</v>
      </c>
      <c r="BN2195">
        <v>38259733</v>
      </c>
      <c r="BO2195" t="s">
        <v>394</v>
      </c>
      <c r="BP2195" t="s">
        <v>74</v>
      </c>
      <c r="BQ2195" t="s">
        <v>74</v>
      </c>
      <c r="BR2195" t="s">
        <v>102</v>
      </c>
      <c r="BS2195" t="s">
        <v>37518</v>
      </c>
      <c r="BT2195" t="str">
        <f>HYPERLINK("https%3A%2F%2Fwww.webofscience.com%2Fwos%2Fwoscc%2Ffull-record%2FWOS:001154987300001","View Full Record in Web of Science")</f>
        <v>View Full Record in Web of Science</v>
      </c>
    </row>
    <row r="2196" spans="1:72" x14ac:dyDescent="0.35">
      <c r="A2196" t="s">
        <v>72</v>
      </c>
      <c r="B2196" t="s">
        <v>37519</v>
      </c>
      <c r="C2196" t="s">
        <v>74</v>
      </c>
      <c r="D2196" t="s">
        <v>74</v>
      </c>
      <c r="E2196" t="s">
        <v>74</v>
      </c>
      <c r="F2196" t="s">
        <v>37520</v>
      </c>
      <c r="G2196" t="s">
        <v>74</v>
      </c>
      <c r="H2196" t="s">
        <v>74</v>
      </c>
      <c r="I2196" t="s">
        <v>37521</v>
      </c>
      <c r="J2196" t="s">
        <v>216</v>
      </c>
      <c r="K2196" t="s">
        <v>74</v>
      </c>
      <c r="L2196" t="s">
        <v>74</v>
      </c>
      <c r="M2196" t="s">
        <v>78</v>
      </c>
      <c r="N2196" t="s">
        <v>108</v>
      </c>
      <c r="O2196" t="s">
        <v>74</v>
      </c>
      <c r="P2196" t="s">
        <v>74</v>
      </c>
      <c r="Q2196" t="s">
        <v>74</v>
      </c>
      <c r="R2196" t="s">
        <v>74</v>
      </c>
      <c r="S2196" t="s">
        <v>74</v>
      </c>
      <c r="T2196" t="s">
        <v>37522</v>
      </c>
      <c r="U2196" t="s">
        <v>20460</v>
      </c>
      <c r="V2196" t="s">
        <v>37523</v>
      </c>
      <c r="W2196" t="s">
        <v>37524</v>
      </c>
      <c r="X2196" t="s">
        <v>74</v>
      </c>
      <c r="Y2196" t="s">
        <v>37525</v>
      </c>
      <c r="Z2196" t="s">
        <v>37526</v>
      </c>
      <c r="AA2196" t="s">
        <v>37527</v>
      </c>
      <c r="AB2196" t="s">
        <v>37528</v>
      </c>
      <c r="AC2196" t="s">
        <v>74</v>
      </c>
      <c r="AD2196" t="s">
        <v>74</v>
      </c>
      <c r="AE2196" t="s">
        <v>74</v>
      </c>
      <c r="AF2196" t="s">
        <v>74</v>
      </c>
      <c r="AG2196">
        <v>49</v>
      </c>
      <c r="AH2196">
        <v>6</v>
      </c>
      <c r="AI2196">
        <v>6</v>
      </c>
      <c r="AJ2196">
        <v>7</v>
      </c>
      <c r="AK2196">
        <v>39</v>
      </c>
      <c r="AL2196" t="s">
        <v>226</v>
      </c>
      <c r="AM2196" t="s">
        <v>227</v>
      </c>
      <c r="AN2196" t="s">
        <v>228</v>
      </c>
      <c r="AO2196" t="s">
        <v>229</v>
      </c>
      <c r="AP2196" t="s">
        <v>74</v>
      </c>
      <c r="AQ2196" t="s">
        <v>74</v>
      </c>
      <c r="AR2196" t="s">
        <v>230</v>
      </c>
      <c r="AS2196" t="s">
        <v>231</v>
      </c>
      <c r="AT2196" t="s">
        <v>257</v>
      </c>
      <c r="AU2196">
        <v>2023</v>
      </c>
      <c r="AV2196">
        <v>9</v>
      </c>
      <c r="AW2196">
        <v>2</v>
      </c>
      <c r="AX2196" t="s">
        <v>74</v>
      </c>
      <c r="AY2196" t="s">
        <v>74</v>
      </c>
      <c r="AZ2196" t="s">
        <v>74</v>
      </c>
      <c r="BA2196" t="s">
        <v>74</v>
      </c>
      <c r="BB2196" t="s">
        <v>74</v>
      </c>
      <c r="BC2196" t="s">
        <v>74</v>
      </c>
      <c r="BD2196">
        <v>2.0563051231177916E+16</v>
      </c>
      <c r="BE2196" t="s">
        <v>37529</v>
      </c>
      <c r="BF2196" t="str">
        <f>HYPERLINK("http://dx.doi.org/10.1177/20563051231177916","http://dx.doi.org/10.1177/20563051231177916")</f>
        <v>http://dx.doi.org/10.1177/20563051231177916</v>
      </c>
      <c r="BG2196" t="s">
        <v>74</v>
      </c>
      <c r="BH2196" t="s">
        <v>74</v>
      </c>
      <c r="BI2196">
        <v>12</v>
      </c>
      <c r="BJ2196" t="s">
        <v>124</v>
      </c>
      <c r="BK2196" t="s">
        <v>99</v>
      </c>
      <c r="BL2196" t="s">
        <v>124</v>
      </c>
      <c r="BM2196" t="s">
        <v>37530</v>
      </c>
      <c r="BN2196" t="s">
        <v>74</v>
      </c>
      <c r="BO2196" t="s">
        <v>552</v>
      </c>
      <c r="BP2196" t="s">
        <v>74</v>
      </c>
      <c r="BQ2196" t="s">
        <v>74</v>
      </c>
      <c r="BR2196" t="s">
        <v>102</v>
      </c>
      <c r="BS2196" t="s">
        <v>37531</v>
      </c>
      <c r="BT2196" t="str">
        <f>HYPERLINK("https%3A%2F%2Fwww.webofscience.com%2Fwos%2Fwoscc%2Ffull-record%2FWOS:001005261700001","View Full Record in Web of Science")</f>
        <v>View Full Record in Web of Science</v>
      </c>
    </row>
    <row r="2197" spans="1:72" x14ac:dyDescent="0.35">
      <c r="A2197" t="s">
        <v>72</v>
      </c>
      <c r="B2197" t="s">
        <v>37532</v>
      </c>
      <c r="C2197" t="s">
        <v>74</v>
      </c>
      <c r="D2197" t="s">
        <v>74</v>
      </c>
      <c r="E2197" t="s">
        <v>74</v>
      </c>
      <c r="F2197" t="s">
        <v>37533</v>
      </c>
      <c r="G2197" t="s">
        <v>74</v>
      </c>
      <c r="H2197" t="s">
        <v>74</v>
      </c>
      <c r="I2197" t="s">
        <v>37534</v>
      </c>
      <c r="J2197" t="s">
        <v>15052</v>
      </c>
      <c r="K2197" t="s">
        <v>74</v>
      </c>
      <c r="L2197" t="s">
        <v>74</v>
      </c>
      <c r="M2197" t="s">
        <v>78</v>
      </c>
      <c r="N2197" t="s">
        <v>108</v>
      </c>
      <c r="O2197" t="s">
        <v>74</v>
      </c>
      <c r="P2197" t="s">
        <v>74</v>
      </c>
      <c r="Q2197" t="s">
        <v>74</v>
      </c>
      <c r="R2197" t="s">
        <v>74</v>
      </c>
      <c r="S2197" t="s">
        <v>74</v>
      </c>
      <c r="T2197" t="s">
        <v>37535</v>
      </c>
      <c r="U2197" t="s">
        <v>74</v>
      </c>
      <c r="V2197" t="s">
        <v>37536</v>
      </c>
      <c r="W2197" t="s">
        <v>37537</v>
      </c>
      <c r="X2197" t="s">
        <v>33546</v>
      </c>
      <c r="Y2197" t="s">
        <v>37538</v>
      </c>
      <c r="Z2197" t="s">
        <v>37539</v>
      </c>
      <c r="AA2197" t="s">
        <v>74</v>
      </c>
      <c r="AB2197" t="s">
        <v>37540</v>
      </c>
      <c r="AC2197" t="s">
        <v>74</v>
      </c>
      <c r="AD2197" t="s">
        <v>74</v>
      </c>
      <c r="AE2197" t="s">
        <v>74</v>
      </c>
      <c r="AF2197" t="s">
        <v>74</v>
      </c>
      <c r="AG2197">
        <v>33</v>
      </c>
      <c r="AH2197">
        <v>6</v>
      </c>
      <c r="AI2197">
        <v>6</v>
      </c>
      <c r="AJ2197">
        <v>2</v>
      </c>
      <c r="AK2197">
        <v>14</v>
      </c>
      <c r="AL2197" t="s">
        <v>9222</v>
      </c>
      <c r="AM2197" t="s">
        <v>227</v>
      </c>
      <c r="AN2197" t="s">
        <v>9223</v>
      </c>
      <c r="AO2197" t="s">
        <v>15060</v>
      </c>
      <c r="AP2197" t="s">
        <v>15061</v>
      </c>
      <c r="AQ2197" t="s">
        <v>74</v>
      </c>
      <c r="AR2197" t="s">
        <v>15062</v>
      </c>
      <c r="AS2197" t="s">
        <v>15063</v>
      </c>
      <c r="AT2197" t="s">
        <v>930</v>
      </c>
      <c r="AU2197">
        <v>2024</v>
      </c>
      <c r="AV2197">
        <v>33</v>
      </c>
      <c r="AW2197" t="s">
        <v>15064</v>
      </c>
      <c r="AX2197" t="s">
        <v>74</v>
      </c>
      <c r="AY2197" t="s">
        <v>74</v>
      </c>
      <c r="AZ2197" t="s">
        <v>74</v>
      </c>
      <c r="BA2197" t="s">
        <v>74</v>
      </c>
      <c r="BB2197" t="s">
        <v>37541</v>
      </c>
      <c r="BC2197" t="s">
        <v>37542</v>
      </c>
      <c r="BD2197" t="s">
        <v>74</v>
      </c>
      <c r="BE2197" t="s">
        <v>37543</v>
      </c>
      <c r="BF2197" t="str">
        <f>HYPERLINK("http://dx.doi.org/10.1136/tc-2022-057805","http://dx.doi.org/10.1136/tc-2022-057805")</f>
        <v>http://dx.doi.org/10.1136/tc-2022-057805</v>
      </c>
      <c r="BG2197" t="s">
        <v>74</v>
      </c>
      <c r="BH2197" t="s">
        <v>6895</v>
      </c>
      <c r="BI2197">
        <v>7</v>
      </c>
      <c r="BJ2197" t="s">
        <v>8342</v>
      </c>
      <c r="BK2197" t="s">
        <v>182</v>
      </c>
      <c r="BL2197" t="s">
        <v>8342</v>
      </c>
      <c r="BM2197" t="s">
        <v>37544</v>
      </c>
      <c r="BN2197">
        <v>36813571</v>
      </c>
      <c r="BO2197" t="s">
        <v>74</v>
      </c>
      <c r="BP2197" t="s">
        <v>74</v>
      </c>
      <c r="BQ2197" t="s">
        <v>74</v>
      </c>
      <c r="BR2197" t="s">
        <v>102</v>
      </c>
      <c r="BS2197" t="s">
        <v>37545</v>
      </c>
      <c r="BT2197" t="str">
        <f>HYPERLINK("https%3A%2F%2Fwww.webofscience.com%2Fwos%2Fwoscc%2Ffull-record%2FWOS:000943423800001","View Full Record in Web of Science")</f>
        <v>View Full Record in Web of Science</v>
      </c>
    </row>
    <row r="2198" spans="1:72" x14ac:dyDescent="0.35">
      <c r="A2198" t="s">
        <v>72</v>
      </c>
      <c r="B2198" t="s">
        <v>37546</v>
      </c>
      <c r="C2198" t="s">
        <v>74</v>
      </c>
      <c r="D2198" t="s">
        <v>74</v>
      </c>
      <c r="E2198" t="s">
        <v>74</v>
      </c>
      <c r="F2198" t="s">
        <v>37547</v>
      </c>
      <c r="G2198" t="s">
        <v>74</v>
      </c>
      <c r="H2198" t="s">
        <v>74</v>
      </c>
      <c r="I2198" t="s">
        <v>37548</v>
      </c>
      <c r="J2198" t="s">
        <v>19500</v>
      </c>
      <c r="K2198" t="s">
        <v>74</v>
      </c>
      <c r="L2198" t="s">
        <v>74</v>
      </c>
      <c r="M2198" t="s">
        <v>78</v>
      </c>
      <c r="N2198" t="s">
        <v>108</v>
      </c>
      <c r="O2198" t="s">
        <v>74</v>
      </c>
      <c r="P2198" t="s">
        <v>74</v>
      </c>
      <c r="Q2198" t="s">
        <v>74</v>
      </c>
      <c r="R2198" t="s">
        <v>74</v>
      </c>
      <c r="S2198" t="s">
        <v>74</v>
      </c>
      <c r="T2198" t="s">
        <v>37549</v>
      </c>
      <c r="U2198" t="s">
        <v>37550</v>
      </c>
      <c r="V2198" t="s">
        <v>37551</v>
      </c>
      <c r="W2198" t="s">
        <v>37552</v>
      </c>
      <c r="X2198" t="s">
        <v>37553</v>
      </c>
      <c r="Y2198" t="s">
        <v>37554</v>
      </c>
      <c r="Z2198" t="s">
        <v>37555</v>
      </c>
      <c r="AA2198" t="s">
        <v>74</v>
      </c>
      <c r="AB2198" t="s">
        <v>37556</v>
      </c>
      <c r="AC2198" t="s">
        <v>74</v>
      </c>
      <c r="AD2198" t="s">
        <v>74</v>
      </c>
      <c r="AE2198" t="s">
        <v>74</v>
      </c>
      <c r="AF2198" t="s">
        <v>74</v>
      </c>
      <c r="AG2198">
        <v>100</v>
      </c>
      <c r="AH2198">
        <v>9</v>
      </c>
      <c r="AI2198">
        <v>9</v>
      </c>
      <c r="AJ2198">
        <v>16</v>
      </c>
      <c r="AK2198">
        <v>86</v>
      </c>
      <c r="AL2198" t="s">
        <v>1965</v>
      </c>
      <c r="AM2198" t="s">
        <v>666</v>
      </c>
      <c r="AN2198" t="s">
        <v>1966</v>
      </c>
      <c r="AO2198" t="s">
        <v>19512</v>
      </c>
      <c r="AP2198" t="s">
        <v>19513</v>
      </c>
      <c r="AQ2198" t="s">
        <v>74</v>
      </c>
      <c r="AR2198" t="s">
        <v>19514</v>
      </c>
      <c r="AS2198" t="s">
        <v>19515</v>
      </c>
      <c r="AT2198" t="s">
        <v>523</v>
      </c>
      <c r="AU2198">
        <v>2022</v>
      </c>
      <c r="AV2198">
        <v>152</v>
      </c>
      <c r="AW2198" t="s">
        <v>74</v>
      </c>
      <c r="AX2198" t="s">
        <v>74</v>
      </c>
      <c r="AY2198" t="s">
        <v>74</v>
      </c>
      <c r="AZ2198" t="s">
        <v>74</v>
      </c>
      <c r="BA2198" t="s">
        <v>74</v>
      </c>
      <c r="BB2198">
        <v>106</v>
      </c>
      <c r="BC2198">
        <v>127</v>
      </c>
      <c r="BD2198" t="s">
        <v>74</v>
      </c>
      <c r="BE2198" t="s">
        <v>37557</v>
      </c>
      <c r="BF2198" t="str">
        <f>HYPERLINK("http://dx.doi.org/10.1016/j.jbusres.2022.07.024","http://dx.doi.org/10.1016/j.jbusres.2022.07.024")</f>
        <v>http://dx.doi.org/10.1016/j.jbusres.2022.07.024</v>
      </c>
      <c r="BG2198" t="s">
        <v>74</v>
      </c>
      <c r="BH2198" t="s">
        <v>2175</v>
      </c>
      <c r="BI2198">
        <v>22</v>
      </c>
      <c r="BJ2198" t="s">
        <v>1597</v>
      </c>
      <c r="BK2198" t="s">
        <v>99</v>
      </c>
      <c r="BL2198" t="s">
        <v>480</v>
      </c>
      <c r="BM2198" t="s">
        <v>37558</v>
      </c>
      <c r="BN2198" t="s">
        <v>74</v>
      </c>
      <c r="BO2198" t="s">
        <v>6798</v>
      </c>
      <c r="BP2198" t="s">
        <v>74</v>
      </c>
      <c r="BQ2198" t="s">
        <v>74</v>
      </c>
      <c r="BR2198" t="s">
        <v>102</v>
      </c>
      <c r="BS2198" t="s">
        <v>37559</v>
      </c>
      <c r="BT2198" t="str">
        <f>HYPERLINK("https%3A%2F%2Fwww.webofscience.com%2Fwos%2Fwoscc%2Ffull-record%2FWOS:000837844200009","View Full Record in Web of Science")</f>
        <v>View Full Record in Web of Science</v>
      </c>
    </row>
    <row r="2199" spans="1:72" x14ac:dyDescent="0.35">
      <c r="A2199" t="s">
        <v>72</v>
      </c>
      <c r="B2199" t="s">
        <v>37560</v>
      </c>
      <c r="C2199" t="s">
        <v>74</v>
      </c>
      <c r="D2199" t="s">
        <v>74</v>
      </c>
      <c r="E2199" t="s">
        <v>74</v>
      </c>
      <c r="F2199" t="s">
        <v>37561</v>
      </c>
      <c r="G2199" t="s">
        <v>74</v>
      </c>
      <c r="H2199" t="s">
        <v>74</v>
      </c>
      <c r="I2199" t="s">
        <v>37562</v>
      </c>
      <c r="J2199" t="s">
        <v>37563</v>
      </c>
      <c r="K2199" t="s">
        <v>74</v>
      </c>
      <c r="L2199" t="s">
        <v>74</v>
      </c>
      <c r="M2199" t="s">
        <v>78</v>
      </c>
      <c r="N2199" t="s">
        <v>108</v>
      </c>
      <c r="O2199" t="s">
        <v>74</v>
      </c>
      <c r="P2199" t="s">
        <v>74</v>
      </c>
      <c r="Q2199" t="s">
        <v>74</v>
      </c>
      <c r="R2199" t="s">
        <v>74</v>
      </c>
      <c r="S2199" t="s">
        <v>74</v>
      </c>
      <c r="T2199" t="s">
        <v>37564</v>
      </c>
      <c r="U2199" t="s">
        <v>37565</v>
      </c>
      <c r="V2199" t="s">
        <v>37566</v>
      </c>
      <c r="W2199" t="s">
        <v>37567</v>
      </c>
      <c r="X2199" t="s">
        <v>37568</v>
      </c>
      <c r="Y2199" t="s">
        <v>37569</v>
      </c>
      <c r="Z2199" t="s">
        <v>74</v>
      </c>
      <c r="AA2199" t="s">
        <v>74</v>
      </c>
      <c r="AB2199" t="s">
        <v>37570</v>
      </c>
      <c r="AC2199" t="s">
        <v>37571</v>
      </c>
      <c r="AD2199" t="s">
        <v>37572</v>
      </c>
      <c r="AE2199" t="s">
        <v>37573</v>
      </c>
      <c r="AF2199" t="s">
        <v>74</v>
      </c>
      <c r="AG2199">
        <v>92</v>
      </c>
      <c r="AH2199">
        <v>2</v>
      </c>
      <c r="AI2199">
        <v>2</v>
      </c>
      <c r="AJ2199">
        <v>14</v>
      </c>
      <c r="AK2199">
        <v>39</v>
      </c>
      <c r="AL2199" t="s">
        <v>516</v>
      </c>
      <c r="AM2199" t="s">
        <v>517</v>
      </c>
      <c r="AN2199" t="s">
        <v>518</v>
      </c>
      <c r="AO2199" t="s">
        <v>74</v>
      </c>
      <c r="AP2199" t="s">
        <v>37574</v>
      </c>
      <c r="AQ2199" t="s">
        <v>74</v>
      </c>
      <c r="AR2199" t="s">
        <v>37575</v>
      </c>
      <c r="AS2199" t="s">
        <v>37576</v>
      </c>
      <c r="AT2199" t="s">
        <v>594</v>
      </c>
      <c r="AU2199">
        <v>2023</v>
      </c>
      <c r="AV2199">
        <v>46</v>
      </c>
      <c r="AW2199" t="s">
        <v>74</v>
      </c>
      <c r="AX2199" t="s">
        <v>74</v>
      </c>
      <c r="AY2199" t="s">
        <v>74</v>
      </c>
      <c r="AZ2199" t="s">
        <v>74</v>
      </c>
      <c r="BA2199" t="s">
        <v>74</v>
      </c>
      <c r="BB2199" t="s">
        <v>74</v>
      </c>
      <c r="BC2199" t="s">
        <v>74</v>
      </c>
      <c r="BD2199" t="s">
        <v>37577</v>
      </c>
      <c r="BE2199" t="s">
        <v>37578</v>
      </c>
      <c r="BF2199" t="str">
        <f>HYPERLINK("http://dx.doi.org/10.1016/j.gecco.2023.e02614","http://dx.doi.org/10.1016/j.gecco.2023.e02614")</f>
        <v>http://dx.doi.org/10.1016/j.gecco.2023.e02614</v>
      </c>
      <c r="BG2199" t="s">
        <v>74</v>
      </c>
      <c r="BH2199" t="s">
        <v>3138</v>
      </c>
      <c r="BI2199">
        <v>15</v>
      </c>
      <c r="BJ2199" t="s">
        <v>10688</v>
      </c>
      <c r="BK2199" t="s">
        <v>209</v>
      </c>
      <c r="BL2199" t="s">
        <v>10689</v>
      </c>
      <c r="BM2199" t="s">
        <v>37579</v>
      </c>
      <c r="BN2199" t="s">
        <v>74</v>
      </c>
      <c r="BO2199" t="s">
        <v>235</v>
      </c>
      <c r="BP2199" t="s">
        <v>74</v>
      </c>
      <c r="BQ2199" t="s">
        <v>74</v>
      </c>
      <c r="BR2199" t="s">
        <v>102</v>
      </c>
      <c r="BS2199" t="s">
        <v>37580</v>
      </c>
      <c r="BT2199" t="str">
        <f>HYPERLINK("https%3A%2F%2Fwww.webofscience.com%2Fwos%2Fwoscc%2Ffull-record%2FWOS:001066352000001","View Full Record in Web of Science")</f>
        <v>View Full Record in Web of Science</v>
      </c>
    </row>
    <row r="2200" spans="1:72" x14ac:dyDescent="0.35">
      <c r="A2200" t="s">
        <v>72</v>
      </c>
      <c r="B2200" t="s">
        <v>37581</v>
      </c>
      <c r="C2200" t="s">
        <v>74</v>
      </c>
      <c r="D2200" t="s">
        <v>74</v>
      </c>
      <c r="E2200" t="s">
        <v>74</v>
      </c>
      <c r="F2200" t="s">
        <v>37582</v>
      </c>
      <c r="G2200" t="s">
        <v>74</v>
      </c>
      <c r="H2200" t="s">
        <v>74</v>
      </c>
      <c r="I2200" t="s">
        <v>37583</v>
      </c>
      <c r="J2200" t="s">
        <v>37584</v>
      </c>
      <c r="K2200" t="s">
        <v>74</v>
      </c>
      <c r="L2200" t="s">
        <v>74</v>
      </c>
      <c r="M2200" t="s">
        <v>78</v>
      </c>
      <c r="N2200" t="s">
        <v>108</v>
      </c>
      <c r="O2200" t="s">
        <v>74</v>
      </c>
      <c r="P2200" t="s">
        <v>74</v>
      </c>
      <c r="Q2200" t="s">
        <v>74</v>
      </c>
      <c r="R2200" t="s">
        <v>74</v>
      </c>
      <c r="S2200" t="s">
        <v>74</v>
      </c>
      <c r="T2200" t="s">
        <v>37585</v>
      </c>
      <c r="U2200" t="s">
        <v>74</v>
      </c>
      <c r="V2200" t="s">
        <v>37586</v>
      </c>
      <c r="W2200" t="s">
        <v>37587</v>
      </c>
      <c r="X2200" t="s">
        <v>74</v>
      </c>
      <c r="Y2200" t="s">
        <v>37588</v>
      </c>
      <c r="Z2200" t="s">
        <v>37589</v>
      </c>
      <c r="AA2200" t="s">
        <v>74</v>
      </c>
      <c r="AB2200" t="s">
        <v>37590</v>
      </c>
      <c r="AC2200" t="s">
        <v>74</v>
      </c>
      <c r="AD2200" t="s">
        <v>74</v>
      </c>
      <c r="AE2200" t="s">
        <v>74</v>
      </c>
      <c r="AF2200" t="s">
        <v>74</v>
      </c>
      <c r="AG2200">
        <v>16</v>
      </c>
      <c r="AH2200">
        <v>0</v>
      </c>
      <c r="AI2200">
        <v>0</v>
      </c>
      <c r="AJ2200">
        <v>2</v>
      </c>
      <c r="AK2200">
        <v>2</v>
      </c>
      <c r="AL2200" t="s">
        <v>37591</v>
      </c>
      <c r="AM2200" t="s">
        <v>37592</v>
      </c>
      <c r="AN2200" t="s">
        <v>37593</v>
      </c>
      <c r="AO2200" t="s">
        <v>37594</v>
      </c>
      <c r="AP2200" t="s">
        <v>37595</v>
      </c>
      <c r="AQ2200" t="s">
        <v>74</v>
      </c>
      <c r="AR2200" t="s">
        <v>37596</v>
      </c>
      <c r="AS2200" t="s">
        <v>37597</v>
      </c>
      <c r="AT2200" t="s">
        <v>74</v>
      </c>
      <c r="AU2200">
        <v>2023</v>
      </c>
      <c r="AV2200" t="s">
        <v>74</v>
      </c>
      <c r="AW2200">
        <v>28</v>
      </c>
      <c r="AX2200" t="s">
        <v>74</v>
      </c>
      <c r="AY2200" t="s">
        <v>74</v>
      </c>
      <c r="AZ2200" t="s">
        <v>74</v>
      </c>
      <c r="BA2200" t="s">
        <v>74</v>
      </c>
      <c r="BB2200">
        <v>167</v>
      </c>
      <c r="BC2200">
        <v>185</v>
      </c>
      <c r="BD2200" t="s">
        <v>74</v>
      </c>
      <c r="BE2200" t="s">
        <v>37598</v>
      </c>
      <c r="BF2200" t="str">
        <f>HYPERLINK("http://dx.doi.org/10.37083/bosn.2023.28.167","http://dx.doi.org/10.37083/bosn.2023.28.167")</f>
        <v>http://dx.doi.org/10.37083/bosn.2023.28.167</v>
      </c>
      <c r="BG2200" t="s">
        <v>74</v>
      </c>
      <c r="BH2200" t="s">
        <v>74</v>
      </c>
      <c r="BI2200">
        <v>19</v>
      </c>
      <c r="BJ2200" t="s">
        <v>1162</v>
      </c>
      <c r="BK2200" t="s">
        <v>125</v>
      </c>
      <c r="BL2200" t="s">
        <v>1162</v>
      </c>
      <c r="BM2200" t="s">
        <v>37599</v>
      </c>
      <c r="BN2200" t="s">
        <v>74</v>
      </c>
      <c r="BO2200" t="s">
        <v>552</v>
      </c>
      <c r="BP2200" t="s">
        <v>74</v>
      </c>
      <c r="BQ2200" t="s">
        <v>74</v>
      </c>
      <c r="BR2200" t="s">
        <v>102</v>
      </c>
      <c r="BS2200" t="s">
        <v>37600</v>
      </c>
      <c r="BT2200" t="str">
        <f>HYPERLINK("https%3A%2F%2Fwww.webofscience.com%2Fwos%2Fwoscc%2Ffull-record%2FWOS:001125284300018","View Full Record in Web of Science")</f>
        <v>View Full Record in Web of Science</v>
      </c>
    </row>
    <row r="2201" spans="1:72" x14ac:dyDescent="0.35">
      <c r="A2201" t="s">
        <v>72</v>
      </c>
      <c r="B2201" t="s">
        <v>37601</v>
      </c>
      <c r="C2201" t="s">
        <v>74</v>
      </c>
      <c r="D2201" t="s">
        <v>74</v>
      </c>
      <c r="E2201" t="s">
        <v>74</v>
      </c>
      <c r="F2201" t="s">
        <v>37602</v>
      </c>
      <c r="G2201" t="s">
        <v>74</v>
      </c>
      <c r="H2201" t="s">
        <v>74</v>
      </c>
      <c r="I2201" t="s">
        <v>37603</v>
      </c>
      <c r="J2201" t="s">
        <v>8578</v>
      </c>
      <c r="K2201" t="s">
        <v>74</v>
      </c>
      <c r="L2201" t="s">
        <v>74</v>
      </c>
      <c r="M2201" t="s">
        <v>78</v>
      </c>
      <c r="N2201" t="s">
        <v>108</v>
      </c>
      <c r="O2201" t="s">
        <v>74</v>
      </c>
      <c r="P2201" t="s">
        <v>74</v>
      </c>
      <c r="Q2201" t="s">
        <v>74</v>
      </c>
      <c r="R2201" t="s">
        <v>74</v>
      </c>
      <c r="S2201" t="s">
        <v>74</v>
      </c>
      <c r="T2201" t="s">
        <v>37604</v>
      </c>
      <c r="U2201" t="s">
        <v>74</v>
      </c>
      <c r="V2201" t="s">
        <v>37605</v>
      </c>
      <c r="W2201" t="s">
        <v>37606</v>
      </c>
      <c r="X2201" t="s">
        <v>37607</v>
      </c>
      <c r="Y2201" t="s">
        <v>37608</v>
      </c>
      <c r="Z2201" t="s">
        <v>37609</v>
      </c>
      <c r="AA2201" t="s">
        <v>37610</v>
      </c>
      <c r="AB2201" t="s">
        <v>37611</v>
      </c>
      <c r="AC2201" t="s">
        <v>74</v>
      </c>
      <c r="AD2201" t="s">
        <v>74</v>
      </c>
      <c r="AE2201" t="s">
        <v>74</v>
      </c>
      <c r="AF2201" t="s">
        <v>74</v>
      </c>
      <c r="AG2201">
        <v>60</v>
      </c>
      <c r="AH2201">
        <v>4</v>
      </c>
      <c r="AI2201">
        <v>4</v>
      </c>
      <c r="AJ2201">
        <v>6</v>
      </c>
      <c r="AK2201">
        <v>27</v>
      </c>
      <c r="AL2201" t="s">
        <v>3632</v>
      </c>
      <c r="AM2201" t="s">
        <v>291</v>
      </c>
      <c r="AN2201" t="s">
        <v>3633</v>
      </c>
      <c r="AO2201" t="s">
        <v>8588</v>
      </c>
      <c r="AP2201" t="s">
        <v>8589</v>
      </c>
      <c r="AQ2201" t="s">
        <v>74</v>
      </c>
      <c r="AR2201" t="s">
        <v>8590</v>
      </c>
      <c r="AS2201" t="s">
        <v>8591</v>
      </c>
      <c r="AT2201" t="s">
        <v>930</v>
      </c>
      <c r="AU2201">
        <v>2023</v>
      </c>
      <c r="AV2201">
        <v>47</v>
      </c>
      <c r="AW2201">
        <v>3</v>
      </c>
      <c r="AX2201" t="s">
        <v>74</v>
      </c>
      <c r="AY2201" t="s">
        <v>74</v>
      </c>
      <c r="AZ2201" t="s">
        <v>74</v>
      </c>
      <c r="BA2201" t="s">
        <v>74</v>
      </c>
      <c r="BB2201" t="s">
        <v>74</v>
      </c>
      <c r="BC2201" t="s">
        <v>74</v>
      </c>
      <c r="BD2201">
        <v>102477</v>
      </c>
      <c r="BE2201" t="s">
        <v>37612</v>
      </c>
      <c r="BF2201" t="str">
        <f>HYPERLINK("http://dx.doi.org/10.1016/j.telpol.2022.102477","http://dx.doi.org/10.1016/j.telpol.2022.102477")</f>
        <v>http://dx.doi.org/10.1016/j.telpol.2022.102477</v>
      </c>
      <c r="BG2201" t="s">
        <v>74</v>
      </c>
      <c r="BH2201" t="s">
        <v>1046</v>
      </c>
      <c r="BI2201">
        <v>15</v>
      </c>
      <c r="BJ2201" t="s">
        <v>8594</v>
      </c>
      <c r="BK2201" t="s">
        <v>182</v>
      </c>
      <c r="BL2201" t="s">
        <v>8594</v>
      </c>
      <c r="BM2201" t="s">
        <v>37613</v>
      </c>
      <c r="BN2201" t="s">
        <v>74</v>
      </c>
      <c r="BO2201" t="s">
        <v>1343</v>
      </c>
      <c r="BP2201" t="s">
        <v>74</v>
      </c>
      <c r="BQ2201" t="s">
        <v>74</v>
      </c>
      <c r="BR2201" t="s">
        <v>102</v>
      </c>
      <c r="BS2201" t="s">
        <v>37614</v>
      </c>
      <c r="BT2201" t="str">
        <f>HYPERLINK("https%3A%2F%2Fwww.webofscience.com%2Fwos%2Fwoscc%2Ffull-record%2FWOS:000962772100001","View Full Record in Web of Science")</f>
        <v>View Full Record in Web of Science</v>
      </c>
    </row>
    <row r="2202" spans="1:72" x14ac:dyDescent="0.35">
      <c r="A2202" t="s">
        <v>72</v>
      </c>
      <c r="B2202" t="s">
        <v>37615</v>
      </c>
      <c r="C2202" t="s">
        <v>74</v>
      </c>
      <c r="D2202" t="s">
        <v>74</v>
      </c>
      <c r="E2202" t="s">
        <v>74</v>
      </c>
      <c r="F2202" t="s">
        <v>37616</v>
      </c>
      <c r="G2202" t="s">
        <v>74</v>
      </c>
      <c r="H2202" t="s">
        <v>74</v>
      </c>
      <c r="I2202" t="s">
        <v>37617</v>
      </c>
      <c r="J2202" t="s">
        <v>2814</v>
      </c>
      <c r="K2202" t="s">
        <v>74</v>
      </c>
      <c r="L2202" t="s">
        <v>74</v>
      </c>
      <c r="M2202" t="s">
        <v>78</v>
      </c>
      <c r="N2202" t="s">
        <v>108</v>
      </c>
      <c r="O2202" t="s">
        <v>74</v>
      </c>
      <c r="P2202" t="s">
        <v>74</v>
      </c>
      <c r="Q2202" t="s">
        <v>74</v>
      </c>
      <c r="R2202" t="s">
        <v>74</v>
      </c>
      <c r="S2202" t="s">
        <v>74</v>
      </c>
      <c r="T2202" t="s">
        <v>37618</v>
      </c>
      <c r="U2202" t="s">
        <v>37619</v>
      </c>
      <c r="V2202" t="s">
        <v>37620</v>
      </c>
      <c r="W2202" t="s">
        <v>37621</v>
      </c>
      <c r="X2202" t="s">
        <v>37622</v>
      </c>
      <c r="Y2202" t="s">
        <v>37623</v>
      </c>
      <c r="Z2202" t="s">
        <v>37624</v>
      </c>
      <c r="AA2202" t="s">
        <v>37625</v>
      </c>
      <c r="AB2202" t="s">
        <v>37626</v>
      </c>
      <c r="AC2202" t="s">
        <v>37627</v>
      </c>
      <c r="AD2202" t="s">
        <v>37628</v>
      </c>
      <c r="AE2202" t="s">
        <v>37629</v>
      </c>
      <c r="AF2202" t="s">
        <v>74</v>
      </c>
      <c r="AG2202">
        <v>56</v>
      </c>
      <c r="AH2202">
        <v>22</v>
      </c>
      <c r="AI2202">
        <v>23</v>
      </c>
      <c r="AJ2202">
        <v>11</v>
      </c>
      <c r="AK2202">
        <v>32</v>
      </c>
      <c r="AL2202" t="s">
        <v>543</v>
      </c>
      <c r="AM2202" t="s">
        <v>544</v>
      </c>
      <c r="AN2202" t="s">
        <v>545</v>
      </c>
      <c r="AO2202" t="s">
        <v>2821</v>
      </c>
      <c r="AP2202" t="s">
        <v>74</v>
      </c>
      <c r="AQ2202" t="s">
        <v>74</v>
      </c>
      <c r="AR2202" t="s">
        <v>2822</v>
      </c>
      <c r="AS2202" t="s">
        <v>2823</v>
      </c>
      <c r="AT2202" t="s">
        <v>19493</v>
      </c>
      <c r="AU2202">
        <v>2023</v>
      </c>
      <c r="AV2202">
        <v>25</v>
      </c>
      <c r="AW2202" t="s">
        <v>74</v>
      </c>
      <c r="AX2202" t="s">
        <v>74</v>
      </c>
      <c r="AY2202" t="s">
        <v>74</v>
      </c>
      <c r="AZ2202" t="s">
        <v>74</v>
      </c>
      <c r="BA2202" t="s">
        <v>74</v>
      </c>
      <c r="BB2202" t="s">
        <v>74</v>
      </c>
      <c r="BC2202" t="s">
        <v>74</v>
      </c>
      <c r="BD2202" t="s">
        <v>37630</v>
      </c>
      <c r="BE2202" t="s">
        <v>37631</v>
      </c>
      <c r="BF2202" t="str">
        <f>HYPERLINK("http://dx.doi.org/10.2196/41518","http://dx.doi.org/10.2196/41518")</f>
        <v>http://dx.doi.org/10.2196/41518</v>
      </c>
      <c r="BG2202" t="s">
        <v>74</v>
      </c>
      <c r="BH2202" t="s">
        <v>74</v>
      </c>
      <c r="BI2202">
        <v>11</v>
      </c>
      <c r="BJ2202" t="s">
        <v>550</v>
      </c>
      <c r="BK2202" t="s">
        <v>209</v>
      </c>
      <c r="BL2202" t="s">
        <v>550</v>
      </c>
      <c r="BM2202" t="s">
        <v>37632</v>
      </c>
      <c r="BN2202">
        <v>36757757</v>
      </c>
      <c r="BO2202" t="s">
        <v>394</v>
      </c>
      <c r="BP2202" t="s">
        <v>74</v>
      </c>
      <c r="BQ2202" t="s">
        <v>74</v>
      </c>
      <c r="BR2202" t="s">
        <v>102</v>
      </c>
      <c r="BS2202" t="s">
        <v>37633</v>
      </c>
      <c r="BT2202" t="str">
        <f>HYPERLINK("https%3A%2F%2Fwww.webofscience.com%2Fwos%2Fwoscc%2Ffull-record%2FWOS:001007152100007","View Full Record in Web of Science")</f>
        <v>View Full Record in Web of Science</v>
      </c>
    </row>
    <row r="2203" spans="1:72" x14ac:dyDescent="0.35">
      <c r="A2203" t="s">
        <v>72</v>
      </c>
      <c r="B2203" t="s">
        <v>37634</v>
      </c>
      <c r="C2203" t="s">
        <v>74</v>
      </c>
      <c r="D2203" t="s">
        <v>74</v>
      </c>
      <c r="E2203" t="s">
        <v>74</v>
      </c>
      <c r="F2203" t="s">
        <v>37635</v>
      </c>
      <c r="G2203" t="s">
        <v>74</v>
      </c>
      <c r="H2203" t="s">
        <v>74</v>
      </c>
      <c r="I2203" t="s">
        <v>37636</v>
      </c>
      <c r="J2203" t="s">
        <v>793</v>
      </c>
      <c r="K2203" t="s">
        <v>74</v>
      </c>
      <c r="L2203" t="s">
        <v>74</v>
      </c>
      <c r="M2203" t="s">
        <v>78</v>
      </c>
      <c r="N2203" t="s">
        <v>108</v>
      </c>
      <c r="O2203" t="s">
        <v>74</v>
      </c>
      <c r="P2203" t="s">
        <v>74</v>
      </c>
      <c r="Q2203" t="s">
        <v>74</v>
      </c>
      <c r="R2203" t="s">
        <v>74</v>
      </c>
      <c r="S2203" t="s">
        <v>74</v>
      </c>
      <c r="T2203" t="s">
        <v>37637</v>
      </c>
      <c r="U2203" t="s">
        <v>37638</v>
      </c>
      <c r="V2203" t="s">
        <v>37639</v>
      </c>
      <c r="W2203" t="s">
        <v>37640</v>
      </c>
      <c r="X2203" t="s">
        <v>37641</v>
      </c>
      <c r="Y2203" t="s">
        <v>37642</v>
      </c>
      <c r="Z2203" t="s">
        <v>37643</v>
      </c>
      <c r="AA2203" t="s">
        <v>74</v>
      </c>
      <c r="AB2203" t="s">
        <v>74</v>
      </c>
      <c r="AC2203" t="s">
        <v>74</v>
      </c>
      <c r="AD2203" t="s">
        <v>74</v>
      </c>
      <c r="AE2203" t="s">
        <v>74</v>
      </c>
      <c r="AF2203" t="s">
        <v>74</v>
      </c>
      <c r="AG2203">
        <v>39</v>
      </c>
      <c r="AH2203">
        <v>1</v>
      </c>
      <c r="AI2203">
        <v>1</v>
      </c>
      <c r="AJ2203">
        <v>1</v>
      </c>
      <c r="AK2203">
        <v>3</v>
      </c>
      <c r="AL2203" t="s">
        <v>803</v>
      </c>
      <c r="AM2203" t="s">
        <v>227</v>
      </c>
      <c r="AN2203" t="s">
        <v>804</v>
      </c>
      <c r="AO2203" t="s">
        <v>74</v>
      </c>
      <c r="AP2203" t="s">
        <v>805</v>
      </c>
      <c r="AQ2203" t="s">
        <v>74</v>
      </c>
      <c r="AR2203" t="s">
        <v>806</v>
      </c>
      <c r="AS2203" t="s">
        <v>807</v>
      </c>
      <c r="AT2203" t="s">
        <v>2323</v>
      </c>
      <c r="AU2203">
        <v>2024</v>
      </c>
      <c r="AV2203">
        <v>16</v>
      </c>
      <c r="AW2203">
        <v>1</v>
      </c>
      <c r="AX2203" t="s">
        <v>74</v>
      </c>
      <c r="AY2203" t="s">
        <v>74</v>
      </c>
      <c r="AZ2203" t="s">
        <v>74</v>
      </c>
      <c r="BA2203" t="s">
        <v>74</v>
      </c>
      <c r="BB2203" t="s">
        <v>74</v>
      </c>
      <c r="BC2203" t="s">
        <v>74</v>
      </c>
      <c r="BD2203" t="s">
        <v>37644</v>
      </c>
      <c r="BE2203" t="s">
        <v>37645</v>
      </c>
      <c r="BF2203" t="str">
        <f>HYPERLINK("http://dx.doi.org/10.7759/cureus.51554","http://dx.doi.org/10.7759/cureus.51554")</f>
        <v>http://dx.doi.org/10.7759/cureus.51554</v>
      </c>
      <c r="BG2203" t="s">
        <v>74</v>
      </c>
      <c r="BH2203" t="s">
        <v>74</v>
      </c>
      <c r="BI2203">
        <v>14</v>
      </c>
      <c r="BJ2203" t="s">
        <v>811</v>
      </c>
      <c r="BK2203" t="s">
        <v>125</v>
      </c>
      <c r="BL2203" t="s">
        <v>812</v>
      </c>
      <c r="BM2203" t="s">
        <v>37646</v>
      </c>
      <c r="BN2203">
        <v>38313976</v>
      </c>
      <c r="BO2203" t="s">
        <v>235</v>
      </c>
      <c r="BP2203" t="s">
        <v>74</v>
      </c>
      <c r="BQ2203" t="s">
        <v>74</v>
      </c>
      <c r="BR2203" t="s">
        <v>102</v>
      </c>
      <c r="BS2203" t="s">
        <v>37647</v>
      </c>
      <c r="BT2203" t="str">
        <f>HYPERLINK("https%3A%2F%2Fwww.webofscience.com%2Fwos%2Fwoscc%2Ffull-record%2FWOS:001165689300015","View Full Record in Web of Science")</f>
        <v>View Full Record in Web of Science</v>
      </c>
    </row>
    <row r="2204" spans="1:72" x14ac:dyDescent="0.35">
      <c r="A2204" t="s">
        <v>72</v>
      </c>
      <c r="B2204" t="s">
        <v>37648</v>
      </c>
      <c r="C2204" t="s">
        <v>74</v>
      </c>
      <c r="D2204" t="s">
        <v>74</v>
      </c>
      <c r="E2204" t="s">
        <v>74</v>
      </c>
      <c r="F2204" t="s">
        <v>37649</v>
      </c>
      <c r="G2204" t="s">
        <v>74</v>
      </c>
      <c r="H2204" t="s">
        <v>74</v>
      </c>
      <c r="I2204" t="s">
        <v>37650</v>
      </c>
      <c r="J2204" t="s">
        <v>37651</v>
      </c>
      <c r="K2204" t="s">
        <v>74</v>
      </c>
      <c r="L2204" t="s">
        <v>74</v>
      </c>
      <c r="M2204" t="s">
        <v>78</v>
      </c>
      <c r="N2204" t="s">
        <v>108</v>
      </c>
      <c r="O2204" t="s">
        <v>74</v>
      </c>
      <c r="P2204" t="s">
        <v>74</v>
      </c>
      <c r="Q2204" t="s">
        <v>74</v>
      </c>
      <c r="R2204" t="s">
        <v>74</v>
      </c>
      <c r="S2204" t="s">
        <v>74</v>
      </c>
      <c r="T2204" t="s">
        <v>37652</v>
      </c>
      <c r="U2204" t="s">
        <v>74</v>
      </c>
      <c r="V2204" t="s">
        <v>37653</v>
      </c>
      <c r="W2204" t="s">
        <v>37654</v>
      </c>
      <c r="X2204" t="s">
        <v>27323</v>
      </c>
      <c r="Y2204" t="s">
        <v>37655</v>
      </c>
      <c r="Z2204" t="s">
        <v>37306</v>
      </c>
      <c r="AA2204" t="s">
        <v>74</v>
      </c>
      <c r="AB2204" t="s">
        <v>37656</v>
      </c>
      <c r="AC2204" t="s">
        <v>74</v>
      </c>
      <c r="AD2204" t="s">
        <v>74</v>
      </c>
      <c r="AE2204" t="s">
        <v>74</v>
      </c>
      <c r="AF2204" t="s">
        <v>74</v>
      </c>
      <c r="AG2204">
        <v>14</v>
      </c>
      <c r="AH2204">
        <v>0</v>
      </c>
      <c r="AI2204">
        <v>0</v>
      </c>
      <c r="AJ2204">
        <v>2</v>
      </c>
      <c r="AK2204">
        <v>6</v>
      </c>
      <c r="AL2204" t="s">
        <v>665</v>
      </c>
      <c r="AM2204" t="s">
        <v>666</v>
      </c>
      <c r="AN2204" t="s">
        <v>667</v>
      </c>
      <c r="AO2204" t="s">
        <v>37657</v>
      </c>
      <c r="AP2204" t="s">
        <v>37658</v>
      </c>
      <c r="AQ2204" t="s">
        <v>74</v>
      </c>
      <c r="AR2204" t="s">
        <v>37659</v>
      </c>
      <c r="AS2204" t="s">
        <v>37660</v>
      </c>
      <c r="AT2204" t="s">
        <v>232</v>
      </c>
      <c r="AU2204">
        <v>2024</v>
      </c>
      <c r="AV2204">
        <v>281</v>
      </c>
      <c r="AW2204">
        <v>1</v>
      </c>
      <c r="AX2204" t="s">
        <v>74</v>
      </c>
      <c r="AY2204" t="s">
        <v>74</v>
      </c>
      <c r="AZ2204" t="s">
        <v>74</v>
      </c>
      <c r="BA2204" t="s">
        <v>74</v>
      </c>
      <c r="BB2204">
        <v>489</v>
      </c>
      <c r="BC2204">
        <v>496</v>
      </c>
      <c r="BD2204" t="s">
        <v>74</v>
      </c>
      <c r="BE2204" t="s">
        <v>37661</v>
      </c>
      <c r="BF2204" t="str">
        <f>HYPERLINK("http://dx.doi.org/10.1007/s00405-023-08303-3","http://dx.doi.org/10.1007/s00405-023-08303-3")</f>
        <v>http://dx.doi.org/10.1007/s00405-023-08303-3</v>
      </c>
      <c r="BG2204" t="s">
        <v>74</v>
      </c>
      <c r="BH2204" t="s">
        <v>207</v>
      </c>
      <c r="BI2204">
        <v>8</v>
      </c>
      <c r="BJ2204" t="s">
        <v>2057</v>
      </c>
      <c r="BK2204" t="s">
        <v>209</v>
      </c>
      <c r="BL2204" t="s">
        <v>2057</v>
      </c>
      <c r="BM2204" t="s">
        <v>37662</v>
      </c>
      <c r="BN2204">
        <v>37906366</v>
      </c>
      <c r="BO2204" t="s">
        <v>74</v>
      </c>
      <c r="BP2204" t="s">
        <v>74</v>
      </c>
      <c r="BQ2204" t="s">
        <v>74</v>
      </c>
      <c r="BR2204" t="s">
        <v>102</v>
      </c>
      <c r="BS2204" t="s">
        <v>37663</v>
      </c>
      <c r="BT2204" t="str">
        <f>HYPERLINK("https%3A%2F%2Fwww.webofscience.com%2Fwos%2Fwoscc%2Ffull-record%2FWOS:001096115800002","View Full Record in Web of Science")</f>
        <v>View Full Record in Web of Science</v>
      </c>
    </row>
    <row r="2205" spans="1:72" x14ac:dyDescent="0.35">
      <c r="A2205" t="s">
        <v>72</v>
      </c>
      <c r="B2205" t="s">
        <v>37664</v>
      </c>
      <c r="C2205" t="s">
        <v>74</v>
      </c>
      <c r="D2205" t="s">
        <v>74</v>
      </c>
      <c r="E2205" t="s">
        <v>74</v>
      </c>
      <c r="F2205" t="s">
        <v>37665</v>
      </c>
      <c r="G2205" t="s">
        <v>74</v>
      </c>
      <c r="H2205" t="s">
        <v>74</v>
      </c>
      <c r="I2205" t="s">
        <v>37666</v>
      </c>
      <c r="J2205" t="s">
        <v>37667</v>
      </c>
      <c r="K2205" t="s">
        <v>74</v>
      </c>
      <c r="L2205" t="s">
        <v>74</v>
      </c>
      <c r="M2205" t="s">
        <v>78</v>
      </c>
      <c r="N2205" t="s">
        <v>108</v>
      </c>
      <c r="O2205" t="s">
        <v>74</v>
      </c>
      <c r="P2205" t="s">
        <v>74</v>
      </c>
      <c r="Q2205" t="s">
        <v>74</v>
      </c>
      <c r="R2205" t="s">
        <v>74</v>
      </c>
      <c r="S2205" t="s">
        <v>74</v>
      </c>
      <c r="T2205" t="s">
        <v>37668</v>
      </c>
      <c r="U2205" t="s">
        <v>37669</v>
      </c>
      <c r="V2205" t="s">
        <v>37670</v>
      </c>
      <c r="W2205" t="s">
        <v>37671</v>
      </c>
      <c r="X2205" t="s">
        <v>835</v>
      </c>
      <c r="Y2205" t="s">
        <v>37672</v>
      </c>
      <c r="Z2205" t="s">
        <v>37673</v>
      </c>
      <c r="AA2205" t="s">
        <v>74</v>
      </c>
      <c r="AB2205" t="s">
        <v>74</v>
      </c>
      <c r="AC2205" t="s">
        <v>37674</v>
      </c>
      <c r="AD2205" t="s">
        <v>37675</v>
      </c>
      <c r="AE2205" t="s">
        <v>37676</v>
      </c>
      <c r="AF2205" t="s">
        <v>74</v>
      </c>
      <c r="AG2205">
        <v>38</v>
      </c>
      <c r="AH2205">
        <v>0</v>
      </c>
      <c r="AI2205">
        <v>0</v>
      </c>
      <c r="AJ2205">
        <v>1</v>
      </c>
      <c r="AK2205">
        <v>6</v>
      </c>
      <c r="AL2205" t="s">
        <v>803</v>
      </c>
      <c r="AM2205" t="s">
        <v>227</v>
      </c>
      <c r="AN2205" t="s">
        <v>804</v>
      </c>
      <c r="AO2205" t="s">
        <v>74</v>
      </c>
      <c r="AP2205" t="s">
        <v>37677</v>
      </c>
      <c r="AQ2205" t="s">
        <v>74</v>
      </c>
      <c r="AR2205" t="s">
        <v>37678</v>
      </c>
      <c r="AS2205" t="s">
        <v>37679</v>
      </c>
      <c r="AT2205" t="s">
        <v>37680</v>
      </c>
      <c r="AU2205">
        <v>2023</v>
      </c>
      <c r="AV2205">
        <v>8</v>
      </c>
      <c r="AW2205">
        <v>1</v>
      </c>
      <c r="AX2205" t="s">
        <v>74</v>
      </c>
      <c r="AY2205" t="s">
        <v>74</v>
      </c>
      <c r="AZ2205" t="s">
        <v>74</v>
      </c>
      <c r="BA2205" t="s">
        <v>74</v>
      </c>
      <c r="BB2205" t="s">
        <v>74</v>
      </c>
      <c r="BC2205" t="s">
        <v>74</v>
      </c>
      <c r="BD2205">
        <v>46</v>
      </c>
      <c r="BE2205" t="s">
        <v>37681</v>
      </c>
      <c r="BF2205" t="str">
        <f>HYPERLINK("http://dx.doi.org/10.1007/s41109-023-00573-4","http://dx.doi.org/10.1007/s41109-023-00573-4")</f>
        <v>http://dx.doi.org/10.1007/s41109-023-00573-4</v>
      </c>
      <c r="BG2205" t="s">
        <v>74</v>
      </c>
      <c r="BH2205" t="s">
        <v>74</v>
      </c>
      <c r="BI2205">
        <v>29</v>
      </c>
      <c r="BJ2205" t="s">
        <v>37682</v>
      </c>
      <c r="BK2205" t="s">
        <v>125</v>
      </c>
      <c r="BL2205" t="s">
        <v>25780</v>
      </c>
      <c r="BM2205" t="s">
        <v>37683</v>
      </c>
      <c r="BN2205">
        <v>37502612</v>
      </c>
      <c r="BO2205" t="s">
        <v>394</v>
      </c>
      <c r="BP2205" t="s">
        <v>74</v>
      </c>
      <c r="BQ2205" t="s">
        <v>74</v>
      </c>
      <c r="BR2205" t="s">
        <v>102</v>
      </c>
      <c r="BS2205" t="s">
        <v>37684</v>
      </c>
      <c r="BT2205" t="str">
        <f>HYPERLINK("https%3A%2F%2Fwww.webofscience.com%2Fwos%2Fwoscc%2Ffull-record%2FWOS:001035539500001","View Full Record in Web of Science")</f>
        <v>View Full Record in Web of Science</v>
      </c>
    </row>
    <row r="2206" spans="1:72" x14ac:dyDescent="0.35">
      <c r="A2206" t="s">
        <v>72</v>
      </c>
      <c r="B2206" t="s">
        <v>37685</v>
      </c>
      <c r="C2206" t="s">
        <v>74</v>
      </c>
      <c r="D2206" t="s">
        <v>74</v>
      </c>
      <c r="E2206" t="s">
        <v>74</v>
      </c>
      <c r="F2206" t="s">
        <v>37686</v>
      </c>
      <c r="G2206" t="s">
        <v>74</v>
      </c>
      <c r="H2206" t="s">
        <v>74</v>
      </c>
      <c r="I2206" t="s">
        <v>37687</v>
      </c>
      <c r="J2206" t="s">
        <v>793</v>
      </c>
      <c r="K2206" t="s">
        <v>74</v>
      </c>
      <c r="L2206" t="s">
        <v>74</v>
      </c>
      <c r="M2206" t="s">
        <v>78</v>
      </c>
      <c r="N2206" t="s">
        <v>374</v>
      </c>
      <c r="O2206" t="s">
        <v>74</v>
      </c>
      <c r="P2206" t="s">
        <v>74</v>
      </c>
      <c r="Q2206" t="s">
        <v>74</v>
      </c>
      <c r="R2206" t="s">
        <v>74</v>
      </c>
      <c r="S2206" t="s">
        <v>74</v>
      </c>
      <c r="T2206" t="s">
        <v>37688</v>
      </c>
      <c r="U2206" t="s">
        <v>74</v>
      </c>
      <c r="V2206" t="s">
        <v>37689</v>
      </c>
      <c r="W2206" t="s">
        <v>37690</v>
      </c>
      <c r="X2206" t="s">
        <v>37691</v>
      </c>
      <c r="Y2206" t="s">
        <v>37692</v>
      </c>
      <c r="Z2206" t="s">
        <v>37693</v>
      </c>
      <c r="AA2206" t="s">
        <v>37694</v>
      </c>
      <c r="AB2206" t="s">
        <v>37695</v>
      </c>
      <c r="AC2206" t="s">
        <v>74</v>
      </c>
      <c r="AD2206" t="s">
        <v>74</v>
      </c>
      <c r="AE2206" t="s">
        <v>74</v>
      </c>
      <c r="AF2206" t="s">
        <v>74</v>
      </c>
      <c r="AG2206">
        <v>53</v>
      </c>
      <c r="AH2206">
        <v>10</v>
      </c>
      <c r="AI2206">
        <v>11</v>
      </c>
      <c r="AJ2206">
        <v>6</v>
      </c>
      <c r="AK2206">
        <v>22</v>
      </c>
      <c r="AL2206" t="s">
        <v>803</v>
      </c>
      <c r="AM2206" t="s">
        <v>227</v>
      </c>
      <c r="AN2206" t="s">
        <v>804</v>
      </c>
      <c r="AO2206" t="s">
        <v>74</v>
      </c>
      <c r="AP2206" t="s">
        <v>805</v>
      </c>
      <c r="AQ2206" t="s">
        <v>74</v>
      </c>
      <c r="AR2206" t="s">
        <v>806</v>
      </c>
      <c r="AS2206" t="s">
        <v>807</v>
      </c>
      <c r="AT2206" t="s">
        <v>37696</v>
      </c>
      <c r="AU2206">
        <v>2023</v>
      </c>
      <c r="AV2206">
        <v>15</v>
      </c>
      <c r="AW2206">
        <v>5</v>
      </c>
      <c r="AX2206" t="s">
        <v>74</v>
      </c>
      <c r="AY2206" t="s">
        <v>74</v>
      </c>
      <c r="AZ2206" t="s">
        <v>74</v>
      </c>
      <c r="BA2206" t="s">
        <v>74</v>
      </c>
      <c r="BB2206" t="s">
        <v>74</v>
      </c>
      <c r="BC2206" t="s">
        <v>74</v>
      </c>
      <c r="BD2206" t="s">
        <v>74</v>
      </c>
      <c r="BE2206" t="s">
        <v>37697</v>
      </c>
      <c r="BF2206" t="str">
        <f>HYPERLINK("http://dx.doi.org/10.7759/cureus.39111","http://dx.doi.org/10.7759/cureus.39111")</f>
        <v>http://dx.doi.org/10.7759/cureus.39111</v>
      </c>
      <c r="BG2206" t="s">
        <v>74</v>
      </c>
      <c r="BH2206" t="s">
        <v>74</v>
      </c>
      <c r="BI2206">
        <v>9</v>
      </c>
      <c r="BJ2206" t="s">
        <v>811</v>
      </c>
      <c r="BK2206" t="s">
        <v>125</v>
      </c>
      <c r="BL2206" t="s">
        <v>812</v>
      </c>
      <c r="BM2206" t="s">
        <v>37698</v>
      </c>
      <c r="BN2206">
        <v>37332420</v>
      </c>
      <c r="BO2206" t="s">
        <v>552</v>
      </c>
      <c r="BP2206" t="s">
        <v>74</v>
      </c>
      <c r="BQ2206" t="s">
        <v>74</v>
      </c>
      <c r="BR2206" t="s">
        <v>102</v>
      </c>
      <c r="BS2206" t="s">
        <v>37699</v>
      </c>
      <c r="BT2206" t="str">
        <f>HYPERLINK("https%3A%2F%2Fwww.webofscience.com%2Fwos%2Fwoscc%2Ffull-record%2FWOS:001009812400048","View Full Record in Web of Science")</f>
        <v>View Full Record in Web of Science</v>
      </c>
    </row>
    <row r="2207" spans="1:72" x14ac:dyDescent="0.35">
      <c r="A2207" t="s">
        <v>72</v>
      </c>
      <c r="B2207" t="s">
        <v>37700</v>
      </c>
      <c r="C2207" t="s">
        <v>74</v>
      </c>
      <c r="D2207" t="s">
        <v>74</v>
      </c>
      <c r="E2207" t="s">
        <v>74</v>
      </c>
      <c r="F2207" t="s">
        <v>37701</v>
      </c>
      <c r="G2207" t="s">
        <v>74</v>
      </c>
      <c r="H2207" t="s">
        <v>74</v>
      </c>
      <c r="I2207" t="s">
        <v>37702</v>
      </c>
      <c r="J2207" t="s">
        <v>37703</v>
      </c>
      <c r="K2207" t="s">
        <v>74</v>
      </c>
      <c r="L2207" t="s">
        <v>74</v>
      </c>
      <c r="M2207" t="s">
        <v>78</v>
      </c>
      <c r="N2207" t="s">
        <v>108</v>
      </c>
      <c r="O2207" t="s">
        <v>74</v>
      </c>
      <c r="P2207" t="s">
        <v>74</v>
      </c>
      <c r="Q2207" t="s">
        <v>74</v>
      </c>
      <c r="R2207" t="s">
        <v>74</v>
      </c>
      <c r="S2207" t="s">
        <v>74</v>
      </c>
      <c r="T2207" t="s">
        <v>37704</v>
      </c>
      <c r="U2207" t="s">
        <v>74</v>
      </c>
      <c r="V2207" t="s">
        <v>37705</v>
      </c>
      <c r="W2207" t="s">
        <v>37706</v>
      </c>
      <c r="X2207" t="s">
        <v>37707</v>
      </c>
      <c r="Y2207" t="s">
        <v>37708</v>
      </c>
      <c r="Z2207" t="s">
        <v>37709</v>
      </c>
      <c r="AA2207" t="s">
        <v>74</v>
      </c>
      <c r="AB2207" t="s">
        <v>37710</v>
      </c>
      <c r="AC2207" t="s">
        <v>74</v>
      </c>
      <c r="AD2207" t="s">
        <v>74</v>
      </c>
      <c r="AE2207" t="s">
        <v>74</v>
      </c>
      <c r="AF2207" t="s">
        <v>74</v>
      </c>
      <c r="AG2207">
        <v>33</v>
      </c>
      <c r="AH2207">
        <v>7</v>
      </c>
      <c r="AI2207">
        <v>10</v>
      </c>
      <c r="AJ2207">
        <v>0</v>
      </c>
      <c r="AK2207">
        <v>9</v>
      </c>
      <c r="AL2207" t="s">
        <v>88</v>
      </c>
      <c r="AM2207" t="s">
        <v>89</v>
      </c>
      <c r="AN2207" t="s">
        <v>90</v>
      </c>
      <c r="AO2207" t="s">
        <v>37711</v>
      </c>
      <c r="AP2207" t="s">
        <v>37712</v>
      </c>
      <c r="AQ2207" t="s">
        <v>74</v>
      </c>
      <c r="AR2207" t="s">
        <v>37713</v>
      </c>
      <c r="AS2207" t="s">
        <v>37714</v>
      </c>
      <c r="AT2207" t="s">
        <v>1001</v>
      </c>
      <c r="AU2207">
        <v>2021</v>
      </c>
      <c r="AV2207">
        <v>35</v>
      </c>
      <c r="AW2207" t="s">
        <v>27312</v>
      </c>
      <c r="AX2207" t="s">
        <v>74</v>
      </c>
      <c r="AY2207" t="s">
        <v>74</v>
      </c>
      <c r="AZ2207" t="s">
        <v>456</v>
      </c>
      <c r="BA2207" t="s">
        <v>74</v>
      </c>
      <c r="BB2207">
        <v>412</v>
      </c>
      <c r="BC2207">
        <v>431</v>
      </c>
      <c r="BD2207" t="s">
        <v>74</v>
      </c>
      <c r="BE2207" t="s">
        <v>37715</v>
      </c>
      <c r="BF2207" t="str">
        <f>HYPERLINK("http://dx.doi.org/10.1080/09502386.2021.1898035","http://dx.doi.org/10.1080/09502386.2021.1898035")</f>
        <v>http://dx.doi.org/10.1080/09502386.2021.1898035</v>
      </c>
      <c r="BG2207" t="s">
        <v>74</v>
      </c>
      <c r="BH2207" t="s">
        <v>74</v>
      </c>
      <c r="BI2207">
        <v>20</v>
      </c>
      <c r="BJ2207" t="s">
        <v>37716</v>
      </c>
      <c r="BK2207" t="s">
        <v>2125</v>
      </c>
      <c r="BL2207" t="s">
        <v>37716</v>
      </c>
      <c r="BM2207" t="s">
        <v>37717</v>
      </c>
      <c r="BN2207" t="s">
        <v>74</v>
      </c>
      <c r="BO2207" t="s">
        <v>74</v>
      </c>
      <c r="BP2207" t="s">
        <v>74</v>
      </c>
      <c r="BQ2207" t="s">
        <v>74</v>
      </c>
      <c r="BR2207" t="s">
        <v>102</v>
      </c>
      <c r="BS2207" t="s">
        <v>37718</v>
      </c>
      <c r="BT2207" t="str">
        <f>HYPERLINK("https%3A%2F%2Fwww.webofscience.com%2Fwos%2Fwoscc%2Ffull-record%2FWOS:000646989800017","View Full Record in Web of Science")</f>
        <v>View Full Record in Web of Science</v>
      </c>
    </row>
    <row r="2208" spans="1:72" x14ac:dyDescent="0.35">
      <c r="A2208" t="s">
        <v>72</v>
      </c>
      <c r="B2208" t="s">
        <v>37719</v>
      </c>
      <c r="C2208" t="s">
        <v>74</v>
      </c>
      <c r="D2208" t="s">
        <v>74</v>
      </c>
      <c r="E2208" t="s">
        <v>74</v>
      </c>
      <c r="F2208" t="s">
        <v>37720</v>
      </c>
      <c r="G2208" t="s">
        <v>74</v>
      </c>
      <c r="H2208" t="s">
        <v>74</v>
      </c>
      <c r="I2208" t="s">
        <v>37721</v>
      </c>
      <c r="J2208" t="s">
        <v>240</v>
      </c>
      <c r="K2208" t="s">
        <v>74</v>
      </c>
      <c r="L2208" t="s">
        <v>74</v>
      </c>
      <c r="M2208" t="s">
        <v>78</v>
      </c>
      <c r="N2208" t="s">
        <v>108</v>
      </c>
      <c r="O2208" t="s">
        <v>74</v>
      </c>
      <c r="P2208" t="s">
        <v>74</v>
      </c>
      <c r="Q2208" t="s">
        <v>74</v>
      </c>
      <c r="R2208" t="s">
        <v>74</v>
      </c>
      <c r="S2208" t="s">
        <v>74</v>
      </c>
      <c r="T2208" t="s">
        <v>37722</v>
      </c>
      <c r="U2208" t="s">
        <v>37723</v>
      </c>
      <c r="V2208" t="s">
        <v>37724</v>
      </c>
      <c r="W2208" t="s">
        <v>37725</v>
      </c>
      <c r="X2208" t="s">
        <v>29605</v>
      </c>
      <c r="Y2208" t="s">
        <v>37726</v>
      </c>
      <c r="Z2208" t="s">
        <v>37727</v>
      </c>
      <c r="AA2208" t="s">
        <v>37728</v>
      </c>
      <c r="AB2208" t="s">
        <v>37729</v>
      </c>
      <c r="AC2208" t="s">
        <v>37730</v>
      </c>
      <c r="AD2208" t="s">
        <v>37731</v>
      </c>
      <c r="AE2208" t="s">
        <v>37732</v>
      </c>
      <c r="AF2208" t="s">
        <v>74</v>
      </c>
      <c r="AG2208">
        <v>30</v>
      </c>
      <c r="AH2208">
        <v>0</v>
      </c>
      <c r="AI2208">
        <v>0</v>
      </c>
      <c r="AJ2208">
        <v>36</v>
      </c>
      <c r="AK2208">
        <v>36</v>
      </c>
      <c r="AL2208" t="s">
        <v>251</v>
      </c>
      <c r="AM2208" t="s">
        <v>252</v>
      </c>
      <c r="AN2208" t="s">
        <v>253</v>
      </c>
      <c r="AO2208" t="s">
        <v>254</v>
      </c>
      <c r="AP2208" t="s">
        <v>255</v>
      </c>
      <c r="AQ2208" t="s">
        <v>74</v>
      </c>
      <c r="AR2208" t="s">
        <v>240</v>
      </c>
      <c r="AS2208" t="s">
        <v>256</v>
      </c>
      <c r="AT2208" t="s">
        <v>455</v>
      </c>
      <c r="AU2208">
        <v>2024</v>
      </c>
      <c r="AV2208">
        <v>56</v>
      </c>
      <c r="AW2208">
        <v>3</v>
      </c>
      <c r="AX2208" t="s">
        <v>74</v>
      </c>
      <c r="AY2208" t="s">
        <v>74</v>
      </c>
      <c r="AZ2208" t="s">
        <v>74</v>
      </c>
      <c r="BA2208" t="s">
        <v>74</v>
      </c>
      <c r="BB2208" t="s">
        <v>74</v>
      </c>
      <c r="BC2208" t="s">
        <v>74</v>
      </c>
      <c r="BD2208" t="s">
        <v>74</v>
      </c>
      <c r="BE2208" t="s">
        <v>37733</v>
      </c>
      <c r="BF2208" t="str">
        <f>HYPERLINK("http://dx.doi.org/10.1111/area.12951","http://dx.doi.org/10.1111/area.12951")</f>
        <v>http://dx.doi.org/10.1111/area.12951</v>
      </c>
      <c r="BG2208" t="s">
        <v>74</v>
      </c>
      <c r="BH2208" t="s">
        <v>1467</v>
      </c>
      <c r="BI2208">
        <v>10</v>
      </c>
      <c r="BJ2208" t="s">
        <v>260</v>
      </c>
      <c r="BK2208" t="s">
        <v>99</v>
      </c>
      <c r="BL2208" t="s">
        <v>260</v>
      </c>
      <c r="BM2208" t="s">
        <v>37734</v>
      </c>
      <c r="BN2208" t="s">
        <v>74</v>
      </c>
      <c r="BO2208" t="s">
        <v>156</v>
      </c>
      <c r="BP2208" t="s">
        <v>74</v>
      </c>
      <c r="BQ2208" t="s">
        <v>74</v>
      </c>
      <c r="BR2208" t="s">
        <v>102</v>
      </c>
      <c r="BS2208" t="s">
        <v>37735</v>
      </c>
      <c r="BT2208" t="str">
        <f>HYPERLINK("https%3A%2F%2Fwww.webofscience.com%2Fwos%2Fwoscc%2Ffull-record%2FWOS:001235619000001","View Full Record in Web of Science")</f>
        <v>View Full Record in Web of Science</v>
      </c>
    </row>
    <row r="2209" spans="1:72" x14ac:dyDescent="0.35">
      <c r="A2209" t="s">
        <v>72</v>
      </c>
      <c r="B2209" t="s">
        <v>37736</v>
      </c>
      <c r="C2209" t="s">
        <v>74</v>
      </c>
      <c r="D2209" t="s">
        <v>74</v>
      </c>
      <c r="E2209" t="s">
        <v>74</v>
      </c>
      <c r="F2209" t="s">
        <v>37737</v>
      </c>
      <c r="G2209" t="s">
        <v>74</v>
      </c>
      <c r="H2209" t="s">
        <v>74</v>
      </c>
      <c r="I2209" t="s">
        <v>37738</v>
      </c>
      <c r="J2209" t="s">
        <v>37739</v>
      </c>
      <c r="K2209" t="s">
        <v>74</v>
      </c>
      <c r="L2209" t="s">
        <v>74</v>
      </c>
      <c r="M2209" t="s">
        <v>1556</v>
      </c>
      <c r="N2209" t="s">
        <v>108</v>
      </c>
      <c r="O2209" t="s">
        <v>74</v>
      </c>
      <c r="P2209" t="s">
        <v>74</v>
      </c>
      <c r="Q2209" t="s">
        <v>74</v>
      </c>
      <c r="R2209" t="s">
        <v>74</v>
      </c>
      <c r="S2209" t="s">
        <v>74</v>
      </c>
      <c r="T2209" t="s">
        <v>37740</v>
      </c>
      <c r="U2209" t="s">
        <v>939</v>
      </c>
      <c r="V2209" t="s">
        <v>37741</v>
      </c>
      <c r="W2209" t="s">
        <v>37742</v>
      </c>
      <c r="X2209" t="s">
        <v>37743</v>
      </c>
      <c r="Y2209" t="s">
        <v>37744</v>
      </c>
      <c r="Z2209" t="s">
        <v>74</v>
      </c>
      <c r="AA2209" t="s">
        <v>74</v>
      </c>
      <c r="AB2209" t="s">
        <v>74</v>
      </c>
      <c r="AC2209" t="s">
        <v>74</v>
      </c>
      <c r="AD2209" t="s">
        <v>74</v>
      </c>
      <c r="AE2209" t="s">
        <v>74</v>
      </c>
      <c r="AF2209" t="s">
        <v>74</v>
      </c>
      <c r="AG2209">
        <v>38</v>
      </c>
      <c r="AH2209">
        <v>0</v>
      </c>
      <c r="AI2209">
        <v>0</v>
      </c>
      <c r="AJ2209">
        <v>0</v>
      </c>
      <c r="AK2209">
        <v>0</v>
      </c>
      <c r="AL2209" t="s">
        <v>37745</v>
      </c>
      <c r="AM2209" t="s">
        <v>1564</v>
      </c>
      <c r="AN2209" t="s">
        <v>37746</v>
      </c>
      <c r="AO2209" t="s">
        <v>37747</v>
      </c>
      <c r="AP2209" t="s">
        <v>74</v>
      </c>
      <c r="AQ2209" t="s">
        <v>74</v>
      </c>
      <c r="AR2209" t="s">
        <v>37748</v>
      </c>
      <c r="AS2209" t="s">
        <v>37749</v>
      </c>
      <c r="AT2209" t="s">
        <v>74</v>
      </c>
      <c r="AU2209">
        <v>2024</v>
      </c>
      <c r="AV2209">
        <v>70</v>
      </c>
      <c r="AW2209">
        <v>1</v>
      </c>
      <c r="AX2209" t="s">
        <v>74</v>
      </c>
      <c r="AY2209" t="s">
        <v>74</v>
      </c>
      <c r="AZ2209" t="s">
        <v>74</v>
      </c>
      <c r="BA2209" t="s">
        <v>74</v>
      </c>
      <c r="BB2209">
        <v>70</v>
      </c>
      <c r="BC2209">
        <v>83</v>
      </c>
      <c r="BD2209" t="s">
        <v>74</v>
      </c>
      <c r="BE2209" t="s">
        <v>74</v>
      </c>
      <c r="BF2209" t="s">
        <v>74</v>
      </c>
      <c r="BG2209" t="s">
        <v>74</v>
      </c>
      <c r="BH2209" t="s">
        <v>74</v>
      </c>
      <c r="BI2209">
        <v>14</v>
      </c>
      <c r="BJ2209" t="s">
        <v>9945</v>
      </c>
      <c r="BK2209" t="s">
        <v>99</v>
      </c>
      <c r="BL2209" t="s">
        <v>301</v>
      </c>
      <c r="BM2209" t="s">
        <v>37750</v>
      </c>
      <c r="BN2209" t="s">
        <v>74</v>
      </c>
      <c r="BO2209" t="s">
        <v>74</v>
      </c>
      <c r="BP2209" t="s">
        <v>74</v>
      </c>
      <c r="BQ2209" t="s">
        <v>74</v>
      </c>
      <c r="BR2209" t="s">
        <v>102</v>
      </c>
      <c r="BS2209" t="s">
        <v>37751</v>
      </c>
      <c r="BT2209" t="str">
        <f>HYPERLINK("https%3A%2F%2Fwww.webofscience.com%2Fwos%2Fwoscc%2Ffull-record%2FWOS:001326816200007","View Full Record in Web of Science")</f>
        <v>View Full Record in Web of Science</v>
      </c>
    </row>
    <row r="2210" spans="1:72" x14ac:dyDescent="0.35">
      <c r="A2210" t="s">
        <v>72</v>
      </c>
      <c r="B2210" t="s">
        <v>37752</v>
      </c>
      <c r="C2210" t="s">
        <v>74</v>
      </c>
      <c r="D2210" t="s">
        <v>74</v>
      </c>
      <c r="E2210" t="s">
        <v>74</v>
      </c>
      <c r="F2210" t="s">
        <v>37753</v>
      </c>
      <c r="G2210" t="s">
        <v>74</v>
      </c>
      <c r="H2210" t="s">
        <v>74</v>
      </c>
      <c r="I2210" t="s">
        <v>37754</v>
      </c>
      <c r="J2210" t="s">
        <v>37755</v>
      </c>
      <c r="K2210" t="s">
        <v>74</v>
      </c>
      <c r="L2210" t="s">
        <v>74</v>
      </c>
      <c r="M2210" t="s">
        <v>78</v>
      </c>
      <c r="N2210" t="s">
        <v>108</v>
      </c>
      <c r="O2210" t="s">
        <v>74</v>
      </c>
      <c r="P2210" t="s">
        <v>74</v>
      </c>
      <c r="Q2210" t="s">
        <v>74</v>
      </c>
      <c r="R2210" t="s">
        <v>74</v>
      </c>
      <c r="S2210" t="s">
        <v>74</v>
      </c>
      <c r="T2210" t="s">
        <v>37756</v>
      </c>
      <c r="U2210" t="s">
        <v>74</v>
      </c>
      <c r="V2210" t="s">
        <v>37757</v>
      </c>
      <c r="W2210" t="s">
        <v>37758</v>
      </c>
      <c r="X2210" t="s">
        <v>37759</v>
      </c>
      <c r="Y2210" t="s">
        <v>37760</v>
      </c>
      <c r="Z2210" t="s">
        <v>37761</v>
      </c>
      <c r="AA2210" t="s">
        <v>37762</v>
      </c>
      <c r="AB2210" t="s">
        <v>74</v>
      </c>
      <c r="AC2210" t="s">
        <v>37763</v>
      </c>
      <c r="AD2210" t="s">
        <v>37764</v>
      </c>
      <c r="AE2210" t="s">
        <v>37765</v>
      </c>
      <c r="AF2210" t="s">
        <v>74</v>
      </c>
      <c r="AG2210">
        <v>55</v>
      </c>
      <c r="AH2210">
        <v>112</v>
      </c>
      <c r="AI2210">
        <v>124</v>
      </c>
      <c r="AJ2210">
        <v>9</v>
      </c>
      <c r="AK2210">
        <v>116</v>
      </c>
      <c r="AL2210" t="s">
        <v>3632</v>
      </c>
      <c r="AM2210" t="s">
        <v>148</v>
      </c>
      <c r="AN2210" t="s">
        <v>5053</v>
      </c>
      <c r="AO2210" t="s">
        <v>37766</v>
      </c>
      <c r="AP2210" t="s">
        <v>37767</v>
      </c>
      <c r="AQ2210" t="s">
        <v>74</v>
      </c>
      <c r="AR2210" t="s">
        <v>37768</v>
      </c>
      <c r="AS2210" t="s">
        <v>37769</v>
      </c>
      <c r="AT2210" t="s">
        <v>455</v>
      </c>
      <c r="AU2210">
        <v>2020</v>
      </c>
      <c r="AV2210">
        <v>57</v>
      </c>
      <c r="AW2210">
        <v>5</v>
      </c>
      <c r="AX2210" t="s">
        <v>74</v>
      </c>
      <c r="AY2210" t="s">
        <v>74</v>
      </c>
      <c r="AZ2210" t="s">
        <v>74</v>
      </c>
      <c r="BA2210" t="s">
        <v>74</v>
      </c>
      <c r="BB2210" t="s">
        <v>74</v>
      </c>
      <c r="BC2210" t="s">
        <v>74</v>
      </c>
      <c r="BD2210">
        <v>102277</v>
      </c>
      <c r="BE2210" t="s">
        <v>37770</v>
      </c>
      <c r="BF2210" t="str">
        <f>HYPERLINK("http://dx.doi.org/10.1016/j.ipm.2020.102277","http://dx.doi.org/10.1016/j.ipm.2020.102277")</f>
        <v>http://dx.doi.org/10.1016/j.ipm.2020.102277</v>
      </c>
      <c r="BG2210" t="s">
        <v>74</v>
      </c>
      <c r="BH2210" t="s">
        <v>74</v>
      </c>
      <c r="BI2210">
        <v>11</v>
      </c>
      <c r="BJ2210" t="s">
        <v>5995</v>
      </c>
      <c r="BK2210" t="s">
        <v>182</v>
      </c>
      <c r="BL2210" t="s">
        <v>5996</v>
      </c>
      <c r="BM2210" t="s">
        <v>37771</v>
      </c>
      <c r="BN2210" t="s">
        <v>74</v>
      </c>
      <c r="BO2210" t="s">
        <v>74</v>
      </c>
      <c r="BP2210" t="s">
        <v>74</v>
      </c>
      <c r="BQ2210" t="s">
        <v>74</v>
      </c>
      <c r="BR2210" t="s">
        <v>102</v>
      </c>
      <c r="BS2210" t="s">
        <v>37772</v>
      </c>
      <c r="BT2210" t="str">
        <f>HYPERLINK("https%3A%2F%2Fwww.webofscience.com%2Fwos%2Fwoscc%2Ffull-record%2FWOS:000542996300022","View Full Record in Web of Science")</f>
        <v>View Full Record in Web of Science</v>
      </c>
    </row>
    <row r="2211" spans="1:72" x14ac:dyDescent="0.35">
      <c r="A2211" t="s">
        <v>72</v>
      </c>
      <c r="B2211" t="s">
        <v>37773</v>
      </c>
      <c r="C2211" t="s">
        <v>74</v>
      </c>
      <c r="D2211" t="s">
        <v>74</v>
      </c>
      <c r="E2211" t="s">
        <v>74</v>
      </c>
      <c r="F2211" t="s">
        <v>37774</v>
      </c>
      <c r="G2211" t="s">
        <v>74</v>
      </c>
      <c r="H2211" t="s">
        <v>74</v>
      </c>
      <c r="I2211" t="s">
        <v>37775</v>
      </c>
      <c r="J2211" t="s">
        <v>37776</v>
      </c>
      <c r="K2211" t="s">
        <v>74</v>
      </c>
      <c r="L2211" t="s">
        <v>74</v>
      </c>
      <c r="M2211" t="s">
        <v>78</v>
      </c>
      <c r="N2211" t="s">
        <v>108</v>
      </c>
      <c r="O2211" t="s">
        <v>74</v>
      </c>
      <c r="P2211" t="s">
        <v>74</v>
      </c>
      <c r="Q2211" t="s">
        <v>74</v>
      </c>
      <c r="R2211" t="s">
        <v>74</v>
      </c>
      <c r="S2211" t="s">
        <v>74</v>
      </c>
      <c r="T2211" t="s">
        <v>74</v>
      </c>
      <c r="U2211" t="s">
        <v>37777</v>
      </c>
      <c r="V2211" t="s">
        <v>37778</v>
      </c>
      <c r="W2211" t="s">
        <v>37779</v>
      </c>
      <c r="X2211" t="s">
        <v>8328</v>
      </c>
      <c r="Y2211" t="s">
        <v>37780</v>
      </c>
      <c r="Z2211" t="s">
        <v>74</v>
      </c>
      <c r="AA2211" t="s">
        <v>74</v>
      </c>
      <c r="AB2211" t="s">
        <v>74</v>
      </c>
      <c r="AC2211" t="s">
        <v>74</v>
      </c>
      <c r="AD2211" t="s">
        <v>74</v>
      </c>
      <c r="AE2211" t="s">
        <v>74</v>
      </c>
      <c r="AF2211" t="s">
        <v>74</v>
      </c>
      <c r="AG2211">
        <v>113</v>
      </c>
      <c r="AH2211">
        <v>0</v>
      </c>
      <c r="AI2211">
        <v>0</v>
      </c>
      <c r="AJ2211">
        <v>0</v>
      </c>
      <c r="AK2211">
        <v>0</v>
      </c>
      <c r="AL2211" t="s">
        <v>37781</v>
      </c>
      <c r="AM2211" t="s">
        <v>10224</v>
      </c>
      <c r="AN2211" t="s">
        <v>37782</v>
      </c>
      <c r="AO2211" t="s">
        <v>37783</v>
      </c>
      <c r="AP2211" t="s">
        <v>74</v>
      </c>
      <c r="AQ2211" t="s">
        <v>74</v>
      </c>
      <c r="AR2211" t="s">
        <v>37784</v>
      </c>
      <c r="AS2211" t="s">
        <v>37785</v>
      </c>
      <c r="AT2211" t="s">
        <v>594</v>
      </c>
      <c r="AU2211">
        <v>2024</v>
      </c>
      <c r="AV2211">
        <v>91</v>
      </c>
      <c r="AW2211">
        <v>6</v>
      </c>
      <c r="AX2211" t="s">
        <v>74</v>
      </c>
      <c r="AY2211" t="s">
        <v>74</v>
      </c>
      <c r="AZ2211" t="s">
        <v>74</v>
      </c>
      <c r="BA2211" t="s">
        <v>74</v>
      </c>
      <c r="BB2211">
        <v>1765</v>
      </c>
      <c r="BC2211">
        <v>1808</v>
      </c>
      <c r="BD2211" t="s">
        <v>74</v>
      </c>
      <c r="BE2211" t="s">
        <v>74</v>
      </c>
      <c r="BF2211" t="s">
        <v>74</v>
      </c>
      <c r="BG2211" t="s">
        <v>74</v>
      </c>
      <c r="BH2211" t="s">
        <v>74</v>
      </c>
      <c r="BI2211">
        <v>44</v>
      </c>
      <c r="BJ2211" t="s">
        <v>10320</v>
      </c>
      <c r="BK2211" t="s">
        <v>99</v>
      </c>
      <c r="BL2211" t="s">
        <v>8015</v>
      </c>
      <c r="BM2211" t="s">
        <v>37786</v>
      </c>
      <c r="BN2211" t="s">
        <v>74</v>
      </c>
      <c r="BO2211" t="s">
        <v>74</v>
      </c>
      <c r="BP2211" t="s">
        <v>74</v>
      </c>
      <c r="BQ2211" t="s">
        <v>74</v>
      </c>
      <c r="BR2211" t="s">
        <v>102</v>
      </c>
      <c r="BS2211" t="s">
        <v>37787</v>
      </c>
      <c r="BT2211" t="str">
        <f>HYPERLINK("https%3A%2F%2Fwww.webofscience.com%2Fwos%2Fwoscc%2Ffull-record%2FWOS:001339617300004","View Full Record in Web of Science")</f>
        <v>View Full Record in Web of Science</v>
      </c>
    </row>
    <row r="2212" spans="1:72" x14ac:dyDescent="0.35">
      <c r="A2212" t="s">
        <v>72</v>
      </c>
      <c r="B2212" t="s">
        <v>37788</v>
      </c>
      <c r="C2212" t="s">
        <v>74</v>
      </c>
      <c r="D2212" t="s">
        <v>74</v>
      </c>
      <c r="E2212" t="s">
        <v>74</v>
      </c>
      <c r="F2212" t="s">
        <v>37789</v>
      </c>
      <c r="G2212" t="s">
        <v>74</v>
      </c>
      <c r="H2212" t="s">
        <v>74</v>
      </c>
      <c r="I2212" t="s">
        <v>37790</v>
      </c>
      <c r="J2212" t="s">
        <v>9586</v>
      </c>
      <c r="K2212" t="s">
        <v>74</v>
      </c>
      <c r="L2212" t="s">
        <v>74</v>
      </c>
      <c r="M2212" t="s">
        <v>78</v>
      </c>
      <c r="N2212" t="s">
        <v>374</v>
      </c>
      <c r="O2212" t="s">
        <v>74</v>
      </c>
      <c r="P2212" t="s">
        <v>74</v>
      </c>
      <c r="Q2212" t="s">
        <v>74</v>
      </c>
      <c r="R2212" t="s">
        <v>74</v>
      </c>
      <c r="S2212" t="s">
        <v>74</v>
      </c>
      <c r="T2212" t="s">
        <v>74</v>
      </c>
      <c r="U2212" t="s">
        <v>74</v>
      </c>
      <c r="V2212" t="s">
        <v>37791</v>
      </c>
      <c r="W2212" t="s">
        <v>37792</v>
      </c>
      <c r="X2212" t="s">
        <v>29421</v>
      </c>
      <c r="Y2212" t="s">
        <v>37793</v>
      </c>
      <c r="Z2212" t="s">
        <v>29423</v>
      </c>
      <c r="AA2212" t="s">
        <v>74</v>
      </c>
      <c r="AB2212" t="s">
        <v>37794</v>
      </c>
      <c r="AC2212" t="s">
        <v>74</v>
      </c>
      <c r="AD2212" t="s">
        <v>74</v>
      </c>
      <c r="AE2212" t="s">
        <v>74</v>
      </c>
      <c r="AF2212" t="s">
        <v>74</v>
      </c>
      <c r="AG2212">
        <v>15</v>
      </c>
      <c r="AH2212">
        <v>14</v>
      </c>
      <c r="AI2212">
        <v>14</v>
      </c>
      <c r="AJ2212">
        <v>3</v>
      </c>
      <c r="AK2212">
        <v>11</v>
      </c>
      <c r="AL2212" t="s">
        <v>8334</v>
      </c>
      <c r="AM2212" t="s">
        <v>291</v>
      </c>
      <c r="AN2212" t="s">
        <v>8335</v>
      </c>
      <c r="AO2212" t="s">
        <v>9595</v>
      </c>
      <c r="AP2212" t="s">
        <v>9596</v>
      </c>
      <c r="AQ2212" t="s">
        <v>74</v>
      </c>
      <c r="AR2212" t="s">
        <v>9597</v>
      </c>
      <c r="AS2212" t="s">
        <v>9598</v>
      </c>
      <c r="AT2212" t="s">
        <v>37795</v>
      </c>
      <c r="AU2212">
        <v>2023</v>
      </c>
      <c r="AV2212">
        <v>48</v>
      </c>
      <c r="AW2212">
        <v>2</v>
      </c>
      <c r="AX2212" t="s">
        <v>74</v>
      </c>
      <c r="AY2212" t="s">
        <v>74</v>
      </c>
      <c r="AZ2212" t="s">
        <v>74</v>
      </c>
      <c r="BA2212" t="s">
        <v>74</v>
      </c>
      <c r="BB2212">
        <v>112</v>
      </c>
      <c r="BC2212">
        <v>115</v>
      </c>
      <c r="BD2212" t="s">
        <v>74</v>
      </c>
      <c r="BE2212" t="s">
        <v>37796</v>
      </c>
      <c r="BF2212" t="str">
        <f>HYPERLINK("http://dx.doi.org/10.1093/ced/llac019","http://dx.doi.org/10.1093/ced/llac019")</f>
        <v>http://dx.doi.org/10.1093/ced/llac019</v>
      </c>
      <c r="BG2212" t="s">
        <v>74</v>
      </c>
      <c r="BH2212" t="s">
        <v>3638</v>
      </c>
      <c r="BI2212">
        <v>4</v>
      </c>
      <c r="BJ2212" t="s">
        <v>1341</v>
      </c>
      <c r="BK2212" t="s">
        <v>209</v>
      </c>
      <c r="BL2212" t="s">
        <v>1341</v>
      </c>
      <c r="BM2212" t="s">
        <v>37797</v>
      </c>
      <c r="BN2212">
        <v>36730502</v>
      </c>
      <c r="BO2212" t="s">
        <v>74</v>
      </c>
      <c r="BP2212" t="s">
        <v>74</v>
      </c>
      <c r="BQ2212" t="s">
        <v>74</v>
      </c>
      <c r="BR2212" t="s">
        <v>102</v>
      </c>
      <c r="BS2212" t="s">
        <v>37798</v>
      </c>
      <c r="BT2212" t="str">
        <f>HYPERLINK("https%3A%2F%2Fwww.webofscience.com%2Fwos%2Fwoscc%2Ffull-record%2FWOS:000953989300008","View Full Record in Web of Science")</f>
        <v>View Full Record in Web of Science</v>
      </c>
    </row>
    <row r="2213" spans="1:72" x14ac:dyDescent="0.35">
      <c r="A2213" t="s">
        <v>72</v>
      </c>
      <c r="B2213" t="s">
        <v>37799</v>
      </c>
      <c r="C2213" t="s">
        <v>74</v>
      </c>
      <c r="D2213" t="s">
        <v>74</v>
      </c>
      <c r="E2213" t="s">
        <v>74</v>
      </c>
      <c r="F2213" t="s">
        <v>37800</v>
      </c>
      <c r="G2213" t="s">
        <v>74</v>
      </c>
      <c r="H2213" t="s">
        <v>74</v>
      </c>
      <c r="I2213" t="s">
        <v>37801</v>
      </c>
      <c r="J2213" t="s">
        <v>37802</v>
      </c>
      <c r="K2213" t="s">
        <v>74</v>
      </c>
      <c r="L2213" t="s">
        <v>74</v>
      </c>
      <c r="M2213" t="s">
        <v>1556</v>
      </c>
      <c r="N2213" t="s">
        <v>108</v>
      </c>
      <c r="O2213" t="s">
        <v>74</v>
      </c>
      <c r="P2213" t="s">
        <v>74</v>
      </c>
      <c r="Q2213" t="s">
        <v>74</v>
      </c>
      <c r="R2213" t="s">
        <v>74</v>
      </c>
      <c r="S2213" t="s">
        <v>74</v>
      </c>
      <c r="T2213" t="s">
        <v>37803</v>
      </c>
      <c r="U2213" t="s">
        <v>74</v>
      </c>
      <c r="V2213" t="s">
        <v>37804</v>
      </c>
      <c r="W2213" t="s">
        <v>37805</v>
      </c>
      <c r="X2213" t="s">
        <v>37806</v>
      </c>
      <c r="Y2213" t="s">
        <v>37807</v>
      </c>
      <c r="Z2213" t="s">
        <v>37808</v>
      </c>
      <c r="AA2213" t="s">
        <v>37809</v>
      </c>
      <c r="AB2213" t="s">
        <v>37810</v>
      </c>
      <c r="AC2213" t="s">
        <v>74</v>
      </c>
      <c r="AD2213" t="s">
        <v>74</v>
      </c>
      <c r="AE2213" t="s">
        <v>74</v>
      </c>
      <c r="AF2213" t="s">
        <v>74</v>
      </c>
      <c r="AG2213">
        <v>17</v>
      </c>
      <c r="AH2213">
        <v>2</v>
      </c>
      <c r="AI2213">
        <v>2</v>
      </c>
      <c r="AJ2213">
        <v>3</v>
      </c>
      <c r="AK2213">
        <v>11</v>
      </c>
      <c r="AL2213" t="s">
        <v>18547</v>
      </c>
      <c r="AM2213" t="s">
        <v>18548</v>
      </c>
      <c r="AN2213" t="s">
        <v>18549</v>
      </c>
      <c r="AO2213" t="s">
        <v>37811</v>
      </c>
      <c r="AP2213" t="s">
        <v>37812</v>
      </c>
      <c r="AQ2213" t="s">
        <v>74</v>
      </c>
      <c r="AR2213" t="s">
        <v>37813</v>
      </c>
      <c r="AS2213" t="s">
        <v>37814</v>
      </c>
      <c r="AT2213" t="s">
        <v>257</v>
      </c>
      <c r="AU2213">
        <v>2022</v>
      </c>
      <c r="AV2213">
        <v>77</v>
      </c>
      <c r="AW2213" t="s">
        <v>74</v>
      </c>
      <c r="AX2213" t="s">
        <v>74</v>
      </c>
      <c r="AY2213" t="s">
        <v>74</v>
      </c>
      <c r="AZ2213" t="s">
        <v>74</v>
      </c>
      <c r="BA2213" t="s">
        <v>74</v>
      </c>
      <c r="BB2213">
        <v>241</v>
      </c>
      <c r="BC2213">
        <v>249</v>
      </c>
      <c r="BD2213" t="s">
        <v>74</v>
      </c>
      <c r="BE2213" t="s">
        <v>37815</v>
      </c>
      <c r="BF2213" t="str">
        <f>HYPERLINK("http://dx.doi.org/10.17223/19986645/77/12","http://dx.doi.org/10.17223/19986645/77/12")</f>
        <v>http://dx.doi.org/10.17223/19986645/77/12</v>
      </c>
      <c r="BG2213" t="s">
        <v>74</v>
      </c>
      <c r="BH2213" t="s">
        <v>74</v>
      </c>
      <c r="BI2213">
        <v>9</v>
      </c>
      <c r="BJ2213" t="s">
        <v>3284</v>
      </c>
      <c r="BK2213" t="s">
        <v>125</v>
      </c>
      <c r="BL2213" t="s">
        <v>3285</v>
      </c>
      <c r="BM2213" t="s">
        <v>37816</v>
      </c>
      <c r="BN2213" t="s">
        <v>74</v>
      </c>
      <c r="BO2213" t="s">
        <v>74</v>
      </c>
      <c r="BP2213" t="s">
        <v>74</v>
      </c>
      <c r="BQ2213" t="s">
        <v>74</v>
      </c>
      <c r="BR2213" t="s">
        <v>102</v>
      </c>
      <c r="BS2213" t="s">
        <v>37817</v>
      </c>
      <c r="BT2213" t="str">
        <f>HYPERLINK("https%3A%2F%2Fwww.webofscience.com%2Fwos%2Fwoscc%2Ffull-record%2FWOS:000863980400012","View Full Record in Web of Science")</f>
        <v>View Full Record in Web of Science</v>
      </c>
    </row>
    <row r="2214" spans="1:72" x14ac:dyDescent="0.35">
      <c r="A2214" t="s">
        <v>72</v>
      </c>
      <c r="B2214" t="s">
        <v>37818</v>
      </c>
      <c r="C2214" t="s">
        <v>74</v>
      </c>
      <c r="D2214" t="s">
        <v>74</v>
      </c>
      <c r="E2214" t="s">
        <v>74</v>
      </c>
      <c r="F2214" t="s">
        <v>37819</v>
      </c>
      <c r="G2214" t="s">
        <v>74</v>
      </c>
      <c r="H2214" t="s">
        <v>74</v>
      </c>
      <c r="I2214" t="s">
        <v>37820</v>
      </c>
      <c r="J2214" t="s">
        <v>37821</v>
      </c>
      <c r="K2214" t="s">
        <v>74</v>
      </c>
      <c r="L2214" t="s">
        <v>74</v>
      </c>
      <c r="M2214" t="s">
        <v>78</v>
      </c>
      <c r="N2214" t="s">
        <v>108</v>
      </c>
      <c r="O2214" t="s">
        <v>74</v>
      </c>
      <c r="P2214" t="s">
        <v>74</v>
      </c>
      <c r="Q2214" t="s">
        <v>74</v>
      </c>
      <c r="R2214" t="s">
        <v>74</v>
      </c>
      <c r="S2214" t="s">
        <v>74</v>
      </c>
      <c r="T2214" t="s">
        <v>37822</v>
      </c>
      <c r="U2214" t="s">
        <v>37823</v>
      </c>
      <c r="V2214" t="s">
        <v>37824</v>
      </c>
      <c r="W2214" t="s">
        <v>37825</v>
      </c>
      <c r="X2214" t="s">
        <v>37826</v>
      </c>
      <c r="Y2214" t="s">
        <v>37827</v>
      </c>
      <c r="Z2214" t="s">
        <v>37828</v>
      </c>
      <c r="AA2214" t="s">
        <v>74</v>
      </c>
      <c r="AB2214" t="s">
        <v>74</v>
      </c>
      <c r="AC2214" t="s">
        <v>74</v>
      </c>
      <c r="AD2214" t="s">
        <v>74</v>
      </c>
      <c r="AE2214" t="s">
        <v>74</v>
      </c>
      <c r="AF2214" t="s">
        <v>74</v>
      </c>
      <c r="AG2214">
        <v>29</v>
      </c>
      <c r="AH2214">
        <v>0</v>
      </c>
      <c r="AI2214">
        <v>0</v>
      </c>
      <c r="AJ2214">
        <v>1</v>
      </c>
      <c r="AK2214">
        <v>3</v>
      </c>
      <c r="AL2214" t="s">
        <v>37829</v>
      </c>
      <c r="AM2214" t="s">
        <v>37830</v>
      </c>
      <c r="AN2214" t="s">
        <v>37831</v>
      </c>
      <c r="AO2214" t="s">
        <v>37832</v>
      </c>
      <c r="AP2214" t="s">
        <v>37833</v>
      </c>
      <c r="AQ2214" t="s">
        <v>74</v>
      </c>
      <c r="AR2214" t="s">
        <v>37834</v>
      </c>
      <c r="AS2214" t="s">
        <v>37835</v>
      </c>
      <c r="AT2214" t="s">
        <v>74</v>
      </c>
      <c r="AU2214">
        <v>2023</v>
      </c>
      <c r="AV2214">
        <v>70</v>
      </c>
      <c r="AW2214">
        <v>3</v>
      </c>
      <c r="AX2214" t="s">
        <v>74</v>
      </c>
      <c r="AY2214" t="s">
        <v>74</v>
      </c>
      <c r="AZ2214" t="s">
        <v>74</v>
      </c>
      <c r="BA2214" t="s">
        <v>74</v>
      </c>
      <c r="BB2214">
        <v>305</v>
      </c>
      <c r="BC2214">
        <v>313</v>
      </c>
      <c r="BD2214" t="s">
        <v>74</v>
      </c>
      <c r="BE2214" t="s">
        <v>37836</v>
      </c>
      <c r="BF2214" t="str">
        <f>HYPERLINK("http://dx.doi.org/10.1507/endocrj.EJ22-0431","http://dx.doi.org/10.1507/endocrj.EJ22-0431")</f>
        <v>http://dx.doi.org/10.1507/endocrj.EJ22-0431</v>
      </c>
      <c r="BG2214" t="s">
        <v>74</v>
      </c>
      <c r="BH2214" t="s">
        <v>3970</v>
      </c>
      <c r="BI2214">
        <v>9</v>
      </c>
      <c r="BJ2214" t="s">
        <v>620</v>
      </c>
      <c r="BK2214" t="s">
        <v>209</v>
      </c>
      <c r="BL2214" t="s">
        <v>620</v>
      </c>
      <c r="BM2214" t="s">
        <v>37837</v>
      </c>
      <c r="BN2214">
        <v>36477377</v>
      </c>
      <c r="BO2214" t="s">
        <v>235</v>
      </c>
      <c r="BP2214" t="s">
        <v>74</v>
      </c>
      <c r="BQ2214" t="s">
        <v>74</v>
      </c>
      <c r="BR2214" t="s">
        <v>102</v>
      </c>
      <c r="BS2214" t="s">
        <v>37838</v>
      </c>
      <c r="BT2214" t="str">
        <f>HYPERLINK("https%3A%2F%2Fwww.webofscience.com%2Fwos%2Fwoscc%2Ffull-record%2FWOS:000918356100001","View Full Record in Web of Science")</f>
        <v>View Full Record in Web of Science</v>
      </c>
    </row>
    <row r="2215" spans="1:72" x14ac:dyDescent="0.35">
      <c r="A2215" t="s">
        <v>72</v>
      </c>
      <c r="B2215" t="s">
        <v>37839</v>
      </c>
      <c r="C2215" t="s">
        <v>74</v>
      </c>
      <c r="D2215" t="s">
        <v>74</v>
      </c>
      <c r="E2215" t="s">
        <v>74</v>
      </c>
      <c r="F2215" t="s">
        <v>37840</v>
      </c>
      <c r="G2215" t="s">
        <v>74</v>
      </c>
      <c r="H2215" t="s">
        <v>74</v>
      </c>
      <c r="I2215" t="s">
        <v>37841</v>
      </c>
      <c r="J2215" t="s">
        <v>939</v>
      </c>
      <c r="K2215" t="s">
        <v>74</v>
      </c>
      <c r="L2215" t="s">
        <v>74</v>
      </c>
      <c r="M2215" t="s">
        <v>78</v>
      </c>
      <c r="N2215" t="s">
        <v>374</v>
      </c>
      <c r="O2215" t="s">
        <v>74</v>
      </c>
      <c r="P2215" t="s">
        <v>74</v>
      </c>
      <c r="Q2215" t="s">
        <v>74</v>
      </c>
      <c r="R2215" t="s">
        <v>74</v>
      </c>
      <c r="S2215" t="s">
        <v>74</v>
      </c>
      <c r="T2215" t="s">
        <v>37842</v>
      </c>
      <c r="U2215" t="s">
        <v>37843</v>
      </c>
      <c r="V2215" t="s">
        <v>37844</v>
      </c>
      <c r="W2215" t="s">
        <v>37845</v>
      </c>
      <c r="X2215" t="s">
        <v>37846</v>
      </c>
      <c r="Y2215" t="s">
        <v>19921</v>
      </c>
      <c r="Z2215" t="s">
        <v>9920</v>
      </c>
      <c r="AA2215" t="s">
        <v>37847</v>
      </c>
      <c r="AB2215" t="s">
        <v>37848</v>
      </c>
      <c r="AC2215" t="s">
        <v>37849</v>
      </c>
      <c r="AD2215" t="s">
        <v>37850</v>
      </c>
      <c r="AE2215" t="s">
        <v>37851</v>
      </c>
      <c r="AF2215" t="s">
        <v>74</v>
      </c>
      <c r="AG2215">
        <v>102</v>
      </c>
      <c r="AH2215">
        <v>15</v>
      </c>
      <c r="AI2215">
        <v>17</v>
      </c>
      <c r="AJ2215">
        <v>5</v>
      </c>
      <c r="AK2215">
        <v>38</v>
      </c>
      <c r="AL2215" t="s">
        <v>251</v>
      </c>
      <c r="AM2215" t="s">
        <v>252</v>
      </c>
      <c r="AN2215" t="s">
        <v>253</v>
      </c>
      <c r="AO2215" t="s">
        <v>37852</v>
      </c>
      <c r="AP2215" t="s">
        <v>37853</v>
      </c>
      <c r="AQ2215" t="s">
        <v>74</v>
      </c>
      <c r="AR2215" t="s">
        <v>939</v>
      </c>
      <c r="AS2215" t="s">
        <v>37854</v>
      </c>
      <c r="AT2215" t="s">
        <v>178</v>
      </c>
      <c r="AU2215">
        <v>2023</v>
      </c>
      <c r="AV2215">
        <v>118</v>
      </c>
      <c r="AW2215">
        <v>2</v>
      </c>
      <c r="AX2215" t="s">
        <v>74</v>
      </c>
      <c r="AY2215" t="s">
        <v>74</v>
      </c>
      <c r="AZ2215" t="s">
        <v>74</v>
      </c>
      <c r="BA2215" t="s">
        <v>74</v>
      </c>
      <c r="BB2215">
        <v>206</v>
      </c>
      <c r="BC2215">
        <v>217</v>
      </c>
      <c r="BD2215" t="s">
        <v>74</v>
      </c>
      <c r="BE2215" t="s">
        <v>37855</v>
      </c>
      <c r="BF2215" t="str">
        <f>HYPERLINK("http://dx.doi.org/10.1111/add.16020","http://dx.doi.org/10.1111/add.16020")</f>
        <v>http://dx.doi.org/10.1111/add.16020</v>
      </c>
      <c r="BG2215" t="s">
        <v>74</v>
      </c>
      <c r="BH2215" t="s">
        <v>598</v>
      </c>
      <c r="BI2215">
        <v>12</v>
      </c>
      <c r="BJ2215" t="s">
        <v>13287</v>
      </c>
      <c r="BK2215" t="s">
        <v>182</v>
      </c>
      <c r="BL2215" t="s">
        <v>13287</v>
      </c>
      <c r="BM2215" t="s">
        <v>37856</v>
      </c>
      <c r="BN2215">
        <v>36075258</v>
      </c>
      <c r="BO2215" t="s">
        <v>2194</v>
      </c>
      <c r="BP2215" t="s">
        <v>74</v>
      </c>
      <c r="BQ2215" t="s">
        <v>74</v>
      </c>
      <c r="BR2215" t="s">
        <v>102</v>
      </c>
      <c r="BS2215" t="s">
        <v>37857</v>
      </c>
      <c r="BT2215" t="str">
        <f>HYPERLINK("https%3A%2F%2Fwww.webofscience.com%2Fwos%2Fwoscc%2Ffull-record%2FWOS:000851240200001","View Full Record in Web of Science")</f>
        <v>View Full Record in Web of Science</v>
      </c>
    </row>
    <row r="2216" spans="1:72" x14ac:dyDescent="0.35">
      <c r="A2216" t="s">
        <v>72</v>
      </c>
      <c r="B2216" t="s">
        <v>37858</v>
      </c>
      <c r="C2216" t="s">
        <v>74</v>
      </c>
      <c r="D2216" t="s">
        <v>74</v>
      </c>
      <c r="E2216" t="s">
        <v>74</v>
      </c>
      <c r="F2216" t="s">
        <v>37859</v>
      </c>
      <c r="G2216" t="s">
        <v>74</v>
      </c>
      <c r="H2216" t="s">
        <v>74</v>
      </c>
      <c r="I2216" t="s">
        <v>37860</v>
      </c>
      <c r="J2216" t="s">
        <v>37861</v>
      </c>
      <c r="K2216" t="s">
        <v>74</v>
      </c>
      <c r="L2216" t="s">
        <v>74</v>
      </c>
      <c r="M2216" t="s">
        <v>78</v>
      </c>
      <c r="N2216" t="s">
        <v>108</v>
      </c>
      <c r="O2216" t="s">
        <v>74</v>
      </c>
      <c r="P2216" t="s">
        <v>74</v>
      </c>
      <c r="Q2216" t="s">
        <v>74</v>
      </c>
      <c r="R2216" t="s">
        <v>74</v>
      </c>
      <c r="S2216" t="s">
        <v>74</v>
      </c>
      <c r="T2216" t="s">
        <v>37862</v>
      </c>
      <c r="U2216" t="s">
        <v>37863</v>
      </c>
      <c r="V2216" t="s">
        <v>37864</v>
      </c>
      <c r="W2216" t="s">
        <v>37865</v>
      </c>
      <c r="X2216" t="s">
        <v>1438</v>
      </c>
      <c r="Y2216" t="s">
        <v>37866</v>
      </c>
      <c r="Z2216" t="s">
        <v>37867</v>
      </c>
      <c r="AA2216" t="s">
        <v>74</v>
      </c>
      <c r="AB2216" t="s">
        <v>37868</v>
      </c>
      <c r="AC2216" t="s">
        <v>74</v>
      </c>
      <c r="AD2216" t="s">
        <v>74</v>
      </c>
      <c r="AE2216" t="s">
        <v>74</v>
      </c>
      <c r="AF2216" t="s">
        <v>74</v>
      </c>
      <c r="AG2216">
        <v>40</v>
      </c>
      <c r="AH2216">
        <v>0</v>
      </c>
      <c r="AI2216">
        <v>0</v>
      </c>
      <c r="AJ2216">
        <v>1</v>
      </c>
      <c r="AK2216">
        <v>1</v>
      </c>
      <c r="AL2216" t="s">
        <v>251</v>
      </c>
      <c r="AM2216" t="s">
        <v>252</v>
      </c>
      <c r="AN2216" t="s">
        <v>253</v>
      </c>
      <c r="AO2216" t="s">
        <v>37869</v>
      </c>
      <c r="AP2216" t="s">
        <v>37870</v>
      </c>
      <c r="AQ2216" t="s">
        <v>74</v>
      </c>
      <c r="AR2216" t="s">
        <v>37871</v>
      </c>
      <c r="AS2216" t="s">
        <v>37872</v>
      </c>
      <c r="AT2216" t="s">
        <v>745</v>
      </c>
      <c r="AU2216">
        <v>2024</v>
      </c>
      <c r="AV2216">
        <v>69</v>
      </c>
      <c r="AW2216">
        <v>3</v>
      </c>
      <c r="AX2216" t="s">
        <v>74</v>
      </c>
      <c r="AY2216" t="s">
        <v>74</v>
      </c>
      <c r="AZ2216" t="s">
        <v>74</v>
      </c>
      <c r="BA2216" t="s">
        <v>74</v>
      </c>
      <c r="BB2216">
        <v>353</v>
      </c>
      <c r="BC2216">
        <v>360</v>
      </c>
      <c r="BD2216" t="s">
        <v>74</v>
      </c>
      <c r="BE2216" t="s">
        <v>37873</v>
      </c>
      <c r="BF2216" t="str">
        <f>HYPERLINK("http://dx.doi.org/10.1111/jmwh.13645","http://dx.doi.org/10.1111/jmwh.13645")</f>
        <v>http://dx.doi.org/10.1111/jmwh.13645</v>
      </c>
      <c r="BG2216" t="s">
        <v>74</v>
      </c>
      <c r="BH2216" t="s">
        <v>1467</v>
      </c>
      <c r="BI2216">
        <v>8</v>
      </c>
      <c r="BJ2216" t="s">
        <v>8110</v>
      </c>
      <c r="BK2216" t="s">
        <v>182</v>
      </c>
      <c r="BL2216" t="s">
        <v>8110</v>
      </c>
      <c r="BM2216" t="s">
        <v>37874</v>
      </c>
      <c r="BN2216">
        <v>38766882</v>
      </c>
      <c r="BO2216" t="s">
        <v>156</v>
      </c>
      <c r="BP2216" t="s">
        <v>74</v>
      </c>
      <c r="BQ2216" t="s">
        <v>74</v>
      </c>
      <c r="BR2216" t="s">
        <v>102</v>
      </c>
      <c r="BS2216" t="s">
        <v>37875</v>
      </c>
      <c r="BT2216" t="str">
        <f>HYPERLINK("https%3A%2F%2Fwww.webofscience.com%2Fwos%2Fwoscc%2Ffull-record%2FWOS:001226952800001","View Full Record in Web of Science")</f>
        <v>View Full Record in Web of Science</v>
      </c>
    </row>
    <row r="2217" spans="1:72" x14ac:dyDescent="0.35">
      <c r="A2217" t="s">
        <v>72</v>
      </c>
      <c r="B2217" t="s">
        <v>37876</v>
      </c>
      <c r="C2217" t="s">
        <v>74</v>
      </c>
      <c r="D2217" t="s">
        <v>74</v>
      </c>
      <c r="E2217" t="s">
        <v>74</v>
      </c>
      <c r="F2217" t="s">
        <v>37877</v>
      </c>
      <c r="G2217" t="s">
        <v>74</v>
      </c>
      <c r="H2217" t="s">
        <v>74</v>
      </c>
      <c r="I2217" t="s">
        <v>37878</v>
      </c>
      <c r="J2217" t="s">
        <v>12248</v>
      </c>
      <c r="K2217" t="s">
        <v>74</v>
      </c>
      <c r="L2217" t="s">
        <v>74</v>
      </c>
      <c r="M2217" t="s">
        <v>78</v>
      </c>
      <c r="N2217" t="s">
        <v>79</v>
      </c>
      <c r="O2217" t="s">
        <v>74</v>
      </c>
      <c r="P2217" t="s">
        <v>74</v>
      </c>
      <c r="Q2217" t="s">
        <v>74</v>
      </c>
      <c r="R2217" t="s">
        <v>74</v>
      </c>
      <c r="S2217" t="s">
        <v>74</v>
      </c>
      <c r="T2217" t="s">
        <v>37879</v>
      </c>
      <c r="U2217" t="s">
        <v>74</v>
      </c>
      <c r="V2217" t="s">
        <v>37880</v>
      </c>
      <c r="W2217" t="s">
        <v>37881</v>
      </c>
      <c r="X2217" t="s">
        <v>37882</v>
      </c>
      <c r="Y2217" t="s">
        <v>37883</v>
      </c>
      <c r="Z2217" t="s">
        <v>37884</v>
      </c>
      <c r="AA2217" t="s">
        <v>37885</v>
      </c>
      <c r="AB2217" t="s">
        <v>74</v>
      </c>
      <c r="AC2217" t="s">
        <v>74</v>
      </c>
      <c r="AD2217" t="s">
        <v>74</v>
      </c>
      <c r="AE2217" t="s">
        <v>74</v>
      </c>
      <c r="AF2217" t="s">
        <v>74</v>
      </c>
      <c r="AG2217">
        <v>45</v>
      </c>
      <c r="AH2217">
        <v>1</v>
      </c>
      <c r="AI2217">
        <v>1</v>
      </c>
      <c r="AJ2217">
        <v>8</v>
      </c>
      <c r="AK2217">
        <v>12</v>
      </c>
      <c r="AL2217" t="s">
        <v>665</v>
      </c>
      <c r="AM2217" t="s">
        <v>666</v>
      </c>
      <c r="AN2217" t="s">
        <v>667</v>
      </c>
      <c r="AO2217" t="s">
        <v>12261</v>
      </c>
      <c r="AP2217" t="s">
        <v>12262</v>
      </c>
      <c r="AQ2217" t="s">
        <v>74</v>
      </c>
      <c r="AR2217" t="s">
        <v>12263</v>
      </c>
      <c r="AS2217" t="s">
        <v>12264</v>
      </c>
      <c r="AT2217" t="s">
        <v>37886</v>
      </c>
      <c r="AU2217">
        <v>2023</v>
      </c>
      <c r="AV2217" t="s">
        <v>74</v>
      </c>
      <c r="AW2217" t="s">
        <v>74</v>
      </c>
      <c r="AX2217" t="s">
        <v>74</v>
      </c>
      <c r="AY2217" t="s">
        <v>74</v>
      </c>
      <c r="AZ2217" t="s">
        <v>74</v>
      </c>
      <c r="BA2217" t="s">
        <v>74</v>
      </c>
      <c r="BB2217" t="s">
        <v>74</v>
      </c>
      <c r="BC2217" t="s">
        <v>74</v>
      </c>
      <c r="BD2217" t="s">
        <v>74</v>
      </c>
      <c r="BE2217" t="s">
        <v>37887</v>
      </c>
      <c r="BF2217" t="str">
        <f>HYPERLINK("http://dx.doi.org/10.1007/s10639-023-12386-0","http://dx.doi.org/10.1007/s10639-023-12386-0")</f>
        <v>http://dx.doi.org/10.1007/s10639-023-12386-0</v>
      </c>
      <c r="BG2217" t="s">
        <v>74</v>
      </c>
      <c r="BH2217" t="s">
        <v>1449</v>
      </c>
      <c r="BI2217">
        <v>17</v>
      </c>
      <c r="BJ2217" t="s">
        <v>787</v>
      </c>
      <c r="BK2217" t="s">
        <v>99</v>
      </c>
      <c r="BL2217" t="s">
        <v>787</v>
      </c>
      <c r="BM2217" t="s">
        <v>37888</v>
      </c>
      <c r="BN2217" t="s">
        <v>74</v>
      </c>
      <c r="BO2217" t="s">
        <v>74</v>
      </c>
      <c r="BP2217" t="s">
        <v>74</v>
      </c>
      <c r="BQ2217" t="s">
        <v>74</v>
      </c>
      <c r="BR2217" t="s">
        <v>102</v>
      </c>
      <c r="BS2217" t="s">
        <v>37889</v>
      </c>
      <c r="BT2217" t="str">
        <f>HYPERLINK("https%3A%2F%2Fwww.webofscience.com%2Fwos%2Fwoscc%2Ffull-record%2FWOS:001126019600001","View Full Record in Web of Science")</f>
        <v>View Full Record in Web of Science</v>
      </c>
    </row>
    <row r="2218" spans="1:72" x14ac:dyDescent="0.35">
      <c r="A2218" t="s">
        <v>72</v>
      </c>
      <c r="B2218" t="s">
        <v>37890</v>
      </c>
      <c r="C2218" t="s">
        <v>74</v>
      </c>
      <c r="D2218" t="s">
        <v>74</v>
      </c>
      <c r="E2218" t="s">
        <v>74</v>
      </c>
      <c r="F2218" t="s">
        <v>37891</v>
      </c>
      <c r="G2218" t="s">
        <v>74</v>
      </c>
      <c r="H2218" t="s">
        <v>74</v>
      </c>
      <c r="I2218" t="s">
        <v>37892</v>
      </c>
      <c r="J2218" t="s">
        <v>37893</v>
      </c>
      <c r="K2218" t="s">
        <v>74</v>
      </c>
      <c r="L2218" t="s">
        <v>74</v>
      </c>
      <c r="M2218" t="s">
        <v>78</v>
      </c>
      <c r="N2218" t="s">
        <v>79</v>
      </c>
      <c r="O2218" t="s">
        <v>74</v>
      </c>
      <c r="P2218" t="s">
        <v>74</v>
      </c>
      <c r="Q2218" t="s">
        <v>74</v>
      </c>
      <c r="R2218" t="s">
        <v>74</v>
      </c>
      <c r="S2218" t="s">
        <v>74</v>
      </c>
      <c r="T2218" t="s">
        <v>37894</v>
      </c>
      <c r="U2218" t="s">
        <v>37895</v>
      </c>
      <c r="V2218" t="s">
        <v>37896</v>
      </c>
      <c r="W2218" t="s">
        <v>37897</v>
      </c>
      <c r="X2218" t="s">
        <v>37898</v>
      </c>
      <c r="Y2218" t="s">
        <v>37899</v>
      </c>
      <c r="Z2218" t="s">
        <v>37900</v>
      </c>
      <c r="AA2218" t="s">
        <v>74</v>
      </c>
      <c r="AB2218" t="s">
        <v>74</v>
      </c>
      <c r="AC2218" t="s">
        <v>74</v>
      </c>
      <c r="AD2218" t="s">
        <v>74</v>
      </c>
      <c r="AE2218" t="s">
        <v>74</v>
      </c>
      <c r="AF2218" t="s">
        <v>74</v>
      </c>
      <c r="AG2218">
        <v>52</v>
      </c>
      <c r="AH2218">
        <v>0</v>
      </c>
      <c r="AI2218">
        <v>0</v>
      </c>
      <c r="AJ2218">
        <v>0</v>
      </c>
      <c r="AK2218">
        <v>0</v>
      </c>
      <c r="AL2218" t="s">
        <v>357</v>
      </c>
      <c r="AM2218" t="s">
        <v>358</v>
      </c>
      <c r="AN2218" t="s">
        <v>359</v>
      </c>
      <c r="AO2218" t="s">
        <v>37901</v>
      </c>
      <c r="AP2218" t="s">
        <v>37902</v>
      </c>
      <c r="AQ2218" t="s">
        <v>74</v>
      </c>
      <c r="AR2218" t="s">
        <v>37903</v>
      </c>
      <c r="AS2218" t="s">
        <v>37904</v>
      </c>
      <c r="AT2218" t="s">
        <v>10770</v>
      </c>
      <c r="AU2218">
        <v>2024</v>
      </c>
      <c r="AV2218" t="s">
        <v>74</v>
      </c>
      <c r="AW2218" t="s">
        <v>74</v>
      </c>
      <c r="AX2218" t="s">
        <v>74</v>
      </c>
      <c r="AY2218" t="s">
        <v>74</v>
      </c>
      <c r="AZ2218" t="s">
        <v>74</v>
      </c>
      <c r="BA2218" t="s">
        <v>74</v>
      </c>
      <c r="BB2218" t="s">
        <v>74</v>
      </c>
      <c r="BC2218" t="s">
        <v>74</v>
      </c>
      <c r="BD2218" t="s">
        <v>74</v>
      </c>
      <c r="BE2218" t="s">
        <v>37905</v>
      </c>
      <c r="BF2218" t="str">
        <f>HYPERLINK("http://dx.doi.org/10.1089/jayao.2023.0159","http://dx.doi.org/10.1089/jayao.2023.0159")</f>
        <v>http://dx.doi.org/10.1089/jayao.2023.0159</v>
      </c>
      <c r="BG2218" t="s">
        <v>74</v>
      </c>
      <c r="BH2218" t="s">
        <v>1721</v>
      </c>
      <c r="BI2218">
        <v>12</v>
      </c>
      <c r="BJ2218" t="s">
        <v>10304</v>
      </c>
      <c r="BK2218" t="s">
        <v>209</v>
      </c>
      <c r="BL2218" t="s">
        <v>10304</v>
      </c>
      <c r="BM2218" t="s">
        <v>37906</v>
      </c>
      <c r="BN2218">
        <v>39435701</v>
      </c>
      <c r="BO2218" t="s">
        <v>74</v>
      </c>
      <c r="BP2218" t="s">
        <v>74</v>
      </c>
      <c r="BQ2218" t="s">
        <v>74</v>
      </c>
      <c r="BR2218" t="s">
        <v>102</v>
      </c>
      <c r="BS2218" t="s">
        <v>37907</v>
      </c>
      <c r="BT2218" t="str">
        <f>HYPERLINK("https%3A%2F%2Fwww.webofscience.com%2Fwos%2Fwoscc%2Ffull-record%2FWOS:001338022100001","View Full Record in Web of Science")</f>
        <v>View Full Record in Web of Science</v>
      </c>
    </row>
    <row r="2219" spans="1:72" x14ac:dyDescent="0.35">
      <c r="A2219" t="s">
        <v>72</v>
      </c>
      <c r="B2219" t="s">
        <v>37908</v>
      </c>
      <c r="C2219" t="s">
        <v>74</v>
      </c>
      <c r="D2219" t="s">
        <v>74</v>
      </c>
      <c r="E2219" t="s">
        <v>74</v>
      </c>
      <c r="F2219" t="s">
        <v>37909</v>
      </c>
      <c r="G2219" t="s">
        <v>74</v>
      </c>
      <c r="H2219" t="s">
        <v>74</v>
      </c>
      <c r="I2219" t="s">
        <v>37910</v>
      </c>
      <c r="J2219" t="s">
        <v>37911</v>
      </c>
      <c r="K2219" t="s">
        <v>74</v>
      </c>
      <c r="L2219" t="s">
        <v>74</v>
      </c>
      <c r="M2219" t="s">
        <v>78</v>
      </c>
      <c r="N2219" t="s">
        <v>79</v>
      </c>
      <c r="O2219" t="s">
        <v>74</v>
      </c>
      <c r="P2219" t="s">
        <v>74</v>
      </c>
      <c r="Q2219" t="s">
        <v>74</v>
      </c>
      <c r="R2219" t="s">
        <v>74</v>
      </c>
      <c r="S2219" t="s">
        <v>74</v>
      </c>
      <c r="T2219" t="s">
        <v>37912</v>
      </c>
      <c r="U2219" t="s">
        <v>37913</v>
      </c>
      <c r="V2219" t="s">
        <v>37914</v>
      </c>
      <c r="W2219" t="s">
        <v>37915</v>
      </c>
      <c r="X2219" t="s">
        <v>29371</v>
      </c>
      <c r="Y2219" t="s">
        <v>37916</v>
      </c>
      <c r="Z2219" t="s">
        <v>32553</v>
      </c>
      <c r="AA2219" t="s">
        <v>74</v>
      </c>
      <c r="AB2219" t="s">
        <v>74</v>
      </c>
      <c r="AC2219" t="s">
        <v>37917</v>
      </c>
      <c r="AD2219" t="s">
        <v>37918</v>
      </c>
      <c r="AE2219" t="s">
        <v>37919</v>
      </c>
      <c r="AF2219" t="s">
        <v>74</v>
      </c>
      <c r="AG2219">
        <v>78</v>
      </c>
      <c r="AH2219">
        <v>0</v>
      </c>
      <c r="AI2219">
        <v>0</v>
      </c>
      <c r="AJ2219">
        <v>10</v>
      </c>
      <c r="AK2219">
        <v>10</v>
      </c>
      <c r="AL2219" t="s">
        <v>88</v>
      </c>
      <c r="AM2219" t="s">
        <v>89</v>
      </c>
      <c r="AN2219" t="s">
        <v>90</v>
      </c>
      <c r="AO2219" t="s">
        <v>37920</v>
      </c>
      <c r="AP2219" t="s">
        <v>37921</v>
      </c>
      <c r="AQ2219" t="s">
        <v>74</v>
      </c>
      <c r="AR2219" t="s">
        <v>37922</v>
      </c>
      <c r="AS2219" t="s">
        <v>37923</v>
      </c>
      <c r="AT2219" t="s">
        <v>17827</v>
      </c>
      <c r="AU2219">
        <v>2024</v>
      </c>
      <c r="AV2219" t="s">
        <v>74</v>
      </c>
      <c r="AW2219" t="s">
        <v>74</v>
      </c>
      <c r="AX2219" t="s">
        <v>74</v>
      </c>
      <c r="AY2219" t="s">
        <v>74</v>
      </c>
      <c r="AZ2219" t="s">
        <v>74</v>
      </c>
      <c r="BA2219" t="s">
        <v>74</v>
      </c>
      <c r="BB2219" t="s">
        <v>74</v>
      </c>
      <c r="BC2219" t="s">
        <v>74</v>
      </c>
      <c r="BD2219" t="s">
        <v>74</v>
      </c>
      <c r="BE2219" t="s">
        <v>37924</v>
      </c>
      <c r="BF2219" t="str">
        <f>HYPERLINK("http://dx.doi.org/10.1080/1051712X.2024.2399156","http://dx.doi.org/10.1080/1051712X.2024.2399156")</f>
        <v>http://dx.doi.org/10.1080/1051712X.2024.2399156</v>
      </c>
      <c r="BG2219" t="s">
        <v>74</v>
      </c>
      <c r="BH2219" t="s">
        <v>337</v>
      </c>
      <c r="BI2219">
        <v>18</v>
      </c>
      <c r="BJ2219" t="s">
        <v>1597</v>
      </c>
      <c r="BK2219" t="s">
        <v>99</v>
      </c>
      <c r="BL2219" t="s">
        <v>480</v>
      </c>
      <c r="BM2219" t="s">
        <v>37925</v>
      </c>
      <c r="BN2219" t="s">
        <v>74</v>
      </c>
      <c r="BO2219" t="s">
        <v>74</v>
      </c>
      <c r="BP2219" t="s">
        <v>74</v>
      </c>
      <c r="BQ2219" t="s">
        <v>74</v>
      </c>
      <c r="BR2219" t="s">
        <v>102</v>
      </c>
      <c r="BS2219" t="s">
        <v>37926</v>
      </c>
      <c r="BT2219" t="str">
        <f>HYPERLINK("https%3A%2F%2Fwww.webofscience.com%2Fwos%2Fwoscc%2Ffull-record%2FWOS:001314408500001","View Full Record in Web of Science")</f>
        <v>View Full Record in Web of Science</v>
      </c>
    </row>
    <row r="2220" spans="1:72" x14ac:dyDescent="0.35">
      <c r="A2220" t="s">
        <v>72</v>
      </c>
      <c r="B2220" t="s">
        <v>37927</v>
      </c>
      <c r="C2220" t="s">
        <v>74</v>
      </c>
      <c r="D2220" t="s">
        <v>74</v>
      </c>
      <c r="E2220" t="s">
        <v>74</v>
      </c>
      <c r="F2220" t="s">
        <v>37928</v>
      </c>
      <c r="G2220" t="s">
        <v>74</v>
      </c>
      <c r="H2220" t="s">
        <v>74</v>
      </c>
      <c r="I2220" t="s">
        <v>37929</v>
      </c>
      <c r="J2220" t="s">
        <v>2450</v>
      </c>
      <c r="K2220" t="s">
        <v>74</v>
      </c>
      <c r="L2220" t="s">
        <v>74</v>
      </c>
      <c r="M2220" t="s">
        <v>78</v>
      </c>
      <c r="N2220" t="s">
        <v>108</v>
      </c>
      <c r="O2220" t="s">
        <v>74</v>
      </c>
      <c r="P2220" t="s">
        <v>74</v>
      </c>
      <c r="Q2220" t="s">
        <v>74</v>
      </c>
      <c r="R2220" t="s">
        <v>74</v>
      </c>
      <c r="S2220" t="s">
        <v>74</v>
      </c>
      <c r="T2220" t="s">
        <v>74</v>
      </c>
      <c r="U2220" t="s">
        <v>37930</v>
      </c>
      <c r="V2220" t="s">
        <v>37931</v>
      </c>
      <c r="W2220" t="s">
        <v>37932</v>
      </c>
      <c r="X2220" t="s">
        <v>37933</v>
      </c>
      <c r="Y2220" t="s">
        <v>37934</v>
      </c>
      <c r="Z2220" t="s">
        <v>37935</v>
      </c>
      <c r="AA2220" t="s">
        <v>37936</v>
      </c>
      <c r="AB2220" t="s">
        <v>37937</v>
      </c>
      <c r="AC2220" t="s">
        <v>74</v>
      </c>
      <c r="AD2220" t="s">
        <v>74</v>
      </c>
      <c r="AE2220" t="s">
        <v>74</v>
      </c>
      <c r="AF2220" t="s">
        <v>74</v>
      </c>
      <c r="AG2220">
        <v>18</v>
      </c>
      <c r="AH2220">
        <v>1</v>
      </c>
      <c r="AI2220">
        <v>1</v>
      </c>
      <c r="AJ2220">
        <v>1</v>
      </c>
      <c r="AK2220">
        <v>1</v>
      </c>
      <c r="AL2220" t="s">
        <v>2458</v>
      </c>
      <c r="AM2220" t="s">
        <v>2459</v>
      </c>
      <c r="AN2220" t="s">
        <v>2460</v>
      </c>
      <c r="AO2220" t="s">
        <v>2461</v>
      </c>
      <c r="AP2220" t="s">
        <v>74</v>
      </c>
      <c r="AQ2220" t="s">
        <v>74</v>
      </c>
      <c r="AR2220" t="s">
        <v>2450</v>
      </c>
      <c r="AS2220" t="s">
        <v>2462</v>
      </c>
      <c r="AT2220" t="s">
        <v>37938</v>
      </c>
      <c r="AU2220">
        <v>2024</v>
      </c>
      <c r="AV2220">
        <v>19</v>
      </c>
      <c r="AW2220">
        <v>4</v>
      </c>
      <c r="AX2220" t="s">
        <v>74</v>
      </c>
      <c r="AY2220" t="s">
        <v>74</v>
      </c>
      <c r="AZ2220" t="s">
        <v>74</v>
      </c>
      <c r="BA2220" t="s">
        <v>74</v>
      </c>
      <c r="BB2220" t="s">
        <v>74</v>
      </c>
      <c r="BC2220" t="s">
        <v>74</v>
      </c>
      <c r="BD2220" t="s">
        <v>37939</v>
      </c>
      <c r="BE2220" t="s">
        <v>37940</v>
      </c>
      <c r="BF2220" t="str">
        <f>HYPERLINK("http://dx.doi.org/10.1371/journal.pone.0301297","http://dx.doi.org/10.1371/journal.pone.0301297")</f>
        <v>http://dx.doi.org/10.1371/journal.pone.0301297</v>
      </c>
      <c r="BG2220" t="s">
        <v>74</v>
      </c>
      <c r="BH2220" t="s">
        <v>74</v>
      </c>
      <c r="BI2220">
        <v>11</v>
      </c>
      <c r="BJ2220" t="s">
        <v>1301</v>
      </c>
      <c r="BK2220" t="s">
        <v>209</v>
      </c>
      <c r="BL2220" t="s">
        <v>1302</v>
      </c>
      <c r="BM2220" t="s">
        <v>37941</v>
      </c>
      <c r="BN2220">
        <v>38640112</v>
      </c>
      <c r="BO2220" t="s">
        <v>235</v>
      </c>
      <c r="BP2220" t="s">
        <v>74</v>
      </c>
      <c r="BQ2220" t="s">
        <v>74</v>
      </c>
      <c r="BR2220" t="s">
        <v>102</v>
      </c>
      <c r="BS2220" t="s">
        <v>37942</v>
      </c>
      <c r="BT2220" t="str">
        <f>HYPERLINK("https%3A%2F%2Fwww.webofscience.com%2Fwos%2Fwoscc%2Ffull-record%2FWOS:001207205100006","View Full Record in Web of Science")</f>
        <v>View Full Record in Web of Science</v>
      </c>
    </row>
    <row r="2221" spans="1:72" x14ac:dyDescent="0.35">
      <c r="A2221" t="s">
        <v>72</v>
      </c>
      <c r="B2221" t="s">
        <v>37943</v>
      </c>
      <c r="C2221" t="s">
        <v>74</v>
      </c>
      <c r="D2221" t="s">
        <v>74</v>
      </c>
      <c r="E2221" t="s">
        <v>74</v>
      </c>
      <c r="F2221" t="s">
        <v>37944</v>
      </c>
      <c r="G2221" t="s">
        <v>74</v>
      </c>
      <c r="H2221" t="s">
        <v>74</v>
      </c>
      <c r="I2221" t="s">
        <v>37945</v>
      </c>
      <c r="J2221" t="s">
        <v>37946</v>
      </c>
      <c r="K2221" t="s">
        <v>74</v>
      </c>
      <c r="L2221" t="s">
        <v>74</v>
      </c>
      <c r="M2221" t="s">
        <v>78</v>
      </c>
      <c r="N2221" t="s">
        <v>108</v>
      </c>
      <c r="O2221" t="s">
        <v>74</v>
      </c>
      <c r="P2221" t="s">
        <v>74</v>
      </c>
      <c r="Q2221" t="s">
        <v>74</v>
      </c>
      <c r="R2221" t="s">
        <v>74</v>
      </c>
      <c r="S2221" t="s">
        <v>74</v>
      </c>
      <c r="T2221" t="s">
        <v>74</v>
      </c>
      <c r="U2221" t="s">
        <v>74</v>
      </c>
      <c r="V2221" t="s">
        <v>37947</v>
      </c>
      <c r="W2221" t="s">
        <v>37948</v>
      </c>
      <c r="X2221" t="s">
        <v>37949</v>
      </c>
      <c r="Y2221" t="s">
        <v>37950</v>
      </c>
      <c r="Z2221" t="s">
        <v>74</v>
      </c>
      <c r="AA2221" t="s">
        <v>74</v>
      </c>
      <c r="AB2221" t="s">
        <v>37951</v>
      </c>
      <c r="AC2221" t="s">
        <v>37952</v>
      </c>
      <c r="AD2221" t="s">
        <v>37953</v>
      </c>
      <c r="AE2221" t="s">
        <v>37954</v>
      </c>
      <c r="AF2221" t="s">
        <v>74</v>
      </c>
      <c r="AG2221">
        <v>36</v>
      </c>
      <c r="AH2221">
        <v>0</v>
      </c>
      <c r="AI2221">
        <v>0</v>
      </c>
      <c r="AJ2221">
        <v>1</v>
      </c>
      <c r="AK2221">
        <v>1</v>
      </c>
      <c r="AL2221" t="s">
        <v>37955</v>
      </c>
      <c r="AM2221" t="s">
        <v>37956</v>
      </c>
      <c r="AN2221" t="s">
        <v>37957</v>
      </c>
      <c r="AO2221" t="s">
        <v>74</v>
      </c>
      <c r="AP2221" t="s">
        <v>37958</v>
      </c>
      <c r="AQ2221" t="s">
        <v>74</v>
      </c>
      <c r="AR2221" t="s">
        <v>37959</v>
      </c>
      <c r="AS2221" t="s">
        <v>37960</v>
      </c>
      <c r="AT2221" t="s">
        <v>2824</v>
      </c>
      <c r="AU2221">
        <v>2024</v>
      </c>
      <c r="AV2221">
        <v>5</v>
      </c>
      <c r="AW2221">
        <v>2</v>
      </c>
      <c r="AX2221" t="s">
        <v>74</v>
      </c>
      <c r="AY2221" t="s">
        <v>74</v>
      </c>
      <c r="AZ2221" t="s">
        <v>74</v>
      </c>
      <c r="BA2221" t="s">
        <v>74</v>
      </c>
      <c r="BB2221" t="s">
        <v>74</v>
      </c>
      <c r="BC2221" t="s">
        <v>74</v>
      </c>
      <c r="BD2221" t="s">
        <v>37961</v>
      </c>
      <c r="BE2221" t="s">
        <v>37962</v>
      </c>
      <c r="BF2221" t="str">
        <f>HYPERLINK("http://dx.doi.org/10.1056/CAT.23.0322","http://dx.doi.org/10.1056/CAT.23.0322")</f>
        <v>http://dx.doi.org/10.1056/CAT.23.0322</v>
      </c>
      <c r="BG2221" t="s">
        <v>74</v>
      </c>
      <c r="BH2221" t="s">
        <v>74</v>
      </c>
      <c r="BI2221">
        <v>19</v>
      </c>
      <c r="BJ2221" t="s">
        <v>4358</v>
      </c>
      <c r="BK2221" t="s">
        <v>125</v>
      </c>
      <c r="BL2221" t="s">
        <v>4358</v>
      </c>
      <c r="BM2221" t="s">
        <v>37963</v>
      </c>
      <c r="BN2221">
        <v>38813133</v>
      </c>
      <c r="BO2221" t="s">
        <v>2194</v>
      </c>
      <c r="BP2221" t="s">
        <v>74</v>
      </c>
      <c r="BQ2221" t="s">
        <v>74</v>
      </c>
      <c r="BR2221" t="s">
        <v>102</v>
      </c>
      <c r="BS2221" t="s">
        <v>37964</v>
      </c>
      <c r="BT2221" t="str">
        <f>HYPERLINK("https%3A%2F%2Fwww.webofscience.com%2Fwos%2Fwoscc%2Ffull-record%2FWOS:001354392800006","View Full Record in Web of Science")</f>
        <v>View Full Record in Web of Science</v>
      </c>
    </row>
    <row r="2222" spans="1:72" x14ac:dyDescent="0.35">
      <c r="A2222" t="s">
        <v>72</v>
      </c>
      <c r="B2222" t="s">
        <v>37965</v>
      </c>
      <c r="C2222" t="s">
        <v>74</v>
      </c>
      <c r="D2222" t="s">
        <v>74</v>
      </c>
      <c r="E2222" t="s">
        <v>74</v>
      </c>
      <c r="F2222" t="s">
        <v>37966</v>
      </c>
      <c r="G2222" t="s">
        <v>74</v>
      </c>
      <c r="H2222" t="s">
        <v>74</v>
      </c>
      <c r="I2222" t="s">
        <v>37967</v>
      </c>
      <c r="J2222" t="s">
        <v>23164</v>
      </c>
      <c r="K2222" t="s">
        <v>74</v>
      </c>
      <c r="L2222" t="s">
        <v>74</v>
      </c>
      <c r="M2222" t="s">
        <v>78</v>
      </c>
      <c r="N2222" t="s">
        <v>108</v>
      </c>
      <c r="O2222" t="s">
        <v>74</v>
      </c>
      <c r="P2222" t="s">
        <v>74</v>
      </c>
      <c r="Q2222" t="s">
        <v>74</v>
      </c>
      <c r="R2222" t="s">
        <v>74</v>
      </c>
      <c r="S2222" t="s">
        <v>74</v>
      </c>
      <c r="T2222" t="s">
        <v>37968</v>
      </c>
      <c r="U2222" t="s">
        <v>37969</v>
      </c>
      <c r="V2222" t="s">
        <v>37970</v>
      </c>
      <c r="W2222" t="s">
        <v>37971</v>
      </c>
      <c r="X2222" t="s">
        <v>37972</v>
      </c>
      <c r="Y2222" t="s">
        <v>37973</v>
      </c>
      <c r="Z2222" t="s">
        <v>37974</v>
      </c>
      <c r="AA2222" t="s">
        <v>74</v>
      </c>
      <c r="AB2222" t="s">
        <v>37975</v>
      </c>
      <c r="AC2222" t="s">
        <v>37976</v>
      </c>
      <c r="AD2222" t="s">
        <v>37977</v>
      </c>
      <c r="AE2222" t="s">
        <v>37978</v>
      </c>
      <c r="AF2222" t="s">
        <v>74</v>
      </c>
      <c r="AG2222">
        <v>72</v>
      </c>
      <c r="AH2222">
        <v>1</v>
      </c>
      <c r="AI2222">
        <v>1</v>
      </c>
      <c r="AJ2222">
        <v>3</v>
      </c>
      <c r="AK2222">
        <v>38</v>
      </c>
      <c r="AL2222" t="s">
        <v>171</v>
      </c>
      <c r="AM2222" t="s">
        <v>172</v>
      </c>
      <c r="AN2222" t="s">
        <v>173</v>
      </c>
      <c r="AO2222" t="s">
        <v>23173</v>
      </c>
      <c r="AP2222" t="s">
        <v>74</v>
      </c>
      <c r="AQ2222" t="s">
        <v>74</v>
      </c>
      <c r="AR2222" t="s">
        <v>23174</v>
      </c>
      <c r="AS2222" t="s">
        <v>23175</v>
      </c>
      <c r="AT2222" t="s">
        <v>273</v>
      </c>
      <c r="AU2222">
        <v>2022</v>
      </c>
      <c r="AV2222">
        <v>21</v>
      </c>
      <c r="AW2222" t="s">
        <v>74</v>
      </c>
      <c r="AX2222" t="s">
        <v>74</v>
      </c>
      <c r="AY2222" t="s">
        <v>74</v>
      </c>
      <c r="AZ2222" t="s">
        <v>74</v>
      </c>
      <c r="BA2222" t="s">
        <v>74</v>
      </c>
      <c r="BB2222" t="s">
        <v>74</v>
      </c>
      <c r="BC2222" t="s">
        <v>74</v>
      </c>
      <c r="BD2222">
        <v>1.6094069221114488E+16</v>
      </c>
      <c r="BE2222" t="s">
        <v>37979</v>
      </c>
      <c r="BF2222" t="str">
        <f>HYPERLINK("http://dx.doi.org/10.1177/16094069221114489","http://dx.doi.org/10.1177/16094069221114489")</f>
        <v>http://dx.doi.org/10.1177/16094069221114489</v>
      </c>
      <c r="BG2222" t="s">
        <v>74</v>
      </c>
      <c r="BH2222" t="s">
        <v>74</v>
      </c>
      <c r="BI2222">
        <v>10</v>
      </c>
      <c r="BJ2222" t="s">
        <v>98</v>
      </c>
      <c r="BK2222" t="s">
        <v>99</v>
      </c>
      <c r="BL2222" t="s">
        <v>100</v>
      </c>
      <c r="BM2222" t="s">
        <v>37980</v>
      </c>
      <c r="BN2222" t="s">
        <v>74</v>
      </c>
      <c r="BO2222" t="s">
        <v>552</v>
      </c>
      <c r="BP2222" t="s">
        <v>74</v>
      </c>
      <c r="BQ2222" t="s">
        <v>74</v>
      </c>
      <c r="BR2222" t="s">
        <v>102</v>
      </c>
      <c r="BS2222" t="s">
        <v>37981</v>
      </c>
      <c r="BT2222" t="str">
        <f>HYPERLINK("https%3A%2F%2Fwww.webofscience.com%2Fwos%2Fwoscc%2Ffull-record%2FWOS:000846817200001","View Full Record in Web of Science")</f>
        <v>View Full Record in Web of Science</v>
      </c>
    </row>
    <row r="2223" spans="1:72" x14ac:dyDescent="0.35">
      <c r="A2223" t="s">
        <v>72</v>
      </c>
      <c r="B2223" t="s">
        <v>37982</v>
      </c>
      <c r="C2223" t="s">
        <v>74</v>
      </c>
      <c r="D2223" t="s">
        <v>74</v>
      </c>
      <c r="E2223" t="s">
        <v>74</v>
      </c>
      <c r="F2223" t="s">
        <v>37983</v>
      </c>
      <c r="G2223" t="s">
        <v>74</v>
      </c>
      <c r="H2223" t="s">
        <v>74</v>
      </c>
      <c r="I2223" t="s">
        <v>37984</v>
      </c>
      <c r="J2223" t="s">
        <v>7029</v>
      </c>
      <c r="K2223" t="s">
        <v>74</v>
      </c>
      <c r="L2223" t="s">
        <v>74</v>
      </c>
      <c r="M2223" t="s">
        <v>78</v>
      </c>
      <c r="N2223" t="s">
        <v>79</v>
      </c>
      <c r="O2223" t="s">
        <v>74</v>
      </c>
      <c r="P2223" t="s">
        <v>74</v>
      </c>
      <c r="Q2223" t="s">
        <v>74</v>
      </c>
      <c r="R2223" t="s">
        <v>74</v>
      </c>
      <c r="S2223" t="s">
        <v>74</v>
      </c>
      <c r="T2223" t="s">
        <v>37985</v>
      </c>
      <c r="U2223" t="s">
        <v>37986</v>
      </c>
      <c r="V2223" t="s">
        <v>37987</v>
      </c>
      <c r="W2223" t="s">
        <v>37988</v>
      </c>
      <c r="X2223" t="s">
        <v>37989</v>
      </c>
      <c r="Y2223" t="s">
        <v>37990</v>
      </c>
      <c r="Z2223" t="s">
        <v>37991</v>
      </c>
      <c r="AA2223" t="s">
        <v>74</v>
      </c>
      <c r="AB2223" t="s">
        <v>37992</v>
      </c>
      <c r="AC2223" t="s">
        <v>74</v>
      </c>
      <c r="AD2223" t="s">
        <v>74</v>
      </c>
      <c r="AE2223" t="s">
        <v>74</v>
      </c>
      <c r="AF2223" t="s">
        <v>74</v>
      </c>
      <c r="AG2223">
        <v>66</v>
      </c>
      <c r="AH2223">
        <v>0</v>
      </c>
      <c r="AI2223">
        <v>0</v>
      </c>
      <c r="AJ2223">
        <v>5</v>
      </c>
      <c r="AK2223">
        <v>5</v>
      </c>
      <c r="AL2223" t="s">
        <v>665</v>
      </c>
      <c r="AM2223" t="s">
        <v>666</v>
      </c>
      <c r="AN2223" t="s">
        <v>667</v>
      </c>
      <c r="AO2223" t="s">
        <v>7036</v>
      </c>
      <c r="AP2223" t="s">
        <v>7037</v>
      </c>
      <c r="AQ2223" t="s">
        <v>74</v>
      </c>
      <c r="AR2223" t="s">
        <v>7038</v>
      </c>
      <c r="AS2223" t="s">
        <v>7039</v>
      </c>
      <c r="AT2223" t="s">
        <v>37993</v>
      </c>
      <c r="AU2223">
        <v>2024</v>
      </c>
      <c r="AV2223" t="s">
        <v>74</v>
      </c>
      <c r="AW2223" t="s">
        <v>74</v>
      </c>
      <c r="AX2223" t="s">
        <v>74</v>
      </c>
      <c r="AY2223" t="s">
        <v>74</v>
      </c>
      <c r="AZ2223" t="s">
        <v>74</v>
      </c>
      <c r="BA2223" t="s">
        <v>74</v>
      </c>
      <c r="BB2223" t="s">
        <v>74</v>
      </c>
      <c r="BC2223" t="s">
        <v>74</v>
      </c>
      <c r="BD2223" t="s">
        <v>74</v>
      </c>
      <c r="BE2223" t="s">
        <v>37994</v>
      </c>
      <c r="BF2223" t="str">
        <f>HYPERLINK("http://dx.doi.org/10.1007/s00266-024-04455-7","http://dx.doi.org/10.1007/s00266-024-04455-7")</f>
        <v>http://dx.doi.org/10.1007/s00266-024-04455-7</v>
      </c>
      <c r="BG2223" t="s">
        <v>74</v>
      </c>
      <c r="BH2223" t="s">
        <v>1721</v>
      </c>
      <c r="BI2223">
        <v>17</v>
      </c>
      <c r="BJ2223" t="s">
        <v>4994</v>
      </c>
      <c r="BK2223" t="s">
        <v>209</v>
      </c>
      <c r="BL2223" t="s">
        <v>4994</v>
      </c>
      <c r="BM2223" t="s">
        <v>37995</v>
      </c>
      <c r="BN2223">
        <v>39466423</v>
      </c>
      <c r="BO2223" t="s">
        <v>74</v>
      </c>
      <c r="BP2223" t="s">
        <v>74</v>
      </c>
      <c r="BQ2223" t="s">
        <v>74</v>
      </c>
      <c r="BR2223" t="s">
        <v>102</v>
      </c>
      <c r="BS2223" t="s">
        <v>37996</v>
      </c>
      <c r="BT2223" t="str">
        <f>HYPERLINK("https%3A%2F%2Fwww.webofscience.com%2Fwos%2Fwoscc%2Ffull-record%2FWOS:001345482100001","View Full Record in Web of Science")</f>
        <v>View Full Record in Web of Science</v>
      </c>
    </row>
    <row r="2224" spans="1:72" x14ac:dyDescent="0.35">
      <c r="A2224" t="s">
        <v>72</v>
      </c>
      <c r="B2224" t="s">
        <v>37997</v>
      </c>
      <c r="C2224" t="s">
        <v>74</v>
      </c>
      <c r="D2224" t="s">
        <v>74</v>
      </c>
      <c r="E2224" t="s">
        <v>74</v>
      </c>
      <c r="F2224" t="s">
        <v>37998</v>
      </c>
      <c r="G2224" t="s">
        <v>74</v>
      </c>
      <c r="H2224" t="s">
        <v>74</v>
      </c>
      <c r="I2224" t="s">
        <v>37999</v>
      </c>
      <c r="J2224" t="s">
        <v>38000</v>
      </c>
      <c r="K2224" t="s">
        <v>74</v>
      </c>
      <c r="L2224" t="s">
        <v>74</v>
      </c>
      <c r="M2224" t="s">
        <v>78</v>
      </c>
      <c r="N2224" t="s">
        <v>374</v>
      </c>
      <c r="O2224" t="s">
        <v>74</v>
      </c>
      <c r="P2224" t="s">
        <v>74</v>
      </c>
      <c r="Q2224" t="s">
        <v>74</v>
      </c>
      <c r="R2224" t="s">
        <v>74</v>
      </c>
      <c r="S2224" t="s">
        <v>74</v>
      </c>
      <c r="T2224" t="s">
        <v>38001</v>
      </c>
      <c r="U2224" t="s">
        <v>38002</v>
      </c>
      <c r="V2224" t="s">
        <v>38003</v>
      </c>
      <c r="W2224" t="s">
        <v>38004</v>
      </c>
      <c r="X2224" t="s">
        <v>38005</v>
      </c>
      <c r="Y2224" t="s">
        <v>38006</v>
      </c>
      <c r="Z2224" t="s">
        <v>38007</v>
      </c>
      <c r="AA2224" t="s">
        <v>38008</v>
      </c>
      <c r="AB2224" t="s">
        <v>38009</v>
      </c>
      <c r="AC2224" t="s">
        <v>38010</v>
      </c>
      <c r="AD2224" t="s">
        <v>38011</v>
      </c>
      <c r="AE2224" t="s">
        <v>38012</v>
      </c>
      <c r="AF2224" t="s">
        <v>74</v>
      </c>
      <c r="AG2224">
        <v>69</v>
      </c>
      <c r="AH2224">
        <v>10</v>
      </c>
      <c r="AI2224">
        <v>10</v>
      </c>
      <c r="AJ2224">
        <v>1</v>
      </c>
      <c r="AK2224">
        <v>24</v>
      </c>
      <c r="AL2224" t="s">
        <v>23721</v>
      </c>
      <c r="AM2224" t="s">
        <v>23722</v>
      </c>
      <c r="AN2224" t="s">
        <v>23723</v>
      </c>
      <c r="AO2224" t="s">
        <v>38013</v>
      </c>
      <c r="AP2224" t="s">
        <v>74</v>
      </c>
      <c r="AQ2224" t="s">
        <v>74</v>
      </c>
      <c r="AR2224" t="s">
        <v>38014</v>
      </c>
      <c r="AS2224" t="s">
        <v>38015</v>
      </c>
      <c r="AT2224" t="s">
        <v>74</v>
      </c>
      <c r="AU2224">
        <v>2022</v>
      </c>
      <c r="AV2224">
        <v>15</v>
      </c>
      <c r="AW2224" t="s">
        <v>74</v>
      </c>
      <c r="AX2224" t="s">
        <v>74</v>
      </c>
      <c r="AY2224" t="s">
        <v>74</v>
      </c>
      <c r="AZ2224" t="s">
        <v>74</v>
      </c>
      <c r="BA2224" t="s">
        <v>74</v>
      </c>
      <c r="BB2224">
        <v>3575</v>
      </c>
      <c r="BC2224">
        <v>3585</v>
      </c>
      <c r="BD2224" t="s">
        <v>74</v>
      </c>
      <c r="BE2224" t="s">
        <v>38016</v>
      </c>
      <c r="BF2224" t="str">
        <f>HYPERLINK("http://dx.doi.org/10.2147/PRBM.S359977","http://dx.doi.org/10.2147/PRBM.S359977")</f>
        <v>http://dx.doi.org/10.2147/PRBM.S359977</v>
      </c>
      <c r="BG2224" t="s">
        <v>74</v>
      </c>
      <c r="BH2224" t="s">
        <v>74</v>
      </c>
      <c r="BI2224">
        <v>11</v>
      </c>
      <c r="BJ2224" t="s">
        <v>1616</v>
      </c>
      <c r="BK2224" t="s">
        <v>99</v>
      </c>
      <c r="BL2224" t="s">
        <v>1617</v>
      </c>
      <c r="BM2224" t="s">
        <v>38017</v>
      </c>
      <c r="BN2224">
        <v>36505669</v>
      </c>
      <c r="BO2224" t="s">
        <v>552</v>
      </c>
      <c r="BP2224" t="s">
        <v>74</v>
      </c>
      <c r="BQ2224" t="s">
        <v>74</v>
      </c>
      <c r="BR2224" t="s">
        <v>102</v>
      </c>
      <c r="BS2224" t="s">
        <v>38018</v>
      </c>
      <c r="BT2224" t="str">
        <f>HYPERLINK("https%3A%2F%2Fwww.webofscience.com%2Fwos%2Fwoscc%2Ffull-record%2FWOS:000933727100001","View Full Record in Web of Science")</f>
        <v>View Full Record in Web of Science</v>
      </c>
    </row>
    <row r="2225" spans="1:72" x14ac:dyDescent="0.35">
      <c r="A2225" t="s">
        <v>72</v>
      </c>
      <c r="B2225" t="s">
        <v>38019</v>
      </c>
      <c r="C2225" t="s">
        <v>74</v>
      </c>
      <c r="D2225" t="s">
        <v>74</v>
      </c>
      <c r="E2225" t="s">
        <v>74</v>
      </c>
      <c r="F2225" t="s">
        <v>38020</v>
      </c>
      <c r="G2225" t="s">
        <v>74</v>
      </c>
      <c r="H2225" t="s">
        <v>74</v>
      </c>
      <c r="I2225" t="s">
        <v>38021</v>
      </c>
      <c r="J2225" t="s">
        <v>38022</v>
      </c>
      <c r="K2225" t="s">
        <v>74</v>
      </c>
      <c r="L2225" t="s">
        <v>74</v>
      </c>
      <c r="M2225" t="s">
        <v>78</v>
      </c>
      <c r="N2225" t="s">
        <v>108</v>
      </c>
      <c r="O2225" t="s">
        <v>74</v>
      </c>
      <c r="P2225" t="s">
        <v>74</v>
      </c>
      <c r="Q2225" t="s">
        <v>74</v>
      </c>
      <c r="R2225" t="s">
        <v>74</v>
      </c>
      <c r="S2225" t="s">
        <v>74</v>
      </c>
      <c r="T2225" t="s">
        <v>74</v>
      </c>
      <c r="U2225" t="s">
        <v>74</v>
      </c>
      <c r="V2225" t="s">
        <v>38023</v>
      </c>
      <c r="W2225" t="s">
        <v>38024</v>
      </c>
      <c r="X2225" t="s">
        <v>38025</v>
      </c>
      <c r="Y2225" t="s">
        <v>38026</v>
      </c>
      <c r="Z2225" t="s">
        <v>38027</v>
      </c>
      <c r="AA2225" t="s">
        <v>38028</v>
      </c>
      <c r="AB2225" t="s">
        <v>38029</v>
      </c>
      <c r="AC2225" t="s">
        <v>74</v>
      </c>
      <c r="AD2225" t="s">
        <v>74</v>
      </c>
      <c r="AE2225" t="s">
        <v>38030</v>
      </c>
      <c r="AF2225" t="s">
        <v>74</v>
      </c>
      <c r="AG2225">
        <v>41</v>
      </c>
      <c r="AH2225">
        <v>1</v>
      </c>
      <c r="AI2225">
        <v>1</v>
      </c>
      <c r="AJ2225">
        <v>1</v>
      </c>
      <c r="AK2225">
        <v>1</v>
      </c>
      <c r="AL2225" t="s">
        <v>38031</v>
      </c>
      <c r="AM2225" t="s">
        <v>38032</v>
      </c>
      <c r="AN2225" t="s">
        <v>38033</v>
      </c>
      <c r="AO2225" t="s">
        <v>74</v>
      </c>
      <c r="AP2225" t="s">
        <v>38034</v>
      </c>
      <c r="AQ2225" t="s">
        <v>74</v>
      </c>
      <c r="AR2225" t="s">
        <v>38035</v>
      </c>
      <c r="AS2225" t="s">
        <v>38036</v>
      </c>
      <c r="AT2225" t="s">
        <v>4056</v>
      </c>
      <c r="AU2225">
        <v>2024</v>
      </c>
      <c r="AV2225">
        <v>9</v>
      </c>
      <c r="AW2225">
        <v>1</v>
      </c>
      <c r="AX2225" t="s">
        <v>74</v>
      </c>
      <c r="AY2225" t="s">
        <v>74</v>
      </c>
      <c r="AZ2225" t="s">
        <v>74</v>
      </c>
      <c r="BA2225" t="s">
        <v>74</v>
      </c>
      <c r="BB2225">
        <v>9</v>
      </c>
      <c r="BC2225">
        <v>21</v>
      </c>
      <c r="BD2225" t="s">
        <v>74</v>
      </c>
      <c r="BE2225" t="s">
        <v>38037</v>
      </c>
      <c r="BF2225" t="str">
        <f>HYPERLINK("http://dx.doi.org/10.22038/jhl.2023.74713.1472","http://dx.doi.org/10.22038/jhl.2023.74713.1472")</f>
        <v>http://dx.doi.org/10.22038/jhl.2023.74713.1472</v>
      </c>
      <c r="BG2225" t="s">
        <v>74</v>
      </c>
      <c r="BH2225" t="s">
        <v>74</v>
      </c>
      <c r="BI2225">
        <v>13</v>
      </c>
      <c r="BJ2225" t="s">
        <v>392</v>
      </c>
      <c r="BK2225" t="s">
        <v>125</v>
      </c>
      <c r="BL2225" t="s">
        <v>392</v>
      </c>
      <c r="BM2225" t="s">
        <v>38038</v>
      </c>
      <c r="BN2225" t="s">
        <v>74</v>
      </c>
      <c r="BO2225" t="s">
        <v>74</v>
      </c>
      <c r="BP2225" t="s">
        <v>74</v>
      </c>
      <c r="BQ2225" t="s">
        <v>74</v>
      </c>
      <c r="BR2225" t="s">
        <v>102</v>
      </c>
      <c r="BS2225" t="s">
        <v>38039</v>
      </c>
      <c r="BT2225" t="str">
        <f>HYPERLINK("https%3A%2F%2Fwww.webofscience.com%2Fwos%2Fwoscc%2Ffull-record%2FWOS:001303911400001","View Full Record in Web of Science")</f>
        <v>View Full Record in Web of Science</v>
      </c>
    </row>
    <row r="2226" spans="1:72" x14ac:dyDescent="0.35">
      <c r="A2226" t="s">
        <v>72</v>
      </c>
      <c r="B2226" t="s">
        <v>38040</v>
      </c>
      <c r="C2226" t="s">
        <v>74</v>
      </c>
      <c r="D2226" t="s">
        <v>74</v>
      </c>
      <c r="E2226" t="s">
        <v>74</v>
      </c>
      <c r="F2226" t="s">
        <v>38041</v>
      </c>
      <c r="G2226" t="s">
        <v>74</v>
      </c>
      <c r="H2226" t="s">
        <v>74</v>
      </c>
      <c r="I2226" t="s">
        <v>38042</v>
      </c>
      <c r="J2226" t="s">
        <v>38000</v>
      </c>
      <c r="K2226" t="s">
        <v>74</v>
      </c>
      <c r="L2226" t="s">
        <v>74</v>
      </c>
      <c r="M2226" t="s">
        <v>78</v>
      </c>
      <c r="N2226" t="s">
        <v>108</v>
      </c>
      <c r="O2226" t="s">
        <v>74</v>
      </c>
      <c r="P2226" t="s">
        <v>74</v>
      </c>
      <c r="Q2226" t="s">
        <v>74</v>
      </c>
      <c r="R2226" t="s">
        <v>74</v>
      </c>
      <c r="S2226" t="s">
        <v>74</v>
      </c>
      <c r="T2226" t="s">
        <v>38043</v>
      </c>
      <c r="U2226" t="s">
        <v>74</v>
      </c>
      <c r="V2226" t="s">
        <v>38044</v>
      </c>
      <c r="W2226" t="s">
        <v>38045</v>
      </c>
      <c r="X2226" t="s">
        <v>38046</v>
      </c>
      <c r="Y2226" t="s">
        <v>38047</v>
      </c>
      <c r="Z2226" t="s">
        <v>38048</v>
      </c>
      <c r="AA2226" t="s">
        <v>38049</v>
      </c>
      <c r="AB2226" t="s">
        <v>74</v>
      </c>
      <c r="AC2226" t="s">
        <v>38050</v>
      </c>
      <c r="AD2226" t="s">
        <v>38051</v>
      </c>
      <c r="AE2226" t="s">
        <v>38052</v>
      </c>
      <c r="AF2226" t="s">
        <v>74</v>
      </c>
      <c r="AG2226">
        <v>41</v>
      </c>
      <c r="AH2226">
        <v>1</v>
      </c>
      <c r="AI2226">
        <v>1</v>
      </c>
      <c r="AJ2226">
        <v>11</v>
      </c>
      <c r="AK2226">
        <v>11</v>
      </c>
      <c r="AL2226" t="s">
        <v>23721</v>
      </c>
      <c r="AM2226" t="s">
        <v>23722</v>
      </c>
      <c r="AN2226" t="s">
        <v>23723</v>
      </c>
      <c r="AO2226" t="s">
        <v>38013</v>
      </c>
      <c r="AP2226" t="s">
        <v>74</v>
      </c>
      <c r="AQ2226" t="s">
        <v>74</v>
      </c>
      <c r="AR2226" t="s">
        <v>38014</v>
      </c>
      <c r="AS2226" t="s">
        <v>38015</v>
      </c>
      <c r="AT2226" t="s">
        <v>74</v>
      </c>
      <c r="AU2226">
        <v>2024</v>
      </c>
      <c r="AV2226">
        <v>17</v>
      </c>
      <c r="AW2226" t="s">
        <v>74</v>
      </c>
      <c r="AX2226" t="s">
        <v>74</v>
      </c>
      <c r="AY2226" t="s">
        <v>74</v>
      </c>
      <c r="AZ2226" t="s">
        <v>74</v>
      </c>
      <c r="BA2226" t="s">
        <v>74</v>
      </c>
      <c r="BB2226">
        <v>2783</v>
      </c>
      <c r="BC2226">
        <v>2794</v>
      </c>
      <c r="BD2226" t="s">
        <v>74</v>
      </c>
      <c r="BE2226" t="s">
        <v>38053</v>
      </c>
      <c r="BF2226" t="str">
        <f>HYPERLINK("http://dx.doi.org/10.2147/PRBM.S466398","http://dx.doi.org/10.2147/PRBM.S466398")</f>
        <v>http://dx.doi.org/10.2147/PRBM.S466398</v>
      </c>
      <c r="BG2226" t="s">
        <v>74</v>
      </c>
      <c r="BH2226" t="s">
        <v>74</v>
      </c>
      <c r="BI2226">
        <v>12</v>
      </c>
      <c r="BJ2226" t="s">
        <v>1616</v>
      </c>
      <c r="BK2226" t="s">
        <v>99</v>
      </c>
      <c r="BL2226" t="s">
        <v>1617</v>
      </c>
      <c r="BM2226" t="s">
        <v>38054</v>
      </c>
      <c r="BN2226">
        <v>39070065</v>
      </c>
      <c r="BO2226" t="s">
        <v>552</v>
      </c>
      <c r="BP2226" t="s">
        <v>74</v>
      </c>
      <c r="BQ2226" t="s">
        <v>74</v>
      </c>
      <c r="BR2226" t="s">
        <v>102</v>
      </c>
      <c r="BS2226" t="s">
        <v>38055</v>
      </c>
      <c r="BT2226" t="str">
        <f>HYPERLINK("https%3A%2F%2Fwww.webofscience.com%2Fwos%2Fwoscc%2Ffull-record%2FWOS:001275645800001","View Full Record in Web of Science")</f>
        <v>View Full Record in Web of Science</v>
      </c>
    </row>
    <row r="2227" spans="1:72" x14ac:dyDescent="0.35">
      <c r="A2227" t="s">
        <v>72</v>
      </c>
      <c r="B2227" t="s">
        <v>38056</v>
      </c>
      <c r="C2227" t="s">
        <v>74</v>
      </c>
      <c r="D2227" t="s">
        <v>74</v>
      </c>
      <c r="E2227" t="s">
        <v>74</v>
      </c>
      <c r="F2227" t="s">
        <v>38057</v>
      </c>
      <c r="G2227" t="s">
        <v>74</v>
      </c>
      <c r="H2227" t="s">
        <v>74</v>
      </c>
      <c r="I2227" t="s">
        <v>38058</v>
      </c>
      <c r="J2227" t="s">
        <v>38059</v>
      </c>
      <c r="K2227" t="s">
        <v>74</v>
      </c>
      <c r="L2227" t="s">
        <v>74</v>
      </c>
      <c r="M2227" t="s">
        <v>78</v>
      </c>
      <c r="N2227" t="s">
        <v>108</v>
      </c>
      <c r="O2227" t="s">
        <v>74</v>
      </c>
      <c r="P2227" t="s">
        <v>74</v>
      </c>
      <c r="Q2227" t="s">
        <v>74</v>
      </c>
      <c r="R2227" t="s">
        <v>74</v>
      </c>
      <c r="S2227" t="s">
        <v>74</v>
      </c>
      <c r="T2227" t="s">
        <v>38060</v>
      </c>
      <c r="U2227" t="s">
        <v>38061</v>
      </c>
      <c r="V2227" t="s">
        <v>38062</v>
      </c>
      <c r="W2227" t="s">
        <v>38063</v>
      </c>
      <c r="X2227" t="s">
        <v>38064</v>
      </c>
      <c r="Y2227" t="s">
        <v>38065</v>
      </c>
      <c r="Z2227" t="s">
        <v>38066</v>
      </c>
      <c r="AA2227" t="s">
        <v>38067</v>
      </c>
      <c r="AB2227" t="s">
        <v>38068</v>
      </c>
      <c r="AC2227" t="s">
        <v>38069</v>
      </c>
      <c r="AD2227" t="s">
        <v>38070</v>
      </c>
      <c r="AE2227" t="s">
        <v>38071</v>
      </c>
      <c r="AF2227" t="s">
        <v>74</v>
      </c>
      <c r="AG2227">
        <v>53</v>
      </c>
      <c r="AH2227">
        <v>0</v>
      </c>
      <c r="AI2227">
        <v>0</v>
      </c>
      <c r="AJ2227">
        <v>2</v>
      </c>
      <c r="AK2227">
        <v>7</v>
      </c>
      <c r="AL2227" t="s">
        <v>29791</v>
      </c>
      <c r="AM2227" t="s">
        <v>29792</v>
      </c>
      <c r="AN2227" t="s">
        <v>29793</v>
      </c>
      <c r="AO2227" t="s">
        <v>38072</v>
      </c>
      <c r="AP2227" t="s">
        <v>38073</v>
      </c>
      <c r="AQ2227" t="s">
        <v>74</v>
      </c>
      <c r="AR2227" t="s">
        <v>38074</v>
      </c>
      <c r="AS2227" t="s">
        <v>38075</v>
      </c>
      <c r="AT2227" t="s">
        <v>74</v>
      </c>
      <c r="AU2227">
        <v>2022</v>
      </c>
      <c r="AV2227">
        <v>73</v>
      </c>
      <c r="AW2227">
        <v>3</v>
      </c>
      <c r="AX2227" t="s">
        <v>74</v>
      </c>
      <c r="AY2227" t="s">
        <v>74</v>
      </c>
      <c r="AZ2227" t="s">
        <v>74</v>
      </c>
      <c r="BA2227" t="s">
        <v>74</v>
      </c>
      <c r="BB2227">
        <v>4743</v>
      </c>
      <c r="BC2227">
        <v>4762</v>
      </c>
      <c r="BD2227" t="s">
        <v>74</v>
      </c>
      <c r="BE2227" t="s">
        <v>38076</v>
      </c>
      <c r="BF2227" t="str">
        <f>HYPERLINK("http://dx.doi.org/10.32604/cmc.2022.028632","http://dx.doi.org/10.32604/cmc.2022.028632")</f>
        <v>http://dx.doi.org/10.32604/cmc.2022.028632</v>
      </c>
      <c r="BG2227" t="s">
        <v>74</v>
      </c>
      <c r="BH2227" t="s">
        <v>74</v>
      </c>
      <c r="BI2227">
        <v>20</v>
      </c>
      <c r="BJ2227" t="s">
        <v>38077</v>
      </c>
      <c r="BK2227" t="s">
        <v>209</v>
      </c>
      <c r="BL2227" t="s">
        <v>38078</v>
      </c>
      <c r="BM2227" t="s">
        <v>38079</v>
      </c>
      <c r="BN2227" t="s">
        <v>74</v>
      </c>
      <c r="BO2227" t="s">
        <v>235</v>
      </c>
      <c r="BP2227" t="s">
        <v>74</v>
      </c>
      <c r="BQ2227" t="s">
        <v>74</v>
      </c>
      <c r="BR2227" t="s">
        <v>102</v>
      </c>
      <c r="BS2227" t="s">
        <v>38080</v>
      </c>
      <c r="BT2227" t="str">
        <f>HYPERLINK("https%3A%2F%2Fwww.webofscience.com%2Fwos%2Fwoscc%2Ffull-record%2FWOS:000864724700018","View Full Record in Web of Science")</f>
        <v>View Full Record in Web of Science</v>
      </c>
    </row>
    <row r="2228" spans="1:72" x14ac:dyDescent="0.35">
      <c r="A2228" t="s">
        <v>72</v>
      </c>
      <c r="B2228" t="s">
        <v>38081</v>
      </c>
      <c r="C2228" t="s">
        <v>74</v>
      </c>
      <c r="D2228" t="s">
        <v>74</v>
      </c>
      <c r="E2228" t="s">
        <v>74</v>
      </c>
      <c r="F2228" t="s">
        <v>38082</v>
      </c>
      <c r="G2228" t="s">
        <v>74</v>
      </c>
      <c r="H2228" t="s">
        <v>74</v>
      </c>
      <c r="I2228" t="s">
        <v>38083</v>
      </c>
      <c r="J2228" t="s">
        <v>38000</v>
      </c>
      <c r="K2228" t="s">
        <v>74</v>
      </c>
      <c r="L2228" t="s">
        <v>74</v>
      </c>
      <c r="M2228" t="s">
        <v>78</v>
      </c>
      <c r="N2228" t="s">
        <v>108</v>
      </c>
      <c r="O2228" t="s">
        <v>74</v>
      </c>
      <c r="P2228" t="s">
        <v>74</v>
      </c>
      <c r="Q2228" t="s">
        <v>74</v>
      </c>
      <c r="R2228" t="s">
        <v>74</v>
      </c>
      <c r="S2228" t="s">
        <v>74</v>
      </c>
      <c r="T2228" t="s">
        <v>38084</v>
      </c>
      <c r="U2228" t="s">
        <v>38085</v>
      </c>
      <c r="V2228" t="s">
        <v>38086</v>
      </c>
      <c r="W2228" t="s">
        <v>38087</v>
      </c>
      <c r="X2228" t="s">
        <v>29371</v>
      </c>
      <c r="Y2228" t="s">
        <v>38088</v>
      </c>
      <c r="Z2228" t="s">
        <v>38089</v>
      </c>
      <c r="AA2228" t="s">
        <v>74</v>
      </c>
      <c r="AB2228" t="s">
        <v>74</v>
      </c>
      <c r="AC2228" t="s">
        <v>38090</v>
      </c>
      <c r="AD2228" t="s">
        <v>38091</v>
      </c>
      <c r="AE2228" t="s">
        <v>38092</v>
      </c>
      <c r="AF2228" t="s">
        <v>74</v>
      </c>
      <c r="AG2228">
        <v>84</v>
      </c>
      <c r="AH2228">
        <v>11</v>
      </c>
      <c r="AI2228">
        <v>11</v>
      </c>
      <c r="AJ2228">
        <v>38</v>
      </c>
      <c r="AK2228">
        <v>111</v>
      </c>
      <c r="AL2228" t="s">
        <v>23721</v>
      </c>
      <c r="AM2228" t="s">
        <v>23722</v>
      </c>
      <c r="AN2228" t="s">
        <v>23723</v>
      </c>
      <c r="AO2228" t="s">
        <v>38013</v>
      </c>
      <c r="AP2228" t="s">
        <v>74</v>
      </c>
      <c r="AQ2228" t="s">
        <v>74</v>
      </c>
      <c r="AR2228" t="s">
        <v>38014</v>
      </c>
      <c r="AS2228" t="s">
        <v>38015</v>
      </c>
      <c r="AT2228" t="s">
        <v>74</v>
      </c>
      <c r="AU2228">
        <v>2023</v>
      </c>
      <c r="AV2228">
        <v>16</v>
      </c>
      <c r="AW2228" t="s">
        <v>74</v>
      </c>
      <c r="AX2228" t="s">
        <v>74</v>
      </c>
      <c r="AY2228" t="s">
        <v>74</v>
      </c>
      <c r="AZ2228" t="s">
        <v>74</v>
      </c>
      <c r="BA2228" t="s">
        <v>74</v>
      </c>
      <c r="BB2228">
        <v>3001</v>
      </c>
      <c r="BC2228">
        <v>3017</v>
      </c>
      <c r="BD2228" t="s">
        <v>74</v>
      </c>
      <c r="BE2228" t="s">
        <v>38093</v>
      </c>
      <c r="BF2228" t="str">
        <f>HYPERLINK("http://dx.doi.org/10.2147/PRBM.S411337","http://dx.doi.org/10.2147/PRBM.S411337")</f>
        <v>http://dx.doi.org/10.2147/PRBM.S411337</v>
      </c>
      <c r="BG2228" t="s">
        <v>74</v>
      </c>
      <c r="BH2228" t="s">
        <v>74</v>
      </c>
      <c r="BI2228">
        <v>17</v>
      </c>
      <c r="BJ2228" t="s">
        <v>1616</v>
      </c>
      <c r="BK2228" t="s">
        <v>99</v>
      </c>
      <c r="BL2228" t="s">
        <v>1617</v>
      </c>
      <c r="BM2228" t="s">
        <v>38094</v>
      </c>
      <c r="BN2228">
        <v>37565052</v>
      </c>
      <c r="BO2228" t="s">
        <v>552</v>
      </c>
      <c r="BP2228" t="s">
        <v>74</v>
      </c>
      <c r="BQ2228" t="s">
        <v>74</v>
      </c>
      <c r="BR2228" t="s">
        <v>102</v>
      </c>
      <c r="BS2228" t="s">
        <v>38095</v>
      </c>
      <c r="BT2228" t="str">
        <f>HYPERLINK("https%3A%2F%2Fwww.webofscience.com%2Fwos%2Fwoscc%2Ffull-record%2FWOS:001046187200001","View Full Record in Web of Science")</f>
        <v>View Full Record in Web of Science</v>
      </c>
    </row>
    <row r="2229" spans="1:72" x14ac:dyDescent="0.35">
      <c r="A2229" t="s">
        <v>72</v>
      </c>
      <c r="B2229" t="s">
        <v>38096</v>
      </c>
      <c r="C2229" t="s">
        <v>74</v>
      </c>
      <c r="D2229" t="s">
        <v>74</v>
      </c>
      <c r="E2229" t="s">
        <v>74</v>
      </c>
      <c r="F2229" t="s">
        <v>38097</v>
      </c>
      <c r="G2229" t="s">
        <v>74</v>
      </c>
      <c r="H2229" t="s">
        <v>74</v>
      </c>
      <c r="I2229" t="s">
        <v>38098</v>
      </c>
      <c r="J2229" t="s">
        <v>2370</v>
      </c>
      <c r="K2229" t="s">
        <v>74</v>
      </c>
      <c r="L2229" t="s">
        <v>74</v>
      </c>
      <c r="M2229" t="s">
        <v>78</v>
      </c>
      <c r="N2229" t="s">
        <v>108</v>
      </c>
      <c r="O2229" t="s">
        <v>74</v>
      </c>
      <c r="P2229" t="s">
        <v>74</v>
      </c>
      <c r="Q2229" t="s">
        <v>74</v>
      </c>
      <c r="R2229" t="s">
        <v>74</v>
      </c>
      <c r="S2229" t="s">
        <v>74</v>
      </c>
      <c r="T2229" t="s">
        <v>38099</v>
      </c>
      <c r="U2229" t="s">
        <v>74</v>
      </c>
      <c r="V2229" t="s">
        <v>38100</v>
      </c>
      <c r="W2229" t="s">
        <v>38101</v>
      </c>
      <c r="X2229" t="s">
        <v>38102</v>
      </c>
      <c r="Y2229" t="s">
        <v>38103</v>
      </c>
      <c r="Z2229" t="s">
        <v>38104</v>
      </c>
      <c r="AA2229" t="s">
        <v>38105</v>
      </c>
      <c r="AB2229" t="s">
        <v>38106</v>
      </c>
      <c r="AC2229" t="s">
        <v>38107</v>
      </c>
      <c r="AD2229" t="s">
        <v>38108</v>
      </c>
      <c r="AE2229" t="s">
        <v>38109</v>
      </c>
      <c r="AF2229" t="s">
        <v>74</v>
      </c>
      <c r="AG2229">
        <v>33</v>
      </c>
      <c r="AH2229">
        <v>3</v>
      </c>
      <c r="AI2229">
        <v>3</v>
      </c>
      <c r="AJ2229">
        <v>8</v>
      </c>
      <c r="AK2229">
        <v>43</v>
      </c>
      <c r="AL2229" t="s">
        <v>2382</v>
      </c>
      <c r="AM2229" t="s">
        <v>227</v>
      </c>
      <c r="AN2229" t="s">
        <v>2383</v>
      </c>
      <c r="AO2229" t="s">
        <v>74</v>
      </c>
      <c r="AP2229" t="s">
        <v>2384</v>
      </c>
      <c r="AQ2229" t="s">
        <v>74</v>
      </c>
      <c r="AR2229" t="s">
        <v>2370</v>
      </c>
      <c r="AS2229" t="s">
        <v>2385</v>
      </c>
      <c r="AT2229" t="s">
        <v>38110</v>
      </c>
      <c r="AU2229">
        <v>2021</v>
      </c>
      <c r="AV2229">
        <v>21</v>
      </c>
      <c r="AW2229">
        <v>1</v>
      </c>
      <c r="AX2229" t="s">
        <v>74</v>
      </c>
      <c r="AY2229" t="s">
        <v>74</v>
      </c>
      <c r="AZ2229" t="s">
        <v>74</v>
      </c>
      <c r="BA2229" t="s">
        <v>74</v>
      </c>
      <c r="BB2229" t="s">
        <v>74</v>
      </c>
      <c r="BC2229" t="s">
        <v>74</v>
      </c>
      <c r="BD2229">
        <v>1545</v>
      </c>
      <c r="BE2229" t="s">
        <v>38111</v>
      </c>
      <c r="BF2229" t="str">
        <f>HYPERLINK("http://dx.doi.org/10.1186/s12889-021-11103-1","http://dx.doi.org/10.1186/s12889-021-11103-1")</f>
        <v>http://dx.doi.org/10.1186/s12889-021-11103-1</v>
      </c>
      <c r="BG2229" t="s">
        <v>74</v>
      </c>
      <c r="BH2229" t="s">
        <v>74</v>
      </c>
      <c r="BI2229">
        <v>8</v>
      </c>
      <c r="BJ2229" t="s">
        <v>392</v>
      </c>
      <c r="BK2229" t="s">
        <v>182</v>
      </c>
      <c r="BL2229" t="s">
        <v>392</v>
      </c>
      <c r="BM2229" t="s">
        <v>38112</v>
      </c>
      <c r="BN2229">
        <v>34384378</v>
      </c>
      <c r="BO2229" t="s">
        <v>7897</v>
      </c>
      <c r="BP2229" t="s">
        <v>74</v>
      </c>
      <c r="BQ2229" t="s">
        <v>74</v>
      </c>
      <c r="BR2229" t="s">
        <v>102</v>
      </c>
      <c r="BS2229" t="s">
        <v>38113</v>
      </c>
      <c r="BT2229" t="str">
        <f>HYPERLINK("https%3A%2F%2Fwww.webofscience.com%2Fwos%2Fwoscc%2Ffull-record%2FWOS:000685302000002","View Full Record in Web of Science")</f>
        <v>View Full Record in Web of Science</v>
      </c>
    </row>
    <row r="2230" spans="1:72" x14ac:dyDescent="0.35">
      <c r="A2230" t="s">
        <v>72</v>
      </c>
      <c r="B2230" t="s">
        <v>38114</v>
      </c>
      <c r="C2230" t="s">
        <v>74</v>
      </c>
      <c r="D2230" t="s">
        <v>74</v>
      </c>
      <c r="E2230" t="s">
        <v>74</v>
      </c>
      <c r="F2230" t="s">
        <v>38115</v>
      </c>
      <c r="G2230" t="s">
        <v>74</v>
      </c>
      <c r="H2230" t="s">
        <v>74</v>
      </c>
      <c r="I2230" t="s">
        <v>38116</v>
      </c>
      <c r="J2230" t="s">
        <v>23164</v>
      </c>
      <c r="K2230" t="s">
        <v>74</v>
      </c>
      <c r="L2230" t="s">
        <v>74</v>
      </c>
      <c r="M2230" t="s">
        <v>78</v>
      </c>
      <c r="N2230" t="s">
        <v>108</v>
      </c>
      <c r="O2230" t="s">
        <v>74</v>
      </c>
      <c r="P2230" t="s">
        <v>74</v>
      </c>
      <c r="Q2230" t="s">
        <v>74</v>
      </c>
      <c r="R2230" t="s">
        <v>74</v>
      </c>
      <c r="S2230" t="s">
        <v>74</v>
      </c>
      <c r="T2230" t="s">
        <v>38117</v>
      </c>
      <c r="U2230" t="s">
        <v>74</v>
      </c>
      <c r="V2230" t="s">
        <v>38118</v>
      </c>
      <c r="W2230" t="s">
        <v>38119</v>
      </c>
      <c r="X2230" t="s">
        <v>38120</v>
      </c>
      <c r="Y2230" t="s">
        <v>38121</v>
      </c>
      <c r="Z2230" t="s">
        <v>38122</v>
      </c>
      <c r="AA2230" t="s">
        <v>74</v>
      </c>
      <c r="AB2230" t="s">
        <v>38123</v>
      </c>
      <c r="AC2230" t="s">
        <v>74</v>
      </c>
      <c r="AD2230" t="s">
        <v>74</v>
      </c>
      <c r="AE2230" t="s">
        <v>74</v>
      </c>
      <c r="AF2230" t="s">
        <v>74</v>
      </c>
      <c r="AG2230">
        <v>20</v>
      </c>
      <c r="AH2230">
        <v>2</v>
      </c>
      <c r="AI2230">
        <v>2</v>
      </c>
      <c r="AJ2230">
        <v>2</v>
      </c>
      <c r="AK2230">
        <v>6</v>
      </c>
      <c r="AL2230" t="s">
        <v>171</v>
      </c>
      <c r="AM2230" t="s">
        <v>172</v>
      </c>
      <c r="AN2230" t="s">
        <v>173</v>
      </c>
      <c r="AO2230" t="s">
        <v>23173</v>
      </c>
      <c r="AP2230" t="s">
        <v>74</v>
      </c>
      <c r="AQ2230" t="s">
        <v>74</v>
      </c>
      <c r="AR2230" t="s">
        <v>23174</v>
      </c>
      <c r="AS2230" t="s">
        <v>23175</v>
      </c>
      <c r="AT2230" t="s">
        <v>297</v>
      </c>
      <c r="AU2230">
        <v>2023</v>
      </c>
      <c r="AV2230">
        <v>22</v>
      </c>
      <c r="AW2230" t="s">
        <v>74</v>
      </c>
      <c r="AX2230" t="s">
        <v>74</v>
      </c>
      <c r="AY2230" t="s">
        <v>74</v>
      </c>
      <c r="AZ2230" t="s">
        <v>74</v>
      </c>
      <c r="BA2230" t="s">
        <v>74</v>
      </c>
      <c r="BB2230" t="s">
        <v>74</v>
      </c>
      <c r="BC2230" t="s">
        <v>74</v>
      </c>
      <c r="BD2230">
        <v>1.6094069231197332E+16</v>
      </c>
      <c r="BE2230" t="s">
        <v>38124</v>
      </c>
      <c r="BF2230" t="str">
        <f>HYPERLINK("http://dx.doi.org/10.1177/16094069231197332","http://dx.doi.org/10.1177/16094069231197332")</f>
        <v>http://dx.doi.org/10.1177/16094069231197332</v>
      </c>
      <c r="BG2230" t="s">
        <v>74</v>
      </c>
      <c r="BH2230" t="s">
        <v>74</v>
      </c>
      <c r="BI2230">
        <v>9</v>
      </c>
      <c r="BJ2230" t="s">
        <v>98</v>
      </c>
      <c r="BK2230" t="s">
        <v>99</v>
      </c>
      <c r="BL2230" t="s">
        <v>100</v>
      </c>
      <c r="BM2230" t="s">
        <v>38125</v>
      </c>
      <c r="BN2230" t="s">
        <v>74</v>
      </c>
      <c r="BO2230" t="s">
        <v>235</v>
      </c>
      <c r="BP2230" t="s">
        <v>74</v>
      </c>
      <c r="BQ2230" t="s">
        <v>74</v>
      </c>
      <c r="BR2230" t="s">
        <v>102</v>
      </c>
      <c r="BS2230" t="s">
        <v>38126</v>
      </c>
      <c r="BT2230" t="str">
        <f>HYPERLINK("https%3A%2F%2Fwww.webofscience.com%2Fwos%2Fwoscc%2Ffull-record%2FWOS:001075108900001","View Full Record in Web of Science")</f>
        <v>View Full Record in Web of Science</v>
      </c>
    </row>
    <row r="2231" spans="1:72" x14ac:dyDescent="0.35">
      <c r="A2231" t="s">
        <v>72</v>
      </c>
      <c r="B2231" t="s">
        <v>38127</v>
      </c>
      <c r="C2231" t="s">
        <v>74</v>
      </c>
      <c r="D2231" t="s">
        <v>74</v>
      </c>
      <c r="E2231" t="s">
        <v>74</v>
      </c>
      <c r="F2231" t="s">
        <v>38128</v>
      </c>
      <c r="G2231" t="s">
        <v>74</v>
      </c>
      <c r="H2231" t="s">
        <v>74</v>
      </c>
      <c r="I2231" t="s">
        <v>38129</v>
      </c>
      <c r="J2231" t="s">
        <v>38130</v>
      </c>
      <c r="K2231" t="s">
        <v>74</v>
      </c>
      <c r="L2231" t="s">
        <v>74</v>
      </c>
      <c r="M2231" t="s">
        <v>78</v>
      </c>
      <c r="N2231" t="s">
        <v>108</v>
      </c>
      <c r="O2231" t="s">
        <v>74</v>
      </c>
      <c r="P2231" t="s">
        <v>74</v>
      </c>
      <c r="Q2231" t="s">
        <v>74</v>
      </c>
      <c r="R2231" t="s">
        <v>74</v>
      </c>
      <c r="S2231" t="s">
        <v>74</v>
      </c>
      <c r="T2231" t="s">
        <v>38131</v>
      </c>
      <c r="U2231" t="s">
        <v>38132</v>
      </c>
      <c r="V2231" t="s">
        <v>38133</v>
      </c>
      <c r="W2231" t="s">
        <v>38134</v>
      </c>
      <c r="X2231" t="s">
        <v>38135</v>
      </c>
      <c r="Y2231" t="s">
        <v>38136</v>
      </c>
      <c r="Z2231" t="s">
        <v>38137</v>
      </c>
      <c r="AA2231" t="s">
        <v>38138</v>
      </c>
      <c r="AB2231" t="s">
        <v>38139</v>
      </c>
      <c r="AC2231" t="s">
        <v>38140</v>
      </c>
      <c r="AD2231" t="s">
        <v>38141</v>
      </c>
      <c r="AE2231" t="s">
        <v>38142</v>
      </c>
      <c r="AF2231" t="s">
        <v>74</v>
      </c>
      <c r="AG2231">
        <v>135</v>
      </c>
      <c r="AH2231">
        <v>14</v>
      </c>
      <c r="AI2231">
        <v>14</v>
      </c>
      <c r="AJ2231">
        <v>5</v>
      </c>
      <c r="AK2231">
        <v>21</v>
      </c>
      <c r="AL2231" t="s">
        <v>1195</v>
      </c>
      <c r="AM2231" t="s">
        <v>1196</v>
      </c>
      <c r="AN2231" t="s">
        <v>1197</v>
      </c>
      <c r="AO2231" t="s">
        <v>74</v>
      </c>
      <c r="AP2231" t="s">
        <v>38143</v>
      </c>
      <c r="AQ2231" t="s">
        <v>74</v>
      </c>
      <c r="AR2231" t="s">
        <v>38144</v>
      </c>
      <c r="AS2231" t="s">
        <v>38145</v>
      </c>
      <c r="AT2231" t="s">
        <v>523</v>
      </c>
      <c r="AU2231">
        <v>2023</v>
      </c>
      <c r="AV2231">
        <v>13</v>
      </c>
      <c r="AW2231">
        <v>11</v>
      </c>
      <c r="AX2231" t="s">
        <v>74</v>
      </c>
      <c r="AY2231" t="s">
        <v>74</v>
      </c>
      <c r="AZ2231" t="s">
        <v>74</v>
      </c>
      <c r="BA2231" t="s">
        <v>74</v>
      </c>
      <c r="BB2231" t="s">
        <v>74</v>
      </c>
      <c r="BC2231" t="s">
        <v>74</v>
      </c>
      <c r="BD2231">
        <v>1503</v>
      </c>
      <c r="BE2231" t="s">
        <v>38146</v>
      </c>
      <c r="BF2231" t="str">
        <f>HYPERLINK("http://dx.doi.org/10.3390/brainsci13111503","http://dx.doi.org/10.3390/brainsci13111503")</f>
        <v>http://dx.doi.org/10.3390/brainsci13111503</v>
      </c>
      <c r="BG2231" t="s">
        <v>74</v>
      </c>
      <c r="BH2231" t="s">
        <v>74</v>
      </c>
      <c r="BI2231">
        <v>17</v>
      </c>
      <c r="BJ2231" t="s">
        <v>12865</v>
      </c>
      <c r="BK2231" t="s">
        <v>209</v>
      </c>
      <c r="BL2231" t="s">
        <v>2258</v>
      </c>
      <c r="BM2231" t="s">
        <v>38147</v>
      </c>
      <c r="BN2231">
        <v>38002464</v>
      </c>
      <c r="BO2231" t="s">
        <v>552</v>
      </c>
      <c r="BP2231" t="s">
        <v>74</v>
      </c>
      <c r="BQ2231" t="s">
        <v>74</v>
      </c>
      <c r="BR2231" t="s">
        <v>102</v>
      </c>
      <c r="BS2231" t="s">
        <v>38148</v>
      </c>
      <c r="BT2231" t="str">
        <f>HYPERLINK("https%3A%2F%2Fwww.webofscience.com%2Fwos%2Fwoscc%2Ffull-record%2FWOS:001120871900001","View Full Record in Web of Science")</f>
        <v>View Full Record in Web of Science</v>
      </c>
    </row>
    <row r="2232" spans="1:72" x14ac:dyDescent="0.35">
      <c r="A2232" t="s">
        <v>128</v>
      </c>
      <c r="B2232" t="s">
        <v>38149</v>
      </c>
      <c r="C2232" t="s">
        <v>74</v>
      </c>
      <c r="D2232" t="s">
        <v>38150</v>
      </c>
      <c r="E2232" t="s">
        <v>74</v>
      </c>
      <c r="F2232" t="s">
        <v>38151</v>
      </c>
      <c r="G2232" t="s">
        <v>74</v>
      </c>
      <c r="H2232" t="s">
        <v>74</v>
      </c>
      <c r="I2232" t="s">
        <v>38152</v>
      </c>
      <c r="J2232" t="s">
        <v>38153</v>
      </c>
      <c r="K2232" t="s">
        <v>74</v>
      </c>
      <c r="L2232" t="s">
        <v>74</v>
      </c>
      <c r="M2232" t="s">
        <v>78</v>
      </c>
      <c r="N2232" t="s">
        <v>135</v>
      </c>
      <c r="O2232" t="s">
        <v>38154</v>
      </c>
      <c r="P2232" t="s">
        <v>13271</v>
      </c>
      <c r="Q2232" t="s">
        <v>26549</v>
      </c>
      <c r="R2232" t="s">
        <v>38155</v>
      </c>
      <c r="S2232" t="s">
        <v>74</v>
      </c>
      <c r="T2232" t="s">
        <v>38156</v>
      </c>
      <c r="U2232" t="s">
        <v>74</v>
      </c>
      <c r="V2232" t="s">
        <v>38157</v>
      </c>
      <c r="W2232" t="s">
        <v>38158</v>
      </c>
      <c r="X2232" t="s">
        <v>38159</v>
      </c>
      <c r="Y2232" t="s">
        <v>38160</v>
      </c>
      <c r="Z2232" t="s">
        <v>38161</v>
      </c>
      <c r="AA2232" t="s">
        <v>38162</v>
      </c>
      <c r="AB2232" t="s">
        <v>74</v>
      </c>
      <c r="AC2232" t="s">
        <v>38163</v>
      </c>
      <c r="AD2232" t="s">
        <v>38164</v>
      </c>
      <c r="AE2232" t="s">
        <v>38165</v>
      </c>
      <c r="AF2232" t="s">
        <v>74</v>
      </c>
      <c r="AG2232">
        <v>82</v>
      </c>
      <c r="AH2232">
        <v>0</v>
      </c>
      <c r="AI2232">
        <v>0</v>
      </c>
      <c r="AJ2232">
        <v>3</v>
      </c>
      <c r="AK2232">
        <v>3</v>
      </c>
      <c r="AL2232" t="s">
        <v>718</v>
      </c>
      <c r="AM2232" t="s">
        <v>666</v>
      </c>
      <c r="AN2232" t="s">
        <v>719</v>
      </c>
      <c r="AO2232" t="s">
        <v>74</v>
      </c>
      <c r="AP2232" t="s">
        <v>74</v>
      </c>
      <c r="AQ2232" t="s">
        <v>38166</v>
      </c>
      <c r="AR2232" t="s">
        <v>74</v>
      </c>
      <c r="AS2232" t="s">
        <v>74</v>
      </c>
      <c r="AT2232" t="s">
        <v>74</v>
      </c>
      <c r="AU2232">
        <v>2023</v>
      </c>
      <c r="AV2232" t="s">
        <v>74</v>
      </c>
      <c r="AW2232" t="s">
        <v>74</v>
      </c>
      <c r="AX2232" t="s">
        <v>74</v>
      </c>
      <c r="AY2232" t="s">
        <v>74</v>
      </c>
      <c r="AZ2232" t="s">
        <v>74</v>
      </c>
      <c r="BA2232" t="s">
        <v>74</v>
      </c>
      <c r="BB2232">
        <v>576</v>
      </c>
      <c r="BC2232">
        <v>588</v>
      </c>
      <c r="BD2232" t="s">
        <v>74</v>
      </c>
      <c r="BE2232" t="s">
        <v>38167</v>
      </c>
      <c r="BF2232" t="str">
        <f>HYPERLINK("http://dx.doi.org/10.1145/3597926.3598079","http://dx.doi.org/10.1145/3597926.3598079")</f>
        <v>http://dx.doi.org/10.1145/3597926.3598079</v>
      </c>
      <c r="BG2232" t="s">
        <v>74</v>
      </c>
      <c r="BH2232" t="s">
        <v>74</v>
      </c>
      <c r="BI2232">
        <v>13</v>
      </c>
      <c r="BJ2232" t="s">
        <v>24653</v>
      </c>
      <c r="BK2232" t="s">
        <v>723</v>
      </c>
      <c r="BL2232" t="s">
        <v>210</v>
      </c>
      <c r="BM2232" t="s">
        <v>38168</v>
      </c>
      <c r="BN2232" t="s">
        <v>74</v>
      </c>
      <c r="BO2232" t="s">
        <v>2738</v>
      </c>
      <c r="BP2232" t="s">
        <v>74</v>
      </c>
      <c r="BQ2232" t="s">
        <v>74</v>
      </c>
      <c r="BR2232" t="s">
        <v>102</v>
      </c>
      <c r="BS2232" t="s">
        <v>38169</v>
      </c>
      <c r="BT2232" t="str">
        <f>HYPERLINK("https%3A%2F%2Fwww.webofscience.com%2Fwos%2Fwoscc%2Ffull-record%2FWOS:001122661400047","View Full Record in Web of Science")</f>
        <v>View Full Record in Web of Science</v>
      </c>
    </row>
    <row r="2233" spans="1:72" x14ac:dyDescent="0.35">
      <c r="A2233" t="s">
        <v>72</v>
      </c>
      <c r="B2233" t="s">
        <v>38170</v>
      </c>
      <c r="C2233" t="s">
        <v>74</v>
      </c>
      <c r="D2233" t="s">
        <v>74</v>
      </c>
      <c r="E2233" t="s">
        <v>74</v>
      </c>
      <c r="F2233" t="s">
        <v>38171</v>
      </c>
      <c r="G2233" t="s">
        <v>74</v>
      </c>
      <c r="H2233" t="s">
        <v>74</v>
      </c>
      <c r="I2233" t="s">
        <v>38172</v>
      </c>
      <c r="J2233" t="s">
        <v>38173</v>
      </c>
      <c r="K2233" t="s">
        <v>74</v>
      </c>
      <c r="L2233" t="s">
        <v>74</v>
      </c>
      <c r="M2233" t="s">
        <v>1012</v>
      </c>
      <c r="N2233" t="s">
        <v>108</v>
      </c>
      <c r="O2233" t="s">
        <v>74</v>
      </c>
      <c r="P2233" t="s">
        <v>74</v>
      </c>
      <c r="Q2233" t="s">
        <v>74</v>
      </c>
      <c r="R2233" t="s">
        <v>74</v>
      </c>
      <c r="S2233" t="s">
        <v>74</v>
      </c>
      <c r="T2233" t="s">
        <v>38174</v>
      </c>
      <c r="U2233" t="s">
        <v>74</v>
      </c>
      <c r="V2233" t="s">
        <v>38175</v>
      </c>
      <c r="W2233" t="s">
        <v>38176</v>
      </c>
      <c r="X2233" t="s">
        <v>38177</v>
      </c>
      <c r="Y2233" t="s">
        <v>38178</v>
      </c>
      <c r="Z2233" t="s">
        <v>38179</v>
      </c>
      <c r="AA2233" t="s">
        <v>38180</v>
      </c>
      <c r="AB2233" t="s">
        <v>74</v>
      </c>
      <c r="AC2233" t="s">
        <v>38181</v>
      </c>
      <c r="AD2233" t="s">
        <v>38182</v>
      </c>
      <c r="AE2233" t="s">
        <v>38183</v>
      </c>
      <c r="AF2233" t="s">
        <v>74</v>
      </c>
      <c r="AG2233">
        <v>37</v>
      </c>
      <c r="AH2233">
        <v>0</v>
      </c>
      <c r="AI2233">
        <v>0</v>
      </c>
      <c r="AJ2233">
        <v>1</v>
      </c>
      <c r="AK2233">
        <v>5</v>
      </c>
      <c r="AL2233" t="s">
        <v>38184</v>
      </c>
      <c r="AM2233" t="s">
        <v>3237</v>
      </c>
      <c r="AN2233" t="s">
        <v>38185</v>
      </c>
      <c r="AO2233" t="s">
        <v>38186</v>
      </c>
      <c r="AP2233" t="s">
        <v>38187</v>
      </c>
      <c r="AQ2233" t="s">
        <v>74</v>
      </c>
      <c r="AR2233" t="s">
        <v>38188</v>
      </c>
      <c r="AS2233" t="s">
        <v>38189</v>
      </c>
      <c r="AT2233" t="s">
        <v>74</v>
      </c>
      <c r="AU2233">
        <v>2022</v>
      </c>
      <c r="AV2233" t="s">
        <v>74</v>
      </c>
      <c r="AW2233">
        <v>47</v>
      </c>
      <c r="AX2233" t="s">
        <v>74</v>
      </c>
      <c r="AY2233" t="s">
        <v>74</v>
      </c>
      <c r="AZ2233" t="s">
        <v>74</v>
      </c>
      <c r="BA2233" t="s">
        <v>74</v>
      </c>
      <c r="BB2233">
        <v>81</v>
      </c>
      <c r="BC2233">
        <v>108</v>
      </c>
      <c r="BD2233" t="s">
        <v>74</v>
      </c>
      <c r="BE2233" t="s">
        <v>38190</v>
      </c>
      <c r="BF2233" t="str">
        <f>HYPERLINK("http://dx.doi.org/10.26650/sdsl2021-1027807","http://dx.doi.org/10.26650/sdsl2021-1027807")</f>
        <v>http://dx.doi.org/10.26650/sdsl2021-1027807</v>
      </c>
      <c r="BG2233" t="s">
        <v>74</v>
      </c>
      <c r="BH2233" t="s">
        <v>74</v>
      </c>
      <c r="BI2233">
        <v>28</v>
      </c>
      <c r="BJ2233" t="s">
        <v>3285</v>
      </c>
      <c r="BK2233" t="s">
        <v>125</v>
      </c>
      <c r="BL2233" t="s">
        <v>3285</v>
      </c>
      <c r="BM2233" t="s">
        <v>38191</v>
      </c>
      <c r="BN2233" t="s">
        <v>74</v>
      </c>
      <c r="BO2233" t="s">
        <v>5678</v>
      </c>
      <c r="BP2233" t="s">
        <v>74</v>
      </c>
      <c r="BQ2233" t="s">
        <v>74</v>
      </c>
      <c r="BR2233" t="s">
        <v>102</v>
      </c>
      <c r="BS2233" t="s">
        <v>38192</v>
      </c>
      <c r="BT2233" t="str">
        <f>HYPERLINK("https%3A%2F%2Fwww.webofscience.com%2Fwos%2Fwoscc%2Ffull-record%2FWOS:000810472100004","View Full Record in Web of Science")</f>
        <v>View Full Record in Web of Science</v>
      </c>
    </row>
    <row r="2234" spans="1:72" x14ac:dyDescent="0.35">
      <c r="A2234" t="s">
        <v>72</v>
      </c>
      <c r="B2234" t="s">
        <v>38193</v>
      </c>
      <c r="C2234" t="s">
        <v>74</v>
      </c>
      <c r="D2234" t="s">
        <v>74</v>
      </c>
      <c r="E2234" t="s">
        <v>74</v>
      </c>
      <c r="F2234" t="s">
        <v>38194</v>
      </c>
      <c r="G2234" t="s">
        <v>74</v>
      </c>
      <c r="H2234" t="s">
        <v>74</v>
      </c>
      <c r="I2234" t="s">
        <v>38195</v>
      </c>
      <c r="J2234" t="s">
        <v>6082</v>
      </c>
      <c r="K2234" t="s">
        <v>74</v>
      </c>
      <c r="L2234" t="s">
        <v>74</v>
      </c>
      <c r="M2234" t="s">
        <v>78</v>
      </c>
      <c r="N2234" t="s">
        <v>108</v>
      </c>
      <c r="O2234" t="s">
        <v>74</v>
      </c>
      <c r="P2234" t="s">
        <v>74</v>
      </c>
      <c r="Q2234" t="s">
        <v>74</v>
      </c>
      <c r="R2234" t="s">
        <v>74</v>
      </c>
      <c r="S2234" t="s">
        <v>74</v>
      </c>
      <c r="T2234" t="s">
        <v>38196</v>
      </c>
      <c r="U2234" t="s">
        <v>38197</v>
      </c>
      <c r="V2234" t="s">
        <v>38198</v>
      </c>
      <c r="W2234" t="s">
        <v>38199</v>
      </c>
      <c r="X2234" t="s">
        <v>21907</v>
      </c>
      <c r="Y2234" t="s">
        <v>38200</v>
      </c>
      <c r="Z2234" t="s">
        <v>21909</v>
      </c>
      <c r="AA2234" t="s">
        <v>21910</v>
      </c>
      <c r="AB2234" t="s">
        <v>74</v>
      </c>
      <c r="AC2234" t="s">
        <v>38201</v>
      </c>
      <c r="AD2234" t="s">
        <v>38202</v>
      </c>
      <c r="AE2234" t="s">
        <v>38203</v>
      </c>
      <c r="AF2234" t="s">
        <v>74</v>
      </c>
      <c r="AG2234">
        <v>75</v>
      </c>
      <c r="AH2234">
        <v>0</v>
      </c>
      <c r="AI2234">
        <v>0</v>
      </c>
      <c r="AJ2234">
        <v>11</v>
      </c>
      <c r="AK2234">
        <v>11</v>
      </c>
      <c r="AL2234" t="s">
        <v>226</v>
      </c>
      <c r="AM2234" t="s">
        <v>227</v>
      </c>
      <c r="AN2234" t="s">
        <v>228</v>
      </c>
      <c r="AO2234" t="s">
        <v>6092</v>
      </c>
      <c r="AP2234" t="s">
        <v>74</v>
      </c>
      <c r="AQ2234" t="s">
        <v>74</v>
      </c>
      <c r="AR2234" t="s">
        <v>6093</v>
      </c>
      <c r="AS2234" t="s">
        <v>6094</v>
      </c>
      <c r="AT2234" t="s">
        <v>74</v>
      </c>
      <c r="AU2234">
        <v>2024</v>
      </c>
      <c r="AV2234">
        <v>10</v>
      </c>
      <c r="AW2234" t="s">
        <v>74</v>
      </c>
      <c r="AX2234" t="s">
        <v>74</v>
      </c>
      <c r="AY2234" t="s">
        <v>74</v>
      </c>
      <c r="AZ2234" t="s">
        <v>74</v>
      </c>
      <c r="BA2234" t="s">
        <v>74</v>
      </c>
      <c r="BB2234" t="s">
        <v>74</v>
      </c>
      <c r="BC2234" t="s">
        <v>74</v>
      </c>
      <c r="BD2234">
        <v>2.055207624125904E+16</v>
      </c>
      <c r="BE2234" t="s">
        <v>38204</v>
      </c>
      <c r="BF2234" t="str">
        <f>HYPERLINK("http://dx.doi.org/10.1177/20552076241259039","http://dx.doi.org/10.1177/20552076241259039")</f>
        <v>http://dx.doi.org/10.1177/20552076241259039</v>
      </c>
      <c r="BG2234" t="s">
        <v>74</v>
      </c>
      <c r="BH2234" t="s">
        <v>74</v>
      </c>
      <c r="BI2234">
        <v>14</v>
      </c>
      <c r="BJ2234" t="s">
        <v>6096</v>
      </c>
      <c r="BK2234" t="s">
        <v>182</v>
      </c>
      <c r="BL2234" t="s">
        <v>6097</v>
      </c>
      <c r="BM2234" t="s">
        <v>38205</v>
      </c>
      <c r="BN2234">
        <v>38812844</v>
      </c>
      <c r="BO2234" t="s">
        <v>552</v>
      </c>
      <c r="BP2234" t="s">
        <v>74</v>
      </c>
      <c r="BQ2234" t="s">
        <v>74</v>
      </c>
      <c r="BR2234" t="s">
        <v>102</v>
      </c>
      <c r="BS2234" t="s">
        <v>38206</v>
      </c>
      <c r="BT2234" t="str">
        <f>HYPERLINK("https%3A%2F%2Fwww.webofscience.com%2Fwos%2Fwoscc%2Ffull-record%2FWOS:001234054800001","View Full Record in Web of Science")</f>
        <v>View Full Record in Web of Science</v>
      </c>
    </row>
    <row r="2235" spans="1:72" x14ac:dyDescent="0.35">
      <c r="A2235" t="s">
        <v>72</v>
      </c>
      <c r="B2235" t="s">
        <v>38207</v>
      </c>
      <c r="C2235" t="s">
        <v>74</v>
      </c>
      <c r="D2235" t="s">
        <v>74</v>
      </c>
      <c r="E2235" t="s">
        <v>74</v>
      </c>
      <c r="F2235" t="s">
        <v>38208</v>
      </c>
      <c r="G2235" t="s">
        <v>74</v>
      </c>
      <c r="H2235" t="s">
        <v>74</v>
      </c>
      <c r="I2235" t="s">
        <v>38209</v>
      </c>
      <c r="J2235" t="s">
        <v>38210</v>
      </c>
      <c r="K2235" t="s">
        <v>74</v>
      </c>
      <c r="L2235" t="s">
        <v>74</v>
      </c>
      <c r="M2235" t="s">
        <v>78</v>
      </c>
      <c r="N2235" t="s">
        <v>38211</v>
      </c>
      <c r="O2235" t="s">
        <v>74</v>
      </c>
      <c r="P2235" t="s">
        <v>74</v>
      </c>
      <c r="Q2235" t="s">
        <v>74</v>
      </c>
      <c r="R2235" t="s">
        <v>74</v>
      </c>
      <c r="S2235" t="s">
        <v>74</v>
      </c>
      <c r="T2235" t="s">
        <v>74</v>
      </c>
      <c r="U2235" t="s">
        <v>1036</v>
      </c>
      <c r="V2235" t="s">
        <v>38212</v>
      </c>
      <c r="W2235" t="s">
        <v>38213</v>
      </c>
      <c r="X2235" t="s">
        <v>10055</v>
      </c>
      <c r="Y2235" t="s">
        <v>38214</v>
      </c>
      <c r="Z2235" t="s">
        <v>38215</v>
      </c>
      <c r="AA2235" t="s">
        <v>74</v>
      </c>
      <c r="AB2235" t="s">
        <v>74</v>
      </c>
      <c r="AC2235" t="s">
        <v>74</v>
      </c>
      <c r="AD2235" t="s">
        <v>74</v>
      </c>
      <c r="AE2235" t="s">
        <v>74</v>
      </c>
      <c r="AF2235" t="s">
        <v>74</v>
      </c>
      <c r="AG2235">
        <v>29</v>
      </c>
      <c r="AH2235">
        <v>4</v>
      </c>
      <c r="AI2235">
        <v>4</v>
      </c>
      <c r="AJ2235">
        <v>0</v>
      </c>
      <c r="AK2235">
        <v>4</v>
      </c>
      <c r="AL2235" t="s">
        <v>14075</v>
      </c>
      <c r="AM2235" t="s">
        <v>227</v>
      </c>
      <c r="AN2235" t="s">
        <v>14076</v>
      </c>
      <c r="AO2235" t="s">
        <v>38216</v>
      </c>
      <c r="AP2235" t="s">
        <v>38217</v>
      </c>
      <c r="AQ2235" t="s">
        <v>74</v>
      </c>
      <c r="AR2235" t="s">
        <v>38218</v>
      </c>
      <c r="AS2235" t="s">
        <v>38219</v>
      </c>
      <c r="AT2235" t="s">
        <v>18623</v>
      </c>
      <c r="AU2235">
        <v>2023</v>
      </c>
      <c r="AV2235">
        <v>2023</v>
      </c>
      <c r="AW2235" t="s">
        <v>74</v>
      </c>
      <c r="AX2235" t="s">
        <v>74</v>
      </c>
      <c r="AY2235" t="s">
        <v>74</v>
      </c>
      <c r="AZ2235" t="s">
        <v>74</v>
      </c>
      <c r="BA2235" t="s">
        <v>74</v>
      </c>
      <c r="BB2235" t="s">
        <v>74</v>
      </c>
      <c r="BC2235" t="s">
        <v>74</v>
      </c>
      <c r="BD2235">
        <v>9428766</v>
      </c>
      <c r="BE2235" t="s">
        <v>38220</v>
      </c>
      <c r="BF2235" t="str">
        <f>HYPERLINK("http://dx.doi.org/10.1155/2023/9428766","http://dx.doi.org/10.1155/2023/9428766")</f>
        <v>http://dx.doi.org/10.1155/2023/9428766</v>
      </c>
      <c r="BG2235" t="s">
        <v>74</v>
      </c>
      <c r="BH2235" t="s">
        <v>74</v>
      </c>
      <c r="BI2235">
        <v>12</v>
      </c>
      <c r="BJ2235" t="s">
        <v>38221</v>
      </c>
      <c r="BK2235" t="s">
        <v>209</v>
      </c>
      <c r="BL2235" t="s">
        <v>38222</v>
      </c>
      <c r="BM2235" t="s">
        <v>38223</v>
      </c>
      <c r="BN2235" t="s">
        <v>74</v>
      </c>
      <c r="BO2235" t="s">
        <v>3287</v>
      </c>
      <c r="BP2235" t="s">
        <v>74</v>
      </c>
      <c r="BQ2235" t="s">
        <v>74</v>
      </c>
      <c r="BR2235" t="s">
        <v>102</v>
      </c>
      <c r="BS2235" t="s">
        <v>38224</v>
      </c>
      <c r="BT2235" t="str">
        <f>HYPERLINK("https%3A%2F%2Fwww.webofscience.com%2Fwos%2Fwoscc%2Ffull-record%2FWOS:000979582000003","View Full Record in Web of Science")</f>
        <v>View Full Record in Web of Science</v>
      </c>
    </row>
    <row r="2236" spans="1:72" x14ac:dyDescent="0.35">
      <c r="A2236" t="s">
        <v>72</v>
      </c>
      <c r="B2236" t="s">
        <v>38225</v>
      </c>
      <c r="C2236" t="s">
        <v>74</v>
      </c>
      <c r="D2236" t="s">
        <v>74</v>
      </c>
      <c r="E2236" t="s">
        <v>74</v>
      </c>
      <c r="F2236" t="s">
        <v>38226</v>
      </c>
      <c r="G2236" t="s">
        <v>74</v>
      </c>
      <c r="H2236" t="s">
        <v>74</v>
      </c>
      <c r="I2236" t="s">
        <v>38227</v>
      </c>
      <c r="J2236" t="s">
        <v>5221</v>
      </c>
      <c r="K2236" t="s">
        <v>74</v>
      </c>
      <c r="L2236" t="s">
        <v>74</v>
      </c>
      <c r="M2236" t="s">
        <v>3503</v>
      </c>
      <c r="N2236" t="s">
        <v>108</v>
      </c>
      <c r="O2236" t="s">
        <v>74</v>
      </c>
      <c r="P2236" t="s">
        <v>74</v>
      </c>
      <c r="Q2236" t="s">
        <v>74</v>
      </c>
      <c r="R2236" t="s">
        <v>74</v>
      </c>
      <c r="S2236" t="s">
        <v>74</v>
      </c>
      <c r="T2236" t="s">
        <v>38228</v>
      </c>
      <c r="U2236" t="s">
        <v>38229</v>
      </c>
      <c r="V2236" t="s">
        <v>38230</v>
      </c>
      <c r="W2236" t="s">
        <v>38231</v>
      </c>
      <c r="X2236" t="s">
        <v>38232</v>
      </c>
      <c r="Y2236" t="s">
        <v>38233</v>
      </c>
      <c r="Z2236" t="s">
        <v>38234</v>
      </c>
      <c r="AA2236" t="s">
        <v>74</v>
      </c>
      <c r="AB2236" t="s">
        <v>74</v>
      </c>
      <c r="AC2236" t="s">
        <v>74</v>
      </c>
      <c r="AD2236" t="s">
        <v>74</v>
      </c>
      <c r="AE2236" t="s">
        <v>74</v>
      </c>
      <c r="AF2236" t="s">
        <v>74</v>
      </c>
      <c r="AG2236">
        <v>72</v>
      </c>
      <c r="AH2236">
        <v>0</v>
      </c>
      <c r="AI2236">
        <v>0</v>
      </c>
      <c r="AJ2236">
        <v>0</v>
      </c>
      <c r="AK2236">
        <v>0</v>
      </c>
      <c r="AL2236" t="s">
        <v>5231</v>
      </c>
      <c r="AM2236" t="s">
        <v>5232</v>
      </c>
      <c r="AN2236" t="s">
        <v>5233</v>
      </c>
      <c r="AO2236" t="s">
        <v>5234</v>
      </c>
      <c r="AP2236" t="s">
        <v>5235</v>
      </c>
      <c r="AQ2236" t="s">
        <v>74</v>
      </c>
      <c r="AR2236" t="s">
        <v>5236</v>
      </c>
      <c r="AS2236" t="s">
        <v>5237</v>
      </c>
      <c r="AT2236" t="s">
        <v>74</v>
      </c>
      <c r="AU2236">
        <v>2024</v>
      </c>
      <c r="AV2236">
        <v>33</v>
      </c>
      <c r="AW2236">
        <v>3</v>
      </c>
      <c r="AX2236" t="s">
        <v>74</v>
      </c>
      <c r="AY2236" t="s">
        <v>74</v>
      </c>
      <c r="AZ2236" t="s">
        <v>74</v>
      </c>
      <c r="BA2236" t="s">
        <v>74</v>
      </c>
      <c r="BB2236" t="s">
        <v>74</v>
      </c>
      <c r="BC2236" t="s">
        <v>74</v>
      </c>
      <c r="BD2236" t="s">
        <v>38235</v>
      </c>
      <c r="BE2236" t="s">
        <v>38236</v>
      </c>
      <c r="BF2236" t="str">
        <f>HYPERLINK("http://dx.doi.org/10.3145/epi.2024.0305","http://dx.doi.org/10.3145/epi.2024.0305")</f>
        <v>http://dx.doi.org/10.3145/epi.2024.0305</v>
      </c>
      <c r="BG2236" t="s">
        <v>74</v>
      </c>
      <c r="BH2236" t="s">
        <v>74</v>
      </c>
      <c r="BI2236">
        <v>352</v>
      </c>
      <c r="BJ2236" t="s">
        <v>5240</v>
      </c>
      <c r="BK2236" t="s">
        <v>99</v>
      </c>
      <c r="BL2236" t="s">
        <v>5240</v>
      </c>
      <c r="BM2236" t="s">
        <v>38237</v>
      </c>
      <c r="BN2236" t="s">
        <v>74</v>
      </c>
      <c r="BO2236" t="s">
        <v>74</v>
      </c>
      <c r="BP2236" t="s">
        <v>74</v>
      </c>
      <c r="BQ2236" t="s">
        <v>74</v>
      </c>
      <c r="BR2236" t="s">
        <v>102</v>
      </c>
      <c r="BS2236" t="s">
        <v>38238</v>
      </c>
      <c r="BT2236" t="str">
        <f>HYPERLINK("https%3A%2F%2Fwww.webofscience.com%2Fwos%2Fwoscc%2Ffull-record%2FWOS:001351177800005","View Full Record in Web of Science")</f>
        <v>View Full Record in Web of Science</v>
      </c>
    </row>
    <row r="2237" spans="1:72" x14ac:dyDescent="0.35">
      <c r="A2237" t="s">
        <v>72</v>
      </c>
      <c r="B2237" t="s">
        <v>38239</v>
      </c>
      <c r="C2237" t="s">
        <v>74</v>
      </c>
      <c r="D2237" t="s">
        <v>74</v>
      </c>
      <c r="E2237" t="s">
        <v>74</v>
      </c>
      <c r="F2237" t="s">
        <v>38240</v>
      </c>
      <c r="G2237" t="s">
        <v>74</v>
      </c>
      <c r="H2237" t="s">
        <v>74</v>
      </c>
      <c r="I2237" t="s">
        <v>38241</v>
      </c>
      <c r="J2237" t="s">
        <v>8324</v>
      </c>
      <c r="K2237" t="s">
        <v>74</v>
      </c>
      <c r="L2237" t="s">
        <v>74</v>
      </c>
      <c r="M2237" t="s">
        <v>78</v>
      </c>
      <c r="N2237" t="s">
        <v>374</v>
      </c>
      <c r="O2237" t="s">
        <v>74</v>
      </c>
      <c r="P2237" t="s">
        <v>74</v>
      </c>
      <c r="Q2237" t="s">
        <v>74</v>
      </c>
      <c r="R2237" t="s">
        <v>74</v>
      </c>
      <c r="S2237" t="s">
        <v>74</v>
      </c>
      <c r="T2237" t="s">
        <v>74</v>
      </c>
      <c r="U2237" t="s">
        <v>74</v>
      </c>
      <c r="V2237" t="s">
        <v>38242</v>
      </c>
      <c r="W2237" t="s">
        <v>38243</v>
      </c>
      <c r="X2237" t="s">
        <v>38244</v>
      </c>
      <c r="Y2237" t="s">
        <v>38245</v>
      </c>
      <c r="Z2237" t="s">
        <v>38246</v>
      </c>
      <c r="AA2237" t="s">
        <v>38247</v>
      </c>
      <c r="AB2237" t="s">
        <v>38248</v>
      </c>
      <c r="AC2237" t="s">
        <v>38249</v>
      </c>
      <c r="AD2237" t="s">
        <v>38250</v>
      </c>
      <c r="AE2237" t="s">
        <v>38251</v>
      </c>
      <c r="AF2237" t="s">
        <v>74</v>
      </c>
      <c r="AG2237">
        <v>28</v>
      </c>
      <c r="AH2237">
        <v>4</v>
      </c>
      <c r="AI2237">
        <v>4</v>
      </c>
      <c r="AJ2237">
        <v>0</v>
      </c>
      <c r="AK2237">
        <v>10</v>
      </c>
      <c r="AL2237" t="s">
        <v>8334</v>
      </c>
      <c r="AM2237" t="s">
        <v>291</v>
      </c>
      <c r="AN2237" t="s">
        <v>8335</v>
      </c>
      <c r="AO2237" t="s">
        <v>8336</v>
      </c>
      <c r="AP2237" t="s">
        <v>8337</v>
      </c>
      <c r="AQ2237" t="s">
        <v>74</v>
      </c>
      <c r="AR2237" t="s">
        <v>8338</v>
      </c>
      <c r="AS2237" t="s">
        <v>8339</v>
      </c>
      <c r="AT2237" t="s">
        <v>10124</v>
      </c>
      <c r="AU2237">
        <v>2024</v>
      </c>
      <c r="AV2237">
        <v>26</v>
      </c>
      <c r="AW2237">
        <v>4</v>
      </c>
      <c r="AX2237" t="s">
        <v>74</v>
      </c>
      <c r="AY2237" t="s">
        <v>74</v>
      </c>
      <c r="AZ2237" t="s">
        <v>74</v>
      </c>
      <c r="BA2237" t="s">
        <v>74</v>
      </c>
      <c r="BB2237">
        <v>413</v>
      </c>
      <c r="BC2237">
        <v>420</v>
      </c>
      <c r="BD2237" t="s">
        <v>74</v>
      </c>
      <c r="BE2237" t="s">
        <v>38252</v>
      </c>
      <c r="BF2237" t="str">
        <f>HYPERLINK("http://dx.doi.org/10.1093/ntr/ntad186","http://dx.doi.org/10.1093/ntr/ntad186")</f>
        <v>http://dx.doi.org/10.1093/ntr/ntad186</v>
      </c>
      <c r="BG2237" t="s">
        <v>74</v>
      </c>
      <c r="BH2237" t="s">
        <v>207</v>
      </c>
      <c r="BI2237">
        <v>8</v>
      </c>
      <c r="BJ2237" t="s">
        <v>8342</v>
      </c>
      <c r="BK2237" t="s">
        <v>182</v>
      </c>
      <c r="BL2237" t="s">
        <v>8342</v>
      </c>
      <c r="BM2237" t="s">
        <v>38253</v>
      </c>
      <c r="BN2237">
        <v>37795944</v>
      </c>
      <c r="BO2237" t="s">
        <v>74</v>
      </c>
      <c r="BP2237" t="s">
        <v>74</v>
      </c>
      <c r="BQ2237" t="s">
        <v>74</v>
      </c>
      <c r="BR2237" t="s">
        <v>102</v>
      </c>
      <c r="BS2237" t="s">
        <v>38254</v>
      </c>
      <c r="BT2237" t="str">
        <f>HYPERLINK("https%3A%2F%2Fwww.webofscience.com%2Fwos%2Fwoscc%2Ffull-record%2FWOS:001081426600001","View Full Record in Web of Science")</f>
        <v>View Full Record in Web of Science</v>
      </c>
    </row>
    <row r="2238" spans="1:72" x14ac:dyDescent="0.35">
      <c r="A2238" t="s">
        <v>72</v>
      </c>
      <c r="B2238" t="s">
        <v>38255</v>
      </c>
      <c r="C2238" t="s">
        <v>74</v>
      </c>
      <c r="D2238" t="s">
        <v>74</v>
      </c>
      <c r="E2238" t="s">
        <v>74</v>
      </c>
      <c r="F2238" t="s">
        <v>38256</v>
      </c>
      <c r="G2238" t="s">
        <v>74</v>
      </c>
      <c r="H2238" t="s">
        <v>74</v>
      </c>
      <c r="I2238" t="s">
        <v>38257</v>
      </c>
      <c r="J2238" t="s">
        <v>38258</v>
      </c>
      <c r="K2238" t="s">
        <v>74</v>
      </c>
      <c r="L2238" t="s">
        <v>74</v>
      </c>
      <c r="M2238" t="s">
        <v>1556</v>
      </c>
      <c r="N2238" t="s">
        <v>108</v>
      </c>
      <c r="O2238" t="s">
        <v>74</v>
      </c>
      <c r="P2238" t="s">
        <v>74</v>
      </c>
      <c r="Q2238" t="s">
        <v>74</v>
      </c>
      <c r="R2238" t="s">
        <v>74</v>
      </c>
      <c r="S2238" t="s">
        <v>74</v>
      </c>
      <c r="T2238" t="s">
        <v>38259</v>
      </c>
      <c r="U2238" t="s">
        <v>218</v>
      </c>
      <c r="V2238" t="s">
        <v>38260</v>
      </c>
      <c r="W2238" t="s">
        <v>38261</v>
      </c>
      <c r="X2238" t="s">
        <v>38262</v>
      </c>
      <c r="Y2238" t="s">
        <v>38263</v>
      </c>
      <c r="Z2238" t="s">
        <v>38264</v>
      </c>
      <c r="AA2238" t="s">
        <v>38265</v>
      </c>
      <c r="AB2238" t="s">
        <v>38266</v>
      </c>
      <c r="AC2238" t="s">
        <v>74</v>
      </c>
      <c r="AD2238" t="s">
        <v>74</v>
      </c>
      <c r="AE2238" t="s">
        <v>74</v>
      </c>
      <c r="AF2238" t="s">
        <v>74</v>
      </c>
      <c r="AG2238">
        <v>24</v>
      </c>
      <c r="AH2238">
        <v>0</v>
      </c>
      <c r="AI2238">
        <v>0</v>
      </c>
      <c r="AJ2238">
        <v>0</v>
      </c>
      <c r="AK2238">
        <v>11</v>
      </c>
      <c r="AL2238" t="s">
        <v>38267</v>
      </c>
      <c r="AM2238" t="s">
        <v>38268</v>
      </c>
      <c r="AN2238" t="s">
        <v>38269</v>
      </c>
      <c r="AO2238" t="s">
        <v>38270</v>
      </c>
      <c r="AP2238" t="s">
        <v>38271</v>
      </c>
      <c r="AQ2238" t="s">
        <v>74</v>
      </c>
      <c r="AR2238" t="s">
        <v>38272</v>
      </c>
      <c r="AS2238" t="s">
        <v>38273</v>
      </c>
      <c r="AT2238" t="s">
        <v>74</v>
      </c>
      <c r="AU2238">
        <v>2023</v>
      </c>
      <c r="AV2238">
        <v>28</v>
      </c>
      <c r="AW2238">
        <v>3</v>
      </c>
      <c r="AX2238" t="s">
        <v>74</v>
      </c>
      <c r="AY2238" t="s">
        <v>74</v>
      </c>
      <c r="AZ2238" t="s">
        <v>74</v>
      </c>
      <c r="BA2238" t="s">
        <v>74</v>
      </c>
      <c r="BB2238">
        <v>151</v>
      </c>
      <c r="BC2238">
        <v>164</v>
      </c>
      <c r="BD2238" t="s">
        <v>74</v>
      </c>
      <c r="BE2238" t="s">
        <v>38274</v>
      </c>
      <c r="BF2238" t="str">
        <f>HYPERLINK("http://dx.doi.org/10.15688/jvolsu4.2023.3.14","http://dx.doi.org/10.15688/jvolsu4.2023.3.14")</f>
        <v>http://dx.doi.org/10.15688/jvolsu4.2023.3.14</v>
      </c>
      <c r="BG2238" t="s">
        <v>74</v>
      </c>
      <c r="BH2238" t="s">
        <v>74</v>
      </c>
      <c r="BI2238">
        <v>14</v>
      </c>
      <c r="BJ2238" t="s">
        <v>30332</v>
      </c>
      <c r="BK2238" t="s">
        <v>125</v>
      </c>
      <c r="BL2238" t="s">
        <v>30332</v>
      </c>
      <c r="BM2238" t="s">
        <v>38275</v>
      </c>
      <c r="BN2238" t="s">
        <v>74</v>
      </c>
      <c r="BO2238" t="s">
        <v>235</v>
      </c>
      <c r="BP2238" t="s">
        <v>74</v>
      </c>
      <c r="BQ2238" t="s">
        <v>74</v>
      </c>
      <c r="BR2238" t="s">
        <v>102</v>
      </c>
      <c r="BS2238" t="s">
        <v>38276</v>
      </c>
      <c r="BT2238" t="str">
        <f>HYPERLINK("https%3A%2F%2Fwww.webofscience.com%2Fwos%2Fwoscc%2Ffull-record%2FWOS:001041948600014","View Full Record in Web of Science")</f>
        <v>View Full Record in Web of Science</v>
      </c>
    </row>
    <row r="2239" spans="1:72" x14ac:dyDescent="0.35">
      <c r="A2239" t="s">
        <v>72</v>
      </c>
      <c r="B2239" t="s">
        <v>38277</v>
      </c>
      <c r="C2239" t="s">
        <v>74</v>
      </c>
      <c r="D2239" t="s">
        <v>74</v>
      </c>
      <c r="E2239" t="s">
        <v>74</v>
      </c>
      <c r="F2239" t="s">
        <v>38278</v>
      </c>
      <c r="G2239" t="s">
        <v>74</v>
      </c>
      <c r="H2239" t="s">
        <v>74</v>
      </c>
      <c r="I2239" t="s">
        <v>38279</v>
      </c>
      <c r="J2239" t="s">
        <v>38280</v>
      </c>
      <c r="K2239" t="s">
        <v>74</v>
      </c>
      <c r="L2239" t="s">
        <v>74</v>
      </c>
      <c r="M2239" t="s">
        <v>78</v>
      </c>
      <c r="N2239" t="s">
        <v>108</v>
      </c>
      <c r="O2239" t="s">
        <v>74</v>
      </c>
      <c r="P2239" t="s">
        <v>74</v>
      </c>
      <c r="Q2239" t="s">
        <v>74</v>
      </c>
      <c r="R2239" t="s">
        <v>74</v>
      </c>
      <c r="S2239" t="s">
        <v>74</v>
      </c>
      <c r="T2239" t="s">
        <v>38281</v>
      </c>
      <c r="U2239" t="s">
        <v>81</v>
      </c>
      <c r="V2239" t="s">
        <v>38282</v>
      </c>
      <c r="W2239" t="s">
        <v>38283</v>
      </c>
      <c r="X2239" t="s">
        <v>38284</v>
      </c>
      <c r="Y2239" t="s">
        <v>38285</v>
      </c>
      <c r="Z2239" t="s">
        <v>38286</v>
      </c>
      <c r="AA2239" t="s">
        <v>74</v>
      </c>
      <c r="AB2239" t="s">
        <v>74</v>
      </c>
      <c r="AC2239" t="s">
        <v>74</v>
      </c>
      <c r="AD2239" t="s">
        <v>74</v>
      </c>
      <c r="AE2239" t="s">
        <v>74</v>
      </c>
      <c r="AF2239" t="s">
        <v>74</v>
      </c>
      <c r="AG2239">
        <v>14</v>
      </c>
      <c r="AH2239">
        <v>0</v>
      </c>
      <c r="AI2239">
        <v>0</v>
      </c>
      <c r="AJ2239">
        <v>0</v>
      </c>
      <c r="AK2239">
        <v>6</v>
      </c>
      <c r="AL2239" t="s">
        <v>38287</v>
      </c>
      <c r="AM2239" t="s">
        <v>38288</v>
      </c>
      <c r="AN2239" t="s">
        <v>38289</v>
      </c>
      <c r="AO2239" t="s">
        <v>38290</v>
      </c>
      <c r="AP2239" t="s">
        <v>74</v>
      </c>
      <c r="AQ2239" t="s">
        <v>74</v>
      </c>
      <c r="AR2239" t="s">
        <v>38291</v>
      </c>
      <c r="AS2239" t="s">
        <v>38292</v>
      </c>
      <c r="AT2239" t="s">
        <v>74</v>
      </c>
      <c r="AU2239">
        <v>2021</v>
      </c>
      <c r="AV2239">
        <v>33</v>
      </c>
      <c r="AW2239" t="s">
        <v>38293</v>
      </c>
      <c r="AX2239" t="s">
        <v>74</v>
      </c>
      <c r="AY2239" t="s">
        <v>74</v>
      </c>
      <c r="AZ2239" t="s">
        <v>74</v>
      </c>
      <c r="BA2239" t="s">
        <v>74</v>
      </c>
      <c r="BB2239">
        <v>340</v>
      </c>
      <c r="BC2239">
        <v>352</v>
      </c>
      <c r="BD2239">
        <v>74388</v>
      </c>
      <c r="BE2239" t="s">
        <v>38294</v>
      </c>
      <c r="BF2239" t="str">
        <f>HYPERLINK("http://dx.doi.org/10.9734/JPRI/2021/v33i45B32814","http://dx.doi.org/10.9734/JPRI/2021/v33i45B32814")</f>
        <v>http://dx.doi.org/10.9734/JPRI/2021/v33i45B32814</v>
      </c>
      <c r="BG2239" t="s">
        <v>74</v>
      </c>
      <c r="BH2239" t="s">
        <v>74</v>
      </c>
      <c r="BI2239">
        <v>13</v>
      </c>
      <c r="BJ2239" t="s">
        <v>2215</v>
      </c>
      <c r="BK2239" t="s">
        <v>125</v>
      </c>
      <c r="BL2239" t="s">
        <v>2215</v>
      </c>
      <c r="BM2239" t="s">
        <v>38295</v>
      </c>
      <c r="BN2239" t="s">
        <v>74</v>
      </c>
      <c r="BO2239" t="s">
        <v>235</v>
      </c>
      <c r="BP2239" t="s">
        <v>74</v>
      </c>
      <c r="BQ2239" t="s">
        <v>74</v>
      </c>
      <c r="BR2239" t="s">
        <v>102</v>
      </c>
      <c r="BS2239" t="s">
        <v>38296</v>
      </c>
      <c r="BT2239" t="str">
        <f>HYPERLINK("https%3A%2F%2Fwww.webofscience.com%2Fwos%2Fwoscc%2Ffull-record%2FWOS:000707199300035","View Full Record in Web of Science")</f>
        <v>View Full Record in Web of Science</v>
      </c>
    </row>
    <row r="2240" spans="1:72" x14ac:dyDescent="0.35">
      <c r="A2240" t="s">
        <v>128</v>
      </c>
      <c r="B2240" t="s">
        <v>38297</v>
      </c>
      <c r="C2240" t="s">
        <v>74</v>
      </c>
      <c r="D2240" t="s">
        <v>38298</v>
      </c>
      <c r="E2240" t="s">
        <v>74</v>
      </c>
      <c r="F2240" t="s">
        <v>38299</v>
      </c>
      <c r="G2240" t="s">
        <v>74</v>
      </c>
      <c r="H2240" t="s">
        <v>74</v>
      </c>
      <c r="I2240" t="s">
        <v>38300</v>
      </c>
      <c r="J2240" t="s">
        <v>38301</v>
      </c>
      <c r="K2240" t="s">
        <v>38302</v>
      </c>
      <c r="L2240" t="s">
        <v>74</v>
      </c>
      <c r="M2240" t="s">
        <v>78</v>
      </c>
      <c r="N2240" t="s">
        <v>135</v>
      </c>
      <c r="O2240" t="s">
        <v>38303</v>
      </c>
      <c r="P2240" t="s">
        <v>38304</v>
      </c>
      <c r="Q2240" t="s">
        <v>38305</v>
      </c>
      <c r="R2240" t="s">
        <v>74</v>
      </c>
      <c r="S2240" t="s">
        <v>38306</v>
      </c>
      <c r="T2240" t="s">
        <v>38307</v>
      </c>
      <c r="U2240" t="s">
        <v>74</v>
      </c>
      <c r="V2240" t="s">
        <v>38308</v>
      </c>
      <c r="W2240" t="s">
        <v>38309</v>
      </c>
      <c r="X2240" t="s">
        <v>38310</v>
      </c>
      <c r="Y2240" t="s">
        <v>38311</v>
      </c>
      <c r="Z2240" t="s">
        <v>38312</v>
      </c>
      <c r="AA2240" t="s">
        <v>38313</v>
      </c>
      <c r="AB2240" t="s">
        <v>38314</v>
      </c>
      <c r="AC2240" t="s">
        <v>38315</v>
      </c>
      <c r="AD2240" t="s">
        <v>38316</v>
      </c>
      <c r="AE2240" t="s">
        <v>38317</v>
      </c>
      <c r="AF2240" t="s">
        <v>74</v>
      </c>
      <c r="AG2240">
        <v>49</v>
      </c>
      <c r="AH2240">
        <v>0</v>
      </c>
      <c r="AI2240">
        <v>0</v>
      </c>
      <c r="AJ2240">
        <v>0</v>
      </c>
      <c r="AK2240">
        <v>5</v>
      </c>
      <c r="AL2240" t="s">
        <v>38318</v>
      </c>
      <c r="AM2240" t="s">
        <v>38319</v>
      </c>
      <c r="AN2240" t="s">
        <v>38320</v>
      </c>
      <c r="AO2240" t="s">
        <v>38321</v>
      </c>
      <c r="AP2240" t="s">
        <v>38322</v>
      </c>
      <c r="AQ2240" t="s">
        <v>38323</v>
      </c>
      <c r="AR2240" t="s">
        <v>38324</v>
      </c>
      <c r="AS2240" t="s">
        <v>74</v>
      </c>
      <c r="AT2240" t="s">
        <v>74</v>
      </c>
      <c r="AU2240">
        <v>2021</v>
      </c>
      <c r="AV2240" t="s">
        <v>74</v>
      </c>
      <c r="AW2240" t="s">
        <v>74</v>
      </c>
      <c r="AX2240" t="s">
        <v>74</v>
      </c>
      <c r="AY2240" t="s">
        <v>74</v>
      </c>
      <c r="AZ2240" t="s">
        <v>74</v>
      </c>
      <c r="BA2240" t="s">
        <v>74</v>
      </c>
      <c r="BB2240">
        <v>901</v>
      </c>
      <c r="BC2240">
        <v>909</v>
      </c>
      <c r="BD2240" t="s">
        <v>74</v>
      </c>
      <c r="BE2240" t="s">
        <v>38325</v>
      </c>
      <c r="BF2240" t="str">
        <f>HYPERLINK("http://dx.doi.org/10.34190/EIE.21.256","http://dx.doi.org/10.34190/EIE.21.256")</f>
        <v>http://dx.doi.org/10.34190/EIE.21.256</v>
      </c>
      <c r="BG2240" t="s">
        <v>74</v>
      </c>
      <c r="BH2240" t="s">
        <v>74</v>
      </c>
      <c r="BI2240">
        <v>9</v>
      </c>
      <c r="BJ2240" t="s">
        <v>38326</v>
      </c>
      <c r="BK2240" t="s">
        <v>154</v>
      </c>
      <c r="BL2240" t="s">
        <v>480</v>
      </c>
      <c r="BM2240" t="s">
        <v>38327</v>
      </c>
      <c r="BN2240" t="s">
        <v>74</v>
      </c>
      <c r="BO2240" t="s">
        <v>74</v>
      </c>
      <c r="BP2240" t="s">
        <v>74</v>
      </c>
      <c r="BQ2240" t="s">
        <v>74</v>
      </c>
      <c r="BR2240" t="s">
        <v>102</v>
      </c>
      <c r="BS2240" t="s">
        <v>38328</v>
      </c>
      <c r="BT2240" t="str">
        <f>HYPERLINK("https%3A%2F%2Fwww.webofscience.com%2Fwos%2Fwoscc%2Ffull-record%2FWOS:000758450600023","View Full Record in Web of Science")</f>
        <v>View Full Record in Web of Science</v>
      </c>
    </row>
    <row r="2241" spans="1:72" x14ac:dyDescent="0.35">
      <c r="A2241" t="s">
        <v>72</v>
      </c>
      <c r="B2241" t="s">
        <v>38329</v>
      </c>
      <c r="C2241" t="s">
        <v>74</v>
      </c>
      <c r="D2241" t="s">
        <v>74</v>
      </c>
      <c r="E2241" t="s">
        <v>74</v>
      </c>
      <c r="F2241" t="s">
        <v>38330</v>
      </c>
      <c r="G2241" t="s">
        <v>74</v>
      </c>
      <c r="H2241" t="s">
        <v>74</v>
      </c>
      <c r="I2241" t="s">
        <v>38331</v>
      </c>
      <c r="J2241" t="s">
        <v>793</v>
      </c>
      <c r="K2241" t="s">
        <v>74</v>
      </c>
      <c r="L2241" t="s">
        <v>74</v>
      </c>
      <c r="M2241" t="s">
        <v>78</v>
      </c>
      <c r="N2241" t="s">
        <v>108</v>
      </c>
      <c r="O2241" t="s">
        <v>74</v>
      </c>
      <c r="P2241" t="s">
        <v>74</v>
      </c>
      <c r="Q2241" t="s">
        <v>74</v>
      </c>
      <c r="R2241" t="s">
        <v>74</v>
      </c>
      <c r="S2241" t="s">
        <v>74</v>
      </c>
      <c r="T2241" t="s">
        <v>38332</v>
      </c>
      <c r="U2241" t="s">
        <v>38333</v>
      </c>
      <c r="V2241" t="s">
        <v>38334</v>
      </c>
      <c r="W2241" t="s">
        <v>38335</v>
      </c>
      <c r="X2241" t="s">
        <v>38336</v>
      </c>
      <c r="Y2241" t="s">
        <v>38337</v>
      </c>
      <c r="Z2241" t="s">
        <v>38338</v>
      </c>
      <c r="AA2241" t="s">
        <v>74</v>
      </c>
      <c r="AB2241" t="s">
        <v>74</v>
      </c>
      <c r="AC2241" t="s">
        <v>74</v>
      </c>
      <c r="AD2241" t="s">
        <v>74</v>
      </c>
      <c r="AE2241" t="s">
        <v>74</v>
      </c>
      <c r="AF2241" t="s">
        <v>74</v>
      </c>
      <c r="AG2241">
        <v>32</v>
      </c>
      <c r="AH2241">
        <v>0</v>
      </c>
      <c r="AI2241">
        <v>0</v>
      </c>
      <c r="AJ2241">
        <v>1</v>
      </c>
      <c r="AK2241">
        <v>2</v>
      </c>
      <c r="AL2241" t="s">
        <v>803</v>
      </c>
      <c r="AM2241" t="s">
        <v>227</v>
      </c>
      <c r="AN2241" t="s">
        <v>804</v>
      </c>
      <c r="AO2241" t="s">
        <v>74</v>
      </c>
      <c r="AP2241" t="s">
        <v>805</v>
      </c>
      <c r="AQ2241" t="s">
        <v>74</v>
      </c>
      <c r="AR2241" t="s">
        <v>806</v>
      </c>
      <c r="AS2241" t="s">
        <v>807</v>
      </c>
      <c r="AT2241" t="s">
        <v>12346</v>
      </c>
      <c r="AU2241">
        <v>2024</v>
      </c>
      <c r="AV2241">
        <v>16</v>
      </c>
      <c r="AW2241">
        <v>4</v>
      </c>
      <c r="AX2241" t="s">
        <v>74</v>
      </c>
      <c r="AY2241" t="s">
        <v>74</v>
      </c>
      <c r="AZ2241" t="s">
        <v>74</v>
      </c>
      <c r="BA2241" t="s">
        <v>74</v>
      </c>
      <c r="BB2241" t="s">
        <v>74</v>
      </c>
      <c r="BC2241" t="s">
        <v>74</v>
      </c>
      <c r="BD2241" t="s">
        <v>38339</v>
      </c>
      <c r="BE2241" t="s">
        <v>38340</v>
      </c>
      <c r="BF2241" t="str">
        <f>HYPERLINK("http://dx.doi.org/10.7759/cureus.57621","http://dx.doi.org/10.7759/cureus.57621")</f>
        <v>http://dx.doi.org/10.7759/cureus.57621</v>
      </c>
      <c r="BG2241" t="s">
        <v>74</v>
      </c>
      <c r="BH2241" t="s">
        <v>74</v>
      </c>
      <c r="BI2241">
        <v>9</v>
      </c>
      <c r="BJ2241" t="s">
        <v>811</v>
      </c>
      <c r="BK2241" t="s">
        <v>125</v>
      </c>
      <c r="BL2241" t="s">
        <v>812</v>
      </c>
      <c r="BM2241" t="s">
        <v>38341</v>
      </c>
      <c r="BN2241">
        <v>38707150</v>
      </c>
      <c r="BO2241" t="s">
        <v>394</v>
      </c>
      <c r="BP2241" t="s">
        <v>74</v>
      </c>
      <c r="BQ2241" t="s">
        <v>74</v>
      </c>
      <c r="BR2241" t="s">
        <v>102</v>
      </c>
      <c r="BS2241" t="s">
        <v>38342</v>
      </c>
      <c r="BT2241" t="str">
        <f>HYPERLINK("https%3A%2F%2Fwww.webofscience.com%2Fwos%2Fwoscc%2Ffull-record%2FWOS:001207702900007","View Full Record in Web of Science")</f>
        <v>View Full Record in Web of Science</v>
      </c>
    </row>
    <row r="2242" spans="1:72" x14ac:dyDescent="0.35">
      <c r="A2242" t="s">
        <v>72</v>
      </c>
      <c r="B2242" t="s">
        <v>38343</v>
      </c>
      <c r="C2242" t="s">
        <v>74</v>
      </c>
      <c r="D2242" t="s">
        <v>74</v>
      </c>
      <c r="E2242" t="s">
        <v>74</v>
      </c>
      <c r="F2242" t="s">
        <v>38344</v>
      </c>
      <c r="G2242" t="s">
        <v>74</v>
      </c>
      <c r="H2242" t="s">
        <v>74</v>
      </c>
      <c r="I2242" t="s">
        <v>38345</v>
      </c>
      <c r="J2242" t="s">
        <v>38346</v>
      </c>
      <c r="K2242" t="s">
        <v>74</v>
      </c>
      <c r="L2242" t="s">
        <v>74</v>
      </c>
      <c r="M2242" t="s">
        <v>78</v>
      </c>
      <c r="N2242" t="s">
        <v>108</v>
      </c>
      <c r="O2242" t="s">
        <v>74</v>
      </c>
      <c r="P2242" t="s">
        <v>74</v>
      </c>
      <c r="Q2242" t="s">
        <v>74</v>
      </c>
      <c r="R2242" t="s">
        <v>74</v>
      </c>
      <c r="S2242" t="s">
        <v>74</v>
      </c>
      <c r="T2242" t="s">
        <v>38347</v>
      </c>
      <c r="U2242" t="s">
        <v>74</v>
      </c>
      <c r="V2242" t="s">
        <v>38348</v>
      </c>
      <c r="W2242" t="s">
        <v>38349</v>
      </c>
      <c r="X2242" t="s">
        <v>37806</v>
      </c>
      <c r="Y2242" t="s">
        <v>37807</v>
      </c>
      <c r="Z2242" t="s">
        <v>37808</v>
      </c>
      <c r="AA2242" t="s">
        <v>37809</v>
      </c>
      <c r="AB2242" t="s">
        <v>37810</v>
      </c>
      <c r="AC2242" t="s">
        <v>74</v>
      </c>
      <c r="AD2242" t="s">
        <v>74</v>
      </c>
      <c r="AE2242" t="s">
        <v>74</v>
      </c>
      <c r="AF2242" t="s">
        <v>74</v>
      </c>
      <c r="AG2242">
        <v>27</v>
      </c>
      <c r="AH2242">
        <v>0</v>
      </c>
      <c r="AI2242">
        <v>0</v>
      </c>
      <c r="AJ2242">
        <v>1</v>
      </c>
      <c r="AK2242">
        <v>4</v>
      </c>
      <c r="AL2242" t="s">
        <v>38350</v>
      </c>
      <c r="AM2242" t="s">
        <v>38351</v>
      </c>
      <c r="AN2242" t="s">
        <v>38352</v>
      </c>
      <c r="AO2242" t="s">
        <v>38353</v>
      </c>
      <c r="AP2242" t="s">
        <v>38354</v>
      </c>
      <c r="AQ2242" t="s">
        <v>74</v>
      </c>
      <c r="AR2242" t="s">
        <v>38355</v>
      </c>
      <c r="AS2242" t="s">
        <v>38356</v>
      </c>
      <c r="AT2242" t="s">
        <v>74</v>
      </c>
      <c r="AU2242">
        <v>2023</v>
      </c>
      <c r="AV2242">
        <v>12</v>
      </c>
      <c r="AW2242">
        <v>3</v>
      </c>
      <c r="AX2242" t="s">
        <v>74</v>
      </c>
      <c r="AY2242" t="s">
        <v>74</v>
      </c>
      <c r="AZ2242" t="s">
        <v>74</v>
      </c>
      <c r="BA2242" t="s">
        <v>74</v>
      </c>
      <c r="BB2242">
        <v>436</v>
      </c>
      <c r="BC2242">
        <v>451</v>
      </c>
      <c r="BD2242" t="s">
        <v>74</v>
      </c>
      <c r="BE2242" t="s">
        <v>38357</v>
      </c>
      <c r="BF2242" t="str">
        <f>HYPERLINK("http://dx.doi.org/10.17150/2308-6203.2023.12(3).436-451","http://dx.doi.org/10.17150/2308-6203.2023.12(3).436-451")</f>
        <v>http://dx.doi.org/10.17150/2308-6203.2023.12(3).436-451</v>
      </c>
      <c r="BG2242" t="s">
        <v>74</v>
      </c>
      <c r="BH2242" t="s">
        <v>74</v>
      </c>
      <c r="BI2242">
        <v>16</v>
      </c>
      <c r="BJ2242" t="s">
        <v>124</v>
      </c>
      <c r="BK2242" t="s">
        <v>125</v>
      </c>
      <c r="BL2242" t="s">
        <v>124</v>
      </c>
      <c r="BM2242" t="s">
        <v>38358</v>
      </c>
      <c r="BN2242" t="s">
        <v>74</v>
      </c>
      <c r="BO2242" t="s">
        <v>235</v>
      </c>
      <c r="BP2242" t="s">
        <v>74</v>
      </c>
      <c r="BQ2242" t="s">
        <v>74</v>
      </c>
      <c r="BR2242" t="s">
        <v>102</v>
      </c>
      <c r="BS2242" t="s">
        <v>38359</v>
      </c>
      <c r="BT2242" t="str">
        <f>HYPERLINK("https%3A%2F%2Fwww.webofscience.com%2Fwos%2Fwoscc%2Ffull-record%2FWOS:001083107900004","View Full Record in Web of Science")</f>
        <v>View Full Record in Web of Science</v>
      </c>
    </row>
    <row r="2243" spans="1:72" x14ac:dyDescent="0.35">
      <c r="A2243" t="s">
        <v>72</v>
      </c>
      <c r="B2243" t="s">
        <v>38360</v>
      </c>
      <c r="C2243" t="s">
        <v>74</v>
      </c>
      <c r="D2243" t="s">
        <v>74</v>
      </c>
      <c r="E2243" t="s">
        <v>74</v>
      </c>
      <c r="F2243" t="s">
        <v>38361</v>
      </c>
      <c r="G2243" t="s">
        <v>74</v>
      </c>
      <c r="H2243" t="s">
        <v>74</v>
      </c>
      <c r="I2243" t="s">
        <v>38362</v>
      </c>
      <c r="J2243" t="s">
        <v>1186</v>
      </c>
      <c r="K2243" t="s">
        <v>74</v>
      </c>
      <c r="L2243" t="s">
        <v>74</v>
      </c>
      <c r="M2243" t="s">
        <v>78</v>
      </c>
      <c r="N2243" t="s">
        <v>108</v>
      </c>
      <c r="O2243" t="s">
        <v>74</v>
      </c>
      <c r="P2243" t="s">
        <v>74</v>
      </c>
      <c r="Q2243" t="s">
        <v>74</v>
      </c>
      <c r="R2243" t="s">
        <v>74</v>
      </c>
      <c r="S2243" t="s">
        <v>74</v>
      </c>
      <c r="T2243" t="s">
        <v>38363</v>
      </c>
      <c r="U2243" t="s">
        <v>38364</v>
      </c>
      <c r="V2243" t="s">
        <v>38365</v>
      </c>
      <c r="W2243" t="s">
        <v>38366</v>
      </c>
      <c r="X2243" t="s">
        <v>38367</v>
      </c>
      <c r="Y2243" t="s">
        <v>38368</v>
      </c>
      <c r="Z2243" t="s">
        <v>38369</v>
      </c>
      <c r="AA2243" t="s">
        <v>38370</v>
      </c>
      <c r="AB2243" t="s">
        <v>38371</v>
      </c>
      <c r="AC2243" t="s">
        <v>74</v>
      </c>
      <c r="AD2243" t="s">
        <v>74</v>
      </c>
      <c r="AE2243" t="s">
        <v>74</v>
      </c>
      <c r="AF2243" t="s">
        <v>74</v>
      </c>
      <c r="AG2243">
        <v>44</v>
      </c>
      <c r="AH2243">
        <v>23</v>
      </c>
      <c r="AI2243">
        <v>23</v>
      </c>
      <c r="AJ2243">
        <v>17</v>
      </c>
      <c r="AK2243">
        <v>126</v>
      </c>
      <c r="AL2243" t="s">
        <v>1195</v>
      </c>
      <c r="AM2243" t="s">
        <v>1196</v>
      </c>
      <c r="AN2243" t="s">
        <v>1197</v>
      </c>
      <c r="AO2243" t="s">
        <v>74</v>
      </c>
      <c r="AP2243" t="s">
        <v>1198</v>
      </c>
      <c r="AQ2243" t="s">
        <v>74</v>
      </c>
      <c r="AR2243" t="s">
        <v>1199</v>
      </c>
      <c r="AS2243" t="s">
        <v>1200</v>
      </c>
      <c r="AT2243" t="s">
        <v>745</v>
      </c>
      <c r="AU2243">
        <v>2022</v>
      </c>
      <c r="AV2243">
        <v>19</v>
      </c>
      <c r="AW2243">
        <v>9</v>
      </c>
      <c r="AX2243" t="s">
        <v>74</v>
      </c>
      <c r="AY2243" t="s">
        <v>74</v>
      </c>
      <c r="AZ2243" t="s">
        <v>74</v>
      </c>
      <c r="BA2243" t="s">
        <v>74</v>
      </c>
      <c r="BB2243" t="s">
        <v>74</v>
      </c>
      <c r="BC2243" t="s">
        <v>74</v>
      </c>
      <c r="BD2243">
        <v>5064</v>
      </c>
      <c r="BE2243" t="s">
        <v>38372</v>
      </c>
      <c r="BF2243" t="str">
        <f>HYPERLINK("http://dx.doi.org/10.3390/ijerph19095064","http://dx.doi.org/10.3390/ijerph19095064")</f>
        <v>http://dx.doi.org/10.3390/ijerph19095064</v>
      </c>
      <c r="BG2243" t="s">
        <v>74</v>
      </c>
      <c r="BH2243" t="s">
        <v>74</v>
      </c>
      <c r="BI2243">
        <v>14</v>
      </c>
      <c r="BJ2243" t="s">
        <v>1202</v>
      </c>
      <c r="BK2243" t="s">
        <v>182</v>
      </c>
      <c r="BL2243" t="s">
        <v>1203</v>
      </c>
      <c r="BM2243" t="s">
        <v>38373</v>
      </c>
      <c r="BN2243">
        <v>35564458</v>
      </c>
      <c r="BO2243" t="s">
        <v>394</v>
      </c>
      <c r="BP2243" t="s">
        <v>74</v>
      </c>
      <c r="BQ2243" t="s">
        <v>74</v>
      </c>
      <c r="BR2243" t="s">
        <v>102</v>
      </c>
      <c r="BS2243" t="s">
        <v>38374</v>
      </c>
      <c r="BT2243" t="str">
        <f>HYPERLINK("https%3A%2F%2Fwww.webofscience.com%2Fwos%2Fwoscc%2Ffull-record%2FWOS:000800724100001","View Full Record in Web of Science")</f>
        <v>View Full Record in Web of Science</v>
      </c>
    </row>
    <row r="2244" spans="1:72" x14ac:dyDescent="0.35">
      <c r="A2244" t="s">
        <v>72</v>
      </c>
      <c r="B2244" t="s">
        <v>38375</v>
      </c>
      <c r="C2244" t="s">
        <v>74</v>
      </c>
      <c r="D2244" t="s">
        <v>74</v>
      </c>
      <c r="E2244" t="s">
        <v>74</v>
      </c>
      <c r="F2244" t="s">
        <v>38376</v>
      </c>
      <c r="G2244" t="s">
        <v>74</v>
      </c>
      <c r="H2244" t="s">
        <v>74</v>
      </c>
      <c r="I2244" t="s">
        <v>38377</v>
      </c>
      <c r="J2244" t="s">
        <v>38378</v>
      </c>
      <c r="K2244" t="s">
        <v>74</v>
      </c>
      <c r="L2244" t="s">
        <v>74</v>
      </c>
      <c r="M2244" t="s">
        <v>78</v>
      </c>
      <c r="N2244" t="s">
        <v>108</v>
      </c>
      <c r="O2244" t="s">
        <v>74</v>
      </c>
      <c r="P2244" t="s">
        <v>74</v>
      </c>
      <c r="Q2244" t="s">
        <v>74</v>
      </c>
      <c r="R2244" t="s">
        <v>74</v>
      </c>
      <c r="S2244" t="s">
        <v>74</v>
      </c>
      <c r="T2244" t="s">
        <v>38379</v>
      </c>
      <c r="U2244" t="s">
        <v>38380</v>
      </c>
      <c r="V2244" t="s">
        <v>38381</v>
      </c>
      <c r="W2244" t="s">
        <v>38382</v>
      </c>
      <c r="X2244" t="s">
        <v>38383</v>
      </c>
      <c r="Y2244" t="s">
        <v>38384</v>
      </c>
      <c r="Z2244" t="s">
        <v>38385</v>
      </c>
      <c r="AA2244" t="s">
        <v>38386</v>
      </c>
      <c r="AB2244" t="s">
        <v>38387</v>
      </c>
      <c r="AC2244" t="s">
        <v>38388</v>
      </c>
      <c r="AD2244" t="s">
        <v>38389</v>
      </c>
      <c r="AE2244" t="s">
        <v>38390</v>
      </c>
      <c r="AF2244" t="s">
        <v>74</v>
      </c>
      <c r="AG2244">
        <v>45</v>
      </c>
      <c r="AH2244">
        <v>0</v>
      </c>
      <c r="AI2244">
        <v>0</v>
      </c>
      <c r="AJ2244">
        <v>1</v>
      </c>
      <c r="AK2244">
        <v>2</v>
      </c>
      <c r="AL2244" t="s">
        <v>2382</v>
      </c>
      <c r="AM2244" t="s">
        <v>227</v>
      </c>
      <c r="AN2244" t="s">
        <v>2383</v>
      </c>
      <c r="AO2244" t="s">
        <v>38391</v>
      </c>
      <c r="AP2244" t="s">
        <v>74</v>
      </c>
      <c r="AQ2244" t="s">
        <v>74</v>
      </c>
      <c r="AR2244" t="s">
        <v>38378</v>
      </c>
      <c r="AS2244" t="s">
        <v>38392</v>
      </c>
      <c r="AT2244" t="s">
        <v>38393</v>
      </c>
      <c r="AU2244">
        <v>2023</v>
      </c>
      <c r="AV2244">
        <v>23</v>
      </c>
      <c r="AW2244">
        <v>1</v>
      </c>
      <c r="AX2244" t="s">
        <v>74</v>
      </c>
      <c r="AY2244" t="s">
        <v>74</v>
      </c>
      <c r="AZ2244" t="s">
        <v>74</v>
      </c>
      <c r="BA2244" t="s">
        <v>74</v>
      </c>
      <c r="BB2244" t="s">
        <v>74</v>
      </c>
      <c r="BC2244" t="s">
        <v>74</v>
      </c>
      <c r="BD2244">
        <v>732</v>
      </c>
      <c r="BE2244" t="s">
        <v>38394</v>
      </c>
      <c r="BF2244" t="str">
        <f>HYPERLINK("http://dx.doi.org/10.1186/s12903-023-03444-7","http://dx.doi.org/10.1186/s12903-023-03444-7")</f>
        <v>http://dx.doi.org/10.1186/s12903-023-03444-7</v>
      </c>
      <c r="BG2244" t="s">
        <v>74</v>
      </c>
      <c r="BH2244" t="s">
        <v>74</v>
      </c>
      <c r="BI2244">
        <v>9</v>
      </c>
      <c r="BJ2244" t="s">
        <v>599</v>
      </c>
      <c r="BK2244" t="s">
        <v>209</v>
      </c>
      <c r="BL2244" t="s">
        <v>599</v>
      </c>
      <c r="BM2244" t="s">
        <v>38395</v>
      </c>
      <c r="BN2244">
        <v>37807041</v>
      </c>
      <c r="BO2244" t="s">
        <v>394</v>
      </c>
      <c r="BP2244" t="s">
        <v>74</v>
      </c>
      <c r="BQ2244" t="s">
        <v>74</v>
      </c>
      <c r="BR2244" t="s">
        <v>102</v>
      </c>
      <c r="BS2244" t="s">
        <v>38396</v>
      </c>
      <c r="BT2244" t="str">
        <f>HYPERLINK("https%3A%2F%2Fwww.webofscience.com%2Fwos%2Fwoscc%2Ffull-record%2FWOS:001080888300001","View Full Record in Web of Science")</f>
        <v>View Full Record in Web of Science</v>
      </c>
    </row>
    <row r="2245" spans="1:72" x14ac:dyDescent="0.35">
      <c r="A2245" t="s">
        <v>72</v>
      </c>
      <c r="B2245" t="s">
        <v>38397</v>
      </c>
      <c r="C2245" t="s">
        <v>74</v>
      </c>
      <c r="D2245" t="s">
        <v>74</v>
      </c>
      <c r="E2245" t="s">
        <v>74</v>
      </c>
      <c r="F2245" t="s">
        <v>38398</v>
      </c>
      <c r="G2245" t="s">
        <v>74</v>
      </c>
      <c r="H2245" t="s">
        <v>74</v>
      </c>
      <c r="I2245" t="s">
        <v>38399</v>
      </c>
      <c r="J2245" t="s">
        <v>12597</v>
      </c>
      <c r="K2245" t="s">
        <v>74</v>
      </c>
      <c r="L2245" t="s">
        <v>74</v>
      </c>
      <c r="M2245" t="s">
        <v>78</v>
      </c>
      <c r="N2245" t="s">
        <v>108</v>
      </c>
      <c r="O2245" t="s">
        <v>74</v>
      </c>
      <c r="P2245" t="s">
        <v>74</v>
      </c>
      <c r="Q2245" t="s">
        <v>74</v>
      </c>
      <c r="R2245" t="s">
        <v>74</v>
      </c>
      <c r="S2245" t="s">
        <v>74</v>
      </c>
      <c r="T2245" t="s">
        <v>38400</v>
      </c>
      <c r="U2245" t="s">
        <v>38401</v>
      </c>
      <c r="V2245" t="s">
        <v>38402</v>
      </c>
      <c r="W2245" t="s">
        <v>38403</v>
      </c>
      <c r="X2245" t="s">
        <v>38404</v>
      </c>
      <c r="Y2245" t="s">
        <v>38405</v>
      </c>
      <c r="Z2245" t="s">
        <v>38406</v>
      </c>
      <c r="AA2245" t="s">
        <v>74</v>
      </c>
      <c r="AB2245" t="s">
        <v>74</v>
      </c>
      <c r="AC2245" t="s">
        <v>38407</v>
      </c>
      <c r="AD2245" t="s">
        <v>38408</v>
      </c>
      <c r="AE2245" t="s">
        <v>38409</v>
      </c>
      <c r="AF2245" t="s">
        <v>74</v>
      </c>
      <c r="AG2245">
        <v>59</v>
      </c>
      <c r="AH2245">
        <v>0</v>
      </c>
      <c r="AI2245">
        <v>0</v>
      </c>
      <c r="AJ2245">
        <v>1</v>
      </c>
      <c r="AK2245">
        <v>1</v>
      </c>
      <c r="AL2245" t="s">
        <v>290</v>
      </c>
      <c r="AM2245" t="s">
        <v>291</v>
      </c>
      <c r="AN2245" t="s">
        <v>292</v>
      </c>
      <c r="AO2245" t="s">
        <v>12606</v>
      </c>
      <c r="AP2245" t="s">
        <v>12607</v>
      </c>
      <c r="AQ2245" t="s">
        <v>74</v>
      </c>
      <c r="AR2245" t="s">
        <v>12608</v>
      </c>
      <c r="AS2245" t="s">
        <v>12609</v>
      </c>
      <c r="AT2245" t="s">
        <v>178</v>
      </c>
      <c r="AU2245">
        <v>2025</v>
      </c>
      <c r="AV2245">
        <v>161</v>
      </c>
      <c r="AW2245" t="s">
        <v>74</v>
      </c>
      <c r="AX2245" t="s">
        <v>74</v>
      </c>
      <c r="AY2245" t="s">
        <v>74</v>
      </c>
      <c r="AZ2245" t="s">
        <v>74</v>
      </c>
      <c r="BA2245" t="s">
        <v>74</v>
      </c>
      <c r="BB2245" t="s">
        <v>74</v>
      </c>
      <c r="BC2245" t="s">
        <v>74</v>
      </c>
      <c r="BD2245">
        <v>108193</v>
      </c>
      <c r="BE2245" t="s">
        <v>38410</v>
      </c>
      <c r="BF2245" t="str">
        <f>HYPERLINK("http://dx.doi.org/10.1016/j.addbeh.2024.108193","http://dx.doi.org/10.1016/j.addbeh.2024.108193")</f>
        <v>http://dx.doi.org/10.1016/j.addbeh.2024.108193</v>
      </c>
      <c r="BG2245" t="s">
        <v>74</v>
      </c>
      <c r="BH2245" t="s">
        <v>74</v>
      </c>
      <c r="BI2245">
        <v>8</v>
      </c>
      <c r="BJ2245" t="s">
        <v>12611</v>
      </c>
      <c r="BK2245" t="s">
        <v>182</v>
      </c>
      <c r="BL2245" t="s">
        <v>12612</v>
      </c>
      <c r="BM2245" t="s">
        <v>38411</v>
      </c>
      <c r="BN2245">
        <v>39515208</v>
      </c>
      <c r="BO2245" t="s">
        <v>74</v>
      </c>
      <c r="BP2245" t="s">
        <v>74</v>
      </c>
      <c r="BQ2245" t="s">
        <v>74</v>
      </c>
      <c r="BR2245" t="s">
        <v>102</v>
      </c>
      <c r="BS2245" t="s">
        <v>38412</v>
      </c>
      <c r="BT2245" t="str">
        <f>HYPERLINK("https%3A%2F%2Fwww.webofscience.com%2Fwos%2Fwoscc%2Ffull-record%2FWOS:001354222700001","View Full Record in Web of Science")</f>
        <v>View Full Record in Web of Science</v>
      </c>
    </row>
    <row r="2246" spans="1:72" x14ac:dyDescent="0.35">
      <c r="A2246" t="s">
        <v>72</v>
      </c>
      <c r="B2246" t="s">
        <v>38413</v>
      </c>
      <c r="C2246" t="s">
        <v>74</v>
      </c>
      <c r="D2246" t="s">
        <v>74</v>
      </c>
      <c r="E2246" t="s">
        <v>74</v>
      </c>
      <c r="F2246" t="s">
        <v>38414</v>
      </c>
      <c r="G2246" t="s">
        <v>74</v>
      </c>
      <c r="H2246" t="s">
        <v>74</v>
      </c>
      <c r="I2246" t="s">
        <v>38415</v>
      </c>
      <c r="J2246" t="s">
        <v>38416</v>
      </c>
      <c r="K2246" t="s">
        <v>74</v>
      </c>
      <c r="L2246" t="s">
        <v>74</v>
      </c>
      <c r="M2246" t="s">
        <v>78</v>
      </c>
      <c r="N2246" t="s">
        <v>108</v>
      </c>
      <c r="O2246" t="s">
        <v>74</v>
      </c>
      <c r="P2246" t="s">
        <v>74</v>
      </c>
      <c r="Q2246" t="s">
        <v>74</v>
      </c>
      <c r="R2246" t="s">
        <v>74</v>
      </c>
      <c r="S2246" t="s">
        <v>74</v>
      </c>
      <c r="T2246" t="s">
        <v>38417</v>
      </c>
      <c r="U2246" t="s">
        <v>74</v>
      </c>
      <c r="V2246" t="s">
        <v>38418</v>
      </c>
      <c r="W2246" t="s">
        <v>38419</v>
      </c>
      <c r="X2246" t="s">
        <v>38420</v>
      </c>
      <c r="Y2246" t="s">
        <v>38421</v>
      </c>
      <c r="Z2246" t="s">
        <v>38422</v>
      </c>
      <c r="AA2246" t="s">
        <v>38423</v>
      </c>
      <c r="AB2246" t="s">
        <v>38424</v>
      </c>
      <c r="AC2246" t="s">
        <v>74</v>
      </c>
      <c r="AD2246" t="s">
        <v>74</v>
      </c>
      <c r="AE2246" t="s">
        <v>74</v>
      </c>
      <c r="AF2246" t="s">
        <v>74</v>
      </c>
      <c r="AG2246">
        <v>24</v>
      </c>
      <c r="AH2246">
        <v>0</v>
      </c>
      <c r="AI2246">
        <v>0</v>
      </c>
      <c r="AJ2246">
        <v>10</v>
      </c>
      <c r="AK2246">
        <v>10</v>
      </c>
      <c r="AL2246" t="s">
        <v>665</v>
      </c>
      <c r="AM2246" t="s">
        <v>2922</v>
      </c>
      <c r="AN2246" t="s">
        <v>2923</v>
      </c>
      <c r="AO2246" t="s">
        <v>38425</v>
      </c>
      <c r="AP2246" t="s">
        <v>38426</v>
      </c>
      <c r="AQ2246" t="s">
        <v>74</v>
      </c>
      <c r="AR2246" t="s">
        <v>38427</v>
      </c>
      <c r="AS2246" t="s">
        <v>38428</v>
      </c>
      <c r="AT2246" t="s">
        <v>594</v>
      </c>
      <c r="AU2246">
        <v>2024</v>
      </c>
      <c r="AV2246">
        <v>80</v>
      </c>
      <c r="AW2246">
        <v>15</v>
      </c>
      <c r="AX2246" t="s">
        <v>74</v>
      </c>
      <c r="AY2246" t="s">
        <v>74</v>
      </c>
      <c r="AZ2246" t="s">
        <v>74</v>
      </c>
      <c r="BA2246" t="s">
        <v>74</v>
      </c>
      <c r="BB2246">
        <v>22020</v>
      </c>
      <c r="BC2246">
        <v>22048</v>
      </c>
      <c r="BD2246" t="s">
        <v>74</v>
      </c>
      <c r="BE2246" t="s">
        <v>38429</v>
      </c>
      <c r="BF2246" t="str">
        <f>HYPERLINK("http://dx.doi.org/10.1007/s11227-024-06200-y","http://dx.doi.org/10.1007/s11227-024-06200-y")</f>
        <v>http://dx.doi.org/10.1007/s11227-024-06200-y</v>
      </c>
      <c r="BG2246" t="s">
        <v>74</v>
      </c>
      <c r="BH2246" t="s">
        <v>500</v>
      </c>
      <c r="BI2246">
        <v>29</v>
      </c>
      <c r="BJ2246" t="s">
        <v>38430</v>
      </c>
      <c r="BK2246" t="s">
        <v>209</v>
      </c>
      <c r="BL2246" t="s">
        <v>1113</v>
      </c>
      <c r="BM2246" t="s">
        <v>38431</v>
      </c>
      <c r="BN2246" t="s">
        <v>74</v>
      </c>
      <c r="BO2246" t="s">
        <v>74</v>
      </c>
      <c r="BP2246" t="s">
        <v>74</v>
      </c>
      <c r="BQ2246" t="s">
        <v>74</v>
      </c>
      <c r="BR2246" t="s">
        <v>102</v>
      </c>
      <c r="BS2246" t="s">
        <v>38432</v>
      </c>
      <c r="BT2246" t="str">
        <f>HYPERLINK("https%3A%2F%2Fwww.webofscience.com%2Fwos%2Fwoscc%2Ffull-record%2FWOS:001251113700003","View Full Record in Web of Science")</f>
        <v>View Full Record in Web of Science</v>
      </c>
    </row>
    <row r="2247" spans="1:72" x14ac:dyDescent="0.35">
      <c r="A2247" t="s">
        <v>72</v>
      </c>
      <c r="B2247" t="s">
        <v>38433</v>
      </c>
      <c r="C2247" t="s">
        <v>74</v>
      </c>
      <c r="D2247" t="s">
        <v>74</v>
      </c>
      <c r="E2247" t="s">
        <v>74</v>
      </c>
      <c r="F2247" t="s">
        <v>38434</v>
      </c>
      <c r="G2247" t="s">
        <v>74</v>
      </c>
      <c r="H2247" t="s">
        <v>74</v>
      </c>
      <c r="I2247" t="s">
        <v>38435</v>
      </c>
      <c r="J2247" t="s">
        <v>17848</v>
      </c>
      <c r="K2247" t="s">
        <v>74</v>
      </c>
      <c r="L2247" t="s">
        <v>74</v>
      </c>
      <c r="M2247" t="s">
        <v>78</v>
      </c>
      <c r="N2247" t="s">
        <v>108</v>
      </c>
      <c r="O2247" t="s">
        <v>74</v>
      </c>
      <c r="P2247" t="s">
        <v>74</v>
      </c>
      <c r="Q2247" t="s">
        <v>74</v>
      </c>
      <c r="R2247" t="s">
        <v>74</v>
      </c>
      <c r="S2247" t="s">
        <v>74</v>
      </c>
      <c r="T2247" t="s">
        <v>38436</v>
      </c>
      <c r="U2247" t="s">
        <v>38437</v>
      </c>
      <c r="V2247" t="s">
        <v>38438</v>
      </c>
      <c r="W2247" t="s">
        <v>38439</v>
      </c>
      <c r="X2247" t="s">
        <v>38440</v>
      </c>
      <c r="Y2247" t="s">
        <v>23769</v>
      </c>
      <c r="Z2247" t="s">
        <v>17855</v>
      </c>
      <c r="AA2247" t="s">
        <v>38441</v>
      </c>
      <c r="AB2247" t="s">
        <v>38442</v>
      </c>
      <c r="AC2247" t="s">
        <v>38443</v>
      </c>
      <c r="AD2247" t="s">
        <v>38444</v>
      </c>
      <c r="AE2247" t="s">
        <v>38445</v>
      </c>
      <c r="AF2247" t="s">
        <v>74</v>
      </c>
      <c r="AG2247">
        <v>97</v>
      </c>
      <c r="AH2247">
        <v>1</v>
      </c>
      <c r="AI2247">
        <v>1</v>
      </c>
      <c r="AJ2247">
        <v>12</v>
      </c>
      <c r="AK2247">
        <v>64</v>
      </c>
      <c r="AL2247" t="s">
        <v>199</v>
      </c>
      <c r="AM2247" t="s">
        <v>15416</v>
      </c>
      <c r="AN2247" t="s">
        <v>15417</v>
      </c>
      <c r="AO2247" t="s">
        <v>17860</v>
      </c>
      <c r="AP2247" t="s">
        <v>17861</v>
      </c>
      <c r="AQ2247" t="s">
        <v>74</v>
      </c>
      <c r="AR2247" t="s">
        <v>17862</v>
      </c>
      <c r="AS2247" t="s">
        <v>17863</v>
      </c>
      <c r="AT2247" t="s">
        <v>12346</v>
      </c>
      <c r="AU2247">
        <v>2023</v>
      </c>
      <c r="AV2247">
        <v>79</v>
      </c>
      <c r="AW2247">
        <v>3</v>
      </c>
      <c r="AX2247" t="s">
        <v>74</v>
      </c>
      <c r="AY2247" t="s">
        <v>74</v>
      </c>
      <c r="AZ2247" t="s">
        <v>74</v>
      </c>
      <c r="BA2247" t="s">
        <v>74</v>
      </c>
      <c r="BB2247">
        <v>718</v>
      </c>
      <c r="BC2247">
        <v>742</v>
      </c>
      <c r="BD2247" t="s">
        <v>74</v>
      </c>
      <c r="BE2247" t="s">
        <v>38446</v>
      </c>
      <c r="BF2247" t="str">
        <f>HYPERLINK("http://dx.doi.org/10.1108/JD-04-2022-0080","http://dx.doi.org/10.1108/JD-04-2022-0080")</f>
        <v>http://dx.doi.org/10.1108/JD-04-2022-0080</v>
      </c>
      <c r="BG2247" t="s">
        <v>74</v>
      </c>
      <c r="BH2247" t="s">
        <v>2034</v>
      </c>
      <c r="BI2247">
        <v>25</v>
      </c>
      <c r="BJ2247" t="s">
        <v>5995</v>
      </c>
      <c r="BK2247" t="s">
        <v>99</v>
      </c>
      <c r="BL2247" t="s">
        <v>5996</v>
      </c>
      <c r="BM2247" t="s">
        <v>38447</v>
      </c>
      <c r="BN2247" t="s">
        <v>74</v>
      </c>
      <c r="BO2247" t="s">
        <v>74</v>
      </c>
      <c r="BP2247" t="s">
        <v>74</v>
      </c>
      <c r="BQ2247" t="s">
        <v>74</v>
      </c>
      <c r="BR2247" t="s">
        <v>102</v>
      </c>
      <c r="BS2247" t="s">
        <v>38448</v>
      </c>
      <c r="BT2247" t="str">
        <f>HYPERLINK("https%3A%2F%2Fwww.webofscience.com%2Fwos%2Fwoscc%2Ffull-record%2FWOS:000864848700001","View Full Record in Web of Science")</f>
        <v>View Full Record in Web of Science</v>
      </c>
    </row>
    <row r="2248" spans="1:72" x14ac:dyDescent="0.35">
      <c r="A2248" t="s">
        <v>72</v>
      </c>
      <c r="B2248" t="s">
        <v>38449</v>
      </c>
      <c r="C2248" t="s">
        <v>74</v>
      </c>
      <c r="D2248" t="s">
        <v>74</v>
      </c>
      <c r="E2248" t="s">
        <v>74</v>
      </c>
      <c r="F2248" t="s">
        <v>38450</v>
      </c>
      <c r="G2248" t="s">
        <v>74</v>
      </c>
      <c r="H2248" t="s">
        <v>74</v>
      </c>
      <c r="I2248" t="s">
        <v>38451</v>
      </c>
      <c r="J2248" t="s">
        <v>30724</v>
      </c>
      <c r="K2248" t="s">
        <v>74</v>
      </c>
      <c r="L2248" t="s">
        <v>74</v>
      </c>
      <c r="M2248" t="s">
        <v>78</v>
      </c>
      <c r="N2248" t="s">
        <v>108</v>
      </c>
      <c r="O2248" t="s">
        <v>74</v>
      </c>
      <c r="P2248" t="s">
        <v>74</v>
      </c>
      <c r="Q2248" t="s">
        <v>74</v>
      </c>
      <c r="R2248" t="s">
        <v>74</v>
      </c>
      <c r="S2248" t="s">
        <v>74</v>
      </c>
      <c r="T2248" t="s">
        <v>74</v>
      </c>
      <c r="U2248" t="s">
        <v>74</v>
      </c>
      <c r="V2248" t="s">
        <v>38452</v>
      </c>
      <c r="W2248" t="s">
        <v>38453</v>
      </c>
      <c r="X2248" t="s">
        <v>38454</v>
      </c>
      <c r="Y2248" t="s">
        <v>38455</v>
      </c>
      <c r="Z2248" t="s">
        <v>38456</v>
      </c>
      <c r="AA2248" t="s">
        <v>38457</v>
      </c>
      <c r="AB2248" t="s">
        <v>74</v>
      </c>
      <c r="AC2248" t="s">
        <v>38458</v>
      </c>
      <c r="AD2248" t="s">
        <v>11873</v>
      </c>
      <c r="AE2248" t="s">
        <v>38459</v>
      </c>
      <c r="AF2248" t="s">
        <v>74</v>
      </c>
      <c r="AG2248">
        <v>9</v>
      </c>
      <c r="AH2248">
        <v>19</v>
      </c>
      <c r="AI2248">
        <v>20</v>
      </c>
      <c r="AJ2248">
        <v>5</v>
      </c>
      <c r="AK2248">
        <v>54</v>
      </c>
      <c r="AL2248" t="s">
        <v>10592</v>
      </c>
      <c r="AM2248" t="s">
        <v>10224</v>
      </c>
      <c r="AN2248" t="s">
        <v>10593</v>
      </c>
      <c r="AO2248" t="s">
        <v>30732</v>
      </c>
      <c r="AP2248" t="s">
        <v>74</v>
      </c>
      <c r="AQ2248" t="s">
        <v>74</v>
      </c>
      <c r="AR2248" t="s">
        <v>30733</v>
      </c>
      <c r="AS2248" t="s">
        <v>30734</v>
      </c>
      <c r="AT2248" t="s">
        <v>9125</v>
      </c>
      <c r="AU2248">
        <v>2021</v>
      </c>
      <c r="AV2248">
        <v>4</v>
      </c>
      <c r="AW2248">
        <v>11</v>
      </c>
      <c r="AX2248" t="s">
        <v>74</v>
      </c>
      <c r="AY2248" t="s">
        <v>74</v>
      </c>
      <c r="AZ2248" t="s">
        <v>74</v>
      </c>
      <c r="BA2248" t="s">
        <v>74</v>
      </c>
      <c r="BB2248" t="s">
        <v>74</v>
      </c>
      <c r="BC2248" t="s">
        <v>74</v>
      </c>
      <c r="BD2248" t="s">
        <v>38460</v>
      </c>
      <c r="BE2248" t="s">
        <v>38461</v>
      </c>
      <c r="BF2248" t="str">
        <f>HYPERLINK("http://dx.doi.org/10.1001/jamanetworkopen.2021.36113","http://dx.doi.org/10.1001/jamanetworkopen.2021.36113")</f>
        <v>http://dx.doi.org/10.1001/jamanetworkopen.2021.36113</v>
      </c>
      <c r="BG2248" t="s">
        <v>74</v>
      </c>
      <c r="BH2248" t="s">
        <v>74</v>
      </c>
      <c r="BI2248">
        <v>6</v>
      </c>
      <c r="BJ2248" t="s">
        <v>811</v>
      </c>
      <c r="BK2248" t="s">
        <v>209</v>
      </c>
      <c r="BL2248" t="s">
        <v>812</v>
      </c>
      <c r="BM2248" t="s">
        <v>38462</v>
      </c>
      <c r="BN2248">
        <v>34812844</v>
      </c>
      <c r="BO2248" t="s">
        <v>2703</v>
      </c>
      <c r="BP2248" t="s">
        <v>74</v>
      </c>
      <c r="BQ2248" t="s">
        <v>74</v>
      </c>
      <c r="BR2248" t="s">
        <v>102</v>
      </c>
      <c r="BS2248" t="s">
        <v>38463</v>
      </c>
      <c r="BT2248" t="str">
        <f>HYPERLINK("https%3A%2F%2Fwww.webofscience.com%2Fwos%2Fwoscc%2Ffull-record%2FWOS:000722718900006","View Full Record in Web of Science")</f>
        <v>View Full Record in Web of Science</v>
      </c>
    </row>
    <row r="2249" spans="1:72" x14ac:dyDescent="0.35">
      <c r="A2249" t="s">
        <v>72</v>
      </c>
      <c r="B2249" t="s">
        <v>38464</v>
      </c>
      <c r="C2249" t="s">
        <v>74</v>
      </c>
      <c r="D2249" t="s">
        <v>74</v>
      </c>
      <c r="E2249" t="s">
        <v>74</v>
      </c>
      <c r="F2249" t="s">
        <v>38465</v>
      </c>
      <c r="G2249" t="s">
        <v>74</v>
      </c>
      <c r="H2249" t="s">
        <v>74</v>
      </c>
      <c r="I2249" t="s">
        <v>38466</v>
      </c>
      <c r="J2249" t="s">
        <v>38467</v>
      </c>
      <c r="K2249" t="s">
        <v>74</v>
      </c>
      <c r="L2249" t="s">
        <v>74</v>
      </c>
      <c r="M2249" t="s">
        <v>78</v>
      </c>
      <c r="N2249" t="s">
        <v>108</v>
      </c>
      <c r="O2249" t="s">
        <v>74</v>
      </c>
      <c r="P2249" t="s">
        <v>74</v>
      </c>
      <c r="Q2249" t="s">
        <v>74</v>
      </c>
      <c r="R2249" t="s">
        <v>74</v>
      </c>
      <c r="S2249" t="s">
        <v>74</v>
      </c>
      <c r="T2249" t="s">
        <v>38468</v>
      </c>
      <c r="U2249" t="s">
        <v>2584</v>
      </c>
      <c r="V2249" t="s">
        <v>38469</v>
      </c>
      <c r="W2249" t="s">
        <v>38470</v>
      </c>
      <c r="X2249" t="s">
        <v>38471</v>
      </c>
      <c r="Y2249" t="s">
        <v>38472</v>
      </c>
      <c r="Z2249" t="s">
        <v>38473</v>
      </c>
      <c r="AA2249" t="s">
        <v>38474</v>
      </c>
      <c r="AB2249" t="s">
        <v>38475</v>
      </c>
      <c r="AC2249" t="s">
        <v>74</v>
      </c>
      <c r="AD2249" t="s">
        <v>74</v>
      </c>
      <c r="AE2249" t="s">
        <v>74</v>
      </c>
      <c r="AF2249" t="s">
        <v>74</v>
      </c>
      <c r="AG2249">
        <v>60</v>
      </c>
      <c r="AH2249">
        <v>0</v>
      </c>
      <c r="AI2249">
        <v>0</v>
      </c>
      <c r="AJ2249">
        <v>2</v>
      </c>
      <c r="AK2249">
        <v>2</v>
      </c>
      <c r="AL2249" t="s">
        <v>3632</v>
      </c>
      <c r="AM2249" t="s">
        <v>148</v>
      </c>
      <c r="AN2249" t="s">
        <v>5053</v>
      </c>
      <c r="AO2249" t="s">
        <v>38476</v>
      </c>
      <c r="AP2249" t="s">
        <v>38477</v>
      </c>
      <c r="AQ2249" t="s">
        <v>74</v>
      </c>
      <c r="AR2249" t="s">
        <v>38478</v>
      </c>
      <c r="AS2249" t="s">
        <v>38479</v>
      </c>
      <c r="AT2249" t="s">
        <v>594</v>
      </c>
      <c r="AU2249">
        <v>2024</v>
      </c>
      <c r="AV2249">
        <v>80</v>
      </c>
      <c r="AW2249" t="s">
        <v>74</v>
      </c>
      <c r="AX2249" t="s">
        <v>74</v>
      </c>
      <c r="AY2249" t="s">
        <v>74</v>
      </c>
      <c r="AZ2249" t="s">
        <v>74</v>
      </c>
      <c r="BA2249" t="s">
        <v>74</v>
      </c>
      <c r="BB2249" t="s">
        <v>74</v>
      </c>
      <c r="BC2249" t="s">
        <v>74</v>
      </c>
      <c r="BD2249">
        <v>104128</v>
      </c>
      <c r="BE2249" t="s">
        <v>38480</v>
      </c>
      <c r="BF2249" t="str">
        <f>HYPERLINK("http://dx.doi.org/10.1016/j.nepr.2024.104128","http://dx.doi.org/10.1016/j.nepr.2024.104128")</f>
        <v>http://dx.doi.org/10.1016/j.nepr.2024.104128</v>
      </c>
      <c r="BG2249" t="s">
        <v>74</v>
      </c>
      <c r="BH2249" t="s">
        <v>337</v>
      </c>
      <c r="BI2249">
        <v>14</v>
      </c>
      <c r="BJ2249" t="s">
        <v>8110</v>
      </c>
      <c r="BK2249" t="s">
        <v>182</v>
      </c>
      <c r="BL2249" t="s">
        <v>8110</v>
      </c>
      <c r="BM2249" t="s">
        <v>38481</v>
      </c>
      <c r="BN2249">
        <v>39293167</v>
      </c>
      <c r="BO2249" t="s">
        <v>156</v>
      </c>
      <c r="BP2249" t="s">
        <v>74</v>
      </c>
      <c r="BQ2249" t="s">
        <v>74</v>
      </c>
      <c r="BR2249" t="s">
        <v>102</v>
      </c>
      <c r="BS2249" t="s">
        <v>38482</v>
      </c>
      <c r="BT2249" t="str">
        <f>HYPERLINK("https%3A%2F%2Fwww.webofscience.com%2Fwos%2Fwoscc%2Ffull-record%2FWOS:001321495100001","View Full Record in Web of Science")</f>
        <v>View Full Record in Web of Science</v>
      </c>
    </row>
    <row r="2250" spans="1:72" x14ac:dyDescent="0.35">
      <c r="A2250" t="s">
        <v>72</v>
      </c>
      <c r="B2250" t="s">
        <v>38483</v>
      </c>
      <c r="C2250" t="s">
        <v>74</v>
      </c>
      <c r="D2250" t="s">
        <v>74</v>
      </c>
      <c r="E2250" t="s">
        <v>74</v>
      </c>
      <c r="F2250" t="s">
        <v>38484</v>
      </c>
      <c r="G2250" t="s">
        <v>74</v>
      </c>
      <c r="H2250" t="s">
        <v>74</v>
      </c>
      <c r="I2250" t="s">
        <v>38485</v>
      </c>
      <c r="J2250" t="s">
        <v>531</v>
      </c>
      <c r="K2250" t="s">
        <v>74</v>
      </c>
      <c r="L2250" t="s">
        <v>74</v>
      </c>
      <c r="M2250" t="s">
        <v>78</v>
      </c>
      <c r="N2250" t="s">
        <v>108</v>
      </c>
      <c r="O2250" t="s">
        <v>74</v>
      </c>
      <c r="P2250" t="s">
        <v>74</v>
      </c>
      <c r="Q2250" t="s">
        <v>74</v>
      </c>
      <c r="R2250" t="s">
        <v>74</v>
      </c>
      <c r="S2250" t="s">
        <v>74</v>
      </c>
      <c r="T2250" t="s">
        <v>38486</v>
      </c>
      <c r="U2250" t="s">
        <v>5024</v>
      </c>
      <c r="V2250" t="s">
        <v>38487</v>
      </c>
      <c r="W2250" t="s">
        <v>38488</v>
      </c>
      <c r="X2250" t="s">
        <v>74</v>
      </c>
      <c r="Y2250" t="s">
        <v>38489</v>
      </c>
      <c r="Z2250" t="s">
        <v>38490</v>
      </c>
      <c r="AA2250" t="s">
        <v>38491</v>
      </c>
      <c r="AB2250" t="s">
        <v>38492</v>
      </c>
      <c r="AC2250" t="s">
        <v>38493</v>
      </c>
      <c r="AD2250" t="s">
        <v>38494</v>
      </c>
      <c r="AE2250" t="s">
        <v>38495</v>
      </c>
      <c r="AF2250" t="s">
        <v>74</v>
      </c>
      <c r="AG2250">
        <v>20</v>
      </c>
      <c r="AH2250">
        <v>0</v>
      </c>
      <c r="AI2250">
        <v>0</v>
      </c>
      <c r="AJ2250">
        <v>0</v>
      </c>
      <c r="AK2250">
        <v>0</v>
      </c>
      <c r="AL2250" t="s">
        <v>543</v>
      </c>
      <c r="AM2250" t="s">
        <v>544</v>
      </c>
      <c r="AN2250" t="s">
        <v>545</v>
      </c>
      <c r="AO2250" t="s">
        <v>74</v>
      </c>
      <c r="AP2250" t="s">
        <v>546</v>
      </c>
      <c r="AQ2250" t="s">
        <v>74</v>
      </c>
      <c r="AR2250" t="s">
        <v>547</v>
      </c>
      <c r="AS2250" t="s">
        <v>548</v>
      </c>
      <c r="AT2250" t="s">
        <v>74</v>
      </c>
      <c r="AU2250">
        <v>2024</v>
      </c>
      <c r="AV2250">
        <v>8</v>
      </c>
      <c r="AW2250" t="s">
        <v>74</v>
      </c>
      <c r="AX2250" t="s">
        <v>74</v>
      </c>
      <c r="AY2250" t="s">
        <v>74</v>
      </c>
      <c r="AZ2250" t="s">
        <v>74</v>
      </c>
      <c r="BA2250" t="s">
        <v>74</v>
      </c>
      <c r="BB2250" t="s">
        <v>74</v>
      </c>
      <c r="BC2250" t="s">
        <v>74</v>
      </c>
      <c r="BD2250" t="s">
        <v>38496</v>
      </c>
      <c r="BE2250" t="s">
        <v>38497</v>
      </c>
      <c r="BF2250" t="str">
        <f>HYPERLINK("http://dx.doi.org/10.2196/50561","http://dx.doi.org/10.2196/50561")</f>
        <v>http://dx.doi.org/10.2196/50561</v>
      </c>
      <c r="BG2250" t="s">
        <v>74</v>
      </c>
      <c r="BH2250" t="s">
        <v>74</v>
      </c>
      <c r="BI2250">
        <v>7</v>
      </c>
      <c r="BJ2250" t="s">
        <v>550</v>
      </c>
      <c r="BK2250" t="s">
        <v>125</v>
      </c>
      <c r="BL2250" t="s">
        <v>550</v>
      </c>
      <c r="BM2250" t="s">
        <v>38498</v>
      </c>
      <c r="BN2250">
        <v>38324352</v>
      </c>
      <c r="BO2250" t="s">
        <v>394</v>
      </c>
      <c r="BP2250" t="s">
        <v>74</v>
      </c>
      <c r="BQ2250" t="s">
        <v>74</v>
      </c>
      <c r="BR2250" t="s">
        <v>102</v>
      </c>
      <c r="BS2250" t="s">
        <v>38499</v>
      </c>
      <c r="BT2250" t="str">
        <f>HYPERLINK("https%3A%2F%2Fwww.webofscience.com%2Fwos%2Fwoscc%2Ffull-record%2FWOS:001165179600003","View Full Record in Web of Science")</f>
        <v>View Full Record in Web of Science</v>
      </c>
    </row>
    <row r="2251" spans="1:72" x14ac:dyDescent="0.35">
      <c r="A2251" t="s">
        <v>72</v>
      </c>
      <c r="B2251" t="s">
        <v>38500</v>
      </c>
      <c r="C2251" t="s">
        <v>74</v>
      </c>
      <c r="D2251" t="s">
        <v>74</v>
      </c>
      <c r="E2251" t="s">
        <v>74</v>
      </c>
      <c r="F2251" t="s">
        <v>38501</v>
      </c>
      <c r="G2251" t="s">
        <v>74</v>
      </c>
      <c r="H2251" t="s">
        <v>74</v>
      </c>
      <c r="I2251" t="s">
        <v>38502</v>
      </c>
      <c r="J2251" t="s">
        <v>38503</v>
      </c>
      <c r="K2251" t="s">
        <v>74</v>
      </c>
      <c r="L2251" t="s">
        <v>74</v>
      </c>
      <c r="M2251" t="s">
        <v>78</v>
      </c>
      <c r="N2251" t="s">
        <v>108</v>
      </c>
      <c r="O2251" t="s">
        <v>74</v>
      </c>
      <c r="P2251" t="s">
        <v>74</v>
      </c>
      <c r="Q2251" t="s">
        <v>74</v>
      </c>
      <c r="R2251" t="s">
        <v>74</v>
      </c>
      <c r="S2251" t="s">
        <v>74</v>
      </c>
      <c r="T2251" t="s">
        <v>38504</v>
      </c>
      <c r="U2251" t="s">
        <v>38505</v>
      </c>
      <c r="V2251" t="s">
        <v>38506</v>
      </c>
      <c r="W2251" t="s">
        <v>38507</v>
      </c>
      <c r="X2251" t="s">
        <v>38508</v>
      </c>
      <c r="Y2251" t="s">
        <v>38509</v>
      </c>
      <c r="Z2251" t="s">
        <v>38510</v>
      </c>
      <c r="AA2251" t="s">
        <v>74</v>
      </c>
      <c r="AB2251" t="s">
        <v>38511</v>
      </c>
      <c r="AC2251" t="s">
        <v>74</v>
      </c>
      <c r="AD2251" t="s">
        <v>74</v>
      </c>
      <c r="AE2251" t="s">
        <v>74</v>
      </c>
      <c r="AF2251" t="s">
        <v>74</v>
      </c>
      <c r="AG2251">
        <v>65</v>
      </c>
      <c r="AH2251">
        <v>6</v>
      </c>
      <c r="AI2251">
        <v>9</v>
      </c>
      <c r="AJ2251">
        <v>0</v>
      </c>
      <c r="AK2251">
        <v>25</v>
      </c>
      <c r="AL2251" t="s">
        <v>38512</v>
      </c>
      <c r="AM2251" t="s">
        <v>38513</v>
      </c>
      <c r="AN2251" t="s">
        <v>38514</v>
      </c>
      <c r="AO2251" t="s">
        <v>38515</v>
      </c>
      <c r="AP2251" t="s">
        <v>74</v>
      </c>
      <c r="AQ2251" t="s">
        <v>74</v>
      </c>
      <c r="AR2251" t="s">
        <v>38516</v>
      </c>
      <c r="AS2251" t="s">
        <v>38517</v>
      </c>
      <c r="AT2251" t="s">
        <v>1275</v>
      </c>
      <c r="AU2251">
        <v>2021</v>
      </c>
      <c r="AV2251">
        <v>20</v>
      </c>
      <c r="AW2251">
        <v>4</v>
      </c>
      <c r="AX2251" t="s">
        <v>74</v>
      </c>
      <c r="AY2251" t="s">
        <v>74</v>
      </c>
      <c r="AZ2251" t="s">
        <v>74</v>
      </c>
      <c r="BA2251" t="s">
        <v>74</v>
      </c>
      <c r="BB2251">
        <v>642</v>
      </c>
      <c r="BC2251">
        <v>654</v>
      </c>
      <c r="BD2251" t="s">
        <v>74</v>
      </c>
      <c r="BE2251" t="s">
        <v>38518</v>
      </c>
      <c r="BF2251" t="str">
        <f>HYPERLINK("http://dx.doi.org/10.52082/jssm.2021.642","http://dx.doi.org/10.52082/jssm.2021.642")</f>
        <v>http://dx.doi.org/10.52082/jssm.2021.642</v>
      </c>
      <c r="BG2251" t="s">
        <v>74</v>
      </c>
      <c r="BH2251" t="s">
        <v>74</v>
      </c>
      <c r="BI2251">
        <v>13</v>
      </c>
      <c r="BJ2251" t="s">
        <v>1321</v>
      </c>
      <c r="BK2251" t="s">
        <v>182</v>
      </c>
      <c r="BL2251" t="s">
        <v>1321</v>
      </c>
      <c r="BM2251" t="s">
        <v>38519</v>
      </c>
      <c r="BN2251">
        <v>35321129</v>
      </c>
      <c r="BO2251" t="s">
        <v>1343</v>
      </c>
      <c r="BP2251" t="s">
        <v>74</v>
      </c>
      <c r="BQ2251" t="s">
        <v>74</v>
      </c>
      <c r="BR2251" t="s">
        <v>102</v>
      </c>
      <c r="BS2251" t="s">
        <v>38520</v>
      </c>
      <c r="BT2251" t="str">
        <f>HYPERLINK("https%3A%2F%2Fwww.webofscience.com%2Fwos%2Fwoscc%2Ffull-record%2FWOS:000704890300007","View Full Record in Web of Science")</f>
        <v>View Full Record in Web of Science</v>
      </c>
    </row>
    <row r="2252" spans="1:72" x14ac:dyDescent="0.35">
      <c r="A2252" t="s">
        <v>72</v>
      </c>
      <c r="B2252" t="s">
        <v>38521</v>
      </c>
      <c r="C2252" t="s">
        <v>74</v>
      </c>
      <c r="D2252" t="s">
        <v>74</v>
      </c>
      <c r="E2252" t="s">
        <v>74</v>
      </c>
      <c r="F2252" t="s">
        <v>38522</v>
      </c>
      <c r="G2252" t="s">
        <v>74</v>
      </c>
      <c r="H2252" t="s">
        <v>74</v>
      </c>
      <c r="I2252" t="s">
        <v>38523</v>
      </c>
      <c r="J2252" t="s">
        <v>17005</v>
      </c>
      <c r="K2252" t="s">
        <v>74</v>
      </c>
      <c r="L2252" t="s">
        <v>74</v>
      </c>
      <c r="M2252" t="s">
        <v>78</v>
      </c>
      <c r="N2252" t="s">
        <v>108</v>
      </c>
      <c r="O2252" t="s">
        <v>74</v>
      </c>
      <c r="P2252" t="s">
        <v>74</v>
      </c>
      <c r="Q2252" t="s">
        <v>74</v>
      </c>
      <c r="R2252" t="s">
        <v>74</v>
      </c>
      <c r="S2252" t="s">
        <v>74</v>
      </c>
      <c r="T2252" t="s">
        <v>38524</v>
      </c>
      <c r="U2252" t="s">
        <v>74</v>
      </c>
      <c r="V2252" t="s">
        <v>38525</v>
      </c>
      <c r="W2252" t="s">
        <v>38526</v>
      </c>
      <c r="X2252" t="s">
        <v>38527</v>
      </c>
      <c r="Y2252" t="s">
        <v>38528</v>
      </c>
      <c r="Z2252" t="s">
        <v>38529</v>
      </c>
      <c r="AA2252" t="s">
        <v>74</v>
      </c>
      <c r="AB2252" t="s">
        <v>74</v>
      </c>
      <c r="AC2252" t="s">
        <v>74</v>
      </c>
      <c r="AD2252" t="s">
        <v>74</v>
      </c>
      <c r="AE2252" t="s">
        <v>74</v>
      </c>
      <c r="AF2252" t="s">
        <v>74</v>
      </c>
      <c r="AG2252">
        <v>35</v>
      </c>
      <c r="AH2252">
        <v>2</v>
      </c>
      <c r="AI2252">
        <v>3</v>
      </c>
      <c r="AJ2252">
        <v>3</v>
      </c>
      <c r="AK2252">
        <v>3</v>
      </c>
      <c r="AL2252" t="s">
        <v>870</v>
      </c>
      <c r="AM2252" t="s">
        <v>871</v>
      </c>
      <c r="AN2252" t="s">
        <v>872</v>
      </c>
      <c r="AO2252" t="s">
        <v>17011</v>
      </c>
      <c r="AP2252" t="s">
        <v>17012</v>
      </c>
      <c r="AQ2252" t="s">
        <v>74</v>
      </c>
      <c r="AR2252" t="s">
        <v>17013</v>
      </c>
      <c r="AS2252" t="s">
        <v>17014</v>
      </c>
      <c r="AT2252" t="s">
        <v>594</v>
      </c>
      <c r="AU2252">
        <v>2024</v>
      </c>
      <c r="AV2252">
        <v>11</v>
      </c>
      <c r="AW2252" t="s">
        <v>4010</v>
      </c>
      <c r="AX2252" t="s">
        <v>74</v>
      </c>
      <c r="AY2252" t="s">
        <v>74</v>
      </c>
      <c r="AZ2252" t="s">
        <v>74</v>
      </c>
      <c r="BA2252" t="s">
        <v>74</v>
      </c>
      <c r="BB2252">
        <v>459</v>
      </c>
      <c r="BC2252">
        <v>473</v>
      </c>
      <c r="BD2252" t="s">
        <v>74</v>
      </c>
      <c r="BE2252" t="s">
        <v>38530</v>
      </c>
      <c r="BF2252" t="str">
        <f>HYPERLINK("http://dx.doi.org/10.1386/fspc_00121_1","http://dx.doi.org/10.1386/fspc_00121_1")</f>
        <v>http://dx.doi.org/10.1386/fspc_00121_1</v>
      </c>
      <c r="BG2252" t="s">
        <v>74</v>
      </c>
      <c r="BH2252" t="s">
        <v>74</v>
      </c>
      <c r="BI2252">
        <v>15</v>
      </c>
      <c r="BJ2252" t="s">
        <v>4461</v>
      </c>
      <c r="BK2252" t="s">
        <v>125</v>
      </c>
      <c r="BL2252" t="s">
        <v>4462</v>
      </c>
      <c r="BM2252" t="s">
        <v>38531</v>
      </c>
      <c r="BN2252" t="s">
        <v>74</v>
      </c>
      <c r="BO2252" t="s">
        <v>74</v>
      </c>
      <c r="BP2252" t="s">
        <v>74</v>
      </c>
      <c r="BQ2252" t="s">
        <v>74</v>
      </c>
      <c r="BR2252" t="s">
        <v>102</v>
      </c>
      <c r="BS2252" t="s">
        <v>38532</v>
      </c>
      <c r="BT2252" t="str">
        <f>HYPERLINK("https%3A%2F%2Fwww.webofscience.com%2Fwos%2Fwoscc%2Ffull-record%2FWOS:001306994400004","View Full Record in Web of Science")</f>
        <v>View Full Record in Web of Science</v>
      </c>
    </row>
    <row r="2253" spans="1:72" x14ac:dyDescent="0.35">
      <c r="A2253" t="s">
        <v>72</v>
      </c>
      <c r="B2253" t="s">
        <v>38533</v>
      </c>
      <c r="C2253" t="s">
        <v>74</v>
      </c>
      <c r="D2253" t="s">
        <v>74</v>
      </c>
      <c r="E2253" t="s">
        <v>74</v>
      </c>
      <c r="F2253" t="s">
        <v>38534</v>
      </c>
      <c r="G2253" t="s">
        <v>74</v>
      </c>
      <c r="H2253" t="s">
        <v>74</v>
      </c>
      <c r="I2253" t="s">
        <v>38535</v>
      </c>
      <c r="J2253" t="s">
        <v>38536</v>
      </c>
      <c r="K2253" t="s">
        <v>74</v>
      </c>
      <c r="L2253" t="s">
        <v>74</v>
      </c>
      <c r="M2253" t="s">
        <v>78</v>
      </c>
      <c r="N2253" t="s">
        <v>374</v>
      </c>
      <c r="O2253" t="s">
        <v>74</v>
      </c>
      <c r="P2253" t="s">
        <v>74</v>
      </c>
      <c r="Q2253" t="s">
        <v>74</v>
      </c>
      <c r="R2253" t="s">
        <v>74</v>
      </c>
      <c r="S2253" t="s">
        <v>74</v>
      </c>
      <c r="T2253" t="s">
        <v>38537</v>
      </c>
      <c r="U2253" t="s">
        <v>38538</v>
      </c>
      <c r="V2253" t="s">
        <v>38539</v>
      </c>
      <c r="W2253" t="s">
        <v>38540</v>
      </c>
      <c r="X2253" t="s">
        <v>38541</v>
      </c>
      <c r="Y2253" t="s">
        <v>38542</v>
      </c>
      <c r="Z2253" t="s">
        <v>35229</v>
      </c>
      <c r="AA2253" t="s">
        <v>38543</v>
      </c>
      <c r="AB2253" t="s">
        <v>38544</v>
      </c>
      <c r="AC2253" t="s">
        <v>74</v>
      </c>
      <c r="AD2253" t="s">
        <v>74</v>
      </c>
      <c r="AE2253" t="s">
        <v>74</v>
      </c>
      <c r="AF2253" t="s">
        <v>74</v>
      </c>
      <c r="AG2253">
        <v>46</v>
      </c>
      <c r="AH2253">
        <v>4</v>
      </c>
      <c r="AI2253">
        <v>4</v>
      </c>
      <c r="AJ2253">
        <v>0</v>
      </c>
      <c r="AK2253">
        <v>0</v>
      </c>
      <c r="AL2253" t="s">
        <v>803</v>
      </c>
      <c r="AM2253" t="s">
        <v>227</v>
      </c>
      <c r="AN2253" t="s">
        <v>804</v>
      </c>
      <c r="AO2253" t="s">
        <v>74</v>
      </c>
      <c r="AP2253" t="s">
        <v>38545</v>
      </c>
      <c r="AQ2253" t="s">
        <v>74</v>
      </c>
      <c r="AR2253" t="s">
        <v>38546</v>
      </c>
      <c r="AS2253" t="s">
        <v>38547</v>
      </c>
      <c r="AT2253" t="s">
        <v>36384</v>
      </c>
      <c r="AU2253">
        <v>2023</v>
      </c>
      <c r="AV2253">
        <v>3</v>
      </c>
      <c r="AW2253">
        <v>1</v>
      </c>
      <c r="AX2253" t="s">
        <v>74</v>
      </c>
      <c r="AY2253" t="s">
        <v>74</v>
      </c>
      <c r="AZ2253" t="s">
        <v>74</v>
      </c>
      <c r="BA2253" t="s">
        <v>74</v>
      </c>
      <c r="BB2253" t="s">
        <v>74</v>
      </c>
      <c r="BC2253" t="s">
        <v>74</v>
      </c>
      <c r="BD2253">
        <v>2</v>
      </c>
      <c r="BE2253" t="s">
        <v>38548</v>
      </c>
      <c r="BF2253" t="str">
        <f>HYPERLINK("http://dx.doi.org/10.1007/s44202-022-00063-1","http://dx.doi.org/10.1007/s44202-022-00063-1")</f>
        <v>http://dx.doi.org/10.1007/s44202-022-00063-1</v>
      </c>
      <c r="BG2253" t="s">
        <v>74</v>
      </c>
      <c r="BH2253" t="s">
        <v>74</v>
      </c>
      <c r="BI2253">
        <v>19</v>
      </c>
      <c r="BJ2253" t="s">
        <v>698</v>
      </c>
      <c r="BK2253" t="s">
        <v>125</v>
      </c>
      <c r="BL2253" t="s">
        <v>301</v>
      </c>
      <c r="BM2253" t="s">
        <v>38549</v>
      </c>
      <c r="BN2253" t="s">
        <v>74</v>
      </c>
      <c r="BO2253" t="s">
        <v>552</v>
      </c>
      <c r="BP2253" t="s">
        <v>74</v>
      </c>
      <c r="BQ2253" t="s">
        <v>74</v>
      </c>
      <c r="BR2253" t="s">
        <v>102</v>
      </c>
      <c r="BS2253" t="s">
        <v>38550</v>
      </c>
      <c r="BT2253" t="str">
        <f>HYPERLINK("https%3A%2F%2Fwww.webofscience.com%2Fwos%2Fwoscc%2Ffull-record%2FWOS:001319536500001","View Full Record in Web of Science")</f>
        <v>View Full Record in Web of Science</v>
      </c>
    </row>
    <row r="2254" spans="1:72" x14ac:dyDescent="0.35">
      <c r="A2254" t="s">
        <v>72</v>
      </c>
      <c r="B2254" t="s">
        <v>38551</v>
      </c>
      <c r="C2254" t="s">
        <v>74</v>
      </c>
      <c r="D2254" t="s">
        <v>74</v>
      </c>
      <c r="E2254" t="s">
        <v>74</v>
      </c>
      <c r="F2254" t="s">
        <v>38552</v>
      </c>
      <c r="G2254" t="s">
        <v>74</v>
      </c>
      <c r="H2254" t="s">
        <v>74</v>
      </c>
      <c r="I2254" t="s">
        <v>38553</v>
      </c>
      <c r="J2254" t="s">
        <v>38554</v>
      </c>
      <c r="K2254" t="s">
        <v>74</v>
      </c>
      <c r="L2254" t="s">
        <v>74</v>
      </c>
      <c r="M2254" t="s">
        <v>78</v>
      </c>
      <c r="N2254" t="s">
        <v>108</v>
      </c>
      <c r="O2254" t="s">
        <v>74</v>
      </c>
      <c r="P2254" t="s">
        <v>74</v>
      </c>
      <c r="Q2254" t="s">
        <v>74</v>
      </c>
      <c r="R2254" t="s">
        <v>74</v>
      </c>
      <c r="S2254" t="s">
        <v>74</v>
      </c>
      <c r="T2254" t="s">
        <v>38555</v>
      </c>
      <c r="U2254" t="s">
        <v>74</v>
      </c>
      <c r="V2254" t="s">
        <v>38556</v>
      </c>
      <c r="W2254" t="s">
        <v>38557</v>
      </c>
      <c r="X2254" t="s">
        <v>38558</v>
      </c>
      <c r="Y2254" t="s">
        <v>38559</v>
      </c>
      <c r="Z2254" t="s">
        <v>74</v>
      </c>
      <c r="AA2254" t="s">
        <v>74</v>
      </c>
      <c r="AB2254" t="s">
        <v>74</v>
      </c>
      <c r="AC2254" t="s">
        <v>74</v>
      </c>
      <c r="AD2254" t="s">
        <v>74</v>
      </c>
      <c r="AE2254" t="s">
        <v>74</v>
      </c>
      <c r="AF2254" t="s">
        <v>74</v>
      </c>
      <c r="AG2254">
        <v>69</v>
      </c>
      <c r="AH2254">
        <v>0</v>
      </c>
      <c r="AI2254">
        <v>0</v>
      </c>
      <c r="AJ2254">
        <v>1</v>
      </c>
      <c r="AK2254">
        <v>7</v>
      </c>
      <c r="AL2254" t="s">
        <v>3168</v>
      </c>
      <c r="AM2254" t="s">
        <v>3169</v>
      </c>
      <c r="AN2254" t="s">
        <v>3170</v>
      </c>
      <c r="AO2254" t="s">
        <v>38560</v>
      </c>
      <c r="AP2254" t="s">
        <v>38561</v>
      </c>
      <c r="AQ2254" t="s">
        <v>74</v>
      </c>
      <c r="AR2254" t="s">
        <v>38562</v>
      </c>
      <c r="AS2254" t="s">
        <v>38563</v>
      </c>
      <c r="AT2254" t="s">
        <v>745</v>
      </c>
      <c r="AU2254">
        <v>2022</v>
      </c>
      <c r="AV2254">
        <v>16</v>
      </c>
      <c r="AW2254">
        <v>2</v>
      </c>
      <c r="AX2254" t="s">
        <v>74</v>
      </c>
      <c r="AY2254" t="s">
        <v>74</v>
      </c>
      <c r="AZ2254" t="s">
        <v>74</v>
      </c>
      <c r="BA2254" t="s">
        <v>74</v>
      </c>
      <c r="BB2254">
        <v>277</v>
      </c>
      <c r="BC2254">
        <v>307</v>
      </c>
      <c r="BD2254" t="s">
        <v>74</v>
      </c>
      <c r="BE2254" t="s">
        <v>38564</v>
      </c>
      <c r="BF2254" t="str">
        <f>HYPERLINK("http://dx.doi.org/10.3366/dlgs.2022.0478","http://dx.doi.org/10.3366/dlgs.2022.0478")</f>
        <v>http://dx.doi.org/10.3366/dlgs.2022.0478</v>
      </c>
      <c r="BG2254" t="s">
        <v>74</v>
      </c>
      <c r="BH2254" t="s">
        <v>74</v>
      </c>
      <c r="BI2254">
        <v>31</v>
      </c>
      <c r="BJ2254" t="s">
        <v>2686</v>
      </c>
      <c r="BK2254" t="s">
        <v>316</v>
      </c>
      <c r="BL2254" t="s">
        <v>2686</v>
      </c>
      <c r="BM2254" t="s">
        <v>38565</v>
      </c>
      <c r="BN2254" t="s">
        <v>74</v>
      </c>
      <c r="BO2254" t="s">
        <v>74</v>
      </c>
      <c r="BP2254" t="s">
        <v>74</v>
      </c>
      <c r="BQ2254" t="s">
        <v>74</v>
      </c>
      <c r="BR2254" t="s">
        <v>102</v>
      </c>
      <c r="BS2254" t="s">
        <v>38566</v>
      </c>
      <c r="BT2254" t="str">
        <f>HYPERLINK("https%3A%2F%2Fwww.webofscience.com%2Fwos%2Fwoscc%2Ffull-record%2FWOS:000794034900007","View Full Record in Web of Science")</f>
        <v>View Full Record in Web of Science</v>
      </c>
    </row>
    <row r="2255" spans="1:72" x14ac:dyDescent="0.35">
      <c r="A2255" t="s">
        <v>72</v>
      </c>
      <c r="B2255" t="s">
        <v>38567</v>
      </c>
      <c r="C2255" t="s">
        <v>74</v>
      </c>
      <c r="D2255" t="s">
        <v>74</v>
      </c>
      <c r="E2255" t="s">
        <v>74</v>
      </c>
      <c r="F2255" t="s">
        <v>38568</v>
      </c>
      <c r="G2255" t="s">
        <v>74</v>
      </c>
      <c r="H2255" t="s">
        <v>74</v>
      </c>
      <c r="I2255" t="s">
        <v>38569</v>
      </c>
      <c r="J2255" t="s">
        <v>38570</v>
      </c>
      <c r="K2255" t="s">
        <v>74</v>
      </c>
      <c r="L2255" t="s">
        <v>74</v>
      </c>
      <c r="M2255" t="s">
        <v>78</v>
      </c>
      <c r="N2255" t="s">
        <v>38211</v>
      </c>
      <c r="O2255" t="s">
        <v>74</v>
      </c>
      <c r="P2255" t="s">
        <v>74</v>
      </c>
      <c r="Q2255" t="s">
        <v>74</v>
      </c>
      <c r="R2255" t="s">
        <v>74</v>
      </c>
      <c r="S2255" t="s">
        <v>74</v>
      </c>
      <c r="T2255" t="s">
        <v>74</v>
      </c>
      <c r="U2255" t="s">
        <v>38571</v>
      </c>
      <c r="V2255" t="s">
        <v>38572</v>
      </c>
      <c r="W2255" t="s">
        <v>38573</v>
      </c>
      <c r="X2255" t="s">
        <v>37389</v>
      </c>
      <c r="Y2255" t="s">
        <v>38574</v>
      </c>
      <c r="Z2255" t="s">
        <v>38575</v>
      </c>
      <c r="AA2255" t="s">
        <v>74</v>
      </c>
      <c r="AB2255" t="s">
        <v>74</v>
      </c>
      <c r="AC2255" t="s">
        <v>74</v>
      </c>
      <c r="AD2255" t="s">
        <v>74</v>
      </c>
      <c r="AE2255" t="s">
        <v>74</v>
      </c>
      <c r="AF2255" t="s">
        <v>74</v>
      </c>
      <c r="AG2255">
        <v>18</v>
      </c>
      <c r="AH2255">
        <v>0</v>
      </c>
      <c r="AI2255">
        <v>0</v>
      </c>
      <c r="AJ2255">
        <v>1</v>
      </c>
      <c r="AK2255">
        <v>26</v>
      </c>
      <c r="AL2255" t="s">
        <v>22986</v>
      </c>
      <c r="AM2255" t="s">
        <v>227</v>
      </c>
      <c r="AN2255" t="s">
        <v>22987</v>
      </c>
      <c r="AO2255" t="s">
        <v>38576</v>
      </c>
      <c r="AP2255" t="s">
        <v>38577</v>
      </c>
      <c r="AQ2255" t="s">
        <v>74</v>
      </c>
      <c r="AR2255" t="s">
        <v>38578</v>
      </c>
      <c r="AS2255" t="s">
        <v>38579</v>
      </c>
      <c r="AT2255" t="s">
        <v>5073</v>
      </c>
      <c r="AU2255">
        <v>2022</v>
      </c>
      <c r="AV2255">
        <v>2022</v>
      </c>
      <c r="AW2255" t="s">
        <v>74</v>
      </c>
      <c r="AX2255" t="s">
        <v>74</v>
      </c>
      <c r="AY2255" t="s">
        <v>74</v>
      </c>
      <c r="AZ2255" t="s">
        <v>74</v>
      </c>
      <c r="BA2255" t="s">
        <v>74</v>
      </c>
      <c r="BB2255" t="s">
        <v>74</v>
      </c>
      <c r="BC2255" t="s">
        <v>74</v>
      </c>
      <c r="BD2255">
        <v>8084536</v>
      </c>
      <c r="BE2255" t="s">
        <v>38580</v>
      </c>
      <c r="BF2255" t="str">
        <f>HYPERLINK("http://dx.doi.org/10.1155/2022/8084536","http://dx.doi.org/10.1155/2022/8084536")</f>
        <v>http://dx.doi.org/10.1155/2022/8084536</v>
      </c>
      <c r="BG2255" t="s">
        <v>74</v>
      </c>
      <c r="BH2255" t="s">
        <v>74</v>
      </c>
      <c r="BI2255">
        <v>6</v>
      </c>
      <c r="BJ2255" t="s">
        <v>25129</v>
      </c>
      <c r="BK2255" t="s">
        <v>209</v>
      </c>
      <c r="BL2255" t="s">
        <v>25130</v>
      </c>
      <c r="BM2255" t="s">
        <v>38581</v>
      </c>
      <c r="BN2255" t="s">
        <v>74</v>
      </c>
      <c r="BO2255" t="s">
        <v>156</v>
      </c>
      <c r="BP2255" t="s">
        <v>74</v>
      </c>
      <c r="BQ2255" t="s">
        <v>74</v>
      </c>
      <c r="BR2255" t="s">
        <v>102</v>
      </c>
      <c r="BS2255" t="s">
        <v>38582</v>
      </c>
      <c r="BT2255" t="str">
        <f>HYPERLINK("https%3A%2F%2Fwww.webofscience.com%2Fwos%2Fwoscc%2Ffull-record%2FWOS:000835064700003","View Full Record in Web of Science")</f>
        <v>View Full Record in Web of Science</v>
      </c>
    </row>
    <row r="2256" spans="1:72" x14ac:dyDescent="0.35">
      <c r="A2256" t="s">
        <v>72</v>
      </c>
      <c r="B2256" t="s">
        <v>38583</v>
      </c>
      <c r="C2256" t="s">
        <v>74</v>
      </c>
      <c r="D2256" t="s">
        <v>74</v>
      </c>
      <c r="E2256" t="s">
        <v>74</v>
      </c>
      <c r="F2256" t="s">
        <v>38584</v>
      </c>
      <c r="G2256" t="s">
        <v>74</v>
      </c>
      <c r="H2256" t="s">
        <v>74</v>
      </c>
      <c r="I2256" t="s">
        <v>38585</v>
      </c>
      <c r="J2256" t="s">
        <v>16203</v>
      </c>
      <c r="K2256" t="s">
        <v>74</v>
      </c>
      <c r="L2256" t="s">
        <v>74</v>
      </c>
      <c r="M2256" t="s">
        <v>78</v>
      </c>
      <c r="N2256" t="s">
        <v>108</v>
      </c>
      <c r="O2256" t="s">
        <v>74</v>
      </c>
      <c r="P2256" t="s">
        <v>74</v>
      </c>
      <c r="Q2256" t="s">
        <v>74</v>
      </c>
      <c r="R2256" t="s">
        <v>74</v>
      </c>
      <c r="S2256" t="s">
        <v>74</v>
      </c>
      <c r="T2256" t="s">
        <v>38586</v>
      </c>
      <c r="U2256" t="s">
        <v>38587</v>
      </c>
      <c r="V2256" t="s">
        <v>38588</v>
      </c>
      <c r="W2256" t="s">
        <v>38589</v>
      </c>
      <c r="X2256" t="s">
        <v>38590</v>
      </c>
      <c r="Y2256" t="s">
        <v>38591</v>
      </c>
      <c r="Z2256" t="s">
        <v>38592</v>
      </c>
      <c r="AA2256" t="s">
        <v>38593</v>
      </c>
      <c r="AB2256" t="s">
        <v>74</v>
      </c>
      <c r="AC2256" t="s">
        <v>38594</v>
      </c>
      <c r="AD2256" t="s">
        <v>38594</v>
      </c>
      <c r="AE2256" t="s">
        <v>38595</v>
      </c>
      <c r="AF2256" t="s">
        <v>74</v>
      </c>
      <c r="AG2256">
        <v>93</v>
      </c>
      <c r="AH2256">
        <v>6</v>
      </c>
      <c r="AI2256">
        <v>6</v>
      </c>
      <c r="AJ2256">
        <v>6</v>
      </c>
      <c r="AK2256">
        <v>67</v>
      </c>
      <c r="AL2256" t="s">
        <v>384</v>
      </c>
      <c r="AM2256" t="s">
        <v>385</v>
      </c>
      <c r="AN2256" t="s">
        <v>386</v>
      </c>
      <c r="AO2256" t="s">
        <v>16213</v>
      </c>
      <c r="AP2256" t="s">
        <v>74</v>
      </c>
      <c r="AQ2256" t="s">
        <v>74</v>
      </c>
      <c r="AR2256" t="s">
        <v>16214</v>
      </c>
      <c r="AS2256" t="s">
        <v>16215</v>
      </c>
      <c r="AT2256" t="s">
        <v>4184</v>
      </c>
      <c r="AU2256">
        <v>2022</v>
      </c>
      <c r="AV2256">
        <v>13</v>
      </c>
      <c r="AW2256" t="s">
        <v>74</v>
      </c>
      <c r="AX2256" t="s">
        <v>74</v>
      </c>
      <c r="AY2256" t="s">
        <v>74</v>
      </c>
      <c r="AZ2256" t="s">
        <v>74</v>
      </c>
      <c r="BA2256" t="s">
        <v>74</v>
      </c>
      <c r="BB2256" t="s">
        <v>74</v>
      </c>
      <c r="BC2256" t="s">
        <v>74</v>
      </c>
      <c r="BD2256">
        <v>1001336</v>
      </c>
      <c r="BE2256" t="s">
        <v>38596</v>
      </c>
      <c r="BF2256" t="str">
        <f>HYPERLINK("http://dx.doi.org/10.3389/fpsyt.2022.1001336","http://dx.doi.org/10.3389/fpsyt.2022.1001336")</f>
        <v>http://dx.doi.org/10.3389/fpsyt.2022.1001336</v>
      </c>
      <c r="BG2256" t="s">
        <v>74</v>
      </c>
      <c r="BH2256" t="s">
        <v>74</v>
      </c>
      <c r="BI2256">
        <v>14</v>
      </c>
      <c r="BJ2256" t="s">
        <v>1847</v>
      </c>
      <c r="BK2256" t="s">
        <v>182</v>
      </c>
      <c r="BL2256" t="s">
        <v>1847</v>
      </c>
      <c r="BM2256" t="s">
        <v>38597</v>
      </c>
      <c r="BN2256">
        <v>36405904</v>
      </c>
      <c r="BO2256" t="s">
        <v>552</v>
      </c>
      <c r="BP2256" t="s">
        <v>74</v>
      </c>
      <c r="BQ2256" t="s">
        <v>74</v>
      </c>
      <c r="BR2256" t="s">
        <v>102</v>
      </c>
      <c r="BS2256" t="s">
        <v>38598</v>
      </c>
      <c r="BT2256" t="str">
        <f>HYPERLINK("https%3A%2F%2Fwww.webofscience.com%2Fwos%2Fwoscc%2Ffull-record%2FWOS:000885932400001","View Full Record in Web of Science")</f>
        <v>View Full Record in Web of Science</v>
      </c>
    </row>
    <row r="2257" spans="1:72" x14ac:dyDescent="0.35">
      <c r="A2257" t="s">
        <v>72</v>
      </c>
      <c r="B2257" t="s">
        <v>38599</v>
      </c>
      <c r="C2257" t="s">
        <v>74</v>
      </c>
      <c r="D2257" t="s">
        <v>74</v>
      </c>
      <c r="E2257" t="s">
        <v>74</v>
      </c>
      <c r="F2257" t="s">
        <v>38600</v>
      </c>
      <c r="G2257" t="s">
        <v>74</v>
      </c>
      <c r="H2257" t="s">
        <v>74</v>
      </c>
      <c r="I2257" t="s">
        <v>38601</v>
      </c>
      <c r="J2257" t="s">
        <v>38602</v>
      </c>
      <c r="K2257" t="s">
        <v>74</v>
      </c>
      <c r="L2257" t="s">
        <v>74</v>
      </c>
      <c r="M2257" t="s">
        <v>78</v>
      </c>
      <c r="N2257" t="s">
        <v>108</v>
      </c>
      <c r="O2257" t="s">
        <v>74</v>
      </c>
      <c r="P2257" t="s">
        <v>74</v>
      </c>
      <c r="Q2257" t="s">
        <v>74</v>
      </c>
      <c r="R2257" t="s">
        <v>74</v>
      </c>
      <c r="S2257" t="s">
        <v>74</v>
      </c>
      <c r="T2257" t="s">
        <v>38603</v>
      </c>
      <c r="U2257" t="s">
        <v>74</v>
      </c>
      <c r="V2257" t="s">
        <v>38604</v>
      </c>
      <c r="W2257" t="s">
        <v>38605</v>
      </c>
      <c r="X2257" t="s">
        <v>7286</v>
      </c>
      <c r="Y2257" t="s">
        <v>38606</v>
      </c>
      <c r="Z2257" t="s">
        <v>38607</v>
      </c>
      <c r="AA2257" t="s">
        <v>38608</v>
      </c>
      <c r="AB2257" t="s">
        <v>38609</v>
      </c>
      <c r="AC2257" t="s">
        <v>38610</v>
      </c>
      <c r="AD2257" t="s">
        <v>38611</v>
      </c>
      <c r="AE2257" t="s">
        <v>38612</v>
      </c>
      <c r="AF2257" t="s">
        <v>74</v>
      </c>
      <c r="AG2257">
        <v>27</v>
      </c>
      <c r="AH2257">
        <v>3</v>
      </c>
      <c r="AI2257">
        <v>3</v>
      </c>
      <c r="AJ2257">
        <v>0</v>
      </c>
      <c r="AK2257">
        <v>3</v>
      </c>
      <c r="AL2257" t="s">
        <v>543</v>
      </c>
      <c r="AM2257" t="s">
        <v>544</v>
      </c>
      <c r="AN2257" t="s">
        <v>545</v>
      </c>
      <c r="AO2257" t="s">
        <v>38613</v>
      </c>
      <c r="AP2257" t="s">
        <v>74</v>
      </c>
      <c r="AQ2257" t="s">
        <v>74</v>
      </c>
      <c r="AR2257" t="s">
        <v>38614</v>
      </c>
      <c r="AS2257" t="s">
        <v>38615</v>
      </c>
      <c r="AT2257" t="s">
        <v>594</v>
      </c>
      <c r="AU2257">
        <v>2022</v>
      </c>
      <c r="AV2257">
        <v>11</v>
      </c>
      <c r="AW2257">
        <v>10</v>
      </c>
      <c r="AX2257" t="s">
        <v>74</v>
      </c>
      <c r="AY2257" t="s">
        <v>74</v>
      </c>
      <c r="AZ2257" t="s">
        <v>74</v>
      </c>
      <c r="BA2257" t="s">
        <v>74</v>
      </c>
      <c r="BB2257" t="s">
        <v>74</v>
      </c>
      <c r="BC2257" t="s">
        <v>74</v>
      </c>
      <c r="BD2257" t="s">
        <v>38616</v>
      </c>
      <c r="BE2257" t="s">
        <v>38617</v>
      </c>
      <c r="BF2257" t="str">
        <f>HYPERLINK("http://dx.doi.org/10.2196/39017","http://dx.doi.org/10.2196/39017")</f>
        <v>http://dx.doi.org/10.2196/39017</v>
      </c>
      <c r="BG2257" t="s">
        <v>74</v>
      </c>
      <c r="BH2257" t="s">
        <v>74</v>
      </c>
      <c r="BI2257">
        <v>8</v>
      </c>
      <c r="BJ2257" t="s">
        <v>4129</v>
      </c>
      <c r="BK2257" t="s">
        <v>125</v>
      </c>
      <c r="BL2257" t="s">
        <v>4129</v>
      </c>
      <c r="BM2257" t="s">
        <v>38618</v>
      </c>
      <c r="BN2257">
        <v>36129809</v>
      </c>
      <c r="BO2257" t="s">
        <v>552</v>
      </c>
      <c r="BP2257" t="s">
        <v>74</v>
      </c>
      <c r="BQ2257" t="s">
        <v>74</v>
      </c>
      <c r="BR2257" t="s">
        <v>102</v>
      </c>
      <c r="BS2257" t="s">
        <v>38619</v>
      </c>
      <c r="BT2257" t="str">
        <f>HYPERLINK("https%3A%2F%2Fwww.webofscience.com%2Fwos%2Fwoscc%2Ffull-record%2FWOS:001077439900015","View Full Record in Web of Science")</f>
        <v>View Full Record in Web of Science</v>
      </c>
    </row>
    <row r="2258" spans="1:72" x14ac:dyDescent="0.35">
      <c r="A2258" t="s">
        <v>72</v>
      </c>
      <c r="B2258" t="s">
        <v>38620</v>
      </c>
      <c r="C2258" t="s">
        <v>74</v>
      </c>
      <c r="D2258" t="s">
        <v>74</v>
      </c>
      <c r="E2258" t="s">
        <v>74</v>
      </c>
      <c r="F2258" t="s">
        <v>38621</v>
      </c>
      <c r="G2258" t="s">
        <v>74</v>
      </c>
      <c r="H2258" t="s">
        <v>74</v>
      </c>
      <c r="I2258" t="s">
        <v>38622</v>
      </c>
      <c r="J2258" t="s">
        <v>681</v>
      </c>
      <c r="K2258" t="s">
        <v>74</v>
      </c>
      <c r="L2258" t="s">
        <v>74</v>
      </c>
      <c r="M2258" t="s">
        <v>78</v>
      </c>
      <c r="N2258" t="s">
        <v>108</v>
      </c>
      <c r="O2258" t="s">
        <v>74</v>
      </c>
      <c r="P2258" t="s">
        <v>74</v>
      </c>
      <c r="Q2258" t="s">
        <v>74</v>
      </c>
      <c r="R2258" t="s">
        <v>74</v>
      </c>
      <c r="S2258" t="s">
        <v>74</v>
      </c>
      <c r="T2258" t="s">
        <v>38623</v>
      </c>
      <c r="U2258" t="s">
        <v>38624</v>
      </c>
      <c r="V2258" t="s">
        <v>38625</v>
      </c>
      <c r="W2258" t="s">
        <v>38626</v>
      </c>
      <c r="X2258" t="s">
        <v>38627</v>
      </c>
      <c r="Y2258" t="s">
        <v>38628</v>
      </c>
      <c r="Z2258" t="s">
        <v>38629</v>
      </c>
      <c r="AA2258" t="s">
        <v>74</v>
      </c>
      <c r="AB2258" t="s">
        <v>38630</v>
      </c>
      <c r="AC2258" t="s">
        <v>74</v>
      </c>
      <c r="AD2258" t="s">
        <v>74</v>
      </c>
      <c r="AE2258" t="s">
        <v>74</v>
      </c>
      <c r="AF2258" t="s">
        <v>74</v>
      </c>
      <c r="AG2258">
        <v>66</v>
      </c>
      <c r="AH2258">
        <v>14</v>
      </c>
      <c r="AI2258">
        <v>15</v>
      </c>
      <c r="AJ2258">
        <v>88</v>
      </c>
      <c r="AK2258">
        <v>567</v>
      </c>
      <c r="AL2258" t="s">
        <v>384</v>
      </c>
      <c r="AM2258" t="s">
        <v>385</v>
      </c>
      <c r="AN2258" t="s">
        <v>386</v>
      </c>
      <c r="AO2258" t="s">
        <v>693</v>
      </c>
      <c r="AP2258" t="s">
        <v>74</v>
      </c>
      <c r="AQ2258" t="s">
        <v>74</v>
      </c>
      <c r="AR2258" t="s">
        <v>694</v>
      </c>
      <c r="AS2258" t="s">
        <v>695</v>
      </c>
      <c r="AT2258" t="s">
        <v>38631</v>
      </c>
      <c r="AU2258">
        <v>2022</v>
      </c>
      <c r="AV2258">
        <v>13</v>
      </c>
      <c r="AW2258" t="s">
        <v>74</v>
      </c>
      <c r="AX2258" t="s">
        <v>74</v>
      </c>
      <c r="AY2258" t="s">
        <v>74</v>
      </c>
      <c r="AZ2258" t="s">
        <v>74</v>
      </c>
      <c r="BA2258" t="s">
        <v>74</v>
      </c>
      <c r="BB2258" t="s">
        <v>74</v>
      </c>
      <c r="BC2258" t="s">
        <v>74</v>
      </c>
      <c r="BD2258">
        <v>938726</v>
      </c>
      <c r="BE2258" t="s">
        <v>38632</v>
      </c>
      <c r="BF2258" t="str">
        <f>HYPERLINK("http://dx.doi.org/10.3389/fpsyg.2022.938726","http://dx.doi.org/10.3389/fpsyg.2022.938726")</f>
        <v>http://dx.doi.org/10.3389/fpsyg.2022.938726</v>
      </c>
      <c r="BG2258" t="s">
        <v>74</v>
      </c>
      <c r="BH2258" t="s">
        <v>74</v>
      </c>
      <c r="BI2258">
        <v>11</v>
      </c>
      <c r="BJ2258" t="s">
        <v>698</v>
      </c>
      <c r="BK2258" t="s">
        <v>99</v>
      </c>
      <c r="BL2258" t="s">
        <v>301</v>
      </c>
      <c r="BM2258" t="s">
        <v>38633</v>
      </c>
      <c r="BN2258">
        <v>35832916</v>
      </c>
      <c r="BO2258" t="s">
        <v>552</v>
      </c>
      <c r="BP2258" t="s">
        <v>74</v>
      </c>
      <c r="BQ2258" t="s">
        <v>74</v>
      </c>
      <c r="BR2258" t="s">
        <v>102</v>
      </c>
      <c r="BS2258" t="s">
        <v>38634</v>
      </c>
      <c r="BT2258" t="str">
        <f>HYPERLINK("https%3A%2F%2Fwww.webofscience.com%2Fwos%2Fwoscc%2Ffull-record%2FWOS:000838207900001","View Full Record in Web of Science")</f>
        <v>View Full Record in Web of Science</v>
      </c>
    </row>
    <row r="2259" spans="1:72" x14ac:dyDescent="0.35">
      <c r="A2259" t="s">
        <v>128</v>
      </c>
      <c r="B2259" t="s">
        <v>38635</v>
      </c>
      <c r="C2259" t="s">
        <v>74</v>
      </c>
      <c r="D2259" t="s">
        <v>38636</v>
      </c>
      <c r="E2259" t="s">
        <v>74</v>
      </c>
      <c r="F2259" t="s">
        <v>38637</v>
      </c>
      <c r="G2259" t="s">
        <v>74</v>
      </c>
      <c r="H2259" t="s">
        <v>74</v>
      </c>
      <c r="I2259" t="s">
        <v>38638</v>
      </c>
      <c r="J2259" t="s">
        <v>38639</v>
      </c>
      <c r="K2259" t="s">
        <v>10651</v>
      </c>
      <c r="L2259" t="s">
        <v>74</v>
      </c>
      <c r="M2259" t="s">
        <v>78</v>
      </c>
      <c r="N2259" t="s">
        <v>135</v>
      </c>
      <c r="O2259" t="s">
        <v>38640</v>
      </c>
      <c r="P2259" t="s">
        <v>38641</v>
      </c>
      <c r="Q2259" t="s">
        <v>38642</v>
      </c>
      <c r="R2259" t="s">
        <v>74</v>
      </c>
      <c r="S2259" t="s">
        <v>74</v>
      </c>
      <c r="T2259" t="s">
        <v>38643</v>
      </c>
      <c r="U2259" t="s">
        <v>74</v>
      </c>
      <c r="V2259" t="s">
        <v>38644</v>
      </c>
      <c r="W2259" t="s">
        <v>38645</v>
      </c>
      <c r="X2259" t="s">
        <v>38646</v>
      </c>
      <c r="Y2259" t="s">
        <v>38647</v>
      </c>
      <c r="Z2259" t="s">
        <v>38648</v>
      </c>
      <c r="AA2259" t="s">
        <v>74</v>
      </c>
      <c r="AB2259" t="s">
        <v>74</v>
      </c>
      <c r="AC2259" t="s">
        <v>74</v>
      </c>
      <c r="AD2259" t="s">
        <v>74</v>
      </c>
      <c r="AE2259" t="s">
        <v>74</v>
      </c>
      <c r="AF2259" t="s">
        <v>74</v>
      </c>
      <c r="AG2259">
        <v>18</v>
      </c>
      <c r="AH2259">
        <v>0</v>
      </c>
      <c r="AI2259">
        <v>0</v>
      </c>
      <c r="AJ2259">
        <v>1</v>
      </c>
      <c r="AK2259">
        <v>1</v>
      </c>
      <c r="AL2259" t="s">
        <v>639</v>
      </c>
      <c r="AM2259" t="s">
        <v>640</v>
      </c>
      <c r="AN2259" t="s">
        <v>641</v>
      </c>
      <c r="AO2259" t="s">
        <v>10666</v>
      </c>
      <c r="AP2259" t="s">
        <v>10667</v>
      </c>
      <c r="AQ2259" t="s">
        <v>38649</v>
      </c>
      <c r="AR2259" t="s">
        <v>10669</v>
      </c>
      <c r="AS2259" t="s">
        <v>74</v>
      </c>
      <c r="AT2259" t="s">
        <v>74</v>
      </c>
      <c r="AU2259">
        <v>2024</v>
      </c>
      <c r="AV2259">
        <v>1082</v>
      </c>
      <c r="AW2259" t="s">
        <v>74</v>
      </c>
      <c r="AX2259" t="s">
        <v>74</v>
      </c>
      <c r="AY2259" t="s">
        <v>74</v>
      </c>
      <c r="AZ2259" t="s">
        <v>74</v>
      </c>
      <c r="BA2259" t="s">
        <v>74</v>
      </c>
      <c r="BB2259">
        <v>549</v>
      </c>
      <c r="BC2259">
        <v>558</v>
      </c>
      <c r="BD2259" t="s">
        <v>74</v>
      </c>
      <c r="BE2259" t="s">
        <v>38650</v>
      </c>
      <c r="BF2259" t="str">
        <f>HYPERLINK("http://dx.doi.org/10.1007/978-3-031-67434-1_52","http://dx.doi.org/10.1007/978-3-031-67434-1_52")</f>
        <v>http://dx.doi.org/10.1007/978-3-031-67434-1_52</v>
      </c>
      <c r="BG2259" t="s">
        <v>74</v>
      </c>
      <c r="BH2259" t="s">
        <v>74</v>
      </c>
      <c r="BI2259">
        <v>10</v>
      </c>
      <c r="BJ2259" t="s">
        <v>38651</v>
      </c>
      <c r="BK2259" t="s">
        <v>648</v>
      </c>
      <c r="BL2259" t="s">
        <v>649</v>
      </c>
      <c r="BM2259" t="s">
        <v>38652</v>
      </c>
      <c r="BN2259" t="s">
        <v>74</v>
      </c>
      <c r="BO2259" t="s">
        <v>74</v>
      </c>
      <c r="BP2259" t="s">
        <v>74</v>
      </c>
      <c r="BQ2259" t="s">
        <v>74</v>
      </c>
      <c r="BR2259" t="s">
        <v>102</v>
      </c>
      <c r="BS2259" t="s">
        <v>38653</v>
      </c>
      <c r="BT2259" t="str">
        <f>HYPERLINK("https%3A%2F%2Fwww.webofscience.com%2Fwos%2Fwoscc%2Ffull-record%2FWOS:001313510800052","View Full Record in Web of Science")</f>
        <v>View Full Record in Web of Science</v>
      </c>
    </row>
    <row r="2260" spans="1:72" x14ac:dyDescent="0.35">
      <c r="A2260" t="s">
        <v>72</v>
      </c>
      <c r="B2260" t="s">
        <v>38654</v>
      </c>
      <c r="C2260" t="s">
        <v>74</v>
      </c>
      <c r="D2260" t="s">
        <v>74</v>
      </c>
      <c r="E2260" t="s">
        <v>74</v>
      </c>
      <c r="F2260" t="s">
        <v>38655</v>
      </c>
      <c r="G2260" t="s">
        <v>74</v>
      </c>
      <c r="H2260" t="s">
        <v>74</v>
      </c>
      <c r="I2260" t="s">
        <v>38656</v>
      </c>
      <c r="J2260" t="s">
        <v>32343</v>
      </c>
      <c r="K2260" t="s">
        <v>74</v>
      </c>
      <c r="L2260" t="s">
        <v>74</v>
      </c>
      <c r="M2260" t="s">
        <v>78</v>
      </c>
      <c r="N2260" t="s">
        <v>79</v>
      </c>
      <c r="O2260" t="s">
        <v>74</v>
      </c>
      <c r="P2260" t="s">
        <v>74</v>
      </c>
      <c r="Q2260" t="s">
        <v>74</v>
      </c>
      <c r="R2260" t="s">
        <v>74</v>
      </c>
      <c r="S2260" t="s">
        <v>74</v>
      </c>
      <c r="T2260" t="s">
        <v>38657</v>
      </c>
      <c r="U2260" t="s">
        <v>38658</v>
      </c>
      <c r="V2260" t="s">
        <v>38659</v>
      </c>
      <c r="W2260" t="s">
        <v>38660</v>
      </c>
      <c r="X2260" t="s">
        <v>38661</v>
      </c>
      <c r="Y2260" t="s">
        <v>38662</v>
      </c>
      <c r="Z2260" t="s">
        <v>38663</v>
      </c>
      <c r="AA2260" t="s">
        <v>38664</v>
      </c>
      <c r="AB2260" t="s">
        <v>38665</v>
      </c>
      <c r="AC2260" t="s">
        <v>38666</v>
      </c>
      <c r="AD2260" t="s">
        <v>38667</v>
      </c>
      <c r="AE2260" t="s">
        <v>38668</v>
      </c>
      <c r="AF2260" t="s">
        <v>74</v>
      </c>
      <c r="AG2260">
        <v>53</v>
      </c>
      <c r="AH2260">
        <v>3</v>
      </c>
      <c r="AI2260">
        <v>3</v>
      </c>
      <c r="AJ2260">
        <v>39</v>
      </c>
      <c r="AK2260">
        <v>201</v>
      </c>
      <c r="AL2260" t="s">
        <v>251</v>
      </c>
      <c r="AM2260" t="s">
        <v>252</v>
      </c>
      <c r="AN2260" t="s">
        <v>253</v>
      </c>
      <c r="AO2260" t="s">
        <v>32352</v>
      </c>
      <c r="AP2260" t="s">
        <v>32353</v>
      </c>
      <c r="AQ2260" t="s">
        <v>74</v>
      </c>
      <c r="AR2260" t="s">
        <v>32354</v>
      </c>
      <c r="AS2260" t="s">
        <v>32355</v>
      </c>
      <c r="AT2260" t="s">
        <v>38669</v>
      </c>
      <c r="AU2260">
        <v>2023</v>
      </c>
      <c r="AV2260" t="s">
        <v>74</v>
      </c>
      <c r="AW2260" t="s">
        <v>74</v>
      </c>
      <c r="AX2260" t="s">
        <v>74</v>
      </c>
      <c r="AY2260" t="s">
        <v>74</v>
      </c>
      <c r="AZ2260" t="s">
        <v>74</v>
      </c>
      <c r="BA2260" t="s">
        <v>74</v>
      </c>
      <c r="BB2260" t="s">
        <v>74</v>
      </c>
      <c r="BC2260" t="s">
        <v>74</v>
      </c>
      <c r="BD2260" t="s">
        <v>74</v>
      </c>
      <c r="BE2260" t="s">
        <v>38670</v>
      </c>
      <c r="BF2260" t="str">
        <f>HYPERLINK("http://dx.doi.org/10.1111/poms.13990","http://dx.doi.org/10.1111/poms.13990")</f>
        <v>http://dx.doi.org/10.1111/poms.13990</v>
      </c>
      <c r="BG2260" t="s">
        <v>74</v>
      </c>
      <c r="BH2260" t="s">
        <v>180</v>
      </c>
      <c r="BI2260">
        <v>17</v>
      </c>
      <c r="BJ2260" t="s">
        <v>32358</v>
      </c>
      <c r="BK2260" t="s">
        <v>209</v>
      </c>
      <c r="BL2260" t="s">
        <v>32359</v>
      </c>
      <c r="BM2260" t="s">
        <v>38671</v>
      </c>
      <c r="BN2260" t="s">
        <v>74</v>
      </c>
      <c r="BO2260" t="s">
        <v>74</v>
      </c>
      <c r="BP2260" t="s">
        <v>74</v>
      </c>
      <c r="BQ2260" t="s">
        <v>74</v>
      </c>
      <c r="BR2260" t="s">
        <v>102</v>
      </c>
      <c r="BS2260" t="s">
        <v>38672</v>
      </c>
      <c r="BT2260" t="str">
        <f>HYPERLINK("https%3A%2F%2Fwww.webofscience.com%2Fwos%2Fwoscc%2Ffull-record%2FWOS:000991812400001","View Full Record in Web of Science")</f>
        <v>View Full Record in Web of Science</v>
      </c>
    </row>
    <row r="2261" spans="1:72" x14ac:dyDescent="0.35">
      <c r="A2261" t="s">
        <v>72</v>
      </c>
      <c r="B2261" t="s">
        <v>38673</v>
      </c>
      <c r="C2261" t="s">
        <v>74</v>
      </c>
      <c r="D2261" t="s">
        <v>74</v>
      </c>
      <c r="E2261" t="s">
        <v>74</v>
      </c>
      <c r="F2261" t="s">
        <v>38674</v>
      </c>
      <c r="G2261" t="s">
        <v>74</v>
      </c>
      <c r="H2261" t="s">
        <v>74</v>
      </c>
      <c r="I2261" t="s">
        <v>38675</v>
      </c>
      <c r="J2261" t="s">
        <v>16203</v>
      </c>
      <c r="K2261" t="s">
        <v>74</v>
      </c>
      <c r="L2261" t="s">
        <v>74</v>
      </c>
      <c r="M2261" t="s">
        <v>78</v>
      </c>
      <c r="N2261" t="s">
        <v>374</v>
      </c>
      <c r="O2261" t="s">
        <v>74</v>
      </c>
      <c r="P2261" t="s">
        <v>74</v>
      </c>
      <c r="Q2261" t="s">
        <v>74</v>
      </c>
      <c r="R2261" t="s">
        <v>74</v>
      </c>
      <c r="S2261" t="s">
        <v>74</v>
      </c>
      <c r="T2261" t="s">
        <v>38676</v>
      </c>
      <c r="U2261" t="s">
        <v>38677</v>
      </c>
      <c r="V2261" t="s">
        <v>38678</v>
      </c>
      <c r="W2261" t="s">
        <v>38679</v>
      </c>
      <c r="X2261" t="s">
        <v>38680</v>
      </c>
      <c r="Y2261" t="s">
        <v>38681</v>
      </c>
      <c r="Z2261" t="s">
        <v>38682</v>
      </c>
      <c r="AA2261" t="s">
        <v>74</v>
      </c>
      <c r="AB2261" t="s">
        <v>38683</v>
      </c>
      <c r="AC2261" t="s">
        <v>38684</v>
      </c>
      <c r="AD2261" t="s">
        <v>38685</v>
      </c>
      <c r="AE2261" t="s">
        <v>38686</v>
      </c>
      <c r="AF2261" t="s">
        <v>74</v>
      </c>
      <c r="AG2261">
        <v>64</v>
      </c>
      <c r="AH2261">
        <v>11</v>
      </c>
      <c r="AI2261">
        <v>11</v>
      </c>
      <c r="AJ2261">
        <v>4</v>
      </c>
      <c r="AK2261">
        <v>45</v>
      </c>
      <c r="AL2261" t="s">
        <v>384</v>
      </c>
      <c r="AM2261" t="s">
        <v>385</v>
      </c>
      <c r="AN2261" t="s">
        <v>386</v>
      </c>
      <c r="AO2261" t="s">
        <v>16213</v>
      </c>
      <c r="AP2261" t="s">
        <v>74</v>
      </c>
      <c r="AQ2261" t="s">
        <v>74</v>
      </c>
      <c r="AR2261" t="s">
        <v>16214</v>
      </c>
      <c r="AS2261" t="s">
        <v>16215</v>
      </c>
      <c r="AT2261" t="s">
        <v>18195</v>
      </c>
      <c r="AU2261">
        <v>2020</v>
      </c>
      <c r="AV2261">
        <v>11</v>
      </c>
      <c r="AW2261" t="s">
        <v>74</v>
      </c>
      <c r="AX2261" t="s">
        <v>74</v>
      </c>
      <c r="AY2261" t="s">
        <v>74</v>
      </c>
      <c r="AZ2261" t="s">
        <v>74</v>
      </c>
      <c r="BA2261" t="s">
        <v>74</v>
      </c>
      <c r="BB2261" t="s">
        <v>74</v>
      </c>
      <c r="BC2261" t="s">
        <v>74</v>
      </c>
      <c r="BD2261">
        <v>588137</v>
      </c>
      <c r="BE2261" t="s">
        <v>38687</v>
      </c>
      <c r="BF2261" t="str">
        <f>HYPERLINK("http://dx.doi.org/10.3389/fpsyt.2020.588137","http://dx.doi.org/10.3389/fpsyt.2020.588137")</f>
        <v>http://dx.doi.org/10.3389/fpsyt.2020.588137</v>
      </c>
      <c r="BG2261" t="s">
        <v>74</v>
      </c>
      <c r="BH2261" t="s">
        <v>74</v>
      </c>
      <c r="BI2261">
        <v>12</v>
      </c>
      <c r="BJ2261" t="s">
        <v>1847</v>
      </c>
      <c r="BK2261" t="s">
        <v>182</v>
      </c>
      <c r="BL2261" t="s">
        <v>1847</v>
      </c>
      <c r="BM2261" t="s">
        <v>38688</v>
      </c>
      <c r="BN2261">
        <v>33362605</v>
      </c>
      <c r="BO2261" t="s">
        <v>552</v>
      </c>
      <c r="BP2261" t="s">
        <v>74</v>
      </c>
      <c r="BQ2261" t="s">
        <v>74</v>
      </c>
      <c r="BR2261" t="s">
        <v>102</v>
      </c>
      <c r="BS2261" t="s">
        <v>38689</v>
      </c>
      <c r="BT2261" t="str">
        <f>HYPERLINK("https%3A%2F%2Fwww.webofscience.com%2Fwos%2Fwoscc%2Ffull-record%2FWOS:000601586800001","View Full Record in Web of Science")</f>
        <v>View Full Record in Web of Science</v>
      </c>
    </row>
    <row r="2262" spans="1:72" x14ac:dyDescent="0.35">
      <c r="A2262" t="s">
        <v>72</v>
      </c>
      <c r="B2262" t="s">
        <v>38690</v>
      </c>
      <c r="C2262" t="s">
        <v>74</v>
      </c>
      <c r="D2262" t="s">
        <v>74</v>
      </c>
      <c r="E2262" t="s">
        <v>74</v>
      </c>
      <c r="F2262" t="s">
        <v>38691</v>
      </c>
      <c r="G2262" t="s">
        <v>74</v>
      </c>
      <c r="H2262" t="s">
        <v>74</v>
      </c>
      <c r="I2262" t="s">
        <v>38692</v>
      </c>
      <c r="J2262" t="s">
        <v>38693</v>
      </c>
      <c r="K2262" t="s">
        <v>74</v>
      </c>
      <c r="L2262" t="s">
        <v>74</v>
      </c>
      <c r="M2262" t="s">
        <v>78</v>
      </c>
      <c r="N2262" t="s">
        <v>108</v>
      </c>
      <c r="O2262" t="s">
        <v>74</v>
      </c>
      <c r="P2262" t="s">
        <v>74</v>
      </c>
      <c r="Q2262" t="s">
        <v>74</v>
      </c>
      <c r="R2262" t="s">
        <v>74</v>
      </c>
      <c r="S2262" t="s">
        <v>74</v>
      </c>
      <c r="T2262" t="s">
        <v>38694</v>
      </c>
      <c r="U2262" t="s">
        <v>74</v>
      </c>
      <c r="V2262" t="s">
        <v>38695</v>
      </c>
      <c r="W2262" t="s">
        <v>38696</v>
      </c>
      <c r="X2262" t="s">
        <v>38697</v>
      </c>
      <c r="Y2262" t="s">
        <v>38698</v>
      </c>
      <c r="Z2262" t="s">
        <v>38699</v>
      </c>
      <c r="AA2262" t="s">
        <v>38700</v>
      </c>
      <c r="AB2262" t="s">
        <v>38701</v>
      </c>
      <c r="AC2262" t="s">
        <v>38702</v>
      </c>
      <c r="AD2262" t="s">
        <v>38703</v>
      </c>
      <c r="AE2262" t="s">
        <v>38704</v>
      </c>
      <c r="AF2262" t="s">
        <v>74</v>
      </c>
      <c r="AG2262">
        <v>41</v>
      </c>
      <c r="AH2262">
        <v>0</v>
      </c>
      <c r="AI2262">
        <v>0</v>
      </c>
      <c r="AJ2262">
        <v>3</v>
      </c>
      <c r="AK2262">
        <v>3</v>
      </c>
      <c r="AL2262" t="s">
        <v>9222</v>
      </c>
      <c r="AM2262" t="s">
        <v>227</v>
      </c>
      <c r="AN2262" t="s">
        <v>9223</v>
      </c>
      <c r="AO2262" t="s">
        <v>38705</v>
      </c>
      <c r="AP2262" t="s">
        <v>74</v>
      </c>
      <c r="AQ2262" t="s">
        <v>74</v>
      </c>
      <c r="AR2262" t="s">
        <v>38693</v>
      </c>
      <c r="AS2262" t="s">
        <v>38706</v>
      </c>
      <c r="AT2262" t="s">
        <v>17493</v>
      </c>
      <c r="AU2262">
        <v>2024</v>
      </c>
      <c r="AV2262">
        <v>14</v>
      </c>
      <c r="AW2262">
        <v>10</v>
      </c>
      <c r="AX2262" t="s">
        <v>74</v>
      </c>
      <c r="AY2262" t="s">
        <v>74</v>
      </c>
      <c r="AZ2262" t="s">
        <v>74</v>
      </c>
      <c r="BA2262" t="s">
        <v>74</v>
      </c>
      <c r="BB2262" t="s">
        <v>74</v>
      </c>
      <c r="BC2262" t="s">
        <v>74</v>
      </c>
      <c r="BD2262" t="s">
        <v>38707</v>
      </c>
      <c r="BE2262" t="s">
        <v>38708</v>
      </c>
      <c r="BF2262" t="str">
        <f>HYPERLINK("http://dx.doi.org/10.1136/bmjopen-2023-083351","http://dx.doi.org/10.1136/bmjopen-2023-083351")</f>
        <v>http://dx.doi.org/10.1136/bmjopen-2023-083351</v>
      </c>
      <c r="BG2262" t="s">
        <v>74</v>
      </c>
      <c r="BH2262" t="s">
        <v>74</v>
      </c>
      <c r="BI2262">
        <v>9</v>
      </c>
      <c r="BJ2262" t="s">
        <v>811</v>
      </c>
      <c r="BK2262" t="s">
        <v>209</v>
      </c>
      <c r="BL2262" t="s">
        <v>812</v>
      </c>
      <c r="BM2262" t="s">
        <v>38709</v>
      </c>
      <c r="BN2262">
        <v>39433417</v>
      </c>
      <c r="BO2262" t="s">
        <v>235</v>
      </c>
      <c r="BP2262" t="s">
        <v>74</v>
      </c>
      <c r="BQ2262" t="s">
        <v>74</v>
      </c>
      <c r="BR2262" t="s">
        <v>102</v>
      </c>
      <c r="BS2262" t="s">
        <v>38710</v>
      </c>
      <c r="BT2262" t="str">
        <f>HYPERLINK("https%3A%2F%2Fwww.webofscience.com%2Fwos%2Fwoscc%2Ffull-record%2FWOS:001337369800001","View Full Record in Web of Science")</f>
        <v>View Full Record in Web of Science</v>
      </c>
    </row>
    <row r="2263" spans="1:72" x14ac:dyDescent="0.35">
      <c r="A2263" t="s">
        <v>72</v>
      </c>
      <c r="B2263" t="s">
        <v>38711</v>
      </c>
      <c r="C2263" t="s">
        <v>74</v>
      </c>
      <c r="D2263" t="s">
        <v>74</v>
      </c>
      <c r="E2263" t="s">
        <v>74</v>
      </c>
      <c r="F2263" t="s">
        <v>38712</v>
      </c>
      <c r="G2263" t="s">
        <v>74</v>
      </c>
      <c r="H2263" t="s">
        <v>74</v>
      </c>
      <c r="I2263" t="s">
        <v>38713</v>
      </c>
      <c r="J2263" t="s">
        <v>38714</v>
      </c>
      <c r="K2263" t="s">
        <v>74</v>
      </c>
      <c r="L2263" t="s">
        <v>74</v>
      </c>
      <c r="M2263" t="s">
        <v>78</v>
      </c>
      <c r="N2263" t="s">
        <v>79</v>
      </c>
      <c r="O2263" t="s">
        <v>74</v>
      </c>
      <c r="P2263" t="s">
        <v>74</v>
      </c>
      <c r="Q2263" t="s">
        <v>74</v>
      </c>
      <c r="R2263" t="s">
        <v>74</v>
      </c>
      <c r="S2263" t="s">
        <v>74</v>
      </c>
      <c r="T2263" t="s">
        <v>38715</v>
      </c>
      <c r="U2263" t="s">
        <v>38716</v>
      </c>
      <c r="V2263" t="s">
        <v>38717</v>
      </c>
      <c r="W2263" t="s">
        <v>38718</v>
      </c>
      <c r="X2263" t="s">
        <v>38719</v>
      </c>
      <c r="Y2263" t="s">
        <v>38720</v>
      </c>
      <c r="Z2263" t="s">
        <v>38721</v>
      </c>
      <c r="AA2263" t="s">
        <v>38722</v>
      </c>
      <c r="AB2263" t="s">
        <v>74</v>
      </c>
      <c r="AC2263" t="s">
        <v>38723</v>
      </c>
      <c r="AD2263" t="s">
        <v>38724</v>
      </c>
      <c r="AE2263" t="s">
        <v>38725</v>
      </c>
      <c r="AF2263" t="s">
        <v>74</v>
      </c>
      <c r="AG2263">
        <v>75</v>
      </c>
      <c r="AH2263">
        <v>0</v>
      </c>
      <c r="AI2263">
        <v>0</v>
      </c>
      <c r="AJ2263">
        <v>1</v>
      </c>
      <c r="AK2263">
        <v>1</v>
      </c>
      <c r="AL2263" t="s">
        <v>18678</v>
      </c>
      <c r="AM2263" t="s">
        <v>2853</v>
      </c>
      <c r="AN2263" t="s">
        <v>18679</v>
      </c>
      <c r="AO2263" t="s">
        <v>38726</v>
      </c>
      <c r="AP2263" t="s">
        <v>38727</v>
      </c>
      <c r="AQ2263" t="s">
        <v>74</v>
      </c>
      <c r="AR2263" t="s">
        <v>38728</v>
      </c>
      <c r="AS2263" t="s">
        <v>38729</v>
      </c>
      <c r="AT2263" t="s">
        <v>20366</v>
      </c>
      <c r="AU2263">
        <v>2024</v>
      </c>
      <c r="AV2263" t="s">
        <v>74</v>
      </c>
      <c r="AW2263" t="s">
        <v>74</v>
      </c>
      <c r="AX2263" t="s">
        <v>74</v>
      </c>
      <c r="AY2263" t="s">
        <v>74</v>
      </c>
      <c r="AZ2263" t="s">
        <v>74</v>
      </c>
      <c r="BA2263" t="s">
        <v>74</v>
      </c>
      <c r="BB2263" t="s">
        <v>74</v>
      </c>
      <c r="BC2263" t="s">
        <v>74</v>
      </c>
      <c r="BD2263" t="s">
        <v>74</v>
      </c>
      <c r="BE2263" t="s">
        <v>38730</v>
      </c>
      <c r="BF2263" t="str">
        <f>HYPERLINK("http://dx.doi.org/10.1037/adb0001018","http://dx.doi.org/10.1037/adb0001018")</f>
        <v>http://dx.doi.org/10.1037/adb0001018</v>
      </c>
      <c r="BG2263" t="s">
        <v>74</v>
      </c>
      <c r="BH2263" t="s">
        <v>2444</v>
      </c>
      <c r="BI2263">
        <v>13</v>
      </c>
      <c r="BJ2263" t="s">
        <v>38731</v>
      </c>
      <c r="BK2263" t="s">
        <v>99</v>
      </c>
      <c r="BL2263" t="s">
        <v>18028</v>
      </c>
      <c r="BM2263" t="s">
        <v>38732</v>
      </c>
      <c r="BN2263">
        <v>39115933</v>
      </c>
      <c r="BO2263" t="s">
        <v>156</v>
      </c>
      <c r="BP2263" t="s">
        <v>74</v>
      </c>
      <c r="BQ2263" t="s">
        <v>74</v>
      </c>
      <c r="BR2263" t="s">
        <v>102</v>
      </c>
      <c r="BS2263" t="s">
        <v>38733</v>
      </c>
      <c r="BT2263" t="str">
        <f>HYPERLINK("https%3A%2F%2Fwww.webofscience.com%2Fwos%2Fwoscc%2Ffull-record%2FWOS:001300806500001","View Full Record in Web of Science")</f>
        <v>View Full Record in Web of Science</v>
      </c>
    </row>
    <row r="2264" spans="1:72" x14ac:dyDescent="0.35">
      <c r="A2264" t="s">
        <v>72</v>
      </c>
      <c r="B2264" t="s">
        <v>38734</v>
      </c>
      <c r="C2264" t="s">
        <v>74</v>
      </c>
      <c r="D2264" t="s">
        <v>74</v>
      </c>
      <c r="E2264" t="s">
        <v>74</v>
      </c>
      <c r="F2264" t="s">
        <v>38735</v>
      </c>
      <c r="G2264" t="s">
        <v>74</v>
      </c>
      <c r="H2264" t="s">
        <v>74</v>
      </c>
      <c r="I2264" t="s">
        <v>38736</v>
      </c>
      <c r="J2264" t="s">
        <v>8324</v>
      </c>
      <c r="K2264" t="s">
        <v>74</v>
      </c>
      <c r="L2264" t="s">
        <v>74</v>
      </c>
      <c r="M2264" t="s">
        <v>78</v>
      </c>
      <c r="N2264" t="s">
        <v>79</v>
      </c>
      <c r="O2264" t="s">
        <v>74</v>
      </c>
      <c r="P2264" t="s">
        <v>74</v>
      </c>
      <c r="Q2264" t="s">
        <v>74</v>
      </c>
      <c r="R2264" t="s">
        <v>74</v>
      </c>
      <c r="S2264" t="s">
        <v>74</v>
      </c>
      <c r="T2264" t="s">
        <v>74</v>
      </c>
      <c r="U2264" t="s">
        <v>38737</v>
      </c>
      <c r="V2264" t="s">
        <v>38738</v>
      </c>
      <c r="W2264" t="s">
        <v>38739</v>
      </c>
      <c r="X2264" t="s">
        <v>38740</v>
      </c>
      <c r="Y2264" t="s">
        <v>38741</v>
      </c>
      <c r="Z2264" t="s">
        <v>38742</v>
      </c>
      <c r="AA2264" t="s">
        <v>74</v>
      </c>
      <c r="AB2264" t="s">
        <v>38743</v>
      </c>
      <c r="AC2264" t="s">
        <v>38744</v>
      </c>
      <c r="AD2264" t="s">
        <v>38745</v>
      </c>
      <c r="AE2264" t="s">
        <v>38746</v>
      </c>
      <c r="AF2264" t="s">
        <v>74</v>
      </c>
      <c r="AG2264">
        <v>40</v>
      </c>
      <c r="AH2264">
        <v>0</v>
      </c>
      <c r="AI2264">
        <v>0</v>
      </c>
      <c r="AJ2264">
        <v>0</v>
      </c>
      <c r="AK2264">
        <v>0</v>
      </c>
      <c r="AL2264" t="s">
        <v>8334</v>
      </c>
      <c r="AM2264" t="s">
        <v>291</v>
      </c>
      <c r="AN2264" t="s">
        <v>8335</v>
      </c>
      <c r="AO2264" t="s">
        <v>8336</v>
      </c>
      <c r="AP2264" t="s">
        <v>8337</v>
      </c>
      <c r="AQ2264" t="s">
        <v>74</v>
      </c>
      <c r="AR2264" t="s">
        <v>8338</v>
      </c>
      <c r="AS2264" t="s">
        <v>8339</v>
      </c>
      <c r="AT2264" t="s">
        <v>28065</v>
      </c>
      <c r="AU2264">
        <v>2024</v>
      </c>
      <c r="AV2264" t="s">
        <v>74</v>
      </c>
      <c r="AW2264" t="s">
        <v>74</v>
      </c>
      <c r="AX2264" t="s">
        <v>74</v>
      </c>
      <c r="AY2264" t="s">
        <v>74</v>
      </c>
      <c r="AZ2264" t="s">
        <v>74</v>
      </c>
      <c r="BA2264" t="s">
        <v>74</v>
      </c>
      <c r="BB2264" t="s">
        <v>74</v>
      </c>
      <c r="BC2264" t="s">
        <v>74</v>
      </c>
      <c r="BD2264" t="s">
        <v>74</v>
      </c>
      <c r="BE2264" t="s">
        <v>38747</v>
      </c>
      <c r="BF2264" t="str">
        <f>HYPERLINK("http://dx.doi.org/10.1093/ntr/ntae167","http://dx.doi.org/10.1093/ntr/ntae167")</f>
        <v>http://dx.doi.org/10.1093/ntr/ntae167</v>
      </c>
      <c r="BG2264" t="s">
        <v>74</v>
      </c>
      <c r="BH2264" t="s">
        <v>478</v>
      </c>
      <c r="BI2264">
        <v>7</v>
      </c>
      <c r="BJ2264" t="s">
        <v>8342</v>
      </c>
      <c r="BK2264" t="s">
        <v>182</v>
      </c>
      <c r="BL2264" t="s">
        <v>8342</v>
      </c>
      <c r="BM2264" t="s">
        <v>38748</v>
      </c>
      <c r="BN2264">
        <v>38989961</v>
      </c>
      <c r="BO2264" t="s">
        <v>74</v>
      </c>
      <c r="BP2264" t="s">
        <v>74</v>
      </c>
      <c r="BQ2264" t="s">
        <v>74</v>
      </c>
      <c r="BR2264" t="s">
        <v>102</v>
      </c>
      <c r="BS2264" t="s">
        <v>38749</v>
      </c>
      <c r="BT2264" t="str">
        <f>HYPERLINK("https%3A%2F%2Fwww.webofscience.com%2Fwos%2Fwoscc%2Ffull-record%2FWOS:001274938500001","View Full Record in Web of Science")</f>
        <v>View Full Record in Web of Science</v>
      </c>
    </row>
    <row r="2265" spans="1:72" x14ac:dyDescent="0.35">
      <c r="A2265" t="s">
        <v>72</v>
      </c>
      <c r="B2265" t="s">
        <v>38750</v>
      </c>
      <c r="C2265" t="s">
        <v>74</v>
      </c>
      <c r="D2265" t="s">
        <v>74</v>
      </c>
      <c r="E2265" t="s">
        <v>74</v>
      </c>
      <c r="F2265" t="s">
        <v>38751</v>
      </c>
      <c r="G2265" t="s">
        <v>74</v>
      </c>
      <c r="H2265" t="s">
        <v>74</v>
      </c>
      <c r="I2265" t="s">
        <v>38752</v>
      </c>
      <c r="J2265" t="s">
        <v>681</v>
      </c>
      <c r="K2265" t="s">
        <v>74</v>
      </c>
      <c r="L2265" t="s">
        <v>74</v>
      </c>
      <c r="M2265" t="s">
        <v>78</v>
      </c>
      <c r="N2265" t="s">
        <v>108</v>
      </c>
      <c r="O2265" t="s">
        <v>74</v>
      </c>
      <c r="P2265" t="s">
        <v>74</v>
      </c>
      <c r="Q2265" t="s">
        <v>74</v>
      </c>
      <c r="R2265" t="s">
        <v>74</v>
      </c>
      <c r="S2265" t="s">
        <v>74</v>
      </c>
      <c r="T2265" t="s">
        <v>38753</v>
      </c>
      <c r="U2265" t="s">
        <v>38754</v>
      </c>
      <c r="V2265" t="s">
        <v>38755</v>
      </c>
      <c r="W2265" t="s">
        <v>38756</v>
      </c>
      <c r="X2265" t="s">
        <v>38757</v>
      </c>
      <c r="Y2265" t="s">
        <v>38758</v>
      </c>
      <c r="Z2265" t="s">
        <v>38759</v>
      </c>
      <c r="AA2265" t="s">
        <v>38760</v>
      </c>
      <c r="AB2265" t="s">
        <v>38761</v>
      </c>
      <c r="AC2265" t="s">
        <v>38762</v>
      </c>
      <c r="AD2265" t="s">
        <v>38763</v>
      </c>
      <c r="AE2265" t="s">
        <v>38764</v>
      </c>
      <c r="AF2265" t="s">
        <v>74</v>
      </c>
      <c r="AG2265">
        <v>104</v>
      </c>
      <c r="AH2265">
        <v>0</v>
      </c>
      <c r="AI2265">
        <v>0</v>
      </c>
      <c r="AJ2265">
        <v>13</v>
      </c>
      <c r="AK2265">
        <v>13</v>
      </c>
      <c r="AL2265" t="s">
        <v>384</v>
      </c>
      <c r="AM2265" t="s">
        <v>385</v>
      </c>
      <c r="AN2265" t="s">
        <v>386</v>
      </c>
      <c r="AO2265" t="s">
        <v>693</v>
      </c>
      <c r="AP2265" t="s">
        <v>74</v>
      </c>
      <c r="AQ2265" t="s">
        <v>74</v>
      </c>
      <c r="AR2265" t="s">
        <v>694</v>
      </c>
      <c r="AS2265" t="s">
        <v>695</v>
      </c>
      <c r="AT2265" t="s">
        <v>17864</v>
      </c>
      <c r="AU2265">
        <v>2024</v>
      </c>
      <c r="AV2265">
        <v>15</v>
      </c>
      <c r="AW2265" t="s">
        <v>74</v>
      </c>
      <c r="AX2265" t="s">
        <v>74</v>
      </c>
      <c r="AY2265" t="s">
        <v>74</v>
      </c>
      <c r="AZ2265" t="s">
        <v>74</v>
      </c>
      <c r="BA2265" t="s">
        <v>74</v>
      </c>
      <c r="BB2265" t="s">
        <v>74</v>
      </c>
      <c r="BC2265" t="s">
        <v>74</v>
      </c>
      <c r="BD2265">
        <v>1375983</v>
      </c>
      <c r="BE2265" t="s">
        <v>38765</v>
      </c>
      <c r="BF2265" t="str">
        <f>HYPERLINK("http://dx.doi.org/10.3389/fpsyg.2024.1375983","http://dx.doi.org/10.3389/fpsyg.2024.1375983")</f>
        <v>http://dx.doi.org/10.3389/fpsyg.2024.1375983</v>
      </c>
      <c r="BG2265" t="s">
        <v>74</v>
      </c>
      <c r="BH2265" t="s">
        <v>74</v>
      </c>
      <c r="BI2265">
        <v>12</v>
      </c>
      <c r="BJ2265" t="s">
        <v>698</v>
      </c>
      <c r="BK2265" t="s">
        <v>99</v>
      </c>
      <c r="BL2265" t="s">
        <v>301</v>
      </c>
      <c r="BM2265" t="s">
        <v>38766</v>
      </c>
      <c r="BN2265">
        <v>38873504</v>
      </c>
      <c r="BO2265" t="s">
        <v>235</v>
      </c>
      <c r="BP2265" t="s">
        <v>74</v>
      </c>
      <c r="BQ2265" t="s">
        <v>74</v>
      </c>
      <c r="BR2265" t="s">
        <v>102</v>
      </c>
      <c r="BS2265" t="s">
        <v>38767</v>
      </c>
      <c r="BT2265" t="str">
        <f>HYPERLINK("https%3A%2F%2Fwww.webofscience.com%2Fwos%2Fwoscc%2Ffull-record%2FWOS:001246243500001","View Full Record in Web of Science")</f>
        <v>View Full Record in Web of Science</v>
      </c>
    </row>
    <row r="2266" spans="1:72" x14ac:dyDescent="0.35">
      <c r="A2266" t="s">
        <v>72</v>
      </c>
      <c r="B2266" t="s">
        <v>38768</v>
      </c>
      <c r="C2266" t="s">
        <v>74</v>
      </c>
      <c r="D2266" t="s">
        <v>74</v>
      </c>
      <c r="E2266" t="s">
        <v>74</v>
      </c>
      <c r="F2266" t="s">
        <v>38769</v>
      </c>
      <c r="G2266" t="s">
        <v>74</v>
      </c>
      <c r="H2266" t="s">
        <v>74</v>
      </c>
      <c r="I2266" t="s">
        <v>38770</v>
      </c>
      <c r="J2266" t="s">
        <v>3584</v>
      </c>
      <c r="K2266" t="s">
        <v>74</v>
      </c>
      <c r="L2266" t="s">
        <v>74</v>
      </c>
      <c r="M2266" t="s">
        <v>78</v>
      </c>
      <c r="N2266" t="s">
        <v>108</v>
      </c>
      <c r="O2266" t="s">
        <v>74</v>
      </c>
      <c r="P2266" t="s">
        <v>74</v>
      </c>
      <c r="Q2266" t="s">
        <v>74</v>
      </c>
      <c r="R2266" t="s">
        <v>74</v>
      </c>
      <c r="S2266" t="s">
        <v>74</v>
      </c>
      <c r="T2266" t="s">
        <v>38771</v>
      </c>
      <c r="U2266" t="s">
        <v>38772</v>
      </c>
      <c r="V2266" t="s">
        <v>38773</v>
      </c>
      <c r="W2266" t="s">
        <v>38774</v>
      </c>
      <c r="X2266" t="s">
        <v>38775</v>
      </c>
      <c r="Y2266" t="s">
        <v>38776</v>
      </c>
      <c r="Z2266" t="s">
        <v>38777</v>
      </c>
      <c r="AA2266" t="s">
        <v>74</v>
      </c>
      <c r="AB2266" t="s">
        <v>38778</v>
      </c>
      <c r="AC2266" t="s">
        <v>74</v>
      </c>
      <c r="AD2266" t="s">
        <v>74</v>
      </c>
      <c r="AE2266" t="s">
        <v>74</v>
      </c>
      <c r="AF2266" t="s">
        <v>74</v>
      </c>
      <c r="AG2266">
        <v>97</v>
      </c>
      <c r="AH2266">
        <v>4</v>
      </c>
      <c r="AI2266">
        <v>4</v>
      </c>
      <c r="AJ2266">
        <v>18</v>
      </c>
      <c r="AK2266">
        <v>33</v>
      </c>
      <c r="AL2266" t="s">
        <v>1195</v>
      </c>
      <c r="AM2266" t="s">
        <v>1196</v>
      </c>
      <c r="AN2266" t="s">
        <v>1197</v>
      </c>
      <c r="AO2266" t="s">
        <v>74</v>
      </c>
      <c r="AP2266" t="s">
        <v>3594</v>
      </c>
      <c r="AQ2266" t="s">
        <v>74</v>
      </c>
      <c r="AR2266" t="s">
        <v>3595</v>
      </c>
      <c r="AS2266" t="s">
        <v>3596</v>
      </c>
      <c r="AT2266" t="s">
        <v>1484</v>
      </c>
      <c r="AU2266">
        <v>2024</v>
      </c>
      <c r="AV2266">
        <v>16</v>
      </c>
      <c r="AW2266">
        <v>5</v>
      </c>
      <c r="AX2266" t="s">
        <v>74</v>
      </c>
      <c r="AY2266" t="s">
        <v>74</v>
      </c>
      <c r="AZ2266" t="s">
        <v>74</v>
      </c>
      <c r="BA2266" t="s">
        <v>74</v>
      </c>
      <c r="BB2266" t="s">
        <v>74</v>
      </c>
      <c r="BC2266" t="s">
        <v>74</v>
      </c>
      <c r="BD2266">
        <v>1727</v>
      </c>
      <c r="BE2266" t="s">
        <v>38779</v>
      </c>
      <c r="BF2266" t="str">
        <f>HYPERLINK("http://dx.doi.org/10.3390/su16051727","http://dx.doi.org/10.3390/su16051727")</f>
        <v>http://dx.doi.org/10.3390/su16051727</v>
      </c>
      <c r="BG2266" t="s">
        <v>74</v>
      </c>
      <c r="BH2266" t="s">
        <v>74</v>
      </c>
      <c r="BI2266">
        <v>21</v>
      </c>
      <c r="BJ2266" t="s">
        <v>3598</v>
      </c>
      <c r="BK2266" t="s">
        <v>182</v>
      </c>
      <c r="BL2266" t="s">
        <v>3599</v>
      </c>
      <c r="BM2266" t="s">
        <v>38780</v>
      </c>
      <c r="BN2266" t="s">
        <v>74</v>
      </c>
      <c r="BO2266" t="s">
        <v>235</v>
      </c>
      <c r="BP2266" t="s">
        <v>74</v>
      </c>
      <c r="BQ2266" t="s">
        <v>74</v>
      </c>
      <c r="BR2266" t="s">
        <v>102</v>
      </c>
      <c r="BS2266" t="s">
        <v>38781</v>
      </c>
      <c r="BT2266" t="str">
        <f>HYPERLINK("https%3A%2F%2Fwww.webofscience.com%2Fwos%2Fwoscc%2Ffull-record%2FWOS:001182958800001","View Full Record in Web of Science")</f>
        <v>View Full Record in Web of Science</v>
      </c>
    </row>
    <row r="2267" spans="1:72" x14ac:dyDescent="0.35">
      <c r="A2267" t="s">
        <v>128</v>
      </c>
      <c r="B2267" t="s">
        <v>38782</v>
      </c>
      <c r="C2267" t="s">
        <v>74</v>
      </c>
      <c r="D2267" t="s">
        <v>36971</v>
      </c>
      <c r="E2267" t="s">
        <v>74</v>
      </c>
      <c r="F2267" t="s">
        <v>38783</v>
      </c>
      <c r="G2267" t="s">
        <v>74</v>
      </c>
      <c r="H2267" t="s">
        <v>74</v>
      </c>
      <c r="I2267" t="s">
        <v>38784</v>
      </c>
      <c r="J2267" t="s">
        <v>36974</v>
      </c>
      <c r="K2267" t="s">
        <v>8364</v>
      </c>
      <c r="L2267" t="s">
        <v>74</v>
      </c>
      <c r="M2267" t="s">
        <v>78</v>
      </c>
      <c r="N2267" t="s">
        <v>135</v>
      </c>
      <c r="O2267" t="s">
        <v>36975</v>
      </c>
      <c r="P2267" t="s">
        <v>21902</v>
      </c>
      <c r="Q2267" t="s">
        <v>138</v>
      </c>
      <c r="R2267" t="s">
        <v>74</v>
      </c>
      <c r="S2267" t="s">
        <v>74</v>
      </c>
      <c r="T2267" t="s">
        <v>38785</v>
      </c>
      <c r="U2267" t="s">
        <v>38786</v>
      </c>
      <c r="V2267" t="s">
        <v>38787</v>
      </c>
      <c r="W2267" t="s">
        <v>38788</v>
      </c>
      <c r="X2267" t="s">
        <v>19680</v>
      </c>
      <c r="Y2267" t="s">
        <v>38789</v>
      </c>
      <c r="Z2267" t="s">
        <v>36981</v>
      </c>
      <c r="AA2267" t="s">
        <v>23222</v>
      </c>
      <c r="AB2267" t="s">
        <v>74</v>
      </c>
      <c r="AC2267" t="s">
        <v>36982</v>
      </c>
      <c r="AD2267" t="s">
        <v>36983</v>
      </c>
      <c r="AE2267" t="s">
        <v>36984</v>
      </c>
      <c r="AF2267" t="s">
        <v>74</v>
      </c>
      <c r="AG2267">
        <v>30</v>
      </c>
      <c r="AH2267">
        <v>2</v>
      </c>
      <c r="AI2267">
        <v>2</v>
      </c>
      <c r="AJ2267">
        <v>23</v>
      </c>
      <c r="AK2267">
        <v>189</v>
      </c>
      <c r="AL2267" t="s">
        <v>639</v>
      </c>
      <c r="AM2267" t="s">
        <v>640</v>
      </c>
      <c r="AN2267" t="s">
        <v>641</v>
      </c>
      <c r="AO2267" t="s">
        <v>8380</v>
      </c>
      <c r="AP2267" t="s">
        <v>8381</v>
      </c>
      <c r="AQ2267" t="s">
        <v>36985</v>
      </c>
      <c r="AR2267" t="s">
        <v>8383</v>
      </c>
      <c r="AS2267" t="s">
        <v>74</v>
      </c>
      <c r="AT2267" t="s">
        <v>74</v>
      </c>
      <c r="AU2267">
        <v>2022</v>
      </c>
      <c r="AV2267">
        <v>13337</v>
      </c>
      <c r="AW2267" t="s">
        <v>74</v>
      </c>
      <c r="AX2267" t="s">
        <v>74</v>
      </c>
      <c r="AY2267" t="s">
        <v>74</v>
      </c>
      <c r="AZ2267" t="s">
        <v>74</v>
      </c>
      <c r="BA2267" t="s">
        <v>74</v>
      </c>
      <c r="BB2267">
        <v>298</v>
      </c>
      <c r="BC2267">
        <v>305</v>
      </c>
      <c r="BD2267" t="s">
        <v>74</v>
      </c>
      <c r="BE2267" t="s">
        <v>38790</v>
      </c>
      <c r="BF2267" t="str">
        <f>HYPERLINK("http://dx.doi.org/10.1007/978-3-031-05014-5_25","http://dx.doi.org/10.1007/978-3-031-05014-5_25")</f>
        <v>http://dx.doi.org/10.1007/978-3-031-05014-5_25</v>
      </c>
      <c r="BG2267" t="s">
        <v>74</v>
      </c>
      <c r="BH2267" t="s">
        <v>74</v>
      </c>
      <c r="BI2267">
        <v>8</v>
      </c>
      <c r="BJ2267" t="s">
        <v>36987</v>
      </c>
      <c r="BK2267" t="s">
        <v>723</v>
      </c>
      <c r="BL2267" t="s">
        <v>1699</v>
      </c>
      <c r="BM2267" t="s">
        <v>36988</v>
      </c>
      <c r="BN2267" t="s">
        <v>74</v>
      </c>
      <c r="BO2267" t="s">
        <v>74</v>
      </c>
      <c r="BP2267" t="s">
        <v>74</v>
      </c>
      <c r="BQ2267" t="s">
        <v>74</v>
      </c>
      <c r="BR2267" t="s">
        <v>102</v>
      </c>
      <c r="BS2267" t="s">
        <v>38791</v>
      </c>
      <c r="BT2267" t="str">
        <f>HYPERLINK("https%3A%2F%2Fwww.webofscience.com%2Fwos%2Fwoscc%2Ffull-record%2FWOS:000873574900025","View Full Record in Web of Science")</f>
        <v>View Full Record in Web of Science</v>
      </c>
    </row>
    <row r="2268" spans="1:72" x14ac:dyDescent="0.35">
      <c r="A2268" t="s">
        <v>72</v>
      </c>
      <c r="B2268" t="s">
        <v>38792</v>
      </c>
      <c r="C2268" t="s">
        <v>74</v>
      </c>
      <c r="D2268" t="s">
        <v>74</v>
      </c>
      <c r="E2268" t="s">
        <v>74</v>
      </c>
      <c r="F2268" t="s">
        <v>38793</v>
      </c>
      <c r="G2268" t="s">
        <v>74</v>
      </c>
      <c r="H2268" t="s">
        <v>74</v>
      </c>
      <c r="I2268" t="s">
        <v>38794</v>
      </c>
      <c r="J2268" t="s">
        <v>18642</v>
      </c>
      <c r="K2268" t="s">
        <v>74</v>
      </c>
      <c r="L2268" t="s">
        <v>74</v>
      </c>
      <c r="M2268" t="s">
        <v>78</v>
      </c>
      <c r="N2268" t="s">
        <v>108</v>
      </c>
      <c r="O2268" t="s">
        <v>74</v>
      </c>
      <c r="P2268" t="s">
        <v>74</v>
      </c>
      <c r="Q2268" t="s">
        <v>74</v>
      </c>
      <c r="R2268" t="s">
        <v>74</v>
      </c>
      <c r="S2268" t="s">
        <v>74</v>
      </c>
      <c r="T2268" t="s">
        <v>38795</v>
      </c>
      <c r="U2268" t="s">
        <v>38796</v>
      </c>
      <c r="V2268" t="s">
        <v>38797</v>
      </c>
      <c r="W2268" t="s">
        <v>38798</v>
      </c>
      <c r="X2268" t="s">
        <v>38799</v>
      </c>
      <c r="Y2268" t="s">
        <v>38800</v>
      </c>
      <c r="Z2268" t="s">
        <v>38801</v>
      </c>
      <c r="AA2268" t="s">
        <v>38802</v>
      </c>
      <c r="AB2268" t="s">
        <v>74</v>
      </c>
      <c r="AC2268" t="s">
        <v>74</v>
      </c>
      <c r="AD2268" t="s">
        <v>74</v>
      </c>
      <c r="AE2268" t="s">
        <v>74</v>
      </c>
      <c r="AF2268" t="s">
        <v>74</v>
      </c>
      <c r="AG2268">
        <v>86</v>
      </c>
      <c r="AH2268">
        <v>1</v>
      </c>
      <c r="AI2268">
        <v>1</v>
      </c>
      <c r="AJ2268">
        <v>6</v>
      </c>
      <c r="AK2268">
        <v>9</v>
      </c>
      <c r="AL2268" t="s">
        <v>199</v>
      </c>
      <c r="AM2268" t="s">
        <v>200</v>
      </c>
      <c r="AN2268" t="s">
        <v>471</v>
      </c>
      <c r="AO2268" t="s">
        <v>18655</v>
      </c>
      <c r="AP2268" t="s">
        <v>18656</v>
      </c>
      <c r="AQ2268" t="s">
        <v>74</v>
      </c>
      <c r="AR2268" t="s">
        <v>18657</v>
      </c>
      <c r="AS2268" t="s">
        <v>18658</v>
      </c>
      <c r="AT2268" t="s">
        <v>18659</v>
      </c>
      <c r="AU2268">
        <v>2024</v>
      </c>
      <c r="AV2268">
        <v>15</v>
      </c>
      <c r="AW2268">
        <v>2</v>
      </c>
      <c r="AX2268" t="s">
        <v>74</v>
      </c>
      <c r="AY2268" t="s">
        <v>74</v>
      </c>
      <c r="AZ2268" t="s">
        <v>74</v>
      </c>
      <c r="BA2268" t="s">
        <v>74</v>
      </c>
      <c r="BB2268">
        <v>338</v>
      </c>
      <c r="BC2268">
        <v>360</v>
      </c>
      <c r="BD2268" t="s">
        <v>74</v>
      </c>
      <c r="BE2268" t="s">
        <v>38803</v>
      </c>
      <c r="BF2268" t="str">
        <f>HYPERLINK("http://dx.doi.org/10.1108/JIMA-01-2022-0015","http://dx.doi.org/10.1108/JIMA-01-2022-0015")</f>
        <v>http://dx.doi.org/10.1108/JIMA-01-2022-0015</v>
      </c>
      <c r="BG2268" t="s">
        <v>74</v>
      </c>
      <c r="BH2268" t="s">
        <v>2929</v>
      </c>
      <c r="BI2268">
        <v>23</v>
      </c>
      <c r="BJ2268" t="s">
        <v>1597</v>
      </c>
      <c r="BK2268" t="s">
        <v>125</v>
      </c>
      <c r="BL2268" t="s">
        <v>480</v>
      </c>
      <c r="BM2268" t="s">
        <v>18661</v>
      </c>
      <c r="BN2268" t="s">
        <v>74</v>
      </c>
      <c r="BO2268" t="s">
        <v>74</v>
      </c>
      <c r="BP2268" t="s">
        <v>74</v>
      </c>
      <c r="BQ2268" t="s">
        <v>74</v>
      </c>
      <c r="BR2268" t="s">
        <v>102</v>
      </c>
      <c r="BS2268" t="s">
        <v>38804</v>
      </c>
      <c r="BT2268" t="str">
        <f>HYPERLINK("https%3A%2F%2Fwww.webofscience.com%2Fwos%2Fwoscc%2Ffull-record%2FWOS:001133515700001","View Full Record in Web of Science")</f>
        <v>View Full Record in Web of Science</v>
      </c>
    </row>
    <row r="2269" spans="1:72" x14ac:dyDescent="0.35">
      <c r="A2269" t="s">
        <v>72</v>
      </c>
      <c r="B2269" t="s">
        <v>38805</v>
      </c>
      <c r="C2269" t="s">
        <v>74</v>
      </c>
      <c r="D2269" t="s">
        <v>74</v>
      </c>
      <c r="E2269" t="s">
        <v>74</v>
      </c>
      <c r="F2269" t="s">
        <v>38806</v>
      </c>
      <c r="G2269" t="s">
        <v>74</v>
      </c>
      <c r="H2269" t="s">
        <v>74</v>
      </c>
      <c r="I2269" t="s">
        <v>38807</v>
      </c>
      <c r="J2269" t="s">
        <v>2370</v>
      </c>
      <c r="K2269" t="s">
        <v>74</v>
      </c>
      <c r="L2269" t="s">
        <v>74</v>
      </c>
      <c r="M2269" t="s">
        <v>78</v>
      </c>
      <c r="N2269" t="s">
        <v>108</v>
      </c>
      <c r="O2269" t="s">
        <v>74</v>
      </c>
      <c r="P2269" t="s">
        <v>74</v>
      </c>
      <c r="Q2269" t="s">
        <v>74</v>
      </c>
      <c r="R2269" t="s">
        <v>74</v>
      </c>
      <c r="S2269" t="s">
        <v>74</v>
      </c>
      <c r="T2269" t="s">
        <v>38808</v>
      </c>
      <c r="U2269" t="s">
        <v>74</v>
      </c>
      <c r="V2269" t="s">
        <v>38809</v>
      </c>
      <c r="W2269" t="s">
        <v>38810</v>
      </c>
      <c r="X2269" t="s">
        <v>38811</v>
      </c>
      <c r="Y2269" t="s">
        <v>38812</v>
      </c>
      <c r="Z2269" t="s">
        <v>38813</v>
      </c>
      <c r="AA2269" t="s">
        <v>38814</v>
      </c>
      <c r="AB2269" t="s">
        <v>38815</v>
      </c>
      <c r="AC2269" t="s">
        <v>38816</v>
      </c>
      <c r="AD2269" t="s">
        <v>38817</v>
      </c>
      <c r="AE2269" t="s">
        <v>16662</v>
      </c>
      <c r="AF2269" t="s">
        <v>74</v>
      </c>
      <c r="AG2269">
        <v>44</v>
      </c>
      <c r="AH2269">
        <v>1</v>
      </c>
      <c r="AI2269">
        <v>1</v>
      </c>
      <c r="AJ2269">
        <v>5</v>
      </c>
      <c r="AK2269">
        <v>13</v>
      </c>
      <c r="AL2269" t="s">
        <v>2382</v>
      </c>
      <c r="AM2269" t="s">
        <v>227</v>
      </c>
      <c r="AN2269" t="s">
        <v>2383</v>
      </c>
      <c r="AO2269" t="s">
        <v>74</v>
      </c>
      <c r="AP2269" t="s">
        <v>2384</v>
      </c>
      <c r="AQ2269" t="s">
        <v>74</v>
      </c>
      <c r="AR2269" t="s">
        <v>2370</v>
      </c>
      <c r="AS2269" t="s">
        <v>2385</v>
      </c>
      <c r="AT2269" t="s">
        <v>38818</v>
      </c>
      <c r="AU2269">
        <v>2024</v>
      </c>
      <c r="AV2269">
        <v>24</v>
      </c>
      <c r="AW2269">
        <v>1</v>
      </c>
      <c r="AX2269" t="s">
        <v>74</v>
      </c>
      <c r="AY2269" t="s">
        <v>74</v>
      </c>
      <c r="AZ2269" t="s">
        <v>74</v>
      </c>
      <c r="BA2269" t="s">
        <v>74</v>
      </c>
      <c r="BB2269" t="s">
        <v>74</v>
      </c>
      <c r="BC2269" t="s">
        <v>74</v>
      </c>
      <c r="BD2269">
        <v>705</v>
      </c>
      <c r="BE2269" t="s">
        <v>38819</v>
      </c>
      <c r="BF2269" t="str">
        <f>HYPERLINK("http://dx.doi.org/10.1186/s12889-024-17718-4","http://dx.doi.org/10.1186/s12889-024-17718-4")</f>
        <v>http://dx.doi.org/10.1186/s12889-024-17718-4</v>
      </c>
      <c r="BG2269" t="s">
        <v>74</v>
      </c>
      <c r="BH2269" t="s">
        <v>74</v>
      </c>
      <c r="BI2269">
        <v>9</v>
      </c>
      <c r="BJ2269" t="s">
        <v>392</v>
      </c>
      <c r="BK2269" t="s">
        <v>209</v>
      </c>
      <c r="BL2269" t="s">
        <v>392</v>
      </c>
      <c r="BM2269" t="s">
        <v>38820</v>
      </c>
      <c r="BN2269">
        <v>38443914</v>
      </c>
      <c r="BO2269" t="s">
        <v>9870</v>
      </c>
      <c r="BP2269" t="s">
        <v>74</v>
      </c>
      <c r="BQ2269" t="s">
        <v>74</v>
      </c>
      <c r="BR2269" t="s">
        <v>102</v>
      </c>
      <c r="BS2269" t="s">
        <v>38821</v>
      </c>
      <c r="BT2269" t="str">
        <f>HYPERLINK("https%3A%2F%2Fwww.webofscience.com%2Fwos%2Fwoscc%2Ffull-record%2FWOS:001180277000014","View Full Record in Web of Science")</f>
        <v>View Full Record in Web of Science</v>
      </c>
    </row>
    <row r="2270" spans="1:72" x14ac:dyDescent="0.35">
      <c r="A2270" t="s">
        <v>72</v>
      </c>
      <c r="B2270" t="s">
        <v>38822</v>
      </c>
      <c r="C2270" t="s">
        <v>74</v>
      </c>
      <c r="D2270" t="s">
        <v>74</v>
      </c>
      <c r="E2270" t="s">
        <v>74</v>
      </c>
      <c r="F2270" t="s">
        <v>38823</v>
      </c>
      <c r="G2270" t="s">
        <v>74</v>
      </c>
      <c r="H2270" t="s">
        <v>74</v>
      </c>
      <c r="I2270" t="s">
        <v>38824</v>
      </c>
      <c r="J2270" t="s">
        <v>38825</v>
      </c>
      <c r="K2270" t="s">
        <v>74</v>
      </c>
      <c r="L2270" t="s">
        <v>74</v>
      </c>
      <c r="M2270" t="s">
        <v>78</v>
      </c>
      <c r="N2270" t="s">
        <v>108</v>
      </c>
      <c r="O2270" t="s">
        <v>74</v>
      </c>
      <c r="P2270" t="s">
        <v>74</v>
      </c>
      <c r="Q2270" t="s">
        <v>74</v>
      </c>
      <c r="R2270" t="s">
        <v>74</v>
      </c>
      <c r="S2270" t="s">
        <v>74</v>
      </c>
      <c r="T2270" t="s">
        <v>74</v>
      </c>
      <c r="U2270" t="s">
        <v>74</v>
      </c>
      <c r="V2270" t="s">
        <v>38826</v>
      </c>
      <c r="W2270" t="s">
        <v>38827</v>
      </c>
      <c r="X2270" t="s">
        <v>38828</v>
      </c>
      <c r="Y2270" t="s">
        <v>38829</v>
      </c>
      <c r="Z2270" t="s">
        <v>38830</v>
      </c>
      <c r="AA2270" t="s">
        <v>74</v>
      </c>
      <c r="AB2270" t="s">
        <v>38831</v>
      </c>
      <c r="AC2270" t="s">
        <v>74</v>
      </c>
      <c r="AD2270" t="s">
        <v>74</v>
      </c>
      <c r="AE2270" t="s">
        <v>74</v>
      </c>
      <c r="AF2270" t="s">
        <v>74</v>
      </c>
      <c r="AG2270">
        <v>8</v>
      </c>
      <c r="AH2270">
        <v>1</v>
      </c>
      <c r="AI2270">
        <v>1</v>
      </c>
      <c r="AJ2270">
        <v>1</v>
      </c>
      <c r="AK2270">
        <v>5</v>
      </c>
      <c r="AL2270" t="s">
        <v>12528</v>
      </c>
      <c r="AM2270" t="s">
        <v>995</v>
      </c>
      <c r="AN2270" t="s">
        <v>12529</v>
      </c>
      <c r="AO2270" t="s">
        <v>38832</v>
      </c>
      <c r="AP2270" t="s">
        <v>38833</v>
      </c>
      <c r="AQ2270" t="s">
        <v>74</v>
      </c>
      <c r="AR2270" t="s">
        <v>38834</v>
      </c>
      <c r="AS2270" t="s">
        <v>38835</v>
      </c>
      <c r="AT2270" t="s">
        <v>594</v>
      </c>
      <c r="AU2270">
        <v>2023</v>
      </c>
      <c r="AV2270">
        <v>81</v>
      </c>
      <c r="AW2270">
        <v>10</v>
      </c>
      <c r="AX2270" t="s">
        <v>74</v>
      </c>
      <c r="AY2270" t="s">
        <v>74</v>
      </c>
      <c r="AZ2270" t="s">
        <v>74</v>
      </c>
      <c r="BA2270" t="s">
        <v>74</v>
      </c>
      <c r="BB2270">
        <v>1295</v>
      </c>
      <c r="BC2270">
        <v>1300</v>
      </c>
      <c r="BD2270" t="s">
        <v>74</v>
      </c>
      <c r="BE2270" t="s">
        <v>38836</v>
      </c>
      <c r="BF2270" t="str">
        <f>HYPERLINK("http://dx.doi.org/10.1016/j.joms.2023.07.138","http://dx.doi.org/10.1016/j.joms.2023.07.138")</f>
        <v>http://dx.doi.org/10.1016/j.joms.2023.07.138</v>
      </c>
      <c r="BG2270" t="s">
        <v>74</v>
      </c>
      <c r="BH2270" t="s">
        <v>207</v>
      </c>
      <c r="BI2270">
        <v>6</v>
      </c>
      <c r="BJ2270" t="s">
        <v>599</v>
      </c>
      <c r="BK2270" t="s">
        <v>209</v>
      </c>
      <c r="BL2270" t="s">
        <v>599</v>
      </c>
      <c r="BM2270" t="s">
        <v>38837</v>
      </c>
      <c r="BN2270">
        <v>37572692</v>
      </c>
      <c r="BO2270" t="s">
        <v>74</v>
      </c>
      <c r="BP2270" t="s">
        <v>74</v>
      </c>
      <c r="BQ2270" t="s">
        <v>74</v>
      </c>
      <c r="BR2270" t="s">
        <v>102</v>
      </c>
      <c r="BS2270" t="s">
        <v>38838</v>
      </c>
      <c r="BT2270" t="str">
        <f>HYPERLINK("https%3A%2F%2Fwww.webofscience.com%2Fwos%2Fwoscc%2Ffull-record%2FWOS:001093353400001","View Full Record in Web of Science")</f>
        <v>View Full Record in Web of Science</v>
      </c>
    </row>
    <row r="2271" spans="1:72" x14ac:dyDescent="0.35">
      <c r="A2271" t="s">
        <v>72</v>
      </c>
      <c r="B2271" t="s">
        <v>38839</v>
      </c>
      <c r="C2271" t="s">
        <v>74</v>
      </c>
      <c r="D2271" t="s">
        <v>74</v>
      </c>
      <c r="E2271" t="s">
        <v>74</v>
      </c>
      <c r="F2271" t="s">
        <v>38840</v>
      </c>
      <c r="G2271" t="s">
        <v>74</v>
      </c>
      <c r="H2271" t="s">
        <v>74</v>
      </c>
      <c r="I2271" t="s">
        <v>38841</v>
      </c>
      <c r="J2271" t="s">
        <v>681</v>
      </c>
      <c r="K2271" t="s">
        <v>74</v>
      </c>
      <c r="L2271" t="s">
        <v>74</v>
      </c>
      <c r="M2271" t="s">
        <v>78</v>
      </c>
      <c r="N2271" t="s">
        <v>108</v>
      </c>
      <c r="O2271" t="s">
        <v>74</v>
      </c>
      <c r="P2271" t="s">
        <v>74</v>
      </c>
      <c r="Q2271" t="s">
        <v>74</v>
      </c>
      <c r="R2271" t="s">
        <v>74</v>
      </c>
      <c r="S2271" t="s">
        <v>74</v>
      </c>
      <c r="T2271" t="s">
        <v>38842</v>
      </c>
      <c r="U2271" t="s">
        <v>38843</v>
      </c>
      <c r="V2271" t="s">
        <v>38844</v>
      </c>
      <c r="W2271" t="s">
        <v>38845</v>
      </c>
      <c r="X2271" t="s">
        <v>38846</v>
      </c>
      <c r="Y2271" t="s">
        <v>38847</v>
      </c>
      <c r="Z2271" t="s">
        <v>38848</v>
      </c>
      <c r="AA2271" t="s">
        <v>38849</v>
      </c>
      <c r="AB2271" t="s">
        <v>38850</v>
      </c>
      <c r="AC2271" t="s">
        <v>38851</v>
      </c>
      <c r="AD2271" t="s">
        <v>38852</v>
      </c>
      <c r="AE2271" t="s">
        <v>38853</v>
      </c>
      <c r="AF2271" t="s">
        <v>74</v>
      </c>
      <c r="AG2271">
        <v>44</v>
      </c>
      <c r="AH2271">
        <v>8</v>
      </c>
      <c r="AI2271">
        <v>8</v>
      </c>
      <c r="AJ2271">
        <v>3</v>
      </c>
      <c r="AK2271">
        <v>44</v>
      </c>
      <c r="AL2271" t="s">
        <v>384</v>
      </c>
      <c r="AM2271" t="s">
        <v>385</v>
      </c>
      <c r="AN2271" t="s">
        <v>386</v>
      </c>
      <c r="AO2271" t="s">
        <v>693</v>
      </c>
      <c r="AP2271" t="s">
        <v>74</v>
      </c>
      <c r="AQ2271" t="s">
        <v>74</v>
      </c>
      <c r="AR2271" t="s">
        <v>694</v>
      </c>
      <c r="AS2271" t="s">
        <v>695</v>
      </c>
      <c r="AT2271" t="s">
        <v>12321</v>
      </c>
      <c r="AU2271">
        <v>2022</v>
      </c>
      <c r="AV2271">
        <v>13</v>
      </c>
      <c r="AW2271" t="s">
        <v>74</v>
      </c>
      <c r="AX2271" t="s">
        <v>74</v>
      </c>
      <c r="AY2271" t="s">
        <v>74</v>
      </c>
      <c r="AZ2271" t="s">
        <v>74</v>
      </c>
      <c r="BA2271" t="s">
        <v>74</v>
      </c>
      <c r="BB2271" t="s">
        <v>74</v>
      </c>
      <c r="BC2271" t="s">
        <v>74</v>
      </c>
      <c r="BD2271">
        <v>887744</v>
      </c>
      <c r="BE2271" t="s">
        <v>38854</v>
      </c>
      <c r="BF2271" t="str">
        <f>HYPERLINK("http://dx.doi.org/10.3389/fpsyg.2022.887744","http://dx.doi.org/10.3389/fpsyg.2022.887744")</f>
        <v>http://dx.doi.org/10.3389/fpsyg.2022.887744</v>
      </c>
      <c r="BG2271" t="s">
        <v>74</v>
      </c>
      <c r="BH2271" t="s">
        <v>74</v>
      </c>
      <c r="BI2271">
        <v>11</v>
      </c>
      <c r="BJ2271" t="s">
        <v>698</v>
      </c>
      <c r="BK2271" t="s">
        <v>99</v>
      </c>
      <c r="BL2271" t="s">
        <v>301</v>
      </c>
      <c r="BM2271" t="s">
        <v>38855</v>
      </c>
      <c r="BN2271">
        <v>35814113</v>
      </c>
      <c r="BO2271" t="s">
        <v>552</v>
      </c>
      <c r="BP2271" t="s">
        <v>74</v>
      </c>
      <c r="BQ2271" t="s">
        <v>74</v>
      </c>
      <c r="BR2271" t="s">
        <v>102</v>
      </c>
      <c r="BS2271" t="s">
        <v>38856</v>
      </c>
      <c r="BT2271" t="str">
        <f>HYPERLINK("https%3A%2F%2Fwww.webofscience.com%2Fwos%2Fwoscc%2Ffull-record%2FWOS:000821856100001","View Full Record in Web of Science")</f>
        <v>View Full Record in Web of Science</v>
      </c>
    </row>
    <row r="2272" spans="1:72" x14ac:dyDescent="0.35">
      <c r="A2272" t="s">
        <v>72</v>
      </c>
      <c r="B2272" t="s">
        <v>38857</v>
      </c>
      <c r="C2272" t="s">
        <v>74</v>
      </c>
      <c r="D2272" t="s">
        <v>74</v>
      </c>
      <c r="E2272" t="s">
        <v>74</v>
      </c>
      <c r="F2272" t="s">
        <v>38858</v>
      </c>
      <c r="G2272" t="s">
        <v>74</v>
      </c>
      <c r="H2272" t="s">
        <v>74</v>
      </c>
      <c r="I2272" t="s">
        <v>38859</v>
      </c>
      <c r="J2272" t="s">
        <v>531</v>
      </c>
      <c r="K2272" t="s">
        <v>74</v>
      </c>
      <c r="L2272" t="s">
        <v>74</v>
      </c>
      <c r="M2272" t="s">
        <v>78</v>
      </c>
      <c r="N2272" t="s">
        <v>108</v>
      </c>
      <c r="O2272" t="s">
        <v>74</v>
      </c>
      <c r="P2272" t="s">
        <v>74</v>
      </c>
      <c r="Q2272" t="s">
        <v>74</v>
      </c>
      <c r="R2272" t="s">
        <v>74</v>
      </c>
      <c r="S2272" t="s">
        <v>74</v>
      </c>
      <c r="T2272" t="s">
        <v>38860</v>
      </c>
      <c r="U2272" t="s">
        <v>38861</v>
      </c>
      <c r="V2272" t="s">
        <v>38862</v>
      </c>
      <c r="W2272" t="s">
        <v>38863</v>
      </c>
      <c r="X2272" t="s">
        <v>38864</v>
      </c>
      <c r="Y2272" t="s">
        <v>38865</v>
      </c>
      <c r="Z2272" t="s">
        <v>19003</v>
      </c>
      <c r="AA2272" t="s">
        <v>2286</v>
      </c>
      <c r="AB2272" t="s">
        <v>38866</v>
      </c>
      <c r="AC2272" t="s">
        <v>74</v>
      </c>
      <c r="AD2272" t="s">
        <v>74</v>
      </c>
      <c r="AE2272" t="s">
        <v>74</v>
      </c>
      <c r="AF2272" t="s">
        <v>74</v>
      </c>
      <c r="AG2272">
        <v>54</v>
      </c>
      <c r="AH2272">
        <v>1</v>
      </c>
      <c r="AI2272">
        <v>1</v>
      </c>
      <c r="AJ2272">
        <v>3</v>
      </c>
      <c r="AK2272">
        <v>10</v>
      </c>
      <c r="AL2272" t="s">
        <v>543</v>
      </c>
      <c r="AM2272" t="s">
        <v>544</v>
      </c>
      <c r="AN2272" t="s">
        <v>545</v>
      </c>
      <c r="AO2272" t="s">
        <v>74</v>
      </c>
      <c r="AP2272" t="s">
        <v>546</v>
      </c>
      <c r="AQ2272" t="s">
        <v>74</v>
      </c>
      <c r="AR2272" t="s">
        <v>547</v>
      </c>
      <c r="AS2272" t="s">
        <v>548</v>
      </c>
      <c r="AT2272" t="s">
        <v>74</v>
      </c>
      <c r="AU2272">
        <v>2023</v>
      </c>
      <c r="AV2272">
        <v>7</v>
      </c>
      <c r="AW2272" t="s">
        <v>74</v>
      </c>
      <c r="AX2272" t="s">
        <v>74</v>
      </c>
      <c r="AY2272" t="s">
        <v>74</v>
      </c>
      <c r="AZ2272" t="s">
        <v>74</v>
      </c>
      <c r="BA2272" t="s">
        <v>74</v>
      </c>
      <c r="BB2272" t="s">
        <v>74</v>
      </c>
      <c r="BC2272" t="s">
        <v>74</v>
      </c>
      <c r="BD2272" t="s">
        <v>74</v>
      </c>
      <c r="BE2272" t="s">
        <v>38867</v>
      </c>
      <c r="BF2272" t="str">
        <f>HYPERLINK("http://dx.doi.org/10.2196/46661","http://dx.doi.org/10.2196/46661")</f>
        <v>http://dx.doi.org/10.2196/46661</v>
      </c>
      <c r="BG2272" t="s">
        <v>74</v>
      </c>
      <c r="BH2272" t="s">
        <v>74</v>
      </c>
      <c r="BI2272">
        <v>12</v>
      </c>
      <c r="BJ2272" t="s">
        <v>550</v>
      </c>
      <c r="BK2272" t="s">
        <v>125</v>
      </c>
      <c r="BL2272" t="s">
        <v>550</v>
      </c>
      <c r="BM2272" t="s">
        <v>7160</v>
      </c>
      <c r="BN2272">
        <v>37052987</v>
      </c>
      <c r="BO2272" t="s">
        <v>394</v>
      </c>
      <c r="BP2272" t="s">
        <v>74</v>
      </c>
      <c r="BQ2272" t="s">
        <v>74</v>
      </c>
      <c r="BR2272" t="s">
        <v>102</v>
      </c>
      <c r="BS2272" t="s">
        <v>38868</v>
      </c>
      <c r="BT2272" t="str">
        <f>HYPERLINK("https%3A%2F%2Fwww.webofscience.com%2Fwos%2Fwoscc%2Ffull-record%2FWOS:000998643600020","View Full Record in Web of Science")</f>
        <v>View Full Record in Web of Science</v>
      </c>
    </row>
    <row r="2273" spans="1:72" x14ac:dyDescent="0.35">
      <c r="A2273" t="s">
        <v>72</v>
      </c>
      <c r="B2273" t="s">
        <v>38869</v>
      </c>
      <c r="C2273" t="s">
        <v>74</v>
      </c>
      <c r="D2273" t="s">
        <v>74</v>
      </c>
      <c r="E2273" t="s">
        <v>74</v>
      </c>
      <c r="F2273" t="s">
        <v>38870</v>
      </c>
      <c r="G2273" t="s">
        <v>74</v>
      </c>
      <c r="H2273" t="s">
        <v>74</v>
      </c>
      <c r="I2273" t="s">
        <v>38871</v>
      </c>
      <c r="J2273" t="s">
        <v>2370</v>
      </c>
      <c r="K2273" t="s">
        <v>74</v>
      </c>
      <c r="L2273" t="s">
        <v>74</v>
      </c>
      <c r="M2273" t="s">
        <v>78</v>
      </c>
      <c r="N2273" t="s">
        <v>108</v>
      </c>
      <c r="O2273" t="s">
        <v>74</v>
      </c>
      <c r="P2273" t="s">
        <v>74</v>
      </c>
      <c r="Q2273" t="s">
        <v>74</v>
      </c>
      <c r="R2273" t="s">
        <v>74</v>
      </c>
      <c r="S2273" t="s">
        <v>74</v>
      </c>
      <c r="T2273" t="s">
        <v>38872</v>
      </c>
      <c r="U2273" t="s">
        <v>38873</v>
      </c>
      <c r="V2273" t="s">
        <v>38874</v>
      </c>
      <c r="W2273" t="s">
        <v>38875</v>
      </c>
      <c r="X2273" t="s">
        <v>38876</v>
      </c>
      <c r="Y2273" t="s">
        <v>38877</v>
      </c>
      <c r="Z2273" t="s">
        <v>38878</v>
      </c>
      <c r="AA2273" t="s">
        <v>74</v>
      </c>
      <c r="AB2273" t="s">
        <v>74</v>
      </c>
      <c r="AC2273" t="s">
        <v>24158</v>
      </c>
      <c r="AD2273" t="s">
        <v>4847</v>
      </c>
      <c r="AE2273" t="s">
        <v>38879</v>
      </c>
      <c r="AF2273" t="s">
        <v>74</v>
      </c>
      <c r="AG2273">
        <v>54</v>
      </c>
      <c r="AH2273">
        <v>2</v>
      </c>
      <c r="AI2273">
        <v>3</v>
      </c>
      <c r="AJ2273">
        <v>3</v>
      </c>
      <c r="AK2273">
        <v>14</v>
      </c>
      <c r="AL2273" t="s">
        <v>2382</v>
      </c>
      <c r="AM2273" t="s">
        <v>227</v>
      </c>
      <c r="AN2273" t="s">
        <v>2383</v>
      </c>
      <c r="AO2273" t="s">
        <v>74</v>
      </c>
      <c r="AP2273" t="s">
        <v>2384</v>
      </c>
      <c r="AQ2273" t="s">
        <v>74</v>
      </c>
      <c r="AR2273" t="s">
        <v>2370</v>
      </c>
      <c r="AS2273" t="s">
        <v>2385</v>
      </c>
      <c r="AT2273" t="s">
        <v>7113</v>
      </c>
      <c r="AU2273">
        <v>2022</v>
      </c>
      <c r="AV2273">
        <v>22</v>
      </c>
      <c r="AW2273">
        <v>1</v>
      </c>
      <c r="AX2273" t="s">
        <v>74</v>
      </c>
      <c r="AY2273" t="s">
        <v>74</v>
      </c>
      <c r="AZ2273" t="s">
        <v>74</v>
      </c>
      <c r="BA2273" t="s">
        <v>74</v>
      </c>
      <c r="BB2273" t="s">
        <v>74</v>
      </c>
      <c r="BC2273" t="s">
        <v>74</v>
      </c>
      <c r="BD2273">
        <v>1682</v>
      </c>
      <c r="BE2273" t="s">
        <v>38880</v>
      </c>
      <c r="BF2273" t="str">
        <f>HYPERLINK("http://dx.doi.org/10.1186/s12889-022-13930-2","http://dx.doi.org/10.1186/s12889-022-13930-2")</f>
        <v>http://dx.doi.org/10.1186/s12889-022-13930-2</v>
      </c>
      <c r="BG2273" t="s">
        <v>74</v>
      </c>
      <c r="BH2273" t="s">
        <v>74</v>
      </c>
      <c r="BI2273">
        <v>12</v>
      </c>
      <c r="BJ2273" t="s">
        <v>392</v>
      </c>
      <c r="BK2273" t="s">
        <v>209</v>
      </c>
      <c r="BL2273" t="s">
        <v>392</v>
      </c>
      <c r="BM2273" t="s">
        <v>38881</v>
      </c>
      <c r="BN2273">
        <v>36064390</v>
      </c>
      <c r="BO2273" t="s">
        <v>394</v>
      </c>
      <c r="BP2273" t="s">
        <v>74</v>
      </c>
      <c r="BQ2273" t="s">
        <v>74</v>
      </c>
      <c r="BR2273" t="s">
        <v>102</v>
      </c>
      <c r="BS2273" t="s">
        <v>38882</v>
      </c>
      <c r="BT2273" t="str">
        <f>HYPERLINK("https%3A%2F%2Fwww.webofscience.com%2Fwos%2Fwoscc%2Ffull-record%2FWOS:000850070400010","View Full Record in Web of Science")</f>
        <v>View Full Record in Web of Science</v>
      </c>
    </row>
    <row r="2274" spans="1:72" x14ac:dyDescent="0.35">
      <c r="A2274" t="s">
        <v>72</v>
      </c>
      <c r="B2274" t="s">
        <v>38883</v>
      </c>
      <c r="C2274" t="s">
        <v>74</v>
      </c>
      <c r="D2274" t="s">
        <v>74</v>
      </c>
      <c r="E2274" t="s">
        <v>74</v>
      </c>
      <c r="F2274" t="s">
        <v>38884</v>
      </c>
      <c r="G2274" t="s">
        <v>74</v>
      </c>
      <c r="H2274" t="s">
        <v>74</v>
      </c>
      <c r="I2274" t="s">
        <v>38885</v>
      </c>
      <c r="J2274" t="s">
        <v>23146</v>
      </c>
      <c r="K2274" t="s">
        <v>74</v>
      </c>
      <c r="L2274" t="s">
        <v>74</v>
      </c>
      <c r="M2274" t="s">
        <v>78</v>
      </c>
      <c r="N2274" t="s">
        <v>374</v>
      </c>
      <c r="O2274" t="s">
        <v>74</v>
      </c>
      <c r="P2274" t="s">
        <v>74</v>
      </c>
      <c r="Q2274" t="s">
        <v>74</v>
      </c>
      <c r="R2274" t="s">
        <v>74</v>
      </c>
      <c r="S2274" t="s">
        <v>74</v>
      </c>
      <c r="T2274" t="s">
        <v>38886</v>
      </c>
      <c r="U2274" t="s">
        <v>38887</v>
      </c>
      <c r="V2274" t="s">
        <v>38888</v>
      </c>
      <c r="W2274" t="s">
        <v>38889</v>
      </c>
      <c r="X2274" t="s">
        <v>38890</v>
      </c>
      <c r="Y2274" t="s">
        <v>38891</v>
      </c>
      <c r="Z2274" t="s">
        <v>38892</v>
      </c>
      <c r="AA2274" t="s">
        <v>38893</v>
      </c>
      <c r="AB2274" t="s">
        <v>38894</v>
      </c>
      <c r="AC2274" t="s">
        <v>74</v>
      </c>
      <c r="AD2274" t="s">
        <v>74</v>
      </c>
      <c r="AE2274" t="s">
        <v>74</v>
      </c>
      <c r="AF2274" t="s">
        <v>74</v>
      </c>
      <c r="AG2274">
        <v>80</v>
      </c>
      <c r="AH2274">
        <v>7</v>
      </c>
      <c r="AI2274">
        <v>7</v>
      </c>
      <c r="AJ2274">
        <v>12</v>
      </c>
      <c r="AK2274">
        <v>53</v>
      </c>
      <c r="AL2274" t="s">
        <v>384</v>
      </c>
      <c r="AM2274" t="s">
        <v>385</v>
      </c>
      <c r="AN2274" t="s">
        <v>386</v>
      </c>
      <c r="AO2274" t="s">
        <v>23155</v>
      </c>
      <c r="AP2274" t="s">
        <v>74</v>
      </c>
      <c r="AQ2274" t="s">
        <v>74</v>
      </c>
      <c r="AR2274" t="s">
        <v>23156</v>
      </c>
      <c r="AS2274" t="s">
        <v>23157</v>
      </c>
      <c r="AT2274" t="s">
        <v>11844</v>
      </c>
      <c r="AU2274">
        <v>2022</v>
      </c>
      <c r="AV2274">
        <v>10</v>
      </c>
      <c r="AW2274" t="s">
        <v>74</v>
      </c>
      <c r="AX2274" t="s">
        <v>74</v>
      </c>
      <c r="AY2274" t="s">
        <v>74</v>
      </c>
      <c r="AZ2274" t="s">
        <v>74</v>
      </c>
      <c r="BA2274" t="s">
        <v>74</v>
      </c>
      <c r="BB2274" t="s">
        <v>74</v>
      </c>
      <c r="BC2274" t="s">
        <v>74</v>
      </c>
      <c r="BD2274">
        <v>993460</v>
      </c>
      <c r="BE2274" t="s">
        <v>38895</v>
      </c>
      <c r="BF2274" t="str">
        <f>HYPERLINK("http://dx.doi.org/10.3389/fped.2022.993460","http://dx.doi.org/10.3389/fped.2022.993460")</f>
        <v>http://dx.doi.org/10.3389/fped.2022.993460</v>
      </c>
      <c r="BG2274" t="s">
        <v>74</v>
      </c>
      <c r="BH2274" t="s">
        <v>74</v>
      </c>
      <c r="BI2274">
        <v>9</v>
      </c>
      <c r="BJ2274" t="s">
        <v>6641</v>
      </c>
      <c r="BK2274" t="s">
        <v>209</v>
      </c>
      <c r="BL2274" t="s">
        <v>6641</v>
      </c>
      <c r="BM2274" t="s">
        <v>38896</v>
      </c>
      <c r="BN2274">
        <v>36105854</v>
      </c>
      <c r="BO2274" t="s">
        <v>394</v>
      </c>
      <c r="BP2274" t="s">
        <v>74</v>
      </c>
      <c r="BQ2274" t="s">
        <v>74</v>
      </c>
      <c r="BR2274" t="s">
        <v>102</v>
      </c>
      <c r="BS2274" t="s">
        <v>38897</v>
      </c>
      <c r="BT2274" t="str">
        <f>HYPERLINK("https%3A%2F%2Fwww.webofscience.com%2Fwos%2Fwoscc%2Ffull-record%2FWOS:000863101600001","View Full Record in Web of Science")</f>
        <v>View Full Record in Web of Science</v>
      </c>
    </row>
    <row r="2275" spans="1:72" x14ac:dyDescent="0.35">
      <c r="A2275" t="s">
        <v>128</v>
      </c>
      <c r="B2275" t="s">
        <v>38898</v>
      </c>
      <c r="C2275" t="s">
        <v>74</v>
      </c>
      <c r="D2275" t="s">
        <v>38899</v>
      </c>
      <c r="E2275" t="s">
        <v>74</v>
      </c>
      <c r="F2275" t="s">
        <v>38900</v>
      </c>
      <c r="G2275" t="s">
        <v>74</v>
      </c>
      <c r="H2275" t="s">
        <v>74</v>
      </c>
      <c r="I2275" t="s">
        <v>38901</v>
      </c>
      <c r="J2275" t="s">
        <v>38902</v>
      </c>
      <c r="K2275" t="s">
        <v>74</v>
      </c>
      <c r="L2275" t="s">
        <v>74</v>
      </c>
      <c r="M2275" t="s">
        <v>78</v>
      </c>
      <c r="N2275" t="s">
        <v>135</v>
      </c>
      <c r="O2275" t="s">
        <v>38903</v>
      </c>
      <c r="P2275" t="s">
        <v>38904</v>
      </c>
      <c r="Q2275" t="s">
        <v>138</v>
      </c>
      <c r="R2275" t="s">
        <v>38905</v>
      </c>
      <c r="S2275" t="s">
        <v>74</v>
      </c>
      <c r="T2275" t="s">
        <v>38906</v>
      </c>
      <c r="U2275" t="s">
        <v>74</v>
      </c>
      <c r="V2275" t="s">
        <v>38907</v>
      </c>
      <c r="W2275" t="s">
        <v>38908</v>
      </c>
      <c r="X2275" t="s">
        <v>38909</v>
      </c>
      <c r="Y2275" t="s">
        <v>38910</v>
      </c>
      <c r="Z2275" t="s">
        <v>38911</v>
      </c>
      <c r="AA2275" t="s">
        <v>38912</v>
      </c>
      <c r="AB2275" t="s">
        <v>38913</v>
      </c>
      <c r="AC2275" t="s">
        <v>38914</v>
      </c>
      <c r="AD2275" t="s">
        <v>38915</v>
      </c>
      <c r="AE2275" t="s">
        <v>38916</v>
      </c>
      <c r="AF2275" t="s">
        <v>74</v>
      </c>
      <c r="AG2275">
        <v>65</v>
      </c>
      <c r="AH2275">
        <v>21</v>
      </c>
      <c r="AI2275">
        <v>21</v>
      </c>
      <c r="AJ2275">
        <v>0</v>
      </c>
      <c r="AK2275">
        <v>12</v>
      </c>
      <c r="AL2275" t="s">
        <v>718</v>
      </c>
      <c r="AM2275" t="s">
        <v>666</v>
      </c>
      <c r="AN2275" t="s">
        <v>719</v>
      </c>
      <c r="AO2275" t="s">
        <v>74</v>
      </c>
      <c r="AP2275" t="s">
        <v>74</v>
      </c>
      <c r="AQ2275" t="s">
        <v>38917</v>
      </c>
      <c r="AR2275" t="s">
        <v>74</v>
      </c>
      <c r="AS2275" t="s">
        <v>74</v>
      </c>
      <c r="AT2275" t="s">
        <v>74</v>
      </c>
      <c r="AU2275">
        <v>2021</v>
      </c>
      <c r="AV2275" t="s">
        <v>74</v>
      </c>
      <c r="AW2275" t="s">
        <v>74</v>
      </c>
      <c r="AX2275" t="s">
        <v>74</v>
      </c>
      <c r="AY2275" t="s">
        <v>74</v>
      </c>
      <c r="AZ2275" t="s">
        <v>74</v>
      </c>
      <c r="BA2275" t="s">
        <v>74</v>
      </c>
      <c r="BB2275">
        <v>204</v>
      </c>
      <c r="BC2275">
        <v>215</v>
      </c>
      <c r="BD2275" t="s">
        <v>74</v>
      </c>
      <c r="BE2275" t="s">
        <v>38918</v>
      </c>
      <c r="BF2275" t="str">
        <f>HYPERLINK("http://dx.doi.org/10.1145/3460319.3464806","http://dx.doi.org/10.1145/3460319.3464806")</f>
        <v>http://dx.doi.org/10.1145/3460319.3464806</v>
      </c>
      <c r="BG2275" t="s">
        <v>74</v>
      </c>
      <c r="BH2275" t="s">
        <v>74</v>
      </c>
      <c r="BI2275">
        <v>12</v>
      </c>
      <c r="BJ2275" t="s">
        <v>24653</v>
      </c>
      <c r="BK2275" t="s">
        <v>723</v>
      </c>
      <c r="BL2275" t="s">
        <v>210</v>
      </c>
      <c r="BM2275" t="s">
        <v>38919</v>
      </c>
      <c r="BN2275" t="s">
        <v>74</v>
      </c>
      <c r="BO2275" t="s">
        <v>74</v>
      </c>
      <c r="BP2275" t="s">
        <v>74</v>
      </c>
      <c r="BQ2275" t="s">
        <v>74</v>
      </c>
      <c r="BR2275" t="s">
        <v>102</v>
      </c>
      <c r="BS2275" t="s">
        <v>38920</v>
      </c>
      <c r="BT2275" t="str">
        <f>HYPERLINK("https%3A%2F%2Fwww.webofscience.com%2Fwos%2Fwoscc%2Ffull-record%2FWOS:000722628800018","View Full Record in Web of Science")</f>
        <v>View Full Record in Web of Science</v>
      </c>
    </row>
    <row r="2276" spans="1:72" x14ac:dyDescent="0.35">
      <c r="A2276" t="s">
        <v>72</v>
      </c>
      <c r="B2276" t="s">
        <v>38921</v>
      </c>
      <c r="C2276" t="s">
        <v>74</v>
      </c>
      <c r="D2276" t="s">
        <v>74</v>
      </c>
      <c r="E2276" t="s">
        <v>74</v>
      </c>
      <c r="F2276" t="s">
        <v>38922</v>
      </c>
      <c r="G2276" t="s">
        <v>74</v>
      </c>
      <c r="H2276" t="s">
        <v>74</v>
      </c>
      <c r="I2276" t="s">
        <v>38923</v>
      </c>
      <c r="J2276" t="s">
        <v>38346</v>
      </c>
      <c r="K2276" t="s">
        <v>74</v>
      </c>
      <c r="L2276" t="s">
        <v>74</v>
      </c>
      <c r="M2276" t="s">
        <v>78</v>
      </c>
      <c r="N2276" t="s">
        <v>108</v>
      </c>
      <c r="O2276" t="s">
        <v>74</v>
      </c>
      <c r="P2276" t="s">
        <v>74</v>
      </c>
      <c r="Q2276" t="s">
        <v>74</v>
      </c>
      <c r="R2276" t="s">
        <v>74</v>
      </c>
      <c r="S2276" t="s">
        <v>74</v>
      </c>
      <c r="T2276" t="s">
        <v>38924</v>
      </c>
      <c r="U2276" t="s">
        <v>74</v>
      </c>
      <c r="V2276" t="s">
        <v>38925</v>
      </c>
      <c r="W2276" t="s">
        <v>38926</v>
      </c>
      <c r="X2276" t="s">
        <v>37743</v>
      </c>
      <c r="Y2276" t="s">
        <v>38927</v>
      </c>
      <c r="Z2276" t="s">
        <v>38928</v>
      </c>
      <c r="AA2276" t="s">
        <v>38929</v>
      </c>
      <c r="AB2276" t="s">
        <v>38930</v>
      </c>
      <c r="AC2276" t="s">
        <v>74</v>
      </c>
      <c r="AD2276" t="s">
        <v>74</v>
      </c>
      <c r="AE2276" t="s">
        <v>74</v>
      </c>
      <c r="AF2276" t="s">
        <v>74</v>
      </c>
      <c r="AG2276">
        <v>1</v>
      </c>
      <c r="AH2276">
        <v>0</v>
      </c>
      <c r="AI2276">
        <v>0</v>
      </c>
      <c r="AJ2276">
        <v>2</v>
      </c>
      <c r="AK2276">
        <v>2</v>
      </c>
      <c r="AL2276" t="s">
        <v>38350</v>
      </c>
      <c r="AM2276" t="s">
        <v>38351</v>
      </c>
      <c r="AN2276" t="s">
        <v>38352</v>
      </c>
      <c r="AO2276" t="s">
        <v>38353</v>
      </c>
      <c r="AP2276" t="s">
        <v>38354</v>
      </c>
      <c r="AQ2276" t="s">
        <v>74</v>
      </c>
      <c r="AR2276" t="s">
        <v>38355</v>
      </c>
      <c r="AS2276" t="s">
        <v>38356</v>
      </c>
      <c r="AT2276" t="s">
        <v>74</v>
      </c>
      <c r="AU2276">
        <v>2024</v>
      </c>
      <c r="AV2276">
        <v>13</v>
      </c>
      <c r="AW2276">
        <v>1</v>
      </c>
      <c r="AX2276" t="s">
        <v>74</v>
      </c>
      <c r="AY2276" t="s">
        <v>74</v>
      </c>
      <c r="AZ2276" t="s">
        <v>74</v>
      </c>
      <c r="BA2276" t="s">
        <v>74</v>
      </c>
      <c r="BB2276">
        <v>52</v>
      </c>
      <c r="BC2276">
        <v>68</v>
      </c>
      <c r="BD2276" t="s">
        <v>74</v>
      </c>
      <c r="BE2276" t="s">
        <v>38931</v>
      </c>
      <c r="BF2276" t="str">
        <f>HYPERLINK("http://dx.doi.org/10.17150/2308-6203.2024.13(1).52-68","http://dx.doi.org/10.17150/2308-6203.2024.13(1).52-68")</f>
        <v>http://dx.doi.org/10.17150/2308-6203.2024.13(1).52-68</v>
      </c>
      <c r="BG2276" t="s">
        <v>74</v>
      </c>
      <c r="BH2276" t="s">
        <v>74</v>
      </c>
      <c r="BI2276">
        <v>17</v>
      </c>
      <c r="BJ2276" t="s">
        <v>124</v>
      </c>
      <c r="BK2276" t="s">
        <v>125</v>
      </c>
      <c r="BL2276" t="s">
        <v>124</v>
      </c>
      <c r="BM2276" t="s">
        <v>38932</v>
      </c>
      <c r="BN2276" t="s">
        <v>74</v>
      </c>
      <c r="BO2276" t="s">
        <v>235</v>
      </c>
      <c r="BP2276" t="s">
        <v>74</v>
      </c>
      <c r="BQ2276" t="s">
        <v>74</v>
      </c>
      <c r="BR2276" t="s">
        <v>102</v>
      </c>
      <c r="BS2276" t="s">
        <v>38933</v>
      </c>
      <c r="BT2276" t="str">
        <f>HYPERLINK("https%3A%2F%2Fwww.webofscience.com%2Fwos%2Fwoscc%2Ffull-record%2FWOS:001193900900005","View Full Record in Web of Science")</f>
        <v>View Full Record in Web of Science</v>
      </c>
    </row>
    <row r="2277" spans="1:72" x14ac:dyDescent="0.35">
      <c r="A2277" t="s">
        <v>72</v>
      </c>
      <c r="B2277" t="s">
        <v>38934</v>
      </c>
      <c r="C2277" t="s">
        <v>74</v>
      </c>
      <c r="D2277" t="s">
        <v>74</v>
      </c>
      <c r="E2277" t="s">
        <v>74</v>
      </c>
      <c r="F2277" t="s">
        <v>38935</v>
      </c>
      <c r="G2277" t="s">
        <v>74</v>
      </c>
      <c r="H2277" t="s">
        <v>74</v>
      </c>
      <c r="I2277" t="s">
        <v>38936</v>
      </c>
      <c r="J2277" t="s">
        <v>8249</v>
      </c>
      <c r="K2277" t="s">
        <v>74</v>
      </c>
      <c r="L2277" t="s">
        <v>74</v>
      </c>
      <c r="M2277" t="s">
        <v>78</v>
      </c>
      <c r="N2277" t="s">
        <v>108</v>
      </c>
      <c r="O2277" t="s">
        <v>74</v>
      </c>
      <c r="P2277" t="s">
        <v>74</v>
      </c>
      <c r="Q2277" t="s">
        <v>74</v>
      </c>
      <c r="R2277" t="s">
        <v>74</v>
      </c>
      <c r="S2277" t="s">
        <v>74</v>
      </c>
      <c r="T2277" t="s">
        <v>38937</v>
      </c>
      <c r="U2277" t="s">
        <v>74</v>
      </c>
      <c r="V2277" t="s">
        <v>38938</v>
      </c>
      <c r="W2277" t="s">
        <v>38939</v>
      </c>
      <c r="X2277" t="s">
        <v>74</v>
      </c>
      <c r="Y2277" t="s">
        <v>38940</v>
      </c>
      <c r="Z2277" t="s">
        <v>38941</v>
      </c>
      <c r="AA2277" t="s">
        <v>74</v>
      </c>
      <c r="AB2277" t="s">
        <v>74</v>
      </c>
      <c r="AC2277" t="s">
        <v>74</v>
      </c>
      <c r="AD2277" t="s">
        <v>74</v>
      </c>
      <c r="AE2277" t="s">
        <v>74</v>
      </c>
      <c r="AF2277" t="s">
        <v>74</v>
      </c>
      <c r="AG2277">
        <v>21</v>
      </c>
      <c r="AH2277">
        <v>2</v>
      </c>
      <c r="AI2277">
        <v>2</v>
      </c>
      <c r="AJ2277">
        <v>3</v>
      </c>
      <c r="AK2277">
        <v>27</v>
      </c>
      <c r="AL2277" t="s">
        <v>10032</v>
      </c>
      <c r="AM2277" t="s">
        <v>10033</v>
      </c>
      <c r="AN2277" t="s">
        <v>10034</v>
      </c>
      <c r="AO2277" t="s">
        <v>8259</v>
      </c>
      <c r="AP2277" t="s">
        <v>74</v>
      </c>
      <c r="AQ2277" t="s">
        <v>74</v>
      </c>
      <c r="AR2277" t="s">
        <v>8260</v>
      </c>
      <c r="AS2277" t="s">
        <v>8261</v>
      </c>
      <c r="AT2277" t="s">
        <v>74</v>
      </c>
      <c r="AU2277">
        <v>2022</v>
      </c>
      <c r="AV2277">
        <v>80</v>
      </c>
      <c r="AW2277" t="s">
        <v>74</v>
      </c>
      <c r="AX2277" t="s">
        <v>74</v>
      </c>
      <c r="AY2277" t="s">
        <v>74</v>
      </c>
      <c r="AZ2277" t="s">
        <v>74</v>
      </c>
      <c r="BA2277" t="s">
        <v>74</v>
      </c>
      <c r="BB2277" t="s">
        <v>74</v>
      </c>
      <c r="BC2277" t="s">
        <v>74</v>
      </c>
      <c r="BD2277" t="s">
        <v>74</v>
      </c>
      <c r="BE2277" t="s">
        <v>38942</v>
      </c>
      <c r="BF2277" t="str">
        <f>HYPERLINK("http://dx.doi.org/10.4185/RLCS-2022-1740","http://dx.doi.org/10.4185/RLCS-2022-1740")</f>
        <v>http://dx.doi.org/10.4185/RLCS-2022-1740</v>
      </c>
      <c r="BG2277" t="s">
        <v>74</v>
      </c>
      <c r="BH2277" t="s">
        <v>74</v>
      </c>
      <c r="BI2277">
        <v>12</v>
      </c>
      <c r="BJ2277" t="s">
        <v>124</v>
      </c>
      <c r="BK2277" t="s">
        <v>125</v>
      </c>
      <c r="BL2277" t="s">
        <v>124</v>
      </c>
      <c r="BM2277" t="s">
        <v>38943</v>
      </c>
      <c r="BN2277" t="s">
        <v>74</v>
      </c>
      <c r="BO2277" t="s">
        <v>3287</v>
      </c>
      <c r="BP2277" t="s">
        <v>74</v>
      </c>
      <c r="BQ2277" t="s">
        <v>74</v>
      </c>
      <c r="BR2277" t="s">
        <v>102</v>
      </c>
      <c r="BS2277" t="s">
        <v>38944</v>
      </c>
      <c r="BT2277" t="str">
        <f>HYPERLINK("https%3A%2F%2Fwww.webofscience.com%2Fwos%2Fwoscc%2Ffull-record%2FWOS:000824100600001","View Full Record in Web of Science")</f>
        <v>View Full Record in Web of Science</v>
      </c>
    </row>
    <row r="2278" spans="1:72" x14ac:dyDescent="0.35">
      <c r="A2278" t="s">
        <v>72</v>
      </c>
      <c r="B2278" t="s">
        <v>38945</v>
      </c>
      <c r="C2278" t="s">
        <v>74</v>
      </c>
      <c r="D2278" t="s">
        <v>74</v>
      </c>
      <c r="E2278" t="s">
        <v>74</v>
      </c>
      <c r="F2278" t="s">
        <v>38946</v>
      </c>
      <c r="G2278" t="s">
        <v>74</v>
      </c>
      <c r="H2278" t="s">
        <v>74</v>
      </c>
      <c r="I2278" t="s">
        <v>38947</v>
      </c>
      <c r="J2278" t="s">
        <v>681</v>
      </c>
      <c r="K2278" t="s">
        <v>74</v>
      </c>
      <c r="L2278" t="s">
        <v>74</v>
      </c>
      <c r="M2278" t="s">
        <v>78</v>
      </c>
      <c r="N2278" t="s">
        <v>374</v>
      </c>
      <c r="O2278" t="s">
        <v>74</v>
      </c>
      <c r="P2278" t="s">
        <v>74</v>
      </c>
      <c r="Q2278" t="s">
        <v>74</v>
      </c>
      <c r="R2278" t="s">
        <v>74</v>
      </c>
      <c r="S2278" t="s">
        <v>74</v>
      </c>
      <c r="T2278" t="s">
        <v>38948</v>
      </c>
      <c r="U2278" t="s">
        <v>38949</v>
      </c>
      <c r="V2278" t="s">
        <v>38950</v>
      </c>
      <c r="W2278" t="s">
        <v>38951</v>
      </c>
      <c r="X2278" t="s">
        <v>38952</v>
      </c>
      <c r="Y2278" t="s">
        <v>38953</v>
      </c>
      <c r="Z2278" t="s">
        <v>38954</v>
      </c>
      <c r="AA2278" t="s">
        <v>38955</v>
      </c>
      <c r="AB2278" t="s">
        <v>38956</v>
      </c>
      <c r="AC2278" t="s">
        <v>38957</v>
      </c>
      <c r="AD2278" t="s">
        <v>38958</v>
      </c>
      <c r="AE2278" t="s">
        <v>38959</v>
      </c>
      <c r="AF2278" t="s">
        <v>74</v>
      </c>
      <c r="AG2278">
        <v>134</v>
      </c>
      <c r="AH2278">
        <v>154</v>
      </c>
      <c r="AI2278">
        <v>171</v>
      </c>
      <c r="AJ2278">
        <v>20</v>
      </c>
      <c r="AK2278">
        <v>373</v>
      </c>
      <c r="AL2278" t="s">
        <v>384</v>
      </c>
      <c r="AM2278" t="s">
        <v>385</v>
      </c>
      <c r="AN2278" t="s">
        <v>386</v>
      </c>
      <c r="AO2278" t="s">
        <v>693</v>
      </c>
      <c r="AP2278" t="s">
        <v>74</v>
      </c>
      <c r="AQ2278" t="s">
        <v>74</v>
      </c>
      <c r="AR2278" t="s">
        <v>694</v>
      </c>
      <c r="AS2278" t="s">
        <v>695</v>
      </c>
      <c r="AT2278" t="s">
        <v>38960</v>
      </c>
      <c r="AU2278">
        <v>2019</v>
      </c>
      <c r="AV2278">
        <v>10</v>
      </c>
      <c r="AW2278" t="s">
        <v>74</v>
      </c>
      <c r="AX2278" t="s">
        <v>74</v>
      </c>
      <c r="AY2278" t="s">
        <v>74</v>
      </c>
      <c r="AZ2278" t="s">
        <v>74</v>
      </c>
      <c r="BA2278" t="s">
        <v>74</v>
      </c>
      <c r="BB2278" t="s">
        <v>74</v>
      </c>
      <c r="BC2278" t="s">
        <v>74</v>
      </c>
      <c r="BD2278">
        <v>2685</v>
      </c>
      <c r="BE2278" t="s">
        <v>38961</v>
      </c>
      <c r="BF2278" t="str">
        <f>HYPERLINK("http://dx.doi.org/10.3389/fpsyg.2019.02685","http://dx.doi.org/10.3389/fpsyg.2019.02685")</f>
        <v>http://dx.doi.org/10.3389/fpsyg.2019.02685</v>
      </c>
      <c r="BG2278" t="s">
        <v>74</v>
      </c>
      <c r="BH2278" t="s">
        <v>74</v>
      </c>
      <c r="BI2278">
        <v>16</v>
      </c>
      <c r="BJ2278" t="s">
        <v>698</v>
      </c>
      <c r="BK2278" t="s">
        <v>99</v>
      </c>
      <c r="BL2278" t="s">
        <v>301</v>
      </c>
      <c r="BM2278" t="s">
        <v>38962</v>
      </c>
      <c r="BN2278">
        <v>31849783</v>
      </c>
      <c r="BO2278" t="s">
        <v>552</v>
      </c>
      <c r="BP2278" t="s">
        <v>74</v>
      </c>
      <c r="BQ2278" t="s">
        <v>74</v>
      </c>
      <c r="BR2278" t="s">
        <v>102</v>
      </c>
      <c r="BS2278" t="s">
        <v>38963</v>
      </c>
      <c r="BT2278" t="str">
        <f>HYPERLINK("https%3A%2F%2Fwww.webofscience.com%2Fwos%2Fwoscc%2Ffull-record%2FWOS:000560261000001","View Full Record in Web of Science")</f>
        <v>View Full Record in Web of Science</v>
      </c>
    </row>
    <row r="2279" spans="1:72" x14ac:dyDescent="0.35">
      <c r="A2279" t="s">
        <v>72</v>
      </c>
      <c r="B2279" t="s">
        <v>38964</v>
      </c>
      <c r="C2279" t="s">
        <v>74</v>
      </c>
      <c r="D2279" t="s">
        <v>74</v>
      </c>
      <c r="E2279" t="s">
        <v>74</v>
      </c>
      <c r="F2279" t="s">
        <v>38965</v>
      </c>
      <c r="G2279" t="s">
        <v>74</v>
      </c>
      <c r="H2279" t="s">
        <v>74</v>
      </c>
      <c r="I2279" t="s">
        <v>38966</v>
      </c>
      <c r="J2279" t="s">
        <v>38967</v>
      </c>
      <c r="K2279" t="s">
        <v>74</v>
      </c>
      <c r="L2279" t="s">
        <v>74</v>
      </c>
      <c r="M2279" t="s">
        <v>78</v>
      </c>
      <c r="N2279" t="s">
        <v>108</v>
      </c>
      <c r="O2279" t="s">
        <v>74</v>
      </c>
      <c r="P2279" t="s">
        <v>74</v>
      </c>
      <c r="Q2279" t="s">
        <v>74</v>
      </c>
      <c r="R2279" t="s">
        <v>74</v>
      </c>
      <c r="S2279" t="s">
        <v>74</v>
      </c>
      <c r="T2279" t="s">
        <v>38968</v>
      </c>
      <c r="U2279" t="s">
        <v>38969</v>
      </c>
      <c r="V2279" t="s">
        <v>38970</v>
      </c>
      <c r="W2279" t="s">
        <v>38971</v>
      </c>
      <c r="X2279" t="s">
        <v>38972</v>
      </c>
      <c r="Y2279" t="s">
        <v>38973</v>
      </c>
      <c r="Z2279" t="s">
        <v>38974</v>
      </c>
      <c r="AA2279" t="s">
        <v>38975</v>
      </c>
      <c r="AB2279" t="s">
        <v>38976</v>
      </c>
      <c r="AC2279" t="s">
        <v>38977</v>
      </c>
      <c r="AD2279" t="s">
        <v>38978</v>
      </c>
      <c r="AE2279" t="s">
        <v>38979</v>
      </c>
      <c r="AF2279" t="s">
        <v>74</v>
      </c>
      <c r="AG2279">
        <v>246</v>
      </c>
      <c r="AH2279">
        <v>2</v>
      </c>
      <c r="AI2279">
        <v>2</v>
      </c>
      <c r="AJ2279">
        <v>14</v>
      </c>
      <c r="AK2279">
        <v>14</v>
      </c>
      <c r="AL2279" t="s">
        <v>3632</v>
      </c>
      <c r="AM2279" t="s">
        <v>148</v>
      </c>
      <c r="AN2279" t="s">
        <v>5053</v>
      </c>
      <c r="AO2279" t="s">
        <v>38980</v>
      </c>
      <c r="AP2279" t="s">
        <v>38981</v>
      </c>
      <c r="AQ2279" t="s">
        <v>74</v>
      </c>
      <c r="AR2279" t="s">
        <v>38967</v>
      </c>
      <c r="AS2279" t="s">
        <v>38982</v>
      </c>
      <c r="AT2279" t="s">
        <v>257</v>
      </c>
      <c r="AU2279">
        <v>2024</v>
      </c>
      <c r="AV2279">
        <v>160</v>
      </c>
      <c r="AW2279" t="s">
        <v>74</v>
      </c>
      <c r="AX2279" t="s">
        <v>74</v>
      </c>
      <c r="AY2279" t="s">
        <v>74</v>
      </c>
      <c r="AZ2279" t="s">
        <v>74</v>
      </c>
      <c r="BA2279" t="s">
        <v>74</v>
      </c>
      <c r="BB2279" t="s">
        <v>74</v>
      </c>
      <c r="BC2279" t="s">
        <v>74</v>
      </c>
      <c r="BD2279">
        <v>103383</v>
      </c>
      <c r="BE2279" t="s">
        <v>38983</v>
      </c>
      <c r="BF2279" t="str">
        <f>HYPERLINK("http://dx.doi.org/10.1016/j.futures.2024.103383","http://dx.doi.org/10.1016/j.futures.2024.103383")</f>
        <v>http://dx.doi.org/10.1016/j.futures.2024.103383</v>
      </c>
      <c r="BG2279" t="s">
        <v>74</v>
      </c>
      <c r="BH2279" t="s">
        <v>2410</v>
      </c>
      <c r="BI2279">
        <v>30</v>
      </c>
      <c r="BJ2279" t="s">
        <v>38984</v>
      </c>
      <c r="BK2279" t="s">
        <v>99</v>
      </c>
      <c r="BL2279" t="s">
        <v>5376</v>
      </c>
      <c r="BM2279" t="s">
        <v>38985</v>
      </c>
      <c r="BN2279" t="s">
        <v>74</v>
      </c>
      <c r="BO2279" t="s">
        <v>4154</v>
      </c>
      <c r="BP2279" t="s">
        <v>74</v>
      </c>
      <c r="BQ2279" t="s">
        <v>74</v>
      </c>
      <c r="BR2279" t="s">
        <v>102</v>
      </c>
      <c r="BS2279" t="s">
        <v>38986</v>
      </c>
      <c r="BT2279" t="str">
        <f>HYPERLINK("https%3A%2F%2Fwww.webofscience.com%2Fwos%2Fwoscc%2Ffull-record%2FWOS:001295378400001","View Full Record in Web of Science")</f>
        <v>View Full Record in Web of Science</v>
      </c>
    </row>
    <row r="2280" spans="1:72" x14ac:dyDescent="0.35">
      <c r="A2280" t="s">
        <v>72</v>
      </c>
      <c r="B2280" t="s">
        <v>38987</v>
      </c>
      <c r="C2280" t="s">
        <v>74</v>
      </c>
      <c r="D2280" t="s">
        <v>74</v>
      </c>
      <c r="E2280" t="s">
        <v>74</v>
      </c>
      <c r="F2280" t="s">
        <v>38988</v>
      </c>
      <c r="G2280" t="s">
        <v>74</v>
      </c>
      <c r="H2280" t="s">
        <v>74</v>
      </c>
      <c r="I2280" t="s">
        <v>38989</v>
      </c>
      <c r="J2280" t="s">
        <v>38990</v>
      </c>
      <c r="K2280" t="s">
        <v>74</v>
      </c>
      <c r="L2280" t="s">
        <v>74</v>
      </c>
      <c r="M2280" t="s">
        <v>78</v>
      </c>
      <c r="N2280" t="s">
        <v>108</v>
      </c>
      <c r="O2280" t="s">
        <v>74</v>
      </c>
      <c r="P2280" t="s">
        <v>74</v>
      </c>
      <c r="Q2280" t="s">
        <v>74</v>
      </c>
      <c r="R2280" t="s">
        <v>74</v>
      </c>
      <c r="S2280" t="s">
        <v>74</v>
      </c>
      <c r="T2280" t="s">
        <v>38991</v>
      </c>
      <c r="U2280" t="s">
        <v>74</v>
      </c>
      <c r="V2280" t="s">
        <v>38992</v>
      </c>
      <c r="W2280" t="s">
        <v>38993</v>
      </c>
      <c r="X2280" t="s">
        <v>38994</v>
      </c>
      <c r="Y2280" t="s">
        <v>38995</v>
      </c>
      <c r="Z2280" t="s">
        <v>38996</v>
      </c>
      <c r="AA2280" t="s">
        <v>38997</v>
      </c>
      <c r="AB2280" t="s">
        <v>38998</v>
      </c>
      <c r="AC2280" t="s">
        <v>74</v>
      </c>
      <c r="AD2280" t="s">
        <v>74</v>
      </c>
      <c r="AE2280" t="s">
        <v>74</v>
      </c>
      <c r="AF2280" t="s">
        <v>74</v>
      </c>
      <c r="AG2280">
        <v>19</v>
      </c>
      <c r="AH2280">
        <v>1</v>
      </c>
      <c r="AI2280">
        <v>1</v>
      </c>
      <c r="AJ2280">
        <v>0</v>
      </c>
      <c r="AK2280">
        <v>9</v>
      </c>
      <c r="AL2280" t="s">
        <v>38999</v>
      </c>
      <c r="AM2280" t="s">
        <v>39000</v>
      </c>
      <c r="AN2280" t="s">
        <v>39001</v>
      </c>
      <c r="AO2280" t="s">
        <v>39002</v>
      </c>
      <c r="AP2280" t="s">
        <v>74</v>
      </c>
      <c r="AQ2280" t="s">
        <v>74</v>
      </c>
      <c r="AR2280" t="s">
        <v>39003</v>
      </c>
      <c r="AS2280" t="s">
        <v>39004</v>
      </c>
      <c r="AT2280" t="s">
        <v>74</v>
      </c>
      <c r="AU2280">
        <v>2023</v>
      </c>
      <c r="AV2280">
        <v>13</v>
      </c>
      <c r="AW2280">
        <v>1</v>
      </c>
      <c r="AX2280" t="s">
        <v>74</v>
      </c>
      <c r="AY2280" t="s">
        <v>74</v>
      </c>
      <c r="AZ2280">
        <v>32</v>
      </c>
      <c r="BA2280" t="s">
        <v>74</v>
      </c>
      <c r="BB2280">
        <v>48</v>
      </c>
      <c r="BC2280">
        <v>52</v>
      </c>
      <c r="BD2280" t="s">
        <v>74</v>
      </c>
      <c r="BE2280" t="s">
        <v>74</v>
      </c>
      <c r="BF2280" t="s">
        <v>74</v>
      </c>
      <c r="BG2280" t="s">
        <v>74</v>
      </c>
      <c r="BH2280" t="s">
        <v>74</v>
      </c>
      <c r="BI2280">
        <v>5</v>
      </c>
      <c r="BJ2280" t="s">
        <v>1301</v>
      </c>
      <c r="BK2280" t="s">
        <v>125</v>
      </c>
      <c r="BL2280" t="s">
        <v>1302</v>
      </c>
      <c r="BM2280" t="s">
        <v>39005</v>
      </c>
      <c r="BN2280" t="s">
        <v>74</v>
      </c>
      <c r="BO2280" t="s">
        <v>74</v>
      </c>
      <c r="BP2280" t="s">
        <v>74</v>
      </c>
      <c r="BQ2280" t="s">
        <v>74</v>
      </c>
      <c r="BR2280" t="s">
        <v>102</v>
      </c>
      <c r="BS2280" t="s">
        <v>39006</v>
      </c>
      <c r="BT2280" t="str">
        <f>HYPERLINK("https%3A%2F%2Fwww.webofscience.com%2Fwos%2Fwoscc%2Ffull-record%2FWOS:000925136500008","View Full Record in Web of Science")</f>
        <v>View Full Record in Web of Science</v>
      </c>
    </row>
    <row r="2281" spans="1:72" x14ac:dyDescent="0.35">
      <c r="A2281" t="s">
        <v>72</v>
      </c>
      <c r="B2281" t="s">
        <v>39007</v>
      </c>
      <c r="C2281" t="s">
        <v>74</v>
      </c>
      <c r="D2281" t="s">
        <v>74</v>
      </c>
      <c r="E2281" t="s">
        <v>74</v>
      </c>
      <c r="F2281" t="s">
        <v>39008</v>
      </c>
      <c r="G2281" t="s">
        <v>74</v>
      </c>
      <c r="H2281" t="s">
        <v>74</v>
      </c>
      <c r="I2281" t="s">
        <v>39009</v>
      </c>
      <c r="J2281" t="s">
        <v>2814</v>
      </c>
      <c r="K2281" t="s">
        <v>74</v>
      </c>
      <c r="L2281" t="s">
        <v>74</v>
      </c>
      <c r="M2281" t="s">
        <v>78</v>
      </c>
      <c r="N2281" t="s">
        <v>108</v>
      </c>
      <c r="O2281" t="s">
        <v>74</v>
      </c>
      <c r="P2281" t="s">
        <v>74</v>
      </c>
      <c r="Q2281" t="s">
        <v>74</v>
      </c>
      <c r="R2281" t="s">
        <v>74</v>
      </c>
      <c r="S2281" t="s">
        <v>74</v>
      </c>
      <c r="T2281" t="s">
        <v>39010</v>
      </c>
      <c r="U2281" t="s">
        <v>39011</v>
      </c>
      <c r="V2281" t="s">
        <v>39012</v>
      </c>
      <c r="W2281" t="s">
        <v>39013</v>
      </c>
      <c r="X2281" t="s">
        <v>39014</v>
      </c>
      <c r="Y2281" t="s">
        <v>39015</v>
      </c>
      <c r="Z2281" t="s">
        <v>39016</v>
      </c>
      <c r="AA2281" t="s">
        <v>74</v>
      </c>
      <c r="AB2281" t="s">
        <v>39017</v>
      </c>
      <c r="AC2281" t="s">
        <v>74</v>
      </c>
      <c r="AD2281" t="s">
        <v>74</v>
      </c>
      <c r="AE2281" t="s">
        <v>74</v>
      </c>
      <c r="AF2281" t="s">
        <v>74</v>
      </c>
      <c r="AG2281">
        <v>36</v>
      </c>
      <c r="AH2281">
        <v>0</v>
      </c>
      <c r="AI2281">
        <v>0</v>
      </c>
      <c r="AJ2281">
        <v>1</v>
      </c>
      <c r="AK2281">
        <v>1</v>
      </c>
      <c r="AL2281" t="s">
        <v>543</v>
      </c>
      <c r="AM2281" t="s">
        <v>544</v>
      </c>
      <c r="AN2281" t="s">
        <v>545</v>
      </c>
      <c r="AO2281" t="s">
        <v>2821</v>
      </c>
      <c r="AP2281" t="s">
        <v>74</v>
      </c>
      <c r="AQ2281" t="s">
        <v>74</v>
      </c>
      <c r="AR2281" t="s">
        <v>2822</v>
      </c>
      <c r="AS2281" t="s">
        <v>2823</v>
      </c>
      <c r="AT2281" t="s">
        <v>39018</v>
      </c>
      <c r="AU2281">
        <v>2024</v>
      </c>
      <c r="AV2281">
        <v>26</v>
      </c>
      <c r="AW2281" t="s">
        <v>74</v>
      </c>
      <c r="AX2281" t="s">
        <v>74</v>
      </c>
      <c r="AY2281" t="s">
        <v>74</v>
      </c>
      <c r="AZ2281" t="s">
        <v>74</v>
      </c>
      <c r="BA2281" t="s">
        <v>74</v>
      </c>
      <c r="BB2281" t="s">
        <v>74</v>
      </c>
      <c r="BC2281" t="s">
        <v>74</v>
      </c>
      <c r="BD2281" t="s">
        <v>39019</v>
      </c>
      <c r="BE2281" t="s">
        <v>39020</v>
      </c>
      <c r="BF2281" t="str">
        <f>HYPERLINK("http://dx.doi.org/10.2196/51655","http://dx.doi.org/10.2196/51655")</f>
        <v>http://dx.doi.org/10.2196/51655</v>
      </c>
      <c r="BG2281" t="s">
        <v>74</v>
      </c>
      <c r="BH2281" t="s">
        <v>74</v>
      </c>
      <c r="BI2281">
        <v>15</v>
      </c>
      <c r="BJ2281" t="s">
        <v>550</v>
      </c>
      <c r="BK2281" t="s">
        <v>209</v>
      </c>
      <c r="BL2281" t="s">
        <v>550</v>
      </c>
      <c r="BM2281" t="s">
        <v>39021</v>
      </c>
      <c r="BN2281">
        <v>39470708</v>
      </c>
      <c r="BO2281" t="s">
        <v>235</v>
      </c>
      <c r="BP2281" t="s">
        <v>74</v>
      </c>
      <c r="BQ2281" t="s">
        <v>74</v>
      </c>
      <c r="BR2281" t="s">
        <v>102</v>
      </c>
      <c r="BS2281" t="s">
        <v>39022</v>
      </c>
      <c r="BT2281" t="str">
        <f>HYPERLINK("https%3A%2F%2Fwww.webofscience.com%2Fwos%2Fwoscc%2Ffull-record%2FWOS:001353630900002","View Full Record in Web of Science")</f>
        <v>View Full Record in Web of Science</v>
      </c>
    </row>
    <row r="2282" spans="1:72" x14ac:dyDescent="0.35">
      <c r="A2282" t="s">
        <v>72</v>
      </c>
      <c r="B2282" t="s">
        <v>39023</v>
      </c>
      <c r="C2282" t="s">
        <v>74</v>
      </c>
      <c r="D2282" t="s">
        <v>74</v>
      </c>
      <c r="E2282" t="s">
        <v>74</v>
      </c>
      <c r="F2282" t="s">
        <v>39024</v>
      </c>
      <c r="G2282" t="s">
        <v>74</v>
      </c>
      <c r="H2282" t="s">
        <v>74</v>
      </c>
      <c r="I2282" t="s">
        <v>39025</v>
      </c>
      <c r="J2282" t="s">
        <v>531</v>
      </c>
      <c r="K2282" t="s">
        <v>74</v>
      </c>
      <c r="L2282" t="s">
        <v>74</v>
      </c>
      <c r="M2282" t="s">
        <v>78</v>
      </c>
      <c r="N2282" t="s">
        <v>108</v>
      </c>
      <c r="O2282" t="s">
        <v>74</v>
      </c>
      <c r="P2282" t="s">
        <v>74</v>
      </c>
      <c r="Q2282" t="s">
        <v>74</v>
      </c>
      <c r="R2282" t="s">
        <v>74</v>
      </c>
      <c r="S2282" t="s">
        <v>74</v>
      </c>
      <c r="T2282" t="s">
        <v>39026</v>
      </c>
      <c r="U2282" t="s">
        <v>74</v>
      </c>
      <c r="V2282" t="s">
        <v>39027</v>
      </c>
      <c r="W2282" t="s">
        <v>39028</v>
      </c>
      <c r="X2282" t="s">
        <v>39029</v>
      </c>
      <c r="Y2282" t="s">
        <v>39030</v>
      </c>
      <c r="Z2282" t="s">
        <v>39031</v>
      </c>
      <c r="AA2282" t="s">
        <v>74</v>
      </c>
      <c r="AB2282" t="s">
        <v>39032</v>
      </c>
      <c r="AC2282" t="s">
        <v>74</v>
      </c>
      <c r="AD2282" t="s">
        <v>74</v>
      </c>
      <c r="AE2282" t="s">
        <v>74</v>
      </c>
      <c r="AF2282" t="s">
        <v>74</v>
      </c>
      <c r="AG2282">
        <v>25</v>
      </c>
      <c r="AH2282">
        <v>0</v>
      </c>
      <c r="AI2282">
        <v>0</v>
      </c>
      <c r="AJ2282">
        <v>0</v>
      </c>
      <c r="AK2282">
        <v>0</v>
      </c>
      <c r="AL2282" t="s">
        <v>543</v>
      </c>
      <c r="AM2282" t="s">
        <v>544</v>
      </c>
      <c r="AN2282" t="s">
        <v>545</v>
      </c>
      <c r="AO2282" t="s">
        <v>74</v>
      </c>
      <c r="AP2282" t="s">
        <v>546</v>
      </c>
      <c r="AQ2282" t="s">
        <v>74</v>
      </c>
      <c r="AR2282" t="s">
        <v>547</v>
      </c>
      <c r="AS2282" t="s">
        <v>548</v>
      </c>
      <c r="AT2282" t="s">
        <v>74</v>
      </c>
      <c r="AU2282">
        <v>2023</v>
      </c>
      <c r="AV2282">
        <v>7</v>
      </c>
      <c r="AW2282" t="s">
        <v>74</v>
      </c>
      <c r="AX2282" t="s">
        <v>74</v>
      </c>
      <c r="AY2282" t="s">
        <v>74</v>
      </c>
      <c r="AZ2282" t="s">
        <v>74</v>
      </c>
      <c r="BA2282" t="s">
        <v>74</v>
      </c>
      <c r="BB2282" t="s">
        <v>74</v>
      </c>
      <c r="BC2282" t="s">
        <v>74</v>
      </c>
      <c r="BD2282" t="s">
        <v>39033</v>
      </c>
      <c r="BE2282" t="s">
        <v>39034</v>
      </c>
      <c r="BF2282" t="str">
        <f>HYPERLINK("http://dx.doi.org/10.2196/51752","http://dx.doi.org/10.2196/51752")</f>
        <v>http://dx.doi.org/10.2196/51752</v>
      </c>
      <c r="BG2282" t="s">
        <v>74</v>
      </c>
      <c r="BH2282" t="s">
        <v>74</v>
      </c>
      <c r="BI2282">
        <v>8</v>
      </c>
      <c r="BJ2282" t="s">
        <v>550</v>
      </c>
      <c r="BK2282" t="s">
        <v>125</v>
      </c>
      <c r="BL2282" t="s">
        <v>550</v>
      </c>
      <c r="BM2282" t="s">
        <v>39035</v>
      </c>
      <c r="BN2282">
        <v>37962914</v>
      </c>
      <c r="BO2282" t="s">
        <v>552</v>
      </c>
      <c r="BP2282" t="s">
        <v>74</v>
      </c>
      <c r="BQ2282" t="s">
        <v>74</v>
      </c>
      <c r="BR2282" t="s">
        <v>102</v>
      </c>
      <c r="BS2282" t="s">
        <v>39036</v>
      </c>
      <c r="BT2282" t="str">
        <f>HYPERLINK("https%3A%2F%2Fwww.webofscience.com%2Fwos%2Fwoscc%2Ffull-record%2FWOS:001179446600003","View Full Record in Web of Science")</f>
        <v>View Full Record in Web of Science</v>
      </c>
    </row>
    <row r="2283" spans="1:72" x14ac:dyDescent="0.35">
      <c r="A2283" t="s">
        <v>72</v>
      </c>
      <c r="B2283" t="s">
        <v>39037</v>
      </c>
      <c r="C2283" t="s">
        <v>74</v>
      </c>
      <c r="D2283" t="s">
        <v>74</v>
      </c>
      <c r="E2283" t="s">
        <v>74</v>
      </c>
      <c r="F2283" t="s">
        <v>39038</v>
      </c>
      <c r="G2283" t="s">
        <v>74</v>
      </c>
      <c r="H2283" t="s">
        <v>74</v>
      </c>
      <c r="I2283" t="s">
        <v>39039</v>
      </c>
      <c r="J2283" t="s">
        <v>373</v>
      </c>
      <c r="K2283" t="s">
        <v>74</v>
      </c>
      <c r="L2283" t="s">
        <v>74</v>
      </c>
      <c r="M2283" t="s">
        <v>78</v>
      </c>
      <c r="N2283" t="s">
        <v>108</v>
      </c>
      <c r="O2283" t="s">
        <v>74</v>
      </c>
      <c r="P2283" t="s">
        <v>74</v>
      </c>
      <c r="Q2283" t="s">
        <v>74</v>
      </c>
      <c r="R2283" t="s">
        <v>74</v>
      </c>
      <c r="S2283" t="s">
        <v>74</v>
      </c>
      <c r="T2283" t="s">
        <v>39040</v>
      </c>
      <c r="U2283" t="s">
        <v>39041</v>
      </c>
      <c r="V2283" t="s">
        <v>39042</v>
      </c>
      <c r="W2283" t="s">
        <v>39043</v>
      </c>
      <c r="X2283" t="s">
        <v>35250</v>
      </c>
      <c r="Y2283" t="s">
        <v>39044</v>
      </c>
      <c r="Z2283" t="s">
        <v>39045</v>
      </c>
      <c r="AA2283" t="s">
        <v>39046</v>
      </c>
      <c r="AB2283" t="s">
        <v>74</v>
      </c>
      <c r="AC2283" t="s">
        <v>74</v>
      </c>
      <c r="AD2283" t="s">
        <v>74</v>
      </c>
      <c r="AE2283" t="s">
        <v>74</v>
      </c>
      <c r="AF2283" t="s">
        <v>74</v>
      </c>
      <c r="AG2283">
        <v>78</v>
      </c>
      <c r="AH2283">
        <v>14</v>
      </c>
      <c r="AI2283">
        <v>14</v>
      </c>
      <c r="AJ2283">
        <v>6</v>
      </c>
      <c r="AK2283">
        <v>47</v>
      </c>
      <c r="AL2283" t="s">
        <v>384</v>
      </c>
      <c r="AM2283" t="s">
        <v>385</v>
      </c>
      <c r="AN2283" t="s">
        <v>386</v>
      </c>
      <c r="AO2283" t="s">
        <v>74</v>
      </c>
      <c r="AP2283" t="s">
        <v>387</v>
      </c>
      <c r="AQ2283" t="s">
        <v>74</v>
      </c>
      <c r="AR2283" t="s">
        <v>388</v>
      </c>
      <c r="AS2283" t="s">
        <v>389</v>
      </c>
      <c r="AT2283" t="s">
        <v>39047</v>
      </c>
      <c r="AU2283">
        <v>2022</v>
      </c>
      <c r="AV2283">
        <v>9</v>
      </c>
      <c r="AW2283" t="s">
        <v>74</v>
      </c>
      <c r="AX2283" t="s">
        <v>74</v>
      </c>
      <c r="AY2283" t="s">
        <v>74</v>
      </c>
      <c r="AZ2283" t="s">
        <v>74</v>
      </c>
      <c r="BA2283" t="s">
        <v>74</v>
      </c>
      <c r="BB2283" t="s">
        <v>74</v>
      </c>
      <c r="BC2283" t="s">
        <v>74</v>
      </c>
      <c r="BD2283">
        <v>774675</v>
      </c>
      <c r="BE2283" t="s">
        <v>39048</v>
      </c>
      <c r="BF2283" t="str">
        <f>HYPERLINK("http://dx.doi.org/10.3389/fpubh.2021.774675","http://dx.doi.org/10.3389/fpubh.2021.774675")</f>
        <v>http://dx.doi.org/10.3389/fpubh.2021.774675</v>
      </c>
      <c r="BG2283" t="s">
        <v>74</v>
      </c>
      <c r="BH2283" t="s">
        <v>74</v>
      </c>
      <c r="BI2283">
        <v>12</v>
      </c>
      <c r="BJ2283" t="s">
        <v>392</v>
      </c>
      <c r="BK2283" t="s">
        <v>182</v>
      </c>
      <c r="BL2283" t="s">
        <v>392</v>
      </c>
      <c r="BM2283" t="s">
        <v>39049</v>
      </c>
      <c r="BN2283">
        <v>35356089</v>
      </c>
      <c r="BO2283" t="s">
        <v>552</v>
      </c>
      <c r="BP2283" t="s">
        <v>74</v>
      </c>
      <c r="BQ2283" t="s">
        <v>74</v>
      </c>
      <c r="BR2283" t="s">
        <v>102</v>
      </c>
      <c r="BS2283" t="s">
        <v>39050</v>
      </c>
      <c r="BT2283" t="str">
        <f>HYPERLINK("https%3A%2F%2Fwww.webofscience.com%2Fwos%2Fwoscc%2Ffull-record%2FWOS:000806865300001","View Full Record in Web of Science")</f>
        <v>View Full Record in Web of Science</v>
      </c>
    </row>
    <row r="2284" spans="1:72" x14ac:dyDescent="0.35">
      <c r="A2284" t="s">
        <v>72</v>
      </c>
      <c r="B2284" t="s">
        <v>39051</v>
      </c>
      <c r="C2284" t="s">
        <v>74</v>
      </c>
      <c r="D2284" t="s">
        <v>74</v>
      </c>
      <c r="E2284" t="s">
        <v>74</v>
      </c>
      <c r="F2284" t="s">
        <v>39052</v>
      </c>
      <c r="G2284" t="s">
        <v>74</v>
      </c>
      <c r="H2284" t="s">
        <v>74</v>
      </c>
      <c r="I2284" t="s">
        <v>39053</v>
      </c>
      <c r="J2284" t="s">
        <v>39054</v>
      </c>
      <c r="K2284" t="s">
        <v>74</v>
      </c>
      <c r="L2284" t="s">
        <v>74</v>
      </c>
      <c r="M2284" t="s">
        <v>78</v>
      </c>
      <c r="N2284" t="s">
        <v>79</v>
      </c>
      <c r="O2284" t="s">
        <v>74</v>
      </c>
      <c r="P2284" t="s">
        <v>74</v>
      </c>
      <c r="Q2284" t="s">
        <v>74</v>
      </c>
      <c r="R2284" t="s">
        <v>74</v>
      </c>
      <c r="S2284" t="s">
        <v>74</v>
      </c>
      <c r="T2284" t="s">
        <v>39055</v>
      </c>
      <c r="U2284" t="s">
        <v>39056</v>
      </c>
      <c r="V2284" t="s">
        <v>39057</v>
      </c>
      <c r="W2284" t="s">
        <v>39058</v>
      </c>
      <c r="X2284" t="s">
        <v>39059</v>
      </c>
      <c r="Y2284" t="s">
        <v>39060</v>
      </c>
      <c r="Z2284" t="s">
        <v>39061</v>
      </c>
      <c r="AA2284" t="s">
        <v>39062</v>
      </c>
      <c r="AB2284" t="s">
        <v>39063</v>
      </c>
      <c r="AC2284" t="s">
        <v>74</v>
      </c>
      <c r="AD2284" t="s">
        <v>74</v>
      </c>
      <c r="AE2284" t="s">
        <v>74</v>
      </c>
      <c r="AF2284" t="s">
        <v>74</v>
      </c>
      <c r="AG2284">
        <v>75</v>
      </c>
      <c r="AH2284">
        <v>0</v>
      </c>
      <c r="AI2284">
        <v>0</v>
      </c>
      <c r="AJ2284">
        <v>4</v>
      </c>
      <c r="AK2284">
        <v>4</v>
      </c>
      <c r="AL2284" t="s">
        <v>199</v>
      </c>
      <c r="AM2284" t="s">
        <v>200</v>
      </c>
      <c r="AN2284" t="s">
        <v>471</v>
      </c>
      <c r="AO2284" t="s">
        <v>39064</v>
      </c>
      <c r="AP2284" t="s">
        <v>39065</v>
      </c>
      <c r="AQ2284" t="s">
        <v>74</v>
      </c>
      <c r="AR2284" t="s">
        <v>39066</v>
      </c>
      <c r="AS2284" t="s">
        <v>39067</v>
      </c>
      <c r="AT2284" t="s">
        <v>1787</v>
      </c>
      <c r="AU2284">
        <v>2024</v>
      </c>
      <c r="AV2284" t="s">
        <v>74</v>
      </c>
      <c r="AW2284" t="s">
        <v>74</v>
      </c>
      <c r="AX2284" t="s">
        <v>74</v>
      </c>
      <c r="AY2284" t="s">
        <v>74</v>
      </c>
      <c r="AZ2284" t="s">
        <v>74</v>
      </c>
      <c r="BA2284" t="s">
        <v>74</v>
      </c>
      <c r="BB2284" t="s">
        <v>74</v>
      </c>
      <c r="BC2284" t="s">
        <v>74</v>
      </c>
      <c r="BD2284" t="s">
        <v>74</v>
      </c>
      <c r="BE2284" t="s">
        <v>39068</v>
      </c>
      <c r="BF2284" t="str">
        <f>HYPERLINK("http://dx.doi.org/10.1108/JHTI-09-2023-0641","http://dx.doi.org/10.1108/JHTI-09-2023-0641")</f>
        <v>http://dx.doi.org/10.1108/JHTI-09-2023-0641</v>
      </c>
      <c r="BG2284" t="s">
        <v>74</v>
      </c>
      <c r="BH2284" t="s">
        <v>1467</v>
      </c>
      <c r="BI2284">
        <v>19</v>
      </c>
      <c r="BJ2284" t="s">
        <v>574</v>
      </c>
      <c r="BK2284" t="s">
        <v>125</v>
      </c>
      <c r="BL2284" t="s">
        <v>100</v>
      </c>
      <c r="BM2284" t="s">
        <v>39069</v>
      </c>
      <c r="BN2284" t="s">
        <v>74</v>
      </c>
      <c r="BO2284" t="s">
        <v>74</v>
      </c>
      <c r="BP2284" t="s">
        <v>74</v>
      </c>
      <c r="BQ2284" t="s">
        <v>74</v>
      </c>
      <c r="BR2284" t="s">
        <v>102</v>
      </c>
      <c r="BS2284" t="s">
        <v>39070</v>
      </c>
      <c r="BT2284" t="str">
        <f>HYPERLINK("https%3A%2F%2Fwww.webofscience.com%2Fwos%2Fwoscc%2Ffull-record%2FWOS:001219443900001","View Full Record in Web of Science")</f>
        <v>View Full Record in Web of Science</v>
      </c>
    </row>
    <row r="2285" spans="1:72" x14ac:dyDescent="0.35">
      <c r="A2285" t="s">
        <v>72</v>
      </c>
      <c r="B2285" t="s">
        <v>39071</v>
      </c>
      <c r="C2285" t="s">
        <v>74</v>
      </c>
      <c r="D2285" t="s">
        <v>74</v>
      </c>
      <c r="E2285" t="s">
        <v>74</v>
      </c>
      <c r="F2285" t="s">
        <v>39072</v>
      </c>
      <c r="G2285" t="s">
        <v>74</v>
      </c>
      <c r="H2285" t="s">
        <v>74</v>
      </c>
      <c r="I2285" t="s">
        <v>39073</v>
      </c>
      <c r="J2285" t="s">
        <v>39074</v>
      </c>
      <c r="K2285" t="s">
        <v>74</v>
      </c>
      <c r="L2285" t="s">
        <v>74</v>
      </c>
      <c r="M2285" t="s">
        <v>78</v>
      </c>
      <c r="N2285" t="s">
        <v>108</v>
      </c>
      <c r="O2285" t="s">
        <v>74</v>
      </c>
      <c r="P2285" t="s">
        <v>74</v>
      </c>
      <c r="Q2285" t="s">
        <v>74</v>
      </c>
      <c r="R2285" t="s">
        <v>74</v>
      </c>
      <c r="S2285" t="s">
        <v>74</v>
      </c>
      <c r="T2285" t="s">
        <v>39075</v>
      </c>
      <c r="U2285" t="s">
        <v>39076</v>
      </c>
      <c r="V2285" t="s">
        <v>39077</v>
      </c>
      <c r="W2285" t="s">
        <v>39078</v>
      </c>
      <c r="X2285" t="s">
        <v>39079</v>
      </c>
      <c r="Y2285" t="s">
        <v>39080</v>
      </c>
      <c r="Z2285" t="s">
        <v>39081</v>
      </c>
      <c r="AA2285" t="s">
        <v>9633</v>
      </c>
      <c r="AB2285" t="s">
        <v>39082</v>
      </c>
      <c r="AC2285" t="s">
        <v>39083</v>
      </c>
      <c r="AD2285" t="s">
        <v>39083</v>
      </c>
      <c r="AE2285" t="s">
        <v>2921</v>
      </c>
      <c r="AF2285" t="s">
        <v>74</v>
      </c>
      <c r="AG2285">
        <v>72</v>
      </c>
      <c r="AH2285">
        <v>0</v>
      </c>
      <c r="AI2285">
        <v>0</v>
      </c>
      <c r="AJ2285">
        <v>12</v>
      </c>
      <c r="AK2285">
        <v>12</v>
      </c>
      <c r="AL2285" t="s">
        <v>251</v>
      </c>
      <c r="AM2285" t="s">
        <v>252</v>
      </c>
      <c r="AN2285" t="s">
        <v>253</v>
      </c>
      <c r="AO2285" t="s">
        <v>39084</v>
      </c>
      <c r="AP2285" t="s">
        <v>39085</v>
      </c>
      <c r="AQ2285" t="s">
        <v>74</v>
      </c>
      <c r="AR2285" t="s">
        <v>39086</v>
      </c>
      <c r="AS2285" t="s">
        <v>39087</v>
      </c>
      <c r="AT2285" t="s">
        <v>594</v>
      </c>
      <c r="AU2285">
        <v>2024</v>
      </c>
      <c r="AV2285">
        <v>37</v>
      </c>
      <c r="AW2285">
        <v>5</v>
      </c>
      <c r="AX2285" t="s">
        <v>74</v>
      </c>
      <c r="AY2285" t="s">
        <v>74</v>
      </c>
      <c r="AZ2285" t="s">
        <v>74</v>
      </c>
      <c r="BA2285" t="s">
        <v>74</v>
      </c>
      <c r="BB2285">
        <v>1320</v>
      </c>
      <c r="BC2285">
        <v>1335</v>
      </c>
      <c r="BD2285" t="s">
        <v>74</v>
      </c>
      <c r="BE2285" t="s">
        <v>39088</v>
      </c>
      <c r="BF2285" t="str">
        <f>HYPERLINK("http://dx.doi.org/10.1111/jhn.13336","http://dx.doi.org/10.1111/jhn.13336")</f>
        <v>http://dx.doi.org/10.1111/jhn.13336</v>
      </c>
      <c r="BG2285" t="s">
        <v>74</v>
      </c>
      <c r="BH2285" t="s">
        <v>500</v>
      </c>
      <c r="BI2285">
        <v>16</v>
      </c>
      <c r="BJ2285" t="s">
        <v>1071</v>
      </c>
      <c r="BK2285" t="s">
        <v>209</v>
      </c>
      <c r="BL2285" t="s">
        <v>1071</v>
      </c>
      <c r="BM2285" t="s">
        <v>39089</v>
      </c>
      <c r="BN2285">
        <v>38856698</v>
      </c>
      <c r="BO2285" t="s">
        <v>74</v>
      </c>
      <c r="BP2285" t="s">
        <v>74</v>
      </c>
      <c r="BQ2285" t="s">
        <v>74</v>
      </c>
      <c r="BR2285" t="s">
        <v>102</v>
      </c>
      <c r="BS2285" t="s">
        <v>39090</v>
      </c>
      <c r="BT2285" t="str">
        <f>HYPERLINK("https%3A%2F%2Fwww.webofscience.com%2Fwos%2Fwoscc%2Ffull-record%2FWOS:001241890500001","View Full Record in Web of Science")</f>
        <v>View Full Record in Web of Science</v>
      </c>
    </row>
    <row r="2286" spans="1:72" x14ac:dyDescent="0.35">
      <c r="A2286" t="s">
        <v>72</v>
      </c>
      <c r="B2286" t="s">
        <v>39091</v>
      </c>
      <c r="C2286" t="s">
        <v>74</v>
      </c>
      <c r="D2286" t="s">
        <v>74</v>
      </c>
      <c r="E2286" t="s">
        <v>74</v>
      </c>
      <c r="F2286" t="s">
        <v>39092</v>
      </c>
      <c r="G2286" t="s">
        <v>74</v>
      </c>
      <c r="H2286" t="s">
        <v>74</v>
      </c>
      <c r="I2286" t="s">
        <v>39093</v>
      </c>
      <c r="J2286" t="s">
        <v>39094</v>
      </c>
      <c r="K2286" t="s">
        <v>74</v>
      </c>
      <c r="L2286" t="s">
        <v>74</v>
      </c>
      <c r="M2286" t="s">
        <v>78</v>
      </c>
      <c r="N2286" t="s">
        <v>108</v>
      </c>
      <c r="O2286" t="s">
        <v>74</v>
      </c>
      <c r="P2286" t="s">
        <v>74</v>
      </c>
      <c r="Q2286" t="s">
        <v>74</v>
      </c>
      <c r="R2286" t="s">
        <v>74</v>
      </c>
      <c r="S2286" t="s">
        <v>74</v>
      </c>
      <c r="T2286" t="s">
        <v>39095</v>
      </c>
      <c r="U2286" t="s">
        <v>39096</v>
      </c>
      <c r="V2286" t="s">
        <v>39097</v>
      </c>
      <c r="W2286" t="s">
        <v>39098</v>
      </c>
      <c r="X2286" t="s">
        <v>39099</v>
      </c>
      <c r="Y2286" t="s">
        <v>39100</v>
      </c>
      <c r="Z2286" t="s">
        <v>39101</v>
      </c>
      <c r="AA2286" t="s">
        <v>39102</v>
      </c>
      <c r="AB2286" t="s">
        <v>39103</v>
      </c>
      <c r="AC2286" t="s">
        <v>74</v>
      </c>
      <c r="AD2286" t="s">
        <v>74</v>
      </c>
      <c r="AE2286" t="s">
        <v>74</v>
      </c>
      <c r="AF2286" t="s">
        <v>74</v>
      </c>
      <c r="AG2286">
        <v>88</v>
      </c>
      <c r="AH2286">
        <v>8</v>
      </c>
      <c r="AI2286">
        <v>8</v>
      </c>
      <c r="AJ2286">
        <v>2</v>
      </c>
      <c r="AK2286">
        <v>40</v>
      </c>
      <c r="AL2286" t="s">
        <v>199</v>
      </c>
      <c r="AM2286" t="s">
        <v>200</v>
      </c>
      <c r="AN2286" t="s">
        <v>471</v>
      </c>
      <c r="AO2286" t="s">
        <v>39104</v>
      </c>
      <c r="AP2286" t="s">
        <v>39105</v>
      </c>
      <c r="AQ2286" t="s">
        <v>74</v>
      </c>
      <c r="AR2286" t="s">
        <v>39106</v>
      </c>
      <c r="AS2286" t="s">
        <v>39107</v>
      </c>
      <c r="AT2286" t="s">
        <v>13284</v>
      </c>
      <c r="AU2286">
        <v>2022</v>
      </c>
      <c r="AV2286">
        <v>16</v>
      </c>
      <c r="AW2286">
        <v>1</v>
      </c>
      <c r="AX2286" t="s">
        <v>74</v>
      </c>
      <c r="AY2286" t="s">
        <v>74</v>
      </c>
      <c r="AZ2286" t="s">
        <v>74</v>
      </c>
      <c r="BA2286" t="s">
        <v>74</v>
      </c>
      <c r="BB2286">
        <v>222</v>
      </c>
      <c r="BC2286">
        <v>237</v>
      </c>
      <c r="BD2286" t="s">
        <v>74</v>
      </c>
      <c r="BE2286" t="s">
        <v>39108</v>
      </c>
      <c r="BF2286" t="str">
        <f>HYPERLINK("http://dx.doi.org/10.1108/IJCTHR-09-2020-0223","http://dx.doi.org/10.1108/IJCTHR-09-2020-0223")</f>
        <v>http://dx.doi.org/10.1108/IJCTHR-09-2020-0223</v>
      </c>
      <c r="BG2286" t="s">
        <v>74</v>
      </c>
      <c r="BH2286" t="s">
        <v>2056</v>
      </c>
      <c r="BI2286">
        <v>16</v>
      </c>
      <c r="BJ2286" t="s">
        <v>574</v>
      </c>
      <c r="BK2286" t="s">
        <v>125</v>
      </c>
      <c r="BL2286" t="s">
        <v>100</v>
      </c>
      <c r="BM2286" t="s">
        <v>39109</v>
      </c>
      <c r="BN2286" t="s">
        <v>74</v>
      </c>
      <c r="BO2286" t="s">
        <v>2738</v>
      </c>
      <c r="BP2286" t="s">
        <v>74</v>
      </c>
      <c r="BQ2286" t="s">
        <v>74</v>
      </c>
      <c r="BR2286" t="s">
        <v>102</v>
      </c>
      <c r="BS2286" t="s">
        <v>39110</v>
      </c>
      <c r="BT2286" t="str">
        <f>HYPERLINK("https%3A%2F%2Fwww.webofscience.com%2Fwos%2Fwoscc%2Ffull-record%2FWOS:000708607800001","View Full Record in Web of Science")</f>
        <v>View Full Record in Web of Science</v>
      </c>
    </row>
    <row r="2287" spans="1:72" x14ac:dyDescent="0.35">
      <c r="A2287" t="s">
        <v>72</v>
      </c>
      <c r="B2287" t="s">
        <v>39111</v>
      </c>
      <c r="C2287" t="s">
        <v>74</v>
      </c>
      <c r="D2287" t="s">
        <v>74</v>
      </c>
      <c r="E2287" t="s">
        <v>74</v>
      </c>
      <c r="F2287" t="s">
        <v>39112</v>
      </c>
      <c r="G2287" t="s">
        <v>74</v>
      </c>
      <c r="H2287" t="s">
        <v>74</v>
      </c>
      <c r="I2287" t="s">
        <v>39113</v>
      </c>
      <c r="J2287" t="s">
        <v>39114</v>
      </c>
      <c r="K2287" t="s">
        <v>74</v>
      </c>
      <c r="L2287" t="s">
        <v>74</v>
      </c>
      <c r="M2287" t="s">
        <v>78</v>
      </c>
      <c r="N2287" t="s">
        <v>108</v>
      </c>
      <c r="O2287" t="s">
        <v>74</v>
      </c>
      <c r="P2287" t="s">
        <v>74</v>
      </c>
      <c r="Q2287" t="s">
        <v>74</v>
      </c>
      <c r="R2287" t="s">
        <v>74</v>
      </c>
      <c r="S2287" t="s">
        <v>74</v>
      </c>
      <c r="T2287" t="s">
        <v>39115</v>
      </c>
      <c r="U2287" t="s">
        <v>74</v>
      </c>
      <c r="V2287" t="s">
        <v>39116</v>
      </c>
      <c r="W2287" t="s">
        <v>39117</v>
      </c>
      <c r="X2287" t="s">
        <v>39118</v>
      </c>
      <c r="Y2287" t="s">
        <v>39119</v>
      </c>
      <c r="Z2287" t="s">
        <v>74</v>
      </c>
      <c r="AA2287" t="s">
        <v>39120</v>
      </c>
      <c r="AB2287" t="s">
        <v>39121</v>
      </c>
      <c r="AC2287" t="s">
        <v>74</v>
      </c>
      <c r="AD2287" t="s">
        <v>74</v>
      </c>
      <c r="AE2287" t="s">
        <v>74</v>
      </c>
      <c r="AF2287" t="s">
        <v>74</v>
      </c>
      <c r="AG2287">
        <v>26</v>
      </c>
      <c r="AH2287">
        <v>0</v>
      </c>
      <c r="AI2287">
        <v>0</v>
      </c>
      <c r="AJ2287">
        <v>5</v>
      </c>
      <c r="AK2287">
        <v>10</v>
      </c>
      <c r="AL2287" t="s">
        <v>39122</v>
      </c>
      <c r="AM2287" t="s">
        <v>39123</v>
      </c>
      <c r="AN2287" t="s">
        <v>39124</v>
      </c>
      <c r="AO2287" t="s">
        <v>39125</v>
      </c>
      <c r="AP2287" t="s">
        <v>39126</v>
      </c>
      <c r="AQ2287" t="s">
        <v>74</v>
      </c>
      <c r="AR2287" t="s">
        <v>39127</v>
      </c>
      <c r="AS2287" t="s">
        <v>39128</v>
      </c>
      <c r="AT2287" t="s">
        <v>74</v>
      </c>
      <c r="AU2287">
        <v>2022</v>
      </c>
      <c r="AV2287" t="s">
        <v>74</v>
      </c>
      <c r="AW2287">
        <v>2</v>
      </c>
      <c r="AX2287" t="s">
        <v>74</v>
      </c>
      <c r="AY2287" t="s">
        <v>74</v>
      </c>
      <c r="AZ2287" t="s">
        <v>74</v>
      </c>
      <c r="BA2287" t="s">
        <v>74</v>
      </c>
      <c r="BB2287">
        <v>59</v>
      </c>
      <c r="BC2287">
        <v>68</v>
      </c>
      <c r="BD2287" t="s">
        <v>74</v>
      </c>
      <c r="BE2287" t="s">
        <v>39129</v>
      </c>
      <c r="BF2287" t="str">
        <f>HYPERLINK("http://dx.doi.org/10.32342/2074-5354-2022-2-57-5","http://dx.doi.org/10.32342/2074-5354-2022-2-57-5")</f>
        <v>http://dx.doi.org/10.32342/2074-5354-2022-2-57-5</v>
      </c>
      <c r="BG2287" t="s">
        <v>74</v>
      </c>
      <c r="BH2287" t="s">
        <v>74</v>
      </c>
      <c r="BI2287">
        <v>10</v>
      </c>
      <c r="BJ2287" t="s">
        <v>39130</v>
      </c>
      <c r="BK2287" t="s">
        <v>125</v>
      </c>
      <c r="BL2287" t="s">
        <v>480</v>
      </c>
      <c r="BM2287" t="s">
        <v>39131</v>
      </c>
      <c r="BN2287" t="s">
        <v>74</v>
      </c>
      <c r="BO2287" t="s">
        <v>5678</v>
      </c>
      <c r="BP2287" t="s">
        <v>74</v>
      </c>
      <c r="BQ2287" t="s">
        <v>74</v>
      </c>
      <c r="BR2287" t="s">
        <v>102</v>
      </c>
      <c r="BS2287" t="s">
        <v>39132</v>
      </c>
      <c r="BT2287" t="str">
        <f>HYPERLINK("https%3A%2F%2Fwww.webofscience.com%2Fwos%2Fwoscc%2Ffull-record%2FWOS:000977113300001","View Full Record in Web of Science")</f>
        <v>View Full Record in Web of Science</v>
      </c>
    </row>
    <row r="2288" spans="1:72" x14ac:dyDescent="0.35">
      <c r="A2288" t="s">
        <v>72</v>
      </c>
      <c r="B2288" t="s">
        <v>39133</v>
      </c>
      <c r="C2288" t="s">
        <v>74</v>
      </c>
      <c r="D2288" t="s">
        <v>74</v>
      </c>
      <c r="E2288" t="s">
        <v>74</v>
      </c>
      <c r="F2288" t="s">
        <v>39134</v>
      </c>
      <c r="G2288" t="s">
        <v>74</v>
      </c>
      <c r="H2288" t="s">
        <v>74</v>
      </c>
      <c r="I2288" t="s">
        <v>39135</v>
      </c>
      <c r="J2288" t="s">
        <v>39136</v>
      </c>
      <c r="K2288" t="s">
        <v>74</v>
      </c>
      <c r="L2288" t="s">
        <v>74</v>
      </c>
      <c r="M2288" t="s">
        <v>78</v>
      </c>
      <c r="N2288" t="s">
        <v>108</v>
      </c>
      <c r="O2288" t="s">
        <v>74</v>
      </c>
      <c r="P2288" t="s">
        <v>74</v>
      </c>
      <c r="Q2288" t="s">
        <v>74</v>
      </c>
      <c r="R2288" t="s">
        <v>74</v>
      </c>
      <c r="S2288" t="s">
        <v>74</v>
      </c>
      <c r="T2288" t="s">
        <v>39137</v>
      </c>
      <c r="U2288" t="s">
        <v>39138</v>
      </c>
      <c r="V2288" t="s">
        <v>39139</v>
      </c>
      <c r="W2288" t="s">
        <v>39140</v>
      </c>
      <c r="X2288" t="s">
        <v>38367</v>
      </c>
      <c r="Y2288" t="s">
        <v>39141</v>
      </c>
      <c r="Z2288" t="s">
        <v>39142</v>
      </c>
      <c r="AA2288" t="s">
        <v>39143</v>
      </c>
      <c r="AB2288" t="s">
        <v>39144</v>
      </c>
      <c r="AC2288" t="s">
        <v>74</v>
      </c>
      <c r="AD2288" t="s">
        <v>74</v>
      </c>
      <c r="AE2288" t="s">
        <v>74</v>
      </c>
      <c r="AF2288" t="s">
        <v>74</v>
      </c>
      <c r="AG2288">
        <v>78</v>
      </c>
      <c r="AH2288">
        <v>18</v>
      </c>
      <c r="AI2288">
        <v>19</v>
      </c>
      <c r="AJ2288">
        <v>7</v>
      </c>
      <c r="AK2288">
        <v>61</v>
      </c>
      <c r="AL2288" t="s">
        <v>1195</v>
      </c>
      <c r="AM2288" t="s">
        <v>1196</v>
      </c>
      <c r="AN2288" t="s">
        <v>1197</v>
      </c>
      <c r="AO2288" t="s">
        <v>39145</v>
      </c>
      <c r="AP2288" t="s">
        <v>39146</v>
      </c>
      <c r="AQ2288" t="s">
        <v>74</v>
      </c>
      <c r="AR2288" t="s">
        <v>39136</v>
      </c>
      <c r="AS2288" t="s">
        <v>39147</v>
      </c>
      <c r="AT2288" t="s">
        <v>273</v>
      </c>
      <c r="AU2288">
        <v>2021</v>
      </c>
      <c r="AV2288">
        <v>57</v>
      </c>
      <c r="AW2288">
        <v>7</v>
      </c>
      <c r="AX2288" t="s">
        <v>74</v>
      </c>
      <c r="AY2288" t="s">
        <v>74</v>
      </c>
      <c r="AZ2288" t="s">
        <v>74</v>
      </c>
      <c r="BA2288" t="s">
        <v>74</v>
      </c>
      <c r="BB2288" t="s">
        <v>74</v>
      </c>
      <c r="BC2288" t="s">
        <v>74</v>
      </c>
      <c r="BD2288">
        <v>648</v>
      </c>
      <c r="BE2288" t="s">
        <v>39148</v>
      </c>
      <c r="BF2288" t="str">
        <f>HYPERLINK("http://dx.doi.org/10.3390/medicina57070648","http://dx.doi.org/10.3390/medicina57070648")</f>
        <v>http://dx.doi.org/10.3390/medicina57070648</v>
      </c>
      <c r="BG2288" t="s">
        <v>74</v>
      </c>
      <c r="BH2288" t="s">
        <v>74</v>
      </c>
      <c r="BI2288">
        <v>15</v>
      </c>
      <c r="BJ2288" t="s">
        <v>811</v>
      </c>
      <c r="BK2288" t="s">
        <v>209</v>
      </c>
      <c r="BL2288" t="s">
        <v>812</v>
      </c>
      <c r="BM2288" t="s">
        <v>39149</v>
      </c>
      <c r="BN2288">
        <v>34202497</v>
      </c>
      <c r="BO2288" t="s">
        <v>2194</v>
      </c>
      <c r="BP2288" t="s">
        <v>74</v>
      </c>
      <c r="BQ2288" t="s">
        <v>74</v>
      </c>
      <c r="BR2288" t="s">
        <v>102</v>
      </c>
      <c r="BS2288" t="s">
        <v>39150</v>
      </c>
      <c r="BT2288" t="str">
        <f>HYPERLINK("https%3A%2F%2Fwww.webofscience.com%2Fwos%2Fwoscc%2Ffull-record%2FWOS:000676655700001","View Full Record in Web of Science")</f>
        <v>View Full Record in Web of Science</v>
      </c>
    </row>
    <row r="2289" spans="1:72" x14ac:dyDescent="0.35">
      <c r="A2289" t="s">
        <v>72</v>
      </c>
      <c r="B2289" t="s">
        <v>39151</v>
      </c>
      <c r="C2289" t="s">
        <v>74</v>
      </c>
      <c r="D2289" t="s">
        <v>74</v>
      </c>
      <c r="E2289" t="s">
        <v>74</v>
      </c>
      <c r="F2289" t="s">
        <v>39152</v>
      </c>
      <c r="G2289" t="s">
        <v>74</v>
      </c>
      <c r="H2289" t="s">
        <v>74</v>
      </c>
      <c r="I2289" t="s">
        <v>39153</v>
      </c>
      <c r="J2289" t="s">
        <v>373</v>
      </c>
      <c r="K2289" t="s">
        <v>74</v>
      </c>
      <c r="L2289" t="s">
        <v>74</v>
      </c>
      <c r="M2289" t="s">
        <v>78</v>
      </c>
      <c r="N2289" t="s">
        <v>108</v>
      </c>
      <c r="O2289" t="s">
        <v>74</v>
      </c>
      <c r="P2289" t="s">
        <v>74</v>
      </c>
      <c r="Q2289" t="s">
        <v>74</v>
      </c>
      <c r="R2289" t="s">
        <v>74</v>
      </c>
      <c r="S2289" t="s">
        <v>74</v>
      </c>
      <c r="T2289" t="s">
        <v>39154</v>
      </c>
      <c r="U2289" t="s">
        <v>39155</v>
      </c>
      <c r="V2289" t="s">
        <v>39156</v>
      </c>
      <c r="W2289" t="s">
        <v>39157</v>
      </c>
      <c r="X2289" t="s">
        <v>74</v>
      </c>
      <c r="Y2289" t="s">
        <v>39158</v>
      </c>
      <c r="Z2289" t="s">
        <v>39159</v>
      </c>
      <c r="AA2289" t="s">
        <v>39160</v>
      </c>
      <c r="AB2289" t="s">
        <v>74</v>
      </c>
      <c r="AC2289" t="s">
        <v>39161</v>
      </c>
      <c r="AD2289" t="s">
        <v>39161</v>
      </c>
      <c r="AE2289" t="s">
        <v>39162</v>
      </c>
      <c r="AF2289" t="s">
        <v>74</v>
      </c>
      <c r="AG2289">
        <v>71</v>
      </c>
      <c r="AH2289">
        <v>9</v>
      </c>
      <c r="AI2289">
        <v>9</v>
      </c>
      <c r="AJ2289">
        <v>0</v>
      </c>
      <c r="AK2289">
        <v>10</v>
      </c>
      <c r="AL2289" t="s">
        <v>384</v>
      </c>
      <c r="AM2289" t="s">
        <v>385</v>
      </c>
      <c r="AN2289" t="s">
        <v>386</v>
      </c>
      <c r="AO2289" t="s">
        <v>74</v>
      </c>
      <c r="AP2289" t="s">
        <v>387</v>
      </c>
      <c r="AQ2289" t="s">
        <v>74</v>
      </c>
      <c r="AR2289" t="s">
        <v>388</v>
      </c>
      <c r="AS2289" t="s">
        <v>389</v>
      </c>
      <c r="AT2289" t="s">
        <v>12990</v>
      </c>
      <c r="AU2289">
        <v>2022</v>
      </c>
      <c r="AV2289">
        <v>10</v>
      </c>
      <c r="AW2289" t="s">
        <v>74</v>
      </c>
      <c r="AX2289" t="s">
        <v>74</v>
      </c>
      <c r="AY2289" t="s">
        <v>74</v>
      </c>
      <c r="AZ2289" t="s">
        <v>74</v>
      </c>
      <c r="BA2289" t="s">
        <v>74</v>
      </c>
      <c r="BB2289" t="s">
        <v>74</v>
      </c>
      <c r="BC2289" t="s">
        <v>74</v>
      </c>
      <c r="BD2289">
        <v>1012727</v>
      </c>
      <c r="BE2289" t="s">
        <v>39163</v>
      </c>
      <c r="BF2289" t="str">
        <f>HYPERLINK("http://dx.doi.org/10.3389/fpubh.2022.1012727","http://dx.doi.org/10.3389/fpubh.2022.1012727")</f>
        <v>http://dx.doi.org/10.3389/fpubh.2022.1012727</v>
      </c>
      <c r="BG2289" t="s">
        <v>74</v>
      </c>
      <c r="BH2289" t="s">
        <v>74</v>
      </c>
      <c r="BI2289">
        <v>17</v>
      </c>
      <c r="BJ2289" t="s">
        <v>392</v>
      </c>
      <c r="BK2289" t="s">
        <v>182</v>
      </c>
      <c r="BL2289" t="s">
        <v>392</v>
      </c>
      <c r="BM2289" t="s">
        <v>39164</v>
      </c>
      <c r="BN2289">
        <v>36424977</v>
      </c>
      <c r="BO2289" t="s">
        <v>552</v>
      </c>
      <c r="BP2289" t="s">
        <v>74</v>
      </c>
      <c r="BQ2289" t="s">
        <v>74</v>
      </c>
      <c r="BR2289" t="s">
        <v>102</v>
      </c>
      <c r="BS2289" t="s">
        <v>39165</v>
      </c>
      <c r="BT2289" t="str">
        <f>HYPERLINK("https%3A%2F%2Fwww.webofscience.com%2Fwos%2Fwoscc%2Ffull-record%2FWOS:000889803400001","View Full Record in Web of Science")</f>
        <v>View Full Record in Web of Science</v>
      </c>
    </row>
    <row r="2290" spans="1:72" x14ac:dyDescent="0.35">
      <c r="A2290" t="s">
        <v>72</v>
      </c>
      <c r="B2290" t="s">
        <v>39166</v>
      </c>
      <c r="C2290" t="s">
        <v>74</v>
      </c>
      <c r="D2290" t="s">
        <v>74</v>
      </c>
      <c r="E2290" t="s">
        <v>74</v>
      </c>
      <c r="F2290" t="s">
        <v>39167</v>
      </c>
      <c r="G2290" t="s">
        <v>74</v>
      </c>
      <c r="H2290" t="s">
        <v>74</v>
      </c>
      <c r="I2290" t="s">
        <v>39168</v>
      </c>
      <c r="J2290" t="s">
        <v>13233</v>
      </c>
      <c r="K2290" t="s">
        <v>74</v>
      </c>
      <c r="L2290" t="s">
        <v>74</v>
      </c>
      <c r="M2290" t="s">
        <v>78</v>
      </c>
      <c r="N2290" t="s">
        <v>108</v>
      </c>
      <c r="O2290" t="s">
        <v>74</v>
      </c>
      <c r="P2290" t="s">
        <v>74</v>
      </c>
      <c r="Q2290" t="s">
        <v>74</v>
      </c>
      <c r="R2290" t="s">
        <v>74</v>
      </c>
      <c r="S2290" t="s">
        <v>74</v>
      </c>
      <c r="T2290" t="s">
        <v>39169</v>
      </c>
      <c r="U2290" t="s">
        <v>39170</v>
      </c>
      <c r="V2290" t="s">
        <v>39171</v>
      </c>
      <c r="W2290" t="s">
        <v>39172</v>
      </c>
      <c r="X2290" t="s">
        <v>39173</v>
      </c>
      <c r="Y2290" t="s">
        <v>39174</v>
      </c>
      <c r="Z2290" t="s">
        <v>39175</v>
      </c>
      <c r="AA2290" t="s">
        <v>39176</v>
      </c>
      <c r="AB2290" t="s">
        <v>39177</v>
      </c>
      <c r="AC2290" t="s">
        <v>74</v>
      </c>
      <c r="AD2290" t="s">
        <v>74</v>
      </c>
      <c r="AE2290" t="s">
        <v>74</v>
      </c>
      <c r="AF2290" t="s">
        <v>74</v>
      </c>
      <c r="AG2290">
        <v>57</v>
      </c>
      <c r="AH2290">
        <v>0</v>
      </c>
      <c r="AI2290">
        <v>0</v>
      </c>
      <c r="AJ2290">
        <v>2</v>
      </c>
      <c r="AK2290">
        <v>8</v>
      </c>
      <c r="AL2290" t="s">
        <v>171</v>
      </c>
      <c r="AM2290" t="s">
        <v>172</v>
      </c>
      <c r="AN2290" t="s">
        <v>173</v>
      </c>
      <c r="AO2290" t="s">
        <v>13246</v>
      </c>
      <c r="AP2290" t="s">
        <v>74</v>
      </c>
      <c r="AQ2290" t="s">
        <v>74</v>
      </c>
      <c r="AR2290" t="s">
        <v>13233</v>
      </c>
      <c r="AS2290" t="s">
        <v>13247</v>
      </c>
      <c r="AT2290" t="s">
        <v>594</v>
      </c>
      <c r="AU2290">
        <v>2023</v>
      </c>
      <c r="AV2290">
        <v>13</v>
      </c>
      <c r="AW2290">
        <v>4</v>
      </c>
      <c r="AX2290" t="s">
        <v>74</v>
      </c>
      <c r="AY2290" t="s">
        <v>74</v>
      </c>
      <c r="AZ2290" t="s">
        <v>74</v>
      </c>
      <c r="BA2290" t="s">
        <v>74</v>
      </c>
      <c r="BB2290" t="s">
        <v>74</v>
      </c>
      <c r="BC2290" t="s">
        <v>74</v>
      </c>
      <c r="BD2290">
        <v>2.1582440231218084E+16</v>
      </c>
      <c r="BE2290" t="s">
        <v>39178</v>
      </c>
      <c r="BF2290" t="str">
        <f>HYPERLINK("http://dx.doi.org/10.1177/21582440231218085","http://dx.doi.org/10.1177/21582440231218085")</f>
        <v>http://dx.doi.org/10.1177/21582440231218085</v>
      </c>
      <c r="BG2290" t="s">
        <v>74</v>
      </c>
      <c r="BH2290" t="s">
        <v>74</v>
      </c>
      <c r="BI2290">
        <v>13</v>
      </c>
      <c r="BJ2290" t="s">
        <v>98</v>
      </c>
      <c r="BK2290" t="s">
        <v>99</v>
      </c>
      <c r="BL2290" t="s">
        <v>100</v>
      </c>
      <c r="BM2290" t="s">
        <v>39179</v>
      </c>
      <c r="BN2290" t="s">
        <v>74</v>
      </c>
      <c r="BO2290" t="s">
        <v>552</v>
      </c>
      <c r="BP2290" t="s">
        <v>74</v>
      </c>
      <c r="BQ2290" t="s">
        <v>74</v>
      </c>
      <c r="BR2290" t="s">
        <v>102</v>
      </c>
      <c r="BS2290" t="s">
        <v>39180</v>
      </c>
      <c r="BT2290" t="str">
        <f>HYPERLINK("https%3A%2F%2Fwww.webofscience.com%2Fwos%2Fwoscc%2Ffull-record%2FWOS:001129189900001","View Full Record in Web of Science")</f>
        <v>View Full Record in Web of Science</v>
      </c>
    </row>
    <row r="2291" spans="1:72" x14ac:dyDescent="0.35">
      <c r="A2291" t="s">
        <v>72</v>
      </c>
      <c r="B2291" t="s">
        <v>39181</v>
      </c>
      <c r="C2291" t="s">
        <v>74</v>
      </c>
      <c r="D2291" t="s">
        <v>74</v>
      </c>
      <c r="E2291" t="s">
        <v>74</v>
      </c>
      <c r="F2291" t="s">
        <v>39182</v>
      </c>
      <c r="G2291" t="s">
        <v>74</v>
      </c>
      <c r="H2291" t="s">
        <v>74</v>
      </c>
      <c r="I2291" t="s">
        <v>39183</v>
      </c>
      <c r="J2291" t="s">
        <v>39184</v>
      </c>
      <c r="K2291" t="s">
        <v>74</v>
      </c>
      <c r="L2291" t="s">
        <v>74</v>
      </c>
      <c r="M2291" t="s">
        <v>78</v>
      </c>
      <c r="N2291" t="s">
        <v>108</v>
      </c>
      <c r="O2291" t="s">
        <v>74</v>
      </c>
      <c r="P2291" t="s">
        <v>74</v>
      </c>
      <c r="Q2291" t="s">
        <v>74</v>
      </c>
      <c r="R2291" t="s">
        <v>74</v>
      </c>
      <c r="S2291" t="s">
        <v>74</v>
      </c>
      <c r="T2291" t="s">
        <v>39185</v>
      </c>
      <c r="U2291" t="s">
        <v>74</v>
      </c>
      <c r="V2291" t="s">
        <v>39186</v>
      </c>
      <c r="W2291" t="s">
        <v>39187</v>
      </c>
      <c r="X2291" t="s">
        <v>39188</v>
      </c>
      <c r="Y2291" t="s">
        <v>39189</v>
      </c>
      <c r="Z2291" t="s">
        <v>39190</v>
      </c>
      <c r="AA2291" t="s">
        <v>39191</v>
      </c>
      <c r="AB2291" t="s">
        <v>39192</v>
      </c>
      <c r="AC2291" t="s">
        <v>24158</v>
      </c>
      <c r="AD2291" t="s">
        <v>4847</v>
      </c>
      <c r="AE2291" t="s">
        <v>2921</v>
      </c>
      <c r="AF2291" t="s">
        <v>74</v>
      </c>
      <c r="AG2291">
        <v>50</v>
      </c>
      <c r="AH2291">
        <v>4</v>
      </c>
      <c r="AI2291">
        <v>4</v>
      </c>
      <c r="AJ2291">
        <v>6</v>
      </c>
      <c r="AK2291">
        <v>12</v>
      </c>
      <c r="AL2291" t="s">
        <v>758</v>
      </c>
      <c r="AM2291" t="s">
        <v>759</v>
      </c>
      <c r="AN2291" t="s">
        <v>760</v>
      </c>
      <c r="AO2291" t="s">
        <v>39193</v>
      </c>
      <c r="AP2291" t="s">
        <v>39194</v>
      </c>
      <c r="AQ2291" t="s">
        <v>74</v>
      </c>
      <c r="AR2291" t="s">
        <v>39195</v>
      </c>
      <c r="AS2291" t="s">
        <v>39196</v>
      </c>
      <c r="AT2291" t="s">
        <v>232</v>
      </c>
      <c r="AU2291">
        <v>2024</v>
      </c>
      <c r="AV2291">
        <v>35</v>
      </c>
      <c r="AW2291">
        <v>1</v>
      </c>
      <c r="AX2291" t="s">
        <v>74</v>
      </c>
      <c r="AY2291" t="s">
        <v>74</v>
      </c>
      <c r="AZ2291" t="s">
        <v>74</v>
      </c>
      <c r="BA2291" t="s">
        <v>74</v>
      </c>
      <c r="BB2291">
        <v>1</v>
      </c>
      <c r="BC2291">
        <v>19</v>
      </c>
      <c r="BD2291" t="s">
        <v>74</v>
      </c>
      <c r="BE2291" t="s">
        <v>39197</v>
      </c>
      <c r="BF2291" t="str">
        <f>HYPERLINK("http://dx.doi.org/10.1109/TPDS.2023.3326187","http://dx.doi.org/10.1109/TPDS.2023.3326187")</f>
        <v>http://dx.doi.org/10.1109/TPDS.2023.3326187</v>
      </c>
      <c r="BG2291" t="s">
        <v>74</v>
      </c>
      <c r="BH2291" t="s">
        <v>74</v>
      </c>
      <c r="BI2291">
        <v>19</v>
      </c>
      <c r="BJ2291" t="s">
        <v>33726</v>
      </c>
      <c r="BK2291" t="s">
        <v>209</v>
      </c>
      <c r="BL2291" t="s">
        <v>1113</v>
      </c>
      <c r="BM2291" t="s">
        <v>39198</v>
      </c>
      <c r="BN2291" t="s">
        <v>74</v>
      </c>
      <c r="BO2291" t="s">
        <v>74</v>
      </c>
      <c r="BP2291" t="s">
        <v>74</v>
      </c>
      <c r="BQ2291" t="s">
        <v>74</v>
      </c>
      <c r="BR2291" t="s">
        <v>102</v>
      </c>
      <c r="BS2291" t="s">
        <v>39199</v>
      </c>
      <c r="BT2291" t="str">
        <f>HYPERLINK("https%3A%2F%2Fwww.webofscience.com%2Fwos%2Fwoscc%2Ffull-record%2FWOS:001123244400002","View Full Record in Web of Science")</f>
        <v>View Full Record in Web of Science</v>
      </c>
    </row>
    <row r="2292" spans="1:72" x14ac:dyDescent="0.35">
      <c r="A2292" t="s">
        <v>72</v>
      </c>
      <c r="B2292" t="s">
        <v>39200</v>
      </c>
      <c r="C2292" t="s">
        <v>74</v>
      </c>
      <c r="D2292" t="s">
        <v>74</v>
      </c>
      <c r="E2292" t="s">
        <v>74</v>
      </c>
      <c r="F2292" t="s">
        <v>39201</v>
      </c>
      <c r="G2292" t="s">
        <v>74</v>
      </c>
      <c r="H2292" t="s">
        <v>74</v>
      </c>
      <c r="I2292" t="s">
        <v>39202</v>
      </c>
      <c r="J2292" t="s">
        <v>15165</v>
      </c>
      <c r="K2292" t="s">
        <v>74</v>
      </c>
      <c r="L2292" t="s">
        <v>74</v>
      </c>
      <c r="M2292" t="s">
        <v>3503</v>
      </c>
      <c r="N2292" t="s">
        <v>108</v>
      </c>
      <c r="O2292" t="s">
        <v>74</v>
      </c>
      <c r="P2292" t="s">
        <v>74</v>
      </c>
      <c r="Q2292" t="s">
        <v>74</v>
      </c>
      <c r="R2292" t="s">
        <v>74</v>
      </c>
      <c r="S2292" t="s">
        <v>74</v>
      </c>
      <c r="T2292" t="s">
        <v>39203</v>
      </c>
      <c r="U2292" t="s">
        <v>74</v>
      </c>
      <c r="V2292" t="s">
        <v>39204</v>
      </c>
      <c r="W2292" t="s">
        <v>39205</v>
      </c>
      <c r="X2292" t="s">
        <v>39206</v>
      </c>
      <c r="Y2292" t="s">
        <v>39207</v>
      </c>
      <c r="Z2292" t="s">
        <v>39208</v>
      </c>
      <c r="AA2292" t="s">
        <v>74</v>
      </c>
      <c r="AB2292" t="s">
        <v>74</v>
      </c>
      <c r="AC2292" t="s">
        <v>74</v>
      </c>
      <c r="AD2292" t="s">
        <v>74</v>
      </c>
      <c r="AE2292" t="s">
        <v>74</v>
      </c>
      <c r="AF2292" t="s">
        <v>74</v>
      </c>
      <c r="AG2292">
        <v>28</v>
      </c>
      <c r="AH2292">
        <v>0</v>
      </c>
      <c r="AI2292">
        <v>0</v>
      </c>
      <c r="AJ2292">
        <v>2</v>
      </c>
      <c r="AK2292">
        <v>4</v>
      </c>
      <c r="AL2292" t="s">
        <v>15170</v>
      </c>
      <c r="AM2292" t="s">
        <v>15171</v>
      </c>
      <c r="AN2292" t="s">
        <v>15172</v>
      </c>
      <c r="AO2292" t="s">
        <v>15173</v>
      </c>
      <c r="AP2292" t="s">
        <v>15174</v>
      </c>
      <c r="AQ2292" t="s">
        <v>74</v>
      </c>
      <c r="AR2292" t="s">
        <v>15165</v>
      </c>
      <c r="AS2292" t="s">
        <v>15175</v>
      </c>
      <c r="AT2292" t="s">
        <v>8630</v>
      </c>
      <c r="AU2292">
        <v>2023</v>
      </c>
      <c r="AV2292">
        <v>50</v>
      </c>
      <c r="AW2292">
        <v>2</v>
      </c>
      <c r="AX2292" t="s">
        <v>74</v>
      </c>
      <c r="AY2292" t="s">
        <v>74</v>
      </c>
      <c r="AZ2292" t="s">
        <v>74</v>
      </c>
      <c r="BA2292" t="s">
        <v>74</v>
      </c>
      <c r="BB2292">
        <v>102</v>
      </c>
      <c r="BC2292">
        <v>111</v>
      </c>
      <c r="BD2292" t="s">
        <v>74</v>
      </c>
      <c r="BE2292" t="s">
        <v>39209</v>
      </c>
      <c r="BF2292" t="str">
        <f>HYPERLINK("http://dx.doi.org/10.31698/ped.50022023006","http://dx.doi.org/10.31698/ped.50022023006")</f>
        <v>http://dx.doi.org/10.31698/ped.50022023006</v>
      </c>
      <c r="BG2292" t="s">
        <v>74</v>
      </c>
      <c r="BH2292" t="s">
        <v>74</v>
      </c>
      <c r="BI2292">
        <v>10</v>
      </c>
      <c r="BJ2292" t="s">
        <v>6641</v>
      </c>
      <c r="BK2292" t="s">
        <v>125</v>
      </c>
      <c r="BL2292" t="s">
        <v>6641</v>
      </c>
      <c r="BM2292" t="s">
        <v>39210</v>
      </c>
      <c r="BN2292" t="s">
        <v>74</v>
      </c>
      <c r="BO2292" t="s">
        <v>235</v>
      </c>
      <c r="BP2292" t="s">
        <v>74</v>
      </c>
      <c r="BQ2292" t="s">
        <v>74</v>
      </c>
      <c r="BR2292" t="s">
        <v>102</v>
      </c>
      <c r="BS2292" t="s">
        <v>39211</v>
      </c>
      <c r="BT2292" t="str">
        <f>HYPERLINK("https%3A%2F%2Fwww.webofscience.com%2Fwos%2Fwoscc%2Ffull-record%2FWOS:001154572800003","View Full Record in Web of Science")</f>
        <v>View Full Record in Web of Science</v>
      </c>
    </row>
    <row r="2293" spans="1:72" x14ac:dyDescent="0.35">
      <c r="A2293" t="s">
        <v>72</v>
      </c>
      <c r="B2293" t="s">
        <v>39212</v>
      </c>
      <c r="C2293" t="s">
        <v>74</v>
      </c>
      <c r="D2293" t="s">
        <v>74</v>
      </c>
      <c r="E2293" t="s">
        <v>74</v>
      </c>
      <c r="F2293" t="s">
        <v>39213</v>
      </c>
      <c r="G2293" t="s">
        <v>74</v>
      </c>
      <c r="H2293" t="s">
        <v>74</v>
      </c>
      <c r="I2293" t="s">
        <v>39214</v>
      </c>
      <c r="J2293" t="s">
        <v>39215</v>
      </c>
      <c r="K2293" t="s">
        <v>74</v>
      </c>
      <c r="L2293" t="s">
        <v>74</v>
      </c>
      <c r="M2293" t="s">
        <v>78</v>
      </c>
      <c r="N2293" t="s">
        <v>108</v>
      </c>
      <c r="O2293" t="s">
        <v>74</v>
      </c>
      <c r="P2293" t="s">
        <v>74</v>
      </c>
      <c r="Q2293" t="s">
        <v>74</v>
      </c>
      <c r="R2293" t="s">
        <v>74</v>
      </c>
      <c r="S2293" t="s">
        <v>74</v>
      </c>
      <c r="T2293" t="s">
        <v>39216</v>
      </c>
      <c r="U2293" t="s">
        <v>74</v>
      </c>
      <c r="V2293" t="s">
        <v>39217</v>
      </c>
      <c r="W2293" t="s">
        <v>39218</v>
      </c>
      <c r="X2293" t="s">
        <v>39219</v>
      </c>
      <c r="Y2293" t="s">
        <v>39220</v>
      </c>
      <c r="Z2293" t="s">
        <v>39221</v>
      </c>
      <c r="AA2293" t="s">
        <v>74</v>
      </c>
      <c r="AB2293" t="s">
        <v>74</v>
      </c>
      <c r="AC2293" t="s">
        <v>74</v>
      </c>
      <c r="AD2293" t="s">
        <v>74</v>
      </c>
      <c r="AE2293" t="s">
        <v>74</v>
      </c>
      <c r="AF2293" t="s">
        <v>74</v>
      </c>
      <c r="AG2293">
        <v>15</v>
      </c>
      <c r="AH2293">
        <v>1</v>
      </c>
      <c r="AI2293">
        <v>1</v>
      </c>
      <c r="AJ2293">
        <v>0</v>
      </c>
      <c r="AK2293">
        <v>5</v>
      </c>
      <c r="AL2293" t="s">
        <v>39222</v>
      </c>
      <c r="AM2293" t="s">
        <v>39223</v>
      </c>
      <c r="AN2293" t="s">
        <v>39224</v>
      </c>
      <c r="AO2293" t="s">
        <v>39225</v>
      </c>
      <c r="AP2293" t="s">
        <v>39226</v>
      </c>
      <c r="AQ2293" t="s">
        <v>74</v>
      </c>
      <c r="AR2293" t="s">
        <v>39227</v>
      </c>
      <c r="AS2293" t="s">
        <v>39228</v>
      </c>
      <c r="AT2293" t="s">
        <v>455</v>
      </c>
      <c r="AU2293">
        <v>2021</v>
      </c>
      <c r="AV2293">
        <v>12</v>
      </c>
      <c r="AW2293">
        <v>3</v>
      </c>
      <c r="AX2293" t="s">
        <v>74</v>
      </c>
      <c r="AY2293" t="s">
        <v>74</v>
      </c>
      <c r="AZ2293" t="s">
        <v>74</v>
      </c>
      <c r="BA2293" t="s">
        <v>74</v>
      </c>
      <c r="BB2293">
        <v>34</v>
      </c>
      <c r="BC2293">
        <v>59</v>
      </c>
      <c r="BD2293" t="s">
        <v>74</v>
      </c>
      <c r="BE2293" t="s">
        <v>39229</v>
      </c>
      <c r="BF2293" t="str">
        <f>HYPERLINK("http://dx.doi.org/10.18662/po/12.3/326","http://dx.doi.org/10.18662/po/12.3/326")</f>
        <v>http://dx.doi.org/10.18662/po/12.3/326</v>
      </c>
      <c r="BG2293" t="s">
        <v>74</v>
      </c>
      <c r="BH2293" t="s">
        <v>74</v>
      </c>
      <c r="BI2293">
        <v>26</v>
      </c>
      <c r="BJ2293" t="s">
        <v>98</v>
      </c>
      <c r="BK2293" t="s">
        <v>125</v>
      </c>
      <c r="BL2293" t="s">
        <v>100</v>
      </c>
      <c r="BM2293" t="s">
        <v>39230</v>
      </c>
      <c r="BN2293" t="s">
        <v>74</v>
      </c>
      <c r="BO2293" t="s">
        <v>156</v>
      </c>
      <c r="BP2293" t="s">
        <v>74</v>
      </c>
      <c r="BQ2293" t="s">
        <v>74</v>
      </c>
      <c r="BR2293" t="s">
        <v>102</v>
      </c>
      <c r="BS2293" t="s">
        <v>39231</v>
      </c>
      <c r="BT2293" t="str">
        <f>HYPERLINK("https%3A%2F%2Fwww.webofscience.com%2Fwos%2Fwoscc%2Ffull-record%2FWOS:000727243800003","View Full Record in Web of Science")</f>
        <v>View Full Record in Web of Science</v>
      </c>
    </row>
    <row r="2294" spans="1:72" x14ac:dyDescent="0.35">
      <c r="A2294" t="s">
        <v>72</v>
      </c>
      <c r="B2294" t="s">
        <v>39232</v>
      </c>
      <c r="C2294" t="s">
        <v>74</v>
      </c>
      <c r="D2294" t="s">
        <v>74</v>
      </c>
      <c r="E2294" t="s">
        <v>74</v>
      </c>
      <c r="F2294" t="s">
        <v>39233</v>
      </c>
      <c r="G2294" t="s">
        <v>74</v>
      </c>
      <c r="H2294" t="s">
        <v>74</v>
      </c>
      <c r="I2294" t="s">
        <v>39234</v>
      </c>
      <c r="J2294" t="s">
        <v>38130</v>
      </c>
      <c r="K2294" t="s">
        <v>74</v>
      </c>
      <c r="L2294" t="s">
        <v>74</v>
      </c>
      <c r="M2294" t="s">
        <v>78</v>
      </c>
      <c r="N2294" t="s">
        <v>108</v>
      </c>
      <c r="O2294" t="s">
        <v>74</v>
      </c>
      <c r="P2294" t="s">
        <v>74</v>
      </c>
      <c r="Q2294" t="s">
        <v>74</v>
      </c>
      <c r="R2294" t="s">
        <v>74</v>
      </c>
      <c r="S2294" t="s">
        <v>74</v>
      </c>
      <c r="T2294" t="s">
        <v>39235</v>
      </c>
      <c r="U2294" t="s">
        <v>39236</v>
      </c>
      <c r="V2294" t="s">
        <v>39237</v>
      </c>
      <c r="W2294" t="s">
        <v>39238</v>
      </c>
      <c r="X2294" t="s">
        <v>39239</v>
      </c>
      <c r="Y2294" t="s">
        <v>39240</v>
      </c>
      <c r="Z2294" t="s">
        <v>39241</v>
      </c>
      <c r="AA2294" t="s">
        <v>39242</v>
      </c>
      <c r="AB2294" t="s">
        <v>39243</v>
      </c>
      <c r="AC2294" t="s">
        <v>38140</v>
      </c>
      <c r="AD2294" t="s">
        <v>38141</v>
      </c>
      <c r="AE2294" t="s">
        <v>39244</v>
      </c>
      <c r="AF2294" t="s">
        <v>74</v>
      </c>
      <c r="AG2294">
        <v>101</v>
      </c>
      <c r="AH2294">
        <v>2</v>
      </c>
      <c r="AI2294">
        <v>2</v>
      </c>
      <c r="AJ2294">
        <v>4</v>
      </c>
      <c r="AK2294">
        <v>4</v>
      </c>
      <c r="AL2294" t="s">
        <v>1195</v>
      </c>
      <c r="AM2294" t="s">
        <v>1196</v>
      </c>
      <c r="AN2294" t="s">
        <v>1197</v>
      </c>
      <c r="AO2294" t="s">
        <v>74</v>
      </c>
      <c r="AP2294" t="s">
        <v>38143</v>
      </c>
      <c r="AQ2294" t="s">
        <v>74</v>
      </c>
      <c r="AR2294" t="s">
        <v>38144</v>
      </c>
      <c r="AS2294" t="s">
        <v>38145</v>
      </c>
      <c r="AT2294" t="s">
        <v>257</v>
      </c>
      <c r="AU2294">
        <v>2024</v>
      </c>
      <c r="AV2294">
        <v>14</v>
      </c>
      <c r="AW2294">
        <v>6</v>
      </c>
      <c r="AX2294" t="s">
        <v>74</v>
      </c>
      <c r="AY2294" t="s">
        <v>74</v>
      </c>
      <c r="AZ2294" t="s">
        <v>74</v>
      </c>
      <c r="BA2294" t="s">
        <v>74</v>
      </c>
      <c r="BB2294" t="s">
        <v>74</v>
      </c>
      <c r="BC2294" t="s">
        <v>74</v>
      </c>
      <c r="BD2294">
        <v>617</v>
      </c>
      <c r="BE2294" t="s">
        <v>39245</v>
      </c>
      <c r="BF2294" t="str">
        <f>HYPERLINK("http://dx.doi.org/10.3390/brainsci14060617","http://dx.doi.org/10.3390/brainsci14060617")</f>
        <v>http://dx.doi.org/10.3390/brainsci14060617</v>
      </c>
      <c r="BG2294" t="s">
        <v>74</v>
      </c>
      <c r="BH2294" t="s">
        <v>74</v>
      </c>
      <c r="BI2294">
        <v>17</v>
      </c>
      <c r="BJ2294" t="s">
        <v>12865</v>
      </c>
      <c r="BK2294" t="s">
        <v>209</v>
      </c>
      <c r="BL2294" t="s">
        <v>2258</v>
      </c>
      <c r="BM2294" t="s">
        <v>39246</v>
      </c>
      <c r="BN2294">
        <v>38928616</v>
      </c>
      <c r="BO2294" t="s">
        <v>235</v>
      </c>
      <c r="BP2294" t="s">
        <v>74</v>
      </c>
      <c r="BQ2294" t="s">
        <v>74</v>
      </c>
      <c r="BR2294" t="s">
        <v>102</v>
      </c>
      <c r="BS2294" t="s">
        <v>39247</v>
      </c>
      <c r="BT2294" t="str">
        <f>HYPERLINK("https%3A%2F%2Fwww.webofscience.com%2Fwos%2Fwoscc%2Ffull-record%2FWOS:001254422400001","View Full Record in Web of Science")</f>
        <v>View Full Record in Web of Science</v>
      </c>
    </row>
    <row r="2295" spans="1:72" x14ac:dyDescent="0.35">
      <c r="A2295" t="s">
        <v>72</v>
      </c>
      <c r="B2295" t="s">
        <v>39248</v>
      </c>
      <c r="C2295" t="s">
        <v>74</v>
      </c>
      <c r="D2295" t="s">
        <v>74</v>
      </c>
      <c r="E2295" t="s">
        <v>74</v>
      </c>
      <c r="F2295" t="s">
        <v>39249</v>
      </c>
      <c r="G2295" t="s">
        <v>74</v>
      </c>
      <c r="H2295" t="s">
        <v>74</v>
      </c>
      <c r="I2295" t="s">
        <v>39250</v>
      </c>
      <c r="J2295" t="s">
        <v>793</v>
      </c>
      <c r="K2295" t="s">
        <v>74</v>
      </c>
      <c r="L2295" t="s">
        <v>74</v>
      </c>
      <c r="M2295" t="s">
        <v>78</v>
      </c>
      <c r="N2295" t="s">
        <v>108</v>
      </c>
      <c r="O2295" t="s">
        <v>74</v>
      </c>
      <c r="P2295" t="s">
        <v>74</v>
      </c>
      <c r="Q2295" t="s">
        <v>74</v>
      </c>
      <c r="R2295" t="s">
        <v>74</v>
      </c>
      <c r="S2295" t="s">
        <v>74</v>
      </c>
      <c r="T2295" t="s">
        <v>39251</v>
      </c>
      <c r="U2295" t="s">
        <v>39252</v>
      </c>
      <c r="V2295" t="s">
        <v>39253</v>
      </c>
      <c r="W2295" t="s">
        <v>39254</v>
      </c>
      <c r="X2295" t="s">
        <v>74</v>
      </c>
      <c r="Y2295" t="s">
        <v>39255</v>
      </c>
      <c r="Z2295" t="s">
        <v>39256</v>
      </c>
      <c r="AA2295" t="s">
        <v>74</v>
      </c>
      <c r="AB2295" t="s">
        <v>74</v>
      </c>
      <c r="AC2295" t="s">
        <v>74</v>
      </c>
      <c r="AD2295" t="s">
        <v>74</v>
      </c>
      <c r="AE2295" t="s">
        <v>74</v>
      </c>
      <c r="AF2295" t="s">
        <v>74</v>
      </c>
      <c r="AG2295">
        <v>30</v>
      </c>
      <c r="AH2295">
        <v>0</v>
      </c>
      <c r="AI2295">
        <v>0</v>
      </c>
      <c r="AJ2295">
        <v>2</v>
      </c>
      <c r="AK2295">
        <v>3</v>
      </c>
      <c r="AL2295" t="s">
        <v>803</v>
      </c>
      <c r="AM2295" t="s">
        <v>227</v>
      </c>
      <c r="AN2295" t="s">
        <v>804</v>
      </c>
      <c r="AO2295" t="s">
        <v>74</v>
      </c>
      <c r="AP2295" t="s">
        <v>805</v>
      </c>
      <c r="AQ2295" t="s">
        <v>74</v>
      </c>
      <c r="AR2295" t="s">
        <v>806</v>
      </c>
      <c r="AS2295" t="s">
        <v>807</v>
      </c>
      <c r="AT2295" t="s">
        <v>16561</v>
      </c>
      <c r="AU2295">
        <v>2023</v>
      </c>
      <c r="AV2295">
        <v>15</v>
      </c>
      <c r="AW2295">
        <v>10</v>
      </c>
      <c r="AX2295" t="s">
        <v>74</v>
      </c>
      <c r="AY2295" t="s">
        <v>74</v>
      </c>
      <c r="AZ2295" t="s">
        <v>74</v>
      </c>
      <c r="BA2295" t="s">
        <v>74</v>
      </c>
      <c r="BB2295" t="s">
        <v>74</v>
      </c>
      <c r="BC2295" t="s">
        <v>74</v>
      </c>
      <c r="BD2295" t="s">
        <v>39257</v>
      </c>
      <c r="BE2295" t="s">
        <v>39258</v>
      </c>
      <c r="BF2295" t="str">
        <f>HYPERLINK("http://dx.doi.org/10.7759/cureus.47388","http://dx.doi.org/10.7759/cureus.47388")</f>
        <v>http://dx.doi.org/10.7759/cureus.47388</v>
      </c>
      <c r="BG2295" t="s">
        <v>74</v>
      </c>
      <c r="BH2295" t="s">
        <v>74</v>
      </c>
      <c r="BI2295">
        <v>10</v>
      </c>
      <c r="BJ2295" t="s">
        <v>811</v>
      </c>
      <c r="BK2295" t="s">
        <v>125</v>
      </c>
      <c r="BL2295" t="s">
        <v>812</v>
      </c>
      <c r="BM2295" t="s">
        <v>39259</v>
      </c>
      <c r="BN2295">
        <v>38022218</v>
      </c>
      <c r="BO2295" t="s">
        <v>552</v>
      </c>
      <c r="BP2295" t="s">
        <v>74</v>
      </c>
      <c r="BQ2295" t="s">
        <v>74</v>
      </c>
      <c r="BR2295" t="s">
        <v>102</v>
      </c>
      <c r="BS2295" t="s">
        <v>39260</v>
      </c>
      <c r="BT2295" t="str">
        <f>HYPERLINK("https%3A%2F%2Fwww.webofscience.com%2Fwos%2Fwoscc%2Ffull-record%2FWOS:001109176900003","View Full Record in Web of Science")</f>
        <v>View Full Record in Web of Science</v>
      </c>
    </row>
    <row r="2296" spans="1:72" x14ac:dyDescent="0.35">
      <c r="A2296" t="s">
        <v>72</v>
      </c>
      <c r="B2296" t="s">
        <v>39261</v>
      </c>
      <c r="C2296" t="s">
        <v>74</v>
      </c>
      <c r="D2296" t="s">
        <v>74</v>
      </c>
      <c r="E2296" t="s">
        <v>74</v>
      </c>
      <c r="F2296" t="s">
        <v>39262</v>
      </c>
      <c r="G2296" t="s">
        <v>74</v>
      </c>
      <c r="H2296" t="s">
        <v>74</v>
      </c>
      <c r="I2296" t="s">
        <v>39263</v>
      </c>
      <c r="J2296" t="s">
        <v>373</v>
      </c>
      <c r="K2296" t="s">
        <v>74</v>
      </c>
      <c r="L2296" t="s">
        <v>74</v>
      </c>
      <c r="M2296" t="s">
        <v>78</v>
      </c>
      <c r="N2296" t="s">
        <v>108</v>
      </c>
      <c r="O2296" t="s">
        <v>74</v>
      </c>
      <c r="P2296" t="s">
        <v>74</v>
      </c>
      <c r="Q2296" t="s">
        <v>74</v>
      </c>
      <c r="R2296" t="s">
        <v>74</v>
      </c>
      <c r="S2296" t="s">
        <v>74</v>
      </c>
      <c r="T2296" t="s">
        <v>39264</v>
      </c>
      <c r="U2296" t="s">
        <v>39265</v>
      </c>
      <c r="V2296" t="s">
        <v>39266</v>
      </c>
      <c r="W2296" t="s">
        <v>39267</v>
      </c>
      <c r="X2296" t="s">
        <v>39268</v>
      </c>
      <c r="Y2296" t="s">
        <v>39269</v>
      </c>
      <c r="Z2296" t="s">
        <v>39270</v>
      </c>
      <c r="AA2296" t="s">
        <v>39271</v>
      </c>
      <c r="AB2296" t="s">
        <v>39272</v>
      </c>
      <c r="AC2296" t="s">
        <v>39273</v>
      </c>
      <c r="AD2296" t="s">
        <v>39274</v>
      </c>
      <c r="AE2296" t="s">
        <v>39275</v>
      </c>
      <c r="AF2296" t="s">
        <v>74</v>
      </c>
      <c r="AG2296">
        <v>59</v>
      </c>
      <c r="AH2296">
        <v>40</v>
      </c>
      <c r="AI2296">
        <v>42</v>
      </c>
      <c r="AJ2296">
        <v>81</v>
      </c>
      <c r="AK2296">
        <v>651</v>
      </c>
      <c r="AL2296" t="s">
        <v>384</v>
      </c>
      <c r="AM2296" t="s">
        <v>385</v>
      </c>
      <c r="AN2296" t="s">
        <v>386</v>
      </c>
      <c r="AO2296" t="s">
        <v>74</v>
      </c>
      <c r="AP2296" t="s">
        <v>387</v>
      </c>
      <c r="AQ2296" t="s">
        <v>74</v>
      </c>
      <c r="AR2296" t="s">
        <v>388</v>
      </c>
      <c r="AS2296" t="s">
        <v>389</v>
      </c>
      <c r="AT2296" t="s">
        <v>39276</v>
      </c>
      <c r="AU2296">
        <v>2022</v>
      </c>
      <c r="AV2296">
        <v>10</v>
      </c>
      <c r="AW2296" t="s">
        <v>74</v>
      </c>
      <c r="AX2296" t="s">
        <v>74</v>
      </c>
      <c r="AY2296" t="s">
        <v>74</v>
      </c>
      <c r="AZ2296" t="s">
        <v>74</v>
      </c>
      <c r="BA2296" t="s">
        <v>74</v>
      </c>
      <c r="BB2296" t="s">
        <v>74</v>
      </c>
      <c r="BC2296" t="s">
        <v>74</v>
      </c>
      <c r="BD2296">
        <v>847672</v>
      </c>
      <c r="BE2296" t="s">
        <v>39277</v>
      </c>
      <c r="BF2296" t="str">
        <f>HYPERLINK("http://dx.doi.org/10.3389/fpubh.2022.847672","http://dx.doi.org/10.3389/fpubh.2022.847672")</f>
        <v>http://dx.doi.org/10.3389/fpubh.2022.847672</v>
      </c>
      <c r="BG2296" t="s">
        <v>74</v>
      </c>
      <c r="BH2296" t="s">
        <v>74</v>
      </c>
      <c r="BI2296">
        <v>11</v>
      </c>
      <c r="BJ2296" t="s">
        <v>392</v>
      </c>
      <c r="BK2296" t="s">
        <v>182</v>
      </c>
      <c r="BL2296" t="s">
        <v>392</v>
      </c>
      <c r="BM2296" t="s">
        <v>39278</v>
      </c>
      <c r="BN2296">
        <v>35619803</v>
      </c>
      <c r="BO2296" t="s">
        <v>552</v>
      </c>
      <c r="BP2296" t="s">
        <v>395</v>
      </c>
      <c r="BQ2296" t="s">
        <v>396</v>
      </c>
      <c r="BR2296" t="s">
        <v>102</v>
      </c>
      <c r="BS2296" t="s">
        <v>39279</v>
      </c>
      <c r="BT2296" t="str">
        <f>HYPERLINK("https%3A%2F%2Fwww.webofscience.com%2Fwos%2Fwoscc%2Ffull-record%2FWOS:000803976500001","View Full Record in Web of Science")</f>
        <v>View Full Record in Web of Science</v>
      </c>
    </row>
    <row r="2297" spans="1:72" x14ac:dyDescent="0.35">
      <c r="A2297" t="s">
        <v>72</v>
      </c>
      <c r="B2297" t="s">
        <v>39280</v>
      </c>
      <c r="C2297" t="s">
        <v>74</v>
      </c>
      <c r="D2297" t="s">
        <v>74</v>
      </c>
      <c r="E2297" t="s">
        <v>74</v>
      </c>
      <c r="F2297" t="s">
        <v>39281</v>
      </c>
      <c r="G2297" t="s">
        <v>74</v>
      </c>
      <c r="H2297" t="s">
        <v>74</v>
      </c>
      <c r="I2297" t="s">
        <v>39282</v>
      </c>
      <c r="J2297" t="s">
        <v>2814</v>
      </c>
      <c r="K2297" t="s">
        <v>74</v>
      </c>
      <c r="L2297" t="s">
        <v>74</v>
      </c>
      <c r="M2297" t="s">
        <v>78</v>
      </c>
      <c r="N2297" t="s">
        <v>108</v>
      </c>
      <c r="O2297" t="s">
        <v>74</v>
      </c>
      <c r="P2297" t="s">
        <v>74</v>
      </c>
      <c r="Q2297" t="s">
        <v>74</v>
      </c>
      <c r="R2297" t="s">
        <v>74</v>
      </c>
      <c r="S2297" t="s">
        <v>74</v>
      </c>
      <c r="T2297" t="s">
        <v>39283</v>
      </c>
      <c r="U2297" t="s">
        <v>39284</v>
      </c>
      <c r="V2297" t="s">
        <v>39285</v>
      </c>
      <c r="W2297" t="s">
        <v>39286</v>
      </c>
      <c r="X2297" t="s">
        <v>39287</v>
      </c>
      <c r="Y2297" t="s">
        <v>39288</v>
      </c>
      <c r="Z2297" t="s">
        <v>39289</v>
      </c>
      <c r="AA2297" t="s">
        <v>39290</v>
      </c>
      <c r="AB2297" t="s">
        <v>39291</v>
      </c>
      <c r="AC2297" t="s">
        <v>39292</v>
      </c>
      <c r="AD2297" t="s">
        <v>39293</v>
      </c>
      <c r="AE2297" t="s">
        <v>39294</v>
      </c>
      <c r="AF2297" t="s">
        <v>74</v>
      </c>
      <c r="AG2297">
        <v>41</v>
      </c>
      <c r="AH2297">
        <v>3</v>
      </c>
      <c r="AI2297">
        <v>3</v>
      </c>
      <c r="AJ2297">
        <v>13</v>
      </c>
      <c r="AK2297">
        <v>53</v>
      </c>
      <c r="AL2297" t="s">
        <v>543</v>
      </c>
      <c r="AM2297" t="s">
        <v>544</v>
      </c>
      <c r="AN2297" t="s">
        <v>545</v>
      </c>
      <c r="AO2297" t="s">
        <v>2821</v>
      </c>
      <c r="AP2297" t="s">
        <v>74</v>
      </c>
      <c r="AQ2297" t="s">
        <v>74</v>
      </c>
      <c r="AR2297" t="s">
        <v>2822</v>
      </c>
      <c r="AS2297" t="s">
        <v>2823</v>
      </c>
      <c r="AT2297" t="s">
        <v>39295</v>
      </c>
      <c r="AU2297">
        <v>2023</v>
      </c>
      <c r="AV2297">
        <v>25</v>
      </c>
      <c r="AW2297" t="s">
        <v>74</v>
      </c>
      <c r="AX2297" t="s">
        <v>74</v>
      </c>
      <c r="AY2297" t="s">
        <v>74</v>
      </c>
      <c r="AZ2297" t="s">
        <v>74</v>
      </c>
      <c r="BA2297" t="s">
        <v>74</v>
      </c>
      <c r="BB2297" t="s">
        <v>74</v>
      </c>
      <c r="BC2297" t="s">
        <v>74</v>
      </c>
      <c r="BD2297" t="s">
        <v>39296</v>
      </c>
      <c r="BE2297" t="s">
        <v>39297</v>
      </c>
      <c r="BF2297" t="str">
        <f>HYPERLINK("http://dx.doi.org/10.2196/47343","http://dx.doi.org/10.2196/47343")</f>
        <v>http://dx.doi.org/10.2196/47343</v>
      </c>
      <c r="BG2297" t="s">
        <v>74</v>
      </c>
      <c r="BH2297" t="s">
        <v>74</v>
      </c>
      <c r="BI2297">
        <v>11</v>
      </c>
      <c r="BJ2297" t="s">
        <v>550</v>
      </c>
      <c r="BK2297" t="s">
        <v>209</v>
      </c>
      <c r="BL2297" t="s">
        <v>550</v>
      </c>
      <c r="BM2297" t="s">
        <v>39298</v>
      </c>
      <c r="BN2297">
        <v>37389906</v>
      </c>
      <c r="BO2297" t="s">
        <v>552</v>
      </c>
      <c r="BP2297" t="s">
        <v>74</v>
      </c>
      <c r="BQ2297" t="s">
        <v>74</v>
      </c>
      <c r="BR2297" t="s">
        <v>102</v>
      </c>
      <c r="BS2297" t="s">
        <v>39299</v>
      </c>
      <c r="BT2297" t="str">
        <f>HYPERLINK("https%3A%2F%2Fwww.webofscience.com%2Fwos%2Fwoscc%2Ffull-record%2FWOS:001026704100004","View Full Record in Web of Science")</f>
        <v>View Full Record in Web of Science</v>
      </c>
    </row>
    <row r="2298" spans="1:72" x14ac:dyDescent="0.35">
      <c r="A2298" t="s">
        <v>72</v>
      </c>
      <c r="B2298" t="s">
        <v>39300</v>
      </c>
      <c r="C2298" t="s">
        <v>74</v>
      </c>
      <c r="D2298" t="s">
        <v>74</v>
      </c>
      <c r="E2298" t="s">
        <v>74</v>
      </c>
      <c r="F2298" t="s">
        <v>39301</v>
      </c>
      <c r="G2298" t="s">
        <v>74</v>
      </c>
      <c r="H2298" t="s">
        <v>74</v>
      </c>
      <c r="I2298" t="s">
        <v>39302</v>
      </c>
      <c r="J2298" t="s">
        <v>531</v>
      </c>
      <c r="K2298" t="s">
        <v>74</v>
      </c>
      <c r="L2298" t="s">
        <v>74</v>
      </c>
      <c r="M2298" t="s">
        <v>78</v>
      </c>
      <c r="N2298" t="s">
        <v>108</v>
      </c>
      <c r="O2298" t="s">
        <v>74</v>
      </c>
      <c r="P2298" t="s">
        <v>74</v>
      </c>
      <c r="Q2298" t="s">
        <v>74</v>
      </c>
      <c r="R2298" t="s">
        <v>74</v>
      </c>
      <c r="S2298" t="s">
        <v>74</v>
      </c>
      <c r="T2298" t="s">
        <v>39303</v>
      </c>
      <c r="U2298" t="s">
        <v>39304</v>
      </c>
      <c r="V2298" t="s">
        <v>39305</v>
      </c>
      <c r="W2298" t="s">
        <v>39306</v>
      </c>
      <c r="X2298" t="s">
        <v>24988</v>
      </c>
      <c r="Y2298" t="s">
        <v>39307</v>
      </c>
      <c r="Z2298" t="s">
        <v>39308</v>
      </c>
      <c r="AA2298" t="s">
        <v>39309</v>
      </c>
      <c r="AB2298" t="s">
        <v>39310</v>
      </c>
      <c r="AC2298" t="s">
        <v>74</v>
      </c>
      <c r="AD2298" t="s">
        <v>74</v>
      </c>
      <c r="AE2298" t="s">
        <v>74</v>
      </c>
      <c r="AF2298" t="s">
        <v>74</v>
      </c>
      <c r="AG2298">
        <v>46</v>
      </c>
      <c r="AH2298">
        <v>1</v>
      </c>
      <c r="AI2298">
        <v>1</v>
      </c>
      <c r="AJ2298">
        <v>5</v>
      </c>
      <c r="AK2298">
        <v>10</v>
      </c>
      <c r="AL2298" t="s">
        <v>543</v>
      </c>
      <c r="AM2298" t="s">
        <v>544</v>
      </c>
      <c r="AN2298" t="s">
        <v>545</v>
      </c>
      <c r="AO2298" t="s">
        <v>74</v>
      </c>
      <c r="AP2298" t="s">
        <v>546</v>
      </c>
      <c r="AQ2298" t="s">
        <v>74</v>
      </c>
      <c r="AR2298" t="s">
        <v>547</v>
      </c>
      <c r="AS2298" t="s">
        <v>548</v>
      </c>
      <c r="AT2298" t="s">
        <v>74</v>
      </c>
      <c r="AU2298">
        <v>2024</v>
      </c>
      <c r="AV2298">
        <v>8</v>
      </c>
      <c r="AW2298" t="s">
        <v>74</v>
      </c>
      <c r="AX2298" t="s">
        <v>74</v>
      </c>
      <c r="AY2298" t="s">
        <v>74</v>
      </c>
      <c r="AZ2298" t="s">
        <v>74</v>
      </c>
      <c r="BA2298" t="s">
        <v>74</v>
      </c>
      <c r="BB2298" t="s">
        <v>74</v>
      </c>
      <c r="BC2298" t="s">
        <v>74</v>
      </c>
      <c r="BD2298" t="s">
        <v>39311</v>
      </c>
      <c r="BE2298" t="s">
        <v>39312</v>
      </c>
      <c r="BF2298" t="str">
        <f>HYPERLINK("http://dx.doi.org/10.2196/44923","http://dx.doi.org/10.2196/44923")</f>
        <v>http://dx.doi.org/10.2196/44923</v>
      </c>
      <c r="BG2298" t="s">
        <v>74</v>
      </c>
      <c r="BH2298" t="s">
        <v>74</v>
      </c>
      <c r="BI2298">
        <v>15</v>
      </c>
      <c r="BJ2298" t="s">
        <v>550</v>
      </c>
      <c r="BK2298" t="s">
        <v>125</v>
      </c>
      <c r="BL2298" t="s">
        <v>550</v>
      </c>
      <c r="BM2298" t="s">
        <v>39313</v>
      </c>
      <c r="BN2298">
        <v>38227352</v>
      </c>
      <c r="BO2298" t="s">
        <v>2703</v>
      </c>
      <c r="BP2298" t="s">
        <v>74</v>
      </c>
      <c r="BQ2298" t="s">
        <v>74</v>
      </c>
      <c r="BR2298" t="s">
        <v>102</v>
      </c>
      <c r="BS2298" t="s">
        <v>39314</v>
      </c>
      <c r="BT2298" t="str">
        <f>HYPERLINK("https%3A%2F%2Fwww.webofscience.com%2Fwos%2Fwoscc%2Ffull-record%2FWOS:001165994100002","View Full Record in Web of Science")</f>
        <v>View Full Record in Web of Science</v>
      </c>
    </row>
    <row r="2299" spans="1:72" x14ac:dyDescent="0.35">
      <c r="A2299" t="s">
        <v>72</v>
      </c>
      <c r="B2299" t="s">
        <v>39315</v>
      </c>
      <c r="C2299" t="s">
        <v>74</v>
      </c>
      <c r="D2299" t="s">
        <v>74</v>
      </c>
      <c r="E2299" t="s">
        <v>74</v>
      </c>
      <c r="F2299" t="s">
        <v>39316</v>
      </c>
      <c r="G2299" t="s">
        <v>74</v>
      </c>
      <c r="H2299" t="s">
        <v>39317</v>
      </c>
      <c r="I2299" t="s">
        <v>39318</v>
      </c>
      <c r="J2299" t="s">
        <v>39319</v>
      </c>
      <c r="K2299" t="s">
        <v>74</v>
      </c>
      <c r="L2299" t="s">
        <v>74</v>
      </c>
      <c r="M2299" t="s">
        <v>78</v>
      </c>
      <c r="N2299" t="s">
        <v>79</v>
      </c>
      <c r="O2299" t="s">
        <v>74</v>
      </c>
      <c r="P2299" t="s">
        <v>74</v>
      </c>
      <c r="Q2299" t="s">
        <v>74</v>
      </c>
      <c r="R2299" t="s">
        <v>74</v>
      </c>
      <c r="S2299" t="s">
        <v>74</v>
      </c>
      <c r="T2299" t="s">
        <v>39320</v>
      </c>
      <c r="U2299" t="s">
        <v>74</v>
      </c>
      <c r="V2299" t="s">
        <v>39321</v>
      </c>
      <c r="W2299" t="s">
        <v>39322</v>
      </c>
      <c r="X2299" t="s">
        <v>39323</v>
      </c>
      <c r="Y2299" t="s">
        <v>39324</v>
      </c>
      <c r="Z2299" t="s">
        <v>39325</v>
      </c>
      <c r="AA2299" t="s">
        <v>39326</v>
      </c>
      <c r="AB2299" t="s">
        <v>39327</v>
      </c>
      <c r="AC2299" t="s">
        <v>39328</v>
      </c>
      <c r="AD2299" t="s">
        <v>39328</v>
      </c>
      <c r="AE2299" t="s">
        <v>39328</v>
      </c>
      <c r="AF2299" t="s">
        <v>74</v>
      </c>
      <c r="AG2299">
        <v>54</v>
      </c>
      <c r="AH2299">
        <v>0</v>
      </c>
      <c r="AI2299">
        <v>0</v>
      </c>
      <c r="AJ2299">
        <v>1</v>
      </c>
      <c r="AK2299">
        <v>1</v>
      </c>
      <c r="AL2299" t="s">
        <v>251</v>
      </c>
      <c r="AM2299" t="s">
        <v>252</v>
      </c>
      <c r="AN2299" t="s">
        <v>253</v>
      </c>
      <c r="AO2299" t="s">
        <v>39329</v>
      </c>
      <c r="AP2299" t="s">
        <v>39330</v>
      </c>
      <c r="AQ2299" t="s">
        <v>74</v>
      </c>
      <c r="AR2299" t="s">
        <v>39331</v>
      </c>
      <c r="AS2299" t="s">
        <v>39332</v>
      </c>
      <c r="AT2299" t="s">
        <v>6818</v>
      </c>
      <c r="AU2299">
        <v>2024</v>
      </c>
      <c r="AV2299" t="s">
        <v>74</v>
      </c>
      <c r="AW2299" t="s">
        <v>74</v>
      </c>
      <c r="AX2299" t="s">
        <v>74</v>
      </c>
      <c r="AY2299" t="s">
        <v>74</v>
      </c>
      <c r="AZ2299" t="s">
        <v>74</v>
      </c>
      <c r="BA2299" t="s">
        <v>74</v>
      </c>
      <c r="BB2299" t="s">
        <v>74</v>
      </c>
      <c r="BC2299" t="s">
        <v>74</v>
      </c>
      <c r="BD2299" t="s">
        <v>74</v>
      </c>
      <c r="BE2299" t="s">
        <v>39333</v>
      </c>
      <c r="BF2299" t="str">
        <f>HYPERLINK("http://dx.doi.org/10.1111/jnu.13016","http://dx.doi.org/10.1111/jnu.13016")</f>
        <v>http://dx.doi.org/10.1111/jnu.13016</v>
      </c>
      <c r="BG2299" t="s">
        <v>74</v>
      </c>
      <c r="BH2299" t="s">
        <v>2444</v>
      </c>
      <c r="BI2299">
        <v>13</v>
      </c>
      <c r="BJ2299" t="s">
        <v>8110</v>
      </c>
      <c r="BK2299" t="s">
        <v>182</v>
      </c>
      <c r="BL2299" t="s">
        <v>8110</v>
      </c>
      <c r="BM2299" t="s">
        <v>39334</v>
      </c>
      <c r="BN2299">
        <v>39143721</v>
      </c>
      <c r="BO2299" t="s">
        <v>156</v>
      </c>
      <c r="BP2299" t="s">
        <v>74</v>
      </c>
      <c r="BQ2299" t="s">
        <v>74</v>
      </c>
      <c r="BR2299" t="s">
        <v>102</v>
      </c>
      <c r="BS2299" t="s">
        <v>39335</v>
      </c>
      <c r="BT2299" t="str">
        <f>HYPERLINK("https%3A%2F%2Fwww.webofscience.com%2Fwos%2Fwoscc%2Ffull-record%2FWOS:001290630100001","View Full Record in Web of Science")</f>
        <v>View Full Record in Web of Science</v>
      </c>
    </row>
    <row r="2300" spans="1:72" x14ac:dyDescent="0.35">
      <c r="A2300" t="s">
        <v>72</v>
      </c>
      <c r="B2300" t="s">
        <v>39336</v>
      </c>
      <c r="C2300" t="s">
        <v>74</v>
      </c>
      <c r="D2300" t="s">
        <v>74</v>
      </c>
      <c r="E2300" t="s">
        <v>74</v>
      </c>
      <c r="F2300" t="s">
        <v>39337</v>
      </c>
      <c r="G2300" t="s">
        <v>74</v>
      </c>
      <c r="H2300" t="s">
        <v>74</v>
      </c>
      <c r="I2300" t="s">
        <v>39338</v>
      </c>
      <c r="J2300" t="s">
        <v>4112</v>
      </c>
      <c r="K2300" t="s">
        <v>74</v>
      </c>
      <c r="L2300" t="s">
        <v>74</v>
      </c>
      <c r="M2300" t="s">
        <v>78</v>
      </c>
      <c r="N2300" t="s">
        <v>108</v>
      </c>
      <c r="O2300" t="s">
        <v>74</v>
      </c>
      <c r="P2300" t="s">
        <v>74</v>
      </c>
      <c r="Q2300" t="s">
        <v>74</v>
      </c>
      <c r="R2300" t="s">
        <v>74</v>
      </c>
      <c r="S2300" t="s">
        <v>74</v>
      </c>
      <c r="T2300" t="s">
        <v>39339</v>
      </c>
      <c r="U2300" t="s">
        <v>39340</v>
      </c>
      <c r="V2300" t="s">
        <v>39341</v>
      </c>
      <c r="W2300" t="s">
        <v>39342</v>
      </c>
      <c r="X2300" t="s">
        <v>39343</v>
      </c>
      <c r="Y2300" t="s">
        <v>39344</v>
      </c>
      <c r="Z2300" t="s">
        <v>39345</v>
      </c>
      <c r="AA2300" t="s">
        <v>39346</v>
      </c>
      <c r="AB2300" t="s">
        <v>39347</v>
      </c>
      <c r="AC2300" t="s">
        <v>39348</v>
      </c>
      <c r="AD2300" t="s">
        <v>39349</v>
      </c>
      <c r="AE2300" t="s">
        <v>39350</v>
      </c>
      <c r="AF2300" t="s">
        <v>74</v>
      </c>
      <c r="AG2300">
        <v>60</v>
      </c>
      <c r="AH2300">
        <v>6</v>
      </c>
      <c r="AI2300">
        <v>7</v>
      </c>
      <c r="AJ2300">
        <v>4</v>
      </c>
      <c r="AK2300">
        <v>13</v>
      </c>
      <c r="AL2300" t="s">
        <v>543</v>
      </c>
      <c r="AM2300" t="s">
        <v>544</v>
      </c>
      <c r="AN2300" t="s">
        <v>545</v>
      </c>
      <c r="AO2300" t="s">
        <v>74</v>
      </c>
      <c r="AP2300" t="s">
        <v>4124</v>
      </c>
      <c r="AQ2300" t="s">
        <v>74</v>
      </c>
      <c r="AR2300" t="s">
        <v>4125</v>
      </c>
      <c r="AS2300" t="s">
        <v>4126</v>
      </c>
      <c r="AT2300" t="s">
        <v>15234</v>
      </c>
      <c r="AU2300">
        <v>2023</v>
      </c>
      <c r="AV2300">
        <v>3</v>
      </c>
      <c r="AW2300">
        <v>1</v>
      </c>
      <c r="AX2300" t="s">
        <v>74</v>
      </c>
      <c r="AY2300" t="s">
        <v>74</v>
      </c>
      <c r="AZ2300" t="s">
        <v>74</v>
      </c>
      <c r="BA2300" t="s">
        <v>74</v>
      </c>
      <c r="BB2300" t="s">
        <v>74</v>
      </c>
      <c r="BC2300" t="s">
        <v>74</v>
      </c>
      <c r="BD2300" t="s">
        <v>39351</v>
      </c>
      <c r="BE2300" t="s">
        <v>39352</v>
      </c>
      <c r="BF2300" t="str">
        <f>HYPERLINK("http://dx.doi.org/10.2196/48620","http://dx.doi.org/10.2196/48620")</f>
        <v>http://dx.doi.org/10.2196/48620</v>
      </c>
      <c r="BG2300" t="s">
        <v>74</v>
      </c>
      <c r="BH2300" t="s">
        <v>74</v>
      </c>
      <c r="BI2300">
        <v>18</v>
      </c>
      <c r="BJ2300" t="s">
        <v>4129</v>
      </c>
      <c r="BK2300" t="s">
        <v>125</v>
      </c>
      <c r="BL2300" t="s">
        <v>4129</v>
      </c>
      <c r="BM2300" t="s">
        <v>15237</v>
      </c>
      <c r="BN2300">
        <v>37728981</v>
      </c>
      <c r="BO2300" t="s">
        <v>552</v>
      </c>
      <c r="BP2300" t="s">
        <v>74</v>
      </c>
      <c r="BQ2300" t="s">
        <v>74</v>
      </c>
      <c r="BR2300" t="s">
        <v>102</v>
      </c>
      <c r="BS2300" t="s">
        <v>39353</v>
      </c>
      <c r="BT2300" t="str">
        <f>HYPERLINK("https%3A%2F%2Fwww.webofscience.com%2Fwos%2Fwoscc%2Ffull-record%2FWOS:001170178800040","View Full Record in Web of Science")</f>
        <v>View Full Record in Web of Science</v>
      </c>
    </row>
    <row r="2301" spans="1:72" x14ac:dyDescent="0.35">
      <c r="A2301" t="s">
        <v>72</v>
      </c>
      <c r="B2301" t="s">
        <v>39354</v>
      </c>
      <c r="C2301" t="s">
        <v>74</v>
      </c>
      <c r="D2301" t="s">
        <v>74</v>
      </c>
      <c r="E2301" t="s">
        <v>74</v>
      </c>
      <c r="F2301" t="s">
        <v>39355</v>
      </c>
      <c r="G2301" t="s">
        <v>74</v>
      </c>
      <c r="H2301" t="s">
        <v>74</v>
      </c>
      <c r="I2301" t="s">
        <v>39356</v>
      </c>
      <c r="J2301" t="s">
        <v>13056</v>
      </c>
      <c r="K2301" t="s">
        <v>74</v>
      </c>
      <c r="L2301" t="s">
        <v>74</v>
      </c>
      <c r="M2301" t="s">
        <v>78</v>
      </c>
      <c r="N2301" t="s">
        <v>108</v>
      </c>
      <c r="O2301" t="s">
        <v>74</v>
      </c>
      <c r="P2301" t="s">
        <v>74</v>
      </c>
      <c r="Q2301" t="s">
        <v>74</v>
      </c>
      <c r="R2301" t="s">
        <v>74</v>
      </c>
      <c r="S2301" t="s">
        <v>74</v>
      </c>
      <c r="T2301" t="s">
        <v>39357</v>
      </c>
      <c r="U2301" t="s">
        <v>74</v>
      </c>
      <c r="V2301" t="s">
        <v>39358</v>
      </c>
      <c r="W2301" t="s">
        <v>39359</v>
      </c>
      <c r="X2301" t="s">
        <v>8853</v>
      </c>
      <c r="Y2301" t="s">
        <v>39360</v>
      </c>
      <c r="Z2301" t="s">
        <v>39361</v>
      </c>
      <c r="AA2301" t="s">
        <v>39362</v>
      </c>
      <c r="AB2301" t="s">
        <v>39363</v>
      </c>
      <c r="AC2301" t="s">
        <v>39364</v>
      </c>
      <c r="AD2301" t="s">
        <v>39365</v>
      </c>
      <c r="AE2301" t="s">
        <v>39366</v>
      </c>
      <c r="AF2301" t="s">
        <v>74</v>
      </c>
      <c r="AG2301">
        <v>52</v>
      </c>
      <c r="AH2301">
        <v>3</v>
      </c>
      <c r="AI2301">
        <v>3</v>
      </c>
      <c r="AJ2301">
        <v>1</v>
      </c>
      <c r="AK2301">
        <v>2</v>
      </c>
      <c r="AL2301" t="s">
        <v>543</v>
      </c>
      <c r="AM2301" t="s">
        <v>544</v>
      </c>
      <c r="AN2301" t="s">
        <v>545</v>
      </c>
      <c r="AO2301" t="s">
        <v>13064</v>
      </c>
      <c r="AP2301" t="s">
        <v>74</v>
      </c>
      <c r="AQ2301" t="s">
        <v>74</v>
      </c>
      <c r="AR2301" t="s">
        <v>13065</v>
      </c>
      <c r="AS2301" t="s">
        <v>13066</v>
      </c>
      <c r="AT2301" t="s">
        <v>74</v>
      </c>
      <c r="AU2301">
        <v>2023</v>
      </c>
      <c r="AV2301">
        <v>9</v>
      </c>
      <c r="AW2301" t="s">
        <v>74</v>
      </c>
      <c r="AX2301" t="s">
        <v>74</v>
      </c>
      <c r="AY2301" t="s">
        <v>74</v>
      </c>
      <c r="AZ2301" t="s">
        <v>74</v>
      </c>
      <c r="BA2301" t="s">
        <v>74</v>
      </c>
      <c r="BB2301" t="s">
        <v>74</v>
      </c>
      <c r="BC2301" t="s">
        <v>74</v>
      </c>
      <c r="BD2301" t="s">
        <v>39367</v>
      </c>
      <c r="BE2301" t="s">
        <v>39368</v>
      </c>
      <c r="BF2301" t="str">
        <f>HYPERLINK("http://dx.doi.org/10.2196/40441","http://dx.doi.org/10.2196/40441")</f>
        <v>http://dx.doi.org/10.2196/40441</v>
      </c>
      <c r="BG2301" t="s">
        <v>74</v>
      </c>
      <c r="BH2301" t="s">
        <v>74</v>
      </c>
      <c r="BI2301">
        <v>16</v>
      </c>
      <c r="BJ2301" t="s">
        <v>392</v>
      </c>
      <c r="BK2301" t="s">
        <v>182</v>
      </c>
      <c r="BL2301" t="s">
        <v>392</v>
      </c>
      <c r="BM2301" t="s">
        <v>39369</v>
      </c>
      <c r="BN2301">
        <v>37172319</v>
      </c>
      <c r="BO2301" t="s">
        <v>552</v>
      </c>
      <c r="BP2301" t="s">
        <v>74</v>
      </c>
      <c r="BQ2301" t="s">
        <v>74</v>
      </c>
      <c r="BR2301" t="s">
        <v>102</v>
      </c>
      <c r="BS2301" t="s">
        <v>39370</v>
      </c>
      <c r="BT2301" t="str">
        <f>HYPERLINK("https%3A%2F%2Fwww.webofscience.com%2Fwos%2Fwoscc%2Ffull-record%2FWOS:001079433000001","View Full Record in Web of Science")</f>
        <v>View Full Record in Web of Science</v>
      </c>
    </row>
    <row r="2302" spans="1:72" x14ac:dyDescent="0.35">
      <c r="A2302" t="s">
        <v>72</v>
      </c>
      <c r="B2302" t="s">
        <v>39371</v>
      </c>
      <c r="C2302" t="s">
        <v>74</v>
      </c>
      <c r="D2302" t="s">
        <v>74</v>
      </c>
      <c r="E2302" t="s">
        <v>74</v>
      </c>
      <c r="F2302" t="s">
        <v>39372</v>
      </c>
      <c r="G2302" t="s">
        <v>74</v>
      </c>
      <c r="H2302" t="s">
        <v>74</v>
      </c>
      <c r="I2302" t="s">
        <v>39373</v>
      </c>
      <c r="J2302" t="s">
        <v>2814</v>
      </c>
      <c r="K2302" t="s">
        <v>74</v>
      </c>
      <c r="L2302" t="s">
        <v>74</v>
      </c>
      <c r="M2302" t="s">
        <v>78</v>
      </c>
      <c r="N2302" t="s">
        <v>374</v>
      </c>
      <c r="O2302" t="s">
        <v>74</v>
      </c>
      <c r="P2302" t="s">
        <v>74</v>
      </c>
      <c r="Q2302" t="s">
        <v>74</v>
      </c>
      <c r="R2302" t="s">
        <v>74</v>
      </c>
      <c r="S2302" t="s">
        <v>74</v>
      </c>
      <c r="T2302" t="s">
        <v>39374</v>
      </c>
      <c r="U2302" t="s">
        <v>39375</v>
      </c>
      <c r="V2302" t="s">
        <v>39376</v>
      </c>
      <c r="W2302" t="s">
        <v>39377</v>
      </c>
      <c r="X2302" t="s">
        <v>39378</v>
      </c>
      <c r="Y2302" t="s">
        <v>39379</v>
      </c>
      <c r="Z2302" t="s">
        <v>39380</v>
      </c>
      <c r="AA2302" t="s">
        <v>39381</v>
      </c>
      <c r="AB2302" t="s">
        <v>39382</v>
      </c>
      <c r="AC2302" t="s">
        <v>39383</v>
      </c>
      <c r="AD2302" t="s">
        <v>39384</v>
      </c>
      <c r="AE2302" t="s">
        <v>39385</v>
      </c>
      <c r="AF2302" t="s">
        <v>74</v>
      </c>
      <c r="AG2302">
        <v>189</v>
      </c>
      <c r="AH2302">
        <v>60</v>
      </c>
      <c r="AI2302">
        <v>59</v>
      </c>
      <c r="AJ2302">
        <v>6</v>
      </c>
      <c r="AK2302">
        <v>40</v>
      </c>
      <c r="AL2302" t="s">
        <v>543</v>
      </c>
      <c r="AM2302" t="s">
        <v>544</v>
      </c>
      <c r="AN2302" t="s">
        <v>545</v>
      </c>
      <c r="AO2302" t="s">
        <v>2821</v>
      </c>
      <c r="AP2302" t="s">
        <v>74</v>
      </c>
      <c r="AQ2302" t="s">
        <v>74</v>
      </c>
      <c r="AR2302" t="s">
        <v>2822</v>
      </c>
      <c r="AS2302" t="s">
        <v>2823</v>
      </c>
      <c r="AT2302" t="s">
        <v>6315</v>
      </c>
      <c r="AU2302">
        <v>2021</v>
      </c>
      <c r="AV2302">
        <v>23</v>
      </c>
      <c r="AW2302">
        <v>11</v>
      </c>
      <c r="AX2302" t="s">
        <v>74</v>
      </c>
      <c r="AY2302" t="s">
        <v>74</v>
      </c>
      <c r="AZ2302" t="s">
        <v>74</v>
      </c>
      <c r="BA2302" t="s">
        <v>74</v>
      </c>
      <c r="BB2302" t="s">
        <v>74</v>
      </c>
      <c r="BC2302" t="s">
        <v>74</v>
      </c>
      <c r="BD2302" t="s">
        <v>39386</v>
      </c>
      <c r="BE2302" t="s">
        <v>39387</v>
      </c>
      <c r="BF2302" t="str">
        <f>HYPERLINK("http://dx.doi.org/10.2196/25770","http://dx.doi.org/10.2196/25770")</f>
        <v>http://dx.doi.org/10.2196/25770</v>
      </c>
      <c r="BG2302" t="s">
        <v>74</v>
      </c>
      <c r="BH2302" t="s">
        <v>74</v>
      </c>
      <c r="BI2302">
        <v>25</v>
      </c>
      <c r="BJ2302" t="s">
        <v>550</v>
      </c>
      <c r="BK2302" t="s">
        <v>182</v>
      </c>
      <c r="BL2302" t="s">
        <v>550</v>
      </c>
      <c r="BM2302" t="s">
        <v>39388</v>
      </c>
      <c r="BN2302">
        <v>34662284</v>
      </c>
      <c r="BO2302" t="s">
        <v>394</v>
      </c>
      <c r="BP2302" t="s">
        <v>74</v>
      </c>
      <c r="BQ2302" t="s">
        <v>74</v>
      </c>
      <c r="BR2302" t="s">
        <v>102</v>
      </c>
      <c r="BS2302" t="s">
        <v>39389</v>
      </c>
      <c r="BT2302" t="str">
        <f>HYPERLINK("https%3A%2F%2Fwww.webofscience.com%2Fwos%2Fwoscc%2Ffull-record%2FWOS:000726111900004","View Full Record in Web of Science")</f>
        <v>View Full Record in Web of Science</v>
      </c>
    </row>
    <row r="2303" spans="1:72" x14ac:dyDescent="0.35">
      <c r="A2303" t="s">
        <v>72</v>
      </c>
      <c r="B2303" t="s">
        <v>39390</v>
      </c>
      <c r="C2303" t="s">
        <v>74</v>
      </c>
      <c r="D2303" t="s">
        <v>74</v>
      </c>
      <c r="E2303" t="s">
        <v>74</v>
      </c>
      <c r="F2303" t="s">
        <v>39391</v>
      </c>
      <c r="G2303" t="s">
        <v>74</v>
      </c>
      <c r="H2303" t="s">
        <v>74</v>
      </c>
      <c r="I2303" t="s">
        <v>39392</v>
      </c>
      <c r="J2303" t="s">
        <v>37802</v>
      </c>
      <c r="K2303" t="s">
        <v>74</v>
      </c>
      <c r="L2303" t="s">
        <v>74</v>
      </c>
      <c r="M2303" t="s">
        <v>78</v>
      </c>
      <c r="N2303" t="s">
        <v>108</v>
      </c>
      <c r="O2303" t="s">
        <v>74</v>
      </c>
      <c r="P2303" t="s">
        <v>74</v>
      </c>
      <c r="Q2303" t="s">
        <v>74</v>
      </c>
      <c r="R2303" t="s">
        <v>74</v>
      </c>
      <c r="S2303" t="s">
        <v>74</v>
      </c>
      <c r="T2303" t="s">
        <v>39393</v>
      </c>
      <c r="U2303" t="s">
        <v>74</v>
      </c>
      <c r="V2303" t="s">
        <v>39394</v>
      </c>
      <c r="W2303" t="s">
        <v>39395</v>
      </c>
      <c r="X2303" t="s">
        <v>39396</v>
      </c>
      <c r="Y2303" t="s">
        <v>39397</v>
      </c>
      <c r="Z2303" t="s">
        <v>38179</v>
      </c>
      <c r="AA2303" t="s">
        <v>74</v>
      </c>
      <c r="AB2303" t="s">
        <v>74</v>
      </c>
      <c r="AC2303" t="s">
        <v>39398</v>
      </c>
      <c r="AD2303" t="s">
        <v>39399</v>
      </c>
      <c r="AE2303" t="s">
        <v>39400</v>
      </c>
      <c r="AF2303" t="s">
        <v>74</v>
      </c>
      <c r="AG2303">
        <v>34</v>
      </c>
      <c r="AH2303">
        <v>0</v>
      </c>
      <c r="AI2303">
        <v>0</v>
      </c>
      <c r="AJ2303">
        <v>0</v>
      </c>
      <c r="AK2303">
        <v>0</v>
      </c>
      <c r="AL2303" t="s">
        <v>18547</v>
      </c>
      <c r="AM2303" t="s">
        <v>18548</v>
      </c>
      <c r="AN2303" t="s">
        <v>18549</v>
      </c>
      <c r="AO2303" t="s">
        <v>37811</v>
      </c>
      <c r="AP2303" t="s">
        <v>37812</v>
      </c>
      <c r="AQ2303" t="s">
        <v>74</v>
      </c>
      <c r="AR2303" t="s">
        <v>37813</v>
      </c>
      <c r="AS2303" t="s">
        <v>37814</v>
      </c>
      <c r="AT2303" t="s">
        <v>297</v>
      </c>
      <c r="AU2303">
        <v>2024</v>
      </c>
      <c r="AV2303">
        <v>90</v>
      </c>
      <c r="AW2303" t="s">
        <v>74</v>
      </c>
      <c r="AX2303" t="s">
        <v>74</v>
      </c>
      <c r="AY2303" t="s">
        <v>74</v>
      </c>
      <c r="AZ2303" t="s">
        <v>74</v>
      </c>
      <c r="BA2303" t="s">
        <v>74</v>
      </c>
      <c r="BB2303" t="s">
        <v>74</v>
      </c>
      <c r="BC2303" t="s">
        <v>74</v>
      </c>
      <c r="BD2303" t="s">
        <v>74</v>
      </c>
      <c r="BE2303" t="s">
        <v>39401</v>
      </c>
      <c r="BF2303" t="str">
        <f>HYPERLINK("http://dx.doi.org/10.17223/19986645/90/3","http://dx.doi.org/10.17223/19986645/90/3")</f>
        <v>http://dx.doi.org/10.17223/19986645/90/3</v>
      </c>
      <c r="BG2303" t="s">
        <v>74</v>
      </c>
      <c r="BH2303" t="s">
        <v>74</v>
      </c>
      <c r="BI2303">
        <v>324</v>
      </c>
      <c r="BJ2303" t="s">
        <v>3284</v>
      </c>
      <c r="BK2303" t="s">
        <v>125</v>
      </c>
      <c r="BL2303" t="s">
        <v>3285</v>
      </c>
      <c r="BM2303" t="s">
        <v>39402</v>
      </c>
      <c r="BN2303" t="s">
        <v>74</v>
      </c>
      <c r="BO2303" t="s">
        <v>74</v>
      </c>
      <c r="BP2303" t="s">
        <v>74</v>
      </c>
      <c r="BQ2303" t="s">
        <v>74</v>
      </c>
      <c r="BR2303" t="s">
        <v>102</v>
      </c>
      <c r="BS2303" t="s">
        <v>39403</v>
      </c>
      <c r="BT2303" t="str">
        <f>HYPERLINK("https%3A%2F%2Fwww.webofscience.com%2Fwos%2Fwoscc%2Ffull-record%2FWOS:001334732700003","View Full Record in Web of Science")</f>
        <v>View Full Record in Web of Science</v>
      </c>
    </row>
    <row r="2304" spans="1:72" x14ac:dyDescent="0.35">
      <c r="A2304" t="s">
        <v>72</v>
      </c>
      <c r="B2304" t="s">
        <v>39404</v>
      </c>
      <c r="C2304" t="s">
        <v>74</v>
      </c>
      <c r="D2304" t="s">
        <v>74</v>
      </c>
      <c r="E2304" t="s">
        <v>74</v>
      </c>
      <c r="F2304" t="s">
        <v>39405</v>
      </c>
      <c r="G2304" t="s">
        <v>74</v>
      </c>
      <c r="H2304" t="s">
        <v>74</v>
      </c>
      <c r="I2304" t="s">
        <v>39406</v>
      </c>
      <c r="J2304" t="s">
        <v>39407</v>
      </c>
      <c r="K2304" t="s">
        <v>74</v>
      </c>
      <c r="L2304" t="s">
        <v>74</v>
      </c>
      <c r="M2304" t="s">
        <v>78</v>
      </c>
      <c r="N2304" t="s">
        <v>108</v>
      </c>
      <c r="O2304" t="s">
        <v>74</v>
      </c>
      <c r="P2304" t="s">
        <v>74</v>
      </c>
      <c r="Q2304" t="s">
        <v>74</v>
      </c>
      <c r="R2304" t="s">
        <v>74</v>
      </c>
      <c r="S2304" t="s">
        <v>74</v>
      </c>
      <c r="T2304" t="s">
        <v>39408</v>
      </c>
      <c r="U2304" t="s">
        <v>39409</v>
      </c>
      <c r="V2304" t="s">
        <v>39410</v>
      </c>
      <c r="W2304" t="s">
        <v>39411</v>
      </c>
      <c r="X2304" t="s">
        <v>39412</v>
      </c>
      <c r="Y2304" t="s">
        <v>39413</v>
      </c>
      <c r="Z2304" t="s">
        <v>39414</v>
      </c>
      <c r="AA2304" t="s">
        <v>39415</v>
      </c>
      <c r="AB2304" t="s">
        <v>39416</v>
      </c>
      <c r="AC2304" t="s">
        <v>39417</v>
      </c>
      <c r="AD2304" t="s">
        <v>39418</v>
      </c>
      <c r="AE2304" t="s">
        <v>39419</v>
      </c>
      <c r="AF2304" t="s">
        <v>74</v>
      </c>
      <c r="AG2304">
        <v>53</v>
      </c>
      <c r="AH2304">
        <v>1</v>
      </c>
      <c r="AI2304">
        <v>1</v>
      </c>
      <c r="AJ2304">
        <v>4</v>
      </c>
      <c r="AK2304">
        <v>12</v>
      </c>
      <c r="AL2304" t="s">
        <v>543</v>
      </c>
      <c r="AM2304" t="s">
        <v>544</v>
      </c>
      <c r="AN2304" t="s">
        <v>545</v>
      </c>
      <c r="AO2304" t="s">
        <v>39420</v>
      </c>
      <c r="AP2304" t="s">
        <v>74</v>
      </c>
      <c r="AQ2304" t="s">
        <v>74</v>
      </c>
      <c r="AR2304" t="s">
        <v>39421</v>
      </c>
      <c r="AS2304" t="s">
        <v>39422</v>
      </c>
      <c r="AT2304" t="s">
        <v>30330</v>
      </c>
      <c r="AU2304">
        <v>2022</v>
      </c>
      <c r="AV2304">
        <v>9</v>
      </c>
      <c r="AW2304">
        <v>12</v>
      </c>
      <c r="AX2304" t="s">
        <v>74</v>
      </c>
      <c r="AY2304" t="s">
        <v>74</v>
      </c>
      <c r="AZ2304" t="s">
        <v>74</v>
      </c>
      <c r="BA2304" t="s">
        <v>74</v>
      </c>
      <c r="BB2304" t="s">
        <v>74</v>
      </c>
      <c r="BC2304" t="s">
        <v>74</v>
      </c>
      <c r="BD2304" t="s">
        <v>39423</v>
      </c>
      <c r="BE2304" t="s">
        <v>39424</v>
      </c>
      <c r="BF2304" t="str">
        <f>HYPERLINK("http://dx.doi.org/10.2196/39747","http://dx.doi.org/10.2196/39747")</f>
        <v>http://dx.doi.org/10.2196/39747</v>
      </c>
      <c r="BG2304" t="s">
        <v>74</v>
      </c>
      <c r="BH2304" t="s">
        <v>74</v>
      </c>
      <c r="BI2304">
        <v>17</v>
      </c>
      <c r="BJ2304" t="s">
        <v>1847</v>
      </c>
      <c r="BK2304" t="s">
        <v>209</v>
      </c>
      <c r="BL2304" t="s">
        <v>1847</v>
      </c>
      <c r="BM2304" t="s">
        <v>39425</v>
      </c>
      <c r="BN2304">
        <v>36583932</v>
      </c>
      <c r="BO2304" t="s">
        <v>552</v>
      </c>
      <c r="BP2304" t="s">
        <v>74</v>
      </c>
      <c r="BQ2304" t="s">
        <v>74</v>
      </c>
      <c r="BR2304" t="s">
        <v>102</v>
      </c>
      <c r="BS2304" t="s">
        <v>39426</v>
      </c>
      <c r="BT2304" t="str">
        <f>HYPERLINK("https%3A%2F%2Fwww.webofscience.com%2Fwos%2Fwoscc%2Ffull-record%2FWOS:000953079900002","View Full Record in Web of Science")</f>
        <v>View Full Record in Web of Science</v>
      </c>
    </row>
    <row r="2305" spans="1:72" x14ac:dyDescent="0.35">
      <c r="A2305" t="s">
        <v>72</v>
      </c>
      <c r="B2305" t="s">
        <v>39427</v>
      </c>
      <c r="C2305" t="s">
        <v>74</v>
      </c>
      <c r="D2305" t="s">
        <v>74</v>
      </c>
      <c r="E2305" t="s">
        <v>74</v>
      </c>
      <c r="F2305" t="s">
        <v>39428</v>
      </c>
      <c r="G2305" t="s">
        <v>74</v>
      </c>
      <c r="H2305" t="s">
        <v>74</v>
      </c>
      <c r="I2305" t="s">
        <v>39429</v>
      </c>
      <c r="J2305" t="s">
        <v>39430</v>
      </c>
      <c r="K2305" t="s">
        <v>74</v>
      </c>
      <c r="L2305" t="s">
        <v>74</v>
      </c>
      <c r="M2305" t="s">
        <v>78</v>
      </c>
      <c r="N2305" t="s">
        <v>108</v>
      </c>
      <c r="O2305" t="s">
        <v>74</v>
      </c>
      <c r="P2305" t="s">
        <v>74</v>
      </c>
      <c r="Q2305" t="s">
        <v>74</v>
      </c>
      <c r="R2305" t="s">
        <v>74</v>
      </c>
      <c r="S2305" t="s">
        <v>74</v>
      </c>
      <c r="T2305" t="s">
        <v>39431</v>
      </c>
      <c r="U2305" t="s">
        <v>74</v>
      </c>
      <c r="V2305" t="s">
        <v>39432</v>
      </c>
      <c r="W2305" t="s">
        <v>39433</v>
      </c>
      <c r="X2305" t="s">
        <v>39434</v>
      </c>
      <c r="Y2305" t="s">
        <v>39435</v>
      </c>
      <c r="Z2305" t="s">
        <v>39436</v>
      </c>
      <c r="AA2305" t="s">
        <v>39437</v>
      </c>
      <c r="AB2305" t="s">
        <v>39438</v>
      </c>
      <c r="AC2305" t="s">
        <v>39439</v>
      </c>
      <c r="AD2305" t="s">
        <v>39439</v>
      </c>
      <c r="AE2305" t="s">
        <v>39440</v>
      </c>
      <c r="AF2305" t="s">
        <v>74</v>
      </c>
      <c r="AG2305">
        <v>12</v>
      </c>
      <c r="AH2305">
        <v>2</v>
      </c>
      <c r="AI2305">
        <v>2</v>
      </c>
      <c r="AJ2305">
        <v>1</v>
      </c>
      <c r="AK2305">
        <v>2</v>
      </c>
      <c r="AL2305" t="s">
        <v>39441</v>
      </c>
      <c r="AM2305" t="s">
        <v>39442</v>
      </c>
      <c r="AN2305" t="s">
        <v>39443</v>
      </c>
      <c r="AO2305" t="s">
        <v>39444</v>
      </c>
      <c r="AP2305" t="s">
        <v>74</v>
      </c>
      <c r="AQ2305" t="s">
        <v>74</v>
      </c>
      <c r="AR2305" t="s">
        <v>39430</v>
      </c>
      <c r="AS2305" t="s">
        <v>39445</v>
      </c>
      <c r="AT2305" t="s">
        <v>594</v>
      </c>
      <c r="AU2305">
        <v>2022</v>
      </c>
      <c r="AV2305">
        <v>25</v>
      </c>
      <c r="AW2305">
        <v>7</v>
      </c>
      <c r="AX2305" t="s">
        <v>74</v>
      </c>
      <c r="AY2305" t="s">
        <v>74</v>
      </c>
      <c r="AZ2305" t="s">
        <v>74</v>
      </c>
      <c r="BA2305" t="s">
        <v>74</v>
      </c>
      <c r="BB2305" t="s">
        <v>39446</v>
      </c>
      <c r="BC2305" t="s">
        <v>39447</v>
      </c>
      <c r="BD2305" t="s">
        <v>74</v>
      </c>
      <c r="BE2305" t="s">
        <v>74</v>
      </c>
      <c r="BF2305" t="s">
        <v>74</v>
      </c>
      <c r="BG2305" t="s">
        <v>74</v>
      </c>
      <c r="BH2305" t="s">
        <v>74</v>
      </c>
      <c r="BI2305">
        <v>5</v>
      </c>
      <c r="BJ2305" t="s">
        <v>39448</v>
      </c>
      <c r="BK2305" t="s">
        <v>209</v>
      </c>
      <c r="BL2305" t="s">
        <v>39449</v>
      </c>
      <c r="BM2305" t="s">
        <v>39450</v>
      </c>
      <c r="BN2305">
        <v>36288587</v>
      </c>
      <c r="BO2305" t="s">
        <v>74</v>
      </c>
      <c r="BP2305" t="s">
        <v>74</v>
      </c>
      <c r="BQ2305" t="s">
        <v>74</v>
      </c>
      <c r="BR2305" t="s">
        <v>102</v>
      </c>
      <c r="BS2305" t="s">
        <v>39451</v>
      </c>
      <c r="BT2305" t="str">
        <f>HYPERLINK("https%3A%2F%2Fwww.webofscience.com%2Fwos%2Fwoscc%2Ffull-record%2FWOS:000886557300011","View Full Record in Web of Science")</f>
        <v>View Full Record in Web of Science</v>
      </c>
    </row>
    <row r="2306" spans="1:72" x14ac:dyDescent="0.35">
      <c r="A2306" t="s">
        <v>72</v>
      </c>
      <c r="B2306" t="s">
        <v>39452</v>
      </c>
      <c r="C2306" t="s">
        <v>74</v>
      </c>
      <c r="D2306" t="s">
        <v>74</v>
      </c>
      <c r="E2306" t="s">
        <v>74</v>
      </c>
      <c r="F2306" t="s">
        <v>39453</v>
      </c>
      <c r="G2306" t="s">
        <v>74</v>
      </c>
      <c r="H2306" t="s">
        <v>74</v>
      </c>
      <c r="I2306" t="s">
        <v>39454</v>
      </c>
      <c r="J2306" t="s">
        <v>2814</v>
      </c>
      <c r="K2306" t="s">
        <v>74</v>
      </c>
      <c r="L2306" t="s">
        <v>74</v>
      </c>
      <c r="M2306" t="s">
        <v>78</v>
      </c>
      <c r="N2306" t="s">
        <v>108</v>
      </c>
      <c r="O2306" t="s">
        <v>74</v>
      </c>
      <c r="P2306" t="s">
        <v>74</v>
      </c>
      <c r="Q2306" t="s">
        <v>74</v>
      </c>
      <c r="R2306" t="s">
        <v>74</v>
      </c>
      <c r="S2306" t="s">
        <v>74</v>
      </c>
      <c r="T2306" t="s">
        <v>39455</v>
      </c>
      <c r="U2306" t="s">
        <v>39456</v>
      </c>
      <c r="V2306" t="s">
        <v>39457</v>
      </c>
      <c r="W2306" t="s">
        <v>39458</v>
      </c>
      <c r="X2306" t="s">
        <v>39459</v>
      </c>
      <c r="Y2306" t="s">
        <v>39460</v>
      </c>
      <c r="Z2306" t="s">
        <v>39461</v>
      </c>
      <c r="AA2306" t="s">
        <v>39462</v>
      </c>
      <c r="AB2306" t="s">
        <v>39463</v>
      </c>
      <c r="AC2306" t="s">
        <v>74</v>
      </c>
      <c r="AD2306" t="s">
        <v>74</v>
      </c>
      <c r="AE2306" t="s">
        <v>74</v>
      </c>
      <c r="AF2306" t="s">
        <v>74</v>
      </c>
      <c r="AG2306">
        <v>94</v>
      </c>
      <c r="AH2306">
        <v>0</v>
      </c>
      <c r="AI2306">
        <v>0</v>
      </c>
      <c r="AJ2306">
        <v>6</v>
      </c>
      <c r="AK2306">
        <v>6</v>
      </c>
      <c r="AL2306" t="s">
        <v>543</v>
      </c>
      <c r="AM2306" t="s">
        <v>544</v>
      </c>
      <c r="AN2306" t="s">
        <v>545</v>
      </c>
      <c r="AO2306" t="s">
        <v>2821</v>
      </c>
      <c r="AP2306" t="s">
        <v>74</v>
      </c>
      <c r="AQ2306" t="s">
        <v>74</v>
      </c>
      <c r="AR2306" t="s">
        <v>2822</v>
      </c>
      <c r="AS2306" t="s">
        <v>2823</v>
      </c>
      <c r="AT2306" t="s">
        <v>6258</v>
      </c>
      <c r="AU2306">
        <v>2024</v>
      </c>
      <c r="AV2306">
        <v>26</v>
      </c>
      <c r="AW2306" t="s">
        <v>74</v>
      </c>
      <c r="AX2306" t="s">
        <v>74</v>
      </c>
      <c r="AY2306" t="s">
        <v>74</v>
      </c>
      <c r="AZ2306" t="s">
        <v>74</v>
      </c>
      <c r="BA2306" t="s">
        <v>74</v>
      </c>
      <c r="BB2306" t="s">
        <v>74</v>
      </c>
      <c r="BC2306" t="s">
        <v>74</v>
      </c>
      <c r="BD2306" t="s">
        <v>39464</v>
      </c>
      <c r="BE2306" t="s">
        <v>39465</v>
      </c>
      <c r="BF2306" t="str">
        <f>HYPERLINK("http://dx.doi.org/10.2196/62790","http://dx.doi.org/10.2196/62790")</f>
        <v>http://dx.doi.org/10.2196/62790</v>
      </c>
      <c r="BG2306" t="s">
        <v>74</v>
      </c>
      <c r="BH2306" t="s">
        <v>74</v>
      </c>
      <c r="BI2306">
        <v>14</v>
      </c>
      <c r="BJ2306" t="s">
        <v>550</v>
      </c>
      <c r="BK2306" t="s">
        <v>209</v>
      </c>
      <c r="BL2306" t="s">
        <v>550</v>
      </c>
      <c r="BM2306" t="s">
        <v>39466</v>
      </c>
      <c r="BN2306">
        <v>39331463</v>
      </c>
      <c r="BO2306" t="s">
        <v>235</v>
      </c>
      <c r="BP2306" t="s">
        <v>74</v>
      </c>
      <c r="BQ2306" t="s">
        <v>74</v>
      </c>
      <c r="BR2306" t="s">
        <v>102</v>
      </c>
      <c r="BS2306" t="s">
        <v>39467</v>
      </c>
      <c r="BT2306" t="str">
        <f>HYPERLINK("https%3A%2F%2Fwww.webofscience.com%2Fwos%2Fwoscc%2Ffull-record%2FWOS:001326834000001","View Full Record in Web of Science")</f>
        <v>View Full Record in Web of Science</v>
      </c>
    </row>
    <row r="2307" spans="1:72" x14ac:dyDescent="0.35">
      <c r="A2307" t="s">
        <v>72</v>
      </c>
      <c r="B2307" t="s">
        <v>39468</v>
      </c>
      <c r="C2307" t="s">
        <v>74</v>
      </c>
      <c r="D2307" t="s">
        <v>74</v>
      </c>
      <c r="E2307" t="s">
        <v>74</v>
      </c>
      <c r="F2307" t="s">
        <v>39469</v>
      </c>
      <c r="G2307" t="s">
        <v>74</v>
      </c>
      <c r="H2307" t="s">
        <v>74</v>
      </c>
      <c r="I2307" t="s">
        <v>39470</v>
      </c>
      <c r="J2307" t="s">
        <v>531</v>
      </c>
      <c r="K2307" t="s">
        <v>74</v>
      </c>
      <c r="L2307" t="s">
        <v>74</v>
      </c>
      <c r="M2307" t="s">
        <v>78</v>
      </c>
      <c r="N2307" t="s">
        <v>108</v>
      </c>
      <c r="O2307" t="s">
        <v>74</v>
      </c>
      <c r="P2307" t="s">
        <v>74</v>
      </c>
      <c r="Q2307" t="s">
        <v>74</v>
      </c>
      <c r="R2307" t="s">
        <v>74</v>
      </c>
      <c r="S2307" t="s">
        <v>74</v>
      </c>
      <c r="T2307" t="s">
        <v>39471</v>
      </c>
      <c r="U2307" t="s">
        <v>39472</v>
      </c>
      <c r="V2307" t="s">
        <v>39473</v>
      </c>
      <c r="W2307" t="s">
        <v>39474</v>
      </c>
      <c r="X2307" t="s">
        <v>39475</v>
      </c>
      <c r="Y2307" t="s">
        <v>39476</v>
      </c>
      <c r="Z2307" t="s">
        <v>39477</v>
      </c>
      <c r="AA2307" t="s">
        <v>39478</v>
      </c>
      <c r="AB2307" t="s">
        <v>39479</v>
      </c>
      <c r="AC2307" t="s">
        <v>74</v>
      </c>
      <c r="AD2307" t="s">
        <v>74</v>
      </c>
      <c r="AE2307" t="s">
        <v>39480</v>
      </c>
      <c r="AF2307" t="s">
        <v>74</v>
      </c>
      <c r="AG2307">
        <v>45</v>
      </c>
      <c r="AH2307">
        <v>1</v>
      </c>
      <c r="AI2307">
        <v>1</v>
      </c>
      <c r="AJ2307">
        <v>0</v>
      </c>
      <c r="AK2307">
        <v>0</v>
      </c>
      <c r="AL2307" t="s">
        <v>543</v>
      </c>
      <c r="AM2307" t="s">
        <v>544</v>
      </c>
      <c r="AN2307" t="s">
        <v>545</v>
      </c>
      <c r="AO2307" t="s">
        <v>74</v>
      </c>
      <c r="AP2307" t="s">
        <v>546</v>
      </c>
      <c r="AQ2307" t="s">
        <v>74</v>
      </c>
      <c r="AR2307" t="s">
        <v>547</v>
      </c>
      <c r="AS2307" t="s">
        <v>548</v>
      </c>
      <c r="AT2307" t="s">
        <v>74</v>
      </c>
      <c r="AU2307">
        <v>2024</v>
      </c>
      <c r="AV2307">
        <v>8</v>
      </c>
      <c r="AW2307" t="s">
        <v>74</v>
      </c>
      <c r="AX2307" t="s">
        <v>74</v>
      </c>
      <c r="AY2307" t="s">
        <v>74</v>
      </c>
      <c r="AZ2307" t="s">
        <v>74</v>
      </c>
      <c r="BA2307" t="s">
        <v>74</v>
      </c>
      <c r="BB2307" t="s">
        <v>74</v>
      </c>
      <c r="BC2307" t="s">
        <v>74</v>
      </c>
      <c r="BD2307" t="s">
        <v>39481</v>
      </c>
      <c r="BE2307" t="s">
        <v>39482</v>
      </c>
      <c r="BF2307" t="str">
        <f>HYPERLINK("http://dx.doi.org/10.2196/52842","http://dx.doi.org/10.2196/52842")</f>
        <v>http://dx.doi.org/10.2196/52842</v>
      </c>
      <c r="BG2307" t="s">
        <v>74</v>
      </c>
      <c r="BH2307" t="s">
        <v>74</v>
      </c>
      <c r="BI2307">
        <v>9</v>
      </c>
      <c r="BJ2307" t="s">
        <v>550</v>
      </c>
      <c r="BK2307" t="s">
        <v>125</v>
      </c>
      <c r="BL2307" t="s">
        <v>550</v>
      </c>
      <c r="BM2307" t="s">
        <v>19120</v>
      </c>
      <c r="BN2307">
        <v>39018099</v>
      </c>
      <c r="BO2307" t="s">
        <v>552</v>
      </c>
      <c r="BP2307" t="s">
        <v>74</v>
      </c>
      <c r="BQ2307" t="s">
        <v>74</v>
      </c>
      <c r="BR2307" t="s">
        <v>102</v>
      </c>
      <c r="BS2307" t="s">
        <v>39483</v>
      </c>
      <c r="BT2307" t="str">
        <f>HYPERLINK("https%3A%2F%2Fwww.webofscience.com%2Fwos%2Fwoscc%2Ffull-record%2FWOS:001303612400026","View Full Record in Web of Science")</f>
        <v>View Full Record in Web of Science</v>
      </c>
    </row>
    <row r="2308" spans="1:72" x14ac:dyDescent="0.35">
      <c r="A2308" t="s">
        <v>72</v>
      </c>
      <c r="B2308" t="s">
        <v>39484</v>
      </c>
      <c r="C2308" t="s">
        <v>74</v>
      </c>
      <c r="D2308" t="s">
        <v>74</v>
      </c>
      <c r="E2308" t="s">
        <v>74</v>
      </c>
      <c r="F2308" t="s">
        <v>39485</v>
      </c>
      <c r="G2308" t="s">
        <v>74</v>
      </c>
      <c r="H2308" t="s">
        <v>74</v>
      </c>
      <c r="I2308" t="s">
        <v>39486</v>
      </c>
      <c r="J2308" t="s">
        <v>531</v>
      </c>
      <c r="K2308" t="s">
        <v>74</v>
      </c>
      <c r="L2308" t="s">
        <v>74</v>
      </c>
      <c r="M2308" t="s">
        <v>78</v>
      </c>
      <c r="N2308" t="s">
        <v>108</v>
      </c>
      <c r="O2308" t="s">
        <v>74</v>
      </c>
      <c r="P2308" t="s">
        <v>74</v>
      </c>
      <c r="Q2308" t="s">
        <v>74</v>
      </c>
      <c r="R2308" t="s">
        <v>74</v>
      </c>
      <c r="S2308" t="s">
        <v>74</v>
      </c>
      <c r="T2308" t="s">
        <v>39487</v>
      </c>
      <c r="U2308" t="s">
        <v>39488</v>
      </c>
      <c r="V2308" t="s">
        <v>39489</v>
      </c>
      <c r="W2308" t="s">
        <v>39490</v>
      </c>
      <c r="X2308" t="s">
        <v>39491</v>
      </c>
      <c r="Y2308" t="s">
        <v>39492</v>
      </c>
      <c r="Z2308" t="s">
        <v>39493</v>
      </c>
      <c r="AA2308" t="s">
        <v>74</v>
      </c>
      <c r="AB2308" t="s">
        <v>39494</v>
      </c>
      <c r="AC2308" t="s">
        <v>74</v>
      </c>
      <c r="AD2308" t="s">
        <v>74</v>
      </c>
      <c r="AE2308" t="s">
        <v>74</v>
      </c>
      <c r="AF2308" t="s">
        <v>74</v>
      </c>
      <c r="AG2308">
        <v>48</v>
      </c>
      <c r="AH2308">
        <v>1</v>
      </c>
      <c r="AI2308">
        <v>1</v>
      </c>
      <c r="AJ2308">
        <v>8</v>
      </c>
      <c r="AK2308">
        <v>22</v>
      </c>
      <c r="AL2308" t="s">
        <v>543</v>
      </c>
      <c r="AM2308" t="s">
        <v>544</v>
      </c>
      <c r="AN2308" t="s">
        <v>545</v>
      </c>
      <c r="AO2308" t="s">
        <v>74</v>
      </c>
      <c r="AP2308" t="s">
        <v>546</v>
      </c>
      <c r="AQ2308" t="s">
        <v>74</v>
      </c>
      <c r="AR2308" t="s">
        <v>547</v>
      </c>
      <c r="AS2308" t="s">
        <v>548</v>
      </c>
      <c r="AT2308" t="s">
        <v>74</v>
      </c>
      <c r="AU2308">
        <v>2023</v>
      </c>
      <c r="AV2308">
        <v>7</v>
      </c>
      <c r="AW2308" t="s">
        <v>74</v>
      </c>
      <c r="AX2308" t="s">
        <v>74</v>
      </c>
      <c r="AY2308" t="s">
        <v>74</v>
      </c>
      <c r="AZ2308" t="s">
        <v>74</v>
      </c>
      <c r="BA2308" t="s">
        <v>74</v>
      </c>
      <c r="BB2308" t="s">
        <v>74</v>
      </c>
      <c r="BC2308" t="s">
        <v>74</v>
      </c>
      <c r="BD2308" t="s">
        <v>39495</v>
      </c>
      <c r="BE2308" t="s">
        <v>39496</v>
      </c>
      <c r="BF2308" t="str">
        <f>HYPERLINK("http://dx.doi.org/10.2196/49998","http://dx.doi.org/10.2196/49998")</f>
        <v>http://dx.doi.org/10.2196/49998</v>
      </c>
      <c r="BG2308" t="s">
        <v>74</v>
      </c>
      <c r="BH2308" t="s">
        <v>74</v>
      </c>
      <c r="BI2308">
        <v>16</v>
      </c>
      <c r="BJ2308" t="s">
        <v>550</v>
      </c>
      <c r="BK2308" t="s">
        <v>125</v>
      </c>
      <c r="BL2308" t="s">
        <v>550</v>
      </c>
      <c r="BM2308" t="s">
        <v>39497</v>
      </c>
      <c r="BN2308">
        <v>37792468</v>
      </c>
      <c r="BO2308" t="s">
        <v>2703</v>
      </c>
      <c r="BP2308" t="s">
        <v>74</v>
      </c>
      <c r="BQ2308" t="s">
        <v>74</v>
      </c>
      <c r="BR2308" t="s">
        <v>102</v>
      </c>
      <c r="BS2308" t="s">
        <v>39498</v>
      </c>
      <c r="BT2308" t="str">
        <f>HYPERLINK("https%3A%2F%2Fwww.webofscience.com%2Fwos%2Fwoscc%2Ffull-record%2FWOS:001086144400002","View Full Record in Web of Science")</f>
        <v>View Full Record in Web of Science</v>
      </c>
    </row>
    <row r="2309" spans="1:72" x14ac:dyDescent="0.35">
      <c r="A2309" t="s">
        <v>72</v>
      </c>
      <c r="B2309" t="s">
        <v>39499</v>
      </c>
      <c r="C2309" t="s">
        <v>74</v>
      </c>
      <c r="D2309" t="s">
        <v>74</v>
      </c>
      <c r="E2309" t="s">
        <v>74</v>
      </c>
      <c r="F2309" t="s">
        <v>39500</v>
      </c>
      <c r="G2309" t="s">
        <v>74</v>
      </c>
      <c r="H2309" t="s">
        <v>74</v>
      </c>
      <c r="I2309" t="s">
        <v>39501</v>
      </c>
      <c r="J2309" t="s">
        <v>13056</v>
      </c>
      <c r="K2309" t="s">
        <v>74</v>
      </c>
      <c r="L2309" t="s">
        <v>74</v>
      </c>
      <c r="M2309" t="s">
        <v>78</v>
      </c>
      <c r="N2309" t="s">
        <v>108</v>
      </c>
      <c r="O2309" t="s">
        <v>74</v>
      </c>
      <c r="P2309" t="s">
        <v>74</v>
      </c>
      <c r="Q2309" t="s">
        <v>74</v>
      </c>
      <c r="R2309" t="s">
        <v>74</v>
      </c>
      <c r="S2309" t="s">
        <v>74</v>
      </c>
      <c r="T2309" t="s">
        <v>39502</v>
      </c>
      <c r="U2309" t="s">
        <v>39503</v>
      </c>
      <c r="V2309" t="s">
        <v>39504</v>
      </c>
      <c r="W2309" t="s">
        <v>39505</v>
      </c>
      <c r="X2309" t="s">
        <v>39506</v>
      </c>
      <c r="Y2309" t="s">
        <v>39507</v>
      </c>
      <c r="Z2309" t="s">
        <v>37900</v>
      </c>
      <c r="AA2309" t="s">
        <v>39508</v>
      </c>
      <c r="AB2309" t="s">
        <v>39509</v>
      </c>
      <c r="AC2309" t="s">
        <v>39510</v>
      </c>
      <c r="AD2309" t="s">
        <v>39511</v>
      </c>
      <c r="AE2309" t="s">
        <v>39512</v>
      </c>
      <c r="AF2309" t="s">
        <v>74</v>
      </c>
      <c r="AG2309">
        <v>55</v>
      </c>
      <c r="AH2309">
        <v>21</v>
      </c>
      <c r="AI2309">
        <v>21</v>
      </c>
      <c r="AJ2309">
        <v>3</v>
      </c>
      <c r="AK2309">
        <v>47</v>
      </c>
      <c r="AL2309" t="s">
        <v>543</v>
      </c>
      <c r="AM2309" t="s">
        <v>544</v>
      </c>
      <c r="AN2309" t="s">
        <v>545</v>
      </c>
      <c r="AO2309" t="s">
        <v>13064</v>
      </c>
      <c r="AP2309" t="s">
        <v>74</v>
      </c>
      <c r="AQ2309" t="s">
        <v>74</v>
      </c>
      <c r="AR2309" t="s">
        <v>13065</v>
      </c>
      <c r="AS2309" t="s">
        <v>13066</v>
      </c>
      <c r="AT2309" t="s">
        <v>178</v>
      </c>
      <c r="AU2309">
        <v>2021</v>
      </c>
      <c r="AV2309">
        <v>7</v>
      </c>
      <c r="AW2309">
        <v>2</v>
      </c>
      <c r="AX2309" t="s">
        <v>74</v>
      </c>
      <c r="AY2309" t="s">
        <v>74</v>
      </c>
      <c r="AZ2309" t="s">
        <v>74</v>
      </c>
      <c r="BA2309" t="s">
        <v>74</v>
      </c>
      <c r="BB2309" t="s">
        <v>74</v>
      </c>
      <c r="BC2309" t="s">
        <v>74</v>
      </c>
      <c r="BD2309" t="s">
        <v>39513</v>
      </c>
      <c r="BE2309" t="s">
        <v>39514</v>
      </c>
      <c r="BF2309" t="str">
        <f>HYPERLINK("http://dx.doi.org/10.2196/24429","http://dx.doi.org/10.2196/24429")</f>
        <v>http://dx.doi.org/10.2196/24429</v>
      </c>
      <c r="BG2309" t="s">
        <v>74</v>
      </c>
      <c r="BH2309" t="s">
        <v>74</v>
      </c>
      <c r="BI2309">
        <v>13</v>
      </c>
      <c r="BJ2309" t="s">
        <v>392</v>
      </c>
      <c r="BK2309" t="s">
        <v>182</v>
      </c>
      <c r="BL2309" t="s">
        <v>392</v>
      </c>
      <c r="BM2309" t="s">
        <v>13069</v>
      </c>
      <c r="BN2309">
        <v>33605890</v>
      </c>
      <c r="BO2309" t="s">
        <v>552</v>
      </c>
      <c r="BP2309" t="s">
        <v>74</v>
      </c>
      <c r="BQ2309" t="s">
        <v>74</v>
      </c>
      <c r="BR2309" t="s">
        <v>102</v>
      </c>
      <c r="BS2309" t="s">
        <v>39515</v>
      </c>
      <c r="BT2309" t="str">
        <f>HYPERLINK("https%3A%2F%2Fwww.webofscience.com%2Fwos%2Fwoscc%2Ffull-record%2FWOS:000625293400004","View Full Record in Web of Science")</f>
        <v>View Full Record in Web of Science</v>
      </c>
    </row>
    <row r="2310" spans="1:72" x14ac:dyDescent="0.35">
      <c r="A2310" t="s">
        <v>72</v>
      </c>
      <c r="B2310" t="s">
        <v>39516</v>
      </c>
      <c r="C2310" t="s">
        <v>74</v>
      </c>
      <c r="D2310" t="s">
        <v>74</v>
      </c>
      <c r="E2310" t="s">
        <v>74</v>
      </c>
      <c r="F2310" t="s">
        <v>39517</v>
      </c>
      <c r="G2310" t="s">
        <v>74</v>
      </c>
      <c r="H2310" t="s">
        <v>74</v>
      </c>
      <c r="I2310" t="s">
        <v>39518</v>
      </c>
      <c r="J2310" t="s">
        <v>2814</v>
      </c>
      <c r="K2310" t="s">
        <v>74</v>
      </c>
      <c r="L2310" t="s">
        <v>74</v>
      </c>
      <c r="M2310" t="s">
        <v>78</v>
      </c>
      <c r="N2310" t="s">
        <v>374</v>
      </c>
      <c r="O2310" t="s">
        <v>74</v>
      </c>
      <c r="P2310" t="s">
        <v>74</v>
      </c>
      <c r="Q2310" t="s">
        <v>74</v>
      </c>
      <c r="R2310" t="s">
        <v>74</v>
      </c>
      <c r="S2310" t="s">
        <v>74</v>
      </c>
      <c r="T2310" t="s">
        <v>39519</v>
      </c>
      <c r="U2310" t="s">
        <v>39520</v>
      </c>
      <c r="V2310" t="s">
        <v>39521</v>
      </c>
      <c r="W2310" t="s">
        <v>39522</v>
      </c>
      <c r="X2310" t="s">
        <v>3374</v>
      </c>
      <c r="Y2310" t="s">
        <v>39523</v>
      </c>
      <c r="Z2310" t="s">
        <v>39524</v>
      </c>
      <c r="AA2310" t="s">
        <v>39525</v>
      </c>
      <c r="AB2310" t="s">
        <v>39526</v>
      </c>
      <c r="AC2310" t="s">
        <v>74</v>
      </c>
      <c r="AD2310" t="s">
        <v>74</v>
      </c>
      <c r="AE2310" t="s">
        <v>74</v>
      </c>
      <c r="AF2310" t="s">
        <v>74</v>
      </c>
      <c r="AG2310">
        <v>98</v>
      </c>
      <c r="AH2310">
        <v>72</v>
      </c>
      <c r="AI2310">
        <v>76</v>
      </c>
      <c r="AJ2310">
        <v>8</v>
      </c>
      <c r="AK2310">
        <v>100</v>
      </c>
      <c r="AL2310" t="s">
        <v>543</v>
      </c>
      <c r="AM2310" t="s">
        <v>544</v>
      </c>
      <c r="AN2310" t="s">
        <v>16396</v>
      </c>
      <c r="AO2310" t="s">
        <v>2821</v>
      </c>
      <c r="AP2310" t="s">
        <v>74</v>
      </c>
      <c r="AQ2310" t="s">
        <v>74</v>
      </c>
      <c r="AR2310" t="s">
        <v>2822</v>
      </c>
      <c r="AS2310" t="s">
        <v>2823</v>
      </c>
      <c r="AT2310" t="s">
        <v>9525</v>
      </c>
      <c r="AU2310">
        <v>2021</v>
      </c>
      <c r="AV2310">
        <v>23</v>
      </c>
      <c r="AW2310">
        <v>1</v>
      </c>
      <c r="AX2310" t="s">
        <v>74</v>
      </c>
      <c r="AY2310" t="s">
        <v>74</v>
      </c>
      <c r="AZ2310" t="s">
        <v>74</v>
      </c>
      <c r="BA2310" t="s">
        <v>74</v>
      </c>
      <c r="BB2310" t="s">
        <v>74</v>
      </c>
      <c r="BC2310" t="s">
        <v>74</v>
      </c>
      <c r="BD2310" t="s">
        <v>39527</v>
      </c>
      <c r="BE2310" t="s">
        <v>39528</v>
      </c>
      <c r="BF2310" t="str">
        <f>HYPERLINK("http://dx.doi.org/10.2196/18286","http://dx.doi.org/10.2196/18286")</f>
        <v>http://dx.doi.org/10.2196/18286</v>
      </c>
      <c r="BG2310" t="s">
        <v>74</v>
      </c>
      <c r="BH2310" t="s">
        <v>74</v>
      </c>
      <c r="BI2310">
        <v>12</v>
      </c>
      <c r="BJ2310" t="s">
        <v>550</v>
      </c>
      <c r="BK2310" t="s">
        <v>182</v>
      </c>
      <c r="BL2310" t="s">
        <v>550</v>
      </c>
      <c r="BM2310" t="s">
        <v>39529</v>
      </c>
      <c r="BN2310">
        <v>33427684</v>
      </c>
      <c r="BO2310" t="s">
        <v>6319</v>
      </c>
      <c r="BP2310" t="s">
        <v>74</v>
      </c>
      <c r="BQ2310" t="s">
        <v>74</v>
      </c>
      <c r="BR2310" t="s">
        <v>102</v>
      </c>
      <c r="BS2310" t="s">
        <v>39530</v>
      </c>
      <c r="BT2310" t="str">
        <f>HYPERLINK("https%3A%2F%2Fwww.webofscience.com%2Fwos%2Fwoscc%2Ffull-record%2FWOS:000606718200002","View Full Record in Web of Science")</f>
        <v>View Full Record in Web of Science</v>
      </c>
    </row>
    <row r="2311" spans="1:72" x14ac:dyDescent="0.35">
      <c r="A2311" t="s">
        <v>72</v>
      </c>
      <c r="B2311" t="s">
        <v>39531</v>
      </c>
      <c r="C2311" t="s">
        <v>74</v>
      </c>
      <c r="D2311" t="s">
        <v>74</v>
      </c>
      <c r="E2311" t="s">
        <v>74</v>
      </c>
      <c r="F2311" t="s">
        <v>39532</v>
      </c>
      <c r="G2311" t="s">
        <v>74</v>
      </c>
      <c r="H2311" t="s">
        <v>74</v>
      </c>
      <c r="I2311" t="s">
        <v>39533</v>
      </c>
      <c r="J2311" t="s">
        <v>2814</v>
      </c>
      <c r="K2311" t="s">
        <v>74</v>
      </c>
      <c r="L2311" t="s">
        <v>74</v>
      </c>
      <c r="M2311" t="s">
        <v>78</v>
      </c>
      <c r="N2311" t="s">
        <v>108</v>
      </c>
      <c r="O2311" t="s">
        <v>74</v>
      </c>
      <c r="P2311" t="s">
        <v>74</v>
      </c>
      <c r="Q2311" t="s">
        <v>74</v>
      </c>
      <c r="R2311" t="s">
        <v>74</v>
      </c>
      <c r="S2311" t="s">
        <v>74</v>
      </c>
      <c r="T2311" t="s">
        <v>39534</v>
      </c>
      <c r="U2311" t="s">
        <v>74</v>
      </c>
      <c r="V2311" t="s">
        <v>39535</v>
      </c>
      <c r="W2311" t="s">
        <v>39536</v>
      </c>
      <c r="X2311" t="s">
        <v>39537</v>
      </c>
      <c r="Y2311" t="s">
        <v>39538</v>
      </c>
      <c r="Z2311" t="s">
        <v>39539</v>
      </c>
      <c r="AA2311" t="s">
        <v>39540</v>
      </c>
      <c r="AB2311" t="s">
        <v>39541</v>
      </c>
      <c r="AC2311" t="s">
        <v>74</v>
      </c>
      <c r="AD2311" t="s">
        <v>74</v>
      </c>
      <c r="AE2311" t="s">
        <v>39542</v>
      </c>
      <c r="AF2311" t="s">
        <v>74</v>
      </c>
      <c r="AG2311">
        <v>35</v>
      </c>
      <c r="AH2311">
        <v>1</v>
      </c>
      <c r="AI2311">
        <v>1</v>
      </c>
      <c r="AJ2311">
        <v>3</v>
      </c>
      <c r="AK2311">
        <v>3</v>
      </c>
      <c r="AL2311" t="s">
        <v>543</v>
      </c>
      <c r="AM2311" t="s">
        <v>544</v>
      </c>
      <c r="AN2311" t="s">
        <v>545</v>
      </c>
      <c r="AO2311" t="s">
        <v>2821</v>
      </c>
      <c r="AP2311" t="s">
        <v>74</v>
      </c>
      <c r="AQ2311" t="s">
        <v>74</v>
      </c>
      <c r="AR2311" t="s">
        <v>2822</v>
      </c>
      <c r="AS2311" t="s">
        <v>2823</v>
      </c>
      <c r="AT2311" t="s">
        <v>14244</v>
      </c>
      <c r="AU2311">
        <v>2024</v>
      </c>
      <c r="AV2311">
        <v>26</v>
      </c>
      <c r="AW2311" t="s">
        <v>74</v>
      </c>
      <c r="AX2311" t="s">
        <v>74</v>
      </c>
      <c r="AY2311" t="s">
        <v>74</v>
      </c>
      <c r="AZ2311" t="s">
        <v>74</v>
      </c>
      <c r="BA2311" t="s">
        <v>74</v>
      </c>
      <c r="BB2311" t="s">
        <v>74</v>
      </c>
      <c r="BC2311" t="s">
        <v>74</v>
      </c>
      <c r="BD2311" t="s">
        <v>39543</v>
      </c>
      <c r="BE2311" t="s">
        <v>39544</v>
      </c>
      <c r="BF2311" t="str">
        <f>HYPERLINK("http://dx.doi.org/10.2196/50871","http://dx.doi.org/10.2196/50871")</f>
        <v>http://dx.doi.org/10.2196/50871</v>
      </c>
      <c r="BG2311" t="s">
        <v>74</v>
      </c>
      <c r="BH2311" t="s">
        <v>74</v>
      </c>
      <c r="BI2311">
        <v>11</v>
      </c>
      <c r="BJ2311" t="s">
        <v>550</v>
      </c>
      <c r="BK2311" t="s">
        <v>209</v>
      </c>
      <c r="BL2311" t="s">
        <v>550</v>
      </c>
      <c r="BM2311" t="s">
        <v>39545</v>
      </c>
      <c r="BN2311">
        <v>38861266</v>
      </c>
      <c r="BO2311" t="s">
        <v>394</v>
      </c>
      <c r="BP2311" t="s">
        <v>74</v>
      </c>
      <c r="BQ2311" t="s">
        <v>74</v>
      </c>
      <c r="BR2311" t="s">
        <v>102</v>
      </c>
      <c r="BS2311" t="s">
        <v>39546</v>
      </c>
      <c r="BT2311" t="str">
        <f>HYPERLINK("https%3A%2F%2Fwww.webofscience.com%2Fwos%2Fwoscc%2Ffull-record%2FWOS:001296495100004","View Full Record in Web of Science")</f>
        <v>View Full Record in Web of Science</v>
      </c>
    </row>
    <row r="2312" spans="1:72" x14ac:dyDescent="0.35">
      <c r="A2312" t="s">
        <v>72</v>
      </c>
      <c r="B2312" t="s">
        <v>39547</v>
      </c>
      <c r="C2312" t="s">
        <v>74</v>
      </c>
      <c r="D2312" t="s">
        <v>74</v>
      </c>
      <c r="E2312" t="s">
        <v>74</v>
      </c>
      <c r="F2312" t="s">
        <v>39548</v>
      </c>
      <c r="G2312" t="s">
        <v>74</v>
      </c>
      <c r="H2312" t="s">
        <v>74</v>
      </c>
      <c r="I2312" t="s">
        <v>39549</v>
      </c>
      <c r="J2312" t="s">
        <v>33026</v>
      </c>
      <c r="K2312" t="s">
        <v>74</v>
      </c>
      <c r="L2312" t="s">
        <v>74</v>
      </c>
      <c r="M2312" t="s">
        <v>3503</v>
      </c>
      <c r="N2312" t="s">
        <v>108</v>
      </c>
      <c r="O2312" t="s">
        <v>74</v>
      </c>
      <c r="P2312" t="s">
        <v>74</v>
      </c>
      <c r="Q2312" t="s">
        <v>74</v>
      </c>
      <c r="R2312" t="s">
        <v>74</v>
      </c>
      <c r="S2312" t="s">
        <v>74</v>
      </c>
      <c r="T2312" t="s">
        <v>39550</v>
      </c>
      <c r="U2312" t="s">
        <v>74</v>
      </c>
      <c r="V2312" t="s">
        <v>39551</v>
      </c>
      <c r="W2312" t="s">
        <v>39552</v>
      </c>
      <c r="X2312" t="s">
        <v>39553</v>
      </c>
      <c r="Y2312" t="s">
        <v>39554</v>
      </c>
      <c r="Z2312" t="s">
        <v>39555</v>
      </c>
      <c r="AA2312" t="s">
        <v>74</v>
      </c>
      <c r="AB2312" t="s">
        <v>39556</v>
      </c>
      <c r="AC2312" t="s">
        <v>74</v>
      </c>
      <c r="AD2312" t="s">
        <v>74</v>
      </c>
      <c r="AE2312" t="s">
        <v>74</v>
      </c>
      <c r="AF2312" t="s">
        <v>74</v>
      </c>
      <c r="AG2312">
        <v>27</v>
      </c>
      <c r="AH2312">
        <v>1</v>
      </c>
      <c r="AI2312">
        <v>1</v>
      </c>
      <c r="AJ2312">
        <v>10</v>
      </c>
      <c r="AK2312">
        <v>36</v>
      </c>
      <c r="AL2312" t="s">
        <v>33032</v>
      </c>
      <c r="AM2312" t="s">
        <v>15719</v>
      </c>
      <c r="AN2312" t="s">
        <v>33033</v>
      </c>
      <c r="AO2312" t="s">
        <v>33034</v>
      </c>
      <c r="AP2312" t="s">
        <v>74</v>
      </c>
      <c r="AQ2312" t="s">
        <v>74</v>
      </c>
      <c r="AR2312" t="s">
        <v>33035</v>
      </c>
      <c r="AS2312" t="s">
        <v>33036</v>
      </c>
      <c r="AT2312" t="s">
        <v>3517</v>
      </c>
      <c r="AU2312">
        <v>2022</v>
      </c>
      <c r="AV2312">
        <v>12</v>
      </c>
      <c r="AW2312">
        <v>23</v>
      </c>
      <c r="AX2312" t="s">
        <v>74</v>
      </c>
      <c r="AY2312" t="s">
        <v>74</v>
      </c>
      <c r="AZ2312" t="s">
        <v>74</v>
      </c>
      <c r="BA2312" t="s">
        <v>74</v>
      </c>
      <c r="BB2312">
        <v>225</v>
      </c>
      <c r="BC2312">
        <v>244</v>
      </c>
      <c r="BD2312" t="s">
        <v>74</v>
      </c>
      <c r="BE2312" t="s">
        <v>39557</v>
      </c>
      <c r="BF2312" t="str">
        <f>HYPERLINK("http://dx.doi.org/10.5783/RIRP-23-2022-12-225-244","http://dx.doi.org/10.5783/RIRP-23-2022-12-225-244")</f>
        <v>http://dx.doi.org/10.5783/RIRP-23-2022-12-225-244</v>
      </c>
      <c r="BG2312" t="s">
        <v>74</v>
      </c>
      <c r="BH2312" t="s">
        <v>74</v>
      </c>
      <c r="BI2312">
        <v>20</v>
      </c>
      <c r="BJ2312" t="s">
        <v>124</v>
      </c>
      <c r="BK2312" t="s">
        <v>125</v>
      </c>
      <c r="BL2312" t="s">
        <v>124</v>
      </c>
      <c r="BM2312" t="s">
        <v>39558</v>
      </c>
      <c r="BN2312" t="s">
        <v>74</v>
      </c>
      <c r="BO2312" t="s">
        <v>235</v>
      </c>
      <c r="BP2312" t="s">
        <v>74</v>
      </c>
      <c r="BQ2312" t="s">
        <v>74</v>
      </c>
      <c r="BR2312" t="s">
        <v>102</v>
      </c>
      <c r="BS2312" t="s">
        <v>39559</v>
      </c>
      <c r="BT2312" t="str">
        <f>HYPERLINK("https%3A%2F%2Fwww.webofscience.com%2Fwos%2Fwoscc%2Ffull-record%2FWOS:000826896000009","View Full Record in Web of Science")</f>
        <v>View Full Record in Web of Science</v>
      </c>
    </row>
    <row r="2313" spans="1:72" x14ac:dyDescent="0.35">
      <c r="A2313" t="s">
        <v>72</v>
      </c>
      <c r="B2313" t="s">
        <v>39560</v>
      </c>
      <c r="C2313" t="s">
        <v>74</v>
      </c>
      <c r="D2313" t="s">
        <v>74</v>
      </c>
      <c r="E2313" t="s">
        <v>74</v>
      </c>
      <c r="F2313" t="s">
        <v>39561</v>
      </c>
      <c r="G2313" t="s">
        <v>74</v>
      </c>
      <c r="H2313" t="s">
        <v>74</v>
      </c>
      <c r="I2313" t="s">
        <v>39562</v>
      </c>
      <c r="J2313" t="s">
        <v>18952</v>
      </c>
      <c r="K2313" t="s">
        <v>74</v>
      </c>
      <c r="L2313" t="s">
        <v>74</v>
      </c>
      <c r="M2313" t="s">
        <v>78</v>
      </c>
      <c r="N2313" t="s">
        <v>108</v>
      </c>
      <c r="O2313" t="s">
        <v>74</v>
      </c>
      <c r="P2313" t="s">
        <v>74</v>
      </c>
      <c r="Q2313" t="s">
        <v>74</v>
      </c>
      <c r="R2313" t="s">
        <v>74</v>
      </c>
      <c r="S2313" t="s">
        <v>74</v>
      </c>
      <c r="T2313" t="s">
        <v>39563</v>
      </c>
      <c r="U2313" t="s">
        <v>39564</v>
      </c>
      <c r="V2313" t="s">
        <v>39565</v>
      </c>
      <c r="W2313" t="s">
        <v>39566</v>
      </c>
      <c r="X2313" t="s">
        <v>39567</v>
      </c>
      <c r="Y2313" t="s">
        <v>39568</v>
      </c>
      <c r="Z2313" t="s">
        <v>39569</v>
      </c>
      <c r="AA2313" t="s">
        <v>39570</v>
      </c>
      <c r="AB2313" t="s">
        <v>39571</v>
      </c>
      <c r="AC2313" t="s">
        <v>74</v>
      </c>
      <c r="AD2313" t="s">
        <v>74</v>
      </c>
      <c r="AE2313" t="s">
        <v>74</v>
      </c>
      <c r="AF2313" t="s">
        <v>74</v>
      </c>
      <c r="AG2313">
        <v>51</v>
      </c>
      <c r="AH2313">
        <v>4</v>
      </c>
      <c r="AI2313">
        <v>4</v>
      </c>
      <c r="AJ2313">
        <v>0</v>
      </c>
      <c r="AK2313">
        <v>1</v>
      </c>
      <c r="AL2313" t="s">
        <v>543</v>
      </c>
      <c r="AM2313" t="s">
        <v>544</v>
      </c>
      <c r="AN2313" t="s">
        <v>545</v>
      </c>
      <c r="AO2313" t="s">
        <v>18960</v>
      </c>
      <c r="AP2313" t="s">
        <v>74</v>
      </c>
      <c r="AQ2313" t="s">
        <v>74</v>
      </c>
      <c r="AR2313" t="s">
        <v>18952</v>
      </c>
      <c r="AS2313" t="s">
        <v>18961</v>
      </c>
      <c r="AT2313" t="s">
        <v>74</v>
      </c>
      <c r="AU2313">
        <v>2023</v>
      </c>
      <c r="AV2313">
        <v>9</v>
      </c>
      <c r="AW2313" t="s">
        <v>74</v>
      </c>
      <c r="AX2313" t="s">
        <v>74</v>
      </c>
      <c r="AY2313" t="s">
        <v>74</v>
      </c>
      <c r="AZ2313" t="s">
        <v>74</v>
      </c>
      <c r="BA2313" t="s">
        <v>74</v>
      </c>
      <c r="BB2313" t="s">
        <v>74</v>
      </c>
      <c r="BC2313" t="s">
        <v>74</v>
      </c>
      <c r="BD2313" t="s">
        <v>39572</v>
      </c>
      <c r="BE2313" t="s">
        <v>39573</v>
      </c>
      <c r="BF2313" t="str">
        <f>HYPERLINK("http://dx.doi.org/10.2196/43749","http://dx.doi.org/10.2196/43749")</f>
        <v>http://dx.doi.org/10.2196/43749</v>
      </c>
      <c r="BG2313" t="s">
        <v>74</v>
      </c>
      <c r="BH2313" t="s">
        <v>74</v>
      </c>
      <c r="BI2313">
        <v>14</v>
      </c>
      <c r="BJ2313" t="s">
        <v>10304</v>
      </c>
      <c r="BK2313" t="s">
        <v>125</v>
      </c>
      <c r="BL2313" t="s">
        <v>10304</v>
      </c>
      <c r="BM2313" t="s">
        <v>39574</v>
      </c>
      <c r="BN2313">
        <v>37505790</v>
      </c>
      <c r="BO2313" t="s">
        <v>7897</v>
      </c>
      <c r="BP2313" t="s">
        <v>74</v>
      </c>
      <c r="BQ2313" t="s">
        <v>74</v>
      </c>
      <c r="BR2313" t="s">
        <v>102</v>
      </c>
      <c r="BS2313" t="s">
        <v>39575</v>
      </c>
      <c r="BT2313" t="str">
        <f>HYPERLINK("https%3A%2F%2Fwww.webofscience.com%2Fwos%2Fwoscc%2Ffull-record%2FWOS:001047780400001","View Full Record in Web of Science")</f>
        <v>View Full Record in Web of Science</v>
      </c>
    </row>
    <row r="2314" spans="1:72" x14ac:dyDescent="0.35">
      <c r="A2314" t="s">
        <v>72</v>
      </c>
      <c r="B2314" t="s">
        <v>39576</v>
      </c>
      <c r="C2314" t="s">
        <v>74</v>
      </c>
      <c r="D2314" t="s">
        <v>74</v>
      </c>
      <c r="E2314" t="s">
        <v>74</v>
      </c>
      <c r="F2314" t="s">
        <v>39577</v>
      </c>
      <c r="G2314" t="s">
        <v>74</v>
      </c>
      <c r="H2314" t="s">
        <v>74</v>
      </c>
      <c r="I2314" t="s">
        <v>39578</v>
      </c>
      <c r="J2314" t="s">
        <v>33026</v>
      </c>
      <c r="K2314" t="s">
        <v>74</v>
      </c>
      <c r="L2314" t="s">
        <v>74</v>
      </c>
      <c r="M2314" t="s">
        <v>78</v>
      </c>
      <c r="N2314" t="s">
        <v>108</v>
      </c>
      <c r="O2314" t="s">
        <v>74</v>
      </c>
      <c r="P2314" t="s">
        <v>74</v>
      </c>
      <c r="Q2314" t="s">
        <v>74</v>
      </c>
      <c r="R2314" t="s">
        <v>74</v>
      </c>
      <c r="S2314" t="s">
        <v>74</v>
      </c>
      <c r="T2314" t="s">
        <v>39579</v>
      </c>
      <c r="U2314" t="s">
        <v>39580</v>
      </c>
      <c r="V2314" t="s">
        <v>39581</v>
      </c>
      <c r="W2314" t="s">
        <v>39582</v>
      </c>
      <c r="X2314" t="s">
        <v>39583</v>
      </c>
      <c r="Y2314" t="s">
        <v>39584</v>
      </c>
      <c r="Z2314" t="s">
        <v>39585</v>
      </c>
      <c r="AA2314" t="s">
        <v>39586</v>
      </c>
      <c r="AB2314" t="s">
        <v>74</v>
      </c>
      <c r="AC2314" t="s">
        <v>74</v>
      </c>
      <c r="AD2314" t="s">
        <v>74</v>
      </c>
      <c r="AE2314" t="s">
        <v>74</v>
      </c>
      <c r="AF2314" t="s">
        <v>74</v>
      </c>
      <c r="AG2314">
        <v>69</v>
      </c>
      <c r="AH2314">
        <v>0</v>
      </c>
      <c r="AI2314">
        <v>0</v>
      </c>
      <c r="AJ2314">
        <v>3</v>
      </c>
      <c r="AK2314">
        <v>3</v>
      </c>
      <c r="AL2314" t="s">
        <v>33032</v>
      </c>
      <c r="AM2314" t="s">
        <v>15719</v>
      </c>
      <c r="AN2314" t="s">
        <v>33033</v>
      </c>
      <c r="AO2314" t="s">
        <v>33034</v>
      </c>
      <c r="AP2314" t="s">
        <v>74</v>
      </c>
      <c r="AQ2314" t="s">
        <v>74</v>
      </c>
      <c r="AR2314" t="s">
        <v>33035</v>
      </c>
      <c r="AS2314" t="s">
        <v>33036</v>
      </c>
      <c r="AT2314" t="s">
        <v>3517</v>
      </c>
      <c r="AU2314">
        <v>2024</v>
      </c>
      <c r="AV2314">
        <v>14</v>
      </c>
      <c r="AW2314">
        <v>27</v>
      </c>
      <c r="AX2314" t="s">
        <v>74</v>
      </c>
      <c r="AY2314" t="s">
        <v>74</v>
      </c>
      <c r="AZ2314" t="s">
        <v>74</v>
      </c>
      <c r="BA2314" t="s">
        <v>74</v>
      </c>
      <c r="BB2314">
        <v>105</v>
      </c>
      <c r="BC2314">
        <v>126</v>
      </c>
      <c r="BD2314" t="s">
        <v>74</v>
      </c>
      <c r="BE2314" t="s">
        <v>39587</v>
      </c>
      <c r="BF2314" t="str">
        <f>HYPERLINK("http://dx.doi.org/10.5783/revrrpp.v14i27.860","http://dx.doi.org/10.5783/revrrpp.v14i27.860")</f>
        <v>http://dx.doi.org/10.5783/revrrpp.v14i27.860</v>
      </c>
      <c r="BG2314" t="s">
        <v>74</v>
      </c>
      <c r="BH2314" t="s">
        <v>74</v>
      </c>
      <c r="BI2314">
        <v>22</v>
      </c>
      <c r="BJ2314" t="s">
        <v>124</v>
      </c>
      <c r="BK2314" t="s">
        <v>125</v>
      </c>
      <c r="BL2314" t="s">
        <v>124</v>
      </c>
      <c r="BM2314" t="s">
        <v>39588</v>
      </c>
      <c r="BN2314" t="s">
        <v>74</v>
      </c>
      <c r="BO2314" t="s">
        <v>235</v>
      </c>
      <c r="BP2314" t="s">
        <v>74</v>
      </c>
      <c r="BQ2314" t="s">
        <v>74</v>
      </c>
      <c r="BR2314" t="s">
        <v>102</v>
      </c>
      <c r="BS2314" t="s">
        <v>39589</v>
      </c>
      <c r="BT2314" t="str">
        <f>HYPERLINK("https%3A%2F%2Fwww.webofscience.com%2Fwos%2Fwoscc%2Ffull-record%2FWOS:001263849900007","View Full Record in Web of Science")</f>
        <v>View Full Record in Web of Science</v>
      </c>
    </row>
  </sheetData>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savedrecs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Adela Bara</cp:lastModifiedBy>
  <dcterms:created xsi:type="dcterms:W3CDTF">2024-11-29T06:42:52Z</dcterms:created>
  <dcterms:modified xsi:type="dcterms:W3CDTF">2024-11-29T06:42:52Z</dcterms:modified>
</cp:coreProperties>
</file>